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3040" windowHeight="10008" tabRatio="886"/>
  </bookViews>
  <sheets>
    <sheet name="Præsentationstabeller 1" sheetId="1" r:id="rId1"/>
    <sheet name="Sommerdimittender" sheetId="11" state="hidden" r:id="rId2"/>
    <sheet name="Tabel 2, detaljeret og køn" sheetId="3" r:id="rId3"/>
    <sheet name="Tabel 3, detaljeret og alder" sheetId="8" r:id="rId4"/>
    <sheet name="Tabel 4, detaljeret og k_alder" sheetId="9" r:id="rId5"/>
    <sheet name="Tabel 5, detaljeret og geografi" sheetId="10" r:id="rId6"/>
  </sheets>
  <calcPr calcId="145621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2" i="1"/>
  <c r="B34" i="1"/>
  <c r="B47" i="1"/>
  <c r="B9" i="1"/>
  <c r="A1286" i="11"/>
  <c r="A1270" i="11"/>
  <c r="A1254" i="11"/>
  <c r="A1238" i="11"/>
  <c r="A1222" i="11"/>
  <c r="A1206" i="11"/>
  <c r="A1190" i="11"/>
  <c r="A1174" i="11"/>
  <c r="A1158" i="11"/>
  <c r="A1142" i="11"/>
  <c r="A1126" i="11"/>
  <c r="A1110" i="11"/>
  <c r="A1094" i="11"/>
  <c r="A1078" i="11"/>
  <c r="A1062" i="11"/>
  <c r="A1046" i="11"/>
  <c r="A1030" i="11"/>
  <c r="A1014" i="11"/>
  <c r="A998" i="11"/>
  <c r="A982" i="11"/>
  <c r="A966" i="11"/>
  <c r="A950" i="11"/>
  <c r="A934" i="11"/>
  <c r="A918" i="11"/>
  <c r="A902" i="11"/>
  <c r="A886" i="11"/>
  <c r="A870" i="11"/>
  <c r="C57" i="1"/>
  <c r="B35" i="1"/>
  <c r="B44" i="1"/>
  <c r="B32" i="1"/>
  <c r="B21" i="1"/>
  <c r="A1281" i="11"/>
  <c r="A1265" i="11"/>
  <c r="A1249" i="11"/>
  <c r="A1233" i="11"/>
  <c r="A1217" i="11"/>
  <c r="A1201" i="11"/>
  <c r="A1185" i="11"/>
  <c r="A1169" i="11"/>
  <c r="A1153" i="11"/>
  <c r="A1137" i="11"/>
  <c r="A1121" i="11"/>
  <c r="A1105" i="11"/>
  <c r="A1089" i="11"/>
  <c r="A1073" i="11"/>
  <c r="A1057" i="11"/>
  <c r="A1041" i="11"/>
  <c r="A1025" i="11"/>
  <c r="A1009" i="11"/>
  <c r="A993" i="11"/>
  <c r="A977" i="11"/>
  <c r="A961" i="11"/>
  <c r="A945" i="11"/>
  <c r="A929" i="11"/>
  <c r="A913" i="11"/>
  <c r="A897" i="11"/>
  <c r="A881" i="11"/>
  <c r="A865" i="11"/>
  <c r="B8" i="1"/>
  <c r="B54" i="1"/>
  <c r="B52" i="1"/>
  <c r="C31" i="1"/>
  <c r="A1291" i="11"/>
  <c r="A1275" i="11"/>
  <c r="A1259" i="11"/>
  <c r="A1243" i="11"/>
  <c r="A1227" i="11"/>
  <c r="A1211" i="11"/>
  <c r="A1195" i="11"/>
  <c r="A1179" i="11"/>
  <c r="A1163" i="11"/>
  <c r="A1147" i="11"/>
  <c r="A1131" i="11"/>
  <c r="A1115" i="11"/>
  <c r="A1099" i="11"/>
  <c r="A1083" i="11"/>
  <c r="A1067" i="11"/>
  <c r="A1051" i="11"/>
  <c r="A1035" i="11"/>
  <c r="A1019" i="11"/>
  <c r="A1003" i="11"/>
  <c r="A987" i="11"/>
  <c r="A971" i="11"/>
  <c r="A955" i="11"/>
  <c r="A939" i="11"/>
  <c r="A923" i="11"/>
  <c r="A907" i="11"/>
  <c r="A891" i="11"/>
  <c r="A875" i="11"/>
  <c r="A859" i="11"/>
  <c r="B45" i="1"/>
  <c r="A1252" i="11"/>
  <c r="A1188" i="11"/>
  <c r="A1124" i="11"/>
  <c r="A1060" i="11"/>
  <c r="A996" i="11"/>
  <c r="A932" i="11"/>
  <c r="A868" i="11"/>
  <c r="A845" i="11"/>
  <c r="A829" i="11"/>
  <c r="A813" i="11"/>
  <c r="A797" i="11"/>
  <c r="A781" i="11"/>
  <c r="A765" i="11"/>
  <c r="A749" i="11"/>
  <c r="A733" i="11"/>
  <c r="A717" i="11"/>
  <c r="A701" i="11"/>
  <c r="A685" i="11"/>
  <c r="D31" i="1"/>
  <c r="A1248" i="11"/>
  <c r="A1184" i="11"/>
  <c r="A1120" i="11"/>
  <c r="A1056" i="11"/>
  <c r="A992" i="11"/>
  <c r="A928" i="11"/>
  <c r="A864" i="11"/>
  <c r="A844" i="11"/>
  <c r="A828" i="11"/>
  <c r="A812" i="11"/>
  <c r="A796" i="11"/>
  <c r="G57" i="1"/>
  <c r="B39" i="1"/>
  <c r="E5" i="1"/>
  <c r="B36" i="1"/>
  <c r="B23" i="1"/>
  <c r="A1282" i="11"/>
  <c r="A1266" i="11"/>
  <c r="A1250" i="11"/>
  <c r="A1234" i="11"/>
  <c r="A1218" i="11"/>
  <c r="A1202" i="11"/>
  <c r="A1186" i="11"/>
  <c r="A1170" i="11"/>
  <c r="A1154" i="11"/>
  <c r="A1138" i="11"/>
  <c r="A1122" i="11"/>
  <c r="A1106" i="11"/>
  <c r="A1090" i="11"/>
  <c r="A1074" i="11"/>
  <c r="A1058" i="11"/>
  <c r="A1042" i="11"/>
  <c r="A1026" i="11"/>
  <c r="A1010" i="11"/>
  <c r="A994" i="11"/>
  <c r="A978" i="11"/>
  <c r="A962" i="11"/>
  <c r="A946" i="11"/>
  <c r="A930" i="11"/>
  <c r="A914" i="11"/>
  <c r="A898" i="11"/>
  <c r="A882" i="11"/>
  <c r="A866" i="11"/>
  <c r="B15" i="1"/>
  <c r="F57" i="1"/>
  <c r="B58" i="1"/>
  <c r="D44" i="1"/>
  <c r="D5" i="1"/>
  <c r="A1277" i="11"/>
  <c r="A1261" i="11"/>
  <c r="A1245" i="11"/>
  <c r="A1229" i="11"/>
  <c r="A1213" i="11"/>
  <c r="A1197" i="11"/>
  <c r="A1181" i="11"/>
  <c r="A1165" i="11"/>
  <c r="A1149" i="11"/>
  <c r="A1133" i="11"/>
  <c r="A1117" i="11"/>
  <c r="A1101" i="11"/>
  <c r="A1085" i="11"/>
  <c r="A1069" i="11"/>
  <c r="A1053" i="11"/>
  <c r="A1037" i="11"/>
  <c r="A1021" i="11"/>
  <c r="A1005" i="11"/>
  <c r="A989" i="11"/>
  <c r="A973" i="11"/>
  <c r="A957" i="11"/>
  <c r="A941" i="11"/>
  <c r="A925" i="11"/>
  <c r="A909" i="11"/>
  <c r="A893" i="11"/>
  <c r="A877" i="11"/>
  <c r="A861" i="11"/>
  <c r="B19" i="1"/>
  <c r="B38" i="1"/>
  <c r="B48" i="1"/>
  <c r="B10" i="1"/>
  <c r="A1287" i="11"/>
  <c r="A1271" i="11"/>
  <c r="A1255" i="11"/>
  <c r="A1239" i="11"/>
  <c r="A1223" i="11"/>
  <c r="A1207" i="11"/>
  <c r="A1191" i="11"/>
  <c r="A1175" i="11"/>
  <c r="A1159" i="11"/>
  <c r="A1143" i="11"/>
  <c r="A1127" i="11"/>
  <c r="A1111" i="11"/>
  <c r="A1095" i="11"/>
  <c r="A1079" i="11"/>
  <c r="A1063" i="11"/>
  <c r="A1047" i="11"/>
  <c r="A1031" i="11"/>
  <c r="A1015" i="11"/>
  <c r="A999" i="11"/>
  <c r="A983" i="11"/>
  <c r="A967" i="11"/>
  <c r="A951" i="11"/>
  <c r="A935" i="11"/>
  <c r="A919" i="11"/>
  <c r="A903" i="11"/>
  <c r="A887" i="11"/>
  <c r="A871" i="11"/>
  <c r="B63" i="1"/>
  <c r="F31" i="1"/>
  <c r="A1236" i="11"/>
  <c r="A1172" i="11"/>
  <c r="A1108" i="11"/>
  <c r="A1044" i="11"/>
  <c r="A980" i="11"/>
  <c r="A916" i="11"/>
  <c r="A857" i="11"/>
  <c r="A841" i="11"/>
  <c r="A825" i="11"/>
  <c r="A809" i="11"/>
  <c r="A793" i="11"/>
  <c r="A777" i="11"/>
  <c r="A761" i="11"/>
  <c r="A745" i="11"/>
  <c r="A729" i="11"/>
  <c r="A713" i="11"/>
  <c r="A697" i="11"/>
  <c r="H44" i="1"/>
  <c r="B20" i="1"/>
  <c r="A1232" i="11"/>
  <c r="A1168" i="11"/>
  <c r="A1104" i="11"/>
  <c r="A1040" i="11"/>
  <c r="A976" i="11"/>
  <c r="A912" i="11"/>
  <c r="A856" i="11"/>
  <c r="A840" i="11"/>
  <c r="A824" i="11"/>
  <c r="A808" i="11"/>
  <c r="A792" i="11"/>
  <c r="G31" i="1"/>
  <c r="B60" i="1"/>
  <c r="B62" i="1"/>
  <c r="C5" i="1"/>
  <c r="E31" i="1"/>
  <c r="A1278" i="11"/>
  <c r="A1262" i="11"/>
  <c r="A1246" i="11"/>
  <c r="A1230" i="11"/>
  <c r="A1214" i="11"/>
  <c r="A1198" i="11"/>
  <c r="A1182" i="11"/>
  <c r="A1166" i="11"/>
  <c r="A1150" i="11"/>
  <c r="A1134" i="11"/>
  <c r="A1118" i="11"/>
  <c r="A1102" i="11"/>
  <c r="A1086" i="11"/>
  <c r="A1070" i="11"/>
  <c r="A1054" i="11"/>
  <c r="A1038" i="11"/>
  <c r="A1022" i="11"/>
  <c r="A1006" i="11"/>
  <c r="A990" i="11"/>
  <c r="A974" i="11"/>
  <c r="A958" i="11"/>
  <c r="A942" i="11"/>
  <c r="A926" i="11"/>
  <c r="A910" i="11"/>
  <c r="A894" i="11"/>
  <c r="A878" i="11"/>
  <c r="A862" i="11"/>
  <c r="B28" i="1"/>
  <c r="C44" i="1"/>
  <c r="B50" i="1"/>
  <c r="B13" i="1"/>
  <c r="A1289" i="11"/>
  <c r="A1273" i="11"/>
  <c r="A1257" i="11"/>
  <c r="A1241" i="11"/>
  <c r="A1225" i="11"/>
  <c r="A1209" i="11"/>
  <c r="A1193" i="11"/>
  <c r="A1177" i="11"/>
  <c r="A1161" i="11"/>
  <c r="A1145" i="11"/>
  <c r="A1129" i="11"/>
  <c r="A1113" i="11"/>
  <c r="A1097" i="11"/>
  <c r="A1081" i="11"/>
  <c r="A1065" i="11"/>
  <c r="A1049" i="11"/>
  <c r="A1033" i="11"/>
  <c r="A1017" i="11"/>
  <c r="A1001" i="11"/>
  <c r="A985" i="11"/>
  <c r="A969" i="11"/>
  <c r="A953" i="11"/>
  <c r="A937" i="11"/>
  <c r="A921" i="11"/>
  <c r="A905" i="11"/>
  <c r="A889" i="11"/>
  <c r="A873" i="11"/>
  <c r="B59" i="1"/>
  <c r="F44" i="1"/>
  <c r="B24" i="1"/>
  <c r="E44" i="1"/>
  <c r="B25" i="1"/>
  <c r="A1283" i="11"/>
  <c r="A1267" i="11"/>
  <c r="A1251" i="11"/>
  <c r="A1235" i="11"/>
  <c r="A1219" i="11"/>
  <c r="A1203" i="11"/>
  <c r="A1187" i="11"/>
  <c r="A1171" i="11"/>
  <c r="A1155" i="11"/>
  <c r="A1139" i="11"/>
  <c r="A1123" i="11"/>
  <c r="A1107" i="11"/>
  <c r="A1091" i="11"/>
  <c r="A1075" i="11"/>
  <c r="A1059" i="11"/>
  <c r="A1043" i="11"/>
  <c r="A1027" i="11"/>
  <c r="A1011" i="11"/>
  <c r="A995" i="11"/>
  <c r="A979" i="11"/>
  <c r="A963" i="11"/>
  <c r="A947" i="11"/>
  <c r="A931" i="11"/>
  <c r="A915" i="11"/>
  <c r="A899" i="11"/>
  <c r="A883" i="11"/>
  <c r="A867" i="11"/>
  <c r="E57" i="1"/>
  <c r="A1284" i="11"/>
  <c r="A1220" i="11"/>
  <c r="A1156" i="11"/>
  <c r="A1092" i="11"/>
  <c r="A1028" i="11"/>
  <c r="A964" i="11"/>
  <c r="A900" i="11"/>
  <c r="A853" i="11"/>
  <c r="A837" i="11"/>
  <c r="A821" i="11"/>
  <c r="A805" i="11"/>
  <c r="A789" i="11"/>
  <c r="A773" i="11"/>
  <c r="A757" i="11"/>
  <c r="A741" i="11"/>
  <c r="A725" i="11"/>
  <c r="A709" i="11"/>
  <c r="A693" i="11"/>
  <c r="B73" i="1"/>
  <c r="A1280" i="11"/>
  <c r="A1216" i="11"/>
  <c r="A1152" i="11"/>
  <c r="A1088" i="11"/>
  <c r="A1024" i="11"/>
  <c r="A960" i="11"/>
  <c r="A896" i="11"/>
  <c r="A852" i="11"/>
  <c r="A836" i="11"/>
  <c r="A820" i="11"/>
  <c r="A804" i="11"/>
  <c r="A788" i="11"/>
  <c r="B6" i="1"/>
  <c r="G44" i="1"/>
  <c r="B51" i="1"/>
  <c r="B18" i="1"/>
  <c r="A1290" i="11"/>
  <c r="A1274" i="11"/>
  <c r="A1258" i="11"/>
  <c r="A1242" i="11"/>
  <c r="A1226" i="11"/>
  <c r="A1210" i="11"/>
  <c r="A1194" i="11"/>
  <c r="A1178" i="11"/>
  <c r="A1162" i="11"/>
  <c r="A1146" i="11"/>
  <c r="A1130" i="11"/>
  <c r="A1114" i="11"/>
  <c r="A1098" i="11"/>
  <c r="A1082" i="11"/>
  <c r="A1066" i="11"/>
  <c r="A1050" i="11"/>
  <c r="A1034" i="11"/>
  <c r="A1018" i="11"/>
  <c r="A1002" i="11"/>
  <c r="A986" i="11"/>
  <c r="A970" i="11"/>
  <c r="A954" i="11"/>
  <c r="A938" i="11"/>
  <c r="A922" i="11"/>
  <c r="A906" i="11"/>
  <c r="A890" i="11"/>
  <c r="A874" i="11"/>
  <c r="B70" i="1"/>
  <c r="B65" i="1"/>
  <c r="B31" i="1"/>
  <c r="B46" i="1"/>
  <c r="B7" i="1"/>
  <c r="A1285" i="11"/>
  <c r="A1269" i="11"/>
  <c r="A1253" i="11"/>
  <c r="A1237" i="11"/>
  <c r="A1221" i="11"/>
  <c r="A1205" i="11"/>
  <c r="A1189" i="11"/>
  <c r="A1173" i="11"/>
  <c r="A1157" i="11"/>
  <c r="A1141" i="11"/>
  <c r="A1125" i="11"/>
  <c r="A1109" i="11"/>
  <c r="A1093" i="11"/>
  <c r="A1077" i="11"/>
  <c r="A1061" i="11"/>
  <c r="A1045" i="11"/>
  <c r="A1029" i="11"/>
  <c r="A1013" i="11"/>
  <c r="A997" i="11"/>
  <c r="A981" i="11"/>
  <c r="A965" i="11"/>
  <c r="A949" i="11"/>
  <c r="A933" i="11"/>
  <c r="A917" i="11"/>
  <c r="A901" i="11"/>
  <c r="A885" i="11"/>
  <c r="A869" i="11"/>
  <c r="B37" i="1"/>
  <c r="B64" i="1"/>
  <c r="B67" i="1"/>
  <c r="C18" i="1"/>
  <c r="B61" i="1"/>
  <c r="A1279" i="11"/>
  <c r="A1263" i="11"/>
  <c r="A1247" i="11"/>
  <c r="A1231" i="11"/>
  <c r="A1215" i="11"/>
  <c r="A1199" i="11"/>
  <c r="A1183" i="11"/>
  <c r="A1167" i="11"/>
  <c r="A1151" i="11"/>
  <c r="A1135" i="11"/>
  <c r="A1119" i="11"/>
  <c r="A1103" i="11"/>
  <c r="A1087" i="11"/>
  <c r="A1071" i="11"/>
  <c r="A1055" i="11"/>
  <c r="A1039" i="11"/>
  <c r="A1023" i="11"/>
  <c r="A1007" i="11"/>
  <c r="A991" i="11"/>
  <c r="A975" i="11"/>
  <c r="A959" i="11"/>
  <c r="A943" i="11"/>
  <c r="A927" i="11"/>
  <c r="A911" i="11"/>
  <c r="A895" i="11"/>
  <c r="A879" i="11"/>
  <c r="A863" i="11"/>
  <c r="B26" i="1"/>
  <c r="A1268" i="11"/>
  <c r="A1204" i="11"/>
  <c r="A1140" i="11"/>
  <c r="A1076" i="11"/>
  <c r="A1012" i="11"/>
  <c r="A948" i="11"/>
  <c r="A884" i="11"/>
  <c r="A849" i="11"/>
  <c r="A833" i="11"/>
  <c r="A817" i="11"/>
  <c r="A801" i="11"/>
  <c r="A785" i="11"/>
  <c r="A769" i="11"/>
  <c r="A753" i="11"/>
  <c r="A737" i="11"/>
  <c r="A721" i="11"/>
  <c r="A705" i="11"/>
  <c r="A689" i="11"/>
  <c r="B71" i="1"/>
  <c r="A1264" i="11"/>
  <c r="A1200" i="11"/>
  <c r="A1136" i="11"/>
  <c r="A1072" i="11"/>
  <c r="A1008" i="11"/>
  <c r="A944" i="11"/>
  <c r="A880" i="11"/>
  <c r="A848" i="11"/>
  <c r="A832" i="11"/>
  <c r="A816" i="11"/>
  <c r="A800" i="11"/>
  <c r="A784" i="11"/>
  <c r="A780" i="11"/>
  <c r="A764" i="11"/>
  <c r="A748" i="11"/>
  <c r="A732" i="11"/>
  <c r="A716" i="11"/>
  <c r="A700" i="11"/>
  <c r="B22" i="1"/>
  <c r="A1288" i="11"/>
  <c r="A1224" i="11"/>
  <c r="A1160" i="11"/>
  <c r="A1096" i="11"/>
  <c r="A1032" i="11"/>
  <c r="A968" i="11"/>
  <c r="A904" i="11"/>
  <c r="A854" i="11"/>
  <c r="A838" i="11"/>
  <c r="A822" i="11"/>
  <c r="A806" i="11"/>
  <c r="A790" i="11"/>
  <c r="A774" i="11"/>
  <c r="A758" i="11"/>
  <c r="A742" i="11"/>
  <c r="A726" i="11"/>
  <c r="A710" i="11"/>
  <c r="A694" i="11"/>
  <c r="A678" i="11"/>
  <c r="A662" i="11"/>
  <c r="A646" i="11"/>
  <c r="A630" i="11"/>
  <c r="A614" i="11"/>
  <c r="A598" i="11"/>
  <c r="A582" i="11"/>
  <c r="A566" i="11"/>
  <c r="A550" i="11"/>
  <c r="A534" i="11"/>
  <c r="A518" i="11"/>
  <c r="A502" i="11"/>
  <c r="A486" i="11"/>
  <c r="D18" i="1"/>
  <c r="A1036" i="11"/>
  <c r="A839" i="11"/>
  <c r="A775" i="11"/>
  <c r="A711" i="11"/>
  <c r="A672" i="11"/>
  <c r="A651" i="11"/>
  <c r="A629" i="11"/>
  <c r="A608" i="11"/>
  <c r="A587" i="11"/>
  <c r="A565" i="11"/>
  <c r="A544" i="11"/>
  <c r="A523" i="11"/>
  <c r="A501" i="11"/>
  <c r="A480" i="11"/>
  <c r="A463" i="11"/>
  <c r="A447" i="11"/>
  <c r="A431" i="11"/>
  <c r="A415" i="11"/>
  <c r="A399" i="11"/>
  <c r="B57" i="1"/>
  <c r="A1084" i="11"/>
  <c r="A851" i="11"/>
  <c r="A787" i="11"/>
  <c r="A723" i="11"/>
  <c r="A676" i="11"/>
  <c r="A655" i="11"/>
  <c r="A633" i="11"/>
  <c r="A612" i="11"/>
  <c r="A591" i="11"/>
  <c r="A569" i="11"/>
  <c r="A548" i="11"/>
  <c r="A527" i="11"/>
  <c r="A505" i="11"/>
  <c r="A484" i="11"/>
  <c r="A466" i="11"/>
  <c r="A450" i="11"/>
  <c r="A434" i="11"/>
  <c r="A418" i="11"/>
  <c r="A402" i="11"/>
  <c r="A386" i="11"/>
  <c r="A1260" i="11"/>
  <c r="A1004" i="11"/>
  <c r="A831" i="11"/>
  <c r="A767" i="11"/>
  <c r="A703" i="11"/>
  <c r="A669" i="11"/>
  <c r="A648" i="11"/>
  <c r="A627" i="11"/>
  <c r="A605" i="11"/>
  <c r="A584" i="11"/>
  <c r="A563" i="11"/>
  <c r="A541" i="11"/>
  <c r="A520" i="11"/>
  <c r="A499" i="11"/>
  <c r="A477" i="11"/>
  <c r="A461" i="11"/>
  <c r="A445" i="11"/>
  <c r="A429" i="11"/>
  <c r="A413" i="11"/>
  <c r="A397" i="11"/>
  <c r="A381" i="11"/>
  <c r="A365" i="11"/>
  <c r="A349" i="11"/>
  <c r="A333" i="11"/>
  <c r="A317" i="11"/>
  <c r="A301" i="11"/>
  <c r="A285" i="11"/>
  <c r="A269" i="11"/>
  <c r="A253" i="11"/>
  <c r="A237" i="11"/>
  <c r="A221" i="11"/>
  <c r="A205" i="11"/>
  <c r="A843" i="11"/>
  <c r="A652" i="11"/>
  <c r="A567" i="11"/>
  <c r="A481" i="11"/>
  <c r="A416" i="11"/>
  <c r="A371" i="11"/>
  <c r="A350" i="11"/>
  <c r="A328" i="11"/>
  <c r="A307" i="11"/>
  <c r="A286" i="11"/>
  <c r="A264" i="11"/>
  <c r="A243" i="11"/>
  <c r="A222" i="11"/>
  <c r="A200" i="11"/>
  <c r="A184" i="11"/>
  <c r="A168" i="11"/>
  <c r="A152" i="11"/>
  <c r="A776" i="11"/>
  <c r="A760" i="11"/>
  <c r="A744" i="11"/>
  <c r="A728" i="11"/>
  <c r="A712" i="11"/>
  <c r="A696" i="11"/>
  <c r="B41" i="1"/>
  <c r="A1272" i="11"/>
  <c r="A1208" i="11"/>
  <c r="A1144" i="11"/>
  <c r="A1080" i="11"/>
  <c r="A1016" i="11"/>
  <c r="A952" i="11"/>
  <c r="A888" i="11"/>
  <c r="A850" i="11"/>
  <c r="A834" i="11"/>
  <c r="A818" i="11"/>
  <c r="A802" i="11"/>
  <c r="A786" i="11"/>
  <c r="A770" i="11"/>
  <c r="A754" i="11"/>
  <c r="A738" i="11"/>
  <c r="A722" i="11"/>
  <c r="A706" i="11"/>
  <c r="A690" i="11"/>
  <c r="A674" i="11"/>
  <c r="A658" i="11"/>
  <c r="A642" i="11"/>
  <c r="A626" i="11"/>
  <c r="A610" i="11"/>
  <c r="A594" i="11"/>
  <c r="A578" i="11"/>
  <c r="A562" i="11"/>
  <c r="A546" i="11"/>
  <c r="A530" i="11"/>
  <c r="A514" i="11"/>
  <c r="A498" i="11"/>
  <c r="A482" i="11"/>
  <c r="A1228" i="11"/>
  <c r="A972" i="11"/>
  <c r="A823" i="11"/>
  <c r="A759" i="11"/>
  <c r="A695" i="11"/>
  <c r="A667" i="11"/>
  <c r="A645" i="11"/>
  <c r="A624" i="11"/>
  <c r="A603" i="11"/>
  <c r="A581" i="11"/>
  <c r="A560" i="11"/>
  <c r="A539" i="11"/>
  <c r="A517" i="11"/>
  <c r="A496" i="11"/>
  <c r="A475" i="11"/>
  <c r="A459" i="11"/>
  <c r="A443" i="11"/>
  <c r="A427" i="11"/>
  <c r="A411" i="11"/>
  <c r="A395" i="11"/>
  <c r="A1276" i="11"/>
  <c r="A1020" i="11"/>
  <c r="A835" i="11"/>
  <c r="A771" i="11"/>
  <c r="A707" i="11"/>
  <c r="A671" i="11"/>
  <c r="A649" i="11"/>
  <c r="A628" i="11"/>
  <c r="A607" i="11"/>
  <c r="A585" i="11"/>
  <c r="A564" i="11"/>
  <c r="A543" i="11"/>
  <c r="A521" i="11"/>
  <c r="A500" i="11"/>
  <c r="A479" i="11"/>
  <c r="A462" i="11"/>
  <c r="A446" i="11"/>
  <c r="A430" i="11"/>
  <c r="A414" i="11"/>
  <c r="A398" i="11"/>
  <c r="A382" i="11"/>
  <c r="A1196" i="11"/>
  <c r="A940" i="11"/>
  <c r="A815" i="11"/>
  <c r="A751" i="11"/>
  <c r="A687" i="11"/>
  <c r="A664" i="11"/>
  <c r="A643" i="11"/>
  <c r="A621" i="11"/>
  <c r="A600" i="11"/>
  <c r="A579" i="11"/>
  <c r="A557" i="11"/>
  <c r="A536" i="11"/>
  <c r="A515" i="11"/>
  <c r="A493" i="11"/>
  <c r="A473" i="11"/>
  <c r="A457" i="11"/>
  <c r="A441" i="11"/>
  <c r="A425" i="11"/>
  <c r="A409" i="11"/>
  <c r="A393" i="11"/>
  <c r="A377" i="11"/>
  <c r="A361" i="11"/>
  <c r="A345" i="11"/>
  <c r="A329" i="11"/>
  <c r="A313" i="11"/>
  <c r="A297" i="11"/>
  <c r="A281" i="11"/>
  <c r="A265" i="11"/>
  <c r="A249" i="11"/>
  <c r="A233" i="11"/>
  <c r="A217" i="11"/>
  <c r="A201" i="11"/>
  <c r="A779" i="11"/>
  <c r="A631" i="11"/>
  <c r="A545" i="11"/>
  <c r="A464" i="11"/>
  <c r="A400" i="11"/>
  <c r="A366" i="11"/>
  <c r="A344" i="11"/>
  <c r="A323" i="11"/>
  <c r="A302" i="11"/>
  <c r="A280" i="11"/>
  <c r="A259" i="11"/>
  <c r="A238" i="11"/>
  <c r="A216" i="11"/>
  <c r="A196" i="11"/>
  <c r="A180" i="11"/>
  <c r="A164" i="11"/>
  <c r="A772" i="11"/>
  <c r="A756" i="11"/>
  <c r="A740" i="11"/>
  <c r="A724" i="11"/>
  <c r="A708" i="11"/>
  <c r="A692" i="11"/>
  <c r="B49" i="1"/>
  <c r="A1256" i="11"/>
  <c r="A1192" i="11"/>
  <c r="A1128" i="11"/>
  <c r="A1064" i="11"/>
  <c r="A1000" i="11"/>
  <c r="A936" i="11"/>
  <c r="A872" i="11"/>
  <c r="A846" i="11"/>
  <c r="A830" i="11"/>
  <c r="A814" i="11"/>
  <c r="A798" i="11"/>
  <c r="A782" i="11"/>
  <c r="A766" i="11"/>
  <c r="A750" i="11"/>
  <c r="A734" i="11"/>
  <c r="A718" i="11"/>
  <c r="A702" i="11"/>
  <c r="A686" i="11"/>
  <c r="A670" i="11"/>
  <c r="A654" i="11"/>
  <c r="A638" i="11"/>
  <c r="A622" i="11"/>
  <c r="A606" i="11"/>
  <c r="A590" i="11"/>
  <c r="A574" i="11"/>
  <c r="A558" i="11"/>
  <c r="A542" i="11"/>
  <c r="A526" i="11"/>
  <c r="A510" i="11"/>
  <c r="A494" i="11"/>
  <c r="A478" i="11"/>
  <c r="A1164" i="11"/>
  <c r="A908" i="11"/>
  <c r="A807" i="11"/>
  <c r="A743" i="11"/>
  <c r="A683" i="11"/>
  <c r="A661" i="11"/>
  <c r="A640" i="11"/>
  <c r="A619" i="11"/>
  <c r="A597" i="11"/>
  <c r="A576" i="11"/>
  <c r="A555" i="11"/>
  <c r="A533" i="11"/>
  <c r="A512" i="11"/>
  <c r="A491" i="11"/>
  <c r="A471" i="11"/>
  <c r="A455" i="11"/>
  <c r="A439" i="11"/>
  <c r="A423" i="11"/>
  <c r="A407" i="11"/>
  <c r="A391" i="11"/>
  <c r="A1212" i="11"/>
  <c r="A956" i="11"/>
  <c r="A819" i="11"/>
  <c r="A755" i="11"/>
  <c r="A691" i="11"/>
  <c r="A665" i="11"/>
  <c r="A644" i="11"/>
  <c r="A623" i="11"/>
  <c r="A601" i="11"/>
  <c r="A580" i="11"/>
  <c r="A559" i="11"/>
  <c r="A537" i="11"/>
  <c r="A516" i="11"/>
  <c r="A495" i="11"/>
  <c r="A474" i="11"/>
  <c r="A458" i="11"/>
  <c r="A442" i="11"/>
  <c r="A426" i="11"/>
  <c r="A410" i="11"/>
  <c r="A394" i="11"/>
  <c r="A378" i="11"/>
  <c r="A1132" i="11"/>
  <c r="A876" i="11"/>
  <c r="A799" i="11"/>
  <c r="A735" i="11"/>
  <c r="A680" i="11"/>
  <c r="A659" i="11"/>
  <c r="A637" i="11"/>
  <c r="A616" i="11"/>
  <c r="A595" i="11"/>
  <c r="A573" i="11"/>
  <c r="A552" i="11"/>
  <c r="A531" i="11"/>
  <c r="A509" i="11"/>
  <c r="A488" i="11"/>
  <c r="A469" i="11"/>
  <c r="A453" i="11"/>
  <c r="A437" i="11"/>
  <c r="A421" i="11"/>
  <c r="A405" i="11"/>
  <c r="A389" i="11"/>
  <c r="A373" i="11"/>
  <c r="A357" i="11"/>
  <c r="A341" i="11"/>
  <c r="A325" i="11"/>
  <c r="A309" i="11"/>
  <c r="A293" i="11"/>
  <c r="A277" i="11"/>
  <c r="A261" i="11"/>
  <c r="A245" i="11"/>
  <c r="A229" i="11"/>
  <c r="A213" i="11"/>
  <c r="B33" i="1"/>
  <c r="A715" i="11"/>
  <c r="A609" i="11"/>
  <c r="A524" i="11"/>
  <c r="A448" i="11"/>
  <c r="A384" i="11"/>
  <c r="A360" i="11"/>
  <c r="A339" i="11"/>
  <c r="A318" i="11"/>
  <c r="A296" i="11"/>
  <c r="A275" i="11"/>
  <c r="A254" i="11"/>
  <c r="A232" i="11"/>
  <c r="A211" i="11"/>
  <c r="A192" i="11"/>
  <c r="A176" i="11"/>
  <c r="A160" i="11"/>
  <c r="A768" i="11"/>
  <c r="A704" i="11"/>
  <c r="A1176" i="11"/>
  <c r="A920" i="11"/>
  <c r="A810" i="11"/>
  <c r="A746" i="11"/>
  <c r="A682" i="11"/>
  <c r="A618" i="11"/>
  <c r="A554" i="11"/>
  <c r="A490" i="11"/>
  <c r="A791" i="11"/>
  <c r="A635" i="11"/>
  <c r="A549" i="11"/>
  <c r="A467" i="11"/>
  <c r="A403" i="11"/>
  <c r="A803" i="11"/>
  <c r="A639" i="11"/>
  <c r="A553" i="11"/>
  <c r="A470" i="11"/>
  <c r="A406" i="11"/>
  <c r="A847" i="11"/>
  <c r="A653" i="11"/>
  <c r="A568" i="11"/>
  <c r="A483" i="11"/>
  <c r="A417" i="11"/>
  <c r="A353" i="11"/>
  <c r="A289" i="11"/>
  <c r="A225" i="11"/>
  <c r="A588" i="11"/>
  <c r="A355" i="11"/>
  <c r="A270" i="11"/>
  <c r="A188" i="11"/>
  <c r="A144" i="11"/>
  <c r="A128" i="11"/>
  <c r="A112" i="11"/>
  <c r="A96" i="11"/>
  <c r="A80" i="11"/>
  <c r="A64" i="11"/>
  <c r="A48" i="11"/>
  <c r="A32" i="11"/>
  <c r="A16" i="11"/>
  <c r="H2" i="11"/>
  <c r="J3" i="11"/>
  <c r="B33" i="3"/>
  <c r="B17" i="3"/>
  <c r="C45" i="3"/>
  <c r="C29" i="3"/>
  <c r="A988" i="11"/>
  <c r="A668" i="11"/>
  <c r="A583" i="11"/>
  <c r="A497" i="11"/>
  <c r="A428" i="11"/>
  <c r="A375" i="11"/>
  <c r="A354" i="11"/>
  <c r="A332" i="11"/>
  <c r="A311" i="11"/>
  <c r="A290" i="11"/>
  <c r="A268" i="11"/>
  <c r="A247" i="11"/>
  <c r="A226" i="11"/>
  <c r="A204" i="11"/>
  <c r="A187" i="11"/>
  <c r="A171" i="11"/>
  <c r="A155" i="11"/>
  <c r="A139" i="11"/>
  <c r="A123" i="11"/>
  <c r="A107" i="11"/>
  <c r="A91" i="11"/>
  <c r="A75" i="11"/>
  <c r="A59" i="11"/>
  <c r="A43" i="11"/>
  <c r="A27" i="11"/>
  <c r="A11" i="11"/>
  <c r="C2" i="11"/>
  <c r="B44" i="3"/>
  <c r="B28" i="3"/>
  <c r="B12" i="3"/>
  <c r="C40" i="3"/>
  <c r="C24" i="3"/>
  <c r="A811" i="11"/>
  <c r="A641" i="11"/>
  <c r="A556" i="11"/>
  <c r="A472" i="11"/>
  <c r="A408" i="11"/>
  <c r="A368" i="11"/>
  <c r="A347" i="11"/>
  <c r="A326" i="11"/>
  <c r="A304" i="11"/>
  <c r="A283" i="11"/>
  <c r="A262" i="11"/>
  <c r="A240" i="11"/>
  <c r="A219" i="11"/>
  <c r="A198" i="11"/>
  <c r="A182" i="11"/>
  <c r="A166" i="11"/>
  <c r="A150" i="11"/>
  <c r="A134" i="11"/>
  <c r="A118" i="11"/>
  <c r="A102" i="11"/>
  <c r="A86" i="11"/>
  <c r="A70" i="11"/>
  <c r="A54" i="11"/>
  <c r="A38" i="11"/>
  <c r="A22" i="11"/>
  <c r="A6" i="11"/>
  <c r="D3" i="11"/>
  <c r="B39" i="3"/>
  <c r="B23" i="3"/>
  <c r="B7" i="3"/>
  <c r="C35" i="3"/>
  <c r="C19" i="3"/>
  <c r="B47" i="8"/>
  <c r="A679" i="11"/>
  <c r="A379" i="11"/>
  <c r="A292" i="11"/>
  <c r="A207" i="11"/>
  <c r="A141" i="11"/>
  <c r="A77" i="11"/>
  <c r="A13" i="11"/>
  <c r="B14" i="3"/>
  <c r="C10" i="3"/>
  <c r="B34" i="8"/>
  <c r="B18" i="8"/>
  <c r="C29" i="8"/>
  <c r="C42" i="8"/>
  <c r="B11" i="8"/>
  <c r="C46" i="10"/>
  <c r="C30" i="10"/>
  <c r="A752" i="11"/>
  <c r="A688" i="11"/>
  <c r="A1112" i="11"/>
  <c r="A858" i="11"/>
  <c r="A794" i="11"/>
  <c r="A730" i="11"/>
  <c r="A666" i="11"/>
  <c r="A602" i="11"/>
  <c r="A538" i="11"/>
  <c r="B12" i="1"/>
  <c r="A727" i="11"/>
  <c r="A613" i="11"/>
  <c r="A528" i="11"/>
  <c r="A451" i="11"/>
  <c r="A387" i="11"/>
  <c r="A739" i="11"/>
  <c r="A617" i="11"/>
  <c r="A532" i="11"/>
  <c r="A454" i="11"/>
  <c r="A390" i="11"/>
  <c r="A783" i="11"/>
  <c r="A632" i="11"/>
  <c r="A547" i="11"/>
  <c r="A465" i="11"/>
  <c r="A401" i="11"/>
  <c r="A337" i="11"/>
  <c r="A273" i="11"/>
  <c r="A209" i="11"/>
  <c r="A503" i="11"/>
  <c r="A334" i="11"/>
  <c r="A248" i="11"/>
  <c r="A172" i="11"/>
  <c r="A140" i="11"/>
  <c r="A124" i="11"/>
  <c r="A108" i="11"/>
  <c r="A92" i="11"/>
  <c r="A76" i="11"/>
  <c r="A60" i="11"/>
  <c r="A44" i="11"/>
  <c r="A28" i="11"/>
  <c r="A12" i="11"/>
  <c r="K2" i="11"/>
  <c r="B45" i="3"/>
  <c r="B29" i="3"/>
  <c r="B13" i="3"/>
  <c r="C41" i="3"/>
  <c r="A736" i="11"/>
  <c r="B11" i="1"/>
  <c r="A1048" i="11"/>
  <c r="A842" i="11"/>
  <c r="A778" i="11"/>
  <c r="A714" i="11"/>
  <c r="A650" i="11"/>
  <c r="A586" i="11"/>
  <c r="A522" i="11"/>
  <c r="A1100" i="11"/>
  <c r="A677" i="11"/>
  <c r="A592" i="11"/>
  <c r="A507" i="11"/>
  <c r="A435" i="11"/>
  <c r="A1148" i="11"/>
  <c r="A681" i="11"/>
  <c r="A596" i="11"/>
  <c r="A511" i="11"/>
  <c r="A438" i="11"/>
  <c r="D57" i="1"/>
  <c r="A719" i="11"/>
  <c r="A611" i="11"/>
  <c r="A525" i="11"/>
  <c r="A449" i="11"/>
  <c r="A385" i="11"/>
  <c r="A321" i="11"/>
  <c r="A257" i="11"/>
  <c r="A1052" i="11"/>
  <c r="A432" i="11"/>
  <c r="A312" i="11"/>
  <c r="A227" i="11"/>
  <c r="A156" i="11"/>
  <c r="A136" i="11"/>
  <c r="A120" i="11"/>
  <c r="A104" i="11"/>
  <c r="A88" i="11"/>
  <c r="A72" i="11"/>
  <c r="A56" i="11"/>
  <c r="A40" i="11"/>
  <c r="A24" i="11"/>
  <c r="A8" i="11"/>
  <c r="F2" i="11"/>
  <c r="B41" i="3"/>
  <c r="B25" i="3"/>
  <c r="B9" i="3"/>
  <c r="C37" i="3"/>
  <c r="C21" i="3"/>
  <c r="A763" i="11"/>
  <c r="A625" i="11"/>
  <c r="A540" i="11"/>
  <c r="A460" i="11"/>
  <c r="A396" i="11"/>
  <c r="A364" i="11"/>
  <c r="A343" i="11"/>
  <c r="A322" i="11"/>
  <c r="A300" i="11"/>
  <c r="A279" i="11"/>
  <c r="A258" i="11"/>
  <c r="A236" i="11"/>
  <c r="A215" i="11"/>
  <c r="A195" i="11"/>
  <c r="A179" i="11"/>
  <c r="A163" i="11"/>
  <c r="A147" i="11"/>
  <c r="A131" i="11"/>
  <c r="A115" i="11"/>
  <c r="A99" i="11"/>
  <c r="A83" i="11"/>
  <c r="A67" i="11"/>
  <c r="A51" i="11"/>
  <c r="A35" i="11"/>
  <c r="A19" i="11"/>
  <c r="I3" i="11"/>
  <c r="F3" i="11"/>
  <c r="B36" i="3"/>
  <c r="B20" i="3"/>
  <c r="B48" i="3"/>
  <c r="C32" i="3"/>
  <c r="A1180" i="11"/>
  <c r="A684" i="11"/>
  <c r="A599" i="11"/>
  <c r="A513" i="11"/>
  <c r="A440" i="11"/>
  <c r="A380" i="11"/>
  <c r="A358" i="11"/>
  <c r="A336" i="11"/>
  <c r="A315" i="11"/>
  <c r="A294" i="11"/>
  <c r="A272" i="11"/>
  <c r="A251" i="11"/>
  <c r="A230" i="11"/>
  <c r="A208" i="11"/>
  <c r="A190" i="11"/>
  <c r="A174" i="11"/>
  <c r="A158" i="11"/>
  <c r="A142" i="11"/>
  <c r="A126" i="11"/>
  <c r="A110" i="11"/>
  <c r="A94" i="11"/>
  <c r="A78" i="11"/>
  <c r="A62" i="11"/>
  <c r="A46" i="11"/>
  <c r="A30" i="11"/>
  <c r="A14" i="11"/>
  <c r="L3" i="11"/>
  <c r="B47" i="3"/>
  <c r="B31" i="3"/>
  <c r="B15" i="3"/>
  <c r="C43" i="3"/>
  <c r="C27" i="3"/>
  <c r="C11" i="3"/>
  <c r="B39" i="8"/>
  <c r="A508" i="11"/>
  <c r="A335" i="11"/>
  <c r="A250" i="11"/>
  <c r="A173" i="11"/>
  <c r="A109" i="11"/>
  <c r="A45" i="11"/>
  <c r="B46" i="3"/>
  <c r="C26" i="3"/>
  <c r="B44" i="8"/>
  <c r="B26" i="8"/>
  <c r="B50" i="8"/>
  <c r="C13" i="8"/>
  <c r="C26" i="8"/>
  <c r="B7" i="8"/>
  <c r="C38" i="10"/>
  <c r="A720" i="11"/>
  <c r="A1240" i="11"/>
  <c r="A984" i="11"/>
  <c r="A826" i="11"/>
  <c r="A762" i="11"/>
  <c r="A698" i="11"/>
  <c r="A634" i="11"/>
  <c r="A570" i="11"/>
  <c r="A506" i="11"/>
  <c r="A855" i="11"/>
  <c r="A656" i="11"/>
  <c r="A571" i="11"/>
  <c r="A485" i="11"/>
  <c r="A419" i="11"/>
  <c r="A892" i="11"/>
  <c r="A660" i="11"/>
  <c r="A575" i="11"/>
  <c r="A489" i="11"/>
  <c r="A422" i="11"/>
  <c r="A1068" i="11"/>
  <c r="A675" i="11"/>
  <c r="A589" i="11"/>
  <c r="A504" i="11"/>
  <c r="A433" i="11"/>
  <c r="A369" i="11"/>
  <c r="A305" i="11"/>
  <c r="A241" i="11"/>
  <c r="A673" i="11"/>
  <c r="A376" i="11"/>
  <c r="A291" i="11"/>
  <c r="A206" i="11"/>
  <c r="A148" i="11"/>
  <c r="A132" i="11"/>
  <c r="A116" i="11"/>
  <c r="A100" i="11"/>
  <c r="A84" i="11"/>
  <c r="A68" i="11"/>
  <c r="A52" i="11"/>
  <c r="A36" i="11"/>
  <c r="A20" i="11"/>
  <c r="A4" i="11"/>
  <c r="G3" i="11"/>
  <c r="B37" i="3"/>
  <c r="B21" i="3"/>
  <c r="G3" i="3"/>
  <c r="C33" i="3"/>
  <c r="A1244" i="11"/>
  <c r="A699" i="11"/>
  <c r="A604" i="11"/>
  <c r="A519" i="11"/>
  <c r="A444" i="11"/>
  <c r="A383" i="11"/>
  <c r="A359" i="11"/>
  <c r="A338" i="11"/>
  <c r="A316" i="11"/>
  <c r="A295" i="11"/>
  <c r="A274" i="11"/>
  <c r="A252" i="11"/>
  <c r="A231" i="11"/>
  <c r="A210" i="11"/>
  <c r="A191" i="11"/>
  <c r="A175" i="11"/>
  <c r="A159" i="11"/>
  <c r="A143" i="11"/>
  <c r="A127" i="11"/>
  <c r="A111" i="11"/>
  <c r="A95" i="11"/>
  <c r="A79" i="11"/>
  <c r="A63" i="11"/>
  <c r="A47" i="11"/>
  <c r="A31" i="11"/>
  <c r="A15" i="11"/>
  <c r="D2" i="11"/>
  <c r="E2" i="11"/>
  <c r="B32" i="3"/>
  <c r="B16" i="3"/>
  <c r="C44" i="3"/>
  <c r="C28" i="3"/>
  <c r="A924" i="11"/>
  <c r="A663" i="11"/>
  <c r="A577" i="11"/>
  <c r="A492" i="11"/>
  <c r="A424" i="11"/>
  <c r="A374" i="11"/>
  <c r="A352" i="11"/>
  <c r="A331" i="11"/>
  <c r="A310" i="11"/>
  <c r="C25" i="3"/>
  <c r="A476" i="11"/>
  <c r="A327" i="11"/>
  <c r="A242" i="11"/>
  <c r="A167" i="11"/>
  <c r="A103" i="11"/>
  <c r="A39" i="11"/>
  <c r="B40" i="3"/>
  <c r="C20" i="3"/>
  <c r="A456" i="11"/>
  <c r="A320" i="11"/>
  <c r="A267" i="11"/>
  <c r="A224" i="11"/>
  <c r="A186" i="11"/>
  <c r="A154" i="11"/>
  <c r="A122" i="11"/>
  <c r="A90" i="11"/>
  <c r="A58" i="11"/>
  <c r="A26" i="11"/>
  <c r="K3" i="11"/>
  <c r="B27" i="3"/>
  <c r="C39" i="3"/>
  <c r="C7" i="3"/>
  <c r="A436" i="11"/>
  <c r="A228" i="11"/>
  <c r="A93" i="11"/>
  <c r="B30" i="3"/>
  <c r="B38" i="8"/>
  <c r="C37" i="8"/>
  <c r="C18" i="8"/>
  <c r="C34" i="10"/>
  <c r="C14" i="10"/>
  <c r="C6" i="10"/>
  <c r="B13" i="10"/>
  <c r="B18" i="10"/>
  <c r="B34" i="9"/>
  <c r="C37" i="9"/>
  <c r="B21" i="9"/>
  <c r="C38" i="9"/>
  <c r="C44" i="9"/>
  <c r="B9" i="9"/>
  <c r="A572" i="11"/>
  <c r="A351" i="11"/>
  <c r="A266" i="11"/>
  <c r="A185" i="11"/>
  <c r="A121" i="11"/>
  <c r="A57" i="11"/>
  <c r="C3" i="11"/>
  <c r="C38" i="3"/>
  <c r="D3" i="3"/>
  <c r="B29" i="8"/>
  <c r="B13" i="8"/>
  <c r="C19" i="8"/>
  <c r="C32" i="8"/>
  <c r="G3" i="8"/>
  <c r="C41" i="10"/>
  <c r="C25" i="10"/>
  <c r="B44" i="10"/>
  <c r="B11" i="10"/>
  <c r="D3" i="10"/>
  <c r="B39" i="10"/>
  <c r="B24" i="9"/>
  <c r="C27" i="9"/>
  <c r="B6" i="9"/>
  <c r="C18" i="9"/>
  <c r="C24" i="9"/>
  <c r="A795" i="11"/>
  <c r="A404" i="11"/>
  <c r="A303" i="11"/>
  <c r="A218" i="11"/>
  <c r="A149" i="11"/>
  <c r="A85" i="11"/>
  <c r="A21" i="11"/>
  <c r="B22" i="3"/>
  <c r="C13" i="3"/>
  <c r="B36" i="8"/>
  <c r="B20" i="8"/>
  <c r="C33" i="8"/>
  <c r="C46" i="8"/>
  <c r="C14" i="8"/>
  <c r="B48" i="10"/>
  <c r="C32" i="10"/>
  <c r="C16" i="10"/>
  <c r="C8" i="10"/>
  <c r="B21" i="10"/>
  <c r="B26" i="10"/>
  <c r="B38" i="9"/>
  <c r="C41" i="9"/>
  <c r="B29" i="9"/>
  <c r="C46" i="9"/>
  <c r="B43" i="9"/>
  <c r="C40" i="9"/>
  <c r="A298" i="11"/>
  <c r="A17" i="11"/>
  <c r="B19" i="8"/>
  <c r="B50" i="10"/>
  <c r="B17" i="10"/>
  <c r="B25" i="9"/>
  <c r="A615" i="11"/>
  <c r="A129" i="11"/>
  <c r="C6" i="3"/>
  <c r="C36" i="8"/>
  <c r="C11" i="10"/>
  <c r="B28" i="9"/>
  <c r="B7" i="9"/>
  <c r="A255" i="11"/>
  <c r="B3" i="11"/>
  <c r="B48" i="8"/>
  <c r="C39" i="10"/>
  <c r="B43" i="10"/>
  <c r="B47" i="9"/>
  <c r="A97" i="11"/>
  <c r="B48" i="9"/>
  <c r="B23" i="8"/>
  <c r="A234" i="11"/>
  <c r="B38" i="10"/>
  <c r="C17" i="3"/>
  <c r="C12" i="9"/>
  <c r="B34" i="3"/>
  <c r="B23" i="9"/>
  <c r="A348" i="11"/>
  <c r="A183" i="11"/>
  <c r="A55" i="11"/>
  <c r="C36" i="3"/>
  <c r="A235" i="11"/>
  <c r="A130" i="11"/>
  <c r="A34" i="11"/>
  <c r="B50" i="3"/>
  <c r="A271" i="11"/>
  <c r="B5" i="3"/>
  <c r="C42" i="10"/>
  <c r="B29" i="10"/>
  <c r="C45" i="9"/>
  <c r="C8" i="9"/>
  <c r="A137" i="11"/>
  <c r="C9" i="3"/>
  <c r="C40" i="8"/>
  <c r="C29" i="10"/>
  <c r="B8" i="10"/>
  <c r="C35" i="9"/>
  <c r="S3" i="9"/>
  <c r="A239" i="11"/>
  <c r="A101" i="11"/>
  <c r="C18" i="3"/>
  <c r="C8" i="8"/>
  <c r="C36" i="10"/>
  <c r="B37" i="10"/>
  <c r="B45" i="9"/>
  <c r="C20" i="9"/>
  <c r="B35" i="8"/>
  <c r="C39" i="9"/>
  <c r="C46" i="3"/>
  <c r="C26" i="9"/>
  <c r="B27" i="8"/>
  <c r="J3" i="10"/>
  <c r="B20" i="10"/>
  <c r="C35" i="10"/>
  <c r="A827" i="11"/>
  <c r="A412" i="11"/>
  <c r="A306" i="11"/>
  <c r="A220" i="11"/>
  <c r="A151" i="11"/>
  <c r="A87" i="11"/>
  <c r="A23" i="11"/>
  <c r="B24" i="3"/>
  <c r="A747" i="11"/>
  <c r="A392" i="11"/>
  <c r="A299" i="11"/>
  <c r="A256" i="11"/>
  <c r="A214" i="11"/>
  <c r="A178" i="11"/>
  <c r="A146" i="11"/>
  <c r="A114" i="11"/>
  <c r="A82" i="11"/>
  <c r="A50" i="11"/>
  <c r="A18" i="11"/>
  <c r="J2" i="11"/>
  <c r="B19" i="3"/>
  <c r="C31" i="3"/>
  <c r="B43" i="8"/>
  <c r="A356" i="11"/>
  <c r="A189" i="11"/>
  <c r="A61" i="11"/>
  <c r="C42" i="3"/>
  <c r="B30" i="8"/>
  <c r="C21" i="8"/>
  <c r="B5" i="8"/>
  <c r="C26" i="10"/>
  <c r="C10" i="10"/>
  <c r="B27" i="10"/>
  <c r="P3" i="10"/>
  <c r="M3" i="10"/>
  <c r="B26" i="9"/>
  <c r="C29" i="9"/>
  <c r="B8" i="9"/>
  <c r="C22" i="9"/>
  <c r="G3" i="9"/>
  <c r="P3" i="9"/>
  <c r="A487" i="11"/>
  <c r="A330" i="11"/>
  <c r="A244" i="11"/>
  <c r="A169" i="11"/>
  <c r="A105" i="11"/>
  <c r="A41" i="11"/>
  <c r="B42" i="3"/>
  <c r="C22" i="3"/>
  <c r="B42" i="8"/>
  <c r="B25" i="8"/>
  <c r="C43" i="8"/>
  <c r="B9" i="8"/>
  <c r="C24" i="8"/>
  <c r="B6" i="8"/>
  <c r="C37" i="10"/>
  <c r="C21" i="10"/>
  <c r="B28" i="10"/>
  <c r="B41" i="10"/>
  <c r="B46" i="10"/>
  <c r="B50" i="9"/>
  <c r="B16" i="9"/>
  <c r="C19" i="9"/>
  <c r="B35" i="9"/>
  <c r="C11" i="9"/>
  <c r="C36" i="9"/>
  <c r="A636" i="11"/>
  <c r="A367" i="11"/>
  <c r="A282" i="11"/>
  <c r="A197" i="11"/>
  <c r="A133" i="11"/>
  <c r="A69" i="11"/>
  <c r="A5" i="11"/>
  <c r="B6" i="3"/>
  <c r="C8" i="3"/>
  <c r="B32" i="8"/>
  <c r="B16" i="8"/>
  <c r="C25" i="8"/>
  <c r="C38" i="8"/>
  <c r="C7" i="8"/>
  <c r="C44" i="10"/>
  <c r="C28" i="10"/>
  <c r="C12" i="10"/>
  <c r="G3" i="10"/>
  <c r="B7" i="10"/>
  <c r="B10" i="10"/>
  <c r="B30" i="9"/>
  <c r="C33" i="9"/>
  <c r="B12" i="9"/>
  <c r="C30" i="9"/>
  <c r="B11" i="9"/>
  <c r="C10" i="9"/>
  <c r="A212" i="11"/>
  <c r="B18" i="3"/>
  <c r="C31" i="8"/>
  <c r="C31" i="10"/>
  <c r="B22" i="10"/>
  <c r="C42" i="9"/>
  <c r="A362" i="11"/>
  <c r="A65" i="11"/>
  <c r="B31" i="8"/>
  <c r="C6" i="8"/>
  <c r="B31" i="10"/>
  <c r="C31" i="9"/>
  <c r="C6" i="9"/>
  <c r="A177" i="11"/>
  <c r="C30" i="3"/>
  <c r="C15" i="8"/>
  <c r="C23" i="10"/>
  <c r="B23" i="10"/>
  <c r="C14" i="9"/>
  <c r="B40" i="8"/>
  <c r="D3" i="8"/>
  <c r="C7" i="9"/>
  <c r="A263" i="11"/>
  <c r="A342" i="11"/>
  <c r="A162" i="11"/>
  <c r="E3" i="11"/>
  <c r="A593" i="11"/>
  <c r="H3" i="11"/>
  <c r="B14" i="8"/>
  <c r="C18" i="10"/>
  <c r="B34" i="10"/>
  <c r="B37" i="9"/>
  <c r="A657" i="11"/>
  <c r="A202" i="11"/>
  <c r="A9" i="11"/>
  <c r="B17" i="8"/>
  <c r="C10" i="8"/>
  <c r="C13" i="10"/>
  <c r="B14" i="10"/>
  <c r="C34" i="9"/>
  <c r="A324" i="11"/>
  <c r="A37" i="11"/>
  <c r="B24" i="8"/>
  <c r="C22" i="8"/>
  <c r="B24" i="10"/>
  <c r="B46" i="9"/>
  <c r="B27" i="9"/>
  <c r="A388" i="11"/>
  <c r="C12" i="8"/>
  <c r="A193" i="11"/>
  <c r="C27" i="10"/>
  <c r="A49" i="11"/>
  <c r="C23" i="9"/>
  <c r="B41" i="9"/>
  <c r="A647" i="11"/>
  <c r="A370" i="11"/>
  <c r="A284" i="11"/>
  <c r="A199" i="11"/>
  <c r="A135" i="11"/>
  <c r="A71" i="11"/>
  <c r="A7" i="11"/>
  <c r="B8" i="3"/>
  <c r="A620" i="11"/>
  <c r="A363" i="11"/>
  <c r="A288" i="11"/>
  <c r="A246" i="11"/>
  <c r="A203" i="11"/>
  <c r="A170" i="11"/>
  <c r="A138" i="11"/>
  <c r="A106" i="11"/>
  <c r="A74" i="11"/>
  <c r="A42" i="11"/>
  <c r="A10" i="11"/>
  <c r="B43" i="3"/>
  <c r="B11" i="3"/>
  <c r="C23" i="3"/>
  <c r="A1116" i="11"/>
  <c r="A314" i="11"/>
  <c r="A157" i="11"/>
  <c r="A29" i="11"/>
  <c r="C16" i="3"/>
  <c r="B22" i="8"/>
  <c r="C45" i="8"/>
  <c r="C11" i="8"/>
  <c r="C22" i="10"/>
  <c r="B32" i="10"/>
  <c r="B45" i="10"/>
  <c r="B19" i="10"/>
  <c r="B15" i="10"/>
  <c r="B18" i="9"/>
  <c r="C21" i="9"/>
  <c r="B39" i="9"/>
  <c r="C13" i="9"/>
  <c r="B15" i="9"/>
  <c r="A860" i="11"/>
  <c r="A420" i="11"/>
  <c r="A308" i="11"/>
  <c r="A223" i="11"/>
  <c r="A153" i="11"/>
  <c r="A89" i="11"/>
  <c r="A25" i="11"/>
  <c r="B26" i="3"/>
  <c r="C14" i="3"/>
  <c r="B37" i="8"/>
  <c r="B21" i="8"/>
  <c r="C35" i="8"/>
  <c r="B8" i="8"/>
  <c r="C16" i="8"/>
  <c r="J3" i="8"/>
  <c r="C33" i="10"/>
  <c r="C17" i="10"/>
  <c r="B12" i="10"/>
  <c r="B25" i="10"/>
  <c r="B30" i="10"/>
  <c r="B40" i="9"/>
  <c r="C43" i="9"/>
  <c r="B33" i="9"/>
  <c r="B17" i="9"/>
  <c r="J3" i="9"/>
  <c r="D3" i="9"/>
  <c r="A551" i="11"/>
  <c r="A346" i="11"/>
  <c r="A260" i="11"/>
  <c r="A181" i="11"/>
  <c r="A117" i="11"/>
  <c r="A53" i="11"/>
  <c r="G2" i="11"/>
  <c r="C34" i="3"/>
  <c r="B46" i="8"/>
  <c r="B28" i="8"/>
  <c r="B12" i="8"/>
  <c r="C17" i="8"/>
  <c r="C30" i="8"/>
  <c r="B10" i="8"/>
  <c r="C40" i="10"/>
  <c r="C24" i="10"/>
  <c r="B40" i="10"/>
  <c r="B9" i="10"/>
  <c r="B47" i="10"/>
  <c r="B35" i="10"/>
  <c r="B22" i="9"/>
  <c r="C25" i="9"/>
  <c r="M3" i="9"/>
  <c r="C17" i="9"/>
  <c r="C15" i="9"/>
  <c r="A731" i="11"/>
  <c r="A145" i="11"/>
  <c r="C12" i="3"/>
  <c r="C44" i="8"/>
  <c r="C15" i="10"/>
  <c r="B36" i="9"/>
  <c r="B31" i="9"/>
  <c r="A276" i="11"/>
  <c r="L2" i="11"/>
  <c r="B15" i="8"/>
  <c r="C43" i="10"/>
  <c r="B6" i="10"/>
  <c r="B10" i="9"/>
  <c r="A529" i="11"/>
  <c r="A113" i="11"/>
  <c r="B45" i="8"/>
  <c r="C28" i="8"/>
  <c r="B36" i="10"/>
  <c r="B20" i="9"/>
  <c r="C28" i="9"/>
  <c r="C20" i="8"/>
  <c r="A319" i="11"/>
  <c r="B33" i="10"/>
  <c r="C39" i="8"/>
  <c r="A161" i="11"/>
  <c r="C19" i="10"/>
  <c r="A561" i="11"/>
  <c r="A119" i="11"/>
  <c r="I2" i="11"/>
  <c r="A535" i="11"/>
  <c r="A278" i="11"/>
  <c r="A194" i="11"/>
  <c r="A98" i="11"/>
  <c r="A66" i="11"/>
  <c r="B35" i="3"/>
  <c r="C15" i="3"/>
  <c r="A125" i="11"/>
  <c r="C34" i="8"/>
  <c r="B16" i="10"/>
  <c r="B42" i="9"/>
  <c r="B19" i="9"/>
  <c r="B5" i="9"/>
  <c r="A372" i="11"/>
  <c r="A287" i="11"/>
  <c r="A73" i="11"/>
  <c r="B10" i="3"/>
  <c r="B33" i="8"/>
  <c r="C27" i="8"/>
  <c r="C45" i="10"/>
  <c r="B5" i="10"/>
  <c r="B32" i="9"/>
  <c r="C16" i="9"/>
  <c r="C32" i="9"/>
  <c r="A468" i="11"/>
  <c r="A165" i="11"/>
  <c r="B38" i="3"/>
  <c r="B41" i="8"/>
  <c r="C41" i="8"/>
  <c r="P3" i="8"/>
  <c r="C20" i="10"/>
  <c r="B42" i="10"/>
  <c r="B14" i="9"/>
  <c r="C9" i="9"/>
  <c r="A81" i="11"/>
  <c r="C7" i="10"/>
  <c r="B13" i="9"/>
  <c r="C23" i="8"/>
  <c r="C9" i="10"/>
  <c r="A340" i="11"/>
  <c r="C9" i="8"/>
  <c r="A452" i="11"/>
  <c r="A33" i="11"/>
  <c r="B44" i="9"/>
  <c r="M3" i="8"/>
  <c r="E23" i="1"/>
  <c r="H171" i="11"/>
  <c r="H126" i="11"/>
  <c r="E34" i="1"/>
  <c r="H34" i="1"/>
  <c r="F45" i="1"/>
  <c r="C13" i="1"/>
  <c r="K136" i="11"/>
  <c r="H82" i="11"/>
  <c r="D62" i="1"/>
  <c r="F32" i="1"/>
  <c r="E37" i="1"/>
  <c r="C174" i="11"/>
  <c r="C214" i="11"/>
  <c r="C151" i="11"/>
  <c r="E13" i="1"/>
  <c r="H112" i="11"/>
  <c r="K140" i="11"/>
  <c r="C143" i="11"/>
  <c r="C204" i="11"/>
  <c r="G14" i="11"/>
  <c r="H31" i="11"/>
  <c r="K80" i="11"/>
  <c r="C16" i="11"/>
  <c r="C59" i="11"/>
  <c r="K24" i="11"/>
  <c r="G59" i="1"/>
  <c r="L87" i="11"/>
  <c r="F50" i="1"/>
  <c r="K197" i="11"/>
  <c r="K137" i="11"/>
  <c r="I54" i="1"/>
  <c r="E8" i="1"/>
  <c r="D25" i="1"/>
  <c r="E45" i="1"/>
  <c r="I50" i="1"/>
  <c r="H105" i="11"/>
  <c r="H160" i="11"/>
  <c r="H36" i="1"/>
  <c r="E7" i="1"/>
  <c r="K176" i="11"/>
  <c r="H156" i="11"/>
  <c r="H152" i="11"/>
  <c r="E28" i="1"/>
  <c r="F36" i="1"/>
  <c r="G53" i="1"/>
  <c r="D52" i="1"/>
  <c r="G199" i="11"/>
  <c r="C154" i="11"/>
  <c r="H78" i="11"/>
  <c r="H183" i="11"/>
  <c r="C176" i="11"/>
  <c r="H27" i="11"/>
  <c r="G127" i="11"/>
  <c r="G59" i="11"/>
  <c r="H29" i="11"/>
  <c r="F182" i="11"/>
  <c r="G216" i="11"/>
  <c r="G141" i="11"/>
  <c r="L6" i="11"/>
  <c r="K208" i="11"/>
  <c r="E36" i="1"/>
  <c r="K174" i="11"/>
  <c r="D41" i="1"/>
  <c r="F48" i="1"/>
  <c r="D47" i="1"/>
  <c r="H154" i="11"/>
  <c r="H188" i="11"/>
  <c r="H128" i="11"/>
  <c r="E51" i="1"/>
  <c r="E33" i="1"/>
  <c r="H54" i="1"/>
  <c r="H123" i="11"/>
  <c r="H120" i="11"/>
  <c r="H39" i="1"/>
  <c r="H59" i="1"/>
  <c r="G171" i="11"/>
  <c r="H135" i="11"/>
  <c r="C50" i="1"/>
  <c r="E50" i="1"/>
  <c r="K145" i="11"/>
  <c r="K201" i="11"/>
  <c r="H42" i="11"/>
  <c r="C57" i="11"/>
  <c r="G117" i="11"/>
  <c r="K139" i="11"/>
  <c r="C64" i="11"/>
  <c r="C42" i="11"/>
  <c r="K15" i="11"/>
  <c r="N35" i="9"/>
  <c r="H31" i="9"/>
  <c r="H60" i="1"/>
  <c r="H70" i="11"/>
  <c r="L51" i="11"/>
  <c r="H216" i="11"/>
  <c r="H200" i="11"/>
  <c r="C60" i="1"/>
  <c r="H47" i="1"/>
  <c r="H132" i="11"/>
  <c r="D21" i="1"/>
  <c r="E61" i="1"/>
  <c r="C158" i="11"/>
  <c r="H114" i="11"/>
  <c r="D67" i="1"/>
  <c r="H88" i="11"/>
  <c r="C8" i="1"/>
  <c r="H33" i="1"/>
  <c r="C150" i="11"/>
  <c r="G52" i="1"/>
  <c r="H180" i="11"/>
  <c r="C21" i="1"/>
  <c r="H52" i="1"/>
  <c r="K94" i="11"/>
  <c r="C60" i="11"/>
  <c r="C18" i="11"/>
  <c r="K103" i="11"/>
  <c r="K178" i="11"/>
  <c r="C17" i="11"/>
  <c r="K37" i="9"/>
  <c r="J17" i="9"/>
  <c r="G122" i="11"/>
  <c r="L205" i="11"/>
  <c r="F64" i="1"/>
  <c r="L122" i="11"/>
  <c r="C132" i="11"/>
  <c r="G197" i="11"/>
  <c r="F4" i="11"/>
  <c r="K138" i="11"/>
  <c r="H213" i="11"/>
  <c r="L21" i="11"/>
  <c r="C107" i="11"/>
  <c r="C85" i="11"/>
  <c r="T33" i="9"/>
  <c r="C78" i="11"/>
  <c r="E22" i="1"/>
  <c r="H137" i="11"/>
  <c r="H148" i="11"/>
  <c r="G105" i="11"/>
  <c r="E53" i="1"/>
  <c r="K187" i="11"/>
  <c r="E35" i="1"/>
  <c r="G182" i="11"/>
  <c r="C185" i="11"/>
  <c r="G128" i="11"/>
  <c r="P5" i="8"/>
  <c r="B213" i="11"/>
  <c r="B142" i="11"/>
  <c r="B125" i="11"/>
  <c r="K8" i="3"/>
  <c r="B164" i="11"/>
  <c r="S14" i="9"/>
  <c r="C166" i="11"/>
  <c r="C41" i="11"/>
  <c r="C121" i="11"/>
  <c r="H189" i="11"/>
  <c r="D8" i="1"/>
  <c r="C189" i="11"/>
  <c r="H26" i="11"/>
  <c r="C102" i="11"/>
  <c r="F52" i="11"/>
  <c r="C94" i="11"/>
  <c r="P31" i="9"/>
  <c r="K196" i="11"/>
  <c r="G187" i="11"/>
  <c r="L155" i="11"/>
  <c r="G169" i="11"/>
  <c r="G189" i="11"/>
  <c r="C25" i="11"/>
  <c r="C160" i="11"/>
  <c r="K23" i="11"/>
  <c r="C136" i="11"/>
  <c r="F213" i="11"/>
  <c r="F76" i="11"/>
  <c r="G58" i="11"/>
  <c r="K21" i="9"/>
  <c r="K56" i="11"/>
  <c r="F96" i="11"/>
  <c r="B123" i="11"/>
  <c r="P6" i="10"/>
  <c r="L140" i="11"/>
  <c r="H101" i="11"/>
  <c r="G21" i="11"/>
  <c r="G81" i="11"/>
  <c r="G55" i="11"/>
  <c r="C52" i="11"/>
  <c r="K32" i="11"/>
  <c r="H58" i="1"/>
  <c r="K37" i="11"/>
  <c r="F185" i="11"/>
  <c r="L114" i="11"/>
  <c r="K6" i="10"/>
  <c r="C61" i="1"/>
  <c r="H103" i="11"/>
  <c r="G135" i="11"/>
  <c r="H47" i="11"/>
  <c r="K109" i="11"/>
  <c r="G96" i="11"/>
  <c r="K107" i="11"/>
  <c r="G94" i="11"/>
  <c r="K78" i="11"/>
  <c r="C74" i="11"/>
  <c r="J43" i="9"/>
  <c r="B127" i="11"/>
  <c r="G53" i="11"/>
  <c r="C34" i="11"/>
  <c r="C28" i="11"/>
  <c r="L146" i="11"/>
  <c r="C205" i="11"/>
  <c r="F129" i="11"/>
  <c r="K83" i="11"/>
  <c r="G26" i="10"/>
  <c r="P47" i="9"/>
  <c r="H166" i="11"/>
  <c r="L99" i="11"/>
  <c r="H121" i="11"/>
  <c r="K147" i="11"/>
  <c r="K74" i="11"/>
  <c r="G71" i="11"/>
  <c r="G73" i="11"/>
  <c r="C70" i="11"/>
  <c r="G49" i="11"/>
  <c r="K52" i="11"/>
  <c r="T21" i="9"/>
  <c r="B85" i="11"/>
  <c r="B30" i="11"/>
  <c r="F166" i="11"/>
  <c r="H209" i="11"/>
  <c r="F14" i="11"/>
  <c r="B184" i="11"/>
  <c r="L136" i="11"/>
  <c r="K151" i="11"/>
  <c r="G22" i="11"/>
  <c r="K30" i="11"/>
  <c r="K106" i="11"/>
  <c r="F115" i="11"/>
  <c r="B60" i="11"/>
  <c r="K44" i="11"/>
  <c r="D14" i="9"/>
  <c r="K10" i="3"/>
  <c r="H21" i="9"/>
  <c r="F90" i="11"/>
  <c r="J26" i="10"/>
  <c r="F54" i="11"/>
  <c r="T32" i="9"/>
  <c r="F92" i="11"/>
  <c r="Q18" i="9"/>
  <c r="G24" i="9"/>
  <c r="H42" i="10"/>
  <c r="D51" i="1"/>
  <c r="G168" i="11"/>
  <c r="B81" i="11"/>
  <c r="H47" i="3"/>
  <c r="G126" i="11"/>
  <c r="P39" i="9"/>
  <c r="T18" i="9"/>
  <c r="D12" i="1"/>
  <c r="C47" i="1"/>
  <c r="K184" i="11"/>
  <c r="H90" i="11"/>
  <c r="K204" i="11"/>
  <c r="H192" i="11"/>
  <c r="C58" i="1"/>
  <c r="D9" i="1"/>
  <c r="C198" i="11"/>
  <c r="F63" i="1"/>
  <c r="H184" i="11"/>
  <c r="C54" i="1"/>
  <c r="E41" i="1"/>
  <c r="H64" i="1"/>
  <c r="H45" i="1"/>
  <c r="D13" i="1"/>
  <c r="D22" i="1"/>
  <c r="G176" i="11"/>
  <c r="K158" i="11"/>
  <c r="K90" i="11"/>
  <c r="C82" i="11"/>
  <c r="C12" i="11"/>
  <c r="H58" i="11"/>
  <c r="C81" i="11"/>
  <c r="K13" i="3"/>
  <c r="K21" i="3"/>
  <c r="K6" i="11"/>
  <c r="H63" i="1"/>
  <c r="H37" i="1"/>
  <c r="L61" i="11"/>
  <c r="C196" i="11"/>
  <c r="L25" i="11"/>
  <c r="H136" i="11"/>
  <c r="F39" i="1"/>
  <c r="D54" i="1"/>
  <c r="H56" i="11"/>
  <c r="D58" i="1"/>
  <c r="H139" i="11"/>
  <c r="H150" i="11"/>
  <c r="G40" i="1"/>
  <c r="D26" i="1"/>
  <c r="G41" i="1"/>
  <c r="H107" i="11"/>
  <c r="H174" i="11"/>
  <c r="C19" i="1"/>
  <c r="C210" i="11"/>
  <c r="H54" i="11"/>
  <c r="H36" i="11"/>
  <c r="H102" i="11"/>
  <c r="K149" i="11"/>
  <c r="G137" i="11"/>
  <c r="H39" i="11"/>
  <c r="K60" i="11"/>
  <c r="G210" i="11"/>
  <c r="C163" i="11"/>
  <c r="K59" i="11"/>
  <c r="N46" i="9"/>
  <c r="K50" i="9"/>
  <c r="C105" i="11"/>
  <c r="L204" i="11"/>
  <c r="K209" i="11"/>
  <c r="H91" i="11"/>
  <c r="G89" i="11"/>
  <c r="C6" i="1"/>
  <c r="F40" i="1"/>
  <c r="E60" i="1"/>
  <c r="H115" i="11"/>
  <c r="E15" i="1"/>
  <c r="C186" i="11"/>
  <c r="H118" i="11"/>
  <c r="H67" i="1"/>
  <c r="H100" i="11"/>
  <c r="F65" i="1"/>
  <c r="H24" i="11"/>
  <c r="H142" i="11"/>
  <c r="E65" i="1"/>
  <c r="C53" i="1"/>
  <c r="H124" i="11"/>
  <c r="E58" i="1"/>
  <c r="C12" i="1"/>
  <c r="H38" i="11"/>
  <c r="G201" i="11"/>
  <c r="K146" i="11"/>
  <c r="C145" i="11"/>
  <c r="G88" i="11"/>
  <c r="C38" i="11"/>
  <c r="C141" i="11"/>
  <c r="F60" i="11"/>
  <c r="F142" i="11"/>
  <c r="C122" i="11"/>
  <c r="L86" i="11"/>
  <c r="F49" i="1"/>
  <c r="G144" i="11"/>
  <c r="G153" i="11"/>
  <c r="C168" i="11"/>
  <c r="D15" i="1"/>
  <c r="H158" i="11"/>
  <c r="C46" i="1"/>
  <c r="G37" i="1"/>
  <c r="C9" i="1"/>
  <c r="E38" i="1"/>
  <c r="G47" i="1"/>
  <c r="H10" i="11"/>
  <c r="H48" i="1"/>
  <c r="C202" i="11"/>
  <c r="H110" i="11"/>
  <c r="E25" i="1"/>
  <c r="H196" i="11"/>
  <c r="C162" i="11"/>
  <c r="H153" i="11"/>
  <c r="K144" i="11"/>
  <c r="F37" i="1"/>
  <c r="C72" i="11"/>
  <c r="C134" i="11"/>
  <c r="K202" i="11"/>
  <c r="C13" i="11"/>
  <c r="H63" i="11"/>
  <c r="C114" i="11"/>
  <c r="C131" i="11"/>
  <c r="F120" i="11"/>
  <c r="F38" i="11"/>
  <c r="H198" i="11"/>
  <c r="D28" i="1"/>
  <c r="H185" i="11"/>
  <c r="C169" i="11"/>
  <c r="C201" i="11"/>
  <c r="G103" i="11"/>
  <c r="K116" i="11"/>
  <c r="G75" i="11"/>
  <c r="C32" i="11"/>
  <c r="G15" i="11"/>
  <c r="K93" i="11"/>
  <c r="F206" i="11"/>
  <c r="F26" i="11"/>
  <c r="H163" i="11"/>
  <c r="H92" i="11"/>
  <c r="H52" i="11"/>
  <c r="G111" i="11"/>
  <c r="K46" i="11"/>
  <c r="C50" i="11"/>
  <c r="C44" i="11"/>
  <c r="K48" i="11"/>
  <c r="K26" i="11"/>
  <c r="G31" i="11"/>
  <c r="P34" i="9"/>
  <c r="G64" i="11"/>
  <c r="K16" i="3"/>
  <c r="F110" i="11"/>
  <c r="C192" i="11"/>
  <c r="H14" i="9"/>
  <c r="F141" i="11"/>
  <c r="L123" i="11"/>
  <c r="G181" i="11"/>
  <c r="G48" i="3"/>
  <c r="C73" i="11"/>
  <c r="L17" i="11"/>
  <c r="G50" i="11"/>
  <c r="C144" i="11"/>
  <c r="D7" i="1"/>
  <c r="G42" i="9"/>
  <c r="F30" i="11"/>
  <c r="C67" i="1"/>
  <c r="L172" i="11"/>
  <c r="G188" i="11"/>
  <c r="L52" i="11"/>
  <c r="C84" i="11"/>
  <c r="G174" i="11"/>
  <c r="K124" i="11"/>
  <c r="K163" i="11"/>
  <c r="C123" i="11"/>
  <c r="C115" i="11"/>
  <c r="K99" i="11"/>
  <c r="N16" i="9"/>
  <c r="B171" i="11"/>
  <c r="F99" i="11"/>
  <c r="B83" i="11"/>
  <c r="M21" i="10"/>
  <c r="F105" i="11"/>
  <c r="H73" i="11"/>
  <c r="C167" i="11"/>
  <c r="G166" i="11"/>
  <c r="C26" i="11"/>
  <c r="G194" i="11"/>
  <c r="G35" i="1"/>
  <c r="C125" i="11"/>
  <c r="K141" i="11"/>
  <c r="K75" i="11"/>
  <c r="F20" i="11"/>
  <c r="Q30" i="8"/>
  <c r="G74" i="11"/>
  <c r="E54" i="1"/>
  <c r="E21" i="1"/>
  <c r="H62" i="11"/>
  <c r="K185" i="11"/>
  <c r="G61" i="11"/>
  <c r="B206" i="11"/>
  <c r="L179" i="11"/>
  <c r="B204" i="11"/>
  <c r="I47" i="1"/>
  <c r="H125" i="11"/>
  <c r="B185" i="11"/>
  <c r="H49" i="11"/>
  <c r="F113" i="11"/>
  <c r="C127" i="11"/>
  <c r="C211" i="11"/>
  <c r="K96" i="11"/>
  <c r="C200" i="11"/>
  <c r="G54" i="11"/>
  <c r="G8" i="10"/>
  <c r="F126" i="11"/>
  <c r="L29" i="11"/>
  <c r="L183" i="11"/>
  <c r="L169" i="11"/>
  <c r="C10" i="11"/>
  <c r="C159" i="11"/>
  <c r="L211" i="11"/>
  <c r="H77" i="11"/>
  <c r="H172" i="11"/>
  <c r="H69" i="11"/>
  <c r="E49" i="1"/>
  <c r="K183" i="11"/>
  <c r="B153" i="11"/>
  <c r="C63" i="11"/>
  <c r="F62" i="11"/>
  <c r="K198" i="11"/>
  <c r="G16" i="10"/>
  <c r="G178" i="11"/>
  <c r="F179" i="11"/>
  <c r="F29" i="11"/>
  <c r="C155" i="11"/>
  <c r="H66" i="11"/>
  <c r="F150" i="11"/>
  <c r="K19" i="9"/>
  <c r="C30" i="11"/>
  <c r="H50" i="9"/>
  <c r="B79" i="11"/>
  <c r="B113" i="11"/>
  <c r="B20" i="11"/>
  <c r="B66" i="11"/>
  <c r="M36" i="9"/>
  <c r="M48" i="9"/>
  <c r="G19" i="8"/>
  <c r="D21" i="9"/>
  <c r="Q47" i="9"/>
  <c r="E43" i="9"/>
  <c r="B96" i="11"/>
  <c r="J27" i="10"/>
  <c r="H10" i="10"/>
  <c r="L35" i="11"/>
  <c r="C111" i="11"/>
  <c r="H50" i="11"/>
  <c r="C47" i="11"/>
  <c r="G115" i="11"/>
  <c r="G24" i="11"/>
  <c r="B173" i="11"/>
  <c r="D6" i="1"/>
  <c r="G49" i="1"/>
  <c r="C26" i="1"/>
  <c r="I48" i="1"/>
  <c r="F52" i="1"/>
  <c r="H61" i="1"/>
  <c r="H182" i="11"/>
  <c r="I383" i="11"/>
  <c r="C37" i="1"/>
  <c r="H5" i="11"/>
  <c r="C23" i="1"/>
  <c r="H206" i="11"/>
  <c r="I51" i="1"/>
  <c r="H32" i="1"/>
  <c r="D20" i="1"/>
  <c r="H68" i="11"/>
  <c r="C25" i="1"/>
  <c r="G54" i="1"/>
  <c r="H197" i="11"/>
  <c r="K34" i="11"/>
  <c r="C194" i="11"/>
  <c r="C77" i="11"/>
  <c r="K150" i="11"/>
  <c r="F197" i="11"/>
  <c r="G20" i="11"/>
  <c r="C197" i="11"/>
  <c r="F208" i="11"/>
  <c r="C59" i="1"/>
  <c r="H35" i="1"/>
  <c r="H212" i="11"/>
  <c r="K110" i="11"/>
  <c r="G34" i="1"/>
  <c r="K148" i="11"/>
  <c r="H94" i="11"/>
  <c r="H186" i="11"/>
  <c r="E48" i="1"/>
  <c r="F60" i="1"/>
  <c r="G60" i="1"/>
  <c r="H99" i="11"/>
  <c r="H178" i="11"/>
  <c r="H80" i="11"/>
  <c r="D35" i="1"/>
  <c r="G159" i="11"/>
  <c r="H195" i="11"/>
  <c r="H106" i="11"/>
  <c r="H40" i="11"/>
  <c r="G160" i="11"/>
  <c r="F53" i="1"/>
  <c r="C24" i="1"/>
  <c r="H84" i="11"/>
  <c r="G190" i="11"/>
  <c r="G13" i="11"/>
  <c r="H34" i="11"/>
  <c r="K55" i="11"/>
  <c r="K122" i="11"/>
  <c r="H43" i="11"/>
  <c r="K157" i="11"/>
  <c r="K25" i="11"/>
  <c r="F137" i="11"/>
  <c r="G211" i="11"/>
  <c r="E6" i="1"/>
  <c r="L14" i="11"/>
  <c r="C90" i="11"/>
  <c r="C28" i="1"/>
  <c r="H38" i="1"/>
  <c r="G62" i="1"/>
  <c r="C51" i="1"/>
  <c r="E12" i="1"/>
  <c r="H50" i="1"/>
  <c r="K200" i="11"/>
  <c r="H146" i="11"/>
  <c r="H48" i="11"/>
  <c r="F59" i="1"/>
  <c r="C138" i="11"/>
  <c r="C7" i="11"/>
  <c r="H202" i="11"/>
  <c r="E26" i="1"/>
  <c r="H18" i="11"/>
  <c r="C191" i="11"/>
  <c r="G147" i="11"/>
  <c r="F61" i="1"/>
  <c r="C116" i="11"/>
  <c r="K91" i="11"/>
  <c r="G39" i="11"/>
  <c r="G132" i="11"/>
  <c r="C208" i="11"/>
  <c r="G38" i="11"/>
  <c r="Q22" i="9"/>
  <c r="H39" i="9"/>
  <c r="C22" i="11"/>
  <c r="E46" i="1"/>
  <c r="D11" i="1"/>
  <c r="K156" i="11"/>
  <c r="H79" i="11"/>
  <c r="C63" i="1"/>
  <c r="G61" i="1"/>
  <c r="H131" i="11"/>
  <c r="H122" i="11"/>
  <c r="C49" i="1"/>
  <c r="H96" i="11"/>
  <c r="H214" i="11"/>
  <c r="G50" i="1"/>
  <c r="C146" i="11"/>
  <c r="H49" i="1"/>
  <c r="G48" i="1"/>
  <c r="G195" i="11"/>
  <c r="H170" i="11"/>
  <c r="H169" i="11"/>
  <c r="C203" i="11"/>
  <c r="K169" i="11"/>
  <c r="H22" i="11"/>
  <c r="C175" i="11"/>
  <c r="G152" i="11"/>
  <c r="K35" i="11"/>
  <c r="C88" i="11"/>
  <c r="K108" i="11"/>
  <c r="G37" i="11"/>
  <c r="K20" i="11"/>
  <c r="G112" i="11"/>
  <c r="M45" i="9"/>
  <c r="L215" i="11"/>
  <c r="L201" i="11"/>
  <c r="H30" i="11"/>
  <c r="G164" i="11"/>
  <c r="G45" i="11"/>
  <c r="G29" i="11"/>
  <c r="G36" i="1"/>
  <c r="H157" i="11"/>
  <c r="K172" i="11"/>
  <c r="G130" i="11"/>
  <c r="F86" i="11"/>
  <c r="C14" i="11"/>
  <c r="T16" i="9"/>
  <c r="D59" i="1"/>
  <c r="D10" i="1"/>
  <c r="G192" i="11"/>
  <c r="F38" i="1"/>
  <c r="H204" i="11"/>
  <c r="C173" i="11"/>
  <c r="H145" i="11"/>
  <c r="K167" i="11"/>
  <c r="K205" i="11"/>
  <c r="G123" i="11"/>
  <c r="B121" i="11"/>
  <c r="L44" i="11"/>
  <c r="F18" i="11"/>
  <c r="G85" i="11"/>
  <c r="K35" i="9"/>
  <c r="K47" i="11"/>
  <c r="F136" i="11"/>
  <c r="K9" i="3"/>
  <c r="C164" i="11"/>
  <c r="K39" i="11"/>
  <c r="C140" i="11"/>
  <c r="C38" i="1"/>
  <c r="G109" i="11"/>
  <c r="K203" i="11"/>
  <c r="K123" i="11"/>
  <c r="G79" i="11"/>
  <c r="D60" i="1"/>
  <c r="J38" i="9"/>
  <c r="K12" i="11"/>
  <c r="C190" i="11"/>
  <c r="H193" i="11"/>
  <c r="C6" i="11"/>
  <c r="C83" i="11"/>
  <c r="C24" i="11"/>
  <c r="K28" i="11"/>
  <c r="K22" i="11"/>
  <c r="F41" i="1"/>
  <c r="B210" i="11"/>
  <c r="G5" i="11"/>
  <c r="D13" i="9"/>
  <c r="F169" i="11"/>
  <c r="D25" i="9"/>
  <c r="F58" i="11"/>
  <c r="G64" i="1"/>
  <c r="P26" i="9"/>
  <c r="F98" i="11"/>
  <c r="H15" i="11"/>
  <c r="H71" i="11"/>
  <c r="M25" i="9"/>
  <c r="K51" i="11"/>
  <c r="K194" i="11"/>
  <c r="C29" i="11"/>
  <c r="K114" i="11"/>
  <c r="K7" i="11"/>
  <c r="L45" i="11"/>
  <c r="J11" i="9"/>
  <c r="C87" i="11"/>
  <c r="E24" i="1"/>
  <c r="G58" i="1"/>
  <c r="D61" i="1"/>
  <c r="L43" i="11"/>
  <c r="C195" i="11"/>
  <c r="G91" i="11"/>
  <c r="H111" i="11"/>
  <c r="K89" i="11"/>
  <c r="H8" i="11"/>
  <c r="G70" i="11"/>
  <c r="G108" i="11"/>
  <c r="C92" i="11"/>
  <c r="N14" i="9"/>
  <c r="G30" i="11"/>
  <c r="K166" i="11"/>
  <c r="F215" i="11"/>
  <c r="K86" i="11"/>
  <c r="K135" i="11"/>
  <c r="D32" i="9"/>
  <c r="M11" i="9"/>
  <c r="I49" i="1"/>
  <c r="H176" i="11"/>
  <c r="H162" i="11"/>
  <c r="H127" i="11"/>
  <c r="C212" i="11"/>
  <c r="H143" i="11"/>
  <c r="K67" i="11"/>
  <c r="C216" i="11"/>
  <c r="G66" i="11"/>
  <c r="G193" i="11"/>
  <c r="C49" i="11"/>
  <c r="G16" i="11"/>
  <c r="K62" i="11"/>
  <c r="T25" i="9"/>
  <c r="C53" i="11"/>
  <c r="B182" i="11"/>
  <c r="B207" i="11"/>
  <c r="B26" i="11"/>
  <c r="J33" i="9"/>
  <c r="L75" i="11"/>
  <c r="G146" i="11"/>
  <c r="C36" i="11"/>
  <c r="F171" i="11"/>
  <c r="F192" i="11"/>
  <c r="C79" i="11"/>
  <c r="N43" i="9"/>
  <c r="F50" i="11"/>
  <c r="G25" i="11"/>
  <c r="P22" i="9"/>
  <c r="H53" i="11"/>
  <c r="K49" i="11"/>
  <c r="S22" i="9"/>
  <c r="F157" i="11"/>
  <c r="Q44" i="10"/>
  <c r="C20" i="11"/>
  <c r="H45" i="9"/>
  <c r="J21" i="8"/>
  <c r="F33" i="1"/>
  <c r="K173" i="11"/>
  <c r="L81" i="11"/>
  <c r="F8" i="11"/>
  <c r="B12" i="11"/>
  <c r="H43" i="9"/>
  <c r="G47" i="3"/>
  <c r="B102" i="11"/>
  <c r="H168" i="11"/>
  <c r="F46" i="1"/>
  <c r="H201" i="11"/>
  <c r="H138" i="11"/>
  <c r="K188" i="11"/>
  <c r="G173" i="11"/>
  <c r="K14" i="11"/>
  <c r="E32" i="1"/>
  <c r="D23" i="1"/>
  <c r="E64" i="1"/>
  <c r="H167" i="11"/>
  <c r="K192" i="11"/>
  <c r="H32" i="11"/>
  <c r="G145" i="11"/>
  <c r="G107" i="11"/>
  <c r="C171" i="11"/>
  <c r="H190" i="11"/>
  <c r="H51" i="1"/>
  <c r="F34" i="1"/>
  <c r="C215" i="11"/>
  <c r="C178" i="11"/>
  <c r="G34" i="11"/>
  <c r="F163" i="11"/>
  <c r="G196" i="11"/>
  <c r="H46" i="1"/>
  <c r="H86" i="11"/>
  <c r="C39" i="1"/>
  <c r="H191" i="11"/>
  <c r="K118" i="11"/>
  <c r="C109" i="11"/>
  <c r="H208" i="11"/>
  <c r="I45" i="1"/>
  <c r="C172" i="11"/>
  <c r="K84" i="11"/>
  <c r="K190" i="11"/>
  <c r="C45" i="11"/>
  <c r="L16" i="11"/>
  <c r="B165" i="11"/>
  <c r="G158" i="11"/>
  <c r="C54" i="11"/>
  <c r="F152" i="11"/>
  <c r="H87" i="11"/>
  <c r="C118" i="11"/>
  <c r="G205" i="11"/>
  <c r="C193" i="11"/>
  <c r="G43" i="11"/>
  <c r="C130" i="11"/>
  <c r="K47" i="3"/>
  <c r="F54" i="1"/>
  <c r="K130" i="11"/>
  <c r="F44" i="11"/>
  <c r="K195" i="11"/>
  <c r="C120" i="11"/>
  <c r="H164" i="11"/>
  <c r="H117" i="11"/>
  <c r="G198" i="11"/>
  <c r="B167" i="11"/>
  <c r="L150" i="11"/>
  <c r="J6" i="10"/>
  <c r="G35" i="11"/>
  <c r="J40" i="9"/>
  <c r="H47" i="9"/>
  <c r="K112" i="11"/>
  <c r="F104" i="11"/>
  <c r="J42" i="9"/>
  <c r="G35" i="8"/>
  <c r="F10" i="11"/>
  <c r="D8" i="9"/>
  <c r="B57" i="11"/>
  <c r="F138" i="11"/>
  <c r="J33" i="10"/>
  <c r="H16" i="10"/>
  <c r="K206" i="11"/>
  <c r="G82" i="11"/>
  <c r="C37" i="11"/>
  <c r="D45" i="9"/>
  <c r="K38" i="11"/>
  <c r="G106" i="11"/>
  <c r="M14" i="9"/>
  <c r="J34" i="9"/>
  <c r="K191" i="11"/>
  <c r="Q37" i="9"/>
  <c r="G41" i="11"/>
  <c r="T48" i="9"/>
  <c r="N9" i="10"/>
  <c r="B166" i="11"/>
  <c r="K95" i="11"/>
  <c r="G15" i="9"/>
  <c r="C32" i="1"/>
  <c r="K19" i="11"/>
  <c r="F205" i="11"/>
  <c r="K128" i="11"/>
  <c r="K179" i="11"/>
  <c r="B50" i="11"/>
  <c r="J9" i="9"/>
  <c r="F190" i="11"/>
  <c r="Q31" i="9"/>
  <c r="Q50" i="9"/>
  <c r="F85" i="11"/>
  <c r="Q26" i="10"/>
  <c r="G114" i="11"/>
  <c r="E5" i="9"/>
  <c r="P13" i="9"/>
  <c r="H155" i="11"/>
  <c r="F201" i="11"/>
  <c r="H75" i="11"/>
  <c r="B157" i="11"/>
  <c r="G68" i="11"/>
  <c r="K40" i="11"/>
  <c r="H149" i="11"/>
  <c r="F162" i="11"/>
  <c r="K69" i="11"/>
  <c r="G21" i="9"/>
  <c r="B65" i="11"/>
  <c r="H173" i="11"/>
  <c r="E48" i="9"/>
  <c r="P43" i="10"/>
  <c r="F7" i="11"/>
  <c r="E9" i="10"/>
  <c r="G45" i="1"/>
  <c r="G142" i="11"/>
  <c r="C106" i="11"/>
  <c r="F131" i="11"/>
  <c r="N39" i="9"/>
  <c r="G36" i="11"/>
  <c r="T43" i="9"/>
  <c r="D38" i="9"/>
  <c r="P9" i="9"/>
  <c r="K48" i="9"/>
  <c r="C149" i="11"/>
  <c r="Q33" i="9"/>
  <c r="P41" i="10"/>
  <c r="F39" i="11"/>
  <c r="J17" i="10"/>
  <c r="H134" i="11"/>
  <c r="K100" i="11"/>
  <c r="K70" i="11"/>
  <c r="M35" i="9"/>
  <c r="G51" i="11"/>
  <c r="C40" i="11"/>
  <c r="G16" i="9"/>
  <c r="F46" i="11"/>
  <c r="H18" i="9"/>
  <c r="F146" i="11"/>
  <c r="J34" i="10"/>
  <c r="H109" i="11"/>
  <c r="S26" i="9"/>
  <c r="H65" i="11"/>
  <c r="M29" i="9"/>
  <c r="Q42" i="9"/>
  <c r="Q11" i="9"/>
  <c r="I52" i="1"/>
  <c r="K18" i="11"/>
  <c r="B202" i="11"/>
  <c r="Q28" i="8"/>
  <c r="F67" i="1"/>
  <c r="B158" i="11"/>
  <c r="S16" i="9"/>
  <c r="F75" i="11"/>
  <c r="J32" i="10"/>
  <c r="H31" i="10"/>
  <c r="G15" i="10"/>
  <c r="Q10" i="10"/>
  <c r="G9" i="11"/>
  <c r="J14" i="9"/>
  <c r="B49" i="11"/>
  <c r="L137" i="11"/>
  <c r="B198" i="11"/>
  <c r="H61" i="11"/>
  <c r="K170" i="11"/>
  <c r="K162" i="11"/>
  <c r="C4" i="11"/>
  <c r="K47" i="9"/>
  <c r="K31" i="11"/>
  <c r="B148" i="11"/>
  <c r="M31" i="9"/>
  <c r="B176" i="11"/>
  <c r="J46" i="10"/>
  <c r="H45" i="10"/>
  <c r="Q34" i="8"/>
  <c r="Q16" i="10"/>
  <c r="C21" i="11"/>
  <c r="H9" i="9"/>
  <c r="B17" i="11"/>
  <c r="D19" i="9"/>
  <c r="Q27" i="10"/>
  <c r="G9" i="10"/>
  <c r="C96" i="11"/>
  <c r="E33" i="9"/>
  <c r="H27" i="10"/>
  <c r="J25" i="9"/>
  <c r="N24" i="10"/>
  <c r="N39" i="10"/>
  <c r="E1283" i="11"/>
  <c r="J6" i="8"/>
  <c r="D43" i="8"/>
  <c r="M43" i="9"/>
  <c r="D45" i="10"/>
  <c r="K64" i="11"/>
  <c r="F173" i="11"/>
  <c r="N26" i="9"/>
  <c r="N10" i="9"/>
  <c r="N10" i="10"/>
  <c r="E37" i="10"/>
  <c r="E1267" i="11"/>
  <c r="G33" i="1"/>
  <c r="J50" i="9"/>
  <c r="B116" i="11"/>
  <c r="H28" i="9"/>
  <c r="P34" i="8"/>
  <c r="N47" i="9"/>
  <c r="K33" i="9"/>
  <c r="P32" i="9"/>
  <c r="F125" i="11"/>
  <c r="J31" i="10"/>
  <c r="H14" i="10"/>
  <c r="K16" i="11"/>
  <c r="P25" i="9"/>
  <c r="H40" i="8"/>
  <c r="F128" i="11"/>
  <c r="J21" i="9"/>
  <c r="H46" i="8"/>
  <c r="H30" i="8"/>
  <c r="K81" i="11"/>
  <c r="D32" i="3"/>
  <c r="P36" i="9"/>
  <c r="P32" i="10"/>
  <c r="D46" i="8"/>
  <c r="E1229" i="11"/>
  <c r="L70" i="11"/>
  <c r="D29" i="9"/>
  <c r="B51" i="11"/>
  <c r="P37" i="10"/>
  <c r="B55" i="11"/>
  <c r="G17" i="9"/>
  <c r="D16" i="3"/>
  <c r="B44" i="11"/>
  <c r="F147" i="11"/>
  <c r="B75" i="11"/>
  <c r="J29" i="9"/>
  <c r="M38" i="10"/>
  <c r="F158" i="11"/>
  <c r="E39" i="9"/>
  <c r="B178" i="11"/>
  <c r="E34" i="9"/>
  <c r="S41" i="9"/>
  <c r="H38" i="10"/>
  <c r="N28" i="10"/>
  <c r="M9" i="10"/>
  <c r="N22" i="9"/>
  <c r="H165" i="11"/>
  <c r="F21" i="11"/>
  <c r="P43" i="9"/>
  <c r="E8" i="9"/>
  <c r="C101" i="11"/>
  <c r="E10" i="10"/>
  <c r="D50" i="1"/>
  <c r="C10" i="1"/>
  <c r="E9" i="1"/>
  <c r="H72" i="11"/>
  <c r="H76" i="11"/>
  <c r="D53" i="1"/>
  <c r="G40" i="10"/>
  <c r="H60" i="11"/>
  <c r="E47" i="1"/>
  <c r="E62" i="1"/>
  <c r="G67" i="1"/>
  <c r="C48" i="1"/>
  <c r="H28" i="11"/>
  <c r="H11" i="11"/>
  <c r="H38" i="9"/>
  <c r="H151" i="11"/>
  <c r="E67" i="1"/>
  <c r="D32" i="1"/>
  <c r="G51" i="1"/>
  <c r="C139" i="11"/>
  <c r="K125" i="11"/>
  <c r="G93" i="11"/>
  <c r="F81" i="11"/>
  <c r="K66" i="11"/>
  <c r="K160" i="11"/>
  <c r="D64" i="1"/>
  <c r="E20" i="1"/>
  <c r="D38" i="1"/>
  <c r="G110" i="11"/>
  <c r="F28" i="11"/>
  <c r="H194" i="11"/>
  <c r="G98" i="11"/>
  <c r="C11" i="11"/>
  <c r="H203" i="11"/>
  <c r="C9" i="11"/>
  <c r="G165" i="11"/>
  <c r="J30" i="9"/>
  <c r="E15" i="3"/>
  <c r="G120" i="11"/>
  <c r="G8" i="11"/>
  <c r="L182" i="11"/>
  <c r="H177" i="11"/>
  <c r="H207" i="11"/>
  <c r="Q48" i="10"/>
  <c r="B94" i="11"/>
  <c r="C112" i="11"/>
  <c r="G86" i="11"/>
  <c r="L49" i="11"/>
  <c r="C148" i="11"/>
  <c r="F207" i="11"/>
  <c r="H35" i="11"/>
  <c r="K101" i="11"/>
  <c r="K120" i="11"/>
  <c r="L90" i="11"/>
  <c r="K102" i="11"/>
  <c r="F12" i="11"/>
  <c r="B28" i="11"/>
  <c r="H74" i="11"/>
  <c r="K5" i="9"/>
  <c r="B133" i="11"/>
  <c r="H25" i="10"/>
  <c r="M20" i="9"/>
  <c r="K87" i="11"/>
  <c r="G30" i="9"/>
  <c r="F148" i="11"/>
  <c r="B33" i="11"/>
  <c r="Q46" i="9"/>
  <c r="D28" i="9"/>
  <c r="C179" i="11"/>
  <c r="J5" i="10"/>
  <c r="M37" i="10"/>
  <c r="H144" i="11"/>
  <c r="L65" i="11"/>
  <c r="K214" i="11"/>
  <c r="G65" i="1"/>
  <c r="F56" i="11"/>
  <c r="K41" i="11"/>
  <c r="T8" i="9"/>
  <c r="B18" i="11"/>
  <c r="K40" i="9"/>
  <c r="F43" i="11"/>
  <c r="J18" i="10"/>
  <c r="H19" i="9"/>
  <c r="E20" i="9"/>
  <c r="G5" i="10"/>
  <c r="H41" i="11"/>
  <c r="E35" i="9"/>
  <c r="H34" i="10"/>
  <c r="E39" i="1"/>
  <c r="C152" i="11"/>
  <c r="B108" i="11"/>
  <c r="T45" i="9"/>
  <c r="G19" i="11"/>
  <c r="E47" i="9"/>
  <c r="F116" i="11"/>
  <c r="E11" i="3"/>
  <c r="J16" i="10"/>
  <c r="C157" i="11"/>
  <c r="D47" i="9"/>
  <c r="J17" i="8"/>
  <c r="J13" i="9"/>
  <c r="G28" i="9"/>
  <c r="H40" i="10"/>
  <c r="G39" i="1"/>
  <c r="C124" i="11"/>
  <c r="F68" i="11"/>
  <c r="G151" i="11"/>
  <c r="F61" i="11"/>
  <c r="B22" i="11"/>
  <c r="F121" i="11"/>
  <c r="P5" i="10"/>
  <c r="K11" i="3"/>
  <c r="M30" i="9"/>
  <c r="K13" i="9"/>
  <c r="F51" i="11"/>
  <c r="Q28" i="10"/>
  <c r="K159" i="11"/>
  <c r="M22" i="9"/>
  <c r="B82" i="11"/>
  <c r="L55" i="11"/>
  <c r="K117" i="11"/>
  <c r="K92" i="11"/>
  <c r="B199" i="11"/>
  <c r="B208" i="11"/>
  <c r="B10" i="11"/>
  <c r="G27" i="9"/>
  <c r="F133" i="11"/>
  <c r="J40" i="10"/>
  <c r="H39" i="10"/>
  <c r="F41" i="11"/>
  <c r="Q18" i="10"/>
  <c r="B195" i="11"/>
  <c r="P46" i="9"/>
  <c r="G44" i="11"/>
  <c r="C22" i="1"/>
  <c r="C89" i="11"/>
  <c r="K68" i="11"/>
  <c r="F153" i="11"/>
  <c r="B58" i="11"/>
  <c r="G116" i="11"/>
  <c r="B68" i="11"/>
  <c r="F168" i="11"/>
  <c r="H108" i="11"/>
  <c r="Q50" i="10"/>
  <c r="M28" i="10"/>
  <c r="B24" i="11"/>
  <c r="B35" i="11"/>
  <c r="M24" i="9"/>
  <c r="F154" i="11"/>
  <c r="J43" i="10"/>
  <c r="H18" i="10"/>
  <c r="H46" i="11"/>
  <c r="G23" i="11"/>
  <c r="B209" i="11"/>
  <c r="C27" i="11"/>
  <c r="C69" i="11"/>
  <c r="H8" i="10"/>
  <c r="J12" i="9"/>
  <c r="T35" i="9"/>
  <c r="M23" i="10"/>
  <c r="C43" i="11"/>
  <c r="H16" i="9"/>
  <c r="K65" i="11"/>
  <c r="G7" i="10"/>
  <c r="Q32" i="8"/>
  <c r="T42" i="9"/>
  <c r="K213" i="11"/>
  <c r="C45" i="1"/>
  <c r="B177" i="11"/>
  <c r="E5" i="10"/>
  <c r="C98" i="11"/>
  <c r="K19" i="3"/>
  <c r="Q8" i="9"/>
  <c r="B150" i="11"/>
  <c r="S38" i="9"/>
  <c r="S24" i="9"/>
  <c r="G6" i="10"/>
  <c r="J14" i="10"/>
  <c r="G42" i="11"/>
  <c r="T11" i="9"/>
  <c r="K8" i="8"/>
  <c r="H7" i="11"/>
  <c r="T50" i="9"/>
  <c r="S19" i="9"/>
  <c r="N44" i="10"/>
  <c r="P26" i="10"/>
  <c r="J14" i="8"/>
  <c r="F36" i="11"/>
  <c r="E23" i="9"/>
  <c r="J48" i="10"/>
  <c r="F124" i="11"/>
  <c r="F93" i="11"/>
  <c r="G29" i="8"/>
  <c r="I1208" i="11"/>
  <c r="N11" i="9"/>
  <c r="N45" i="9"/>
  <c r="Q13" i="8"/>
  <c r="Q25" i="8"/>
  <c r="B117" i="11"/>
  <c r="B87" i="11"/>
  <c r="H17" i="9"/>
  <c r="Q10" i="9"/>
  <c r="S32" i="9"/>
  <c r="J18" i="8"/>
  <c r="K31" i="9"/>
  <c r="G10" i="11"/>
  <c r="F204" i="11"/>
  <c r="D30" i="9"/>
  <c r="G9" i="9"/>
  <c r="G33" i="9"/>
  <c r="B128" i="11"/>
  <c r="Q40" i="10"/>
  <c r="P39" i="10"/>
  <c r="K27" i="9"/>
  <c r="M25" i="10"/>
  <c r="H34" i="8"/>
  <c r="M33" i="9"/>
  <c r="E34" i="10"/>
  <c r="C100" i="11"/>
  <c r="F134" i="11"/>
  <c r="P50" i="8"/>
  <c r="C31" i="11"/>
  <c r="S5" i="9"/>
  <c r="E26" i="10"/>
  <c r="K1271" i="11"/>
  <c r="E33" i="8"/>
  <c r="D15" i="8"/>
  <c r="Q43" i="9"/>
  <c r="D13" i="10"/>
  <c r="C68" i="11"/>
  <c r="K18" i="9"/>
  <c r="D6" i="9"/>
  <c r="F17" i="11"/>
  <c r="N42" i="10"/>
  <c r="E21" i="10"/>
  <c r="K1255" i="11"/>
  <c r="C113" i="11"/>
  <c r="D33" i="9"/>
  <c r="N24" i="9"/>
  <c r="S40" i="9"/>
  <c r="B146" i="11"/>
  <c r="Q38" i="9"/>
  <c r="H20" i="9"/>
  <c r="Q20" i="9"/>
  <c r="F71" i="11"/>
  <c r="J23" i="10"/>
  <c r="G45" i="10"/>
  <c r="F155" i="11"/>
  <c r="P28" i="9"/>
  <c r="H12" i="8"/>
  <c r="G52" i="11"/>
  <c r="F187" i="11"/>
  <c r="P33" i="9"/>
  <c r="H28" i="10"/>
  <c r="D34" i="9"/>
  <c r="E11" i="1"/>
  <c r="C11" i="1"/>
  <c r="K180" i="11"/>
  <c r="K181" i="11"/>
  <c r="K50" i="11"/>
  <c r="G134" i="11"/>
  <c r="K18" i="3"/>
  <c r="G118" i="11"/>
  <c r="C36" i="1"/>
  <c r="D63" i="1"/>
  <c r="E52" i="1"/>
  <c r="C7" i="1"/>
  <c r="G215" i="11"/>
  <c r="G95" i="11"/>
  <c r="L214" i="11"/>
  <c r="F35" i="1"/>
  <c r="H199" i="11"/>
  <c r="H83" i="11"/>
  <c r="E10" i="1"/>
  <c r="H119" i="11"/>
  <c r="K215" i="11"/>
  <c r="K155" i="11"/>
  <c r="F58" i="1"/>
  <c r="F62" i="1"/>
  <c r="D19" i="1"/>
  <c r="C199" i="11"/>
  <c r="H179" i="11"/>
  <c r="G208" i="11"/>
  <c r="K58" i="11"/>
  <c r="F40" i="11"/>
  <c r="H159" i="11"/>
  <c r="C15" i="1"/>
  <c r="J27" i="9"/>
  <c r="H147" i="11"/>
  <c r="G46" i="11"/>
  <c r="K27" i="11"/>
  <c r="G214" i="11"/>
  <c r="G175" i="11"/>
  <c r="K76" i="11"/>
  <c r="G138" i="11"/>
  <c r="L168" i="11"/>
  <c r="K119" i="11"/>
  <c r="C95" i="11"/>
  <c r="K54" i="11"/>
  <c r="G11" i="10"/>
  <c r="C209" i="11"/>
  <c r="C58" i="11"/>
  <c r="G32" i="1"/>
  <c r="G133" i="11"/>
  <c r="C108" i="11"/>
  <c r="K82" i="11"/>
  <c r="G57" i="11"/>
  <c r="F70" i="11"/>
  <c r="K126" i="11"/>
  <c r="H85" i="11"/>
  <c r="C62" i="11"/>
  <c r="G48" i="11"/>
  <c r="G157" i="11"/>
  <c r="B211" i="11"/>
  <c r="F53" i="11"/>
  <c r="G22" i="10"/>
  <c r="Q34" i="9"/>
  <c r="L9" i="11"/>
  <c r="K111" i="11"/>
  <c r="T13" i="9"/>
  <c r="S29" i="9"/>
  <c r="B144" i="11"/>
  <c r="Q34" i="10"/>
  <c r="K33" i="3"/>
  <c r="G37" i="9"/>
  <c r="K16" i="9"/>
  <c r="H130" i="11"/>
  <c r="G84" i="11"/>
  <c r="C65" i="11"/>
  <c r="B62" i="11"/>
  <c r="C67" i="11"/>
  <c r="B174" i="11"/>
  <c r="C93" i="11"/>
  <c r="K45" i="11"/>
  <c r="B215" i="11"/>
  <c r="G18" i="9"/>
  <c r="K88" i="11"/>
  <c r="D18" i="9"/>
  <c r="D24" i="9"/>
  <c r="Q6" i="9"/>
  <c r="F49" i="11"/>
  <c r="J11" i="10"/>
  <c r="H33" i="10"/>
  <c r="K142" i="11"/>
  <c r="G18" i="11"/>
  <c r="G136" i="11"/>
  <c r="F160" i="11"/>
  <c r="F177" i="11"/>
  <c r="B152" i="11"/>
  <c r="F174" i="11"/>
  <c r="Q13" i="9"/>
  <c r="J13" i="8"/>
  <c r="G26" i="9"/>
  <c r="F194" i="11"/>
  <c r="M27" i="9"/>
  <c r="F82" i="11"/>
  <c r="J25" i="10"/>
  <c r="G38" i="10"/>
  <c r="G121" i="11"/>
  <c r="F199" i="11"/>
  <c r="B159" i="11"/>
  <c r="F16" i="11"/>
  <c r="G77" i="11"/>
  <c r="F48" i="11"/>
  <c r="G99" i="11"/>
  <c r="H13" i="9"/>
  <c r="C19" i="11"/>
  <c r="J42" i="10"/>
  <c r="C46" i="11"/>
  <c r="T19" i="9"/>
  <c r="Q44" i="8"/>
  <c r="B16" i="11"/>
  <c r="B27" i="11"/>
  <c r="P40" i="9"/>
  <c r="D49" i="1"/>
  <c r="C137" i="11"/>
  <c r="H47" i="10"/>
  <c r="K46" i="9"/>
  <c r="B175" i="11"/>
  <c r="K17" i="9"/>
  <c r="G213" i="11"/>
  <c r="M19" i="9"/>
  <c r="Q7" i="10"/>
  <c r="B205" i="11"/>
  <c r="T17" i="9"/>
  <c r="D40" i="8"/>
  <c r="F123" i="11"/>
  <c r="F180" i="11"/>
  <c r="D36" i="9"/>
  <c r="H89" i="11"/>
  <c r="C99" i="11"/>
  <c r="N32" i="9"/>
  <c r="K199" i="11"/>
  <c r="H26" i="9"/>
  <c r="H57" i="11"/>
  <c r="H175" i="11"/>
  <c r="F109" i="11"/>
  <c r="F22" i="11"/>
  <c r="S12" i="9"/>
  <c r="G12" i="10"/>
  <c r="G40" i="11"/>
  <c r="N6" i="9"/>
  <c r="P27" i="10"/>
  <c r="E7" i="10"/>
  <c r="G43" i="8"/>
  <c r="G23" i="8"/>
  <c r="G180" i="11"/>
  <c r="G17" i="11"/>
  <c r="S30" i="9"/>
  <c r="T9" i="9"/>
  <c r="B111" i="11"/>
  <c r="G170" i="11"/>
  <c r="K63" i="11"/>
  <c r="E41" i="9"/>
  <c r="F189" i="11"/>
  <c r="H10" i="8"/>
  <c r="K22" i="9"/>
  <c r="S28" i="9"/>
  <c r="F212" i="11"/>
  <c r="J41" i="10"/>
  <c r="H24" i="10"/>
  <c r="K153" i="11"/>
  <c r="B196" i="11"/>
  <c r="G177" i="11"/>
  <c r="C15" i="11"/>
  <c r="C75" i="11"/>
  <c r="D9" i="9"/>
  <c r="H67" i="11"/>
  <c r="P35" i="9"/>
  <c r="B42" i="11"/>
  <c r="B131" i="11"/>
  <c r="H5" i="9"/>
  <c r="K45" i="8"/>
  <c r="F91" i="11"/>
  <c r="T12" i="9"/>
  <c r="D48" i="9"/>
  <c r="F181" i="11"/>
  <c r="J39" i="10"/>
  <c r="H22" i="10"/>
  <c r="N12" i="10"/>
  <c r="B71" i="11"/>
  <c r="K10" i="10"/>
  <c r="J31" i="9"/>
  <c r="F55" i="11"/>
  <c r="Q14" i="10"/>
  <c r="P41" i="8"/>
  <c r="D26" i="9"/>
  <c r="T28" i="9"/>
  <c r="H39" i="8"/>
  <c r="T36" i="9"/>
  <c r="E36" i="10"/>
  <c r="D15" i="3"/>
  <c r="B53" i="11"/>
  <c r="B76" i="11"/>
  <c r="K26" i="9"/>
  <c r="G25" i="9"/>
  <c r="K143" i="11"/>
  <c r="P23" i="10"/>
  <c r="P28" i="8"/>
  <c r="J39" i="9"/>
  <c r="F78" i="11"/>
  <c r="H37" i="9"/>
  <c r="F117" i="11"/>
  <c r="J38" i="10"/>
  <c r="H37" i="10"/>
  <c r="M47" i="9"/>
  <c r="N5" i="10"/>
  <c r="B151" i="11"/>
  <c r="T15" i="9"/>
  <c r="N41" i="9"/>
  <c r="G31" i="9"/>
  <c r="J41" i="8"/>
  <c r="K50" i="8"/>
  <c r="H51" i="11"/>
  <c r="G90" i="11"/>
  <c r="F102" i="11"/>
  <c r="T30" i="9"/>
  <c r="N14" i="10"/>
  <c r="Q40" i="8"/>
  <c r="B61" i="11"/>
  <c r="B80" i="11"/>
  <c r="P24" i="9"/>
  <c r="K34" i="8"/>
  <c r="K44" i="8"/>
  <c r="K42" i="11"/>
  <c r="D7" i="8"/>
  <c r="F114" i="11"/>
  <c r="J21" i="10"/>
  <c r="F32" i="11"/>
  <c r="G131" i="11"/>
  <c r="N48" i="10"/>
  <c r="B155" i="11"/>
  <c r="F130" i="11"/>
  <c r="K41" i="9"/>
  <c r="E12" i="9"/>
  <c r="H8" i="9"/>
  <c r="F73" i="11"/>
  <c r="Q32" i="10"/>
  <c r="P31" i="10"/>
  <c r="T31" i="9"/>
  <c r="P36" i="8"/>
  <c r="F175" i="11"/>
  <c r="C71" i="11"/>
  <c r="N23" i="10"/>
  <c r="I46" i="1"/>
  <c r="H22" i="9"/>
  <c r="H141" i="11"/>
  <c r="D37" i="1"/>
  <c r="K105" i="11"/>
  <c r="E59" i="1"/>
  <c r="G78" i="11"/>
  <c r="D48" i="1"/>
  <c r="C147" i="11"/>
  <c r="K164" i="11"/>
  <c r="H62" i="1"/>
  <c r="F72" i="11"/>
  <c r="F139" i="11"/>
  <c r="K165" i="11"/>
  <c r="H41" i="1"/>
  <c r="F209" i="11"/>
  <c r="L173" i="11"/>
  <c r="N34" i="9"/>
  <c r="Q12" i="10"/>
  <c r="J24" i="10"/>
  <c r="N42" i="9"/>
  <c r="L57" i="11"/>
  <c r="G202" i="11"/>
  <c r="B11" i="11"/>
  <c r="G27" i="11"/>
  <c r="K154" i="11"/>
  <c r="S46" i="9"/>
  <c r="M5" i="9"/>
  <c r="T39" i="9"/>
  <c r="G101" i="11"/>
  <c r="B118" i="11"/>
  <c r="J10" i="10"/>
  <c r="C35" i="11"/>
  <c r="K115" i="11"/>
  <c r="B88" i="11"/>
  <c r="B134" i="11"/>
  <c r="P14" i="9"/>
  <c r="B156" i="11"/>
  <c r="B187" i="11"/>
  <c r="H41" i="10"/>
  <c r="K32" i="9"/>
  <c r="L147" i="11"/>
  <c r="F45" i="11"/>
  <c r="K13" i="11"/>
  <c r="P8" i="10"/>
  <c r="G18" i="10"/>
  <c r="G92" i="11"/>
  <c r="N37" i="9"/>
  <c r="N50" i="10"/>
  <c r="F47" i="11"/>
  <c r="J28" i="10"/>
  <c r="E44" i="3"/>
  <c r="G1254" i="11"/>
  <c r="K61" i="11"/>
  <c r="B86" i="11"/>
  <c r="K50" i="10"/>
  <c r="F80" i="11"/>
  <c r="P15" i="10"/>
  <c r="J5" i="9"/>
  <c r="K17" i="8"/>
  <c r="S45" i="9"/>
  <c r="H20" i="10"/>
  <c r="F24" i="11"/>
  <c r="H29" i="10"/>
  <c r="E50" i="9"/>
  <c r="J23" i="8"/>
  <c r="N25" i="9"/>
  <c r="P12" i="10"/>
  <c r="D20" i="3"/>
  <c r="K33" i="10"/>
  <c r="P17" i="10"/>
  <c r="D32" i="8"/>
  <c r="I1198" i="11"/>
  <c r="L28" i="11"/>
  <c r="K121" i="11"/>
  <c r="H133" i="11"/>
  <c r="P30" i="9"/>
  <c r="N32" i="10"/>
  <c r="P20" i="9"/>
  <c r="E32" i="3"/>
  <c r="H93" i="11"/>
  <c r="E42" i="9"/>
  <c r="B64" i="11"/>
  <c r="F95" i="11"/>
  <c r="K35" i="3"/>
  <c r="K104" i="11"/>
  <c r="S25" i="9"/>
  <c r="S47" i="9"/>
  <c r="F27" i="11"/>
  <c r="J15" i="10"/>
  <c r="M26" i="10"/>
  <c r="C213" i="11"/>
  <c r="S33" i="9"/>
  <c r="Q39" i="8"/>
  <c r="K133" i="11"/>
  <c r="D45" i="1"/>
  <c r="Q46" i="10"/>
  <c r="K47" i="10"/>
  <c r="Q35" i="10"/>
  <c r="H25" i="8"/>
  <c r="D23" i="10"/>
  <c r="E29" i="9"/>
  <c r="D50" i="10"/>
  <c r="D28" i="3"/>
  <c r="D27" i="3"/>
  <c r="T37" i="9"/>
  <c r="G28" i="11"/>
  <c r="M28" i="9"/>
  <c r="G5" i="8"/>
  <c r="G50" i="3"/>
  <c r="M46" i="10"/>
  <c r="I1200" i="11"/>
  <c r="B183" i="11"/>
  <c r="B63" i="11"/>
  <c r="Q8" i="8"/>
  <c r="G206" i="11"/>
  <c r="G22" i="9"/>
  <c r="H31" i="8"/>
  <c r="S21" i="9"/>
  <c r="G209" i="11"/>
  <c r="G69" i="11"/>
  <c r="S50" i="9"/>
  <c r="J7" i="10"/>
  <c r="Q43" i="10"/>
  <c r="K6" i="8"/>
  <c r="J20" i="9"/>
  <c r="K5" i="3"/>
  <c r="J32" i="9"/>
  <c r="D33" i="8"/>
  <c r="K9" i="8"/>
  <c r="N12" i="9"/>
  <c r="E25" i="10"/>
  <c r="K1279" i="11"/>
  <c r="D25" i="8"/>
  <c r="K45" i="9"/>
  <c r="K39" i="8"/>
  <c r="I1214" i="11"/>
  <c r="D45" i="8"/>
  <c r="P20" i="8"/>
  <c r="E28" i="8"/>
  <c r="C1259" i="11"/>
  <c r="N6" i="8"/>
  <c r="H20" i="8"/>
  <c r="B1060" i="11"/>
  <c r="K1266" i="11"/>
  <c r="D34" i="8"/>
  <c r="D30" i="10"/>
  <c r="G1064" i="11"/>
  <c r="G1277" i="11"/>
  <c r="N14" i="8"/>
  <c r="J34" i="8"/>
  <c r="B1061" i="11"/>
  <c r="G1269" i="11"/>
  <c r="J1027" i="11"/>
  <c r="G1069" i="11"/>
  <c r="J959" i="11"/>
  <c r="J1116" i="11"/>
  <c r="I933" i="11"/>
  <c r="J843" i="11"/>
  <c r="I682" i="11"/>
  <c r="J842" i="11"/>
  <c r="N21" i="10"/>
  <c r="H113" i="11"/>
  <c r="N30" i="10"/>
  <c r="Q17" i="10"/>
  <c r="K37" i="3"/>
  <c r="M35" i="8"/>
  <c r="N24" i="8"/>
  <c r="F172" i="11"/>
  <c r="Q21" i="8"/>
  <c r="B98" i="11"/>
  <c r="B1174" i="11"/>
  <c r="I993" i="11"/>
  <c r="E1151" i="11"/>
  <c r="E1233" i="11"/>
  <c r="J1180" i="11"/>
  <c r="F999" i="11"/>
  <c r="B1157" i="11"/>
  <c r="I1194" i="11"/>
  <c r="J1176" i="11"/>
  <c r="F995" i="11"/>
  <c r="B170" i="11"/>
  <c r="D28" i="8"/>
  <c r="J48" i="9"/>
  <c r="J36" i="10"/>
  <c r="T41" i="9"/>
  <c r="M32" i="9"/>
  <c r="M7" i="10"/>
  <c r="E29" i="8"/>
  <c r="E39" i="8"/>
  <c r="N13" i="9"/>
  <c r="N17" i="10"/>
  <c r="E6" i="3"/>
  <c r="S20" i="9"/>
  <c r="P30" i="10"/>
  <c r="K14" i="10"/>
  <c r="Q33" i="8"/>
  <c r="B43" i="11"/>
  <c r="N31" i="10"/>
  <c r="N37" i="8"/>
  <c r="K19" i="8"/>
  <c r="J6" i="9"/>
  <c r="E14" i="3"/>
  <c r="E47" i="8"/>
  <c r="F165" i="11"/>
  <c r="J38" i="3"/>
  <c r="B1116" i="11"/>
  <c r="J934" i="11"/>
  <c r="J35" i="9"/>
  <c r="D44" i="3"/>
  <c r="G1120" i="11"/>
  <c r="I939" i="11"/>
  <c r="H32" i="9"/>
  <c r="D40" i="3"/>
  <c r="B1117" i="11"/>
  <c r="I935" i="11"/>
  <c r="F1103" i="11"/>
  <c r="E1287" i="11"/>
  <c r="K1080" i="11"/>
  <c r="G1259" i="11"/>
  <c r="J1022" i="11"/>
  <c r="C1070" i="11"/>
  <c r="E727" i="11"/>
  <c r="I1067" i="11"/>
  <c r="E726" i="11"/>
  <c r="J1020" i="11"/>
  <c r="K9" i="9"/>
  <c r="C1277" i="11"/>
  <c r="D11" i="3"/>
  <c r="J15" i="9"/>
  <c r="N41" i="8"/>
  <c r="F140" i="11"/>
  <c r="E18" i="3"/>
  <c r="J8" i="9"/>
  <c r="C1255" i="11"/>
  <c r="B1082" i="11"/>
  <c r="Q7" i="8"/>
  <c r="J18" i="9"/>
  <c r="C1263" i="11"/>
  <c r="G1086" i="11"/>
  <c r="J50" i="8"/>
  <c r="K15" i="9"/>
  <c r="E1257" i="11"/>
  <c r="B1083" i="11"/>
  <c r="S13" i="9"/>
  <c r="M50" i="9"/>
  <c r="G185" i="11"/>
  <c r="F69" i="11"/>
  <c r="S34" i="9"/>
  <c r="G23" i="9"/>
  <c r="J45" i="9"/>
  <c r="M36" i="10"/>
  <c r="I1216" i="11"/>
  <c r="Q43" i="8"/>
  <c r="F164" i="11"/>
  <c r="T46" i="9"/>
  <c r="P27" i="8"/>
  <c r="H29" i="9"/>
  <c r="H210" i="11"/>
  <c r="K85" i="11"/>
  <c r="H211" i="11"/>
  <c r="G63" i="11"/>
  <c r="C65" i="1"/>
  <c r="G149" i="11"/>
  <c r="C52" i="1"/>
  <c r="G100" i="11"/>
  <c r="L53" i="11"/>
  <c r="K182" i="11"/>
  <c r="K189" i="11"/>
  <c r="F51" i="1"/>
  <c r="H181" i="11"/>
  <c r="C104" i="11"/>
  <c r="J19" i="9"/>
  <c r="D46" i="1"/>
  <c r="L82" i="11"/>
  <c r="E17" i="9"/>
  <c r="G80" i="11"/>
  <c r="C181" i="11"/>
  <c r="J28" i="9"/>
  <c r="J16" i="9"/>
  <c r="G129" i="11"/>
  <c r="G32" i="10"/>
  <c r="K14" i="9"/>
  <c r="J37" i="8"/>
  <c r="F88" i="11"/>
  <c r="G46" i="10"/>
  <c r="F176" i="11"/>
  <c r="K6" i="9"/>
  <c r="B203" i="11"/>
  <c r="G36" i="10"/>
  <c r="K7" i="3"/>
  <c r="H32" i="10"/>
  <c r="K73" i="11"/>
  <c r="N50" i="9"/>
  <c r="F9" i="11"/>
  <c r="G42" i="10"/>
  <c r="G32" i="11"/>
  <c r="T5" i="9"/>
  <c r="Q42" i="10"/>
  <c r="L151" i="11"/>
  <c r="K27" i="3"/>
  <c r="G26" i="11"/>
  <c r="D31" i="9"/>
  <c r="E26" i="8"/>
  <c r="E45" i="10"/>
  <c r="G119" i="11"/>
  <c r="J19" i="3"/>
  <c r="G104" i="11"/>
  <c r="S23" i="9"/>
  <c r="H81" i="11"/>
  <c r="B163" i="11"/>
  <c r="K20" i="9"/>
  <c r="G9" i="8"/>
  <c r="E9" i="9"/>
  <c r="Q33" i="10"/>
  <c r="B54" i="11"/>
  <c r="N8" i="10"/>
  <c r="E22" i="9"/>
  <c r="H33" i="9"/>
  <c r="G32" i="9"/>
  <c r="G97" i="11"/>
  <c r="J44" i="9"/>
  <c r="G29" i="9"/>
  <c r="G1258" i="11"/>
  <c r="C86" i="11"/>
  <c r="G34" i="8"/>
  <c r="K16" i="10"/>
  <c r="J46" i="8"/>
  <c r="C66" i="11"/>
  <c r="B74" i="11"/>
  <c r="H42" i="9"/>
  <c r="G27" i="8"/>
  <c r="N17" i="9"/>
  <c r="N6" i="10"/>
  <c r="E1231" i="11"/>
  <c r="B101" i="11"/>
  <c r="F37" i="11"/>
  <c r="K77" i="11"/>
  <c r="S31" i="9"/>
  <c r="P10" i="9"/>
  <c r="F31" i="11"/>
  <c r="Q24" i="10"/>
  <c r="C156" i="11"/>
  <c r="P38" i="9"/>
  <c r="F167" i="11"/>
  <c r="B23" i="11"/>
  <c r="N40" i="9"/>
  <c r="E13" i="10"/>
  <c r="H64" i="11"/>
  <c r="C76" i="11"/>
  <c r="E11" i="9"/>
  <c r="P45" i="10"/>
  <c r="P41" i="9"/>
  <c r="M10" i="10"/>
  <c r="H6" i="8"/>
  <c r="D31" i="3"/>
  <c r="C23" i="11"/>
  <c r="D48" i="10"/>
  <c r="K1267" i="11"/>
  <c r="K17" i="3"/>
  <c r="N18" i="9"/>
  <c r="F11" i="11"/>
  <c r="E32" i="8"/>
  <c r="D35" i="8"/>
  <c r="N28" i="9"/>
  <c r="K18" i="10"/>
  <c r="P8" i="8"/>
  <c r="G46" i="9"/>
  <c r="E44" i="10"/>
  <c r="L66" i="11"/>
  <c r="K134" i="11"/>
  <c r="G39" i="9"/>
  <c r="F35" i="11"/>
  <c r="J43" i="8"/>
  <c r="H55" i="11"/>
  <c r="T20" i="9"/>
  <c r="C153" i="11"/>
  <c r="G28" i="10"/>
  <c r="H17" i="10"/>
  <c r="P18" i="8"/>
  <c r="H5" i="8"/>
  <c r="G43" i="9"/>
  <c r="E28" i="10"/>
  <c r="D19" i="3"/>
  <c r="G76" i="11"/>
  <c r="Q12" i="9"/>
  <c r="K46" i="8"/>
  <c r="I1196" i="11"/>
  <c r="H37" i="11"/>
  <c r="N40" i="10"/>
  <c r="P16" i="9"/>
  <c r="J45" i="3"/>
  <c r="H47" i="8"/>
  <c r="N32" i="8"/>
  <c r="G21" i="3"/>
  <c r="G16" i="8"/>
  <c r="I1210" i="11"/>
  <c r="I1177" i="11"/>
  <c r="E996" i="11"/>
  <c r="J1155" i="11"/>
  <c r="E1255" i="11"/>
  <c r="K1183" i="11"/>
  <c r="B1002" i="11"/>
  <c r="I1160" i="11"/>
  <c r="I1226" i="11"/>
  <c r="F1179" i="11"/>
  <c r="B998" i="11"/>
  <c r="I1156" i="11"/>
  <c r="E975" i="11"/>
  <c r="E34" i="3"/>
  <c r="E905" i="11"/>
  <c r="J1084" i="11"/>
  <c r="B882" i="11"/>
  <c r="E791" i="11"/>
  <c r="J659" i="11"/>
  <c r="E790" i="11"/>
  <c r="I1225" i="11"/>
  <c r="B120" i="11"/>
  <c r="Q26" i="9"/>
  <c r="E20" i="10"/>
  <c r="H43" i="8"/>
  <c r="G12" i="9"/>
  <c r="D18" i="3"/>
  <c r="E9" i="8"/>
  <c r="E1200" i="11"/>
  <c r="K25" i="8"/>
  <c r="F1123" i="11"/>
  <c r="I943" i="11"/>
  <c r="F1108" i="11"/>
  <c r="H21" i="8"/>
  <c r="E1128" i="11"/>
  <c r="F949" i="11"/>
  <c r="K1112" i="11"/>
  <c r="K22" i="8"/>
  <c r="E1124" i="11"/>
  <c r="D16" i="8"/>
  <c r="P25" i="10"/>
  <c r="E36" i="8"/>
  <c r="K72" i="11"/>
  <c r="H35" i="10"/>
  <c r="H36" i="9"/>
  <c r="N26" i="10"/>
  <c r="T44" i="9"/>
  <c r="D8" i="3"/>
  <c r="G14" i="9"/>
  <c r="D7" i="9"/>
  <c r="J8" i="8"/>
  <c r="E1237" i="11"/>
  <c r="E41" i="8"/>
  <c r="H32" i="8"/>
  <c r="H27" i="3"/>
  <c r="B21" i="11"/>
  <c r="H25" i="9"/>
  <c r="G1290" i="11"/>
  <c r="E22" i="3"/>
  <c r="T7" i="9"/>
  <c r="M14" i="10"/>
  <c r="I1188" i="11"/>
  <c r="G6" i="3"/>
  <c r="N5" i="9"/>
  <c r="G1260" i="11"/>
  <c r="B1084" i="11"/>
  <c r="J30" i="8"/>
  <c r="F143" i="11"/>
  <c r="C1267" i="11"/>
  <c r="G1088" i="11"/>
  <c r="D28" i="10"/>
  <c r="N29" i="9"/>
  <c r="E1261" i="11"/>
  <c r="B1085" i="11"/>
  <c r="M25" i="8"/>
  <c r="F1071" i="11"/>
  <c r="E1224" i="11"/>
  <c r="F1010" i="11"/>
  <c r="I1151" i="11"/>
  <c r="E970" i="11"/>
  <c r="B883" i="11"/>
  <c r="K700" i="11"/>
  <c r="G63" i="1"/>
  <c r="C62" i="1"/>
  <c r="K152" i="11"/>
  <c r="L200" i="11"/>
  <c r="E19" i="1"/>
  <c r="D24" i="1"/>
  <c r="G172" i="11"/>
  <c r="C5" i="11"/>
  <c r="C188" i="11"/>
  <c r="C80" i="11"/>
  <c r="B89" i="11"/>
  <c r="F195" i="11"/>
  <c r="K131" i="11"/>
  <c r="F47" i="1"/>
  <c r="H129" i="11"/>
  <c r="L4" i="11"/>
  <c r="J41" i="9"/>
  <c r="Q19" i="9"/>
  <c r="K53" i="11"/>
  <c r="F13" i="11"/>
  <c r="F101" i="11"/>
  <c r="C165" i="11"/>
  <c r="D22" i="9"/>
  <c r="E6" i="10"/>
  <c r="M40" i="9"/>
  <c r="L141" i="11"/>
  <c r="C48" i="11"/>
  <c r="F159" i="11"/>
  <c r="G186" i="11"/>
  <c r="H26" i="10"/>
  <c r="F107" i="11"/>
  <c r="T24" i="9"/>
  <c r="D17" i="9"/>
  <c r="K132" i="11"/>
  <c r="K168" i="11"/>
  <c r="D46" i="9"/>
  <c r="Q20" i="10"/>
  <c r="C35" i="1"/>
  <c r="B52" i="11"/>
  <c r="Q36" i="9"/>
  <c r="P33" i="10"/>
  <c r="L83" i="11"/>
  <c r="G39" i="10"/>
  <c r="C119" i="11"/>
  <c r="F186" i="11"/>
  <c r="G25" i="10"/>
  <c r="H116" i="11"/>
  <c r="N15" i="9"/>
  <c r="G36" i="9"/>
  <c r="F66" i="11"/>
  <c r="B186" i="11"/>
  <c r="G124" i="11"/>
  <c r="K24" i="9"/>
  <c r="H46" i="10"/>
  <c r="G150" i="11"/>
  <c r="P34" i="10"/>
  <c r="N25" i="10"/>
  <c r="B32" i="11"/>
  <c r="H27" i="8"/>
  <c r="F65" i="11"/>
  <c r="M39" i="10"/>
  <c r="E13" i="9"/>
  <c r="T29" i="9"/>
  <c r="B90" i="11"/>
  <c r="G22" i="8"/>
  <c r="S37" i="9"/>
  <c r="J37" i="9"/>
  <c r="M13" i="9"/>
  <c r="G41" i="3"/>
  <c r="K40" i="3"/>
  <c r="G47" i="11"/>
  <c r="C51" i="11"/>
  <c r="D6" i="10"/>
  <c r="M16" i="10"/>
  <c r="J42" i="8"/>
  <c r="G40" i="9"/>
  <c r="H205" i="11"/>
  <c r="H35" i="9"/>
  <c r="K29" i="9"/>
  <c r="F23" i="11"/>
  <c r="J22" i="10"/>
  <c r="C184" i="11"/>
  <c r="S42" i="9"/>
  <c r="J33" i="8"/>
  <c r="G23" i="10"/>
  <c r="F127" i="11"/>
  <c r="H12" i="9"/>
  <c r="G10" i="9"/>
  <c r="E40" i="9"/>
  <c r="J44" i="8"/>
  <c r="H59" i="11"/>
  <c r="B126" i="11"/>
  <c r="E19" i="9"/>
  <c r="F59" i="11"/>
  <c r="N34" i="10"/>
  <c r="J10" i="9"/>
  <c r="E9" i="3"/>
  <c r="M6" i="10"/>
  <c r="K48" i="10"/>
  <c r="H33" i="8"/>
  <c r="P29" i="9"/>
  <c r="H44" i="11"/>
  <c r="B143" i="11"/>
  <c r="J20" i="10"/>
  <c r="B48" i="11"/>
  <c r="J36" i="9"/>
  <c r="D44" i="8"/>
  <c r="D41" i="3"/>
  <c r="H40" i="3"/>
  <c r="B41" i="11"/>
  <c r="J9" i="10"/>
  <c r="G62" i="11"/>
  <c r="F191" i="11"/>
  <c r="D15" i="10"/>
  <c r="T22" i="9"/>
  <c r="H5" i="10"/>
  <c r="E14" i="8"/>
  <c r="J24" i="9"/>
  <c r="T34" i="9"/>
  <c r="N38" i="10"/>
  <c r="B31" i="11"/>
  <c r="D23" i="3"/>
  <c r="D22" i="3"/>
  <c r="H38" i="8"/>
  <c r="G33" i="8"/>
  <c r="C1257" i="11"/>
  <c r="P26" i="8"/>
  <c r="P13" i="8"/>
  <c r="K46" i="10"/>
  <c r="G14" i="8"/>
  <c r="Q30" i="9"/>
  <c r="B122" i="11"/>
  <c r="E31" i="10"/>
  <c r="E10" i="8"/>
  <c r="N36" i="9"/>
  <c r="G22" i="3"/>
  <c r="G8" i="8"/>
  <c r="E1216" i="11"/>
  <c r="E25" i="8"/>
  <c r="B1126" i="11"/>
  <c r="E946" i="11"/>
  <c r="F1110" i="11"/>
  <c r="N22" i="8"/>
  <c r="J1132" i="11"/>
  <c r="B952" i="11"/>
  <c r="K1114" i="11"/>
  <c r="D9" i="8"/>
  <c r="J1128" i="11"/>
  <c r="B948" i="11"/>
  <c r="F1111" i="11"/>
  <c r="G41" i="8"/>
  <c r="F1090" i="11"/>
  <c r="E1284" i="11"/>
  <c r="E1034" i="11"/>
  <c r="C1102" i="11"/>
  <c r="I740" i="11"/>
  <c r="I1099" i="11"/>
  <c r="I739" i="11"/>
  <c r="G1075" i="11"/>
  <c r="K57" i="11"/>
  <c r="H38" i="3"/>
  <c r="K38" i="3"/>
  <c r="Q12" i="8"/>
  <c r="G33" i="10"/>
  <c r="I1220" i="11"/>
  <c r="G18" i="3"/>
  <c r="E40" i="8"/>
  <c r="K1273" i="11"/>
  <c r="B1090" i="11"/>
  <c r="G35" i="9"/>
  <c r="D48" i="8"/>
  <c r="G1280" i="11"/>
  <c r="G1094" i="11"/>
  <c r="J898" i="11"/>
  <c r="D8" i="8"/>
  <c r="I1274" i="11"/>
  <c r="B1091" i="11"/>
  <c r="F87" i="11"/>
  <c r="C20" i="1"/>
  <c r="C64" i="1"/>
  <c r="K25" i="9"/>
  <c r="F19" i="11"/>
  <c r="P32" i="8"/>
  <c r="F149" i="11"/>
  <c r="N15" i="10"/>
  <c r="E1247" i="11"/>
  <c r="P12" i="8"/>
  <c r="M42" i="10"/>
  <c r="B69" i="11"/>
  <c r="D21" i="10"/>
  <c r="F67" i="11"/>
  <c r="E14" i="10"/>
  <c r="G1266" i="11"/>
  <c r="G20" i="8"/>
  <c r="P46" i="8"/>
  <c r="Q48" i="9"/>
  <c r="P8" i="9"/>
  <c r="G13" i="9"/>
  <c r="G6" i="8"/>
  <c r="H19" i="8"/>
  <c r="E1242" i="11"/>
  <c r="Q50" i="8"/>
  <c r="H14" i="3"/>
  <c r="F1035" i="11"/>
  <c r="E1227" i="11"/>
  <c r="T6" i="9"/>
  <c r="K43" i="3"/>
  <c r="I1048" i="11"/>
  <c r="I1251" i="11"/>
  <c r="K12" i="10"/>
  <c r="K22" i="3"/>
  <c r="I1038" i="11"/>
  <c r="I1235" i="11"/>
  <c r="F1014" i="11"/>
  <c r="B1010" i="11"/>
  <c r="F944" i="11"/>
  <c r="J1108" i="11"/>
  <c r="E920" i="11"/>
  <c r="F830" i="11"/>
  <c r="L677" i="11"/>
  <c r="F829" i="11"/>
  <c r="D36" i="3"/>
  <c r="B100" i="11"/>
  <c r="K29" i="11"/>
  <c r="P22" i="10"/>
  <c r="P45" i="9"/>
  <c r="Q42" i="8"/>
  <c r="G48" i="8"/>
  <c r="K45" i="10"/>
  <c r="H16" i="3"/>
  <c r="D22" i="8"/>
  <c r="I1161" i="11"/>
  <c r="E980" i="11"/>
  <c r="J1139" i="11"/>
  <c r="D17" i="10"/>
  <c r="F1167" i="11"/>
  <c r="B986" i="11"/>
  <c r="I1144" i="11"/>
  <c r="G40" i="8"/>
  <c r="F1163" i="11"/>
  <c r="B982" i="11"/>
  <c r="T26" i="9"/>
  <c r="J9" i="8"/>
  <c r="M39" i="9"/>
  <c r="M47" i="10"/>
  <c r="E26" i="9"/>
  <c r="H40" i="9"/>
  <c r="D23" i="8"/>
  <c r="K50" i="3"/>
  <c r="K46" i="3"/>
  <c r="Q41" i="10"/>
  <c r="G17" i="10"/>
  <c r="K1283" i="11"/>
  <c r="K31" i="10"/>
  <c r="P16" i="10"/>
  <c r="G148" i="11"/>
  <c r="H98" i="11"/>
  <c r="F118" i="11"/>
  <c r="K36" i="11"/>
  <c r="M44" i="10"/>
  <c r="Q36" i="10"/>
  <c r="Q29" i="9"/>
  <c r="N38" i="9"/>
  <c r="C133" i="11"/>
  <c r="F42" i="11"/>
  <c r="K14" i="3"/>
  <c r="P50" i="9"/>
  <c r="J27" i="8"/>
  <c r="Q36" i="8"/>
  <c r="E39" i="3"/>
  <c r="F145" i="11"/>
  <c r="D17" i="8"/>
  <c r="E1279" i="11"/>
  <c r="B109" i="11"/>
  <c r="J22" i="9"/>
  <c r="J29" i="8"/>
  <c r="K97" i="11"/>
  <c r="G30" i="8"/>
  <c r="F170" i="11"/>
  <c r="E1239" i="11"/>
  <c r="Q14" i="8"/>
  <c r="B67" i="11"/>
  <c r="K25" i="10"/>
  <c r="T27" i="9"/>
  <c r="H8" i="8"/>
  <c r="E29" i="10"/>
  <c r="D5" i="8"/>
  <c r="E40" i="3"/>
  <c r="E46" i="3"/>
  <c r="D21" i="3"/>
  <c r="I895" i="11"/>
  <c r="F901" i="11"/>
  <c r="F897" i="11"/>
  <c r="B1164" i="11"/>
  <c r="J907" i="11"/>
  <c r="G38" i="3"/>
  <c r="G24" i="8"/>
  <c r="K1058" i="11"/>
  <c r="G1062" i="11"/>
  <c r="J1059" i="11"/>
  <c r="H27" i="9"/>
  <c r="G19" i="10"/>
  <c r="H37" i="8"/>
  <c r="D42" i="9"/>
  <c r="H21" i="3"/>
  <c r="G28" i="3"/>
  <c r="F1142" i="11"/>
  <c r="E1147" i="11"/>
  <c r="E1143" i="11"/>
  <c r="J1076" i="11"/>
  <c r="J882" i="11"/>
  <c r="F1178" i="11"/>
  <c r="K17" i="10"/>
  <c r="S35" i="9"/>
  <c r="Q9" i="8"/>
  <c r="P24" i="8"/>
  <c r="J1032" i="11"/>
  <c r="K20" i="10"/>
  <c r="I1040" i="11"/>
  <c r="P44" i="8"/>
  <c r="I1033" i="11"/>
  <c r="E23" i="10"/>
  <c r="B104" i="11"/>
  <c r="D38" i="8"/>
  <c r="K34" i="10"/>
  <c r="B136" i="11"/>
  <c r="D43" i="3"/>
  <c r="M22" i="10"/>
  <c r="H41" i="8"/>
  <c r="D43" i="10"/>
  <c r="G31" i="10"/>
  <c r="G13" i="8"/>
  <c r="H7" i="8"/>
  <c r="B132" i="11"/>
  <c r="E38" i="10"/>
  <c r="E1275" i="11"/>
  <c r="E45" i="3"/>
  <c r="Q45" i="10"/>
  <c r="J22" i="3"/>
  <c r="B1108" i="11"/>
  <c r="F921" i="11"/>
  <c r="E36" i="9"/>
  <c r="G29" i="3"/>
  <c r="G1112" i="11"/>
  <c r="E926" i="11"/>
  <c r="S8" i="9"/>
  <c r="H23" i="3"/>
  <c r="B1109" i="11"/>
  <c r="E922" i="11"/>
  <c r="F1095" i="11"/>
  <c r="K43" i="10"/>
  <c r="K1069" i="11"/>
  <c r="E1210" i="11"/>
  <c r="F1009" i="11"/>
  <c r="F1012" i="11"/>
  <c r="B717" i="11"/>
  <c r="F1008" i="11"/>
  <c r="K717" i="11"/>
  <c r="E968" i="11"/>
  <c r="F135" i="11"/>
  <c r="I1192" i="11"/>
  <c r="I1276" i="11"/>
  <c r="S48" i="9"/>
  <c r="J15" i="8"/>
  <c r="E6" i="9"/>
  <c r="E1281" i="11"/>
  <c r="E19" i="10"/>
  <c r="I1223" i="11"/>
  <c r="B1074" i="11"/>
  <c r="J24" i="3"/>
  <c r="N37" i="10"/>
  <c r="E1240" i="11"/>
  <c r="G1078" i="11"/>
  <c r="K45" i="3"/>
  <c r="E24" i="10"/>
  <c r="E1228" i="11"/>
  <c r="B1075" i="11"/>
  <c r="J22" i="8"/>
  <c r="K28" i="9"/>
  <c r="F200" i="11"/>
  <c r="E7" i="9"/>
  <c r="D10" i="9"/>
  <c r="F132" i="11"/>
  <c r="P42" i="10"/>
  <c r="P39" i="8"/>
  <c r="J26" i="8"/>
  <c r="J46" i="9"/>
  <c r="E39" i="10"/>
  <c r="H31" i="3"/>
  <c r="H30" i="3"/>
  <c r="F156" i="11"/>
  <c r="J48" i="8"/>
  <c r="I1228" i="11"/>
  <c r="H215" i="11"/>
  <c r="K23" i="3"/>
  <c r="F196" i="11"/>
  <c r="K5" i="8"/>
  <c r="P11" i="10"/>
  <c r="K22" i="10"/>
  <c r="J36" i="3"/>
  <c r="D39" i="9"/>
  <c r="I1284" i="11"/>
  <c r="E1220" i="11"/>
  <c r="I1009" i="11"/>
  <c r="E1167" i="11"/>
  <c r="D17" i="3"/>
  <c r="K1252" i="11"/>
  <c r="F1015" i="11"/>
  <c r="B1173" i="11"/>
  <c r="K1291" i="11"/>
  <c r="J1228" i="11"/>
  <c r="F1011" i="11"/>
  <c r="B1169" i="11"/>
  <c r="I988" i="11"/>
  <c r="F909" i="11"/>
  <c r="I918" i="11"/>
  <c r="J1092" i="11"/>
  <c r="F895" i="11"/>
  <c r="I804" i="11"/>
  <c r="G665" i="11"/>
  <c r="I803" i="11"/>
  <c r="G19" i="3"/>
  <c r="J47" i="3"/>
  <c r="G29" i="10"/>
  <c r="G20" i="9"/>
  <c r="N34" i="8"/>
  <c r="M46" i="9"/>
  <c r="K34" i="3"/>
  <c r="H24" i="8"/>
  <c r="G1255" i="11"/>
  <c r="N7" i="10"/>
  <c r="J1136" i="11"/>
  <c r="F955" i="11"/>
  <c r="F1116" i="11"/>
  <c r="E16" i="9"/>
  <c r="I1141" i="11"/>
  <c r="E960" i="11"/>
  <c r="K1120" i="11"/>
  <c r="K19" i="10"/>
  <c r="I1137" i="11"/>
  <c r="E956" i="11"/>
  <c r="E1219" i="11"/>
  <c r="J1011" i="11"/>
  <c r="I997" i="11"/>
  <c r="J941" i="11"/>
  <c r="J1106" i="11"/>
  <c r="I917" i="11"/>
  <c r="J827" i="11"/>
  <c r="J675" i="11"/>
  <c r="J826" i="11"/>
  <c r="K1275" i="11"/>
  <c r="F94" i="11"/>
  <c r="K12" i="9"/>
  <c r="D24" i="8"/>
  <c r="B141" i="11"/>
  <c r="E41" i="10"/>
  <c r="G1282" i="11"/>
  <c r="D48" i="3"/>
  <c r="N21" i="9"/>
  <c r="G26" i="3"/>
  <c r="B1110" i="11"/>
  <c r="B924" i="11"/>
  <c r="E14" i="9"/>
  <c r="I1254" i="11"/>
  <c r="G1082" i="11"/>
  <c r="H13" i="8"/>
  <c r="N45" i="10"/>
  <c r="E1248" i="11"/>
  <c r="B1079" i="11"/>
  <c r="K16" i="8"/>
  <c r="F1065" i="11"/>
  <c r="E1152" i="11"/>
  <c r="B997" i="11"/>
  <c r="J1142" i="11"/>
  <c r="F961" i="11"/>
  <c r="J871" i="11"/>
  <c r="E695" i="11"/>
  <c r="J870" i="11"/>
  <c r="C695" i="11"/>
  <c r="E1139" i="11"/>
  <c r="M41" i="8"/>
  <c r="E1071" i="11"/>
  <c r="C1284" i="11"/>
  <c r="E24" i="8"/>
  <c r="I1195" i="11"/>
  <c r="F1174" i="11"/>
  <c r="E1179" i="11"/>
  <c r="E1175" i="11"/>
  <c r="J1096" i="11"/>
  <c r="J810" i="11"/>
  <c r="E933" i="11"/>
  <c r="E1059" i="11"/>
  <c r="B933" i="11"/>
  <c r="F708" i="11"/>
  <c r="B929" i="11"/>
  <c r="D708" i="11"/>
  <c r="I915" i="11"/>
  <c r="F920" i="11"/>
  <c r="J1093" i="11"/>
  <c r="E896" i="11"/>
  <c r="F806" i="11"/>
  <c r="H666" i="11"/>
  <c r="F805" i="11"/>
  <c r="G1281" i="11"/>
  <c r="E1127" i="11"/>
  <c r="F948" i="11"/>
  <c r="K1111" i="11"/>
  <c r="E27" i="8"/>
  <c r="J1066" i="11"/>
  <c r="F1180" i="11"/>
  <c r="J763" i="11"/>
  <c r="F1176" i="11"/>
  <c r="J762" i="11"/>
  <c r="E1136" i="11"/>
  <c r="J44" i="10"/>
  <c r="F108" i="11"/>
  <c r="K32" i="10"/>
  <c r="K39" i="9"/>
  <c r="N27" i="10"/>
  <c r="K1263" i="11"/>
  <c r="G37" i="3"/>
  <c r="M37" i="9"/>
  <c r="G7" i="3"/>
  <c r="B1102" i="11"/>
  <c r="I911" i="11"/>
  <c r="E47" i="10"/>
  <c r="G16" i="3"/>
  <c r="G1106" i="11"/>
  <c r="F917" i="11"/>
  <c r="B114" i="11"/>
  <c r="G9" i="3"/>
  <c r="B1103" i="11"/>
  <c r="F913" i="11"/>
  <c r="F1089" i="11"/>
  <c r="G23" i="3"/>
  <c r="K1061" i="11"/>
  <c r="B1180" i="11"/>
  <c r="I999" i="11"/>
  <c r="E973" i="11"/>
  <c r="G713" i="11"/>
  <c r="E969" i="11"/>
  <c r="E712" i="11"/>
  <c r="I931" i="11"/>
  <c r="F924" i="11"/>
  <c r="E1095" i="11"/>
  <c r="E900" i="11"/>
  <c r="G60" i="11"/>
  <c r="P48" i="8"/>
  <c r="E964" i="11"/>
  <c r="B970" i="11"/>
  <c r="B966" i="11"/>
  <c r="E50" i="3"/>
  <c r="B1163" i="11"/>
  <c r="I996" i="11"/>
  <c r="E1091" i="11"/>
  <c r="C1092" i="11"/>
  <c r="B733" i="11"/>
  <c r="I1081" i="11"/>
  <c r="B732" i="11"/>
  <c r="G1073" i="11"/>
  <c r="B961" i="11"/>
  <c r="J1117" i="11"/>
  <c r="F935" i="11"/>
  <c r="I844" i="11"/>
  <c r="J683" i="11"/>
  <c r="I843" i="11"/>
  <c r="F1166" i="11"/>
  <c r="B985" i="11"/>
  <c r="B896" i="11"/>
  <c r="B915" i="11"/>
  <c r="J1090" i="11"/>
  <c r="J892" i="11"/>
  <c r="B801" i="11"/>
  <c r="E663" i="11"/>
  <c r="B800" i="11"/>
  <c r="I1290" i="11"/>
  <c r="B34" i="11"/>
  <c r="J40" i="8"/>
  <c r="N41" i="10"/>
  <c r="P16" i="8"/>
  <c r="H34" i="9"/>
  <c r="H24" i="3"/>
  <c r="P10" i="8"/>
  <c r="I1232" i="11"/>
  <c r="J7" i="8"/>
  <c r="I1129" i="11"/>
  <c r="J950" i="11"/>
  <c r="F1112" i="11"/>
  <c r="D41" i="8"/>
  <c r="F1135" i="11"/>
  <c r="B954" i="11"/>
  <c r="K1116" i="11"/>
  <c r="H18" i="8"/>
  <c r="F1131" i="11"/>
  <c r="I951" i="11"/>
  <c r="F1113" i="11"/>
  <c r="E32" i="10"/>
  <c r="K1093" i="11"/>
  <c r="G1291" i="11"/>
  <c r="I1041" i="11"/>
  <c r="C1110" i="11"/>
  <c r="E743" i="11"/>
  <c r="I1107" i="11"/>
  <c r="E742" i="11"/>
  <c r="G1083" i="11"/>
  <c r="J967" i="11"/>
  <c r="E1119" i="11"/>
  <c r="F939" i="11"/>
  <c r="N10" i="8"/>
  <c r="C1269" i="11"/>
  <c r="B1104" i="11"/>
  <c r="G1108" i="11"/>
  <c r="B1105" i="11"/>
  <c r="K1064" i="11"/>
  <c r="I714" i="11"/>
  <c r="K1071" i="11"/>
  <c r="F1125" i="11"/>
  <c r="B878" i="11"/>
  <c r="E771" i="11"/>
  <c r="C1276" i="11"/>
  <c r="E770" i="11"/>
  <c r="E1256" i="11"/>
  <c r="I1012" i="11"/>
  <c r="F1153" i="11"/>
  <c r="B972" i="11"/>
  <c r="B885" i="11"/>
  <c r="L701" i="11"/>
  <c r="F884" i="11"/>
  <c r="J700" i="11"/>
  <c r="E1262" i="11"/>
  <c r="E1023" i="11"/>
  <c r="G1061" i="11"/>
  <c r="J955" i="11"/>
  <c r="J1114" i="11"/>
  <c r="B930" i="11"/>
  <c r="E839" i="11"/>
  <c r="G681" i="11"/>
  <c r="E838" i="11"/>
  <c r="J19" i="8"/>
  <c r="B145" i="11"/>
  <c r="L115" i="11"/>
  <c r="H15" i="9"/>
  <c r="K24" i="3"/>
  <c r="P21" i="8"/>
  <c r="D10" i="8"/>
  <c r="G41" i="9"/>
  <c r="J40" i="3"/>
  <c r="D25" i="10"/>
  <c r="J1168" i="11"/>
  <c r="F987" i="11"/>
  <c r="B1145" i="11"/>
  <c r="G7" i="9"/>
  <c r="I1173" i="11"/>
  <c r="E992" i="11"/>
  <c r="J1151" i="11"/>
  <c r="D41" i="10"/>
  <c r="I1169" i="11"/>
  <c r="E988" i="11"/>
  <c r="J1147" i="11"/>
  <c r="F966" i="11"/>
  <c r="B1181" i="11"/>
  <c r="F896" i="11"/>
  <c r="J1078" i="11"/>
  <c r="E872" i="11"/>
  <c r="F782" i="11"/>
  <c r="S9" i="9"/>
  <c r="F781" i="11"/>
  <c r="H6" i="3"/>
  <c r="F1018" i="11"/>
  <c r="F1157" i="11"/>
  <c r="B976" i="11"/>
  <c r="K8" i="9"/>
  <c r="M47" i="8"/>
  <c r="I1213" i="11"/>
  <c r="E1230" i="11"/>
  <c r="I1217" i="11"/>
  <c r="G1117" i="11"/>
  <c r="F862" i="11"/>
  <c r="J1127" i="11"/>
  <c r="B1176" i="11"/>
  <c r="I929" i="11"/>
  <c r="F810" i="11"/>
  <c r="E667" i="11"/>
  <c r="F809" i="11"/>
  <c r="J23" i="3"/>
  <c r="F1070" i="11"/>
  <c r="E1218" i="11"/>
  <c r="E1010" i="11"/>
  <c r="I1018" i="11"/>
  <c r="C718" i="11"/>
  <c r="I1014" i="11"/>
  <c r="L718" i="11"/>
  <c r="B1133" i="11"/>
  <c r="J999" i="11"/>
  <c r="L673" i="11"/>
  <c r="B909" i="11"/>
  <c r="E705" i="11"/>
  <c r="I721" i="11"/>
  <c r="J579" i="11"/>
  <c r="I733" i="11"/>
  <c r="E580" i="11"/>
  <c r="B919" i="11"/>
  <c r="B665" i="11"/>
  <c r="I894" i="11"/>
  <c r="M10" i="8"/>
  <c r="P43" i="8"/>
  <c r="B1064" i="11"/>
  <c r="G1068" i="11"/>
  <c r="B1065" i="11"/>
  <c r="E967" i="11"/>
  <c r="B685" i="11"/>
  <c r="E1043" i="11"/>
  <c r="E1109" i="11"/>
  <c r="E1209" i="11"/>
  <c r="E755" i="11"/>
  <c r="B1147" i="11"/>
  <c r="E754" i="11"/>
  <c r="I1133" i="11"/>
  <c r="J991" i="11"/>
  <c r="F1137" i="11"/>
  <c r="B956" i="11"/>
  <c r="J867" i="11"/>
  <c r="B693" i="11"/>
  <c r="J866" i="11"/>
  <c r="K693" i="11"/>
  <c r="G39" i="3"/>
  <c r="E1153" i="11"/>
  <c r="I878" i="11"/>
  <c r="F698" i="11"/>
  <c r="F691" i="11"/>
  <c r="K572" i="11"/>
  <c r="H697" i="11"/>
  <c r="F573" i="11"/>
  <c r="C1286" i="11"/>
  <c r="I1101" i="11"/>
  <c r="F873" i="11"/>
  <c r="H11" i="10"/>
  <c r="K37" i="10"/>
  <c r="I977" i="11"/>
  <c r="F983" i="11"/>
  <c r="F979" i="11"/>
  <c r="M24" i="10"/>
  <c r="E1282" i="11"/>
  <c r="B1005" i="11"/>
  <c r="E1093" i="11"/>
  <c r="C1100" i="11"/>
  <c r="I736" i="11"/>
  <c r="I1089" i="11"/>
  <c r="I735" i="11"/>
  <c r="G1081" i="11"/>
  <c r="B965" i="11"/>
  <c r="J1119" i="11"/>
  <c r="B938" i="11"/>
  <c r="E847" i="11"/>
  <c r="L685" i="11"/>
  <c r="E846" i="11"/>
  <c r="J684" i="11"/>
  <c r="E1070" i="11"/>
  <c r="F769" i="11"/>
  <c r="E829" i="11"/>
  <c r="I676" i="11"/>
  <c r="F643" i="11"/>
  <c r="D544" i="11"/>
  <c r="C645" i="11"/>
  <c r="J545" i="11"/>
  <c r="E1060" i="11"/>
  <c r="G38" i="1"/>
  <c r="E63" i="1"/>
  <c r="K79" i="11"/>
  <c r="F184" i="11"/>
  <c r="H95" i="11"/>
  <c r="C41" i="1"/>
  <c r="G125" i="11"/>
  <c r="K211" i="11"/>
  <c r="G87" i="11"/>
  <c r="C56" i="11"/>
  <c r="H140" i="11"/>
  <c r="J45" i="8"/>
  <c r="G20" i="10"/>
  <c r="N36" i="10"/>
  <c r="Q38" i="10"/>
  <c r="B73" i="11"/>
  <c r="J43" i="3"/>
  <c r="K23" i="10"/>
  <c r="N30" i="9"/>
  <c r="F83" i="11"/>
  <c r="G27" i="10"/>
  <c r="H50" i="10"/>
  <c r="K42" i="10"/>
  <c r="J29" i="10"/>
  <c r="H11" i="9"/>
  <c r="G65" i="11"/>
  <c r="N22" i="10"/>
  <c r="D9" i="10"/>
  <c r="J28" i="3"/>
  <c r="G72" i="11"/>
  <c r="C1261" i="11"/>
  <c r="T10" i="9"/>
  <c r="H26" i="3"/>
  <c r="F25" i="11"/>
  <c r="M27" i="8"/>
  <c r="G13" i="10"/>
  <c r="D39" i="8"/>
  <c r="F1079" i="11"/>
  <c r="I983" i="11"/>
  <c r="F705" i="11"/>
  <c r="I1190" i="11"/>
  <c r="G1256" i="11"/>
  <c r="I1259" i="11"/>
  <c r="E1270" i="11"/>
  <c r="J11" i="8"/>
  <c r="Q22" i="10"/>
  <c r="D31" i="10"/>
  <c r="K12" i="8"/>
  <c r="G154" i="11"/>
  <c r="N46" i="8"/>
  <c r="D37" i="8"/>
  <c r="Q41" i="9"/>
  <c r="J8" i="10"/>
  <c r="J963" i="11"/>
  <c r="Q26" i="8"/>
  <c r="J778" i="11"/>
  <c r="F64" i="11"/>
  <c r="G17" i="8"/>
  <c r="Q45" i="9"/>
  <c r="K14" i="8"/>
  <c r="D34" i="3"/>
  <c r="E930" i="11"/>
  <c r="E41" i="3"/>
  <c r="B936" i="11"/>
  <c r="K36" i="3"/>
  <c r="Q17" i="8"/>
  <c r="K35" i="8"/>
  <c r="B119" i="11"/>
  <c r="N16" i="10"/>
  <c r="K1287" i="11"/>
  <c r="P40" i="10"/>
  <c r="I1206" i="11"/>
  <c r="F100" i="11"/>
  <c r="Q23" i="8"/>
  <c r="K29" i="8"/>
  <c r="M48" i="10"/>
  <c r="I1224" i="11"/>
  <c r="G1286" i="11"/>
  <c r="Q32" i="9"/>
  <c r="G21" i="8"/>
  <c r="E31" i="9"/>
  <c r="K1285" i="11"/>
  <c r="N29" i="10"/>
  <c r="E1232" i="11"/>
  <c r="B1076" i="11"/>
  <c r="H36" i="3"/>
  <c r="Q39" i="9"/>
  <c r="I1250" i="11"/>
  <c r="G1080" i="11"/>
  <c r="G11" i="8"/>
  <c r="E35" i="10"/>
  <c r="E1238" i="11"/>
  <c r="B1077" i="11"/>
  <c r="J42" i="3"/>
  <c r="F1063" i="11"/>
  <c r="J1140" i="11"/>
  <c r="B993" i="11"/>
  <c r="E1138" i="11"/>
  <c r="J958" i="11"/>
  <c r="E868" i="11"/>
  <c r="C694" i="11"/>
  <c r="I867" i="11"/>
  <c r="L694" i="11"/>
  <c r="D36" i="1"/>
  <c r="P25" i="8"/>
  <c r="K30" i="8"/>
  <c r="J32" i="8"/>
  <c r="H21" i="10"/>
  <c r="S43" i="9"/>
  <c r="D50" i="3"/>
  <c r="I1203" i="11"/>
  <c r="J33" i="3"/>
  <c r="G1263" i="11"/>
  <c r="F1019" i="11"/>
  <c r="B1177" i="11"/>
  <c r="K18" i="8"/>
  <c r="I1277" i="11"/>
  <c r="E1024" i="11"/>
  <c r="I1183" i="11"/>
  <c r="D39" i="3"/>
  <c r="C1266" i="11"/>
  <c r="E1020" i="11"/>
  <c r="C126" i="11"/>
  <c r="E12" i="10"/>
  <c r="F198" i="11"/>
  <c r="P30" i="8"/>
  <c r="B112" i="11"/>
  <c r="Q23" i="9"/>
  <c r="G36" i="8"/>
  <c r="H35" i="3"/>
  <c r="H34" i="3"/>
  <c r="H7" i="10"/>
  <c r="M13" i="10"/>
  <c r="G1270" i="11"/>
  <c r="M18" i="10"/>
  <c r="D7" i="10"/>
  <c r="N33" i="9"/>
  <c r="D11" i="10"/>
  <c r="B91" i="11"/>
  <c r="P20" i="10"/>
  <c r="E18" i="9"/>
  <c r="H45" i="8"/>
  <c r="G10" i="10"/>
  <c r="J37" i="3"/>
  <c r="N30" i="8"/>
  <c r="I1261" i="11"/>
  <c r="K35" i="10"/>
  <c r="F1139" i="11"/>
  <c r="B958" i="11"/>
  <c r="F1118" i="11"/>
  <c r="B130" i="11"/>
  <c r="E1144" i="11"/>
  <c r="J964" i="11"/>
  <c r="J1122" i="11"/>
  <c r="M6" i="9"/>
  <c r="E1140" i="11"/>
  <c r="J960" i="11"/>
  <c r="F1119" i="11"/>
  <c r="P6" i="9"/>
  <c r="K1101" i="11"/>
  <c r="E23" i="3"/>
  <c r="J1060" i="11"/>
  <c r="E1141" i="11"/>
  <c r="B753" i="11"/>
  <c r="E1137" i="11"/>
  <c r="B752" i="11"/>
  <c r="G1107" i="11"/>
  <c r="H44" i="8"/>
  <c r="M40" i="10"/>
  <c r="H26" i="8"/>
  <c r="G83" i="11"/>
  <c r="N19" i="10"/>
  <c r="I1256" i="11"/>
  <c r="D30" i="3"/>
  <c r="P21" i="10"/>
  <c r="E1289" i="11"/>
  <c r="B1098" i="11"/>
  <c r="F905" i="11"/>
  <c r="G50" i="9"/>
  <c r="G5" i="3"/>
  <c r="G1102" i="11"/>
  <c r="E910" i="11"/>
  <c r="P28" i="10"/>
  <c r="E48" i="3"/>
  <c r="B1099" i="11"/>
  <c r="E906" i="11"/>
  <c r="I1140" i="11"/>
  <c r="E959" i="11"/>
  <c r="E1155" i="11"/>
  <c r="D34" i="10"/>
  <c r="J1074" i="11"/>
  <c r="E35" i="3"/>
  <c r="E775" i="11"/>
  <c r="H19" i="3"/>
  <c r="E774" i="11"/>
  <c r="E1204" i="11"/>
  <c r="B160" i="11"/>
  <c r="J39" i="8"/>
  <c r="C1289" i="11"/>
  <c r="D43" i="9"/>
  <c r="J31" i="8"/>
  <c r="Q24" i="9"/>
  <c r="G1288" i="11"/>
  <c r="E40" i="10"/>
  <c r="E1244" i="11"/>
  <c r="B1078" i="11"/>
  <c r="J48" i="3"/>
  <c r="D50" i="9"/>
  <c r="E12" i="3"/>
  <c r="F1031" i="11"/>
  <c r="E1207" i="11"/>
  <c r="Q31" i="8"/>
  <c r="K1284" i="11"/>
  <c r="F1027" i="11"/>
  <c r="E1187" i="11"/>
  <c r="I1004" i="11"/>
  <c r="J972" i="11"/>
  <c r="I934" i="11"/>
  <c r="J1102" i="11"/>
  <c r="F911" i="11"/>
  <c r="I820" i="11"/>
  <c r="F672" i="11"/>
  <c r="I819" i="11"/>
  <c r="G28" i="8"/>
  <c r="K1074" i="11"/>
  <c r="I1238" i="11"/>
  <c r="E1014" i="11"/>
  <c r="H65" i="1"/>
  <c r="P19" i="10"/>
  <c r="E21" i="3"/>
  <c r="E42" i="3"/>
  <c r="G27" i="3"/>
  <c r="J995" i="11"/>
  <c r="I901" i="11"/>
  <c r="K31" i="8"/>
  <c r="K20" i="3"/>
  <c r="I979" i="11"/>
  <c r="I848" i="11"/>
  <c r="G685" i="11"/>
  <c r="I847" i="11"/>
  <c r="J25" i="8"/>
  <c r="F1102" i="11"/>
  <c r="K29" i="3"/>
  <c r="J1061" i="11"/>
  <c r="F1148" i="11"/>
  <c r="J755" i="11"/>
  <c r="F1144" i="11"/>
  <c r="J754" i="11"/>
  <c r="B932" i="11"/>
  <c r="F1093" i="11"/>
  <c r="Q35" i="8"/>
  <c r="F1066" i="11"/>
  <c r="E1194" i="11"/>
  <c r="J1006" i="11"/>
  <c r="B999" i="11"/>
  <c r="K716" i="11"/>
  <c r="B995" i="11"/>
  <c r="I715" i="11"/>
  <c r="J956" i="11"/>
  <c r="P29" i="10"/>
  <c r="D39" i="10"/>
  <c r="E1263" i="11"/>
  <c r="Q39" i="10"/>
  <c r="H42" i="8"/>
  <c r="D27" i="10"/>
  <c r="C1275" i="11"/>
  <c r="M15" i="10"/>
  <c r="H53" i="1"/>
  <c r="C180" i="11"/>
  <c r="K30" i="9"/>
  <c r="G34" i="9"/>
  <c r="C207" i="11"/>
  <c r="G14" i="10"/>
  <c r="G184" i="11"/>
  <c r="B92" i="11"/>
  <c r="N19" i="9"/>
  <c r="F34" i="11"/>
  <c r="F77" i="11"/>
  <c r="B197" i="11"/>
  <c r="D29" i="3"/>
  <c r="G67" i="11"/>
  <c r="K38" i="9"/>
  <c r="F103" i="11"/>
  <c r="M8" i="10"/>
  <c r="B115" i="11"/>
  <c r="E50" i="8"/>
  <c r="K98" i="11"/>
  <c r="B138" i="11"/>
  <c r="H30" i="10"/>
  <c r="C177" i="11"/>
  <c r="T47" i="9"/>
  <c r="F111" i="11"/>
  <c r="N27" i="9"/>
  <c r="Q9" i="9"/>
  <c r="P5" i="9"/>
  <c r="Q45" i="8"/>
  <c r="N47" i="10"/>
  <c r="Q38" i="8"/>
  <c r="D5" i="9"/>
  <c r="K171" i="11"/>
  <c r="K8" i="10"/>
  <c r="K1277" i="11"/>
  <c r="G1284" i="11"/>
  <c r="C1279" i="11"/>
  <c r="I1193" i="11"/>
  <c r="J911" i="11"/>
  <c r="E27" i="3"/>
  <c r="E34" i="8"/>
  <c r="F151" i="11"/>
  <c r="E18" i="8"/>
  <c r="G47" i="8"/>
  <c r="N33" i="10"/>
  <c r="D19" i="8"/>
  <c r="M42" i="9"/>
  <c r="Q31" i="10"/>
  <c r="P42" i="9"/>
  <c r="E5" i="8"/>
  <c r="E1164" i="11"/>
  <c r="B1170" i="11"/>
  <c r="B1166" i="11"/>
  <c r="I1168" i="11"/>
  <c r="J779" i="11"/>
  <c r="I699" i="11"/>
  <c r="P21" i="9"/>
  <c r="D37" i="10"/>
  <c r="F202" i="11"/>
  <c r="E1234" i="11"/>
  <c r="E5" i="3"/>
  <c r="E1211" i="11"/>
  <c r="G25" i="3"/>
  <c r="I1239" i="11"/>
  <c r="H10" i="3"/>
  <c r="F112" i="11"/>
  <c r="K186" i="11"/>
  <c r="K12" i="3"/>
  <c r="K5" i="10"/>
  <c r="M17" i="10"/>
  <c r="Q15" i="9"/>
  <c r="H42" i="3"/>
  <c r="E46" i="10"/>
  <c r="D14" i="3"/>
  <c r="E10" i="9"/>
  <c r="M11" i="10"/>
  <c r="M6" i="8"/>
  <c r="H48" i="8"/>
  <c r="P24" i="10"/>
  <c r="M12" i="9"/>
  <c r="K20" i="8"/>
  <c r="I1211" i="11"/>
  <c r="G45" i="3"/>
  <c r="G1271" i="11"/>
  <c r="B1022" i="11"/>
  <c r="I1180" i="11"/>
  <c r="H9" i="8"/>
  <c r="I1285" i="11"/>
  <c r="J1028" i="11"/>
  <c r="E1191" i="11"/>
  <c r="K27" i="8"/>
  <c r="K1276" i="11"/>
  <c r="J1024" i="11"/>
  <c r="F1182" i="11"/>
  <c r="B1001" i="11"/>
  <c r="F959" i="11"/>
  <c r="B931" i="11"/>
  <c r="J1100" i="11"/>
  <c r="J908" i="11"/>
  <c r="B817" i="11"/>
  <c r="D671" i="11"/>
  <c r="B816" i="11"/>
  <c r="D35" i="3"/>
  <c r="B36" i="11"/>
  <c r="Q11" i="10"/>
  <c r="G44" i="8"/>
  <c r="K15" i="10"/>
  <c r="B154" i="11"/>
  <c r="K47" i="8"/>
  <c r="P47" i="10"/>
  <c r="E1280" i="11"/>
  <c r="J32" i="3"/>
  <c r="E1148" i="11"/>
  <c r="J968" i="11"/>
  <c r="F1126" i="11"/>
  <c r="K28" i="8"/>
  <c r="B1154" i="11"/>
  <c r="I973" i="11"/>
  <c r="E1131" i="11"/>
  <c r="D38" i="3"/>
  <c r="B1150" i="11"/>
  <c r="I969" i="11"/>
  <c r="Q25" i="10"/>
  <c r="K40" i="10"/>
  <c r="M23" i="9"/>
  <c r="B56" i="11"/>
  <c r="J37" i="10"/>
  <c r="B200" i="11"/>
  <c r="E42" i="10"/>
  <c r="G1274" i="11"/>
  <c r="Q8" i="10"/>
  <c r="H19" i="10"/>
  <c r="Q20" i="8"/>
  <c r="B29" i="11"/>
  <c r="K127" i="11"/>
  <c r="D35" i="9"/>
  <c r="K42" i="8"/>
  <c r="J39" i="3"/>
  <c r="J12" i="10"/>
  <c r="Q17" i="9"/>
  <c r="M35" i="10"/>
  <c r="M34" i="9"/>
  <c r="E22" i="10"/>
  <c r="E1259" i="11"/>
  <c r="H33" i="3"/>
  <c r="P44" i="10"/>
  <c r="E30" i="3"/>
  <c r="B1100" i="11"/>
  <c r="B908" i="11"/>
  <c r="E30" i="8"/>
  <c r="G11" i="3"/>
  <c r="G1104" i="11"/>
  <c r="J914" i="11"/>
  <c r="E37" i="9"/>
  <c r="E17" i="3"/>
  <c r="B1101" i="11"/>
  <c r="J910" i="11"/>
  <c r="F1087" i="11"/>
  <c r="E10" i="3"/>
  <c r="E1057" i="11"/>
  <c r="F1177" i="11"/>
  <c r="B996" i="11"/>
  <c r="J961" i="11"/>
  <c r="E711" i="11"/>
  <c r="J957" i="11"/>
  <c r="C711" i="11"/>
  <c r="E918" i="11"/>
  <c r="D37" i="9"/>
  <c r="J36" i="8"/>
  <c r="K1251" i="11"/>
  <c r="Q15" i="10"/>
  <c r="M36" i="8"/>
  <c r="P9" i="10"/>
  <c r="K1269" i="11"/>
  <c r="N13" i="8"/>
  <c r="B13" i="11"/>
  <c r="B1066" i="11"/>
  <c r="G1285" i="11"/>
  <c r="M30" i="10"/>
  <c r="I1199" i="11"/>
  <c r="G1070" i="11"/>
  <c r="E13" i="3"/>
  <c r="G25" i="8"/>
  <c r="K207" i="11"/>
  <c r="B1067" i="11"/>
  <c r="F945" i="11"/>
  <c r="F1101" i="11"/>
  <c r="I1218" i="11"/>
  <c r="K1077" i="11"/>
  <c r="E1252" i="11"/>
  <c r="E1018" i="11"/>
  <c r="C1062" i="11"/>
  <c r="I724" i="11"/>
  <c r="I1059" i="11"/>
  <c r="I723" i="11"/>
  <c r="F1007" i="11"/>
  <c r="Q30" i="10"/>
  <c r="E1251" i="11"/>
  <c r="E48" i="10"/>
  <c r="P38" i="10"/>
  <c r="H46" i="9"/>
  <c r="H11" i="8"/>
  <c r="I1219" i="11"/>
  <c r="Q11" i="8"/>
  <c r="G1279" i="11"/>
  <c r="I1025" i="11"/>
  <c r="J1183" i="11"/>
  <c r="N18" i="8"/>
  <c r="E1160" i="11"/>
  <c r="J980" i="11"/>
  <c r="F1138" i="11"/>
  <c r="Q41" i="8"/>
  <c r="E1156" i="11"/>
  <c r="J976" i="11"/>
  <c r="F1134" i="11"/>
  <c r="G953" i="11"/>
  <c r="F1130" i="11"/>
  <c r="J28" i="8"/>
  <c r="J1070" i="11"/>
  <c r="G1265" i="11"/>
  <c r="B769" i="11"/>
  <c r="G1257" i="11"/>
  <c r="B768" i="11"/>
  <c r="B1162" i="11"/>
  <c r="I1000" i="11"/>
  <c r="B1144" i="11"/>
  <c r="I963" i="11"/>
  <c r="P42" i="8"/>
  <c r="K38" i="10"/>
  <c r="I1253" i="11"/>
  <c r="I1269" i="11"/>
  <c r="C1258" i="11"/>
  <c r="E934" i="11"/>
  <c r="J811" i="11"/>
  <c r="F1100" i="11"/>
  <c r="B1160" i="11"/>
  <c r="B910" i="11"/>
  <c r="B797" i="11"/>
  <c r="H662" i="11"/>
  <c r="B796" i="11"/>
  <c r="G13" i="3"/>
  <c r="K1060" i="11"/>
  <c r="E1178" i="11"/>
  <c r="J998" i="11"/>
  <c r="B967" i="11"/>
  <c r="F712" i="11"/>
  <c r="B963" i="11"/>
  <c r="D712" i="11"/>
  <c r="J30" i="3"/>
  <c r="F1061" i="11"/>
  <c r="F1127" i="11"/>
  <c r="B989" i="11"/>
  <c r="I1135" i="11"/>
  <c r="E954" i="11"/>
  <c r="B865" i="11"/>
  <c r="L693" i="11"/>
  <c r="B864" i="11"/>
  <c r="J692" i="11"/>
  <c r="C187" i="11"/>
  <c r="C39" i="11"/>
  <c r="G34" i="10"/>
  <c r="J10" i="8"/>
  <c r="H13" i="10"/>
  <c r="K30" i="10"/>
  <c r="K42" i="3"/>
  <c r="I1187" i="11"/>
  <c r="D5" i="3"/>
  <c r="I1240" i="11"/>
  <c r="E1012" i="11"/>
  <c r="J1171" i="11"/>
  <c r="K30" i="3"/>
  <c r="K1260" i="11"/>
  <c r="B1018" i="11"/>
  <c r="I1176" i="11"/>
  <c r="D13" i="3"/>
  <c r="C1250" i="11"/>
  <c r="B1014" i="11"/>
  <c r="I1172" i="11"/>
  <c r="E991" i="11"/>
  <c r="J922" i="11"/>
  <c r="E921" i="11"/>
  <c r="J1094" i="11"/>
  <c r="B898" i="11"/>
  <c r="E807" i="11"/>
  <c r="I666" i="11"/>
  <c r="E806" i="11"/>
  <c r="J35" i="3"/>
  <c r="K1063" i="11"/>
  <c r="E1182" i="11"/>
  <c r="J1002" i="11"/>
  <c r="G200" i="11"/>
  <c r="B47" i="11"/>
  <c r="J20" i="3"/>
  <c r="J41" i="3"/>
  <c r="E26" i="3"/>
  <c r="G56" i="11"/>
  <c r="B1167" i="11"/>
  <c r="J1124" i="11"/>
  <c r="E1276" i="11"/>
  <c r="B960" i="11"/>
  <c r="E835" i="11"/>
  <c r="J679" i="11"/>
  <c r="E834" i="11"/>
  <c r="E11" i="10"/>
  <c r="K1092" i="11"/>
  <c r="K1288" i="11"/>
  <c r="I1037" i="11"/>
  <c r="C1106" i="11"/>
  <c r="F742" i="11"/>
  <c r="I1103" i="11"/>
  <c r="I919" i="11"/>
  <c r="F1085" i="11"/>
  <c r="E1277" i="11"/>
  <c r="E1047" i="11"/>
  <c r="J1174" i="11"/>
  <c r="F993" i="11"/>
  <c r="B949" i="11"/>
  <c r="C710" i="11"/>
  <c r="B945" i="11"/>
  <c r="L710" i="11"/>
  <c r="J906" i="11"/>
  <c r="G24" i="10"/>
  <c r="P47" i="8"/>
  <c r="I1222" i="11"/>
  <c r="G31" i="8"/>
  <c r="M24" i="8"/>
  <c r="D21" i="8"/>
  <c r="I1262" i="11"/>
  <c r="H22" i="8"/>
  <c r="M34" i="10"/>
  <c r="B1062" i="11"/>
  <c r="C1272" i="11"/>
  <c r="P45" i="8"/>
  <c r="G5" i="9"/>
  <c r="G1066" i="11"/>
  <c r="I1283" i="11"/>
  <c r="D30" i="8"/>
  <c r="D22" i="10"/>
  <c r="B1063" i="11"/>
  <c r="I1275" i="11"/>
  <c r="F1030" i="11"/>
  <c r="G1077" i="11"/>
  <c r="E963" i="11"/>
  <c r="J1118" i="11"/>
  <c r="E936" i="11"/>
  <c r="F846" i="11"/>
  <c r="K684" i="11"/>
  <c r="F845" i="11"/>
  <c r="S36" i="9"/>
  <c r="K1095" i="11"/>
  <c r="E19" i="3"/>
  <c r="I1047" i="11"/>
  <c r="C1116" i="11"/>
  <c r="B72" i="11"/>
  <c r="G46" i="8"/>
  <c r="Q37" i="10"/>
  <c r="H50" i="8"/>
  <c r="F1091" i="11"/>
  <c r="E1002" i="11"/>
  <c r="G714" i="11"/>
  <c r="E901" i="11"/>
  <c r="I1011" i="11"/>
  <c r="E873" i="11"/>
  <c r="L697" i="11"/>
  <c r="B872" i="11"/>
  <c r="J696" i="11"/>
  <c r="J1175" i="11"/>
  <c r="B77" i="11"/>
  <c r="J1077" i="11"/>
  <c r="D32" i="10"/>
  <c r="I780" i="11"/>
  <c r="P35" i="8"/>
  <c r="I779" i="11"/>
  <c r="C1115" i="11"/>
  <c r="F1109" i="11"/>
  <c r="K10" i="8"/>
  <c r="K1088" i="11"/>
  <c r="C1278" i="11"/>
  <c r="I1031" i="11"/>
  <c r="C1094" i="11"/>
  <c r="B737" i="11"/>
  <c r="I1091" i="11"/>
  <c r="B736" i="11"/>
  <c r="G1067" i="11"/>
  <c r="F63" i="11"/>
  <c r="D12" i="3"/>
  <c r="D25" i="3"/>
  <c r="G38" i="9"/>
  <c r="M5" i="10"/>
  <c r="I1204" i="11"/>
  <c r="G10" i="3"/>
  <c r="K48" i="3"/>
  <c r="G1264" i="11"/>
  <c r="B1086" i="11"/>
  <c r="G47" i="10"/>
  <c r="H36" i="8"/>
  <c r="C1271" i="11"/>
  <c r="G1090" i="11"/>
  <c r="D16" i="9"/>
  <c r="F79" i="11"/>
  <c r="I1266" i="11"/>
  <c r="B1087" i="11"/>
  <c r="D20" i="10"/>
  <c r="F1073" i="11"/>
  <c r="E1272" i="11"/>
  <c r="J1015" i="11"/>
  <c r="E1154" i="11"/>
  <c r="J974" i="11"/>
  <c r="I887" i="11"/>
  <c r="B701" i="11"/>
  <c r="F886" i="11"/>
  <c r="K701" i="11"/>
  <c r="E1215" i="11"/>
  <c r="I898" i="11"/>
  <c r="E1079" i="11"/>
  <c r="F875" i="11"/>
  <c r="C1273" i="11"/>
  <c r="I1278" i="11"/>
  <c r="J14" i="3"/>
  <c r="D33" i="3"/>
  <c r="J18" i="3"/>
  <c r="B1132" i="11"/>
  <c r="F861" i="11"/>
  <c r="F954" i="11"/>
  <c r="E1069" i="11"/>
  <c r="B983" i="11"/>
  <c r="C714" i="11"/>
  <c r="B979" i="11"/>
  <c r="L714" i="11"/>
  <c r="I965" i="11"/>
  <c r="J933" i="11"/>
  <c r="J1101" i="11"/>
  <c r="I909" i="11"/>
  <c r="J819" i="11"/>
  <c r="E671" i="11"/>
  <c r="J818" i="11"/>
  <c r="C671" i="11"/>
  <c r="F741" i="11"/>
  <c r="J912" i="11"/>
  <c r="I683" i="11"/>
  <c r="B791" i="11"/>
  <c r="G659" i="11"/>
  <c r="H626" i="11"/>
  <c r="B526" i="11"/>
  <c r="C627" i="11"/>
  <c r="H528" i="11"/>
  <c r="J896" i="11"/>
  <c r="K681" i="11"/>
  <c r="B787" i="11"/>
  <c r="G41" i="10"/>
  <c r="J38" i="8"/>
  <c r="N29" i="8"/>
  <c r="N44" i="8"/>
  <c r="B1033" i="11"/>
  <c r="J940" i="11"/>
  <c r="E46" i="8"/>
  <c r="H23" i="8"/>
  <c r="B992" i="11"/>
  <c r="F858" i="11"/>
  <c r="B689" i="11"/>
  <c r="F857" i="11"/>
  <c r="K689" i="11"/>
  <c r="K1115" i="11"/>
  <c r="P9" i="8"/>
  <c r="H104" i="11"/>
  <c r="F144" i="11"/>
  <c r="P15" i="9"/>
  <c r="K11" i="9"/>
  <c r="E15" i="10"/>
  <c r="B25" i="11"/>
  <c r="H16" i="8"/>
  <c r="L80" i="11"/>
  <c r="K13" i="8"/>
  <c r="B1093" i="11"/>
  <c r="J12" i="8"/>
  <c r="C61" i="11"/>
  <c r="Q35" i="9"/>
  <c r="I985" i="11"/>
  <c r="E18" i="10"/>
  <c r="B1114" i="11"/>
  <c r="B1115" i="11"/>
  <c r="Q40" i="9"/>
  <c r="J47" i="10"/>
  <c r="P29" i="8"/>
  <c r="K13" i="10"/>
  <c r="F971" i="11"/>
  <c r="E976" i="11"/>
  <c r="E972" i="11"/>
  <c r="P7" i="8"/>
  <c r="E1205" i="11"/>
  <c r="M34" i="8"/>
  <c r="I1272" i="11"/>
  <c r="B1106" i="11"/>
  <c r="G1110" i="11"/>
  <c r="B1107" i="11"/>
  <c r="E28" i="9"/>
  <c r="G45" i="8"/>
  <c r="K24" i="10"/>
  <c r="E1291" i="11"/>
  <c r="I1260" i="11"/>
  <c r="G1272" i="11"/>
  <c r="I1291" i="11"/>
  <c r="J12" i="3"/>
  <c r="E16" i="3"/>
  <c r="J1126" i="11"/>
  <c r="E854" i="11"/>
  <c r="K6" i="3"/>
  <c r="E33" i="3"/>
  <c r="B1006" i="11"/>
  <c r="J1012" i="11"/>
  <c r="J1008" i="11"/>
  <c r="F1006" i="11"/>
  <c r="I698" i="11"/>
  <c r="H12" i="10"/>
  <c r="D47" i="8"/>
  <c r="F1155" i="11"/>
  <c r="G1114" i="11"/>
  <c r="B1111" i="11"/>
  <c r="K1072" i="11"/>
  <c r="I719" i="11"/>
  <c r="J937" i="11"/>
  <c r="H44" i="3"/>
  <c r="J925" i="11"/>
  <c r="I1138" i="11"/>
  <c r="G1105" i="11"/>
  <c r="B857" i="11"/>
  <c r="J1179" i="11"/>
  <c r="J1098" i="11"/>
  <c r="F813" i="11"/>
  <c r="B15" i="11"/>
  <c r="Q46" i="8"/>
  <c r="B1142" i="11"/>
  <c r="F1120" i="11"/>
  <c r="J1148" i="11"/>
  <c r="B1125" i="11"/>
  <c r="J1144" i="11"/>
  <c r="F1121" i="11"/>
  <c r="K1104" i="11"/>
  <c r="J1062" i="11"/>
  <c r="I756" i="11"/>
  <c r="I755" i="11"/>
  <c r="E983" i="11"/>
  <c r="J952" i="11"/>
  <c r="D45" i="3"/>
  <c r="F1151" i="11"/>
  <c r="K1107" i="11"/>
  <c r="K1087" i="11"/>
  <c r="B894" i="11"/>
  <c r="K656" i="11"/>
  <c r="I1215" i="11"/>
  <c r="J1166" i="11"/>
  <c r="B917" i="11"/>
  <c r="B913" i="11"/>
  <c r="E1037" i="11"/>
  <c r="E971" i="11"/>
  <c r="F943" i="11"/>
  <c r="D687" i="11"/>
  <c r="H23" i="10"/>
  <c r="Q25" i="9"/>
  <c r="H48" i="3"/>
  <c r="M29" i="8"/>
  <c r="E45" i="8"/>
  <c r="E1180" i="11"/>
  <c r="F1158" i="11"/>
  <c r="E1192" i="11"/>
  <c r="E1163" i="11"/>
  <c r="B1182" i="11"/>
  <c r="E1159" i="11"/>
  <c r="H39" i="3"/>
  <c r="J1086" i="11"/>
  <c r="J795" i="11"/>
  <c r="J794" i="11"/>
  <c r="J1035" i="11"/>
  <c r="F989" i="11"/>
  <c r="E30" i="10"/>
  <c r="H20" i="3"/>
  <c r="K39" i="3"/>
  <c r="B944" i="11"/>
  <c r="I945" i="11"/>
  <c r="B673" i="11"/>
  <c r="E24" i="3"/>
  <c r="C1262" i="11"/>
  <c r="C1074" i="11"/>
  <c r="I1071" i="11"/>
  <c r="F119" i="11"/>
  <c r="G26" i="8"/>
  <c r="F1161" i="11"/>
  <c r="F898" i="11"/>
  <c r="E894" i="11"/>
  <c r="E1286" i="11"/>
  <c r="H30" i="9"/>
  <c r="P37" i="9"/>
  <c r="E7" i="8"/>
  <c r="K28" i="10"/>
  <c r="I1042" i="11"/>
  <c r="P48" i="10"/>
  <c r="I1056" i="11"/>
  <c r="K44" i="10"/>
  <c r="I1046" i="11"/>
  <c r="B1017" i="11"/>
  <c r="B947" i="11"/>
  <c r="J924" i="11"/>
  <c r="C678" i="11"/>
  <c r="N28" i="8"/>
  <c r="C1270" i="11"/>
  <c r="C1084" i="11"/>
  <c r="P7" i="10"/>
  <c r="N13" i="10"/>
  <c r="E952" i="11"/>
  <c r="E22" i="8"/>
  <c r="B861" i="11"/>
  <c r="B860" i="11"/>
  <c r="E1123" i="11"/>
  <c r="J1069" i="11"/>
  <c r="E767" i="11"/>
  <c r="E766" i="11"/>
  <c r="E31" i="8"/>
  <c r="C1109" i="11"/>
  <c r="E1042" i="11"/>
  <c r="I1084" i="11"/>
  <c r="B912" i="11"/>
  <c r="C1095" i="11"/>
  <c r="M28" i="8"/>
  <c r="I1189" i="11"/>
  <c r="G1085" i="11"/>
  <c r="K1117" i="11"/>
  <c r="F923" i="11"/>
  <c r="C666" i="11"/>
  <c r="D42" i="8"/>
  <c r="E1202" i="11"/>
  <c r="B906" i="11"/>
  <c r="I764" i="11"/>
  <c r="E1001" i="11"/>
  <c r="Q27" i="9"/>
  <c r="E1157" i="11"/>
  <c r="C1061" i="11"/>
  <c r="G675" i="11"/>
  <c r="I618" i="11"/>
  <c r="J874" i="11"/>
  <c r="H544" i="11"/>
  <c r="C1104" i="11"/>
  <c r="J1033" i="11"/>
  <c r="E32" i="9"/>
  <c r="H29" i="8"/>
  <c r="J1164" i="11"/>
  <c r="B1137" i="11"/>
  <c r="E1290" i="11"/>
  <c r="K1090" i="11"/>
  <c r="J1034" i="11"/>
  <c r="J839" i="11"/>
  <c r="B657" i="11"/>
  <c r="I703" i="11"/>
  <c r="F1094" i="11"/>
  <c r="F1169" i="11"/>
  <c r="F887" i="11"/>
  <c r="B745" i="11"/>
  <c r="F926" i="11"/>
  <c r="G706" i="11"/>
  <c r="F770" i="11"/>
  <c r="E882" i="11"/>
  <c r="J653" i="11"/>
  <c r="L597" i="11"/>
  <c r="E702" i="11"/>
  <c r="Q24" i="8"/>
  <c r="F754" i="11"/>
  <c r="K1059" i="11"/>
  <c r="D12" i="9"/>
  <c r="M50" i="10"/>
  <c r="E1183" i="11"/>
  <c r="E1212" i="11"/>
  <c r="E1188" i="11"/>
  <c r="E44" i="8"/>
  <c r="F798" i="11"/>
  <c r="K1098" i="11"/>
  <c r="J1154" i="11"/>
  <c r="F907" i="11"/>
  <c r="F794" i="11"/>
  <c r="F660" i="11"/>
  <c r="F793" i="11"/>
  <c r="I1286" i="11"/>
  <c r="E1051" i="11"/>
  <c r="I1175" i="11"/>
  <c r="E994" i="11"/>
  <c r="I954" i="11"/>
  <c r="D711" i="11"/>
  <c r="E951" i="11"/>
  <c r="B710" i="11"/>
  <c r="K1062" i="11"/>
  <c r="B713" i="11"/>
  <c r="E997" i="11"/>
  <c r="H716" i="11"/>
  <c r="F811" i="11"/>
  <c r="B589" i="11"/>
  <c r="F823" i="11"/>
  <c r="H591" i="11"/>
  <c r="I1028" i="11"/>
  <c r="C706" i="11"/>
  <c r="E981" i="11"/>
  <c r="E50" i="10"/>
  <c r="C1285" i="11"/>
  <c r="B1112" i="11"/>
  <c r="G1116" i="11"/>
  <c r="B1113" i="11"/>
  <c r="F1074" i="11"/>
  <c r="B721" i="11"/>
  <c r="F1076" i="11"/>
  <c r="B1128" i="11"/>
  <c r="I881" i="11"/>
  <c r="J775" i="11"/>
  <c r="J11" i="3"/>
  <c r="J774" i="11"/>
  <c r="C1290" i="11"/>
  <c r="I1016" i="11"/>
  <c r="B1156" i="11"/>
  <c r="I975" i="11"/>
  <c r="E889" i="11"/>
  <c r="C702" i="11"/>
  <c r="B888" i="11"/>
  <c r="L702" i="11"/>
  <c r="F1013" i="11"/>
  <c r="F719" i="11"/>
  <c r="J817" i="11"/>
  <c r="L671" i="11"/>
  <c r="B637" i="11"/>
  <c r="G538" i="11"/>
  <c r="H639" i="11"/>
  <c r="B539" i="11"/>
  <c r="F997" i="11"/>
  <c r="I711" i="11"/>
  <c r="J813" i="11"/>
  <c r="E20" i="8"/>
  <c r="I1248" i="11"/>
  <c r="F1114" i="11"/>
  <c r="K1118" i="11"/>
  <c r="F1115" i="11"/>
  <c r="I1049" i="11"/>
  <c r="J746" i="11"/>
  <c r="I914" i="11"/>
  <c r="B1024" i="11"/>
  <c r="I886" i="11"/>
  <c r="G701" i="11"/>
  <c r="F885" i="11"/>
  <c r="E700" i="11"/>
  <c r="C1280" i="11"/>
  <c r="F904" i="11"/>
  <c r="J1083" i="11"/>
  <c r="E880" i="11"/>
  <c r="F790" i="11"/>
  <c r="I658" i="11"/>
  <c r="F789" i="11"/>
  <c r="E1149" i="11"/>
  <c r="B950" i="11"/>
  <c r="L690" i="11"/>
  <c r="J801" i="11"/>
  <c r="B663" i="11"/>
  <c r="C630" i="11"/>
  <c r="H531" i="11"/>
  <c r="I631" i="11"/>
  <c r="C532" i="11"/>
  <c r="B934" i="11"/>
  <c r="H687" i="11"/>
  <c r="J797" i="11"/>
  <c r="B106" i="11"/>
  <c r="G6" i="9"/>
  <c r="G45" i="9"/>
  <c r="T38" i="9"/>
  <c r="F1067" i="11"/>
  <c r="B964" i="11"/>
  <c r="E696" i="11"/>
  <c r="D26" i="10"/>
  <c r="E998" i="11"/>
  <c r="I864" i="11"/>
  <c r="F692" i="11"/>
  <c r="I863" i="11"/>
  <c r="D692" i="11"/>
  <c r="I1136" i="11"/>
  <c r="P19" i="8"/>
  <c r="J1071" i="11"/>
  <c r="K1278" i="11"/>
  <c r="J771" i="11"/>
  <c r="K1270" i="11"/>
  <c r="J770" i="11"/>
  <c r="I1162" i="11"/>
  <c r="E871" i="11"/>
  <c r="J1169" i="11"/>
  <c r="J753" i="11"/>
  <c r="D47" i="3"/>
  <c r="F608" i="11"/>
  <c r="K509" i="11"/>
  <c r="L610" i="11"/>
  <c r="G1103" i="11"/>
  <c r="I856" i="11"/>
  <c r="I1146" i="11"/>
  <c r="E46" i="9"/>
  <c r="E17" i="10"/>
  <c r="E1285" i="11"/>
  <c r="E36" i="3"/>
  <c r="C1287" i="11"/>
  <c r="K1261" i="11"/>
  <c r="I936" i="11"/>
  <c r="Q16" i="9"/>
  <c r="E1206" i="11"/>
  <c r="B942" i="11"/>
  <c r="E819" i="11"/>
  <c r="K672" i="11"/>
  <c r="E818" i="11"/>
  <c r="G1262" i="11"/>
  <c r="F1078" i="11"/>
  <c r="K1256" i="11"/>
  <c r="B1020" i="11"/>
  <c r="C1066" i="11"/>
  <c r="F726" i="11"/>
  <c r="I1063" i="11"/>
  <c r="F725" i="11"/>
  <c r="F925" i="11"/>
  <c r="I808" i="11"/>
  <c r="C1097" i="11"/>
  <c r="J737" i="11"/>
  <c r="B987" i="11"/>
  <c r="G601" i="11"/>
  <c r="B1035" i="11"/>
  <c r="B602" i="11"/>
  <c r="J8" i="3"/>
  <c r="I792" i="11"/>
  <c r="C1085" i="11"/>
  <c r="H44" i="10"/>
  <c r="B37" i="11"/>
  <c r="E1288" i="11"/>
  <c r="H12" i="3"/>
  <c r="E47" i="3"/>
  <c r="E984" i="11"/>
  <c r="E823" i="11"/>
  <c r="K1103" i="11"/>
  <c r="I1163" i="11"/>
  <c r="E916" i="11"/>
  <c r="I800" i="11"/>
  <c r="J663" i="11"/>
  <c r="I799" i="11"/>
  <c r="J31" i="3"/>
  <c r="F1062" i="11"/>
  <c r="J1182" i="11"/>
  <c r="F1001" i="11"/>
  <c r="F980" i="11"/>
  <c r="H714" i="11"/>
  <c r="F976" i="11"/>
  <c r="F713" i="11"/>
  <c r="K1083" i="11"/>
  <c r="E1110" i="11"/>
  <c r="F833" i="11"/>
  <c r="E845" i="11"/>
  <c r="H684" i="11"/>
  <c r="G653" i="11"/>
  <c r="K552" i="11"/>
  <c r="D655" i="11"/>
  <c r="D554" i="11"/>
  <c r="E1100" i="11"/>
  <c r="F817" i="11"/>
  <c r="E841" i="11"/>
  <c r="K682" i="11"/>
  <c r="E650" i="11"/>
  <c r="E549" i="11"/>
  <c r="B652" i="11"/>
  <c r="I551" i="11"/>
  <c r="E1090" i="11"/>
  <c r="F801" i="11"/>
  <c r="E1176" i="11"/>
  <c r="F1092" i="11"/>
  <c r="D659" i="11"/>
  <c r="B1172" i="11"/>
  <c r="J939" i="11"/>
  <c r="J985" i="11"/>
  <c r="B810" i="11"/>
  <c r="J969" i="11"/>
  <c r="B45" i="11"/>
  <c r="B577" i="11"/>
  <c r="F641" i="11"/>
  <c r="B1130" i="11"/>
  <c r="C658" i="11"/>
  <c r="I866" i="11"/>
  <c r="J693" i="11"/>
  <c r="K671" i="11"/>
  <c r="K565" i="11"/>
  <c r="B676" i="11"/>
  <c r="D567" i="11"/>
  <c r="E674" i="11"/>
  <c r="C1101" i="11"/>
  <c r="I1060" i="11"/>
  <c r="K647" i="11"/>
  <c r="G540" i="11"/>
  <c r="F536" i="11"/>
  <c r="I417" i="11"/>
  <c r="B244" i="11"/>
  <c r="L1003" i="11"/>
  <c r="C1089" i="11"/>
  <c r="J997" i="11"/>
  <c r="I646" i="11"/>
  <c r="L540" i="11"/>
  <c r="J946" i="11"/>
  <c r="E987" i="11"/>
  <c r="I1065" i="11"/>
  <c r="J1113" i="11"/>
  <c r="F837" i="11"/>
  <c r="J849" i="11"/>
  <c r="L658" i="11"/>
  <c r="J845" i="11"/>
  <c r="I924" i="11"/>
  <c r="E567" i="11"/>
  <c r="C631" i="11"/>
  <c r="J1159" i="11"/>
  <c r="I998" i="11"/>
  <c r="I850" i="11"/>
  <c r="E1078" i="11"/>
  <c r="J782" i="11"/>
  <c r="J833" i="11"/>
  <c r="K678" i="11"/>
  <c r="F645" i="11"/>
  <c r="F545" i="11"/>
  <c r="C647" i="11"/>
  <c r="L547" i="11"/>
  <c r="E1068" i="11"/>
  <c r="J766" i="11"/>
  <c r="J829" i="11"/>
  <c r="C676" i="11"/>
  <c r="D643" i="11"/>
  <c r="I543" i="11"/>
  <c r="L645" i="11"/>
  <c r="D545" i="11"/>
  <c r="E1058" i="11"/>
  <c r="J750" i="11"/>
  <c r="J992" i="11"/>
  <c r="E1097" i="11"/>
  <c r="E738" i="11"/>
  <c r="I941" i="11"/>
  <c r="L686" i="11"/>
  <c r="G691" i="11"/>
  <c r="D564" i="11"/>
  <c r="F736" i="11"/>
  <c r="G684" i="11"/>
  <c r="F533" i="11"/>
  <c r="G602" i="11"/>
  <c r="C1254" i="11"/>
  <c r="K71" i="11"/>
  <c r="Q6" i="10"/>
  <c r="D20" i="9"/>
  <c r="K26" i="10"/>
  <c r="S10" i="9"/>
  <c r="N20" i="10"/>
  <c r="E21" i="9"/>
  <c r="B8" i="11"/>
  <c r="E1235" i="11"/>
  <c r="E1027" i="11"/>
  <c r="E8" i="8"/>
  <c r="M12" i="10"/>
  <c r="M8" i="9"/>
  <c r="D15" i="9"/>
  <c r="K38" i="8"/>
  <c r="M26" i="9"/>
  <c r="P14" i="10"/>
  <c r="K41" i="10"/>
  <c r="C1253" i="11"/>
  <c r="K39" i="10"/>
  <c r="G1287" i="11"/>
  <c r="B1129" i="11"/>
  <c r="J1135" i="11"/>
  <c r="J1131" i="11"/>
  <c r="J1068" i="11"/>
  <c r="F765" i="11"/>
  <c r="K33" i="11"/>
  <c r="D42" i="3"/>
  <c r="J918" i="11"/>
  <c r="I923" i="11"/>
  <c r="K36" i="8"/>
  <c r="F84" i="11"/>
  <c r="G12" i="11"/>
  <c r="J20" i="8"/>
  <c r="K21" i="10"/>
  <c r="Q23" i="10"/>
  <c r="J35" i="8"/>
  <c r="G50" i="10"/>
  <c r="D50" i="8"/>
  <c r="E1045" i="11"/>
  <c r="B946" i="11"/>
  <c r="Q21" i="10"/>
  <c r="E15" i="8"/>
  <c r="D46" i="10"/>
  <c r="I1164" i="11"/>
  <c r="F1170" i="11"/>
  <c r="M20" i="8"/>
  <c r="B1148" i="11"/>
  <c r="E877" i="11"/>
  <c r="M45" i="10"/>
  <c r="K29" i="10"/>
  <c r="B974" i="11"/>
  <c r="J930" i="11"/>
  <c r="J926" i="11"/>
  <c r="E1226" i="11"/>
  <c r="J1021" i="11"/>
  <c r="E1103" i="11"/>
  <c r="J1016" i="11"/>
  <c r="K668" i="11"/>
  <c r="F746" i="11"/>
  <c r="F978" i="11"/>
  <c r="G689" i="11"/>
  <c r="F998" i="11"/>
  <c r="E904" i="11"/>
  <c r="K11" i="10"/>
  <c r="P31" i="8"/>
  <c r="K1268" i="11"/>
  <c r="B1070" i="11"/>
  <c r="E16" i="10"/>
  <c r="G1074" i="11"/>
  <c r="Q47" i="10"/>
  <c r="B1071" i="11"/>
  <c r="E1053" i="11"/>
  <c r="I980" i="11"/>
  <c r="I949" i="11"/>
  <c r="H690" i="11"/>
  <c r="F15" i="11"/>
  <c r="J44" i="3"/>
  <c r="F1164" i="11"/>
  <c r="C1274" i="11"/>
  <c r="I1128" i="11"/>
  <c r="J1064" i="11"/>
  <c r="E917" i="11"/>
  <c r="E890" i="11"/>
  <c r="B889" i="11"/>
  <c r="J16" i="3"/>
  <c r="J1085" i="11"/>
  <c r="B793" i="11"/>
  <c r="B792" i="11"/>
  <c r="P33" i="8"/>
  <c r="H13" i="3"/>
  <c r="J1129" i="11"/>
  <c r="J1125" i="11"/>
  <c r="G1099" i="11"/>
  <c r="G7" i="8"/>
  <c r="F122" i="11"/>
  <c r="E1243" i="11"/>
  <c r="M43" i="10"/>
  <c r="B1094" i="11"/>
  <c r="P18" i="10"/>
  <c r="G1098" i="11"/>
  <c r="D47" i="10"/>
  <c r="B1095" i="11"/>
  <c r="F1081" i="11"/>
  <c r="E1031" i="11"/>
  <c r="E986" i="11"/>
  <c r="J707" i="11"/>
  <c r="H707" i="11"/>
  <c r="B911" i="11"/>
  <c r="J888" i="11"/>
  <c r="G40" i="3"/>
  <c r="B920" i="11"/>
  <c r="B1183" i="11"/>
  <c r="J975" i="11"/>
  <c r="I1034" i="11"/>
  <c r="I1030" i="11"/>
  <c r="E1016" i="11"/>
  <c r="J1109" i="11"/>
  <c r="E831" i="11"/>
  <c r="E830" i="11"/>
  <c r="B1153" i="11"/>
  <c r="I1267" i="11"/>
  <c r="J1082" i="11"/>
  <c r="I788" i="11"/>
  <c r="I787" i="11"/>
  <c r="M44" i="9"/>
  <c r="M29" i="10"/>
  <c r="S39" i="9"/>
  <c r="E17" i="8"/>
  <c r="G42" i="3"/>
  <c r="F937" i="11"/>
  <c r="K41" i="8"/>
  <c r="E942" i="11"/>
  <c r="G44" i="3"/>
  <c r="E938" i="11"/>
  <c r="H50" i="3"/>
  <c r="I1265" i="11"/>
  <c r="C1078" i="11"/>
  <c r="I1075" i="11"/>
  <c r="E1032" i="11"/>
  <c r="E1111" i="11"/>
  <c r="K44" i="9"/>
  <c r="B1072" i="11"/>
  <c r="B1073" i="11"/>
  <c r="J691" i="11"/>
  <c r="E1113" i="11"/>
  <c r="J759" i="11"/>
  <c r="J758" i="11"/>
  <c r="E995" i="11"/>
  <c r="I959" i="11"/>
  <c r="D695" i="11"/>
  <c r="B694" i="11"/>
  <c r="E1102" i="11"/>
  <c r="I842" i="11"/>
  <c r="C651" i="11"/>
  <c r="K653" i="11"/>
  <c r="E1092" i="11"/>
  <c r="I838" i="11"/>
  <c r="E1265" i="11"/>
  <c r="K1290" i="11"/>
  <c r="J1120" i="11"/>
  <c r="I946" i="11"/>
  <c r="I970" i="11"/>
  <c r="I966" i="11"/>
  <c r="H953" i="11"/>
  <c r="J1099" i="11"/>
  <c r="E1193" i="11"/>
  <c r="L717" i="11"/>
  <c r="E814" i="11"/>
  <c r="B59" i="11"/>
  <c r="B757" i="11"/>
  <c r="I826" i="11"/>
  <c r="H652" i="11"/>
  <c r="J595" i="11"/>
  <c r="J643" i="11"/>
  <c r="M20" i="10"/>
  <c r="B741" i="11"/>
  <c r="I822" i="11"/>
  <c r="M38" i="8"/>
  <c r="B1158" i="11"/>
  <c r="B1141" i="11"/>
  <c r="I956" i="11"/>
  <c r="I772" i="11"/>
  <c r="J921" i="11"/>
  <c r="E966" i="11"/>
  <c r="E787" i="11"/>
  <c r="E893" i="11"/>
  <c r="H10" i="9"/>
  <c r="F1034" i="11"/>
  <c r="J1087" i="11"/>
  <c r="C1114" i="11"/>
  <c r="K708" i="11"/>
  <c r="I795" i="11"/>
  <c r="J1156" i="11"/>
  <c r="I1263" i="11"/>
  <c r="I778" i="11"/>
  <c r="J875" i="11"/>
  <c r="B573" i="11"/>
  <c r="F621" i="11"/>
  <c r="K1102" i="11"/>
  <c r="J1141" i="11"/>
  <c r="B877" i="11"/>
  <c r="T14" i="9"/>
  <c r="G30" i="3"/>
  <c r="F1003" i="11"/>
  <c r="E1008" i="11"/>
  <c r="E1004" i="11"/>
  <c r="F912" i="11"/>
  <c r="C662" i="11"/>
  <c r="B1013" i="11"/>
  <c r="E1099" i="11"/>
  <c r="E1125" i="11"/>
  <c r="J743" i="11"/>
  <c r="I1105" i="11"/>
  <c r="J742" i="11"/>
  <c r="G1097" i="11"/>
  <c r="F974" i="11"/>
  <c r="B1124" i="11"/>
  <c r="E944" i="11"/>
  <c r="F854" i="11"/>
  <c r="E687" i="11"/>
  <c r="F853" i="11"/>
  <c r="C687" i="11"/>
  <c r="F1181" i="11"/>
  <c r="J973" i="11"/>
  <c r="J865" i="11"/>
  <c r="I692" i="11"/>
  <c r="I669" i="11"/>
  <c r="K564" i="11"/>
  <c r="I673" i="11"/>
  <c r="D566" i="11"/>
  <c r="F1165" i="11"/>
  <c r="F910" i="11"/>
  <c r="J861" i="11"/>
  <c r="P40" i="8"/>
  <c r="K48" i="8"/>
  <c r="I927" i="11"/>
  <c r="F933" i="11"/>
  <c r="F929" i="11"/>
  <c r="I1242" i="11"/>
  <c r="E1033" i="11"/>
  <c r="E979" i="11"/>
  <c r="E1083" i="11"/>
  <c r="C1060" i="11"/>
  <c r="E723" i="11"/>
  <c r="E1054" i="11"/>
  <c r="E722" i="11"/>
  <c r="I1029" i="11"/>
  <c r="E949" i="11"/>
  <c r="J1111" i="11"/>
  <c r="I925" i="11"/>
  <c r="J835" i="11"/>
  <c r="D679" i="11"/>
  <c r="J834" i="11"/>
  <c r="H683" i="11"/>
  <c r="F1028" i="11"/>
  <c r="K32" i="8"/>
  <c r="E765" i="11"/>
  <c r="B647" i="11"/>
  <c r="C614" i="11"/>
  <c r="H515" i="11"/>
  <c r="I615" i="11"/>
  <c r="G8" i="3"/>
  <c r="F964" i="11"/>
  <c r="I1287" i="11"/>
  <c r="C135" i="11"/>
  <c r="Q14" i="9"/>
  <c r="H28" i="8"/>
  <c r="K27" i="10"/>
  <c r="M21" i="8"/>
  <c r="E38" i="9"/>
  <c r="C1118" i="11"/>
  <c r="G1091" i="11"/>
  <c r="K1264" i="11"/>
  <c r="F957" i="11"/>
  <c r="I832" i="11"/>
  <c r="H678" i="11"/>
  <c r="I831" i="11"/>
  <c r="G42" i="8"/>
  <c r="K1089" i="11"/>
  <c r="I1281" i="11"/>
  <c r="F1033" i="11"/>
  <c r="C1098" i="11"/>
  <c r="J739" i="11"/>
  <c r="I1095" i="11"/>
  <c r="J738" i="11"/>
  <c r="G1111" i="11"/>
  <c r="E859" i="11"/>
  <c r="J1153" i="11"/>
  <c r="E749" i="11"/>
  <c r="F1168" i="11"/>
  <c r="D607" i="11"/>
  <c r="K1286" i="11"/>
  <c r="J608" i="11"/>
  <c r="G1071" i="11"/>
  <c r="E843" i="11"/>
  <c r="I1130" i="11"/>
  <c r="N8" i="9"/>
  <c r="G37" i="8"/>
  <c r="C1251" i="11"/>
  <c r="I1258" i="11"/>
  <c r="E1253" i="11"/>
  <c r="I1165" i="11"/>
  <c r="E874" i="11"/>
  <c r="I1152" i="11"/>
  <c r="I1179" i="11"/>
  <c r="E932" i="11"/>
  <c r="B813" i="11"/>
  <c r="G669" i="11"/>
  <c r="B812" i="11"/>
  <c r="P6" i="8"/>
  <c r="K1073" i="11"/>
  <c r="I1234" i="11"/>
  <c r="J1014" i="11"/>
  <c r="B1031" i="11"/>
  <c r="B719" i="11"/>
  <c r="B1027" i="11"/>
  <c r="H719" i="11"/>
  <c r="F1072" i="11"/>
  <c r="K696" i="11"/>
  <c r="B959" i="11"/>
  <c r="B711" i="11"/>
  <c r="E772" i="11"/>
  <c r="G585" i="11"/>
  <c r="E784" i="11"/>
  <c r="B586" i="11"/>
  <c r="B977" i="11"/>
  <c r="L689" i="11"/>
  <c r="I944" i="11"/>
  <c r="Q22" i="8"/>
  <c r="G1250" i="11"/>
  <c r="B1096" i="11"/>
  <c r="G1100" i="11"/>
  <c r="B1097" i="11"/>
  <c r="E1035" i="11"/>
  <c r="L709" i="11"/>
  <c r="F1068" i="11"/>
  <c r="E1121" i="11"/>
  <c r="K36" i="9"/>
  <c r="I768" i="11"/>
  <c r="E1250" i="11"/>
  <c r="I767" i="11"/>
  <c r="E1185" i="11"/>
  <c r="I1008" i="11"/>
  <c r="J1150" i="11"/>
  <c r="F969" i="11"/>
  <c r="F881" i="11"/>
  <c r="J699" i="11"/>
  <c r="E879" i="11"/>
  <c r="H699" i="11"/>
  <c r="I922" i="11"/>
  <c r="D667" i="11"/>
  <c r="I896" i="11"/>
  <c r="C704" i="11"/>
  <c r="E714" i="11"/>
  <c r="H578" i="11"/>
  <c r="E720" i="11"/>
  <c r="C579" i="11"/>
  <c r="I906" i="11"/>
  <c r="E659" i="11"/>
  <c r="F890" i="11"/>
  <c r="P15" i="8"/>
  <c r="E23" i="8"/>
  <c r="E1028" i="11"/>
  <c r="B1034" i="11"/>
  <c r="B1030" i="11"/>
  <c r="E937" i="11"/>
  <c r="H674" i="11"/>
  <c r="F1026" i="11"/>
  <c r="E1105" i="11"/>
  <c r="B1151" i="11"/>
  <c r="B749" i="11"/>
  <c r="I1121" i="11"/>
  <c r="B748" i="11"/>
  <c r="G1113" i="11"/>
  <c r="J983" i="11"/>
  <c r="E1130" i="11"/>
  <c r="F951" i="11"/>
  <c r="I860" i="11"/>
  <c r="I690" i="11"/>
  <c r="I859" i="11"/>
  <c r="G690" i="11"/>
  <c r="B678" i="11"/>
  <c r="E924" i="11"/>
  <c r="F685" i="11"/>
  <c r="I794" i="11"/>
  <c r="I660" i="11"/>
  <c r="J627" i="11"/>
  <c r="D528" i="11"/>
  <c r="E628" i="11"/>
  <c r="J529" i="11"/>
  <c r="E908" i="11"/>
  <c r="C683" i="11"/>
  <c r="I790" i="11"/>
  <c r="L659" i="11"/>
  <c r="B625" i="11"/>
  <c r="G526" i="11"/>
  <c r="H627" i="11"/>
  <c r="B527" i="11"/>
  <c r="E892" i="11"/>
  <c r="N18" i="10"/>
  <c r="E1172" i="11"/>
  <c r="E1150" i="11"/>
  <c r="J790" i="11"/>
  <c r="I991" i="11"/>
  <c r="K709" i="11"/>
  <c r="F714" i="11"/>
  <c r="F589" i="11"/>
  <c r="B755" i="11"/>
  <c r="C713" i="11"/>
  <c r="E540" i="11"/>
  <c r="H611" i="11"/>
  <c r="B903" i="11"/>
  <c r="B724" i="11"/>
  <c r="B815" i="11"/>
  <c r="K670" i="11"/>
  <c r="L637" i="11"/>
  <c r="F537" i="11"/>
  <c r="G638" i="11"/>
  <c r="L539" i="11"/>
  <c r="E637" i="11"/>
  <c r="E737" i="11"/>
  <c r="H603" i="11"/>
  <c r="C616" i="11"/>
  <c r="H517" i="11"/>
  <c r="I487" i="11"/>
  <c r="C392" i="11"/>
  <c r="I159" i="11"/>
  <c r="L1227" i="11"/>
  <c r="I734" i="11"/>
  <c r="F601" i="11"/>
  <c r="H616" i="11"/>
  <c r="D8" i="10"/>
  <c r="J942" i="11"/>
  <c r="E1085" i="11"/>
  <c r="J726" i="11"/>
  <c r="E928" i="11"/>
  <c r="D680" i="11"/>
  <c r="J685" i="11"/>
  <c r="D556" i="11"/>
  <c r="J733" i="11"/>
  <c r="J678" i="11"/>
  <c r="B530" i="11"/>
  <c r="E600" i="11"/>
  <c r="E1198" i="11"/>
  <c r="J688" i="11"/>
  <c r="B1175" i="11"/>
  <c r="I873" i="11"/>
  <c r="L678" i="11"/>
  <c r="E781" i="11"/>
  <c r="L655" i="11"/>
  <c r="B621" i="11"/>
  <c r="G522" i="11"/>
  <c r="H623" i="11"/>
  <c r="B523" i="11"/>
  <c r="I1241" i="11"/>
  <c r="C675" i="11"/>
  <c r="E777" i="11"/>
  <c r="D653" i="11"/>
  <c r="E619" i="11"/>
  <c r="J520" i="11"/>
  <c r="K621" i="11"/>
  <c r="M32" i="10"/>
  <c r="F1132" i="11"/>
  <c r="D23" i="9"/>
  <c r="B899" i="11"/>
  <c r="C1108" i="11"/>
  <c r="G1089" i="11"/>
  <c r="J851" i="11"/>
  <c r="B1168" i="11"/>
  <c r="E666" i="11"/>
  <c r="B1152" i="11"/>
  <c r="I696" i="11"/>
  <c r="L633" i="11"/>
  <c r="I1022" i="11"/>
  <c r="I571" i="11"/>
  <c r="I955" i="11"/>
  <c r="B1159" i="11"/>
  <c r="B751" i="11"/>
  <c r="I1229" i="11"/>
  <c r="E607" i="11"/>
  <c r="G12" i="8"/>
  <c r="K609" i="11"/>
  <c r="J15" i="3"/>
  <c r="E925" i="11"/>
  <c r="G716" i="11"/>
  <c r="E1197" i="11"/>
  <c r="G587" i="11"/>
  <c r="L488" i="11"/>
  <c r="J458" i="11"/>
  <c r="J334" i="11"/>
  <c r="L22" i="11"/>
  <c r="J913" i="11"/>
  <c r="J710" i="11"/>
  <c r="E1161" i="11"/>
  <c r="L587" i="11"/>
  <c r="F74" i="11"/>
  <c r="B1028" i="11"/>
  <c r="F882" i="11"/>
  <c r="E1254" i="11"/>
  <c r="J787" i="11"/>
  <c r="I937" i="11"/>
  <c r="L629" i="11"/>
  <c r="I921" i="11"/>
  <c r="F686" i="11"/>
  <c r="I622" i="11"/>
  <c r="I845" i="11"/>
  <c r="I557" i="11"/>
  <c r="J46" i="3"/>
  <c r="C1093" i="11"/>
  <c r="G1267" i="11"/>
  <c r="L171" i="11"/>
  <c r="K25" i="3"/>
  <c r="N48" i="9"/>
  <c r="J30" i="10"/>
  <c r="K26" i="8"/>
  <c r="K42" i="9"/>
  <c r="I1280" i="11"/>
  <c r="E8" i="10"/>
  <c r="B1092" i="11"/>
  <c r="H706" i="11"/>
  <c r="D29" i="8"/>
  <c r="E25" i="9"/>
  <c r="J984" i="11"/>
  <c r="H35" i="8"/>
  <c r="I1288" i="11"/>
  <c r="G1118" i="11"/>
  <c r="K21" i="11"/>
  <c r="D36" i="8"/>
  <c r="K175" i="11"/>
  <c r="K17" i="11"/>
  <c r="K44" i="3"/>
  <c r="N7" i="8"/>
  <c r="K15" i="8"/>
  <c r="B951" i="11"/>
  <c r="E1225" i="11"/>
  <c r="I1149" i="11"/>
  <c r="K43" i="9"/>
  <c r="Q13" i="10"/>
  <c r="G19" i="9"/>
  <c r="Q29" i="10"/>
  <c r="P37" i="8"/>
  <c r="H36" i="10"/>
  <c r="L73" i="11"/>
  <c r="T40" i="9"/>
  <c r="F89" i="11"/>
  <c r="E38" i="8"/>
  <c r="I1191" i="11"/>
  <c r="I1209" i="11"/>
  <c r="I1197" i="11"/>
  <c r="G1101" i="11"/>
  <c r="E855" i="11"/>
  <c r="G46" i="1"/>
  <c r="H6" i="10"/>
  <c r="E1271" i="11"/>
  <c r="E28" i="3"/>
  <c r="G1278" i="11"/>
  <c r="F1069" i="11"/>
  <c r="I967" i="11"/>
  <c r="G698" i="11"/>
  <c r="J50" i="10"/>
  <c r="E31" i="3"/>
  <c r="I1132" i="11"/>
  <c r="D39" i="1"/>
  <c r="F1097" i="11"/>
  <c r="B1012" i="11"/>
  <c r="B718" i="11"/>
  <c r="I913" i="11"/>
  <c r="I1021" i="11"/>
  <c r="F1022" i="11"/>
  <c r="I1113" i="11"/>
  <c r="I1127" i="11"/>
  <c r="B856" i="11"/>
  <c r="I947" i="11"/>
  <c r="F814" i="11"/>
  <c r="F211" i="11"/>
  <c r="F5" i="11"/>
  <c r="E15" i="9"/>
  <c r="I961" i="11"/>
  <c r="J29" i="3"/>
  <c r="F967" i="11"/>
  <c r="M41" i="10"/>
  <c r="F963" i="11"/>
  <c r="K10" i="9"/>
  <c r="G36" i="3"/>
  <c r="I1154" i="11"/>
  <c r="I1150" i="11"/>
  <c r="G1115" i="11"/>
  <c r="I1131" i="11"/>
  <c r="C117" i="11"/>
  <c r="I1145" i="11"/>
  <c r="F1147" i="11"/>
  <c r="E759" i="11"/>
  <c r="F1141" i="11"/>
  <c r="I784" i="11"/>
  <c r="I783" i="11"/>
  <c r="B1029" i="11"/>
  <c r="F985" i="11"/>
  <c r="I706" i="11"/>
  <c r="C1288" i="11"/>
  <c r="G1093" i="11"/>
  <c r="E1122" i="11"/>
  <c r="I852" i="11"/>
  <c r="I851" i="11"/>
  <c r="H187" i="11"/>
  <c r="G30" i="10"/>
  <c r="M27" i="10"/>
  <c r="G24" i="3"/>
  <c r="E1241" i="11"/>
  <c r="J1000" i="11"/>
  <c r="I1268" i="11"/>
  <c r="I1005" i="11"/>
  <c r="I1252" i="11"/>
  <c r="I1001" i="11"/>
  <c r="J979" i="11"/>
  <c r="J909" i="11"/>
  <c r="I885" i="11"/>
  <c r="L661" i="11"/>
  <c r="K1257" i="11"/>
  <c r="J1170" i="11"/>
  <c r="M21" i="9"/>
  <c r="G12" i="3"/>
  <c r="G15" i="3"/>
  <c r="I986" i="11"/>
  <c r="E1222" i="11"/>
  <c r="J823" i="11"/>
  <c r="J822" i="11"/>
  <c r="K1081" i="11"/>
  <c r="I1023" i="11"/>
  <c r="B729" i="11"/>
  <c r="B728" i="11"/>
  <c r="F1077" i="11"/>
  <c r="J1023" i="11"/>
  <c r="B980" i="11"/>
  <c r="F704" i="11"/>
  <c r="D704" i="11"/>
  <c r="J13" i="10"/>
  <c r="G48" i="9"/>
  <c r="Q5" i="8"/>
  <c r="E1249" i="11"/>
  <c r="K31" i="3"/>
  <c r="I1243" i="11"/>
  <c r="E43" i="8"/>
  <c r="K1258" i="11"/>
  <c r="D37" i="3"/>
  <c r="K1250" i="11"/>
  <c r="F1023" i="11"/>
  <c r="J1110" i="11"/>
  <c r="B833" i="11"/>
  <c r="B832" i="11"/>
  <c r="F1084" i="11"/>
  <c r="I1027" i="11"/>
  <c r="P50" i="10"/>
  <c r="E27" i="10"/>
  <c r="C1059" i="11"/>
  <c r="H691" i="11"/>
  <c r="I995" i="11"/>
  <c r="D691" i="11"/>
  <c r="B690" i="11"/>
  <c r="D18" i="8"/>
  <c r="C1252" i="11"/>
  <c r="I1237" i="11"/>
  <c r="C1083" i="11"/>
  <c r="B821" i="11"/>
  <c r="F740" i="11"/>
  <c r="I602" i="11"/>
  <c r="D604" i="11"/>
  <c r="B805" i="11"/>
  <c r="B168" i="11"/>
  <c r="D38" i="10"/>
  <c r="P12" i="9"/>
  <c r="B849" i="11"/>
  <c r="F1173" i="11"/>
  <c r="J807" i="11"/>
  <c r="J806" i="11"/>
  <c r="K1068" i="11"/>
  <c r="J1067" i="11"/>
  <c r="E1005" i="11"/>
  <c r="C670" i="11"/>
  <c r="I763" i="11"/>
  <c r="F1104" i="11"/>
  <c r="B756" i="11"/>
  <c r="B775" i="11"/>
  <c r="B862" i="11"/>
  <c r="B542" i="11"/>
  <c r="D620" i="11"/>
  <c r="K1091" i="11"/>
  <c r="B740" i="11"/>
  <c r="D41" i="9"/>
  <c r="E13" i="8"/>
  <c r="E1135" i="11"/>
  <c r="D12" i="8"/>
  <c r="J1143" i="11"/>
  <c r="I771" i="11"/>
  <c r="G1283" i="11"/>
  <c r="I897" i="11"/>
  <c r="K704" i="11"/>
  <c r="J838" i="11"/>
  <c r="G1252" i="11"/>
  <c r="I910" i="11"/>
  <c r="I1045" i="11"/>
  <c r="F930" i="11"/>
  <c r="B661" i="11"/>
  <c r="B744" i="11"/>
  <c r="B935" i="11"/>
  <c r="D676" i="11"/>
  <c r="B727" i="11"/>
  <c r="C697" i="11"/>
  <c r="E520" i="11"/>
  <c r="G598" i="11"/>
  <c r="D26" i="3"/>
  <c r="F753" i="11"/>
  <c r="E825" i="11"/>
  <c r="E48" i="8"/>
  <c r="D14" i="10"/>
  <c r="B1161" i="11"/>
  <c r="J1167" i="11"/>
  <c r="J1163" i="11"/>
  <c r="J1088" i="11"/>
  <c r="F797" i="11"/>
  <c r="I930" i="11"/>
  <c r="I1055" i="11"/>
  <c r="I920" i="11"/>
  <c r="D707" i="11"/>
  <c r="I916" i="11"/>
  <c r="B706" i="11"/>
  <c r="E902" i="11"/>
  <c r="J917" i="11"/>
  <c r="J1091" i="11"/>
  <c r="I893" i="11"/>
  <c r="J803" i="11"/>
  <c r="F664" i="11"/>
  <c r="J802" i="11"/>
  <c r="I1255" i="11"/>
  <c r="B1000" i="11"/>
  <c r="K713" i="11"/>
  <c r="E813" i="11"/>
  <c r="J669" i="11"/>
  <c r="K636" i="11"/>
  <c r="E536" i="11"/>
  <c r="F637" i="11"/>
  <c r="K538" i="11"/>
  <c r="B984" i="11"/>
  <c r="L706" i="11"/>
  <c r="E809" i="11"/>
  <c r="C128" i="11"/>
  <c r="H44" i="9"/>
  <c r="F106" i="11"/>
  <c r="T23" i="9"/>
  <c r="F1099" i="11"/>
  <c r="I1015" i="11"/>
  <c r="B720" i="11"/>
  <c r="J905" i="11"/>
  <c r="J1018" i="11"/>
  <c r="J878" i="11"/>
  <c r="C698" i="11"/>
  <c r="I876" i="11"/>
  <c r="L698" i="11"/>
  <c r="E1199" i="11"/>
  <c r="E897" i="11"/>
  <c r="J1079" i="11"/>
  <c r="B874" i="11"/>
  <c r="E783" i="11"/>
  <c r="E655" i="11"/>
  <c r="E782" i="11"/>
  <c r="F975" i="11"/>
  <c r="K719" i="11"/>
  <c r="I1010" i="11"/>
  <c r="J717" i="11"/>
  <c r="J824" i="11"/>
  <c r="D591" i="11"/>
  <c r="J836" i="11"/>
  <c r="J592" i="11"/>
  <c r="L1058" i="11"/>
  <c r="K712" i="11"/>
  <c r="I994" i="11"/>
  <c r="D31" i="8"/>
  <c r="G31" i="3"/>
  <c r="E1132" i="11"/>
  <c r="B1138" i="11"/>
  <c r="B1134" i="11"/>
  <c r="K1096" i="11"/>
  <c r="J747" i="11"/>
  <c r="K1082" i="11"/>
  <c r="J1138" i="11"/>
  <c r="F891" i="11"/>
  <c r="B781" i="11"/>
  <c r="D24" i="10"/>
  <c r="B780" i="11"/>
  <c r="S27" i="9"/>
  <c r="B1025" i="11"/>
  <c r="E1162" i="11"/>
  <c r="J982" i="11"/>
  <c r="I904" i="11"/>
  <c r="G705" i="11"/>
  <c r="I900" i="11"/>
  <c r="E704" i="11"/>
  <c r="B981" i="11"/>
  <c r="C690" i="11"/>
  <c r="E947" i="11"/>
  <c r="K710" i="11"/>
  <c r="J760" i="11"/>
  <c r="E583" i="11"/>
  <c r="J772" i="11"/>
  <c r="K585" i="11"/>
  <c r="I960" i="11"/>
  <c r="D683" i="11"/>
  <c r="E931" i="11"/>
  <c r="I1264" i="11"/>
  <c r="K15" i="3"/>
  <c r="B1080" i="11"/>
  <c r="G1084" i="11"/>
  <c r="B1081" i="11"/>
  <c r="F1002" i="11"/>
  <c r="G697" i="11"/>
  <c r="F1060" i="11"/>
  <c r="E1115" i="11"/>
  <c r="H22" i="3"/>
  <c r="F762" i="11"/>
  <c r="J1173" i="11"/>
  <c r="F761" i="11"/>
  <c r="F1159" i="11"/>
  <c r="E999" i="11"/>
  <c r="I1143" i="11"/>
  <c r="E962" i="11"/>
  <c r="I872" i="11"/>
  <c r="F696" i="11"/>
  <c r="I871" i="11"/>
  <c r="D696" i="11"/>
  <c r="E1142" i="11"/>
  <c r="E870" i="11"/>
  <c r="B855" i="11"/>
  <c r="C688" i="11"/>
  <c r="H661" i="11"/>
  <c r="K558" i="11"/>
  <c r="I663" i="11"/>
  <c r="D560" i="11"/>
  <c r="E1126" i="11"/>
  <c r="I855" i="11"/>
  <c r="B851" i="11"/>
  <c r="Q6" i="8"/>
  <c r="J27" i="3"/>
  <c r="J902" i="11"/>
  <c r="I907" i="11"/>
  <c r="I903" i="11"/>
  <c r="E1170" i="11"/>
  <c r="I932" i="11"/>
  <c r="J971" i="11"/>
  <c r="E1077" i="11"/>
  <c r="E1021" i="11"/>
  <c r="I718" i="11"/>
  <c r="E1017" i="11"/>
  <c r="G718" i="11"/>
  <c r="J1004" i="11"/>
  <c r="I942" i="11"/>
  <c r="J1107" i="11"/>
  <c r="F919" i="11"/>
  <c r="I828" i="11"/>
  <c r="K676" i="11"/>
  <c r="I827" i="11"/>
  <c r="I675" i="11"/>
  <c r="E1094" i="11"/>
  <c r="I807" i="11"/>
  <c r="B839" i="11"/>
  <c r="D681" i="11"/>
  <c r="C649" i="11"/>
  <c r="J548" i="11"/>
  <c r="K651" i="11"/>
  <c r="D550" i="11"/>
  <c r="E1084" i="11"/>
  <c r="I791" i="11"/>
  <c r="B835" i="11"/>
  <c r="D29" i="10"/>
  <c r="I1227" i="11"/>
  <c r="E1195" i="11"/>
  <c r="E1223" i="11"/>
  <c r="E1203" i="11"/>
  <c r="J1104" i="11"/>
  <c r="E822" i="11"/>
  <c r="F940" i="11"/>
  <c r="E1061" i="11"/>
  <c r="F946" i="11"/>
  <c r="H710" i="11"/>
  <c r="F942" i="11"/>
  <c r="F709" i="11"/>
  <c r="B928" i="11"/>
  <c r="B923" i="11"/>
  <c r="J1095" i="11"/>
  <c r="J900" i="11"/>
  <c r="B809" i="11"/>
  <c r="J667" i="11"/>
  <c r="B808" i="11"/>
  <c r="J17" i="3"/>
  <c r="C1282" i="11"/>
  <c r="F834" i="11"/>
  <c r="C1119" i="11"/>
  <c r="B743" i="11"/>
  <c r="I1086" i="11"/>
  <c r="K604" i="11"/>
  <c r="I1116" i="11"/>
  <c r="F605" i="11"/>
  <c r="B962" i="11"/>
  <c r="F818" i="11"/>
  <c r="C1105" i="11"/>
  <c r="B739" i="11"/>
  <c r="E1025" i="11"/>
  <c r="C602" i="11"/>
  <c r="I1076" i="11"/>
  <c r="I603" i="11"/>
  <c r="I899" i="11"/>
  <c r="F802" i="11"/>
  <c r="D20" i="8"/>
  <c r="I1231" i="11"/>
  <c r="J904" i="11"/>
  <c r="E1269" i="11"/>
  <c r="J943" i="11"/>
  <c r="I1032" i="11"/>
  <c r="B798" i="11"/>
  <c r="E1011" i="11"/>
  <c r="H704" i="11"/>
  <c r="K640" i="11"/>
  <c r="G510" i="11"/>
  <c r="H579" i="11"/>
  <c r="I1019" i="11"/>
  <c r="H28" i="3"/>
  <c r="F764" i="11"/>
  <c r="L647" i="11"/>
  <c r="B613" i="11"/>
  <c r="G514" i="11"/>
  <c r="H615" i="11"/>
  <c r="B515" i="11"/>
  <c r="J938" i="11"/>
  <c r="F1000" i="11"/>
  <c r="C516" i="11"/>
  <c r="D593" i="11"/>
  <c r="I493" i="11"/>
  <c r="G464" i="11"/>
  <c r="E346" i="11"/>
  <c r="I31" i="11"/>
  <c r="D12" i="10"/>
  <c r="F950" i="11"/>
  <c r="H516" i="11"/>
  <c r="I592" i="11"/>
  <c r="Q27" i="8"/>
  <c r="K1272" i="11"/>
  <c r="C1068" i="11"/>
  <c r="I1052" i="11"/>
  <c r="F838" i="11"/>
  <c r="E1118" i="11"/>
  <c r="K655" i="11"/>
  <c r="E1108" i="11"/>
  <c r="G695" i="11"/>
  <c r="H630" i="11"/>
  <c r="B971" i="11"/>
  <c r="I569" i="11"/>
  <c r="F931" i="11"/>
  <c r="B1143" i="11"/>
  <c r="B1026" i="11"/>
  <c r="J783" i="11"/>
  <c r="C1077" i="11"/>
  <c r="I730" i="11"/>
  <c r="F892" i="11"/>
  <c r="C598" i="11"/>
  <c r="F934" i="11"/>
  <c r="I599" i="11"/>
  <c r="K1121" i="11"/>
  <c r="J767" i="11"/>
  <c r="C1067" i="11"/>
  <c r="I726" i="11"/>
  <c r="F871" i="11"/>
  <c r="F596" i="11"/>
  <c r="E886" i="11"/>
  <c r="L598" i="11"/>
  <c r="K1099" i="11"/>
  <c r="J751" i="11"/>
  <c r="B990" i="11"/>
  <c r="F656" i="11"/>
  <c r="E739" i="11"/>
  <c r="F970" i="11"/>
  <c r="C686" i="11"/>
  <c r="J923" i="11"/>
  <c r="K562" i="11"/>
  <c r="J883" i="11"/>
  <c r="K666" i="11"/>
  <c r="L601" i="11"/>
  <c r="I689" i="11"/>
  <c r="L535" i="11"/>
  <c r="B789" i="11"/>
  <c r="D953" i="11"/>
  <c r="L711" i="11"/>
  <c r="B766" i="11"/>
  <c r="F584" i="11"/>
  <c r="B778" i="11"/>
  <c r="L586" i="11"/>
  <c r="B774" i="11"/>
  <c r="F668" i="11"/>
  <c r="C578" i="11"/>
  <c r="G708" i="11"/>
  <c r="H561" i="11"/>
  <c r="B612" i="11"/>
  <c r="K435" i="11"/>
  <c r="E282" i="11"/>
  <c r="L788" i="11"/>
  <c r="I662" i="11"/>
  <c r="L577" i="11"/>
  <c r="E706" i="11"/>
  <c r="C560" i="11"/>
  <c r="F1106" i="11"/>
  <c r="F733" i="11"/>
  <c r="E699" i="11"/>
  <c r="J901" i="11"/>
  <c r="G657" i="11"/>
  <c r="I687" i="11"/>
  <c r="F529" i="11"/>
  <c r="K685" i="11"/>
  <c r="H656" i="11"/>
  <c r="K592" i="11"/>
  <c r="D660" i="11"/>
  <c r="I524" i="11"/>
  <c r="F716" i="11"/>
  <c r="B893" i="11"/>
  <c r="J1026" i="11"/>
  <c r="F33" i="11"/>
  <c r="K34" i="9"/>
  <c r="G1096" i="11"/>
  <c r="I989" i="11"/>
  <c r="G47" i="9"/>
  <c r="J1152" i="11"/>
  <c r="F766" i="11"/>
  <c r="E25" i="3"/>
  <c r="G44" i="10"/>
  <c r="B1068" i="11"/>
  <c r="F688" i="11"/>
  <c r="I1236" i="11"/>
  <c r="B1165" i="11"/>
  <c r="K28" i="3"/>
  <c r="F188" i="11"/>
  <c r="J948" i="11"/>
  <c r="Q5" i="9"/>
  <c r="I1221" i="11"/>
  <c r="G1109" i="11"/>
  <c r="K1106" i="11"/>
  <c r="I1124" i="11"/>
  <c r="G702" i="11"/>
  <c r="F1117" i="11"/>
  <c r="F749" i="11"/>
  <c r="D24" i="3"/>
  <c r="B904" i="11"/>
  <c r="I1167" i="11"/>
  <c r="E1087" i="11"/>
  <c r="I982" i="11"/>
  <c r="E945" i="11"/>
  <c r="I972" i="11"/>
  <c r="B162" i="11"/>
  <c r="N31" i="9"/>
  <c r="F214" i="11"/>
  <c r="F1025" i="11"/>
  <c r="B926" i="11"/>
  <c r="E1055" i="11"/>
  <c r="B1140" i="11"/>
  <c r="B820" i="11"/>
  <c r="B804" i="11"/>
  <c r="B848" i="11"/>
  <c r="E929" i="11"/>
  <c r="J716" i="11"/>
  <c r="H642" i="11"/>
  <c r="I671" i="11"/>
  <c r="J1160" i="11"/>
  <c r="J895" i="11"/>
  <c r="E20" i="3"/>
  <c r="I707" i="11"/>
  <c r="K620" i="11"/>
  <c r="F673" i="11"/>
  <c r="C1281" i="11"/>
  <c r="E1273" i="11"/>
  <c r="E683" i="11"/>
  <c r="H17" i="3"/>
  <c r="B1131" i="11"/>
  <c r="E29" i="3"/>
  <c r="F513" i="11"/>
  <c r="K1249" i="11"/>
  <c r="H37" i="3"/>
  <c r="B994" i="11"/>
  <c r="D675" i="11"/>
  <c r="E1268" i="11"/>
  <c r="I1079" i="11"/>
  <c r="F868" i="11"/>
  <c r="F679" i="11"/>
  <c r="F864" i="11"/>
  <c r="I957" i="11"/>
  <c r="I992" i="11"/>
  <c r="I1073" i="11"/>
  <c r="J1115" i="11"/>
  <c r="B840" i="11"/>
  <c r="F852" i="11"/>
  <c r="E660" i="11"/>
  <c r="F848" i="11"/>
  <c r="J24" i="8"/>
  <c r="F958" i="11"/>
  <c r="F992" i="11"/>
  <c r="J1103" i="11"/>
  <c r="F821" i="11"/>
  <c r="F804" i="11"/>
  <c r="K633" i="11"/>
  <c r="F800" i="11"/>
  <c r="H15" i="10"/>
  <c r="B895" i="11"/>
  <c r="F869" i="11"/>
  <c r="J1075" i="11"/>
  <c r="B776" i="11"/>
  <c r="F788" i="11"/>
  <c r="L626" i="11"/>
  <c r="F784" i="11"/>
  <c r="P14" i="8"/>
  <c r="H32" i="3"/>
  <c r="E850" i="11"/>
  <c r="J1063" i="11"/>
  <c r="F757" i="11"/>
  <c r="F922" i="11"/>
  <c r="B746" i="11"/>
  <c r="F906" i="11"/>
  <c r="B730" i="11"/>
  <c r="F1171" i="11"/>
  <c r="B709" i="11"/>
  <c r="J673" i="11"/>
  <c r="F866" i="11"/>
  <c r="C590" i="11"/>
  <c r="E811" i="11"/>
  <c r="L636" i="11"/>
  <c r="J799" i="11"/>
  <c r="B940" i="11"/>
  <c r="F680" i="11"/>
  <c r="G663" i="11"/>
  <c r="I776" i="11"/>
  <c r="J887" i="11"/>
  <c r="B708" i="11"/>
  <c r="E881" i="11"/>
  <c r="C701" i="11"/>
  <c r="J996" i="11"/>
  <c r="J850" i="11"/>
  <c r="I974" i="11"/>
  <c r="I1061" i="11"/>
  <c r="B687" i="11"/>
  <c r="K557" i="11"/>
  <c r="D559" i="11"/>
  <c r="E899" i="11"/>
  <c r="F638" i="11"/>
  <c r="G513" i="11"/>
  <c r="I231" i="11"/>
  <c r="B892" i="11"/>
  <c r="K638" i="11"/>
  <c r="C91" i="11"/>
  <c r="J881" i="11"/>
  <c r="J786" i="11"/>
  <c r="G630" i="11"/>
  <c r="I833" i="11"/>
  <c r="D624" i="11"/>
  <c r="I839" i="11"/>
  <c r="C1080" i="11"/>
  <c r="D6" i="8"/>
  <c r="J769" i="11"/>
  <c r="D649" i="11"/>
  <c r="E615" i="11"/>
  <c r="J516" i="11"/>
  <c r="K617" i="11"/>
  <c r="M38" i="9"/>
  <c r="B1015" i="11"/>
  <c r="K41" i="3"/>
  <c r="J765" i="11"/>
  <c r="G647" i="11"/>
  <c r="H614" i="11"/>
  <c r="B514" i="11"/>
  <c r="C615" i="11"/>
  <c r="I1282" i="11"/>
  <c r="I952" i="11"/>
  <c r="G34" i="3"/>
  <c r="F1150" i="11"/>
  <c r="I1039" i="11"/>
  <c r="K705" i="11"/>
  <c r="B890" i="11"/>
  <c r="E1201" i="11"/>
  <c r="H668" i="11"/>
  <c r="I536" i="11"/>
  <c r="F720" i="11"/>
  <c r="K663" i="11"/>
  <c r="E524" i="11"/>
  <c r="H595" i="11"/>
  <c r="B1136" i="11"/>
  <c r="B682" i="11"/>
  <c r="E789" i="11"/>
  <c r="F658" i="11"/>
  <c r="G625" i="11"/>
  <c r="L526" i="11"/>
  <c r="B626" i="11"/>
  <c r="G527" i="11"/>
  <c r="K626" i="11"/>
  <c r="J681" i="11"/>
  <c r="I550" i="11"/>
  <c r="I604" i="11"/>
  <c r="C505" i="11"/>
  <c r="L476" i="11"/>
  <c r="B372" i="11"/>
  <c r="I95" i="11"/>
  <c r="F831" i="11"/>
  <c r="H680" i="11"/>
  <c r="I548" i="11"/>
  <c r="C604" i="11"/>
  <c r="E27" i="9"/>
  <c r="H9" i="10"/>
  <c r="J954" i="11"/>
  <c r="H24" i="9"/>
  <c r="C1090" i="11"/>
  <c r="G1079" i="11"/>
  <c r="I1118" i="11"/>
  <c r="I1013" i="11"/>
  <c r="E709" i="11"/>
  <c r="H647" i="11"/>
  <c r="D516" i="11"/>
  <c r="E584" i="11"/>
  <c r="E1074" i="11"/>
  <c r="K673" i="11"/>
  <c r="E1015" i="11"/>
  <c r="H702" i="11"/>
  <c r="F972" i="11"/>
  <c r="D713" i="11"/>
  <c r="I785" i="11"/>
  <c r="I586" i="11"/>
  <c r="I797" i="11"/>
  <c r="D588" i="11"/>
  <c r="F994" i="11"/>
  <c r="I694" i="11"/>
  <c r="F956" i="11"/>
  <c r="G711" i="11"/>
  <c r="I769" i="11"/>
  <c r="L585" i="11"/>
  <c r="I781" i="11"/>
  <c r="G586" i="11"/>
  <c r="B973" i="11"/>
  <c r="J687" i="11"/>
  <c r="M9" i="9"/>
  <c r="J876" i="11"/>
  <c r="F842" i="11"/>
  <c r="K1097" i="11"/>
  <c r="I748" i="11"/>
  <c r="J927" i="11"/>
  <c r="J611" i="11"/>
  <c r="B884" i="11"/>
  <c r="I680" i="11"/>
  <c r="L617" i="11"/>
  <c r="B794" i="11"/>
  <c r="I549" i="11"/>
  <c r="C1064" i="11"/>
  <c r="C1065" i="11"/>
  <c r="E725" i="11"/>
  <c r="K868" i="11"/>
  <c r="K596" i="11"/>
  <c r="I882" i="11"/>
  <c r="F597" i="11"/>
  <c r="F877" i="11"/>
  <c r="B902" i="11"/>
  <c r="L625" i="11"/>
  <c r="J832" i="11"/>
  <c r="B575" i="11"/>
  <c r="K669" i="11"/>
  <c r="E446" i="11"/>
  <c r="B308" i="11"/>
  <c r="L344" i="11"/>
  <c r="I889" i="11"/>
  <c r="J623" i="11"/>
  <c r="E828" i="11"/>
  <c r="G575" i="11"/>
  <c r="B1120" i="11"/>
  <c r="F734" i="11"/>
  <c r="F778" i="11"/>
  <c r="B1021" i="11"/>
  <c r="E703" i="11"/>
  <c r="F684" i="11"/>
  <c r="C582" i="11"/>
  <c r="G677" i="11"/>
  <c r="H672" i="11"/>
  <c r="I606" i="11"/>
  <c r="H713" i="11"/>
  <c r="I540" i="11"/>
  <c r="I840" i="11"/>
  <c r="B991" i="11"/>
  <c r="G715" i="11"/>
  <c r="E804" i="11"/>
  <c r="L589" i="11"/>
  <c r="E816" i="11"/>
  <c r="E837" i="11"/>
  <c r="G651" i="11"/>
  <c r="D583" i="11"/>
  <c r="G650" i="11"/>
  <c r="J537" i="11"/>
  <c r="C636" i="11"/>
  <c r="J725" i="11"/>
  <c r="K597" i="11"/>
  <c r="L615" i="11"/>
  <c r="F515" i="11"/>
  <c r="D486" i="11"/>
  <c r="C390" i="11"/>
  <c r="I151" i="11"/>
  <c r="L1237" i="11"/>
  <c r="E721" i="11"/>
  <c r="I595" i="11"/>
  <c r="F614" i="11"/>
  <c r="J45" i="10"/>
  <c r="K21" i="8"/>
  <c r="E1166" i="11"/>
  <c r="E802" i="11"/>
  <c r="B1004" i="11"/>
  <c r="H715" i="11"/>
  <c r="J721" i="11"/>
  <c r="C595" i="11"/>
  <c r="I758" i="11"/>
  <c r="F731" i="11"/>
  <c r="G542" i="11"/>
  <c r="J612" i="11"/>
  <c r="J929" i="11"/>
  <c r="F737" i="11"/>
  <c r="I818" i="11"/>
  <c r="B671" i="11"/>
  <c r="C638" i="11"/>
  <c r="H539" i="11"/>
  <c r="I639" i="11"/>
  <c r="C540" i="11"/>
  <c r="G639" i="11"/>
  <c r="I750" i="11"/>
  <c r="E608" i="11"/>
  <c r="E617" i="11"/>
  <c r="J518" i="11"/>
  <c r="B489" i="11"/>
  <c r="C394" i="11"/>
  <c r="I167" i="11"/>
  <c r="L1211" i="11"/>
  <c r="B747" i="11"/>
  <c r="C607" i="11"/>
  <c r="J617" i="11"/>
  <c r="D518" i="11"/>
  <c r="K489" i="11"/>
  <c r="H394" i="11"/>
  <c r="I165" i="11"/>
  <c r="L1215" i="11"/>
  <c r="I816" i="11"/>
  <c r="E599" i="11"/>
  <c r="J756" i="11"/>
  <c r="D719" i="11"/>
  <c r="B594" i="11"/>
  <c r="E796" i="11"/>
  <c r="J302" i="11"/>
  <c r="I793" i="11"/>
  <c r="G529" i="11"/>
  <c r="J378" i="11"/>
  <c r="L348" i="11"/>
  <c r="G686" i="11"/>
  <c r="J528" i="11"/>
  <c r="B660" i="11"/>
  <c r="E546" i="11"/>
  <c r="L568" i="11"/>
  <c r="G424" i="11"/>
  <c r="E258" i="11"/>
  <c r="L945" i="11"/>
  <c r="G497" i="11"/>
  <c r="E895" i="11"/>
  <c r="B416" i="11"/>
  <c r="L493" i="11"/>
  <c r="J377" i="11"/>
  <c r="E106" i="11"/>
  <c r="L571" i="11"/>
  <c r="E1003" i="11"/>
  <c r="P22" i="8"/>
  <c r="E537" i="11"/>
  <c r="J792" i="11"/>
  <c r="J800" i="11"/>
  <c r="H565" i="11"/>
  <c r="L756" i="11"/>
  <c r="C564" i="11"/>
  <c r="F475" i="11"/>
  <c r="B304" i="11"/>
  <c r="L1067" i="11"/>
  <c r="I782" i="11"/>
  <c r="C623" i="11"/>
  <c r="K622" i="11"/>
  <c r="D522" i="11"/>
  <c r="F494" i="11"/>
  <c r="C399" i="11"/>
  <c r="I187" i="11"/>
  <c r="L1190" i="11"/>
  <c r="H470" i="11"/>
  <c r="D637" i="11"/>
  <c r="F229" i="11"/>
  <c r="I458" i="11"/>
  <c r="I322" i="11"/>
  <c r="L273" i="11"/>
  <c r="D36" i="10"/>
  <c r="I674" i="11"/>
  <c r="E661" i="11"/>
  <c r="E763" i="11"/>
  <c r="B581" i="11"/>
  <c r="E985" i="11"/>
  <c r="H601" i="11"/>
  <c r="E935" i="11"/>
  <c r="F503" i="11"/>
  <c r="F443" i="11"/>
  <c r="E230" i="11"/>
  <c r="F767" i="11"/>
  <c r="J649" i="11"/>
  <c r="D521" i="11"/>
  <c r="I596" i="11"/>
  <c r="C497" i="11"/>
  <c r="L468" i="11"/>
  <c r="E354" i="11"/>
  <c r="F674" i="11"/>
  <c r="C606" i="11"/>
  <c r="C717" i="11"/>
  <c r="D557" i="11"/>
  <c r="J658" i="11"/>
  <c r="I879" i="11"/>
  <c r="J698" i="11"/>
  <c r="I636" i="11"/>
  <c r="H533" i="11"/>
  <c r="D509" i="11"/>
  <c r="J410" i="11"/>
  <c r="B228" i="11"/>
  <c r="L1052" i="11"/>
  <c r="B875" i="11"/>
  <c r="B692" i="11"/>
  <c r="H636" i="11"/>
  <c r="B532" i="11"/>
  <c r="G1060" i="11"/>
  <c r="J1031" i="11"/>
  <c r="I1134" i="11"/>
  <c r="J1134" i="11"/>
  <c r="E862" i="11"/>
  <c r="F874" i="11"/>
  <c r="K691" i="11"/>
  <c r="E869" i="11"/>
  <c r="I1078" i="11"/>
  <c r="E571" i="11"/>
  <c r="I635" i="11"/>
  <c r="E950" i="11"/>
  <c r="I1093" i="11"/>
  <c r="J857" i="11"/>
  <c r="D689" i="11"/>
  <c r="J662" i="11"/>
  <c r="K559" i="11"/>
  <c r="K665" i="11"/>
  <c r="D561" i="11"/>
  <c r="G664" i="11"/>
  <c r="J951" i="11"/>
  <c r="F775" i="11"/>
  <c r="C640" i="11"/>
  <c r="L536" i="11"/>
  <c r="D519" i="11"/>
  <c r="C413" i="11"/>
  <c r="E234" i="11"/>
  <c r="L1115" i="11"/>
  <c r="F938" i="11"/>
  <c r="B762" i="11"/>
  <c r="H640" i="11"/>
  <c r="F535" i="11"/>
  <c r="B517" i="11"/>
  <c r="H413" i="11"/>
  <c r="J234" i="11"/>
  <c r="L1070" i="11"/>
  <c r="G1261" i="11"/>
  <c r="C1087" i="11"/>
  <c r="H582" i="11"/>
  <c r="F872" i="11"/>
  <c r="G688" i="11"/>
  <c r="L514" i="11"/>
  <c r="B420" i="11"/>
  <c r="J512" i="11"/>
  <c r="B628" i="11"/>
  <c r="B408" i="11"/>
  <c r="I61" i="11"/>
  <c r="B837" i="11"/>
  <c r="F604" i="11"/>
  <c r="F771" i="11"/>
  <c r="H570" i="11"/>
  <c r="E638" i="11"/>
  <c r="I441" i="11"/>
  <c r="F297" i="11"/>
  <c r="L939" i="11"/>
  <c r="H542" i="11"/>
  <c r="F728" i="11"/>
  <c r="J486" i="11"/>
  <c r="G553" i="11"/>
  <c r="C402" i="11"/>
  <c r="E202" i="11"/>
  <c r="H641" i="11"/>
  <c r="E1189" i="11"/>
  <c r="J714" i="11"/>
  <c r="K637" i="11"/>
  <c r="F690" i="11"/>
  <c r="D563" i="11"/>
  <c r="F642" i="11"/>
  <c r="J238" i="11"/>
  <c r="E641" i="11"/>
  <c r="I502" i="11"/>
  <c r="I355" i="11"/>
  <c r="L760" i="11"/>
  <c r="C1079" i="11"/>
  <c r="J947" i="11"/>
  <c r="G646" i="11"/>
  <c r="F539" i="11"/>
  <c r="B533" i="11"/>
  <c r="H417" i="11"/>
  <c r="E242" i="11"/>
  <c r="L1011" i="11"/>
  <c r="B487" i="11"/>
  <c r="C575" i="11"/>
  <c r="E382" i="11"/>
  <c r="H482" i="11"/>
  <c r="J361" i="11"/>
  <c r="E66" i="11"/>
  <c r="E535" i="11"/>
  <c r="J1105" i="11"/>
  <c r="F832" i="11"/>
  <c r="K1113" i="11"/>
  <c r="G654" i="11"/>
  <c r="F655" i="11"/>
  <c r="F531" i="11"/>
  <c r="L1101" i="11"/>
  <c r="K531" i="11"/>
  <c r="E466" i="11"/>
  <c r="J282" i="11"/>
  <c r="L1138" i="11"/>
  <c r="L719" i="11"/>
  <c r="G594" i="11"/>
  <c r="K614" i="11"/>
  <c r="E514" i="11"/>
  <c r="C485" i="11"/>
  <c r="C389" i="11"/>
  <c r="E697" i="11"/>
  <c r="G38" i="8"/>
  <c r="M31" i="10"/>
  <c r="D27" i="9"/>
  <c r="E1264" i="11"/>
  <c r="F203" i="11"/>
  <c r="I1157" i="11"/>
  <c r="E44" i="9"/>
  <c r="G20" i="3"/>
  <c r="N35" i="10"/>
  <c r="G1072" i="11"/>
  <c r="D11" i="9"/>
  <c r="E1208" i="11"/>
  <c r="H33" i="11"/>
  <c r="H46" i="3"/>
  <c r="I1017" i="11"/>
  <c r="E688" i="11"/>
  <c r="G43" i="3"/>
  <c r="J21" i="3"/>
  <c r="F1129" i="11"/>
  <c r="E1063" i="11"/>
  <c r="E758" i="11"/>
  <c r="B907" i="11"/>
  <c r="F1098" i="11"/>
  <c r="H43" i="10"/>
  <c r="K1281" i="11"/>
  <c r="C1283" i="11"/>
  <c r="E923" i="11"/>
  <c r="N20" i="9"/>
  <c r="E1081" i="11"/>
  <c r="B922" i="11"/>
  <c r="I902" i="11"/>
  <c r="H48" i="10"/>
  <c r="B1118" i="11"/>
  <c r="B1119" i="11"/>
  <c r="J731" i="11"/>
  <c r="D35" i="10"/>
  <c r="E1258" i="11"/>
  <c r="B869" i="11"/>
  <c r="F682" i="11"/>
  <c r="E1245" i="11"/>
  <c r="E1067" i="11"/>
  <c r="I1007" i="11"/>
  <c r="E1062" i="11"/>
  <c r="C519" i="11"/>
  <c r="Q5" i="10"/>
  <c r="J1072" i="11"/>
  <c r="L681" i="11"/>
  <c r="B988" i="11"/>
  <c r="I1271" i="11"/>
  <c r="J891" i="11"/>
  <c r="H45" i="11"/>
  <c r="C1265" i="11"/>
  <c r="H11" i="3"/>
  <c r="B844" i="11"/>
  <c r="G1059" i="11"/>
  <c r="E750" i="11"/>
  <c r="I762" i="11"/>
  <c r="G614" i="11"/>
  <c r="P27" i="9"/>
  <c r="K32" i="3"/>
  <c r="G1251" i="11"/>
  <c r="F825" i="11"/>
  <c r="E1026" i="11"/>
  <c r="I731" i="11"/>
  <c r="K694" i="11"/>
  <c r="D568" i="11"/>
  <c r="H6" i="9"/>
  <c r="C953" i="11"/>
  <c r="E1089" i="11"/>
  <c r="F729" i="11"/>
  <c r="J932" i="11"/>
  <c r="F681" i="11"/>
  <c r="L687" i="11"/>
  <c r="D558" i="11"/>
  <c r="D7" i="3"/>
  <c r="M9" i="8"/>
  <c r="E1073" i="11"/>
  <c r="C715" i="11"/>
  <c r="E912" i="11"/>
  <c r="E672" i="11"/>
  <c r="D665" i="11"/>
  <c r="E533" i="11"/>
  <c r="F178" i="11"/>
  <c r="F1083" i="11"/>
  <c r="B1008" i="11"/>
  <c r="H695" i="11"/>
  <c r="E35" i="8"/>
  <c r="C1107" i="11"/>
  <c r="E657" i="11"/>
  <c r="F526" i="11"/>
  <c r="P46" i="10"/>
  <c r="E1007" i="11"/>
  <c r="E982" i="11"/>
  <c r="J26" i="9"/>
  <c r="J1161" i="11"/>
  <c r="E21" i="8"/>
  <c r="G707" i="11"/>
  <c r="G582" i="11"/>
  <c r="J705" i="11"/>
  <c r="J580" i="11"/>
  <c r="B785" i="11"/>
  <c r="E707" i="11"/>
  <c r="B609" i="11"/>
  <c r="F1004" i="11"/>
  <c r="I829" i="11"/>
  <c r="B601" i="11"/>
  <c r="H441" i="11"/>
  <c r="K600" i="11"/>
  <c r="I1083" i="11"/>
  <c r="J846" i="11"/>
  <c r="J599" i="11"/>
  <c r="B941" i="11"/>
  <c r="J701" i="11"/>
  <c r="J576" i="11"/>
  <c r="B699" i="11"/>
  <c r="B574" i="11"/>
  <c r="B1009" i="11"/>
  <c r="E861" i="11"/>
  <c r="E569" i="11"/>
  <c r="E692" i="11"/>
  <c r="C664" i="11"/>
  <c r="I531" i="11"/>
  <c r="D533" i="11"/>
  <c r="I704" i="11"/>
  <c r="F610" i="11"/>
  <c r="I481" i="11"/>
  <c r="I127" i="11"/>
  <c r="G703" i="11"/>
  <c r="K610" i="11"/>
  <c r="F1107" i="11"/>
  <c r="C699" i="11"/>
  <c r="J1137" i="11"/>
  <c r="L531" i="11"/>
  <c r="C657" i="11"/>
  <c r="F593" i="11"/>
  <c r="E680" i="11"/>
  <c r="E731" i="11"/>
  <c r="B1023" i="11"/>
  <c r="J719" i="11"/>
  <c r="E836" i="11"/>
  <c r="F592" i="11"/>
  <c r="E848" i="11"/>
  <c r="L594" i="11"/>
  <c r="K1070" i="11"/>
  <c r="H718" i="11"/>
  <c r="B1007" i="11"/>
  <c r="D717" i="11"/>
  <c r="E820" i="11"/>
  <c r="I590" i="11"/>
  <c r="E832" i="11"/>
  <c r="D592" i="11"/>
  <c r="E1049" i="11"/>
  <c r="I710" i="11"/>
  <c r="K40" i="8"/>
  <c r="J1080" i="11"/>
  <c r="E907" i="11"/>
  <c r="D44" i="10"/>
  <c r="E799" i="11"/>
  <c r="I987" i="11"/>
  <c r="I634" i="11"/>
  <c r="I971" i="11"/>
  <c r="J689" i="11"/>
  <c r="K624" i="11"/>
  <c r="B858" i="11"/>
  <c r="I561" i="11"/>
  <c r="J880" i="11"/>
  <c r="C1103" i="11"/>
  <c r="I738" i="11"/>
  <c r="J1013" i="11"/>
  <c r="H602" i="11"/>
  <c r="I1068" i="11"/>
  <c r="C603" i="11"/>
  <c r="I1058" i="11"/>
  <c r="E1096" i="11"/>
  <c r="L650" i="11"/>
  <c r="J931" i="11"/>
  <c r="J581" i="11"/>
  <c r="E808" i="11"/>
  <c r="B452" i="11"/>
  <c r="F321" i="11"/>
  <c r="L280" i="11"/>
  <c r="E1088" i="11"/>
  <c r="L648" i="11"/>
  <c r="F918" i="11"/>
  <c r="D581" i="11"/>
  <c r="G46" i="3"/>
  <c r="C1086" i="11"/>
  <c r="B829" i="11"/>
  <c r="F1086" i="11"/>
  <c r="E735" i="11"/>
  <c r="J847" i="11"/>
  <c r="B605" i="11"/>
  <c r="J831" i="11"/>
  <c r="G679" i="11"/>
  <c r="J615" i="11"/>
  <c r="E768" i="11"/>
  <c r="H548" i="11"/>
  <c r="I1002" i="11"/>
  <c r="E1052" i="11"/>
  <c r="I1155" i="11"/>
  <c r="B887" i="11"/>
  <c r="I858" i="11"/>
  <c r="E689" i="11"/>
  <c r="L664" i="11"/>
  <c r="K560" i="11"/>
  <c r="B666" i="11"/>
  <c r="D562" i="11"/>
  <c r="I1139" i="11"/>
  <c r="I868" i="11"/>
  <c r="I854" i="11"/>
  <c r="H688" i="11"/>
  <c r="G660" i="11"/>
  <c r="E557" i="11"/>
  <c r="H663" i="11"/>
  <c r="I559" i="11"/>
  <c r="I1123" i="11"/>
  <c r="B852" i="11"/>
  <c r="I1202" i="11"/>
  <c r="G50" i="8"/>
  <c r="C682" i="11"/>
  <c r="H9" i="3"/>
  <c r="I1119" i="11"/>
  <c r="K1262" i="11"/>
  <c r="D512" i="11"/>
  <c r="E1181" i="11"/>
  <c r="K650" i="11"/>
  <c r="C586" i="11"/>
  <c r="I650" i="11"/>
  <c r="I1249" i="11"/>
  <c r="G693" i="11"/>
  <c r="I880" i="11"/>
  <c r="G699" i="11"/>
  <c r="J694" i="11"/>
  <c r="L573" i="11"/>
  <c r="L700" i="11"/>
  <c r="G574" i="11"/>
  <c r="D698" i="11"/>
  <c r="G682" i="11"/>
  <c r="F525" i="11"/>
  <c r="K659" i="11"/>
  <c r="D546" i="11"/>
  <c r="L564" i="11"/>
  <c r="F423" i="11"/>
  <c r="F257" i="11"/>
  <c r="L896" i="11"/>
  <c r="J680" i="11"/>
  <c r="D524" i="11"/>
  <c r="I657" i="11"/>
  <c r="I545" i="11"/>
  <c r="I1125" i="11"/>
  <c r="K1079" i="11"/>
  <c r="P11" i="8"/>
  <c r="I1159" i="11"/>
  <c r="I892" i="11"/>
  <c r="J935" i="11"/>
  <c r="F759" i="11"/>
  <c r="J919" i="11"/>
  <c r="B1155" i="11"/>
  <c r="K576" i="11"/>
  <c r="D640" i="11"/>
  <c r="G1063" i="11"/>
  <c r="G32" i="3"/>
  <c r="B863" i="11"/>
  <c r="H692" i="11"/>
  <c r="G668" i="11"/>
  <c r="K563" i="11"/>
  <c r="H671" i="11"/>
  <c r="E773" i="11"/>
  <c r="I753" i="11"/>
  <c r="I547" i="11"/>
  <c r="C619" i="11"/>
  <c r="K514" i="11"/>
  <c r="K1108" i="11"/>
  <c r="I865" i="11"/>
  <c r="F514" i="11"/>
  <c r="B591" i="11"/>
  <c r="G492" i="11"/>
  <c r="E462" i="11"/>
  <c r="I343" i="11"/>
  <c r="I23" i="11"/>
  <c r="F1096" i="11"/>
  <c r="E852" i="11"/>
  <c r="E513" i="11"/>
  <c r="G591" i="11"/>
  <c r="M7" i="8"/>
  <c r="I1036" i="11"/>
  <c r="J920" i="11"/>
  <c r="D46" i="3"/>
  <c r="J993" i="11"/>
  <c r="K1094" i="11"/>
  <c r="I849" i="11"/>
  <c r="F1080" i="11"/>
  <c r="L707" i="11"/>
  <c r="B641" i="11"/>
  <c r="I511" i="11"/>
  <c r="L582" i="11"/>
  <c r="B1032" i="11"/>
  <c r="D13" i="8"/>
  <c r="B767" i="11"/>
  <c r="C648" i="11"/>
  <c r="D615" i="11"/>
  <c r="I515" i="11"/>
  <c r="J616" i="11"/>
  <c r="D517" i="11"/>
  <c r="G1119" i="11"/>
  <c r="J1181" i="11"/>
  <c r="K518" i="11"/>
  <c r="F594" i="11"/>
  <c r="K495" i="11"/>
  <c r="I465" i="11"/>
  <c r="J350" i="11"/>
  <c r="I39" i="11"/>
  <c r="G1087" i="11"/>
  <c r="E1129" i="11"/>
  <c r="E517" i="11"/>
  <c r="K594" i="11"/>
  <c r="E494" i="11"/>
  <c r="C465" i="11"/>
  <c r="F349" i="11"/>
  <c r="I37" i="11"/>
  <c r="I1247" i="11"/>
  <c r="K1076" i="11"/>
  <c r="E779" i="11"/>
  <c r="F546" i="11"/>
  <c r="F843" i="11"/>
  <c r="F851" i="11"/>
  <c r="I572" i="11"/>
  <c r="L376" i="11"/>
  <c r="C572" i="11"/>
  <c r="J478" i="11"/>
  <c r="I307" i="11"/>
  <c r="L1023" i="11"/>
  <c r="B795" i="11"/>
  <c r="K629" i="11"/>
  <c r="H624" i="11"/>
  <c r="F523" i="11"/>
  <c r="J496" i="11"/>
  <c r="H401" i="11"/>
  <c r="I195" i="11"/>
  <c r="L1174" i="11"/>
  <c r="J471" i="11"/>
  <c r="G645" i="11"/>
  <c r="J242" i="11"/>
  <c r="F460" i="11"/>
  <c r="E325" i="11"/>
  <c r="L257" i="11"/>
  <c r="B1088" i="11"/>
  <c r="H698" i="11"/>
  <c r="D669" i="11"/>
  <c r="E827" i="11"/>
  <c r="J587" i="11"/>
  <c r="D715" i="11"/>
  <c r="G624" i="11"/>
  <c r="G709" i="11"/>
  <c r="H505" i="11"/>
  <c r="H445" i="11"/>
  <c r="F237" i="11"/>
  <c r="B818" i="11"/>
  <c r="G655" i="11"/>
  <c r="H524" i="11"/>
  <c r="K598" i="11"/>
  <c r="E498" i="11"/>
  <c r="C469" i="11"/>
  <c r="J358" i="11"/>
  <c r="I59" i="11"/>
  <c r="J668" i="11"/>
  <c r="I446" i="11"/>
  <c r="C533" i="11"/>
  <c r="L1048" i="11"/>
  <c r="H430" i="11"/>
  <c r="B271" i="11"/>
  <c r="L845" i="11"/>
  <c r="I890" i="11"/>
  <c r="E794" i="11"/>
  <c r="H598" i="11"/>
  <c r="I928" i="11"/>
  <c r="E752" i="11"/>
  <c r="E564" i="11"/>
  <c r="G432" i="11"/>
  <c r="E562" i="11"/>
  <c r="D647" i="11"/>
  <c r="F411" i="11"/>
  <c r="I85" i="11"/>
  <c r="C1088" i="11"/>
  <c r="K616" i="11"/>
  <c r="B806" i="11"/>
  <c r="J573" i="11"/>
  <c r="L653" i="11"/>
  <c r="B444" i="11"/>
  <c r="J825" i="11"/>
  <c r="I1142" i="11"/>
  <c r="G577" i="11"/>
  <c r="B642" i="11"/>
  <c r="B531" i="11"/>
  <c r="F630" i="11"/>
  <c r="L699" i="11"/>
  <c r="L574" i="11"/>
  <c r="D609" i="11"/>
  <c r="I509" i="11"/>
  <c r="G480" i="11"/>
  <c r="J382" i="11"/>
  <c r="I119" i="11"/>
  <c r="K7" i="10"/>
  <c r="J697" i="11"/>
  <c r="J572" i="11"/>
  <c r="I608" i="11"/>
  <c r="J25" i="3"/>
  <c r="I1054" i="11"/>
  <c r="E1107" i="11"/>
  <c r="I751" i="11"/>
  <c r="K953" i="11"/>
  <c r="I691" i="11"/>
  <c r="D697" i="11"/>
  <c r="D572" i="11"/>
  <c r="I742" i="11"/>
  <c r="D690" i="11"/>
  <c r="H535" i="11"/>
  <c r="K605" i="11"/>
  <c r="K1280" i="11"/>
  <c r="B698" i="11"/>
  <c r="E805" i="11"/>
  <c r="E665" i="11"/>
  <c r="F632" i="11"/>
  <c r="K533" i="11"/>
  <c r="L634" i="11"/>
  <c r="F534" i="11"/>
  <c r="J633" i="11"/>
  <c r="F710" i="11"/>
  <c r="F585" i="11"/>
  <c r="H612" i="11"/>
  <c r="B512" i="11"/>
  <c r="K483" i="11"/>
  <c r="C386" i="11"/>
  <c r="I135" i="11"/>
  <c r="H220" i="11"/>
  <c r="D709" i="11"/>
  <c r="D584" i="11"/>
  <c r="B611" i="11"/>
  <c r="G512" i="11"/>
  <c r="E482" i="11"/>
  <c r="H386" i="11"/>
  <c r="I133" i="11"/>
  <c r="H224" i="11"/>
  <c r="I670" i="11"/>
  <c r="F984" i="11"/>
  <c r="E646" i="11"/>
  <c r="C696" i="11"/>
  <c r="D571" i="11"/>
  <c r="F652" i="11"/>
  <c r="E250" i="11"/>
  <c r="D652" i="11"/>
  <c r="B506" i="11"/>
  <c r="E358" i="11"/>
  <c r="L744" i="11"/>
  <c r="C1121" i="11"/>
  <c r="I1126" i="11"/>
  <c r="B648" i="11"/>
  <c r="H541" i="11"/>
  <c r="J539" i="11"/>
  <c r="J418" i="11"/>
  <c r="J246" i="11"/>
  <c r="L995" i="11"/>
  <c r="F489" i="11"/>
  <c r="B598" i="11"/>
  <c r="H391" i="11"/>
  <c r="E483" i="11"/>
  <c r="F364" i="11"/>
  <c r="E74" i="11"/>
  <c r="B541" i="11"/>
  <c r="E1146" i="11"/>
  <c r="J886" i="11"/>
  <c r="E1000" i="11"/>
  <c r="C665" i="11"/>
  <c r="K667" i="11"/>
  <c r="C537" i="11"/>
  <c r="L1035" i="11"/>
  <c r="H537" i="11"/>
  <c r="G468" i="11"/>
  <c r="B288" i="11"/>
  <c r="L1122" i="11"/>
  <c r="B731" i="11"/>
  <c r="D600" i="11"/>
  <c r="B615" i="11"/>
  <c r="G516" i="11"/>
  <c r="E486" i="11"/>
  <c r="C391" i="11"/>
  <c r="I155" i="11"/>
  <c r="L1277" i="11"/>
  <c r="K464" i="11"/>
  <c r="J609" i="11"/>
  <c r="I121" i="11"/>
  <c r="I450" i="11"/>
  <c r="E309" i="11"/>
  <c r="L337" i="11"/>
  <c r="C55" i="11"/>
  <c r="B824" i="11"/>
  <c r="E887" i="11"/>
  <c r="B897" i="11"/>
  <c r="K553" i="11"/>
  <c r="E865" i="11"/>
  <c r="D507" i="11"/>
  <c r="I862" i="11"/>
  <c r="G496" i="11"/>
  <c r="E434" i="11"/>
  <c r="I213" i="11"/>
  <c r="I1044" i="11"/>
  <c r="J840" i="11"/>
  <c r="J513" i="11"/>
  <c r="L591" i="11"/>
  <c r="F491" i="11"/>
  <c r="D462" i="11"/>
  <c r="J342" i="11"/>
  <c r="L663" i="11"/>
  <c r="P17" i="8"/>
  <c r="K43" i="11"/>
  <c r="J5" i="8"/>
  <c r="G43" i="10"/>
  <c r="S6" i="9"/>
  <c r="I1153" i="11"/>
  <c r="E33" i="10"/>
  <c r="K210" i="11"/>
  <c r="G21" i="10"/>
  <c r="B1069" i="11"/>
  <c r="D5" i="10"/>
  <c r="B1178" i="11"/>
  <c r="D11" i="8"/>
  <c r="J1025" i="11"/>
  <c r="E1101" i="11"/>
  <c r="F928" i="11"/>
  <c r="I1201" i="11"/>
  <c r="I1207" i="11"/>
  <c r="J859" i="11"/>
  <c r="G37" i="10"/>
  <c r="E1030" i="11"/>
  <c r="J884" i="11"/>
  <c r="I1057" i="11"/>
  <c r="E37" i="8"/>
  <c r="E898" i="11"/>
  <c r="B900" i="11"/>
  <c r="E919" i="11"/>
  <c r="E914" i="11"/>
  <c r="I720" i="11"/>
  <c r="B677" i="11"/>
  <c r="F879" i="11"/>
  <c r="Q47" i="8"/>
  <c r="G102" i="11"/>
  <c r="F1105" i="11"/>
  <c r="J730" i="11"/>
  <c r="G1076" i="11"/>
  <c r="F1160" i="11"/>
  <c r="L868" i="11"/>
  <c r="K550" i="11"/>
  <c r="E1278" i="11"/>
  <c r="L713" i="11"/>
  <c r="E815" i="11"/>
  <c r="L674" i="11"/>
  <c r="E596" i="11"/>
  <c r="H8" i="3"/>
  <c r="F1175" i="11"/>
  <c r="E786" i="11"/>
  <c r="I796" i="11"/>
  <c r="C1069" i="11"/>
  <c r="H575" i="11"/>
  <c r="K9" i="10"/>
  <c r="F982" i="11"/>
  <c r="F973" i="11"/>
  <c r="P13" i="10"/>
  <c r="B1135" i="11"/>
  <c r="K26" i="3"/>
  <c r="K646" i="11"/>
  <c r="I1205" i="11"/>
  <c r="N43" i="10"/>
  <c r="M33" i="10"/>
  <c r="E948" i="11"/>
  <c r="K7" i="8"/>
  <c r="C1082" i="11"/>
  <c r="I1230" i="11"/>
  <c r="D674" i="11"/>
  <c r="J1178" i="11"/>
  <c r="H14" i="8"/>
  <c r="H5" i="3"/>
  <c r="C1076" i="11"/>
  <c r="G1065" i="11"/>
  <c r="B841" i="11"/>
  <c r="J1130" i="11"/>
  <c r="D658" i="11"/>
  <c r="E1116" i="11"/>
  <c r="C1291" i="11"/>
  <c r="F1145" i="11"/>
  <c r="F996" i="11"/>
  <c r="B978" i="11"/>
  <c r="F822" i="11"/>
  <c r="J962" i="11"/>
  <c r="E631" i="11"/>
  <c r="F947" i="11"/>
  <c r="P10" i="10"/>
  <c r="J990" i="11"/>
  <c r="F870" i="11"/>
  <c r="F1162" i="11"/>
  <c r="B777" i="11"/>
  <c r="F899" i="11"/>
  <c r="F624" i="11"/>
  <c r="F883" i="11"/>
  <c r="H15" i="8"/>
  <c r="B914" i="11"/>
  <c r="E851" i="11"/>
  <c r="K1105" i="11"/>
  <c r="F758" i="11"/>
  <c r="J949" i="11"/>
  <c r="B734" i="11"/>
  <c r="F932" i="11"/>
  <c r="E719" i="11"/>
  <c r="F916" i="11"/>
  <c r="J791" i="11"/>
  <c r="K588" i="11"/>
  <c r="E718" i="11"/>
  <c r="I716" i="11"/>
  <c r="I591" i="11"/>
  <c r="E764" i="11"/>
  <c r="I295" i="11"/>
  <c r="B758" i="11"/>
  <c r="J727" i="11"/>
  <c r="K554" i="11"/>
  <c r="L684" i="11"/>
  <c r="J897" i="11"/>
  <c r="K703" i="11"/>
  <c r="E12" i="8"/>
  <c r="L696" i="11"/>
  <c r="H15" i="3"/>
  <c r="I1097" i="11"/>
  <c r="F669" i="11"/>
  <c r="G634" i="11"/>
  <c r="E853" i="11"/>
  <c r="F659" i="11"/>
  <c r="G662" i="11"/>
  <c r="C661" i="11"/>
  <c r="J724" i="11"/>
  <c r="J534" i="11"/>
  <c r="L412" i="11"/>
  <c r="L1118" i="11"/>
  <c r="L716" i="11"/>
  <c r="D534" i="11"/>
  <c r="F908" i="11"/>
  <c r="J1081" i="11"/>
  <c r="E797" i="11"/>
  <c r="E793" i="11"/>
  <c r="E555" i="11"/>
  <c r="K1067" i="11"/>
  <c r="F1124" i="11"/>
  <c r="I1077" i="11"/>
  <c r="I870" i="11"/>
  <c r="B695" i="11"/>
  <c r="L680" i="11"/>
  <c r="K568" i="11"/>
  <c r="C685" i="11"/>
  <c r="D570" i="11"/>
  <c r="E1214" i="11"/>
  <c r="B1011" i="11"/>
  <c r="B867" i="11"/>
  <c r="E693" i="11"/>
  <c r="B672" i="11"/>
  <c r="E565" i="11"/>
  <c r="D678" i="11"/>
  <c r="I567" i="11"/>
  <c r="E1174" i="11"/>
  <c r="I948" i="11"/>
  <c r="I1148" i="11"/>
  <c r="B784" i="11"/>
  <c r="B705" i="11"/>
  <c r="E913" i="11"/>
  <c r="D663" i="11"/>
  <c r="C707" i="11"/>
  <c r="C535" i="11"/>
  <c r="D700" i="11"/>
  <c r="J657" i="11"/>
  <c r="B593" i="11"/>
  <c r="L666" i="11"/>
  <c r="K526" i="11"/>
  <c r="B725" i="11"/>
  <c r="J903" i="11"/>
  <c r="D705" i="11"/>
  <c r="I717" i="11"/>
  <c r="I578" i="11"/>
  <c r="F727" i="11"/>
  <c r="D580" i="11"/>
  <c r="F723" i="11"/>
  <c r="E810" i="11"/>
  <c r="E548" i="11"/>
  <c r="I677" i="11"/>
  <c r="H553" i="11"/>
  <c r="C589" i="11"/>
  <c r="C429" i="11"/>
  <c r="J270" i="11"/>
  <c r="L852" i="11"/>
  <c r="J798" i="11"/>
  <c r="C547" i="11"/>
  <c r="G676" i="11"/>
  <c r="C552" i="11"/>
  <c r="K11" i="8"/>
  <c r="F1058" i="11"/>
  <c r="F676" i="11"/>
  <c r="G1275" i="11"/>
  <c r="I1087" i="11"/>
  <c r="E1133" i="11"/>
  <c r="J1165" i="11"/>
  <c r="C1117" i="11"/>
  <c r="I648" i="11"/>
  <c r="J583" i="11"/>
  <c r="E648" i="11"/>
  <c r="M14" i="8"/>
  <c r="B681" i="11"/>
  <c r="B876" i="11"/>
  <c r="E974" i="11"/>
  <c r="F701" i="11"/>
  <c r="B807" i="11"/>
  <c r="F666" i="11"/>
  <c r="G633" i="11"/>
  <c r="L534" i="11"/>
  <c r="B634" i="11"/>
  <c r="G535" i="11"/>
  <c r="E958" i="11"/>
  <c r="G694" i="11"/>
  <c r="B803" i="11"/>
  <c r="I664" i="11"/>
  <c r="J631" i="11"/>
  <c r="D532" i="11"/>
  <c r="E632" i="11"/>
  <c r="J533" i="11"/>
  <c r="J944" i="11"/>
  <c r="G162" i="11"/>
  <c r="M18" i="9"/>
  <c r="I1289" i="11"/>
  <c r="F841" i="11"/>
  <c r="I1053" i="11"/>
  <c r="I747" i="11"/>
  <c r="B759" i="11"/>
  <c r="E612" i="11"/>
  <c r="B771" i="11"/>
  <c r="B782" i="11"/>
  <c r="D548" i="11"/>
  <c r="G618" i="11"/>
  <c r="F990" i="11"/>
  <c r="B788" i="11"/>
  <c r="F828" i="11"/>
  <c r="H676" i="11"/>
  <c r="I642" i="11"/>
  <c r="C543" i="11"/>
  <c r="J644" i="11"/>
  <c r="I544" i="11"/>
  <c r="E643" i="11"/>
  <c r="J789" i="11"/>
  <c r="G626" i="11"/>
  <c r="L623" i="11"/>
  <c r="E522" i="11"/>
  <c r="J495" i="11"/>
  <c r="G400" i="11"/>
  <c r="I191" i="11"/>
  <c r="L1182" i="11"/>
  <c r="E785" i="11"/>
  <c r="E624" i="11"/>
  <c r="F622" i="11"/>
  <c r="G8" i="9"/>
  <c r="B1121" i="11"/>
  <c r="E1134" i="11"/>
  <c r="F777" i="11"/>
  <c r="E978" i="11"/>
  <c r="C703" i="11"/>
  <c r="I708" i="11"/>
  <c r="I583" i="11"/>
  <c r="J749" i="11"/>
  <c r="F707" i="11"/>
  <c r="C539" i="11"/>
  <c r="D608" i="11"/>
  <c r="D42" i="10"/>
  <c r="D716" i="11"/>
  <c r="F812" i="11"/>
  <c r="I668" i="11"/>
  <c r="J635" i="11"/>
  <c r="D536" i="11"/>
  <c r="E636" i="11"/>
  <c r="J709" i="11"/>
  <c r="J648" i="11"/>
  <c r="B518" i="11"/>
  <c r="G590" i="11"/>
  <c r="E812" i="11"/>
  <c r="I760" i="11"/>
  <c r="E595" i="11"/>
  <c r="I745" i="11"/>
  <c r="H567" i="11"/>
  <c r="D630" i="11"/>
  <c r="F439" i="11"/>
  <c r="B292" i="11"/>
  <c r="L740" i="11"/>
  <c r="E747" i="11"/>
  <c r="C594" i="11"/>
  <c r="B742" i="11"/>
  <c r="C566" i="11"/>
  <c r="H45" i="3"/>
  <c r="I836" i="11"/>
  <c r="E803" i="11"/>
  <c r="K1065" i="11"/>
  <c r="J715" i="11"/>
  <c r="I744" i="11"/>
  <c r="H594" i="11"/>
  <c r="I728" i="11"/>
  <c r="L675" i="11"/>
  <c r="D611" i="11"/>
  <c r="F743" i="11"/>
  <c r="B543" i="11"/>
  <c r="F880" i="11"/>
  <c r="J1017" i="11"/>
  <c r="K718" i="11"/>
  <c r="B830" i="11"/>
  <c r="E591" i="11"/>
  <c r="B842" i="11"/>
  <c r="K593" i="11"/>
  <c r="B838" i="11"/>
  <c r="J863" i="11"/>
  <c r="J607" i="11"/>
  <c r="E780" i="11"/>
  <c r="H571" i="11"/>
  <c r="I641" i="11"/>
  <c r="J442" i="11"/>
  <c r="E298" i="11"/>
  <c r="L907" i="11"/>
  <c r="F850" i="11"/>
  <c r="H606" i="11"/>
  <c r="I777" i="11"/>
  <c r="C570" i="11"/>
  <c r="G640" i="11"/>
  <c r="D442" i="11"/>
  <c r="J298" i="11"/>
  <c r="L923" i="11"/>
  <c r="G1268" i="11"/>
  <c r="J723" i="11"/>
  <c r="E677" i="11"/>
  <c r="B901" i="11"/>
  <c r="G593" i="11"/>
  <c r="E989" i="11"/>
  <c r="H649" i="11"/>
  <c r="E939" i="11"/>
  <c r="L508" i="11"/>
  <c r="J446" i="11"/>
  <c r="B240" i="11"/>
  <c r="F1016" i="11"/>
  <c r="D661" i="11"/>
  <c r="E529" i="11"/>
  <c r="B599" i="11"/>
  <c r="G500" i="11"/>
  <c r="E470" i="11"/>
  <c r="F361" i="11"/>
  <c r="I67" i="11"/>
  <c r="H689" i="11"/>
  <c r="K448" i="11"/>
  <c r="K539" i="11"/>
  <c r="L1015" i="11"/>
  <c r="J431" i="11"/>
  <c r="I274" i="11"/>
  <c r="L829" i="11"/>
  <c r="D703" i="11"/>
  <c r="G661" i="11"/>
  <c r="G605" i="11"/>
  <c r="I978" i="11"/>
  <c r="J804" i="11"/>
  <c r="H590" i="11"/>
  <c r="D438" i="11"/>
  <c r="F588" i="11"/>
  <c r="E654" i="11"/>
  <c r="J414" i="11"/>
  <c r="I93" i="11"/>
  <c r="E876" i="11"/>
  <c r="H622" i="11"/>
  <c r="B822" i="11"/>
  <c r="L575" i="11"/>
  <c r="C663" i="11"/>
  <c r="D446" i="11"/>
  <c r="E306" i="11"/>
  <c r="L352" i="11"/>
  <c r="G563" i="11"/>
  <c r="E883" i="11"/>
  <c r="E509" i="11"/>
  <c r="I581" i="11"/>
  <c r="I406" i="11"/>
  <c r="F220" i="11"/>
  <c r="I667" i="11"/>
  <c r="G717" i="11"/>
  <c r="H547" i="11"/>
  <c r="G672" i="11"/>
  <c r="H708" i="11"/>
  <c r="H583" i="11"/>
  <c r="I693" i="11"/>
  <c r="B276" i="11"/>
  <c r="E690" i="11"/>
  <c r="E511" i="11"/>
  <c r="B368" i="11"/>
  <c r="L380" i="11"/>
  <c r="N8" i="8"/>
  <c r="E516" i="11"/>
  <c r="H654" i="11"/>
  <c r="L544" i="11"/>
  <c r="L552" i="11"/>
  <c r="C421" i="11"/>
  <c r="F748" i="11"/>
  <c r="L712" i="11"/>
  <c r="L542" i="11"/>
  <c r="I607" i="11"/>
  <c r="I1174" i="11"/>
  <c r="K37" i="8"/>
  <c r="H693" i="11"/>
  <c r="I1114" i="11"/>
  <c r="E585" i="11"/>
  <c r="I1158" i="11"/>
  <c r="H457" i="11"/>
  <c r="E330" i="11"/>
  <c r="L232" i="11"/>
  <c r="H7" i="3"/>
  <c r="K687" i="11"/>
  <c r="I1106" i="11"/>
  <c r="J585" i="11"/>
  <c r="Q18" i="8"/>
  <c r="F952" i="11"/>
  <c r="J1177" i="11"/>
  <c r="G1121" i="11"/>
  <c r="E863" i="11"/>
  <c r="E37" i="3"/>
  <c r="I685" i="11"/>
  <c r="E1260" i="11"/>
  <c r="K698" i="11"/>
  <c r="C634" i="11"/>
  <c r="I1108" i="11"/>
  <c r="K573" i="11"/>
  <c r="B968" i="11"/>
  <c r="I1178" i="11"/>
  <c r="I754" i="11"/>
  <c r="P38" i="8"/>
  <c r="G609" i="11"/>
  <c r="L510" i="11"/>
  <c r="B610" i="11"/>
  <c r="G511" i="11"/>
  <c r="F986" i="11"/>
  <c r="F763" i="11"/>
  <c r="D40" i="10"/>
  <c r="I588" i="11"/>
  <c r="C489" i="11"/>
  <c r="L460" i="11"/>
  <c r="F337" i="11"/>
  <c r="I7" i="11"/>
  <c r="I968" i="11"/>
  <c r="B750" i="11"/>
  <c r="Q48" i="8"/>
  <c r="C588" i="11"/>
  <c r="H489" i="11"/>
  <c r="F459" i="11"/>
  <c r="B336" i="11"/>
  <c r="I5" i="11"/>
  <c r="F900" i="11"/>
  <c r="J1249" i="11"/>
  <c r="C1075" i="11"/>
  <c r="G48" i="10"/>
  <c r="E682" i="11"/>
  <c r="J686" i="11"/>
  <c r="K543" i="11"/>
  <c r="L971" i="11"/>
  <c r="E542" i="11"/>
  <c r="I469" i="11"/>
  <c r="I291" i="11"/>
  <c r="L1117" i="11"/>
  <c r="F744" i="11"/>
  <c r="L606" i="11"/>
  <c r="D617" i="11"/>
  <c r="I517" i="11"/>
  <c r="I488" i="11"/>
  <c r="C393" i="11"/>
  <c r="I163" i="11"/>
  <c r="L1219" i="11"/>
  <c r="B465" i="11"/>
  <c r="G615" i="11"/>
  <c r="I153" i="11"/>
  <c r="L453" i="11"/>
  <c r="J313" i="11"/>
  <c r="L321" i="11"/>
  <c r="G1092" i="11"/>
  <c r="I875" i="11"/>
  <c r="I1110" i="11"/>
  <c r="B1179" i="11"/>
  <c r="K561" i="11"/>
  <c r="J1001" i="11"/>
  <c r="L525" i="11"/>
  <c r="F988" i="11"/>
  <c r="I497" i="11"/>
  <c r="I437" i="11"/>
  <c r="J218" i="11"/>
  <c r="J34" i="3"/>
  <c r="J899" i="11"/>
  <c r="G515" i="11"/>
  <c r="C592" i="11"/>
  <c r="H493" i="11"/>
  <c r="F463" i="11"/>
  <c r="F345" i="11"/>
  <c r="I27" i="11"/>
  <c r="F635" i="11"/>
  <c r="L441" i="11"/>
  <c r="D510" i="11"/>
  <c r="H248" i="11"/>
  <c r="K424" i="11"/>
  <c r="I258" i="11"/>
  <c r="L949" i="11"/>
  <c r="F962" i="11"/>
  <c r="F836" i="11"/>
  <c r="E563" i="11"/>
  <c r="B847" i="11"/>
  <c r="J656" i="11"/>
  <c r="K675" i="11"/>
  <c r="H409" i="11"/>
  <c r="G670" i="11"/>
  <c r="K611" i="11"/>
  <c r="G404" i="11"/>
  <c r="I45" i="11"/>
  <c r="J735" i="11"/>
  <c r="L593" i="11"/>
  <c r="F739" i="11"/>
  <c r="H566" i="11"/>
  <c r="K627" i="11"/>
  <c r="E438" i="11"/>
  <c r="N46" i="10"/>
  <c r="K23" i="8"/>
  <c r="D19" i="10"/>
  <c r="G33" i="3"/>
  <c r="J6" i="3"/>
  <c r="I702" i="11"/>
  <c r="K1289" i="11"/>
  <c r="C719" i="11"/>
  <c r="F1122" i="11"/>
  <c r="B1146" i="11"/>
  <c r="J712" i="11"/>
  <c r="M17" i="8"/>
  <c r="H700" i="11"/>
  <c r="B845" i="11"/>
  <c r="L613" i="11"/>
  <c r="F826" i="11"/>
  <c r="K566" i="11"/>
  <c r="F730" i="11"/>
  <c r="K556" i="11"/>
  <c r="E715" i="11"/>
  <c r="J532" i="11"/>
  <c r="J695" i="11"/>
  <c r="K525" i="11"/>
  <c r="I686" i="11"/>
  <c r="L581" i="11"/>
  <c r="E1041" i="11"/>
  <c r="I825" i="11"/>
  <c r="L953" i="11"/>
  <c r="D575" i="11"/>
  <c r="J1121" i="11"/>
  <c r="D631" i="11"/>
  <c r="K511" i="11"/>
  <c r="Q19" i="8"/>
  <c r="F718" i="11"/>
  <c r="E730" i="11"/>
  <c r="I539" i="11"/>
  <c r="F717" i="11"/>
  <c r="L538" i="11"/>
  <c r="G710" i="11"/>
  <c r="J1089" i="11"/>
  <c r="I806" i="11"/>
  <c r="K1078" i="11"/>
  <c r="C650" i="11"/>
  <c r="F651" i="11"/>
  <c r="B528" i="11"/>
  <c r="L1203" i="11"/>
  <c r="G11" i="9"/>
  <c r="J1030" i="11"/>
  <c r="F768" i="11"/>
  <c r="E955" i="11"/>
  <c r="I1186" i="11"/>
  <c r="B510" i="11"/>
  <c r="E1165" i="11"/>
  <c r="N9" i="9"/>
  <c r="D27" i="8"/>
  <c r="I1122" i="11"/>
  <c r="I712" i="11"/>
  <c r="E1082" i="11"/>
  <c r="J619" i="11"/>
  <c r="C620" i="11"/>
  <c r="F499" i="11"/>
  <c r="C677" i="11"/>
  <c r="D10" i="3"/>
  <c r="J894" i="11"/>
  <c r="F702" i="11"/>
  <c r="E1006" i="11"/>
  <c r="K612" i="11"/>
  <c r="H618" i="11"/>
  <c r="C1063" i="11"/>
  <c r="I530" i="11"/>
  <c r="E1044" i="11"/>
  <c r="G10" i="8"/>
  <c r="J989" i="11"/>
  <c r="C644" i="11"/>
  <c r="H670" i="11"/>
  <c r="K567" i="11"/>
  <c r="F1156" i="11"/>
  <c r="C542" i="11"/>
  <c r="F1140" i="11"/>
  <c r="L541" i="11"/>
  <c r="E891" i="11"/>
  <c r="F855" i="11"/>
  <c r="G666" i="11"/>
  <c r="E627" i="11"/>
  <c r="F447" i="11"/>
  <c r="C1071" i="11"/>
  <c r="B223" i="11"/>
  <c r="K707" i="11"/>
  <c r="F289" i="11"/>
  <c r="L364" i="11"/>
  <c r="C545" i="11"/>
  <c r="L928" i="11"/>
  <c r="F490" i="11"/>
  <c r="B939" i="11"/>
  <c r="E748" i="11"/>
  <c r="D474" i="11"/>
  <c r="F617" i="11"/>
  <c r="C397" i="11"/>
  <c r="J584" i="11"/>
  <c r="H701" i="11"/>
  <c r="I279" i="11"/>
  <c r="F699" i="11"/>
  <c r="I752" i="11"/>
  <c r="K570" i="11"/>
  <c r="F695" i="11"/>
  <c r="C712" i="11"/>
  <c r="C587" i="11"/>
  <c r="H717" i="11"/>
  <c r="J286" i="11"/>
  <c r="D714" i="11"/>
  <c r="F285" i="11"/>
  <c r="E645" i="11"/>
  <c r="K548" i="11"/>
  <c r="B224" i="11"/>
  <c r="E593" i="11"/>
  <c r="I35" i="11"/>
  <c r="L1229" i="11"/>
  <c r="K1066" i="11"/>
  <c r="D668" i="11"/>
  <c r="E622" i="11"/>
  <c r="I598" i="11"/>
  <c r="G440" i="11"/>
  <c r="C700" i="11"/>
  <c r="E194" i="11"/>
  <c r="L630" i="11"/>
  <c r="F225" i="11"/>
  <c r="L792" i="11"/>
  <c r="D538" i="11"/>
  <c r="B735" i="11"/>
  <c r="F600" i="11"/>
  <c r="D694" i="11"/>
  <c r="D549" i="11"/>
  <c r="B649" i="11"/>
  <c r="B827" i="11"/>
  <c r="L644" i="11"/>
  <c r="I628" i="11"/>
  <c r="K527" i="11"/>
  <c r="G501" i="11"/>
  <c r="B404" i="11"/>
  <c r="I215" i="11"/>
  <c r="L1134" i="11"/>
  <c r="F824" i="11"/>
  <c r="G642" i="11"/>
  <c r="C628" i="11"/>
  <c r="E526" i="11"/>
  <c r="C1264" i="11"/>
  <c r="B943" i="11"/>
  <c r="B953" i="11"/>
  <c r="J1097" i="11"/>
  <c r="I811" i="11"/>
  <c r="B823" i="11"/>
  <c r="L642" i="11"/>
  <c r="B819" i="11"/>
  <c r="F859" i="11"/>
  <c r="E561" i="11"/>
  <c r="J628" i="11"/>
  <c r="F1088" i="11"/>
  <c r="E878" i="11"/>
  <c r="F844" i="11"/>
  <c r="G683" i="11"/>
  <c r="G652" i="11"/>
  <c r="K551" i="11"/>
  <c r="D654" i="11"/>
  <c r="D553" i="11"/>
  <c r="F653" i="11"/>
  <c r="J853" i="11"/>
  <c r="F661" i="11"/>
  <c r="I632" i="11"/>
  <c r="D530" i="11"/>
  <c r="K505" i="11"/>
  <c r="F407" i="11"/>
  <c r="J222" i="11"/>
  <c r="L1100" i="11"/>
  <c r="E849" i="11"/>
  <c r="B658" i="11"/>
  <c r="C632" i="11"/>
  <c r="I529" i="11"/>
  <c r="I504" i="11"/>
  <c r="K407" i="11"/>
  <c r="F221" i="11"/>
  <c r="L1116" i="11"/>
  <c r="E1190" i="11"/>
  <c r="E733" i="11"/>
  <c r="K545" i="11"/>
  <c r="E821" i="11"/>
  <c r="K641" i="11"/>
  <c r="B614" i="11"/>
  <c r="C396" i="11"/>
  <c r="K613" i="11"/>
  <c r="F599" i="11"/>
  <c r="L400" i="11"/>
  <c r="I21" i="11"/>
  <c r="K680" i="11"/>
  <c r="G581" i="11"/>
  <c r="B712" i="11"/>
  <c r="H562" i="11"/>
  <c r="F615" i="11"/>
  <c r="L436" i="11"/>
  <c r="B284" i="11"/>
  <c r="L780" i="11"/>
  <c r="I518" i="11"/>
  <c r="B879" i="11"/>
  <c r="K463" i="11"/>
  <c r="B521" i="11"/>
  <c r="G395" i="11"/>
  <c r="E170" i="11"/>
  <c r="I617" i="11"/>
  <c r="B764" i="11"/>
  <c r="L578" i="11"/>
  <c r="B606" i="11"/>
  <c r="G667" i="11"/>
  <c r="H536" i="11"/>
  <c r="J613" i="11"/>
  <c r="I143" i="11"/>
  <c r="D613" i="11"/>
  <c r="D493" i="11"/>
  <c r="I339" i="11"/>
  <c r="L856" i="11"/>
  <c r="F888" i="11"/>
  <c r="D710" i="11"/>
  <c r="J637" i="11"/>
  <c r="I533" i="11"/>
  <c r="F510" i="11"/>
  <c r="K411" i="11"/>
  <c r="J230" i="11"/>
  <c r="L1044" i="11"/>
  <c r="B481" i="11"/>
  <c r="F1136" i="11"/>
  <c r="I331" i="11"/>
  <c r="H474" i="11"/>
  <c r="F348" i="11"/>
  <c r="E34" i="11"/>
  <c r="G35" i="3"/>
  <c r="J916" i="11"/>
  <c r="E729" i="11"/>
  <c r="J1162" i="11"/>
  <c r="K628" i="11"/>
  <c r="D629" i="11"/>
  <c r="G508" i="11"/>
  <c r="I1072" i="11"/>
  <c r="F519" i="11"/>
  <c r="D458" i="11"/>
  <c r="J266" i="11"/>
  <c r="L1262" i="11"/>
  <c r="H696" i="11"/>
  <c r="I570" i="11"/>
  <c r="C608" i="11"/>
  <c r="H509" i="11"/>
  <c r="F479" i="11"/>
  <c r="B380" i="11"/>
  <c r="K686" i="11"/>
  <c r="E623" i="11"/>
  <c r="J868" i="11"/>
  <c r="E572" i="11"/>
  <c r="G692" i="11"/>
  <c r="B674" i="11"/>
  <c r="I519" i="11"/>
  <c r="H655" i="11"/>
  <c r="B544" i="11"/>
  <c r="L556" i="11"/>
  <c r="D422" i="11"/>
  <c r="J254" i="11"/>
  <c r="L955" i="11"/>
  <c r="J672" i="11"/>
  <c r="G518" i="11"/>
  <c r="J654" i="11"/>
  <c r="G544" i="11"/>
  <c r="H17" i="8"/>
  <c r="Q15" i="8"/>
  <c r="K688" i="11"/>
  <c r="K24" i="8"/>
  <c r="E1169" i="11"/>
  <c r="D672" i="11"/>
  <c r="L518" i="11"/>
  <c r="D16" i="10"/>
  <c r="B651" i="11"/>
  <c r="E587" i="11"/>
  <c r="B654" i="11"/>
  <c r="D26" i="8"/>
  <c r="D699" i="11"/>
  <c r="J885" i="11"/>
  <c r="I700" i="11"/>
  <c r="G700" i="11"/>
  <c r="C574" i="11"/>
  <c r="I705" i="11"/>
  <c r="I575" i="11"/>
  <c r="L704" i="11"/>
  <c r="C691" i="11"/>
  <c r="C531" i="11"/>
  <c r="E662" i="11"/>
  <c r="F547" i="11"/>
  <c r="L572" i="11"/>
  <c r="H425" i="11"/>
  <c r="B260" i="11"/>
  <c r="L913" i="11"/>
  <c r="D688" i="11"/>
  <c r="L530" i="11"/>
  <c r="D662" i="11"/>
  <c r="K547" i="11"/>
  <c r="L570" i="11"/>
  <c r="B424" i="11"/>
  <c r="I259" i="11"/>
  <c r="L929" i="11"/>
  <c r="H18" i="3"/>
  <c r="J47" i="8"/>
  <c r="H645" i="11"/>
  <c r="E7" i="3"/>
  <c r="K517" i="11"/>
  <c r="F646" i="11"/>
  <c r="K467" i="11"/>
  <c r="D645" i="11"/>
  <c r="E927" i="11"/>
  <c r="K423" i="11"/>
  <c r="I149" i="11"/>
  <c r="E1112" i="11"/>
  <c r="I653" i="11"/>
  <c r="F968" i="11"/>
  <c r="K582" i="11"/>
  <c r="B834" i="11"/>
  <c r="C453" i="11"/>
  <c r="E322" i="11"/>
  <c r="L272" i="11"/>
  <c r="E594" i="11"/>
  <c r="B773" i="11"/>
  <c r="F631" i="11"/>
  <c r="H621" i="11"/>
  <c r="H414" i="11"/>
  <c r="F236" i="11"/>
  <c r="I853" i="11"/>
  <c r="E6" i="8"/>
  <c r="H709" i="11"/>
  <c r="F1152" i="11"/>
  <c r="E757" i="11"/>
  <c r="D612" i="11"/>
  <c r="C512" i="11"/>
  <c r="B340" i="11"/>
  <c r="H512" i="11"/>
  <c r="L554" i="11"/>
  <c r="H388" i="11"/>
  <c r="L284" i="11"/>
  <c r="F785" i="11"/>
  <c r="L546" i="11"/>
  <c r="C673" i="11"/>
  <c r="H552" i="11"/>
  <c r="J586" i="11"/>
  <c r="B428" i="11"/>
  <c r="B268" i="11"/>
  <c r="L860" i="11"/>
  <c r="D503" i="11"/>
  <c r="H574" i="11"/>
  <c r="D434" i="11"/>
  <c r="I500" i="11"/>
  <c r="G385" i="11"/>
  <c r="E130" i="11"/>
  <c r="B588" i="11"/>
  <c r="F991" i="11"/>
  <c r="E1076" i="11"/>
  <c r="I565" i="11"/>
  <c r="I1102" i="11"/>
  <c r="B1123" i="11"/>
  <c r="C584" i="11"/>
  <c r="L248" i="11"/>
  <c r="H584" i="11"/>
  <c r="C481" i="11"/>
  <c r="F317" i="11"/>
  <c r="L975" i="11"/>
  <c r="J821" i="11"/>
  <c r="E640" i="11"/>
  <c r="H628" i="11"/>
  <c r="J526" i="11"/>
  <c r="C500" i="11"/>
  <c r="L404" i="11"/>
  <c r="I211" i="11"/>
  <c r="L1142" i="11"/>
  <c r="C474" i="11"/>
  <c r="L672" i="11"/>
  <c r="I267" i="11"/>
  <c r="F464" i="11"/>
  <c r="L368" i="11"/>
  <c r="H486" i="11"/>
  <c r="C580" i="11"/>
  <c r="J574" i="11"/>
  <c r="G391" i="11"/>
  <c r="E154" i="11"/>
  <c r="D606" i="11"/>
  <c r="F433" i="11"/>
  <c r="F279" i="11"/>
  <c r="L806" i="11"/>
  <c r="C452" i="11"/>
  <c r="H905" i="11"/>
  <c r="K1247" i="11"/>
  <c r="I654" i="11"/>
  <c r="H473" i="11"/>
  <c r="I157" i="11"/>
  <c r="B583" i="11"/>
  <c r="L256" i="11"/>
  <c r="G628" i="11"/>
  <c r="C491" i="11"/>
  <c r="E336" i="11"/>
  <c r="L854" i="11"/>
  <c r="E189" i="11"/>
  <c r="K893" i="11"/>
  <c r="D279" i="11"/>
  <c r="I492" i="11"/>
  <c r="E817" i="11"/>
  <c r="E499" i="11"/>
  <c r="H573" i="11"/>
  <c r="L405" i="11"/>
  <c r="F216" i="11"/>
  <c r="L654" i="11"/>
  <c r="E444" i="11"/>
  <c r="J304" i="11"/>
  <c r="L366" i="11"/>
  <c r="L501" i="11"/>
  <c r="H733" i="11"/>
  <c r="K1055" i="11"/>
  <c r="D267" i="11"/>
  <c r="F498" i="11"/>
  <c r="H712" i="11"/>
  <c r="F483" i="11"/>
  <c r="G549" i="11"/>
  <c r="B401" i="11"/>
  <c r="E198" i="11"/>
  <c r="D638" i="11"/>
  <c r="F441" i="11"/>
  <c r="E296" i="11"/>
  <c r="L947" i="11"/>
  <c r="C484" i="11"/>
  <c r="H781" i="11"/>
  <c r="K1148" i="11"/>
  <c r="D303" i="11"/>
  <c r="F482" i="11"/>
  <c r="H788" i="11"/>
  <c r="K1168" i="11"/>
  <c r="H529" i="11"/>
  <c r="L857" i="11"/>
  <c r="H378" i="11"/>
  <c r="G285" i="11"/>
  <c r="K845" i="11"/>
  <c r="D316" i="11"/>
  <c r="F370" i="11"/>
  <c r="H1076" i="11"/>
  <c r="C743" i="11"/>
  <c r="E911" i="11"/>
  <c r="K578" i="11"/>
  <c r="F808" i="11"/>
  <c r="C498" i="11"/>
  <c r="L473" i="11"/>
  <c r="J329" i="11"/>
  <c r="G442" i="11"/>
  <c r="F231" i="11"/>
  <c r="H334" i="11"/>
  <c r="H771" i="11"/>
  <c r="C789" i="11"/>
  <c r="D1015" i="11"/>
  <c r="J291" i="11"/>
  <c r="F803" i="11"/>
  <c r="E302" i="11"/>
  <c r="B469" i="11"/>
  <c r="J341" i="11"/>
  <c r="E16" i="11"/>
  <c r="C506" i="11"/>
  <c r="J408" i="11"/>
  <c r="J224" i="11"/>
  <c r="L1060" i="11"/>
  <c r="I304" i="11"/>
  <c r="H1162" i="11"/>
  <c r="C825" i="11"/>
  <c r="D1003" i="11"/>
  <c r="I300" i="11"/>
  <c r="L688" i="11"/>
  <c r="J274" i="11"/>
  <c r="G465" i="11"/>
  <c r="E333" i="11"/>
  <c r="L217" i="11"/>
  <c r="H502" i="11"/>
  <c r="K405" i="11"/>
  <c r="E216" i="11"/>
  <c r="L1128" i="11"/>
  <c r="E275" i="11"/>
  <c r="H1262" i="11"/>
  <c r="C861" i="11"/>
  <c r="D1069" i="11"/>
  <c r="E271" i="11"/>
  <c r="H1290" i="11"/>
  <c r="C866" i="11"/>
  <c r="F480" i="11"/>
  <c r="J416" i="11"/>
  <c r="H1056" i="11"/>
  <c r="H906" i="11"/>
  <c r="C746" i="11"/>
  <c r="D1121" i="11"/>
  <c r="L940" i="11"/>
  <c r="K750" i="11"/>
  <c r="J624" i="11"/>
  <c r="L627" i="11"/>
  <c r="J346" i="11"/>
  <c r="J641" i="11"/>
  <c r="B236" i="11"/>
  <c r="F357" i="11"/>
  <c r="K524" i="11"/>
  <c r="F375" i="11"/>
  <c r="L346" i="11"/>
  <c r="J359" i="11"/>
  <c r="K363" i="11"/>
  <c r="E290" i="11"/>
  <c r="L1069" i="11"/>
  <c r="G445" i="11"/>
  <c r="E474" i="11"/>
  <c r="K472" i="11"/>
  <c r="F332" i="11"/>
  <c r="L225" i="11"/>
  <c r="D501" i="11"/>
  <c r="J404" i="11"/>
  <c r="I214" i="11"/>
  <c r="L1136" i="11"/>
  <c r="B269" i="11"/>
  <c r="H1233" i="11"/>
  <c r="C869" i="11"/>
  <c r="B783" i="11"/>
  <c r="D537" i="11"/>
  <c r="I891" i="11"/>
  <c r="D598" i="11"/>
  <c r="H507" i="11"/>
  <c r="G389" i="11"/>
  <c r="J452" i="11"/>
  <c r="B250" i="11"/>
  <c r="H222" i="11"/>
  <c r="H305" i="11"/>
  <c r="C358" i="11"/>
  <c r="D882" i="11"/>
  <c r="J355" i="11"/>
  <c r="H540" i="11"/>
  <c r="E366" i="11"/>
  <c r="J479" i="11"/>
  <c r="J357" i="11"/>
  <c r="E56" i="11"/>
  <c r="F528" i="11"/>
  <c r="I415" i="11"/>
  <c r="J240" i="11"/>
  <c r="L1025" i="11"/>
  <c r="I368" i="11"/>
  <c r="H1084" i="11"/>
  <c r="C745" i="11"/>
  <c r="D919" i="11"/>
  <c r="I364" i="11"/>
  <c r="L511" i="11"/>
  <c r="J338" i="11"/>
  <c r="D475" i="11"/>
  <c r="E349" i="11"/>
  <c r="E38" i="11"/>
  <c r="J515" i="11"/>
  <c r="J412" i="11"/>
  <c r="E232" i="11"/>
  <c r="L1094" i="11"/>
  <c r="E339" i="11"/>
  <c r="H1188" i="11"/>
  <c r="C781" i="11"/>
  <c r="D959" i="11"/>
  <c r="E335" i="11"/>
  <c r="H1123" i="11"/>
  <c r="C786" i="11"/>
  <c r="L576" i="11"/>
  <c r="F445" i="11"/>
  <c r="H723" i="11"/>
  <c r="H247" i="11"/>
  <c r="C303" i="11"/>
  <c r="D972" i="11"/>
  <c r="L291" i="11"/>
  <c r="K333" i="11"/>
  <c r="F774" i="11"/>
  <c r="I1003" i="11"/>
  <c r="C449" i="11"/>
  <c r="B535" i="11"/>
  <c r="B364" i="11"/>
  <c r="H545" i="11"/>
  <c r="L813" i="11"/>
  <c r="H403" i="11"/>
  <c r="I38" i="11"/>
  <c r="K458" i="11"/>
  <c r="H1281" i="11"/>
  <c r="C1221" i="11"/>
  <c r="G257" i="11"/>
  <c r="L1014" i="11"/>
  <c r="F543" i="11"/>
  <c r="L967" i="11"/>
  <c r="F432" i="11"/>
  <c r="J277" i="11"/>
  <c r="L817" i="11"/>
  <c r="J472" i="11"/>
  <c r="E364" i="11"/>
  <c r="I76" i="11"/>
  <c r="H338" i="11"/>
  <c r="L958" i="11"/>
  <c r="K752" i="11"/>
  <c r="C1209" i="11"/>
  <c r="G245" i="11"/>
  <c r="L978" i="11"/>
  <c r="J530" i="11"/>
  <c r="L1084" i="11"/>
  <c r="G429" i="11"/>
  <c r="E269" i="11"/>
  <c r="L853" i="11"/>
  <c r="K469" i="11"/>
  <c r="I357" i="11"/>
  <c r="I58" i="11"/>
  <c r="H374" i="11"/>
  <c r="L1119" i="11"/>
  <c r="K788" i="11"/>
  <c r="C1245" i="11"/>
  <c r="G281" i="11"/>
  <c r="L1098" i="11"/>
  <c r="K793" i="11"/>
  <c r="D4" i="11"/>
  <c r="B307" i="11"/>
  <c r="I152" i="11"/>
  <c r="C994" i="11"/>
  <c r="H1167" i="11"/>
  <c r="C1238" i="11"/>
  <c r="K494" i="11"/>
  <c r="H752" i="11"/>
  <c r="K1125" i="11"/>
  <c r="I1024" i="11"/>
  <c r="L1150" i="11"/>
  <c r="L1154" i="11"/>
  <c r="C513" i="11"/>
  <c r="H19" i="11"/>
  <c r="D447" i="11"/>
  <c r="L470" i="11"/>
  <c r="L812" i="11"/>
  <c r="F468" i="11"/>
  <c r="G504" i="11"/>
  <c r="J508" i="11"/>
  <c r="I370" i="11"/>
  <c r="E90" i="11"/>
  <c r="L555" i="11"/>
  <c r="L422" i="11"/>
  <c r="I253" i="11"/>
  <c r="L957" i="11"/>
  <c r="E405" i="11"/>
  <c r="H1027" i="11"/>
  <c r="C342" i="11"/>
  <c r="B590" i="11"/>
  <c r="I79" i="11"/>
  <c r="L950" i="11"/>
  <c r="E530" i="11"/>
  <c r="L1068" i="11"/>
  <c r="C470" i="11"/>
  <c r="I475" i="11"/>
  <c r="I301" i="11"/>
  <c r="L1062" i="11"/>
  <c r="L791" i="11"/>
  <c r="K1154" i="11"/>
  <c r="D722" i="11"/>
  <c r="I444" i="11"/>
  <c r="H638" i="11"/>
  <c r="D450" i="11"/>
  <c r="H508" i="11"/>
  <c r="L391" i="11"/>
  <c r="E152" i="11"/>
  <c r="B604" i="11"/>
  <c r="K433" i="11"/>
  <c r="B278" i="11"/>
  <c r="L810" i="11"/>
  <c r="L451" i="11"/>
  <c r="H921" i="11"/>
  <c r="C218" i="11"/>
  <c r="D913" i="11"/>
  <c r="D449" i="11"/>
  <c r="B585" i="11"/>
  <c r="H437" i="11"/>
  <c r="K502" i="11"/>
  <c r="G386" i="11"/>
  <c r="E134" i="11"/>
  <c r="F591" i="11"/>
  <c r="L430" i="11"/>
  <c r="F271" i="11"/>
  <c r="L846" i="11"/>
  <c r="E437" i="11"/>
  <c r="H899" i="11"/>
  <c r="C254" i="11"/>
  <c r="D746" i="11"/>
  <c r="H436" i="11"/>
  <c r="H919" i="11"/>
  <c r="C259" i="11"/>
  <c r="J406" i="11"/>
  <c r="L557" i="11"/>
  <c r="G407" i="11"/>
  <c r="J405" i="11"/>
  <c r="K1015" i="11"/>
  <c r="D759" i="11"/>
  <c r="E267" i="11"/>
  <c r="H1237" i="11"/>
  <c r="F977" i="11"/>
  <c r="I958" i="11"/>
  <c r="L708" i="11"/>
  <c r="B633" i="11"/>
  <c r="H449" i="11"/>
  <c r="J676" i="11"/>
  <c r="I226" i="11"/>
  <c r="G426" i="11"/>
  <c r="I166" i="11"/>
  <c r="H810" i="11"/>
  <c r="H979" i="11"/>
  <c r="C966" i="11"/>
  <c r="D1130" i="11"/>
  <c r="E147" i="11"/>
  <c r="B619" i="11"/>
  <c r="I177" i="11"/>
  <c r="C454" i="11"/>
  <c r="B315" i="11"/>
  <c r="L309" i="11"/>
  <c r="L491" i="11"/>
  <c r="E395" i="11"/>
  <c r="I172" i="11"/>
  <c r="L1270" i="11"/>
  <c r="E181" i="11"/>
  <c r="K223" i="11"/>
  <c r="C954" i="11"/>
  <c r="D1265" i="11"/>
  <c r="E171" i="11"/>
  <c r="F606" i="11"/>
  <c r="I105" i="11"/>
  <c r="H450" i="11"/>
  <c r="F308" i="11"/>
  <c r="L345" i="11"/>
  <c r="B486" i="11"/>
  <c r="K391" i="11"/>
  <c r="I154" i="11"/>
  <c r="L1285" i="11"/>
  <c r="E109" i="11"/>
  <c r="K259" i="11"/>
  <c r="C990" i="11"/>
  <c r="D1154" i="11"/>
  <c r="E99" i="11"/>
  <c r="K264" i="11"/>
  <c r="C995" i="11"/>
  <c r="D423" i="11"/>
  <c r="J344" i="11"/>
  <c r="K856" i="11"/>
  <c r="H924" i="11"/>
  <c r="C918" i="11"/>
  <c r="D1167" i="11"/>
  <c r="L1266" i="11"/>
  <c r="K879" i="11"/>
  <c r="J808" i="11"/>
  <c r="C499" i="11"/>
  <c r="I205" i="11"/>
  <c r="J589" i="11"/>
  <c r="I11" i="11"/>
  <c r="F671" i="11"/>
  <c r="G495" i="11"/>
  <c r="J340" i="11"/>
  <c r="L838" i="11"/>
  <c r="J231" i="11"/>
  <c r="K877" i="11"/>
  <c r="B252" i="11"/>
  <c r="L1260" i="11"/>
  <c r="E1072" i="11"/>
  <c r="H405" i="11"/>
  <c r="L449" i="11"/>
  <c r="I306" i="11"/>
  <c r="L353" i="11"/>
  <c r="L486" i="11"/>
  <c r="K390" i="11"/>
  <c r="I150" i="11"/>
  <c r="L1241" i="11"/>
  <c r="E93" i="11"/>
  <c r="K267" i="11"/>
  <c r="K23" i="9"/>
  <c r="C622" i="11"/>
  <c r="B516" i="11"/>
  <c r="K690" i="11"/>
  <c r="D478" i="11"/>
  <c r="J455" i="11"/>
  <c r="I290" i="11"/>
  <c r="J436" i="11"/>
  <c r="B218" i="11"/>
  <c r="H930" i="11"/>
  <c r="H845" i="11"/>
  <c r="C853" i="11"/>
  <c r="D1096" i="11"/>
  <c r="I252" i="11"/>
  <c r="L668" i="11"/>
  <c r="B264" i="11"/>
  <c r="E463" i="11"/>
  <c r="B331" i="11"/>
  <c r="L229" i="11"/>
  <c r="F500" i="11"/>
  <c r="D404" i="11"/>
  <c r="I212" i="11"/>
  <c r="L1140" i="11"/>
  <c r="F266" i="11"/>
  <c r="H1241" i="11"/>
  <c r="C873" i="11"/>
  <c r="D1117" i="11"/>
  <c r="F262" i="11"/>
  <c r="D641" i="11"/>
  <c r="I235" i="11"/>
  <c r="J459" i="11"/>
  <c r="F324" i="11"/>
  <c r="L265" i="11"/>
  <c r="K496" i="11"/>
  <c r="E400" i="11"/>
  <c r="I194" i="11"/>
  <c r="L1176" i="11"/>
  <c r="B237" i="11"/>
  <c r="H1228" i="11"/>
  <c r="C909" i="11"/>
  <c r="D1055" i="11"/>
  <c r="B233" i="11"/>
  <c r="H1268" i="11"/>
  <c r="C914" i="11"/>
  <c r="G457" i="11"/>
  <c r="E398" i="11"/>
  <c r="H1248" i="11"/>
  <c r="H793" i="11"/>
  <c r="C810" i="11"/>
  <c r="D1099" i="11"/>
  <c r="L1041" i="11"/>
  <c r="K798" i="11"/>
  <c r="D623" i="11"/>
  <c r="F867" i="11"/>
  <c r="F381" i="11"/>
  <c r="H665" i="11"/>
  <c r="J262" i="11"/>
  <c r="J422" i="11"/>
  <c r="H577" i="11"/>
  <c r="D384" i="11"/>
  <c r="L314" i="11"/>
  <c r="D392" i="11"/>
  <c r="K315" i="11"/>
  <c r="D115" i="11"/>
  <c r="G721" i="11"/>
  <c r="D33" i="10"/>
  <c r="H497" i="11"/>
  <c r="F665" i="11"/>
  <c r="L421" i="11"/>
  <c r="B251" i="11"/>
  <c r="L968" i="11"/>
  <c r="E460" i="11"/>
  <c r="F339" i="11"/>
  <c r="I12" i="11"/>
  <c r="H782" i="11"/>
  <c r="L1282" i="11"/>
  <c r="K881" i="11"/>
  <c r="D103" i="11"/>
  <c r="G373" i="11"/>
  <c r="J1146" i="11"/>
  <c r="J872" i="11"/>
  <c r="L640" i="11"/>
  <c r="B417" i="11"/>
  <c r="F244" i="11"/>
  <c r="K33" i="8"/>
  <c r="F457" i="11"/>
  <c r="J332" i="11"/>
  <c r="L226" i="11"/>
  <c r="I940" i="11"/>
  <c r="H221" i="11"/>
  <c r="K917" i="11"/>
  <c r="D139" i="11"/>
  <c r="I837" i="11"/>
  <c r="H231" i="11"/>
  <c r="K922" i="11"/>
  <c r="L683" i="11"/>
  <c r="E188" i="11"/>
  <c r="L738" i="11"/>
  <c r="D323" i="11"/>
  <c r="K272" i="11"/>
  <c r="D152" i="11"/>
  <c r="E445" i="11"/>
  <c r="H896" i="11"/>
  <c r="C232" i="11"/>
  <c r="I834" i="11"/>
  <c r="J636" i="11"/>
  <c r="J703" i="11"/>
  <c r="C621" i="11"/>
  <c r="F524" i="11"/>
  <c r="G397" i="11"/>
  <c r="L454" i="11"/>
  <c r="E256" i="11"/>
  <c r="H9" i="11"/>
  <c r="H284" i="11"/>
  <c r="C326" i="11"/>
  <c r="D903" i="11"/>
  <c r="E367" i="11"/>
  <c r="I568" i="11"/>
  <c r="I379" i="11"/>
  <c r="G481" i="11"/>
  <c r="F360" i="11"/>
  <c r="H366" i="11"/>
  <c r="D983" i="11"/>
  <c r="L898" i="11"/>
  <c r="B507" i="11"/>
  <c r="B473" i="11"/>
  <c r="B283" i="11"/>
  <c r="L785" i="11"/>
  <c r="C475" i="11"/>
  <c r="F371" i="11"/>
  <c r="I92" i="11"/>
  <c r="E24" i="9"/>
  <c r="K1119" i="11"/>
  <c r="I976" i="11"/>
  <c r="I981" i="11"/>
  <c r="J10" i="3"/>
  <c r="K660" i="11"/>
  <c r="E1236" i="11"/>
  <c r="K677" i="11"/>
  <c r="F1082" i="11"/>
  <c r="M42" i="8"/>
  <c r="I1182" i="11"/>
  <c r="I1147" i="11"/>
  <c r="J1145" i="11"/>
  <c r="K1100" i="11"/>
  <c r="F914" i="11"/>
  <c r="K1084" i="11"/>
  <c r="F960" i="11"/>
  <c r="B957" i="11"/>
  <c r="E842" i="11"/>
  <c r="F936" i="11"/>
  <c r="F689" i="11"/>
  <c r="Q21" i="9"/>
  <c r="C679" i="11"/>
  <c r="H41" i="3"/>
  <c r="J671" i="11"/>
  <c r="F700" i="11"/>
  <c r="H569" i="11"/>
  <c r="J830" i="11"/>
  <c r="E1221" i="11"/>
  <c r="E857" i="11"/>
  <c r="J632" i="11"/>
  <c r="G384" i="11"/>
  <c r="F1021" i="11"/>
  <c r="C523" i="11"/>
  <c r="F820" i="11"/>
  <c r="J640" i="11"/>
  <c r="F816" i="11"/>
  <c r="B638" i="11"/>
  <c r="F1154" i="11"/>
  <c r="E798" i="11"/>
  <c r="B846" i="11"/>
  <c r="F865" i="11"/>
  <c r="K549" i="11"/>
  <c r="F840" i="11"/>
  <c r="G503" i="11"/>
  <c r="J837" i="11"/>
  <c r="J50" i="3"/>
  <c r="E734" i="11"/>
  <c r="E756" i="11"/>
  <c r="I775" i="11"/>
  <c r="F756" i="11"/>
  <c r="C611" i="11"/>
  <c r="F752" i="11"/>
  <c r="F609" i="11"/>
  <c r="B969" i="11"/>
  <c r="E1246" i="11"/>
  <c r="L649" i="11"/>
  <c r="H675" i="11"/>
  <c r="D520" i="11"/>
  <c r="K658" i="11"/>
  <c r="D470" i="11"/>
  <c r="I656" i="11"/>
  <c r="K1085" i="11"/>
  <c r="I964" i="11"/>
  <c r="I638" i="11"/>
  <c r="E1274" i="11"/>
  <c r="E512" i="11"/>
  <c r="I765" i="11"/>
  <c r="F878" i="11"/>
  <c r="G416" i="11"/>
  <c r="E864" i="11"/>
  <c r="K1110" i="11"/>
  <c r="E1036" i="11"/>
  <c r="F580" i="11"/>
  <c r="J869" i="11"/>
  <c r="J682" i="11"/>
  <c r="H25" i="3"/>
  <c r="K419" i="11"/>
  <c r="E1177" i="11"/>
  <c r="E418" i="11"/>
  <c r="E795" i="11"/>
  <c r="G613" i="11"/>
  <c r="L416" i="11"/>
  <c r="I841" i="11"/>
  <c r="J310" i="11"/>
  <c r="K532" i="11"/>
  <c r="F687" i="11"/>
  <c r="E713" i="11"/>
  <c r="B726" i="11"/>
  <c r="G678" i="11"/>
  <c r="L560" i="11"/>
  <c r="C495" i="11"/>
  <c r="E373" i="11"/>
  <c r="E778" i="11"/>
  <c r="H557" i="11"/>
  <c r="F301" i="11"/>
  <c r="H620" i="11"/>
  <c r="B703" i="11"/>
  <c r="I761" i="11"/>
  <c r="H559" i="11"/>
  <c r="L804" i="11"/>
  <c r="C558" i="11"/>
  <c r="J987" i="11"/>
  <c r="I1069" i="11"/>
  <c r="C536" i="11"/>
  <c r="F779" i="11"/>
  <c r="F787" i="11"/>
  <c r="H563" i="11"/>
  <c r="L772" i="11"/>
  <c r="C562" i="11"/>
  <c r="L776" i="11"/>
  <c r="E675" i="11"/>
  <c r="C1268" i="11"/>
  <c r="K36" i="10"/>
  <c r="J494" i="11"/>
  <c r="C641" i="11"/>
  <c r="B425" i="11"/>
  <c r="B891" i="11"/>
  <c r="B826" i="11"/>
  <c r="I405" i="11"/>
  <c r="F755" i="11"/>
  <c r="J294" i="11"/>
  <c r="B480" i="11"/>
  <c r="K635" i="11"/>
  <c r="I684" i="11"/>
  <c r="K634" i="11"/>
  <c r="I1026" i="11"/>
  <c r="E527" i="11"/>
  <c r="E961" i="11"/>
  <c r="K571" i="11"/>
  <c r="H631" i="11"/>
  <c r="E525" i="11"/>
  <c r="I624" i="11"/>
  <c r="B675" i="11"/>
  <c r="C544" i="11"/>
  <c r="G603" i="11"/>
  <c r="L504" i="11"/>
  <c r="J474" i="11"/>
  <c r="F369" i="11"/>
  <c r="I87" i="11"/>
  <c r="J780" i="11"/>
  <c r="K674" i="11"/>
  <c r="L543" i="11"/>
  <c r="L603" i="11"/>
  <c r="F183" i="11"/>
  <c r="C1256" i="11"/>
  <c r="E1065" i="11"/>
  <c r="H711" i="11"/>
  <c r="F903" i="11"/>
  <c r="Q10" i="8"/>
  <c r="E673" i="11"/>
  <c r="F542" i="11"/>
  <c r="B723" i="11"/>
  <c r="D666" i="11"/>
  <c r="I527" i="11"/>
  <c r="J596" i="11"/>
  <c r="F1149" i="11"/>
  <c r="E684" i="11"/>
  <c r="J793" i="11"/>
  <c r="H660" i="11"/>
  <c r="I626" i="11"/>
  <c r="C527" i="11"/>
  <c r="D628" i="11"/>
  <c r="I528" i="11"/>
  <c r="B627" i="11"/>
  <c r="G687" i="11"/>
  <c r="I558" i="11"/>
  <c r="K606" i="11"/>
  <c r="E506" i="11"/>
  <c r="C477" i="11"/>
  <c r="I375" i="11"/>
  <c r="I103" i="11"/>
  <c r="I884" i="11"/>
  <c r="E685" i="11"/>
  <c r="I556" i="11"/>
  <c r="E605" i="11"/>
  <c r="J506" i="11"/>
  <c r="H477" i="11"/>
  <c r="E374" i="11"/>
  <c r="I101" i="11"/>
  <c r="H868" i="11"/>
  <c r="I815" i="11"/>
  <c r="K601" i="11"/>
  <c r="L614" i="11"/>
  <c r="D673" i="11"/>
  <c r="E541" i="11"/>
  <c r="G619" i="11"/>
  <c r="I175" i="11"/>
  <c r="L619" i="11"/>
  <c r="H495" i="11"/>
  <c r="E342" i="11"/>
  <c r="L824" i="11"/>
  <c r="B925" i="11"/>
  <c r="I749" i="11"/>
  <c r="B639" i="11"/>
  <c r="K535" i="11"/>
  <c r="K516" i="11"/>
  <c r="B412" i="11"/>
  <c r="F233" i="11"/>
  <c r="L1086" i="11"/>
  <c r="D483" i="11"/>
  <c r="L515" i="11"/>
  <c r="B344" i="11"/>
  <c r="K476" i="11"/>
  <c r="B351" i="11"/>
  <c r="E42" i="11"/>
  <c r="J26" i="3"/>
  <c r="J966" i="11"/>
  <c r="E745" i="11"/>
  <c r="Q37" i="8"/>
  <c r="H634" i="11"/>
  <c r="L635" i="11"/>
  <c r="D514" i="11"/>
  <c r="H4" i="11"/>
  <c r="J522" i="11"/>
  <c r="H461" i="11"/>
  <c r="F269" i="11"/>
  <c r="L1263" i="11"/>
  <c r="E701" i="11"/>
  <c r="E576" i="11"/>
  <c r="E609" i="11"/>
  <c r="J510" i="11"/>
  <c r="H481" i="11"/>
  <c r="F383" i="11"/>
  <c r="I123" i="11"/>
  <c r="H244" i="11"/>
  <c r="C458" i="11"/>
  <c r="K586" i="11"/>
  <c r="L228" i="11"/>
  <c r="D443" i="11"/>
  <c r="J297" i="11"/>
  <c r="L943" i="11"/>
  <c r="M10" i="9"/>
  <c r="G674" i="11"/>
  <c r="H669" i="11"/>
  <c r="B686" i="11"/>
  <c r="E528" i="11"/>
  <c r="D693" i="11"/>
  <c r="E478" i="11"/>
  <c r="B691" i="11"/>
  <c r="F487" i="11"/>
  <c r="F427" i="11"/>
  <c r="I173" i="11"/>
  <c r="I1273" i="11"/>
  <c r="C681" i="11"/>
  <c r="I1098" i="11"/>
  <c r="D585" i="11"/>
  <c r="I1080" i="11"/>
  <c r="G456" i="11"/>
  <c r="F329" i="11"/>
  <c r="D657" i="11"/>
  <c r="I594" i="11"/>
  <c r="C659" i="11"/>
  <c r="G543" i="11"/>
  <c r="K642" i="11"/>
  <c r="F776" i="11"/>
  <c r="J620" i="11"/>
  <c r="D621" i="11"/>
  <c r="C521" i="11"/>
  <c r="F493" i="11"/>
  <c r="C398" i="11"/>
  <c r="I183" i="11"/>
  <c r="L1206" i="11"/>
  <c r="J773" i="11"/>
  <c r="H619" i="11"/>
  <c r="I620" i="11"/>
  <c r="H521" i="11"/>
  <c r="J47" i="9"/>
  <c r="E11" i="8"/>
  <c r="J854" i="11"/>
  <c r="J1065" i="11"/>
  <c r="B760" i="11"/>
  <c r="F772" i="11"/>
  <c r="B618" i="11"/>
  <c r="I774" i="11"/>
  <c r="F795" i="11"/>
  <c r="E551" i="11"/>
  <c r="I619" i="11"/>
  <c r="J1007" i="11"/>
  <c r="J814" i="11"/>
  <c r="B831" i="11"/>
  <c r="J677" i="11"/>
  <c r="F644" i="11"/>
  <c r="E544" i="11"/>
  <c r="C646" i="11"/>
  <c r="K546" i="11"/>
  <c r="I645" i="11"/>
  <c r="E801" i="11"/>
  <c r="D632" i="11"/>
  <c r="D625" i="11"/>
  <c r="G524" i="11"/>
  <c r="J497" i="11"/>
  <c r="I401" i="11"/>
  <c r="I199" i="11"/>
  <c r="L1166" i="11"/>
  <c r="I798" i="11"/>
  <c r="B630" i="11"/>
  <c r="C624" i="11"/>
  <c r="L524" i="11"/>
  <c r="L497" i="11"/>
  <c r="C401" i="11"/>
  <c r="I197" i="11"/>
  <c r="L1170" i="11"/>
  <c r="J936" i="11"/>
  <c r="B937" i="11"/>
  <c r="K513" i="11"/>
  <c r="I770" i="11"/>
  <c r="L618" i="11"/>
  <c r="C520" i="11"/>
  <c r="F353" i="11"/>
  <c r="B519" i="11"/>
  <c r="L562" i="11"/>
  <c r="H390" i="11"/>
  <c r="L252" i="11"/>
  <c r="B836" i="11"/>
  <c r="E552" i="11"/>
  <c r="D682" i="11"/>
  <c r="H554" i="11"/>
  <c r="G592" i="11"/>
  <c r="D430" i="11"/>
  <c r="I271" i="11"/>
  <c r="L844" i="11"/>
  <c r="D505" i="11"/>
  <c r="G597" i="11"/>
  <c r="L440" i="11"/>
  <c r="B503" i="11"/>
  <c r="G387" i="11"/>
  <c r="E138" i="11"/>
  <c r="J594" i="11"/>
  <c r="J1172" i="11"/>
  <c r="E30" i="9"/>
  <c r="D576" i="11"/>
  <c r="H644" i="11"/>
  <c r="I512" i="11"/>
  <c r="K590" i="11"/>
  <c r="I15" i="11"/>
  <c r="E589" i="11"/>
  <c r="G484" i="11"/>
  <c r="B320" i="11"/>
  <c r="L959" i="11"/>
  <c r="E833" i="11"/>
  <c r="E647" i="11"/>
  <c r="E629" i="11"/>
  <c r="L528" i="11"/>
  <c r="G502" i="11"/>
  <c r="C405" i="11"/>
  <c r="F217" i="11"/>
  <c r="L1126" i="11"/>
  <c r="E475" i="11"/>
  <c r="J702" i="11"/>
  <c r="B280" i="11"/>
  <c r="C466" i="11"/>
  <c r="B335" i="11"/>
  <c r="L8" i="11"/>
  <c r="G14" i="3"/>
  <c r="B825" i="11"/>
  <c r="C692" i="11"/>
  <c r="B918" i="11"/>
  <c r="L605" i="11"/>
  <c r="E1184" i="11"/>
  <c r="E977" i="11"/>
  <c r="I1171" i="11"/>
  <c r="E510" i="11"/>
  <c r="E450" i="11"/>
  <c r="J250" i="11"/>
  <c r="H240" i="11"/>
  <c r="I672" i="11"/>
  <c r="J541" i="11"/>
  <c r="F602" i="11"/>
  <c r="K503" i="11"/>
  <c r="I473" i="11"/>
  <c r="I367" i="11"/>
  <c r="I83" i="11"/>
  <c r="B754" i="11"/>
  <c r="D451" i="11"/>
  <c r="C551" i="11"/>
  <c r="L864" i="11"/>
  <c r="I303" i="11"/>
  <c r="L1027" i="11"/>
  <c r="L457" i="11"/>
  <c r="E501" i="11"/>
  <c r="E479" i="11"/>
  <c r="J345" i="11"/>
  <c r="E26" i="11"/>
  <c r="E508" i="11"/>
  <c r="G410" i="11"/>
  <c r="J228" i="11"/>
  <c r="L1054" i="11"/>
  <c r="I320" i="11"/>
  <c r="H1142" i="11"/>
  <c r="C805" i="11"/>
  <c r="H679" i="11"/>
  <c r="C668" i="11"/>
  <c r="E1158" i="11"/>
  <c r="J889" i="11"/>
  <c r="B600" i="11"/>
  <c r="J415" i="11"/>
  <c r="I459" i="11"/>
  <c r="I269" i="11"/>
  <c r="L1254" i="11"/>
  <c r="L1249" i="11"/>
  <c r="C262" i="11"/>
  <c r="D850" i="11"/>
  <c r="I397" i="11"/>
  <c r="C639" i="11"/>
  <c r="F403" i="11"/>
  <c r="D487" i="11"/>
  <c r="E369" i="11"/>
  <c r="E88" i="11"/>
  <c r="L553" i="11"/>
  <c r="F421" i="11"/>
  <c r="E252" i="11"/>
  <c r="L961" i="11"/>
  <c r="C404" i="11"/>
  <c r="H1031" i="11"/>
  <c r="C346" i="11"/>
  <c r="D838" i="11"/>
  <c r="F402" i="11"/>
  <c r="H587" i="11"/>
  <c r="H387" i="11"/>
  <c r="I482" i="11"/>
  <c r="I362" i="11"/>
  <c r="E70" i="11"/>
  <c r="I538" i="11"/>
  <c r="G418" i="11"/>
  <c r="I245" i="11"/>
  <c r="L997" i="11"/>
  <c r="D388" i="11"/>
  <c r="H1117" i="11"/>
  <c r="C382" i="11"/>
  <c r="D892" i="11"/>
  <c r="I385" i="11"/>
  <c r="H1041" i="11"/>
  <c r="C722" i="11"/>
  <c r="L1259" i="11"/>
  <c r="E468" i="11"/>
  <c r="L1090" i="11"/>
  <c r="L1039" i="11"/>
  <c r="C219" i="11"/>
  <c r="D944" i="11"/>
  <c r="E89" i="11"/>
  <c r="K269" i="11"/>
  <c r="B1149" i="11"/>
  <c r="E943" i="11"/>
  <c r="L480" i="11"/>
  <c r="H635" i="11"/>
  <c r="J402" i="11"/>
  <c r="G656" i="11"/>
  <c r="L241" i="11"/>
  <c r="I411" i="11"/>
  <c r="I78" i="11"/>
  <c r="C487" i="11"/>
  <c r="H1126" i="11"/>
  <c r="C1142" i="11"/>
  <c r="D1233" i="11"/>
  <c r="L747" i="11"/>
  <c r="D573" i="11"/>
  <c r="L372" i="11"/>
  <c r="I438" i="11"/>
  <c r="E289" i="11"/>
  <c r="L753" i="11"/>
  <c r="G478" i="11"/>
  <c r="I377" i="11"/>
  <c r="I108" i="11"/>
  <c r="H274" i="11"/>
  <c r="L363" i="11"/>
  <c r="K351" i="11"/>
  <c r="C1159" i="11"/>
  <c r="D1255" i="11"/>
  <c r="L871" i="11"/>
  <c r="C555" i="11"/>
  <c r="L832" i="11"/>
  <c r="D435" i="11"/>
  <c r="I282" i="11"/>
  <c r="L789" i="11"/>
  <c r="H475" i="11"/>
  <c r="B370" i="11"/>
  <c r="I90" i="11"/>
  <c r="H310" i="11"/>
  <c r="L823" i="11"/>
  <c r="K724" i="11"/>
  <c r="C1177" i="11"/>
  <c r="G217" i="11"/>
  <c r="L843" i="11"/>
  <c r="K729" i="11"/>
  <c r="C1185" i="11"/>
  <c r="I358" i="11"/>
  <c r="I241" i="11"/>
  <c r="C737" i="11"/>
  <c r="H1088" i="11"/>
  <c r="C1179" i="11"/>
  <c r="G558" i="11"/>
  <c r="H351" i="11"/>
  <c r="K1008" i="11"/>
  <c r="B622" i="11"/>
  <c r="I207" i="11"/>
  <c r="L808" i="11"/>
  <c r="B536" i="11"/>
  <c r="L1083" i="11"/>
  <c r="H478" i="11"/>
  <c r="K477" i="11"/>
  <c r="J308" i="11"/>
  <c r="L1059" i="11"/>
  <c r="L727" i="11"/>
  <c r="K1037" i="11"/>
  <c r="E226" i="11"/>
  <c r="E656" i="11"/>
  <c r="D677" i="11"/>
  <c r="E318" i="11"/>
  <c r="C434" i="11"/>
  <c r="J281" i="11"/>
  <c r="L797" i="11"/>
  <c r="G474" i="11"/>
  <c r="E368" i="11"/>
  <c r="I86" i="11"/>
  <c r="H318" i="11"/>
  <c r="L855" i="11"/>
  <c r="K732" i="11"/>
  <c r="F1005" i="11"/>
  <c r="I623" i="11"/>
  <c r="G576" i="11"/>
  <c r="E560" i="11"/>
  <c r="F431" i="11"/>
  <c r="F620" i="11"/>
  <c r="E146" i="11"/>
  <c r="J420" i="11"/>
  <c r="I134" i="11"/>
  <c r="F611" i="11"/>
  <c r="H1086" i="11"/>
  <c r="C1014" i="11"/>
  <c r="D1178" i="11"/>
  <c r="E51" i="11"/>
  <c r="K602" i="11"/>
  <c r="I81" i="11"/>
  <c r="F448" i="11"/>
  <c r="E305" i="11"/>
  <c r="L357" i="11"/>
  <c r="F485" i="11"/>
  <c r="E389" i="11"/>
  <c r="I148" i="11"/>
  <c r="L1252" i="11"/>
  <c r="E85" i="11"/>
  <c r="K271" i="11"/>
  <c r="C1002" i="11"/>
  <c r="D1166" i="11"/>
  <c r="E75" i="11"/>
  <c r="D589" i="11"/>
  <c r="I9" i="11"/>
  <c r="K444" i="11"/>
  <c r="I298" i="11"/>
  <c r="L911" i="11"/>
  <c r="G482" i="11"/>
  <c r="K385" i="11"/>
  <c r="I130" i="11"/>
  <c r="H230" i="11"/>
  <c r="E13" i="11"/>
  <c r="K307" i="11"/>
  <c r="C1039" i="11"/>
  <c r="D1269" i="11"/>
  <c r="L5" i="11"/>
  <c r="K312" i="11"/>
  <c r="C1140" i="11"/>
  <c r="B405" i="11"/>
  <c r="I305" i="11"/>
  <c r="K1047" i="11"/>
  <c r="H988" i="11"/>
  <c r="C983" i="11"/>
  <c r="I773" i="11"/>
  <c r="H241" i="11"/>
  <c r="K927" i="11"/>
  <c r="D685" i="11"/>
  <c r="I713" i="11"/>
  <c r="I243" i="11"/>
  <c r="D601" i="11"/>
  <c r="I75" i="11"/>
  <c r="L944" i="11"/>
  <c r="D499" i="11"/>
  <c r="I349" i="11"/>
  <c r="L790" i="11"/>
  <c r="I256" i="11"/>
  <c r="K828" i="11"/>
  <c r="D231" i="11"/>
  <c r="K528" i="11"/>
  <c r="Q16" i="8"/>
  <c r="L550" i="11"/>
  <c r="G596" i="11"/>
  <c r="G409" i="11"/>
  <c r="E225" i="11"/>
  <c r="H705" i="11"/>
  <c r="K449" i="11"/>
  <c r="I313" i="11"/>
  <c r="L318" i="11"/>
  <c r="G554" i="11"/>
  <c r="H353" i="11"/>
  <c r="K1010" i="11"/>
  <c r="D219" i="11"/>
  <c r="B545" i="11"/>
  <c r="F856" i="11"/>
  <c r="B505" i="11"/>
  <c r="E578" i="11"/>
  <c r="H406" i="11"/>
  <c r="I218" i="11"/>
  <c r="L662" i="11"/>
  <c r="L446" i="11"/>
  <c r="B306" i="11"/>
  <c r="L354" i="11"/>
  <c r="I506" i="11"/>
  <c r="H942" i="11"/>
  <c r="K1043" i="11"/>
  <c r="D255" i="11"/>
  <c r="C504" i="11"/>
  <c r="H724" i="11"/>
  <c r="K1048" i="11"/>
  <c r="D605" i="11"/>
  <c r="L349" i="11"/>
  <c r="L1233" i="11"/>
  <c r="D1158" i="11"/>
  <c r="K781" i="11"/>
  <c r="D268" i="11"/>
  <c r="D399" i="11"/>
  <c r="H1094" i="11"/>
  <c r="C360" i="11"/>
  <c r="J646" i="11"/>
  <c r="G528" i="11"/>
  <c r="J713" i="11"/>
  <c r="L484" i="11"/>
  <c r="G461" i="11"/>
  <c r="B303" i="11"/>
  <c r="J278" i="11"/>
  <c r="L1232" i="11"/>
  <c r="J439" i="11"/>
  <c r="F451" i="11"/>
  <c r="F456" i="11"/>
  <c r="B319" i="11"/>
  <c r="L289" i="11"/>
  <c r="G493" i="11"/>
  <c r="K398" i="11"/>
  <c r="I182" i="11"/>
  <c r="L1267" i="11"/>
  <c r="F218" i="11"/>
  <c r="H1263" i="11"/>
  <c r="C933" i="11"/>
  <c r="B655" i="11"/>
  <c r="J601" i="11"/>
  <c r="B859" i="11"/>
  <c r="K506" i="11"/>
  <c r="I478" i="11"/>
  <c r="E341" i="11"/>
  <c r="I443" i="11"/>
  <c r="B234" i="11"/>
  <c r="H302" i="11"/>
  <c r="H749" i="11"/>
  <c r="C773" i="11"/>
  <c r="D999" i="11"/>
  <c r="E303" i="11"/>
  <c r="I869" i="11"/>
  <c r="I315" i="11"/>
  <c r="E471" i="11"/>
  <c r="F344" i="11"/>
  <c r="E24" i="11"/>
  <c r="C508" i="11"/>
  <c r="L410" i="11"/>
  <c r="F227" i="11"/>
  <c r="L1061" i="11"/>
  <c r="B317" i="11"/>
  <c r="H1146" i="11"/>
  <c r="C809" i="11"/>
  <c r="D987" i="11"/>
  <c r="B313" i="11"/>
  <c r="J718" i="11"/>
  <c r="E286" i="11"/>
  <c r="J467" i="11"/>
  <c r="J337" i="11"/>
  <c r="E6" i="11"/>
  <c r="H504" i="11"/>
  <c r="B406" i="11"/>
  <c r="J220" i="11"/>
  <c r="L1197" i="11"/>
  <c r="I288" i="11"/>
  <c r="H1182" i="11"/>
  <c r="C845" i="11"/>
  <c r="D1023" i="11"/>
  <c r="I284" i="11"/>
  <c r="H1184" i="11"/>
  <c r="C850" i="11"/>
  <c r="F488" i="11"/>
  <c r="G422" i="11"/>
  <c r="H1023" i="11"/>
  <c r="H360" i="11"/>
  <c r="C726" i="11"/>
  <c r="D1037" i="11"/>
  <c r="L863" i="11"/>
  <c r="K734" i="11"/>
  <c r="B886" i="11"/>
  <c r="F636" i="11"/>
  <c r="C417" i="11"/>
  <c r="I857" i="11"/>
  <c r="F313" i="11"/>
  <c r="L558" i="11"/>
  <c r="E710" i="11"/>
  <c r="K394" i="11"/>
  <c r="L218" i="11"/>
  <c r="G423" i="11"/>
  <c r="K235" i="11"/>
  <c r="D51" i="11"/>
  <c r="G321" i="11"/>
  <c r="L1129" i="11"/>
  <c r="G520" i="11"/>
  <c r="L1240" i="11"/>
  <c r="I426" i="11"/>
  <c r="F264" i="11"/>
  <c r="L922" i="11"/>
  <c r="B466" i="11"/>
  <c r="J352" i="11"/>
  <c r="I44" i="11"/>
  <c r="H946" i="11"/>
  <c r="L1072" i="11"/>
  <c r="K816" i="11"/>
  <c r="D39" i="11"/>
  <c r="G309" i="11"/>
  <c r="L1112" i="11"/>
  <c r="K507" i="11"/>
  <c r="J915" i="11"/>
  <c r="J423" i="11"/>
  <c r="J257" i="11"/>
  <c r="L900" i="11"/>
  <c r="C463" i="11"/>
  <c r="E344" i="11"/>
  <c r="I26" i="11"/>
  <c r="H754" i="11"/>
  <c r="L1167" i="11"/>
  <c r="K852" i="11"/>
  <c r="D75" i="11"/>
  <c r="G345" i="11"/>
  <c r="L1177" i="11"/>
  <c r="K857" i="11"/>
  <c r="D80" i="11"/>
  <c r="F256" i="11"/>
  <c r="I24" i="11"/>
  <c r="D79" i="11"/>
  <c r="H1284" i="11"/>
  <c r="D88" i="11"/>
  <c r="D469" i="11"/>
  <c r="H831" i="11"/>
  <c r="K1200" i="11"/>
  <c r="E826" i="11"/>
  <c r="B811" i="11"/>
  <c r="K1086" i="11"/>
  <c r="D490" i="11"/>
  <c r="L624" i="11"/>
  <c r="G421" i="11"/>
  <c r="K461" i="11"/>
  <c r="E272" i="11"/>
  <c r="L1255" i="11"/>
  <c r="L1250" i="11"/>
  <c r="C246" i="11"/>
  <c r="I147" i="11"/>
  <c r="J606" i="11"/>
  <c r="L646" i="11"/>
  <c r="I89" i="11"/>
  <c r="I422" i="11"/>
  <c r="B255" i="11"/>
  <c r="L932" i="11"/>
  <c r="B462" i="11"/>
  <c r="F343" i="11"/>
  <c r="I22" i="11"/>
  <c r="H762" i="11"/>
  <c r="L1184" i="11"/>
  <c r="K860" i="11"/>
  <c r="J13" i="3"/>
  <c r="G623" i="11"/>
  <c r="B456" i="11"/>
  <c r="I562" i="11"/>
  <c r="F377" i="11"/>
  <c r="F574" i="11"/>
  <c r="L749" i="11"/>
  <c r="L406" i="11"/>
  <c r="I46" i="11"/>
  <c r="H464" i="11"/>
  <c r="H1191" i="11"/>
  <c r="C1205" i="11"/>
  <c r="G241" i="11"/>
  <c r="L962" i="11"/>
  <c r="C549" i="11"/>
  <c r="L918" i="11"/>
  <c r="H434" i="11"/>
  <c r="F280" i="11"/>
  <c r="L801" i="11"/>
  <c r="L474" i="11"/>
  <c r="J368" i="11"/>
  <c r="I84" i="11"/>
  <c r="H322" i="11"/>
  <c r="L882" i="11"/>
  <c r="K736" i="11"/>
  <c r="C1193" i="11"/>
  <c r="G229" i="11"/>
  <c r="L877" i="11"/>
  <c r="G536" i="11"/>
  <c r="L1099" i="11"/>
  <c r="I430" i="11"/>
  <c r="J273" i="11"/>
  <c r="L837" i="11"/>
  <c r="B470" i="11"/>
  <c r="E360" i="11"/>
  <c r="I66" i="11"/>
  <c r="H358" i="11"/>
  <c r="L1020" i="11"/>
  <c r="K772" i="11"/>
  <c r="C1229" i="11"/>
  <c r="G265" i="11"/>
  <c r="L1030" i="11"/>
  <c r="K777" i="11"/>
  <c r="C1234" i="11"/>
  <c r="F320" i="11"/>
  <c r="I184" i="11"/>
  <c r="C929" i="11"/>
  <c r="H1147" i="11"/>
  <c r="C1214" i="11"/>
  <c r="L502" i="11"/>
  <c r="H731" i="11"/>
  <c r="K1053" i="11"/>
  <c r="J820" i="11"/>
  <c r="E314" i="11"/>
  <c r="L316" i="11"/>
  <c r="G548" i="11"/>
  <c r="L881" i="11"/>
  <c r="E495" i="11"/>
  <c r="F481" i="11"/>
  <c r="B314" i="11"/>
  <c r="L989" i="11"/>
  <c r="L219" i="11"/>
  <c r="K1006" i="11"/>
  <c r="D359" i="11"/>
  <c r="K462" i="11"/>
  <c r="H648" i="11"/>
  <c r="F467" i="11"/>
  <c r="J527" i="11"/>
  <c r="L397" i="11"/>
  <c r="E176" i="11"/>
  <c r="D622" i="11"/>
  <c r="F437" i="11"/>
  <c r="J288" i="11"/>
  <c r="L762" i="11"/>
  <c r="C468" i="11"/>
  <c r="H833" i="11"/>
  <c r="K1202" i="11"/>
  <c r="D347" i="11"/>
  <c r="F466" i="11"/>
  <c r="I661" i="11"/>
  <c r="J454" i="11"/>
  <c r="C510" i="11"/>
  <c r="G392" i="11"/>
  <c r="E158" i="11"/>
  <c r="H609" i="11"/>
  <c r="G434" i="11"/>
  <c r="E280" i="11"/>
  <c r="L798" i="11"/>
  <c r="G455" i="11"/>
  <c r="H873" i="11"/>
  <c r="K1239" i="11"/>
  <c r="D383" i="11"/>
  <c r="J453" i="11"/>
  <c r="H893" i="11"/>
  <c r="K1244" i="11"/>
  <c r="G476" i="11"/>
  <c r="E630" i="11"/>
  <c r="D477" i="11"/>
  <c r="G475" i="11"/>
  <c r="K950" i="11"/>
  <c r="D917" i="11"/>
  <c r="F306" i="11"/>
  <c r="H1160" i="11"/>
  <c r="D40" i="9"/>
  <c r="G648" i="11"/>
  <c r="C605" i="11"/>
  <c r="D587" i="11"/>
  <c r="C437" i="11"/>
  <c r="E653" i="11"/>
  <c r="E178" i="11"/>
  <c r="C423" i="11"/>
  <c r="I142" i="11"/>
  <c r="E634" i="11"/>
  <c r="H1011" i="11"/>
  <c r="C998" i="11"/>
  <c r="D1162" i="11"/>
  <c r="E83" i="11"/>
  <c r="H608" i="11"/>
  <c r="I113" i="11"/>
  <c r="C450" i="11"/>
  <c r="J309" i="11"/>
  <c r="H829" i="11"/>
  <c r="G225" i="11"/>
  <c r="G868" i="11"/>
  <c r="B328" i="11"/>
  <c r="J435" i="11"/>
  <c r="F232" i="11"/>
  <c r="I789" i="11"/>
  <c r="D452" i="11"/>
  <c r="J320" i="11"/>
  <c r="L286" i="11"/>
  <c r="I605" i="11"/>
  <c r="H311" i="11"/>
  <c r="K978" i="11"/>
  <c r="D199" i="11"/>
  <c r="J598" i="11"/>
  <c r="F1172" i="11"/>
  <c r="E543" i="11"/>
  <c r="C593" i="11"/>
  <c r="L409" i="11"/>
  <c r="J225" i="11"/>
  <c r="K699" i="11"/>
  <c r="E448" i="11"/>
  <c r="E312" i="11"/>
  <c r="L322" i="11"/>
  <c r="D547" i="11"/>
  <c r="H359" i="11"/>
  <c r="K1014" i="11"/>
  <c r="D223" i="11"/>
  <c r="E539" i="11"/>
  <c r="H365" i="11"/>
  <c r="K1019" i="11"/>
  <c r="K679" i="11"/>
  <c r="L221" i="11"/>
  <c r="L1132" i="11"/>
  <c r="D1085" i="11"/>
  <c r="K737" i="11"/>
  <c r="D236" i="11"/>
  <c r="L411" i="11"/>
  <c r="H1013" i="11"/>
  <c r="C328" i="11"/>
  <c r="D820" i="11"/>
  <c r="G1188" i="11"/>
  <c r="D910" i="11"/>
  <c r="J163" i="11"/>
  <c r="E7" i="11"/>
  <c r="G902" i="11"/>
  <c r="D182" i="11"/>
  <c r="K648" i="11"/>
  <c r="L253" i="11"/>
  <c r="L1164" i="11"/>
  <c r="D1043" i="11"/>
  <c r="K749" i="11"/>
  <c r="D502" i="11"/>
  <c r="J265" i="11"/>
  <c r="H888" i="11"/>
  <c r="L643" i="11"/>
  <c r="L261" i="11"/>
  <c r="L1172" i="11"/>
  <c r="D1051" i="11"/>
  <c r="E455" i="11"/>
  <c r="K397" i="11"/>
  <c r="K4" i="11"/>
  <c r="K11" i="11"/>
  <c r="K327" i="11"/>
  <c r="L1123" i="11"/>
  <c r="D724" i="11"/>
  <c r="I396" i="11"/>
  <c r="F1249" i="11"/>
  <c r="J413" i="11"/>
  <c r="F558" i="11"/>
  <c r="J283" i="11"/>
  <c r="E172" i="11"/>
  <c r="F298" i="11"/>
  <c r="H892" i="11"/>
  <c r="D36" i="11"/>
  <c r="B483" i="11"/>
  <c r="H784" i="11"/>
  <c r="K1156" i="11"/>
  <c r="D305" i="11"/>
  <c r="G924" i="11"/>
  <c r="C989" i="11"/>
  <c r="B1249" i="11"/>
  <c r="J1264" i="11"/>
  <c r="G248" i="11"/>
  <c r="J1186" i="11"/>
  <c r="H1063" i="11"/>
  <c r="G1213" i="11"/>
  <c r="H753" i="11"/>
  <c r="J447" i="11"/>
  <c r="K279" i="11"/>
  <c r="C838" i="11"/>
  <c r="L1088" i="11"/>
  <c r="K326" i="11"/>
  <c r="H309" i="11"/>
  <c r="E457" i="11"/>
  <c r="K297" i="11"/>
  <c r="G1168" i="11"/>
  <c r="G636" i="11"/>
  <c r="B1205" i="11"/>
  <c r="I225" i="11"/>
  <c r="H1254" i="11"/>
  <c r="I526" i="11"/>
  <c r="K1028" i="11"/>
  <c r="G855" i="11"/>
  <c r="B1058" i="11"/>
  <c r="D1157" i="11"/>
  <c r="H812" i="11"/>
  <c r="B1237" i="11"/>
  <c r="J1217" i="11"/>
  <c r="L850" i="11"/>
  <c r="D867" i="11"/>
  <c r="K274" i="11"/>
  <c r="K1176" i="11"/>
  <c r="F238" i="11"/>
  <c r="J893" i="11"/>
  <c r="C455" i="11"/>
  <c r="C310" i="11"/>
  <c r="H389" i="11"/>
  <c r="K540" i="11"/>
  <c r="D390" i="11"/>
  <c r="I387" i="11"/>
  <c r="F356" i="11"/>
  <c r="F239" i="11"/>
  <c r="C749" i="11"/>
  <c r="C754" i="11"/>
  <c r="L1214" i="11"/>
  <c r="K301" i="11"/>
  <c r="D1017" i="11"/>
  <c r="H1174" i="11"/>
  <c r="G289" i="11"/>
  <c r="F675" i="11"/>
  <c r="F277" i="11"/>
  <c r="B429" i="11"/>
  <c r="J16" i="8"/>
  <c r="G17" i="3"/>
  <c r="E1196" i="11"/>
  <c r="F745" i="11"/>
  <c r="J858" i="11"/>
  <c r="F750" i="11"/>
  <c r="D14" i="8"/>
  <c r="H658" i="11"/>
  <c r="I950" i="11"/>
  <c r="D552" i="11"/>
  <c r="F724" i="11"/>
  <c r="Q29" i="8"/>
  <c r="K1259" i="11"/>
  <c r="E751" i="11"/>
  <c r="H29" i="3"/>
  <c r="I732" i="11"/>
  <c r="F953" i="11"/>
  <c r="H682" i="11"/>
  <c r="E19" i="8"/>
  <c r="G673" i="11"/>
  <c r="P36" i="10"/>
  <c r="H43" i="3"/>
  <c r="P23" i="8"/>
  <c r="J1157" i="11"/>
  <c r="D579" i="11"/>
  <c r="K542" i="11"/>
  <c r="L724" i="11"/>
  <c r="H532" i="11"/>
  <c r="G573" i="11"/>
  <c r="K1274" i="11"/>
  <c r="H632" i="11"/>
  <c r="H236" i="11"/>
  <c r="I877" i="11"/>
  <c r="E1114" i="11"/>
  <c r="C672" i="11"/>
  <c r="D541" i="11"/>
  <c r="F670" i="11"/>
  <c r="G539" i="11"/>
  <c r="B927" i="11"/>
  <c r="I810" i="11"/>
  <c r="E559" i="11"/>
  <c r="J841" i="11"/>
  <c r="K652" i="11"/>
  <c r="I651" i="11"/>
  <c r="D406" i="11"/>
  <c r="I649" i="11"/>
  <c r="I1257" i="11"/>
  <c r="I746" i="11"/>
  <c r="B546" i="11"/>
  <c r="C1091" i="11"/>
  <c r="G643" i="11"/>
  <c r="F1143" i="11"/>
  <c r="E1266" i="11"/>
  <c r="G1095" i="11"/>
  <c r="J970" i="11"/>
  <c r="I644" i="11"/>
  <c r="F517" i="11"/>
  <c r="J777" i="11"/>
  <c r="E620" i="11"/>
  <c r="L527" i="11"/>
  <c r="I359" i="11"/>
  <c r="J525" i="11"/>
  <c r="E884" i="11"/>
  <c r="F747" i="11"/>
  <c r="C1260" i="11"/>
  <c r="J761" i="11"/>
  <c r="F613" i="11"/>
  <c r="D565" i="11"/>
  <c r="E644" i="11"/>
  <c r="F241" i="11"/>
  <c r="G644" i="11"/>
  <c r="L665" i="11"/>
  <c r="I861" i="11"/>
  <c r="H643" i="11"/>
  <c r="L695" i="11"/>
  <c r="D569" i="11"/>
  <c r="D650" i="11"/>
  <c r="I247" i="11"/>
  <c r="K649" i="11"/>
  <c r="E246" i="11"/>
  <c r="F612" i="11"/>
  <c r="L444" i="11"/>
  <c r="I109" i="11"/>
  <c r="C576" i="11"/>
  <c r="L336" i="11"/>
  <c r="J590" i="11"/>
  <c r="B765" i="11"/>
  <c r="E588" i="11"/>
  <c r="J523" i="11"/>
  <c r="B522" i="11"/>
  <c r="E422" i="11"/>
  <c r="G704" i="11"/>
  <c r="E98" i="11"/>
  <c r="F530" i="11"/>
  <c r="L820" i="11"/>
  <c r="L1040" i="11"/>
  <c r="B520" i="11"/>
  <c r="G641" i="11"/>
  <c r="I1166" i="11"/>
  <c r="E606" i="11"/>
  <c r="I1117" i="11"/>
  <c r="I1050" i="11"/>
  <c r="K692" i="11"/>
  <c r="B667" i="11"/>
  <c r="J815" i="11"/>
  <c r="H586" i="11"/>
  <c r="E691" i="11"/>
  <c r="J618" i="11"/>
  <c r="H686" i="11"/>
  <c r="H617" i="11"/>
  <c r="G1276" i="11"/>
  <c r="K569" i="11"/>
  <c r="K499" i="11"/>
  <c r="I1094" i="11"/>
  <c r="H465" i="11"/>
  <c r="C442" i="11"/>
  <c r="E261" i="11"/>
  <c r="I574" i="11"/>
  <c r="E414" i="11"/>
  <c r="I53" i="11"/>
  <c r="H568" i="11"/>
  <c r="L732" i="11"/>
  <c r="L545" i="11"/>
  <c r="J1005" i="11"/>
  <c r="D555" i="11"/>
  <c r="E500" i="11"/>
  <c r="J852" i="11"/>
  <c r="F415" i="11"/>
  <c r="B688" i="11"/>
  <c r="G530" i="11"/>
  <c r="L602" i="11"/>
  <c r="E993" i="11"/>
  <c r="E1064" i="11"/>
  <c r="C642" i="11"/>
  <c r="E885" i="11"/>
  <c r="H580" i="11"/>
  <c r="I757" i="11"/>
  <c r="K451" i="11"/>
  <c r="J318" i="11"/>
  <c r="L296" i="11"/>
  <c r="I1051" i="11"/>
  <c r="L641" i="11"/>
  <c r="B881" i="11"/>
  <c r="B579" i="11"/>
  <c r="K1253" i="11"/>
  <c r="J1112" i="11"/>
  <c r="E957" i="11"/>
  <c r="F941" i="11"/>
  <c r="I812" i="11"/>
  <c r="I1043" i="11"/>
  <c r="F640" i="11"/>
  <c r="E1022" i="11"/>
  <c r="L691" i="11"/>
  <c r="D627" i="11"/>
  <c r="B870" i="11"/>
  <c r="I563" i="11"/>
  <c r="I905" i="11"/>
  <c r="C1113" i="11"/>
  <c r="E741" i="11"/>
  <c r="I1070" i="11"/>
  <c r="J603" i="11"/>
  <c r="I1100" i="11"/>
  <c r="E604" i="11"/>
  <c r="I1090" i="11"/>
  <c r="F1133" i="11"/>
  <c r="E658" i="11"/>
  <c r="I1006" i="11"/>
  <c r="L583" i="11"/>
  <c r="J860" i="11"/>
  <c r="D454" i="11"/>
  <c r="B324" i="11"/>
  <c r="L264" i="11"/>
  <c r="E1120" i="11"/>
  <c r="L656" i="11"/>
  <c r="J981" i="11"/>
  <c r="F582" i="11"/>
  <c r="F847" i="11"/>
  <c r="I453" i="11"/>
  <c r="I323" i="11"/>
  <c r="L268" i="11"/>
  <c r="D44" i="9"/>
  <c r="F1017" i="11"/>
  <c r="E761" i="11"/>
  <c r="E941" i="11"/>
  <c r="E639" i="11"/>
  <c r="I640" i="11"/>
  <c r="L520" i="11"/>
  <c r="L1248" i="11"/>
  <c r="C525" i="11"/>
  <c r="J462" i="11"/>
  <c r="I275" i="11"/>
  <c r="L1287" i="11"/>
  <c r="B707" i="11"/>
  <c r="B582" i="11"/>
  <c r="G611" i="11"/>
  <c r="L512" i="11"/>
  <c r="J482" i="11"/>
  <c r="C385" i="11"/>
  <c r="I131" i="11"/>
  <c r="H228" i="11"/>
  <c r="E459" i="11"/>
  <c r="H592" i="11"/>
  <c r="I25" i="11"/>
  <c r="L445" i="11"/>
  <c r="F300" i="11"/>
  <c r="L879" i="11"/>
  <c r="B1089" i="11"/>
  <c r="F697" i="11"/>
  <c r="I701" i="11"/>
  <c r="J704" i="11"/>
  <c r="B534" i="11"/>
  <c r="C716" i="11"/>
  <c r="B484" i="11"/>
  <c r="L715" i="11"/>
  <c r="J490" i="11"/>
  <c r="H429" i="11"/>
  <c r="I181" i="11"/>
  <c r="J953" i="11"/>
  <c r="B704" i="11"/>
  <c r="J1149" i="11"/>
  <c r="F586" i="11"/>
  <c r="K487" i="11"/>
  <c r="I457" i="11"/>
  <c r="B332" i="11"/>
  <c r="L224" i="11"/>
  <c r="G612" i="11"/>
  <c r="D10" i="10"/>
  <c r="G1273" i="11"/>
  <c r="B644" i="11"/>
  <c r="C418" i="11"/>
  <c r="E245" i="11"/>
  <c r="L996" i="11"/>
  <c r="E1075" i="11"/>
  <c r="B679" i="11"/>
  <c r="K529" i="11"/>
  <c r="F796" i="11"/>
  <c r="F629" i="11"/>
  <c r="I566" i="11"/>
  <c r="E378" i="11"/>
  <c r="I564" i="11"/>
  <c r="D582" i="11"/>
  <c r="H396" i="11"/>
  <c r="L220" i="11"/>
  <c r="I1085" i="11"/>
  <c r="E568" i="11"/>
  <c r="B696" i="11"/>
  <c r="H558" i="11"/>
  <c r="L604" i="11"/>
  <c r="H433" i="11"/>
  <c r="I786" i="11"/>
  <c r="J856" i="11"/>
  <c r="K555" i="11"/>
  <c r="K625" i="11"/>
  <c r="H520" i="11"/>
  <c r="B40" i="11"/>
  <c r="C652" i="11"/>
  <c r="K522" i="11"/>
  <c r="J597" i="11"/>
  <c r="D498" i="11"/>
  <c r="B468" i="11"/>
  <c r="B356" i="11"/>
  <c r="I55" i="11"/>
  <c r="B39" i="11"/>
  <c r="L651" i="11"/>
  <c r="E521" i="11"/>
  <c r="D597" i="11"/>
  <c r="B9" i="11"/>
  <c r="I1020" i="11"/>
  <c r="J986" i="11"/>
  <c r="B99" i="11"/>
  <c r="E1173" i="11"/>
  <c r="E43" i="10"/>
  <c r="F650" i="11"/>
  <c r="D9" i="3"/>
  <c r="K714" i="11"/>
  <c r="E652" i="11"/>
  <c r="H519" i="11"/>
  <c r="K589" i="11"/>
  <c r="E1098" i="11"/>
  <c r="E676" i="11"/>
  <c r="F780" i="11"/>
  <c r="K654" i="11"/>
  <c r="L621" i="11"/>
  <c r="F521" i="11"/>
  <c r="G622" i="11"/>
  <c r="L523" i="11"/>
  <c r="E621" i="11"/>
  <c r="H664" i="11"/>
  <c r="I532" i="11"/>
  <c r="C600" i="11"/>
  <c r="H501" i="11"/>
  <c r="F471" i="11"/>
  <c r="E362" i="11"/>
  <c r="I71" i="11"/>
  <c r="B700" i="11"/>
  <c r="F662" i="11"/>
  <c r="G531" i="11"/>
  <c r="H600" i="11"/>
  <c r="B500" i="11"/>
  <c r="K471" i="11"/>
  <c r="J362" i="11"/>
  <c r="I69" i="11"/>
  <c r="E694" i="11"/>
  <c r="Q28" i="9"/>
  <c r="E1171" i="11"/>
  <c r="C583" i="11"/>
  <c r="E649" i="11"/>
  <c r="F518" i="11"/>
  <c r="H596" i="11"/>
  <c r="I47" i="11"/>
  <c r="B595" i="11"/>
  <c r="I485" i="11"/>
  <c r="E326" i="11"/>
  <c r="L912" i="11"/>
  <c r="I846" i="11"/>
  <c r="I655" i="11"/>
  <c r="B631" i="11"/>
  <c r="C529" i="11"/>
  <c r="K504" i="11"/>
  <c r="E406" i="11"/>
  <c r="B220" i="11"/>
  <c r="L1275" i="11"/>
  <c r="G477" i="11"/>
  <c r="J752" i="11"/>
  <c r="F293" i="11"/>
  <c r="K468" i="11"/>
  <c r="I338" i="11"/>
  <c r="E10" i="11"/>
  <c r="I1212" i="11"/>
  <c r="J877" i="11"/>
  <c r="D701" i="11"/>
  <c r="F981" i="11"/>
  <c r="I610" i="11"/>
  <c r="F1064" i="11"/>
  <c r="E490" i="11"/>
  <c r="E1039" i="11"/>
  <c r="I513" i="11"/>
  <c r="G452" i="11"/>
  <c r="F253" i="11"/>
  <c r="H13" i="11"/>
  <c r="F678" i="11"/>
  <c r="G547" i="11"/>
  <c r="H604" i="11"/>
  <c r="B504" i="11"/>
  <c r="K475" i="11"/>
  <c r="E370" i="11"/>
  <c r="I91" i="11"/>
  <c r="I805" i="11"/>
  <c r="F452" i="11"/>
  <c r="C559" i="11"/>
  <c r="L800" i="11"/>
  <c r="E435" i="11"/>
  <c r="F284" i="11"/>
  <c r="L781" i="11"/>
  <c r="J1158" i="11"/>
  <c r="E1086" i="11"/>
  <c r="F628" i="11"/>
  <c r="B1127" i="11"/>
  <c r="B1139" i="11"/>
  <c r="J670" i="11"/>
  <c r="F455" i="11"/>
  <c r="F667" i="11"/>
  <c r="E744" i="11"/>
  <c r="G420" i="11"/>
  <c r="I125" i="11"/>
  <c r="F1029" i="11"/>
  <c r="J639" i="11"/>
  <c r="J873" i="11"/>
  <c r="G579" i="11"/>
  <c r="J732" i="11"/>
  <c r="J450" i="11"/>
  <c r="B316" i="11"/>
  <c r="L304" i="11"/>
  <c r="K583" i="11"/>
  <c r="B772" i="11"/>
  <c r="H585" i="11"/>
  <c r="H605" i="11"/>
  <c r="I239" i="11"/>
  <c r="E1145" i="11"/>
  <c r="I830" i="11"/>
  <c r="J370" i="11"/>
  <c r="G441" i="11"/>
  <c r="E293" i="11"/>
  <c r="L733" i="11"/>
  <c r="D480" i="11"/>
  <c r="I381" i="11"/>
  <c r="I118" i="11"/>
  <c r="H254" i="11"/>
  <c r="L283" i="11"/>
  <c r="K331" i="11"/>
  <c r="F1075" i="11"/>
  <c r="H523" i="11"/>
  <c r="I1112" i="11"/>
  <c r="B664" i="11"/>
  <c r="E454" i="11"/>
  <c r="J5" i="3"/>
  <c r="B239" i="11"/>
  <c r="K429" i="11"/>
  <c r="I174" i="11"/>
  <c r="H794" i="11"/>
  <c r="H931" i="11"/>
  <c r="C949" i="11"/>
  <c r="D1203" i="11"/>
  <c r="E179" i="11"/>
  <c r="G627" i="11"/>
  <c r="I209" i="11"/>
  <c r="K456" i="11"/>
  <c r="I318" i="11"/>
  <c r="L293" i="11"/>
  <c r="E492" i="11"/>
  <c r="E397" i="11"/>
  <c r="I180" i="11"/>
  <c r="L1228" i="11"/>
  <c r="E213" i="11"/>
  <c r="H1279" i="11"/>
  <c r="C937" i="11"/>
  <c r="D1098" i="11"/>
  <c r="E203" i="11"/>
  <c r="C612" i="11"/>
  <c r="I137" i="11"/>
  <c r="E451" i="11"/>
  <c r="B311" i="11"/>
  <c r="L329" i="11"/>
  <c r="J488" i="11"/>
  <c r="K393" i="11"/>
  <c r="I162" i="11"/>
  <c r="L1221" i="11"/>
  <c r="E141" i="11"/>
  <c r="K243" i="11"/>
  <c r="C974" i="11"/>
  <c r="D1138" i="11"/>
  <c r="E131" i="11"/>
  <c r="K248" i="11"/>
  <c r="C979" i="11"/>
  <c r="L429" i="11"/>
  <c r="E356" i="11"/>
  <c r="K792" i="11"/>
  <c r="H925" i="11"/>
  <c r="C894" i="11"/>
  <c r="D1151" i="11"/>
  <c r="L1185" i="11"/>
  <c r="K862" i="11"/>
  <c r="M19" i="10"/>
  <c r="F578" i="11"/>
  <c r="J314" i="11"/>
  <c r="E625" i="11"/>
  <c r="I203" i="11"/>
  <c r="E254" i="11"/>
  <c r="F512" i="11"/>
  <c r="I365" i="11"/>
  <c r="L915" i="11"/>
  <c r="B333" i="11"/>
  <c r="K748" i="11"/>
  <c r="D179" i="11"/>
  <c r="F627" i="11"/>
  <c r="E1048" i="11"/>
  <c r="H651" i="11"/>
  <c r="E626" i="11"/>
  <c r="D415" i="11"/>
  <c r="I238" i="11"/>
  <c r="F902" i="11"/>
  <c r="H455" i="11"/>
  <c r="B326" i="11"/>
  <c r="L254" i="11"/>
  <c r="C655" i="11"/>
  <c r="H268" i="11"/>
  <c r="K945" i="11"/>
  <c r="D167" i="11"/>
  <c r="B645" i="11"/>
  <c r="I874" i="11"/>
  <c r="B596" i="11"/>
  <c r="C609" i="11"/>
  <c r="E411" i="11"/>
  <c r="B231" i="11"/>
  <c r="E776" i="11"/>
  <c r="I451" i="11"/>
  <c r="F319" i="11"/>
  <c r="L290" i="11"/>
  <c r="L600" i="11"/>
  <c r="H316" i="11"/>
  <c r="K982" i="11"/>
  <c r="D203" i="11"/>
  <c r="B592" i="11"/>
  <c r="H323" i="11"/>
  <c r="K987" i="11"/>
  <c r="I552" i="11"/>
  <c r="E60" i="11"/>
  <c r="L1017" i="11"/>
  <c r="D887" i="11"/>
  <c r="K356" i="11"/>
  <c r="D216" i="11"/>
  <c r="F422" i="11"/>
  <c r="H981" i="11"/>
  <c r="C296" i="11"/>
  <c r="L679" i="11"/>
  <c r="F626" i="11"/>
  <c r="B975" i="11"/>
  <c r="H522" i="11"/>
  <c r="F484" i="11"/>
  <c r="I354" i="11"/>
  <c r="B446" i="11"/>
  <c r="I237" i="11"/>
  <c r="H286" i="11"/>
  <c r="H902" i="11"/>
  <c r="C757" i="11"/>
  <c r="I51" i="11"/>
  <c r="C530" i="11"/>
  <c r="J890" i="11"/>
  <c r="L1130" i="11"/>
  <c r="D411" i="11"/>
  <c r="E229" i="11"/>
  <c r="F751" i="11"/>
  <c r="H451" i="11"/>
  <c r="I317" i="11"/>
  <c r="L298" i="11"/>
  <c r="G588" i="11"/>
  <c r="H327" i="11"/>
  <c r="K990" i="11"/>
  <c r="C656" i="11"/>
  <c r="F538" i="11"/>
  <c r="H392" i="11"/>
  <c r="C689" i="11"/>
  <c r="E274" i="11"/>
  <c r="I445" i="11"/>
  <c r="G600" i="11"/>
  <c r="K386" i="11"/>
  <c r="L282" i="11"/>
  <c r="H400" i="11"/>
  <c r="K299" i="11"/>
  <c r="D99" i="11"/>
  <c r="G369" i="11"/>
  <c r="L1290" i="11"/>
  <c r="E502" i="11"/>
  <c r="I741" i="11"/>
  <c r="C422" i="11"/>
  <c r="I254" i="11"/>
  <c r="L948" i="11"/>
  <c r="G462" i="11"/>
  <c r="B342" i="11"/>
  <c r="I20" i="11"/>
  <c r="H766" i="11"/>
  <c r="L1192" i="11"/>
  <c r="K864" i="11"/>
  <c r="D87" i="11"/>
  <c r="G357" i="11"/>
  <c r="J1003" i="11"/>
  <c r="I489" i="11"/>
  <c r="J650" i="11"/>
  <c r="D419" i="11"/>
  <c r="B247" i="11"/>
  <c r="L988" i="11"/>
  <c r="H459" i="11"/>
  <c r="F335" i="11"/>
  <c r="L10" i="11"/>
  <c r="H802" i="11"/>
  <c r="L1239" i="11"/>
  <c r="K901" i="11"/>
  <c r="D123" i="11"/>
  <c r="G729" i="11"/>
  <c r="L1272" i="11"/>
  <c r="K906" i="11"/>
  <c r="B843" i="11"/>
  <c r="E217" i="11"/>
  <c r="L358" i="11"/>
  <c r="D259" i="11"/>
  <c r="K252" i="11"/>
  <c r="D136" i="11"/>
  <c r="B451" i="11"/>
  <c r="H913" i="11"/>
  <c r="C8" i="11"/>
  <c r="F1183" i="11"/>
  <c r="E990" i="11"/>
  <c r="I1245" i="11"/>
  <c r="I501" i="11"/>
  <c r="G712" i="11"/>
  <c r="L433" i="11"/>
  <c r="F465" i="11"/>
  <c r="B282" i="11"/>
  <c r="L1152" i="11"/>
  <c r="L1193" i="11"/>
  <c r="K1231" i="11"/>
  <c r="D802" i="11"/>
  <c r="B415" i="11"/>
  <c r="C515" i="11"/>
  <c r="H421" i="11"/>
  <c r="L495" i="11"/>
  <c r="B379" i="11"/>
  <c r="E112" i="11"/>
  <c r="F575" i="11"/>
  <c r="L426" i="11"/>
  <c r="B262" i="11"/>
  <c r="L873" i="11"/>
  <c r="E421" i="11"/>
  <c r="H983" i="11"/>
  <c r="C298" i="11"/>
  <c r="D790" i="11"/>
  <c r="H420" i="11"/>
  <c r="J664" i="11"/>
  <c r="L408" i="11"/>
  <c r="D489" i="11"/>
  <c r="F372" i="11"/>
  <c r="E94" i="11"/>
  <c r="L559" i="11"/>
  <c r="B422" i="11"/>
  <c r="F255" i="11"/>
  <c r="L936" i="11"/>
  <c r="I408" i="11"/>
  <c r="H1019" i="11"/>
  <c r="C334" i="11"/>
  <c r="D826" i="11"/>
  <c r="L407" i="11"/>
  <c r="H1024" i="11"/>
  <c r="C339" i="11"/>
  <c r="I97" i="11"/>
  <c r="G486" i="11"/>
  <c r="E101" i="11"/>
  <c r="E91" i="11"/>
  <c r="K1187" i="11"/>
  <c r="D839" i="11"/>
  <c r="E185" i="11"/>
  <c r="K221" i="11"/>
  <c r="J1073" i="11"/>
  <c r="I647" i="11"/>
  <c r="L464" i="11"/>
  <c r="J588" i="11"/>
  <c r="C387" i="11"/>
  <c r="E597" i="11"/>
  <c r="L369" i="11"/>
  <c r="I179" i="11"/>
  <c r="I629" i="11"/>
  <c r="D644" i="11"/>
  <c r="I216" i="11"/>
  <c r="F428" i="11"/>
  <c r="F268" i="11"/>
  <c r="L861" i="11"/>
  <c r="J468" i="11"/>
  <c r="J356" i="11"/>
  <c r="I54" i="11"/>
  <c r="H382" i="11"/>
  <c r="L1037" i="11"/>
  <c r="K796" i="11"/>
  <c r="F693" i="11"/>
  <c r="C524" i="11"/>
  <c r="G487" i="11"/>
  <c r="C667" i="11"/>
  <c r="G408" i="11"/>
  <c r="F819" i="11"/>
  <c r="E18" i="11"/>
  <c r="K413" i="11"/>
  <c r="I94" i="11"/>
  <c r="D495" i="11"/>
  <c r="H1202" i="11"/>
  <c r="C1143" i="11"/>
  <c r="D1226" i="11"/>
  <c r="L367" i="11"/>
  <c r="L579" i="11"/>
  <c r="L308" i="11"/>
  <c r="F440" i="11"/>
  <c r="J293" i="11"/>
  <c r="L737" i="11"/>
  <c r="I479" i="11"/>
  <c r="E380" i="11"/>
  <c r="I116" i="11"/>
  <c r="H258" i="11"/>
  <c r="L299" i="11"/>
  <c r="K335" i="11"/>
  <c r="C1132" i="11"/>
  <c r="D1214" i="11"/>
  <c r="L319" i="11"/>
  <c r="C563" i="11"/>
  <c r="L768" i="11"/>
  <c r="F436" i="11"/>
  <c r="E285" i="11"/>
  <c r="L773" i="11"/>
  <c r="J476" i="11"/>
  <c r="I373" i="11"/>
  <c r="I98" i="11"/>
  <c r="H294" i="11"/>
  <c r="L759" i="11"/>
  <c r="K371" i="11"/>
  <c r="C1174" i="11"/>
  <c r="D1249" i="11"/>
  <c r="L779" i="11"/>
  <c r="K376" i="11"/>
  <c r="C1133" i="11"/>
  <c r="B371" i="11"/>
  <c r="B254" i="11"/>
  <c r="C338" i="11"/>
  <c r="H1045" i="11"/>
  <c r="C1148" i="11"/>
  <c r="C585" i="11"/>
  <c r="H329" i="11"/>
  <c r="K992" i="11"/>
  <c r="G621" i="11"/>
  <c r="I449" i="11"/>
  <c r="I117" i="11"/>
  <c r="E577" i="11"/>
  <c r="L320" i="11"/>
  <c r="I597" i="11"/>
  <c r="J489" i="11"/>
  <c r="I333" i="11"/>
  <c r="L942" i="11"/>
  <c r="E157" i="11"/>
  <c r="K909" i="11"/>
  <c r="D295" i="11"/>
  <c r="J485" i="11"/>
  <c r="I766" i="11"/>
  <c r="D492" i="11"/>
  <c r="G561" i="11"/>
  <c r="J403" i="11"/>
  <c r="E208" i="11"/>
  <c r="D646" i="11"/>
  <c r="C443" i="11"/>
  <c r="E300" i="11"/>
  <c r="L382" i="11"/>
  <c r="K493" i="11"/>
  <c r="H755" i="11"/>
  <c r="K1133" i="11"/>
  <c r="D283" i="11"/>
  <c r="I490" i="11"/>
  <c r="I688" i="11"/>
  <c r="I477" i="11"/>
  <c r="F540" i="11"/>
  <c r="K400" i="11"/>
  <c r="E190" i="11"/>
  <c r="G632" i="11"/>
  <c r="D440" i="11"/>
  <c r="I293" i="11"/>
  <c r="L734" i="11"/>
  <c r="F478" i="11"/>
  <c r="H803" i="11"/>
  <c r="K1151" i="11"/>
  <c r="D319" i="11"/>
  <c r="I476" i="11"/>
  <c r="H809" i="11"/>
  <c r="K1171" i="11"/>
  <c r="I505" i="11"/>
  <c r="L916" i="11"/>
  <c r="H758" i="11"/>
  <c r="G349" i="11"/>
  <c r="K865" i="11"/>
  <c r="D332" i="11"/>
  <c r="B357" i="11"/>
  <c r="H1075" i="11"/>
  <c r="G32" i="8"/>
  <c r="G546" i="11"/>
  <c r="C493" i="11"/>
  <c r="E788" i="11"/>
  <c r="B460" i="11"/>
  <c r="H438" i="11"/>
  <c r="F252" i="11"/>
  <c r="B430" i="11"/>
  <c r="I190" i="11"/>
  <c r="H778" i="11"/>
  <c r="H952" i="11"/>
  <c r="C917" i="11"/>
  <c r="L240" i="11"/>
  <c r="J493" i="11"/>
  <c r="B603" i="11"/>
  <c r="H637" i="11"/>
  <c r="G399" i="11"/>
  <c r="E186" i="11"/>
  <c r="C629" i="11"/>
  <c r="C439" i="11"/>
  <c r="J292" i="11"/>
  <c r="L742" i="11"/>
  <c r="B475" i="11"/>
  <c r="H813" i="11"/>
  <c r="K1178" i="11"/>
  <c r="B715" i="11"/>
  <c r="J502" i="11"/>
  <c r="E262" i="11"/>
  <c r="L607" i="11"/>
  <c r="I107" i="11"/>
  <c r="L356" i="11"/>
  <c r="H503" i="11"/>
  <c r="E352" i="11"/>
  <c r="L774" i="11"/>
  <c r="F282" i="11"/>
  <c r="K812" i="11"/>
  <c r="D22" i="11"/>
  <c r="G552" i="11"/>
  <c r="F721" i="11"/>
  <c r="K579" i="11"/>
  <c r="F603" i="11"/>
  <c r="I410" i="11"/>
  <c r="J229" i="11"/>
  <c r="B738" i="11"/>
  <c r="B450" i="11"/>
  <c r="E316" i="11"/>
  <c r="L302" i="11"/>
  <c r="J582" i="11"/>
  <c r="H332" i="11"/>
  <c r="K994" i="11"/>
  <c r="D215" i="11"/>
  <c r="K575" i="11"/>
  <c r="I962" i="11"/>
  <c r="F520" i="11"/>
  <c r="D586" i="11"/>
  <c r="J407" i="11"/>
  <c r="E221" i="11"/>
  <c r="L676" i="11"/>
  <c r="C447" i="11"/>
  <c r="I309" i="11"/>
  <c r="L338" i="11"/>
  <c r="E523" i="11"/>
  <c r="H380" i="11"/>
  <c r="K1030" i="11"/>
  <c r="D239" i="11"/>
  <c r="F516" i="11"/>
  <c r="H886" i="11"/>
  <c r="K1035" i="11"/>
  <c r="G631" i="11"/>
  <c r="L285" i="11"/>
  <c r="L1202" i="11"/>
  <c r="D1066" i="11"/>
  <c r="K757" i="11"/>
  <c r="D252" i="11"/>
  <c r="D405" i="11"/>
  <c r="H1029" i="11"/>
  <c r="C344" i="11"/>
  <c r="F732" i="11"/>
  <c r="E860" i="11"/>
  <c r="H703" i="11"/>
  <c r="E574" i="11"/>
  <c r="G499" i="11"/>
  <c r="F380" i="11"/>
  <c r="F449" i="11"/>
  <c r="F247" i="11"/>
  <c r="H238" i="11"/>
  <c r="H348" i="11"/>
  <c r="C374" i="11"/>
  <c r="D946" i="11"/>
  <c r="F342" i="11"/>
  <c r="I520" i="11"/>
  <c r="J354" i="11"/>
  <c r="B477" i="11"/>
  <c r="E353" i="11"/>
  <c r="E48" i="11"/>
  <c r="I522" i="11"/>
  <c r="G414" i="11"/>
  <c r="E236" i="11"/>
  <c r="L1075" i="11"/>
  <c r="E355" i="11"/>
  <c r="H1083" i="11"/>
  <c r="C761" i="11"/>
  <c r="D898" i="11"/>
  <c r="E351" i="11"/>
  <c r="B1019" i="11"/>
  <c r="F325" i="11"/>
  <c r="G473" i="11"/>
  <c r="I346" i="11"/>
  <c r="E30" i="11"/>
  <c r="K510" i="11"/>
  <c r="H411" i="11"/>
  <c r="I229" i="11"/>
  <c r="L1046" i="11"/>
  <c r="J327" i="11"/>
  <c r="H1134" i="11"/>
  <c r="C797" i="11"/>
  <c r="D975" i="11"/>
  <c r="J323" i="11"/>
  <c r="H1139" i="11"/>
  <c r="C802" i="11"/>
  <c r="D539" i="11"/>
  <c r="I439" i="11"/>
  <c r="H808" i="11"/>
  <c r="H275" i="11"/>
  <c r="C327" i="11"/>
  <c r="D988" i="11"/>
  <c r="L355" i="11"/>
  <c r="K349" i="11"/>
  <c r="J785" i="11"/>
  <c r="L638" i="11"/>
  <c r="E402" i="11"/>
  <c r="J720" i="11"/>
  <c r="I287" i="11"/>
  <c r="H469" i="11"/>
  <c r="F623" i="11"/>
  <c r="K388" i="11"/>
  <c r="L266" i="11"/>
  <c r="B411" i="11"/>
  <c r="K283" i="11"/>
  <c r="D83" i="11"/>
  <c r="G353" i="11"/>
  <c r="L1196" i="11"/>
  <c r="B508" i="11"/>
  <c r="I1104" i="11"/>
  <c r="E423" i="11"/>
  <c r="L438" i="11"/>
  <c r="C837" i="11"/>
  <c r="J500" i="11"/>
  <c r="I1082" i="11"/>
  <c r="L816" i="11"/>
  <c r="C406" i="11"/>
  <c r="E128" i="11"/>
  <c r="K587" i="11"/>
  <c r="E428" i="11"/>
  <c r="E268" i="11"/>
  <c r="L858" i="11"/>
  <c r="J433" i="11"/>
  <c r="H947" i="11"/>
  <c r="C266" i="11"/>
  <c r="D758" i="11"/>
  <c r="B431" i="11"/>
  <c r="F509" i="11"/>
  <c r="F419" i="11"/>
  <c r="C494" i="11"/>
  <c r="I378" i="11"/>
  <c r="E110" i="11"/>
  <c r="D574" i="11"/>
  <c r="F425" i="11"/>
  <c r="I261" i="11"/>
  <c r="L889" i="11"/>
  <c r="C420" i="11"/>
  <c r="H987" i="11"/>
  <c r="C302" i="11"/>
  <c r="D794" i="11"/>
  <c r="F418" i="11"/>
  <c r="H992" i="11"/>
  <c r="C307" i="11"/>
  <c r="E270" i="11"/>
  <c r="F501" i="11"/>
  <c r="I272" i="11"/>
  <c r="I268" i="11"/>
  <c r="K1153" i="11"/>
  <c r="D807" i="11"/>
  <c r="B229" i="11"/>
  <c r="H1288" i="11"/>
  <c r="C919" i="11"/>
  <c r="D1087" i="11"/>
  <c r="B353" i="11"/>
  <c r="G809" i="11"/>
  <c r="J1291" i="11"/>
  <c r="K310" i="11"/>
  <c r="F1053" i="11"/>
  <c r="F1279" i="11"/>
  <c r="F245" i="11"/>
  <c r="B497" i="11"/>
  <c r="J247" i="11"/>
  <c r="J243" i="11"/>
  <c r="K1136" i="11"/>
  <c r="B643" i="11"/>
  <c r="D432" i="11"/>
  <c r="C901" i="11"/>
  <c r="E238" i="11"/>
  <c r="I496" i="11"/>
  <c r="I240" i="11"/>
  <c r="I236" i="11"/>
  <c r="E317" i="11"/>
  <c r="I178" i="11"/>
  <c r="C941" i="11"/>
  <c r="C946" i="11"/>
  <c r="H838" i="11"/>
  <c r="K830" i="11"/>
  <c r="D1049" i="11"/>
  <c r="K354" i="11"/>
  <c r="J67" i="11"/>
  <c r="K246" i="11"/>
  <c r="J56" i="11"/>
  <c r="I1062" i="11"/>
  <c r="J505" i="11"/>
  <c r="K824" i="11"/>
  <c r="K284" i="11"/>
  <c r="D292" i="11"/>
  <c r="D387" i="11"/>
  <c r="H1038" i="11"/>
  <c r="C384" i="11"/>
  <c r="D900" i="11"/>
  <c r="G1244" i="11"/>
  <c r="D1153" i="11"/>
  <c r="J391" i="11"/>
  <c r="L1230" i="11"/>
  <c r="G978" i="11"/>
  <c r="D1149" i="11"/>
  <c r="C756" i="11"/>
  <c r="B1184" i="11"/>
  <c r="D378" i="11"/>
  <c r="L365" i="11"/>
  <c r="D1174" i="11"/>
  <c r="D272" i="11"/>
  <c r="H1110" i="11"/>
  <c r="J204" i="11"/>
  <c r="E534" i="11"/>
  <c r="K1052" i="11"/>
  <c r="C1056" i="11"/>
  <c r="G276" i="11"/>
  <c r="D753" i="11"/>
  <c r="F309" i="11"/>
  <c r="J311" i="11"/>
  <c r="K1162" i="11"/>
  <c r="J239" i="11"/>
  <c r="C907" i="11"/>
  <c r="I388" i="11"/>
  <c r="J1251" i="11"/>
  <c r="F1037" i="11"/>
  <c r="C965" i="11"/>
  <c r="J1204" i="11"/>
  <c r="B501" i="11"/>
  <c r="H915" i="11"/>
  <c r="H789" i="11"/>
  <c r="J95" i="11"/>
  <c r="F1231" i="11"/>
  <c r="B390" i="11"/>
  <c r="K645" i="11"/>
  <c r="J260" i="11"/>
  <c r="D924" i="11"/>
  <c r="J483" i="11"/>
  <c r="B418" i="11"/>
  <c r="H1101" i="11"/>
  <c r="K534" i="11"/>
  <c r="E54" i="11"/>
  <c r="L1029" i="11"/>
  <c r="D935" i="11"/>
  <c r="J638" i="11"/>
  <c r="C263" i="11"/>
  <c r="C839" i="11"/>
  <c r="C407" i="11"/>
  <c r="C1189" i="11"/>
  <c r="F450" i="11"/>
  <c r="K695" i="11"/>
  <c r="L1085" i="11"/>
  <c r="L393" i="11"/>
  <c r="F57" i="11"/>
  <c r="J1123" i="11"/>
  <c r="I984" i="11"/>
  <c r="E888" i="11"/>
  <c r="I1115" i="11"/>
  <c r="J708" i="11"/>
  <c r="K664" i="11"/>
  <c r="F1128" i="11"/>
  <c r="K662" i="11"/>
  <c r="G637" i="11"/>
  <c r="F625" i="11"/>
  <c r="E218" i="11"/>
  <c r="E616" i="11"/>
  <c r="K608" i="11"/>
  <c r="I587" i="11"/>
  <c r="I63" i="11"/>
  <c r="F577" i="11"/>
  <c r="E538" i="11"/>
  <c r="F1020" i="11"/>
  <c r="I541" i="11"/>
  <c r="E1029" i="11"/>
  <c r="G571" i="11"/>
  <c r="I371" i="11"/>
  <c r="L563" i="11"/>
  <c r="F492" i="11"/>
  <c r="E570" i="11"/>
  <c r="E965" i="11"/>
  <c r="I582" i="11"/>
  <c r="K439" i="11"/>
  <c r="L885" i="11"/>
  <c r="H633" i="11"/>
  <c r="F634" i="11"/>
  <c r="B629" i="11"/>
  <c r="I759" i="11"/>
  <c r="F583" i="11"/>
  <c r="E746" i="11"/>
  <c r="G1253" i="11"/>
  <c r="L669" i="11"/>
  <c r="C660" i="11"/>
  <c r="F738" i="11"/>
  <c r="K580" i="11"/>
  <c r="J862" i="11"/>
  <c r="K595" i="11"/>
  <c r="F849" i="11"/>
  <c r="I593" i="11"/>
  <c r="I1270" i="11"/>
  <c r="J540" i="11"/>
  <c r="L492" i="11"/>
  <c r="I737" i="11"/>
  <c r="K459" i="11"/>
  <c r="F1146" i="11"/>
  <c r="J249" i="11"/>
  <c r="J536" i="11"/>
  <c r="C388" i="11"/>
  <c r="I13" i="11"/>
  <c r="H560" i="11"/>
  <c r="L796" i="11"/>
  <c r="C514" i="11"/>
  <c r="E716" i="11"/>
  <c r="K530" i="11"/>
  <c r="D491" i="11"/>
  <c r="E686" i="11"/>
  <c r="I409" i="11"/>
  <c r="D596" i="11"/>
  <c r="J816" i="11"/>
  <c r="F305" i="11"/>
  <c r="I809" i="11"/>
  <c r="J855" i="11"/>
  <c r="G617" i="11"/>
  <c r="F807" i="11"/>
  <c r="J729" i="11"/>
  <c r="H599" i="11"/>
  <c r="J848" i="11"/>
  <c r="I311" i="11"/>
  <c r="E844" i="11"/>
  <c r="E310" i="11"/>
  <c r="C708" i="11"/>
  <c r="B496" i="11"/>
  <c r="B256" i="11"/>
  <c r="J605" i="11"/>
  <c r="I99" i="11"/>
  <c r="L736" i="11"/>
  <c r="J1019" i="11"/>
  <c r="C511" i="11"/>
  <c r="J796" i="11"/>
  <c r="H646" i="11"/>
  <c r="L452" i="11"/>
  <c r="G1289" i="11"/>
  <c r="J233" i="11"/>
  <c r="B921" i="11"/>
  <c r="I327" i="11"/>
  <c r="L300" i="11"/>
  <c r="H550" i="11"/>
  <c r="L902" i="11"/>
  <c r="G498" i="11"/>
  <c r="L292" i="11"/>
  <c r="E456" i="11"/>
  <c r="H237" i="11"/>
  <c r="D426" i="11"/>
  <c r="I953" i="11"/>
  <c r="K219" i="11"/>
  <c r="D526" i="11"/>
  <c r="L865" i="11"/>
  <c r="H882" i="11"/>
  <c r="G293" i="11"/>
  <c r="L425" i="11"/>
  <c r="J348" i="11"/>
  <c r="K836" i="11"/>
  <c r="K841" i="11"/>
  <c r="C1249" i="11"/>
  <c r="H815" i="11"/>
  <c r="L1007" i="11"/>
  <c r="E472" i="11"/>
  <c r="K1181" i="11"/>
  <c r="G444" i="11"/>
  <c r="E598" i="11"/>
  <c r="D445" i="11"/>
  <c r="G443" i="11"/>
  <c r="K384" i="11"/>
  <c r="J268" i="11"/>
  <c r="C270" i="11"/>
  <c r="C275" i="11"/>
  <c r="J371" i="11"/>
  <c r="H1289" i="11"/>
  <c r="E800" i="11"/>
  <c r="B414" i="11"/>
  <c r="C1058" i="11"/>
  <c r="B537" i="11"/>
  <c r="I427" i="11"/>
  <c r="H963" i="11"/>
  <c r="L236" i="11"/>
  <c r="H483" i="11"/>
  <c r="K974" i="11"/>
  <c r="C473" i="11"/>
  <c r="L628" i="11"/>
  <c r="K474" i="11"/>
  <c r="C472" i="11"/>
  <c r="G394" i="11"/>
  <c r="J284" i="11"/>
  <c r="K1222" i="11"/>
  <c r="K1227" i="11"/>
  <c r="C502" i="11"/>
  <c r="H1144" i="11"/>
  <c r="L667" i="11"/>
  <c r="H435" i="11"/>
  <c r="C885" i="11"/>
  <c r="I251" i="11"/>
  <c r="B498" i="11"/>
  <c r="B253" i="11"/>
  <c r="B249" i="11"/>
  <c r="J321" i="11"/>
  <c r="I186" i="11"/>
  <c r="C925" i="11"/>
  <c r="C930" i="11"/>
  <c r="H818" i="11"/>
  <c r="K814" i="11"/>
  <c r="I612" i="11"/>
  <c r="I19" i="11"/>
  <c r="G405" i="11"/>
  <c r="E304" i="11"/>
  <c r="K1051" i="11"/>
  <c r="E633" i="11"/>
  <c r="J372" i="11"/>
  <c r="D163" i="11"/>
  <c r="D634" i="11"/>
  <c r="J456" i="11"/>
  <c r="H245" i="11"/>
  <c r="B697" i="11"/>
  <c r="I234" i="11"/>
  <c r="L274" i="11"/>
  <c r="D187" i="11"/>
  <c r="B653" i="11"/>
  <c r="K336" i="11"/>
  <c r="C280" i="11"/>
  <c r="D702" i="11"/>
  <c r="F263" i="11"/>
  <c r="D866" i="11"/>
  <c r="G485" i="11"/>
  <c r="D420" i="11"/>
  <c r="H1102" i="11"/>
  <c r="I560" i="11"/>
  <c r="E62" i="11"/>
  <c r="L1013" i="11"/>
  <c r="D871" i="11"/>
  <c r="J844" i="11"/>
  <c r="C239" i="11"/>
  <c r="F773" i="11"/>
  <c r="E338" i="11"/>
  <c r="I14" i="11"/>
  <c r="L963" i="11"/>
  <c r="E357" i="11"/>
  <c r="E240" i="11"/>
  <c r="C741" i="11"/>
  <c r="F507" i="11"/>
  <c r="I285" i="11"/>
  <c r="D786" i="11"/>
  <c r="E497" i="11"/>
  <c r="C427" i="11"/>
  <c r="H967" i="11"/>
  <c r="J788" i="11"/>
  <c r="E102" i="11"/>
  <c r="L872" i="11"/>
  <c r="D810" i="11"/>
  <c r="I219" i="11"/>
  <c r="K1123" i="11"/>
  <c r="E867" i="11"/>
  <c r="I425" i="11"/>
  <c r="I126" i="11"/>
  <c r="D1202" i="11"/>
  <c r="C446" i="11"/>
  <c r="E387" i="11"/>
  <c r="K287" i="11"/>
  <c r="G583" i="11"/>
  <c r="L725" i="11"/>
  <c r="H246" i="11"/>
  <c r="D1268" i="11"/>
  <c r="E399" i="11"/>
  <c r="C1003" i="11"/>
  <c r="E553" i="11"/>
  <c r="L764" i="11"/>
  <c r="L904" i="11"/>
  <c r="E473" i="11"/>
  <c r="F400" i="11"/>
  <c r="C557" i="11"/>
  <c r="F502" i="11"/>
  <c r="H306" i="11"/>
  <c r="K720" i="11"/>
  <c r="G4" i="11"/>
  <c r="D542" i="11"/>
  <c r="K432" i="11"/>
  <c r="L821" i="11"/>
  <c r="J364" i="11"/>
  <c r="H342" i="11"/>
  <c r="K756" i="11"/>
  <c r="G249" i="11"/>
  <c r="K761" i="11"/>
  <c r="J333" i="11"/>
  <c r="C865" i="11"/>
  <c r="C1194" i="11"/>
  <c r="H910" i="11"/>
  <c r="D249" i="11"/>
  <c r="C764" i="11"/>
  <c r="J190" i="11"/>
  <c r="J396" i="11"/>
  <c r="I326" i="11"/>
  <c r="C897" i="11"/>
  <c r="E575" i="11"/>
  <c r="H746" i="11"/>
  <c r="J325" i="11"/>
  <c r="C905" i="11"/>
  <c r="C492" i="11"/>
  <c r="E195" i="11"/>
  <c r="D1191" i="11"/>
  <c r="G1029" i="11"/>
  <c r="G1230" i="11"/>
  <c r="F1219" i="11"/>
  <c r="L770" i="11"/>
  <c r="C862" i="11"/>
  <c r="L1139" i="11"/>
  <c r="D61" i="11"/>
  <c r="K258" i="11"/>
  <c r="G1165" i="11"/>
  <c r="J32" i="11"/>
  <c r="G806" i="11"/>
  <c r="G599" i="11"/>
  <c r="K785" i="11"/>
  <c r="C731" i="11"/>
  <c r="H518" i="11"/>
  <c r="H251" i="11"/>
  <c r="I404" i="11"/>
  <c r="J307" i="11"/>
  <c r="H1226" i="11"/>
  <c r="G793" i="11"/>
  <c r="F1229" i="11"/>
  <c r="G220" i="11"/>
  <c r="K308" i="11"/>
  <c r="J164" i="11"/>
  <c r="I535" i="11"/>
  <c r="H263" i="11"/>
  <c r="E72" i="11"/>
  <c r="D876" i="11"/>
  <c r="C415" i="11"/>
  <c r="H1120" i="11"/>
  <c r="E25" i="11"/>
  <c r="E469" i="11"/>
  <c r="L1047" i="11"/>
  <c r="H466" i="11"/>
  <c r="E96" i="11"/>
  <c r="L561" i="11"/>
  <c r="H423" i="11"/>
  <c r="J256" i="11"/>
  <c r="L920" i="11"/>
  <c r="K410" i="11"/>
  <c r="H1015" i="11"/>
  <c r="C330" i="11"/>
  <c r="D822" i="11"/>
  <c r="C408" i="11"/>
  <c r="G610" i="11"/>
  <c r="H395" i="11"/>
  <c r="L485" i="11"/>
  <c r="E365" i="11"/>
  <c r="E78" i="11"/>
  <c r="F544" i="11"/>
  <c r="I419" i="11"/>
  <c r="E248" i="11"/>
  <c r="L981" i="11"/>
  <c r="D396" i="11"/>
  <c r="H1118" i="11"/>
  <c r="C366" i="11"/>
  <c r="D858" i="11"/>
  <c r="I393" i="11"/>
  <c r="H1073" i="11"/>
  <c r="C371" i="11"/>
  <c r="L848" i="11"/>
  <c r="B474" i="11"/>
  <c r="L839" i="11"/>
  <c r="L859" i="11"/>
  <c r="K1232" i="11"/>
  <c r="D880" i="11"/>
  <c r="E121" i="11"/>
  <c r="K253" i="11"/>
  <c r="C984" i="11"/>
  <c r="D1148" i="11"/>
  <c r="E47" i="11"/>
  <c r="G895" i="11"/>
  <c r="C361" i="11"/>
  <c r="K904" i="11"/>
  <c r="F1242" i="11"/>
  <c r="B1269" i="11"/>
  <c r="L999" i="11"/>
  <c r="I471" i="11"/>
  <c r="L990" i="11"/>
  <c r="L1006" i="11"/>
  <c r="K1240" i="11"/>
  <c r="G519" i="11"/>
  <c r="F401" i="11"/>
  <c r="C1237" i="11"/>
  <c r="L1031" i="11"/>
  <c r="H471" i="11"/>
  <c r="L1012" i="11"/>
  <c r="L1022" i="11"/>
  <c r="I266" i="11"/>
  <c r="I50" i="11"/>
  <c r="D27" i="11"/>
  <c r="D32" i="11"/>
  <c r="H1193" i="11"/>
  <c r="K1124" i="11"/>
  <c r="D1164" i="11"/>
  <c r="K1013" i="11"/>
  <c r="J147" i="11"/>
  <c r="K969" i="11"/>
  <c r="J136" i="11"/>
  <c r="J768" i="11"/>
  <c r="L466" i="11"/>
  <c r="K1210" i="11"/>
  <c r="K725" i="11"/>
  <c r="D356" i="11"/>
  <c r="F338" i="11"/>
  <c r="H1204" i="11"/>
  <c r="C783" i="11"/>
  <c r="D961" i="11"/>
  <c r="F1054" i="11"/>
  <c r="G238" i="11"/>
  <c r="J1185" i="11"/>
  <c r="H824" i="11"/>
  <c r="G1141" i="11"/>
  <c r="G808" i="11"/>
  <c r="C1013" i="11"/>
  <c r="B1260" i="11"/>
  <c r="G292" i="11"/>
  <c r="H625" i="11"/>
  <c r="J469" i="11"/>
  <c r="D933" i="11"/>
  <c r="H1164" i="11"/>
  <c r="D1283" i="11"/>
  <c r="L1102" i="11"/>
  <c r="C762" i="11"/>
  <c r="D145" i="11"/>
  <c r="J38" i="11"/>
  <c r="G258" i="11"/>
  <c r="K631" i="11"/>
  <c r="H257" i="11"/>
  <c r="C267" i="11"/>
  <c r="E17" i="11"/>
  <c r="C1037" i="11"/>
  <c r="L1133" i="11"/>
  <c r="D150" i="11"/>
  <c r="B389" i="11"/>
  <c r="D130" i="11"/>
  <c r="J1285" i="11"/>
  <c r="K436" i="11"/>
  <c r="K375" i="11"/>
  <c r="H1042" i="11"/>
  <c r="C313" i="11"/>
  <c r="B1214" i="11"/>
  <c r="B702" i="11"/>
  <c r="K443" i="11"/>
  <c r="I158" i="11"/>
  <c r="D1146" i="11"/>
  <c r="K452" i="11"/>
  <c r="E393" i="11"/>
  <c r="K239" i="11"/>
  <c r="I600" i="11"/>
  <c r="L361" i="11"/>
  <c r="L1268" i="11"/>
  <c r="D1170" i="11"/>
  <c r="G417" i="11"/>
  <c r="C938" i="11"/>
  <c r="C935" i="11"/>
  <c r="L758" i="11"/>
  <c r="D770" i="11"/>
  <c r="E211" i="11"/>
  <c r="J1029" i="11"/>
  <c r="K500" i="11"/>
  <c r="E321" i="11"/>
  <c r="L341" i="11"/>
  <c r="H487" i="11"/>
  <c r="E391" i="11"/>
  <c r="I156" i="11"/>
  <c r="L1269" i="11"/>
  <c r="E117" i="11"/>
  <c r="K255" i="11"/>
  <c r="C986" i="11"/>
  <c r="D1150" i="11"/>
  <c r="E107" i="11"/>
  <c r="L595" i="11"/>
  <c r="I41" i="11"/>
  <c r="H446" i="11"/>
  <c r="E301" i="11"/>
  <c r="L377" i="11"/>
  <c r="I483" i="11"/>
  <c r="K387" i="11"/>
  <c r="I138" i="11"/>
  <c r="H21" i="11"/>
  <c r="E45" i="11"/>
  <c r="K291" i="11"/>
  <c r="C1022" i="11"/>
  <c r="D1277" i="11"/>
  <c r="E35" i="11"/>
  <c r="K296" i="11"/>
  <c r="C1027" i="11"/>
  <c r="J411" i="11"/>
  <c r="B318" i="11"/>
  <c r="K986" i="11"/>
  <c r="H968" i="11"/>
  <c r="C959" i="11"/>
  <c r="J7" i="3"/>
  <c r="H14" i="11"/>
  <c r="K911" i="11"/>
  <c r="D133" i="11"/>
  <c r="G739" i="11"/>
  <c r="K884" i="11"/>
  <c r="F1232" i="11"/>
  <c r="F1287" i="11"/>
  <c r="D370" i="11"/>
  <c r="J104" i="11"/>
  <c r="L19" i="11"/>
  <c r="F408" i="11"/>
  <c r="J312" i="11"/>
  <c r="K1018" i="11"/>
  <c r="H980" i="11"/>
  <c r="F654" i="11"/>
  <c r="I43" i="11"/>
  <c r="L822" i="11"/>
  <c r="K508" i="11"/>
  <c r="E407" i="11"/>
  <c r="B310" i="11"/>
  <c r="K1026" i="11"/>
  <c r="L498" i="11"/>
  <c r="L652" i="11"/>
  <c r="H499" i="11"/>
  <c r="F496" i="11"/>
  <c r="L729" i="11"/>
  <c r="D284" i="11"/>
  <c r="C1151" i="11"/>
  <c r="G851" i="11"/>
  <c r="D1288" i="11"/>
  <c r="D1002" i="11"/>
  <c r="D1141" i="11"/>
  <c r="G260" i="11"/>
  <c r="D523" i="11"/>
  <c r="B222" i="11"/>
  <c r="G317" i="11"/>
  <c r="C335" i="11"/>
  <c r="D1012" i="11"/>
  <c r="L767" i="11"/>
  <c r="K373" i="11"/>
  <c r="C1182" i="11"/>
  <c r="D1254" i="11"/>
  <c r="H801" i="11"/>
  <c r="G1052" i="11"/>
  <c r="D1213" i="11"/>
  <c r="C752" i="11"/>
  <c r="B1223" i="11"/>
  <c r="J1280" i="11"/>
  <c r="G250" i="11"/>
  <c r="J1188" i="11"/>
  <c r="J1038" i="11"/>
  <c r="I144" i="11"/>
  <c r="H1175" i="11"/>
  <c r="K492" i="11"/>
  <c r="K1143" i="11"/>
  <c r="G370" i="11"/>
  <c r="E308" i="11"/>
  <c r="C476" i="11"/>
  <c r="G1009" i="11"/>
  <c r="G832" i="11"/>
  <c r="J141" i="11"/>
  <c r="E20" i="11"/>
  <c r="D995" i="11"/>
  <c r="D224" i="11"/>
  <c r="H1001" i="11"/>
  <c r="D808" i="11"/>
  <c r="D888" i="11"/>
  <c r="E103" i="11"/>
  <c r="D38" i="11"/>
  <c r="G877" i="11"/>
  <c r="K382" i="11"/>
  <c r="D590" i="11"/>
  <c r="H328" i="11"/>
  <c r="D65" i="11"/>
  <c r="G983" i="11"/>
  <c r="B1188" i="11"/>
  <c r="K537" i="11"/>
  <c r="H494" i="11"/>
  <c r="J417" i="11"/>
  <c r="L1161" i="11"/>
  <c r="J261" i="11"/>
  <c r="I36" i="11"/>
  <c r="D55" i="11"/>
  <c r="J706" i="11"/>
  <c r="L462" i="11"/>
  <c r="L1251" i="11"/>
  <c r="L1238" i="11"/>
  <c r="L230" i="11"/>
  <c r="G463" i="11"/>
  <c r="D181" i="11"/>
  <c r="L1036" i="11"/>
  <c r="D1210" i="11"/>
  <c r="E1038" i="11"/>
  <c r="C409" i="11"/>
  <c r="I442" i="11"/>
  <c r="J245" i="11"/>
  <c r="L1000" i="11"/>
  <c r="L458" i="11"/>
  <c r="E332" i="11"/>
  <c r="L222" i="11"/>
  <c r="I1120" i="11"/>
  <c r="H20" i="11"/>
  <c r="K913" i="11"/>
  <c r="D135" i="11"/>
  <c r="F893" i="11"/>
  <c r="E875" i="11"/>
  <c r="K643" i="11"/>
  <c r="C625" i="11"/>
  <c r="I414" i="11"/>
  <c r="E237" i="11"/>
  <c r="B880" i="11"/>
  <c r="B454" i="11"/>
  <c r="I325" i="11"/>
  <c r="L258" i="11"/>
  <c r="F647" i="11"/>
  <c r="H273" i="11"/>
  <c r="K949" i="11"/>
  <c r="D171" i="11"/>
  <c r="K639" i="11"/>
  <c r="H280" i="11"/>
  <c r="K955" i="11"/>
  <c r="E550" i="11"/>
  <c r="E124" i="11"/>
  <c r="L866" i="11"/>
  <c r="D766" i="11"/>
  <c r="K316" i="11"/>
  <c r="D184" i="11"/>
  <c r="K434" i="11"/>
  <c r="H939" i="11"/>
  <c r="C264" i="11"/>
  <c r="D756" i="11"/>
  <c r="G1057" i="11"/>
  <c r="D350" i="11"/>
  <c r="J99" i="11"/>
  <c r="B337" i="11"/>
  <c r="G816" i="11"/>
  <c r="C249" i="11"/>
  <c r="I1092" i="11"/>
  <c r="E108" i="11"/>
  <c r="L905" i="11"/>
  <c r="D798" i="11"/>
  <c r="K324" i="11"/>
  <c r="E708" i="11"/>
  <c r="D427" i="11"/>
  <c r="L1151" i="11"/>
  <c r="F839" i="11"/>
  <c r="E104" i="11"/>
  <c r="L937" i="11"/>
  <c r="D806" i="11"/>
  <c r="I486" i="11"/>
  <c r="K421" i="11"/>
  <c r="H1035" i="11"/>
  <c r="H1074" i="11"/>
  <c r="L267" i="11"/>
  <c r="E153" i="11"/>
  <c r="D329" i="11"/>
  <c r="F548" i="11"/>
  <c r="G1194" i="11"/>
  <c r="E618" i="11"/>
  <c r="G1174" i="11"/>
  <c r="E481" i="11"/>
  <c r="I262" i="11"/>
  <c r="J465" i="11"/>
  <c r="H751" i="11"/>
  <c r="C1181" i="11"/>
  <c r="L521" i="11"/>
  <c r="H870" i="11"/>
  <c r="K1032" i="11"/>
  <c r="D241" i="11"/>
  <c r="G859" i="11"/>
  <c r="C732" i="11"/>
  <c r="B1215" i="11"/>
  <c r="J166" i="11"/>
  <c r="D1173" i="11"/>
  <c r="J398" i="11"/>
  <c r="H828" i="11"/>
  <c r="G1157" i="11"/>
  <c r="L1064" i="11"/>
  <c r="E531" i="11"/>
  <c r="H825" i="11"/>
  <c r="C331" i="11"/>
  <c r="L371" i="11"/>
  <c r="G1124" i="11"/>
  <c r="D531" i="11"/>
  <c r="D371" i="11"/>
  <c r="H1186" i="11"/>
  <c r="G740" i="11"/>
  <c r="G1209" i="11"/>
  <c r="G760" i="11"/>
  <c r="J328" i="11"/>
  <c r="H951" i="11"/>
  <c r="D1188" i="11"/>
  <c r="K899" i="11"/>
  <c r="G727" i="11"/>
  <c r="F1200" i="11"/>
  <c r="D322" i="11"/>
  <c r="E95" i="11"/>
  <c r="B557" i="11"/>
  <c r="J22" i="11"/>
  <c r="I96" i="11"/>
  <c r="D296" i="11"/>
  <c r="D473" i="11"/>
  <c r="H1194" i="11"/>
  <c r="G1224" i="11"/>
  <c r="I77" i="11"/>
  <c r="J487" i="11"/>
  <c r="K941" i="11"/>
  <c r="H485" i="11"/>
  <c r="F639" i="11"/>
  <c r="E485" i="11"/>
  <c r="H484" i="11"/>
  <c r="G398" i="11"/>
  <c r="B290" i="11"/>
  <c r="K1190" i="11"/>
  <c r="K1195" i="11"/>
  <c r="B786" i="11"/>
  <c r="H1192" i="11"/>
  <c r="D890" i="11"/>
  <c r="H759" i="11"/>
  <c r="B1185" i="11"/>
  <c r="H874" i="11"/>
  <c r="B1059" i="11"/>
  <c r="H927" i="11"/>
  <c r="L976" i="11"/>
  <c r="H936" i="11"/>
  <c r="H1159" i="11"/>
  <c r="D192" i="11"/>
  <c r="G431" i="11"/>
  <c r="H957" i="11"/>
  <c r="C272" i="11"/>
  <c r="D764" i="11"/>
  <c r="G1133" i="11"/>
  <c r="D382" i="11"/>
  <c r="I491" i="11"/>
  <c r="J83" i="11"/>
  <c r="D904" i="11"/>
  <c r="G435" i="11"/>
  <c r="L490" i="11"/>
  <c r="D1126" i="11"/>
  <c r="C1206" i="11"/>
  <c r="I376" i="11"/>
  <c r="K325" i="11"/>
  <c r="D257" i="11"/>
  <c r="F388" i="11"/>
  <c r="G992" i="11"/>
  <c r="D909" i="11"/>
  <c r="C225" i="11"/>
  <c r="B555" i="11"/>
  <c r="J210" i="11"/>
  <c r="D1272" i="11"/>
  <c r="J557" i="11"/>
  <c r="J110" i="11"/>
  <c r="J264" i="11"/>
  <c r="H1089" i="11"/>
  <c r="E602" i="11"/>
  <c r="K1012" i="11"/>
  <c r="D899" i="11"/>
  <c r="I423" i="11"/>
  <c r="E824" i="11"/>
  <c r="G815" i="11"/>
  <c r="D1209" i="11"/>
  <c r="J13" i="11"/>
  <c r="E212" i="11"/>
  <c r="D275" i="11"/>
  <c r="D140" i="11"/>
  <c r="H929" i="11"/>
  <c r="D921" i="11"/>
  <c r="D186" i="11"/>
  <c r="L431" i="11"/>
  <c r="K366" i="11"/>
  <c r="G790" i="11"/>
  <c r="H1047" i="11"/>
  <c r="E68" i="11"/>
  <c r="D908" i="11"/>
  <c r="D212" i="11"/>
  <c r="H977" i="11"/>
  <c r="D784" i="11"/>
  <c r="D777" i="11"/>
  <c r="E247" i="11"/>
  <c r="G523" i="11"/>
  <c r="L1278" i="11"/>
  <c r="L1109" i="11"/>
  <c r="D433" i="11"/>
  <c r="L387" i="11"/>
  <c r="J272" i="11"/>
  <c r="C250" i="11"/>
  <c r="C425" i="11"/>
  <c r="L580" i="11"/>
  <c r="K426" i="11"/>
  <c r="C424" i="11"/>
  <c r="J509" i="11"/>
  <c r="D791" i="11"/>
  <c r="C1207" i="11"/>
  <c r="G916" i="11"/>
  <c r="G286" i="11"/>
  <c r="G732" i="11"/>
  <c r="G232" i="11"/>
  <c r="G905" i="11"/>
  <c r="F476" i="11"/>
  <c r="I104" i="11"/>
  <c r="L487" i="11"/>
  <c r="C758" i="11"/>
  <c r="D1084" i="11"/>
  <c r="L982" i="11"/>
  <c r="K758" i="11"/>
  <c r="C1215" i="11"/>
  <c r="G251" i="11"/>
  <c r="H1018" i="11"/>
  <c r="G1181" i="11"/>
  <c r="G765" i="11"/>
  <c r="C944" i="11"/>
  <c r="B1246" i="11"/>
  <c r="B495" i="11"/>
  <c r="G346" i="11"/>
  <c r="J1237" i="11"/>
  <c r="D684" i="11"/>
  <c r="L310" i="11"/>
  <c r="K236" i="11"/>
  <c r="H456" i="11"/>
  <c r="C236" i="11"/>
  <c r="G919" i="11"/>
  <c r="I128" i="11"/>
  <c r="K418" i="11"/>
  <c r="F391" i="11"/>
  <c r="G1135" i="11"/>
  <c r="J1049" i="11"/>
  <c r="L890" i="11"/>
  <c r="G301" i="11"/>
  <c r="D320" i="11"/>
  <c r="H1092" i="11"/>
  <c r="D927" i="11"/>
  <c r="D1215" i="11"/>
  <c r="H320" i="11"/>
  <c r="G284" i="11"/>
  <c r="G963" i="11"/>
  <c r="C888" i="11"/>
  <c r="B636" i="11"/>
  <c r="D481" i="11"/>
  <c r="D901" i="11"/>
  <c r="H1156" i="11"/>
  <c r="D997" i="11"/>
  <c r="G310" i="11"/>
  <c r="H990" i="11"/>
  <c r="G954" i="11"/>
  <c r="G1027" i="11"/>
  <c r="D298" i="11"/>
  <c r="G872" i="11"/>
  <c r="B1207" i="11"/>
  <c r="F561" i="11"/>
  <c r="F399" i="11"/>
  <c r="B323" i="11"/>
  <c r="C934" i="11"/>
  <c r="C1219" i="11"/>
  <c r="D1133" i="11"/>
  <c r="D194" i="11"/>
  <c r="L795" i="11"/>
  <c r="L1147" i="11"/>
  <c r="G928" i="11"/>
  <c r="F350" i="11"/>
  <c r="C804" i="11"/>
  <c r="G813" i="11"/>
  <c r="F302" i="11"/>
  <c r="J179" i="11"/>
  <c r="G328" i="11"/>
  <c r="E231" i="11"/>
  <c r="D460" i="11"/>
  <c r="C440" i="11"/>
  <c r="D56" i="11"/>
  <c r="B325" i="11"/>
  <c r="K790" i="11"/>
  <c r="D321" i="11"/>
  <c r="I990" i="11"/>
  <c r="G1148" i="11"/>
  <c r="G252" i="11"/>
  <c r="C816" i="11"/>
  <c r="B1226" i="11"/>
  <c r="L670" i="11"/>
  <c r="G282" i="11"/>
  <c r="J1244" i="11"/>
  <c r="J1207" i="11"/>
  <c r="I80" i="11"/>
  <c r="H1253" i="11"/>
  <c r="G479" i="11"/>
  <c r="K1204" i="11"/>
  <c r="G774" i="11"/>
  <c r="I257" i="11"/>
  <c r="D453" i="11"/>
  <c r="G1128" i="11"/>
  <c r="G918" i="11"/>
  <c r="J185" i="11"/>
  <c r="L301" i="11"/>
  <c r="D1205" i="11"/>
  <c r="D256" i="11"/>
  <c r="H1033" i="11"/>
  <c r="D840" i="11"/>
  <c r="D1022" i="11"/>
  <c r="L835" i="11"/>
  <c r="D725" i="11"/>
  <c r="G903" i="11"/>
  <c r="K961" i="11"/>
  <c r="L933" i="11"/>
  <c r="G333" i="11"/>
  <c r="D328" i="11"/>
  <c r="H1059" i="11"/>
  <c r="D874" i="11"/>
  <c r="D1259" i="11"/>
  <c r="H363" i="11"/>
  <c r="D706" i="11"/>
  <c r="D467" i="11"/>
  <c r="H350" i="11"/>
  <c r="F278" i="11"/>
  <c r="E337" i="11"/>
  <c r="E220" i="11"/>
  <c r="C841" i="11"/>
  <c r="F261" i="11"/>
  <c r="D500" i="11"/>
  <c r="J263" i="11"/>
  <c r="J259" i="11"/>
  <c r="B410" i="11"/>
  <c r="D1116" i="11"/>
  <c r="D53" i="11"/>
  <c r="G1013" i="11"/>
  <c r="G766" i="11"/>
  <c r="G1037" i="11"/>
  <c r="G752" i="11"/>
  <c r="F551" i="11"/>
  <c r="B437" i="11"/>
  <c r="L899" i="11"/>
  <c r="B345" i="11"/>
  <c r="C842" i="11"/>
  <c r="D1185" i="11"/>
  <c r="L1120" i="11"/>
  <c r="K822" i="11"/>
  <c r="D45" i="11"/>
  <c r="G315" i="11"/>
  <c r="H1238" i="11"/>
  <c r="F557" i="11"/>
  <c r="G1007" i="11"/>
  <c r="D30" i="11"/>
  <c r="J16" i="11"/>
  <c r="C400" i="11"/>
  <c r="G785" i="11"/>
  <c r="K607" i="11"/>
  <c r="L660" i="11"/>
  <c r="L1148" i="11"/>
  <c r="K741" i="11"/>
  <c r="J409" i="11"/>
  <c r="C364" i="11"/>
  <c r="F1039" i="11"/>
  <c r="B19" i="11"/>
  <c r="N11" i="10"/>
  <c r="K1282" i="11"/>
  <c r="J977" i="11"/>
  <c r="E858" i="11"/>
  <c r="L682" i="11"/>
  <c r="I817" i="11"/>
  <c r="I802" i="11"/>
  <c r="I1185" i="11"/>
  <c r="J994" i="11"/>
  <c r="E681" i="11"/>
  <c r="K630" i="11"/>
  <c r="I888" i="11"/>
  <c r="B853" i="11"/>
  <c r="I652" i="11"/>
  <c r="F598" i="11"/>
  <c r="J645" i="11"/>
  <c r="L1019" i="11"/>
  <c r="I1181" i="11"/>
  <c r="L987" i="11"/>
  <c r="E611" i="11"/>
  <c r="K408" i="11"/>
  <c r="H657" i="11"/>
  <c r="E740" i="11"/>
  <c r="E1213" i="11"/>
  <c r="E679" i="11"/>
  <c r="F791" i="11"/>
  <c r="G436" i="11"/>
  <c r="J517" i="11"/>
  <c r="F860" i="11"/>
  <c r="K536" i="11"/>
  <c r="B352" i="11"/>
  <c r="E1009" i="11"/>
  <c r="H543" i="11"/>
  <c r="L428" i="11"/>
  <c r="F541" i="11"/>
  <c r="I835" i="11"/>
  <c r="I743" i="11"/>
  <c r="D595" i="11"/>
  <c r="E915" i="11"/>
  <c r="J740" i="11"/>
  <c r="E556" i="11"/>
  <c r="E430" i="11"/>
  <c r="E554" i="11"/>
  <c r="J430" i="11"/>
  <c r="J722" i="11"/>
  <c r="B763" i="11"/>
  <c r="L432" i="11"/>
  <c r="I1279" i="11"/>
  <c r="I335" i="11"/>
  <c r="B492" i="11"/>
  <c r="L980" i="11"/>
  <c r="J809" i="11"/>
  <c r="L590" i="11"/>
  <c r="L657" i="11"/>
  <c r="I609" i="11"/>
  <c r="L513" i="11"/>
  <c r="G393" i="11"/>
  <c r="C548" i="11"/>
  <c r="B607" i="11"/>
  <c r="F333" i="11"/>
  <c r="B635" i="11"/>
  <c r="I722" i="11"/>
  <c r="J864" i="11"/>
  <c r="K574" i="11"/>
  <c r="L360" i="11"/>
  <c r="E573" i="11"/>
  <c r="K1109" i="11"/>
  <c r="C1072" i="11"/>
  <c r="I553" i="11"/>
  <c r="I883" i="11"/>
  <c r="F894" i="11"/>
  <c r="D577" i="11"/>
  <c r="L328" i="11"/>
  <c r="I576" i="11"/>
  <c r="L332" i="11"/>
  <c r="E1066" i="11"/>
  <c r="K1265" i="11"/>
  <c r="L1245" i="11"/>
  <c r="D506" i="11"/>
  <c r="E856" i="11"/>
  <c r="G437" i="11"/>
  <c r="E909" i="11"/>
  <c r="B814" i="11"/>
  <c r="I421" i="11"/>
  <c r="B905" i="11"/>
  <c r="I319" i="11"/>
  <c r="G608" i="11"/>
  <c r="B802" i="11"/>
  <c r="J745" i="11"/>
  <c r="I1066" i="11"/>
  <c r="J734" i="11"/>
  <c r="B580" i="11"/>
  <c r="K501" i="11"/>
  <c r="I115" i="11"/>
  <c r="L417" i="11"/>
  <c r="B330" i="11"/>
  <c r="K925" i="11"/>
  <c r="F1032" i="11"/>
  <c r="K396" i="11"/>
  <c r="D35" i="11"/>
  <c r="L1146" i="11"/>
  <c r="D468" i="11"/>
  <c r="L1045" i="11"/>
  <c r="L1055" i="11"/>
  <c r="F260" i="11"/>
  <c r="I34" i="11"/>
  <c r="D59" i="11"/>
  <c r="D64" i="11"/>
  <c r="H1213" i="11"/>
  <c r="K1185" i="11"/>
  <c r="H525" i="11"/>
  <c r="B298" i="11"/>
  <c r="D738" i="11"/>
  <c r="F505" i="11"/>
  <c r="I431" i="11"/>
  <c r="H904" i="11"/>
  <c r="E558" i="11"/>
  <c r="E126" i="11"/>
  <c r="L862" i="11"/>
  <c r="D762" i="11"/>
  <c r="F373" i="11"/>
  <c r="K1040" i="11"/>
  <c r="E866" i="11"/>
  <c r="D414" i="11"/>
  <c r="I102" i="11"/>
  <c r="L748" i="11"/>
  <c r="K383" i="11"/>
  <c r="B266" i="11"/>
  <c r="C278" i="11"/>
  <c r="H556" i="11"/>
  <c r="E320" i="11"/>
  <c r="D343" i="11"/>
  <c r="I534" i="11"/>
  <c r="H439" i="11"/>
  <c r="H817" i="11"/>
  <c r="J776" i="11"/>
  <c r="E166" i="11"/>
  <c r="L782" i="11"/>
  <c r="D367" i="11"/>
  <c r="I503" i="11"/>
  <c r="K930" i="11"/>
  <c r="F210" i="11"/>
  <c r="G472" i="11"/>
  <c r="I206" i="11"/>
  <c r="D1047" i="11"/>
  <c r="H462" i="11"/>
  <c r="B402" i="11"/>
  <c r="H1208" i="11"/>
  <c r="D633" i="11"/>
  <c r="L281" i="11"/>
  <c r="L1194" i="11"/>
  <c r="D1111" i="11"/>
  <c r="G449" i="11"/>
  <c r="C830" i="11"/>
  <c r="J781" i="11"/>
  <c r="I139" i="11"/>
  <c r="L509" i="11"/>
  <c r="J217" i="11"/>
  <c r="L362" i="11"/>
  <c r="D525" i="11"/>
  <c r="I223" i="11"/>
  <c r="L378" i="11"/>
  <c r="C653" i="11"/>
  <c r="F416" i="11"/>
  <c r="I329" i="11"/>
  <c r="K929" i="11"/>
  <c r="L620" i="11"/>
  <c r="J828" i="11"/>
  <c r="K623" i="11"/>
  <c r="L616" i="11"/>
  <c r="E92" i="11"/>
  <c r="D200" i="11"/>
  <c r="C1081" i="11"/>
  <c r="C577" i="11"/>
  <c r="L1213" i="11"/>
  <c r="I389" i="11"/>
  <c r="I366" i="11"/>
  <c r="I249" i="11"/>
  <c r="C362" i="11"/>
  <c r="B376" i="11"/>
  <c r="L533" i="11"/>
  <c r="F378" i="11"/>
  <c r="F374" i="11"/>
  <c r="H463" i="11"/>
  <c r="D923" i="11"/>
  <c r="I814" i="11"/>
  <c r="J498" i="11"/>
  <c r="I440" i="11"/>
  <c r="I462" i="11"/>
  <c r="E58" i="11"/>
  <c r="L1021" i="11"/>
  <c r="E1106" i="11"/>
  <c r="J965" i="11"/>
  <c r="L1201" i="11"/>
  <c r="J421" i="11"/>
  <c r="I382" i="11"/>
  <c r="I265" i="11"/>
  <c r="C282" i="11"/>
  <c r="I413" i="11"/>
  <c r="L567" i="11"/>
  <c r="F414" i="11"/>
  <c r="I412" i="11"/>
  <c r="E493" i="11"/>
  <c r="D823" i="11"/>
  <c r="J600" i="11"/>
  <c r="K521" i="11"/>
  <c r="G562" i="11"/>
  <c r="E19" i="11"/>
  <c r="I302" i="11"/>
  <c r="I140" i="11"/>
  <c r="C1018" i="11"/>
  <c r="L260" i="11"/>
  <c r="E480" i="11"/>
  <c r="L251" i="11"/>
  <c r="L271" i="11"/>
  <c r="E292" i="11"/>
  <c r="K661" i="11"/>
  <c r="K403" i="11"/>
  <c r="L529" i="11"/>
  <c r="E61" i="11"/>
  <c r="F694" i="11"/>
  <c r="I221" i="11"/>
  <c r="G580" i="11"/>
  <c r="F405" i="11"/>
  <c r="J279" i="11"/>
  <c r="C857" i="11"/>
  <c r="J275" i="11"/>
  <c r="B248" i="11"/>
  <c r="B327" i="11"/>
  <c r="K498" i="11"/>
  <c r="I202" i="11"/>
  <c r="F250" i="11"/>
  <c r="C893" i="11"/>
  <c r="F246" i="11"/>
  <c r="C898" i="11"/>
  <c r="E404" i="11"/>
  <c r="H761" i="11"/>
  <c r="D1052" i="11"/>
  <c r="K782" i="11"/>
  <c r="G275" i="11"/>
  <c r="G1215" i="11"/>
  <c r="C1041" i="11"/>
  <c r="F458" i="11"/>
  <c r="L402" i="11"/>
  <c r="H777" i="11"/>
  <c r="J466" i="11"/>
  <c r="D1079" i="11"/>
  <c r="K401" i="11"/>
  <c r="J625" i="11"/>
  <c r="L1236" i="11"/>
  <c r="B441" i="11"/>
  <c r="C903" i="11"/>
  <c r="D222" i="11"/>
  <c r="D190" i="11"/>
  <c r="B296" i="11"/>
  <c r="D355" i="11"/>
  <c r="D863" i="11"/>
  <c r="K245" i="11"/>
  <c r="D1140" i="11"/>
  <c r="G885" i="11"/>
  <c r="K872" i="11"/>
  <c r="B1262" i="11"/>
  <c r="J161" i="11"/>
  <c r="E388" i="11"/>
  <c r="D1118" i="11"/>
  <c r="C325" i="11"/>
  <c r="D851" i="11"/>
  <c r="C832" i="11"/>
  <c r="I342" i="11"/>
  <c r="C1165" i="11"/>
  <c r="D237" i="11"/>
  <c r="J154" i="11"/>
  <c r="G266" i="11"/>
  <c r="E132" i="11"/>
  <c r="C851" i="11"/>
  <c r="H816" i="11"/>
  <c r="E547" i="11"/>
  <c r="I380" i="11"/>
  <c r="B246" i="11"/>
  <c r="I363" i="11"/>
  <c r="B365" i="11"/>
  <c r="K457" i="11"/>
  <c r="D16" i="11"/>
  <c r="D897" i="11"/>
  <c r="L532" i="11"/>
  <c r="I334" i="11"/>
  <c r="L277" i="11"/>
  <c r="I494" i="11"/>
  <c r="I399" i="11"/>
  <c r="I188" i="11"/>
  <c r="L1186" i="11"/>
  <c r="E227" i="11"/>
  <c r="H1232" i="11"/>
  <c r="C921" i="11"/>
  <c r="D1095" i="11"/>
  <c r="E223" i="11"/>
  <c r="K618" i="11"/>
  <c r="I169" i="11"/>
  <c r="B453" i="11"/>
  <c r="I314" i="11"/>
  <c r="L313" i="11"/>
  <c r="C490" i="11"/>
  <c r="K395" i="11"/>
  <c r="I170" i="11"/>
  <c r="L1286" i="11"/>
  <c r="E173" i="11"/>
  <c r="K227" i="11"/>
  <c r="C958" i="11"/>
  <c r="D1122" i="11"/>
  <c r="E163" i="11"/>
  <c r="K232" i="11"/>
  <c r="C963" i="11"/>
  <c r="I434" i="11"/>
  <c r="I369" i="11"/>
  <c r="K728" i="11"/>
  <c r="H862" i="11"/>
  <c r="C874" i="11"/>
  <c r="D1135" i="11"/>
  <c r="L1155" i="11"/>
  <c r="K846" i="11"/>
  <c r="D69" i="11"/>
  <c r="G339" i="11"/>
  <c r="K290" i="11"/>
  <c r="F1047" i="11"/>
  <c r="G1122" i="11"/>
  <c r="D126" i="11"/>
  <c r="J40" i="11"/>
  <c r="F334" i="11"/>
  <c r="E431" i="11"/>
  <c r="F363" i="11"/>
  <c r="K760" i="11"/>
  <c r="H877" i="11"/>
  <c r="E8" i="3"/>
  <c r="I351" i="11"/>
  <c r="I30" i="11"/>
  <c r="G273" i="11"/>
  <c r="D431" i="11"/>
  <c r="I361" i="11"/>
  <c r="K768" i="11"/>
  <c r="B524" i="11"/>
  <c r="L874" i="11"/>
  <c r="H898" i="11"/>
  <c r="G297" i="11"/>
  <c r="I294" i="11"/>
  <c r="D23" i="11"/>
  <c r="C1000" i="11"/>
  <c r="G771" i="11"/>
  <c r="D857" i="11"/>
  <c r="C904" i="11"/>
  <c r="D813" i="11"/>
  <c r="C1224" i="11"/>
  <c r="L1223" i="11"/>
  <c r="B286" i="11"/>
  <c r="D1011" i="11"/>
  <c r="C231" i="11"/>
  <c r="D934" i="11"/>
  <c r="E9" i="11"/>
  <c r="K309" i="11"/>
  <c r="C1036" i="11"/>
  <c r="D1230" i="11"/>
  <c r="L1165" i="11"/>
  <c r="G971" i="11"/>
  <c r="D198" i="11"/>
  <c r="K1193" i="11"/>
  <c r="B392" i="11"/>
  <c r="J162" i="11"/>
  <c r="D1177" i="11"/>
  <c r="J385" i="11"/>
  <c r="J62" i="11"/>
  <c r="I289" i="11"/>
  <c r="H1016" i="11"/>
  <c r="J651" i="11"/>
  <c r="K980" i="11"/>
  <c r="D737" i="11"/>
  <c r="H447" i="11"/>
  <c r="D1281" i="11"/>
  <c r="G751" i="11"/>
  <c r="D1010" i="11"/>
  <c r="B1268" i="11"/>
  <c r="F240" i="11"/>
  <c r="D159" i="11"/>
  <c r="D108" i="11"/>
  <c r="H851" i="11"/>
  <c r="D365" i="11"/>
  <c r="D58" i="11"/>
  <c r="J477" i="11"/>
  <c r="J1275" i="11"/>
  <c r="G758" i="11"/>
  <c r="H998" i="11"/>
  <c r="L777" i="11"/>
  <c r="F434" i="11"/>
  <c r="C1137" i="11"/>
  <c r="G256" i="11"/>
  <c r="D872" i="11"/>
  <c r="F711" i="11"/>
  <c r="B779" i="11"/>
  <c r="H667" i="11"/>
  <c r="E115" i="11"/>
  <c r="F312" i="11"/>
  <c r="I164" i="11"/>
  <c r="C970" i="11"/>
  <c r="I73" i="11"/>
  <c r="K485" i="11"/>
  <c r="E77" i="11"/>
  <c r="E67" i="11"/>
  <c r="F331" i="11"/>
  <c r="D1183" i="11"/>
  <c r="D101" i="11"/>
  <c r="J295" i="11"/>
  <c r="D1082" i="11"/>
  <c r="I1246" i="11"/>
  <c r="B432" i="11"/>
  <c r="H458" i="11"/>
  <c r="E257" i="11"/>
  <c r="L884" i="11"/>
  <c r="I463" i="11"/>
  <c r="I345" i="11"/>
  <c r="I28" i="11"/>
  <c r="H750" i="11"/>
  <c r="L1159" i="11"/>
  <c r="K848" i="11"/>
  <c r="D71" i="11"/>
  <c r="G341" i="11"/>
  <c r="E1168" i="11"/>
  <c r="F495" i="11"/>
  <c r="B662" i="11"/>
  <c r="F420" i="11"/>
  <c r="I250" i="11"/>
  <c r="L972" i="11"/>
  <c r="J460" i="11"/>
  <c r="B338" i="11"/>
  <c r="I10" i="11"/>
  <c r="H786" i="11"/>
  <c r="L1212" i="11"/>
  <c r="K885" i="11"/>
  <c r="D107" i="11"/>
  <c r="G377" i="11"/>
  <c r="L1222" i="11"/>
  <c r="K890" i="11"/>
  <c r="I823" i="11"/>
  <c r="I230" i="11"/>
  <c r="L294" i="11"/>
  <c r="D207" i="11"/>
  <c r="K228" i="11"/>
  <c r="D120" i="11"/>
  <c r="J457" i="11"/>
  <c r="H863" i="11"/>
  <c r="K1233" i="11"/>
  <c r="D377" i="11"/>
  <c r="G997" i="11"/>
  <c r="D106" i="11"/>
  <c r="J35" i="11"/>
  <c r="H460" i="11"/>
  <c r="G728" i="11"/>
  <c r="H1230" i="11"/>
  <c r="C1111" i="11"/>
  <c r="F224" i="11"/>
  <c r="L326" i="11"/>
  <c r="D227" i="11"/>
  <c r="K240" i="11"/>
  <c r="I577" i="11"/>
  <c r="L1198" i="11"/>
  <c r="E243" i="11"/>
  <c r="E1013" i="11"/>
  <c r="I222" i="11"/>
  <c r="L334" i="11"/>
  <c r="D235" i="11"/>
  <c r="G569" i="11"/>
  <c r="J444" i="11"/>
  <c r="H739" i="11"/>
  <c r="H745" i="11"/>
  <c r="H250" i="11"/>
  <c r="D391" i="11"/>
  <c r="D233" i="11"/>
  <c r="F553" i="11"/>
  <c r="G1024" i="11"/>
  <c r="J142" i="11"/>
  <c r="G1010" i="11"/>
  <c r="J1058" i="11"/>
  <c r="B339" i="11"/>
  <c r="H726" i="11"/>
  <c r="H291" i="11"/>
  <c r="C1035" i="11"/>
  <c r="G620" i="11"/>
  <c r="H297" i="11"/>
  <c r="K968" i="11"/>
  <c r="D189" i="11"/>
  <c r="G795" i="11"/>
  <c r="K1147" i="11"/>
  <c r="B385" i="11"/>
  <c r="B1286" i="11"/>
  <c r="D947" i="11"/>
  <c r="J160" i="11"/>
  <c r="L1246" i="11"/>
  <c r="G979" i="11"/>
  <c r="I228" i="11"/>
  <c r="I65" i="11"/>
  <c r="E69" i="11"/>
  <c r="K1191" i="11"/>
  <c r="E177" i="11"/>
  <c r="D73" i="11"/>
  <c r="J201" i="11"/>
  <c r="K1226" i="11"/>
  <c r="H811" i="11"/>
  <c r="D925" i="11"/>
  <c r="K993" i="11"/>
  <c r="C217" i="11"/>
  <c r="K409" i="11"/>
  <c r="H740" i="11"/>
  <c r="D1040" i="11"/>
  <c r="K770" i="11"/>
  <c r="G263" i="11"/>
  <c r="G1199" i="11"/>
  <c r="C993" i="11"/>
  <c r="H476" i="11"/>
  <c r="F1244" i="11"/>
  <c r="F1198" i="11"/>
  <c r="B270" i="11"/>
  <c r="C1038" i="11"/>
  <c r="G1053" i="11"/>
  <c r="J1263" i="11"/>
  <c r="G775" i="11"/>
  <c r="D410" i="11"/>
  <c r="D648" i="11"/>
  <c r="K251" i="11"/>
  <c r="J514" i="11"/>
  <c r="L901" i="11"/>
  <c r="H734" i="11"/>
  <c r="G325" i="11"/>
  <c r="H422" i="11"/>
  <c r="I341" i="11"/>
  <c r="K869" i="11"/>
  <c r="K874" i="11"/>
  <c r="D143" i="11"/>
  <c r="H847" i="11"/>
  <c r="D836" i="11"/>
  <c r="K1198" i="11"/>
  <c r="H581" i="11"/>
  <c r="H681" i="11"/>
  <c r="L244" i="11"/>
  <c r="K412" i="11"/>
  <c r="E160" i="11"/>
  <c r="J610" i="11"/>
  <c r="B434" i="11"/>
  <c r="I281" i="11"/>
  <c r="L794" i="11"/>
  <c r="I456" i="11"/>
  <c r="H865" i="11"/>
  <c r="K1235" i="11"/>
  <c r="D379" i="11"/>
  <c r="L455" i="11"/>
  <c r="L609" i="11"/>
  <c r="E442" i="11"/>
  <c r="F504" i="11"/>
  <c r="G388" i="11"/>
  <c r="E142" i="11"/>
  <c r="C597" i="11"/>
  <c r="C431" i="11"/>
  <c r="B274" i="11"/>
  <c r="L830" i="11"/>
  <c r="B443" i="11"/>
  <c r="H920" i="11"/>
  <c r="C238" i="11"/>
  <c r="D730" i="11"/>
  <c r="E441" i="11"/>
  <c r="H940" i="11"/>
  <c r="C243" i="11"/>
  <c r="I429" i="11"/>
  <c r="G584" i="11"/>
  <c r="F430" i="11"/>
  <c r="I428" i="11"/>
  <c r="K995" i="11"/>
  <c r="D743" i="11"/>
  <c r="I280" i="11"/>
  <c r="H1195" i="11"/>
  <c r="C855" i="11"/>
  <c r="D1033" i="11"/>
  <c r="G467" i="11"/>
  <c r="G382" i="11"/>
  <c r="J1274" i="11"/>
  <c r="H1270" i="11"/>
  <c r="G1222" i="11"/>
  <c r="G1167" i="11"/>
  <c r="D418" i="11"/>
  <c r="B572" i="11"/>
  <c r="L419" i="11"/>
  <c r="D417" i="11"/>
  <c r="K1007" i="11"/>
  <c r="D718" i="11"/>
  <c r="D464" i="11"/>
  <c r="C230" i="11"/>
  <c r="K415" i="11"/>
  <c r="L569" i="11"/>
  <c r="H416" i="11"/>
  <c r="K414" i="11"/>
  <c r="J369" i="11"/>
  <c r="J252" i="11"/>
  <c r="C350" i="11"/>
  <c r="C355" i="11"/>
  <c r="L287" i="11"/>
  <c r="K237" i="11"/>
  <c r="D1001" i="11"/>
  <c r="H1114" i="11"/>
  <c r="B1255" i="11"/>
  <c r="H1006" i="11"/>
  <c r="B1243" i="11"/>
  <c r="H1189" i="11"/>
  <c r="K619" i="11"/>
  <c r="H1170" i="11"/>
  <c r="H1225" i="11"/>
  <c r="D228" i="11"/>
  <c r="E413" i="11"/>
  <c r="H1005" i="11"/>
  <c r="C320" i="11"/>
  <c r="D812" i="11"/>
  <c r="G1178" i="11"/>
  <c r="D952" i="11"/>
  <c r="J155" i="11"/>
  <c r="E71" i="11"/>
  <c r="G891" i="11"/>
  <c r="D86" i="11"/>
  <c r="K1197" i="11"/>
  <c r="B396" i="11"/>
  <c r="C808" i="11"/>
  <c r="E180" i="11"/>
  <c r="D339" i="11"/>
  <c r="D156" i="11"/>
  <c r="H912" i="11"/>
  <c r="F1272" i="11"/>
  <c r="J556" i="11"/>
  <c r="K372" i="11"/>
  <c r="C803" i="11"/>
  <c r="J1257" i="11"/>
  <c r="C852" i="11"/>
  <c r="H673" i="11"/>
  <c r="D686" i="11"/>
  <c r="K894" i="11"/>
  <c r="B341" i="11"/>
  <c r="C779" i="11"/>
  <c r="F1050" i="11"/>
  <c r="J1213" i="11"/>
  <c r="G1054" i="11"/>
  <c r="C277" i="11"/>
  <c r="J213" i="11"/>
  <c r="L784" i="11"/>
  <c r="L775" i="11"/>
  <c r="L783" i="11"/>
  <c r="B388" i="11"/>
  <c r="G941" i="11"/>
  <c r="G1030" i="11"/>
  <c r="H572" i="11"/>
  <c r="F327" i="11"/>
  <c r="D311" i="11"/>
  <c r="G551" i="11"/>
  <c r="L442" i="11"/>
  <c r="H776" i="11"/>
  <c r="J665" i="11"/>
  <c r="E182" i="11"/>
  <c r="L750" i="11"/>
  <c r="D335" i="11"/>
  <c r="I821" i="11"/>
  <c r="K886" i="11"/>
  <c r="C759" i="11"/>
  <c r="D1237" i="11"/>
  <c r="C828" i="11"/>
  <c r="J1039" i="11"/>
  <c r="C720" i="11"/>
  <c r="J564" i="11"/>
  <c r="D494" i="11"/>
  <c r="H431" i="11"/>
  <c r="C962" i="11"/>
  <c r="K878" i="11"/>
  <c r="D751" i="11"/>
  <c r="F274" i="11"/>
  <c r="H1185" i="11"/>
  <c r="C863" i="11"/>
  <c r="D1077" i="11"/>
  <c r="B455" i="11"/>
  <c r="G734" i="11"/>
  <c r="K755" i="11"/>
  <c r="C1155" i="11"/>
  <c r="G1201" i="11"/>
  <c r="D603" i="11"/>
  <c r="I273" i="11"/>
  <c r="H804" i="11"/>
  <c r="D308" i="11"/>
  <c r="L259" i="11"/>
  <c r="K1045" i="11"/>
  <c r="D879" i="11"/>
  <c r="H219" i="11"/>
  <c r="F1248" i="11"/>
  <c r="B6" i="11"/>
  <c r="D941" i="11"/>
  <c r="J112" i="11"/>
  <c r="L343" i="11"/>
  <c r="G914" i="11"/>
  <c r="F382" i="11"/>
  <c r="L424" i="11"/>
  <c r="I424" i="11"/>
  <c r="K999" i="11"/>
  <c r="B277" i="11"/>
  <c r="C956" i="11"/>
  <c r="J29" i="11"/>
  <c r="H1007" i="11"/>
  <c r="H233" i="11"/>
  <c r="C349" i="11"/>
  <c r="J212" i="11"/>
  <c r="H966" i="11"/>
  <c r="D444" i="11"/>
  <c r="H253" i="11"/>
  <c r="D976" i="11"/>
  <c r="K337" i="11"/>
  <c r="D1216" i="11"/>
  <c r="G1008" i="11"/>
  <c r="C273" i="11"/>
  <c r="J561" i="11"/>
  <c r="F1055" i="11"/>
  <c r="G1161" i="11"/>
  <c r="L418" i="11"/>
  <c r="H381" i="11"/>
  <c r="D1105" i="11"/>
  <c r="K746" i="11"/>
  <c r="G239" i="11"/>
  <c r="G1126" i="11"/>
  <c r="C896" i="11"/>
  <c r="L934" i="11"/>
  <c r="I454" i="11"/>
  <c r="L1004" i="11"/>
  <c r="J591" i="11"/>
  <c r="E136" i="11"/>
  <c r="L842" i="11"/>
  <c r="D742" i="11"/>
  <c r="E496" i="11"/>
  <c r="H427" i="11"/>
  <c r="H971" i="11"/>
  <c r="H976" i="11"/>
  <c r="E323" i="11"/>
  <c r="F242" i="11"/>
  <c r="D297" i="11"/>
  <c r="F649" i="11"/>
  <c r="G1150" i="11"/>
  <c r="J1214" i="11"/>
  <c r="G1155" i="11"/>
  <c r="B513" i="11"/>
  <c r="F288" i="11"/>
  <c r="G489" i="11"/>
  <c r="H950" i="11"/>
  <c r="C1162" i="11"/>
  <c r="K544" i="11"/>
  <c r="H361" i="11"/>
  <c r="K1016" i="11"/>
  <c r="D225" i="11"/>
  <c r="G843" i="11"/>
  <c r="C333" i="11"/>
  <c r="B1046" i="11"/>
  <c r="J118" i="11"/>
  <c r="D1197" i="11"/>
  <c r="J208" i="11"/>
  <c r="H748" i="11"/>
  <c r="G1145" i="11"/>
  <c r="L803" i="11"/>
  <c r="K599" i="11"/>
  <c r="H343" i="11"/>
  <c r="C287" i="11"/>
  <c r="L243" i="11"/>
  <c r="D349" i="11"/>
  <c r="J1262" i="11"/>
  <c r="D127" i="11"/>
  <c r="H1077" i="11"/>
  <c r="G278" i="11"/>
  <c r="G889" i="11"/>
  <c r="D1221" i="11"/>
  <c r="I353" i="11"/>
  <c r="H941" i="11"/>
  <c r="D1155" i="11"/>
  <c r="K866" i="11"/>
  <c r="G359" i="11"/>
  <c r="F1191" i="11"/>
  <c r="D206" i="11"/>
  <c r="F270" i="11"/>
  <c r="B398" i="11"/>
  <c r="B1230" i="11"/>
  <c r="J296" i="11"/>
  <c r="H1004" i="11"/>
  <c r="J674" i="11"/>
  <c r="K939" i="11"/>
  <c r="G767" i="11"/>
  <c r="F1289" i="11"/>
  <c r="D797" i="11"/>
  <c r="L1002" i="11"/>
  <c r="B1122" i="11"/>
  <c r="J98" i="11"/>
  <c r="I340" i="11"/>
  <c r="K1009" i="11"/>
  <c r="D218" i="11"/>
  <c r="J552" i="11"/>
  <c r="I192" i="11"/>
  <c r="D1147" i="11"/>
  <c r="G255" i="11"/>
  <c r="C369" i="11"/>
  <c r="F1049" i="11"/>
  <c r="K991" i="11"/>
  <c r="K249" i="11"/>
  <c r="K1189" i="11"/>
  <c r="D926" i="11"/>
  <c r="G822" i="11"/>
  <c r="D41" i="11"/>
  <c r="K1145" i="11"/>
  <c r="G915" i="11"/>
  <c r="F1193" i="11"/>
  <c r="I616" i="11"/>
  <c r="I8" i="11"/>
  <c r="H887" i="11"/>
  <c r="D372" i="11"/>
  <c r="L1074" i="11"/>
  <c r="K1159" i="11"/>
  <c r="D977" i="11"/>
  <c r="H1133" i="11"/>
  <c r="B556" i="11"/>
  <c r="J26" i="11"/>
  <c r="D994" i="11"/>
  <c r="J176" i="11"/>
  <c r="H261" i="11"/>
  <c r="G1000" i="11"/>
  <c r="E119" i="11"/>
  <c r="L880" i="11"/>
  <c r="L925" i="11"/>
  <c r="K1236" i="11"/>
  <c r="E113" i="11"/>
  <c r="D169" i="11"/>
  <c r="J1045" i="11"/>
  <c r="C785" i="11"/>
  <c r="H897" i="11"/>
  <c r="D990" i="11"/>
  <c r="C1157" i="11"/>
  <c r="C1154" i="11"/>
  <c r="E396" i="11"/>
  <c r="H799" i="11"/>
  <c r="D1115" i="11"/>
  <c r="K802" i="11"/>
  <c r="G295" i="11"/>
  <c r="G1242" i="11"/>
  <c r="C1186" i="11"/>
  <c r="J429" i="11"/>
  <c r="F1285" i="11"/>
  <c r="B384" i="11"/>
  <c r="F347" i="11"/>
  <c r="H908" i="11"/>
  <c r="D1163" i="11"/>
  <c r="K875" i="11"/>
  <c r="G367" i="11"/>
  <c r="F1207" i="11"/>
  <c r="D226" i="11"/>
  <c r="B548" i="11"/>
  <c r="F316" i="11"/>
  <c r="H792" i="11"/>
  <c r="E732" i="11"/>
  <c r="E8" i="11"/>
  <c r="L1191" i="11"/>
  <c r="D1019" i="11"/>
  <c r="J463" i="11"/>
  <c r="I403" i="11"/>
  <c r="H1249" i="11"/>
  <c r="H1269" i="11"/>
  <c r="H1138" i="11"/>
  <c r="L1008" i="11"/>
  <c r="D905" i="11"/>
  <c r="I420" i="11"/>
  <c r="F555" i="11"/>
  <c r="I436" i="11"/>
  <c r="F395" i="11"/>
  <c r="I384" i="11"/>
  <c r="E204" i="11"/>
  <c r="B349" i="11"/>
  <c r="H850" i="11"/>
  <c r="C1246" i="11"/>
  <c r="G490" i="11"/>
  <c r="H763" i="11"/>
  <c r="K1157" i="11"/>
  <c r="D289" i="11"/>
  <c r="G908" i="11"/>
  <c r="C924" i="11"/>
  <c r="B1220" i="11"/>
  <c r="J1220" i="11"/>
  <c r="G7" i="11"/>
  <c r="J1052" i="11"/>
  <c r="H1082" i="11"/>
  <c r="G1191" i="11"/>
  <c r="H352" i="11"/>
  <c r="D463" i="11"/>
  <c r="H1265" i="11"/>
  <c r="C794" i="11"/>
  <c r="L1103" i="11"/>
  <c r="H721" i="11"/>
  <c r="L1043" i="11"/>
  <c r="G733" i="11"/>
  <c r="K233" i="11"/>
  <c r="G998" i="11"/>
  <c r="J387" i="11"/>
  <c r="F1252" i="11"/>
  <c r="F251" i="11"/>
  <c r="H1049" i="11"/>
  <c r="F579" i="11"/>
  <c r="K996" i="11"/>
  <c r="G823" i="11"/>
  <c r="B558" i="11"/>
  <c r="D1081" i="11"/>
  <c r="H325" i="11"/>
  <c r="B1187" i="11"/>
  <c r="J390" i="11"/>
  <c r="I160" i="11"/>
  <c r="H1163" i="11"/>
  <c r="D496" i="11"/>
  <c r="K1122" i="11"/>
  <c r="G896" i="11"/>
  <c r="B1191" i="11"/>
  <c r="D1231" i="11"/>
  <c r="H994" i="11"/>
  <c r="B1284" i="11"/>
  <c r="J1255" i="11"/>
  <c r="L1235" i="11"/>
  <c r="D1113" i="11"/>
  <c r="G1166" i="11"/>
  <c r="G658" i="11"/>
  <c r="L1110" i="11"/>
  <c r="C488" i="11"/>
  <c r="G847" i="11"/>
  <c r="D861" i="11"/>
  <c r="B1048" i="11"/>
  <c r="C363" i="11"/>
  <c r="K842" i="11"/>
  <c r="C1005" i="11"/>
  <c r="G810" i="11"/>
  <c r="G1050" i="11"/>
  <c r="G291" i="11"/>
  <c r="G830" i="11"/>
  <c r="L771" i="11"/>
  <c r="J1235" i="11"/>
  <c r="K420" i="11"/>
  <c r="L1220" i="11"/>
  <c r="K983" i="11"/>
  <c r="D1143" i="11"/>
  <c r="H881" i="11"/>
  <c r="C927" i="11"/>
  <c r="G347" i="11"/>
  <c r="D138" i="11"/>
  <c r="J171" i="11"/>
  <c r="L327" i="11"/>
  <c r="G913" i="11"/>
  <c r="D266" i="11"/>
  <c r="C229" i="11"/>
  <c r="B559" i="11"/>
  <c r="C985" i="11"/>
  <c r="E116" i="11"/>
  <c r="D782" i="11"/>
  <c r="D188" i="11"/>
  <c r="H1037" i="11"/>
  <c r="B1210" i="11"/>
  <c r="I912" i="11"/>
  <c r="K837" i="11"/>
  <c r="C867" i="11"/>
  <c r="K735" i="11"/>
  <c r="C1141" i="11"/>
  <c r="H496" i="11"/>
  <c r="D497" i="11"/>
  <c r="K934" i="11"/>
  <c r="E315" i="11"/>
  <c r="C811" i="11"/>
  <c r="B624" i="11"/>
  <c r="J1227" i="11"/>
  <c r="G1175" i="11"/>
  <c r="C373" i="11"/>
  <c r="J550" i="11"/>
  <c r="H385" i="11"/>
  <c r="D386" i="11"/>
  <c r="K1031" i="11"/>
  <c r="F258" i="11"/>
  <c r="C883" i="11"/>
  <c r="F426" i="11"/>
  <c r="J1289" i="11"/>
  <c r="F384" i="11"/>
  <c r="I611" i="11"/>
  <c r="E408" i="11"/>
  <c r="C1145" i="11"/>
  <c r="L752" i="11"/>
  <c r="E476" i="11"/>
  <c r="L743" i="11"/>
  <c r="L763" i="11"/>
  <c r="B279" i="11"/>
  <c r="I82" i="11"/>
  <c r="C1197" i="11"/>
  <c r="C1202" i="11"/>
  <c r="H1103" i="11"/>
  <c r="K1024" i="11"/>
  <c r="D1132" i="11"/>
  <c r="K948" i="11"/>
  <c r="J131" i="11"/>
  <c r="K839" i="11"/>
  <c r="J120" i="11"/>
  <c r="I516" i="11"/>
  <c r="F477" i="11"/>
  <c r="K1165" i="11"/>
  <c r="K368" i="11"/>
  <c r="D340" i="11"/>
  <c r="J351" i="11"/>
  <c r="H1107" i="11"/>
  <c r="C767" i="11"/>
  <c r="D922" i="11"/>
  <c r="F1038" i="11"/>
  <c r="D1266" i="11"/>
  <c r="J1047" i="11"/>
  <c r="H743" i="11"/>
  <c r="G1129" i="11"/>
  <c r="G738" i="11"/>
  <c r="C948" i="11"/>
  <c r="B1229" i="11"/>
  <c r="D1239" i="11"/>
  <c r="B716" i="11"/>
  <c r="G560" i="11"/>
  <c r="D368" i="11"/>
  <c r="H1132" i="11"/>
  <c r="C1017" i="11"/>
  <c r="J879" i="11"/>
  <c r="B916" i="11"/>
  <c r="I1035" i="11"/>
  <c r="E1040" i="11"/>
  <c r="B873" i="11"/>
  <c r="C103" i="11"/>
  <c r="C568" i="11"/>
  <c r="I579" i="11"/>
  <c r="D639" i="11"/>
  <c r="E903" i="11"/>
  <c r="D551" i="11"/>
  <c r="B828" i="11"/>
  <c r="H610" i="11"/>
  <c r="C110" i="11"/>
  <c r="J521" i="11"/>
  <c r="K43" i="8"/>
  <c r="C680" i="11"/>
  <c r="J538" i="11"/>
  <c r="H677" i="11"/>
  <c r="C541" i="11"/>
  <c r="J928" i="11"/>
  <c r="F576" i="11"/>
  <c r="I255" i="11"/>
  <c r="C556" i="11"/>
  <c r="F572" i="11"/>
  <c r="I1109" i="11"/>
  <c r="K584" i="11"/>
  <c r="E1046" i="11"/>
  <c r="B348" i="11"/>
  <c r="I813" i="11"/>
  <c r="L401" i="11"/>
  <c r="C643" i="11"/>
  <c r="B578" i="11"/>
  <c r="E670" i="11"/>
  <c r="E266" i="11"/>
  <c r="C669" i="11"/>
  <c r="J711" i="11"/>
  <c r="K541" i="11"/>
  <c r="E668" i="11"/>
  <c r="F706" i="11"/>
  <c r="F581" i="11"/>
  <c r="H685" i="11"/>
  <c r="F273" i="11"/>
  <c r="F683" i="11"/>
  <c r="B272" i="11"/>
  <c r="J744" i="11"/>
  <c r="B491" i="11"/>
  <c r="I189" i="11"/>
  <c r="H588" i="11"/>
  <c r="L7" i="11"/>
  <c r="C654" i="11"/>
  <c r="E1117" i="11"/>
  <c r="C635" i="11"/>
  <c r="L588" i="11"/>
  <c r="J575" i="11"/>
  <c r="J434" i="11"/>
  <c r="E698" i="11"/>
  <c r="E162" i="11"/>
  <c r="C599" i="11"/>
  <c r="I111" i="11"/>
  <c r="L886" i="11"/>
  <c r="G532" i="11"/>
  <c r="B656" i="11"/>
  <c r="I1170" i="11"/>
  <c r="F657" i="11"/>
  <c r="C1120" i="11"/>
  <c r="E45" i="9"/>
  <c r="B761" i="11"/>
  <c r="B683" i="11"/>
  <c r="C1096" i="11"/>
  <c r="B597" i="11"/>
  <c r="E953" i="11"/>
  <c r="J690" i="11"/>
  <c r="E940" i="11"/>
  <c r="B684" i="11"/>
  <c r="Q9" i="10"/>
  <c r="F616" i="11"/>
  <c r="K515" i="11"/>
  <c r="C684" i="11"/>
  <c r="B476" i="11"/>
  <c r="H454" i="11"/>
  <c r="B287" i="11"/>
  <c r="E635" i="11"/>
  <c r="C461" i="11"/>
  <c r="I141" i="11"/>
  <c r="I580" i="11"/>
  <c r="L288" i="11"/>
  <c r="I613" i="11"/>
  <c r="J1009" i="11"/>
  <c r="G606" i="11"/>
  <c r="I546" i="11"/>
  <c r="D540" i="11"/>
  <c r="K427" i="11"/>
  <c r="J544" i="11"/>
  <c r="G555" i="11"/>
  <c r="I242" i="11"/>
  <c r="L234" i="11"/>
  <c r="C1099" i="11"/>
  <c r="J326" i="11"/>
  <c r="I6" i="11"/>
  <c r="G305" i="11"/>
  <c r="K428" i="11"/>
  <c r="F355" i="11"/>
  <c r="K800" i="11"/>
  <c r="H513" i="11"/>
  <c r="L917" i="11"/>
  <c r="H738" i="11"/>
  <c r="G329" i="11"/>
  <c r="J269" i="11"/>
  <c r="D68" i="11"/>
  <c r="I555" i="11"/>
  <c r="L1158" i="11"/>
  <c r="L1038" i="11"/>
  <c r="L439" i="11"/>
  <c r="L389" i="11"/>
  <c r="F275" i="11"/>
  <c r="C234" i="11"/>
  <c r="K431" i="11"/>
  <c r="I585" i="11"/>
  <c r="H432" i="11"/>
  <c r="K430" i="11"/>
  <c r="J531" i="11"/>
  <c r="D775" i="11"/>
  <c r="B547" i="11"/>
  <c r="F522" i="11"/>
  <c r="K512" i="11"/>
  <c r="K480" i="11"/>
  <c r="E122" i="11"/>
  <c r="L878" i="11"/>
  <c r="L522" i="11"/>
  <c r="L828" i="11"/>
  <c r="L973" i="11"/>
  <c r="H468" i="11"/>
  <c r="L399" i="11"/>
  <c r="F291" i="11"/>
  <c r="K1186" i="11"/>
  <c r="G460" i="11"/>
  <c r="E614" i="11"/>
  <c r="D461" i="11"/>
  <c r="G459" i="11"/>
  <c r="H659" i="11"/>
  <c r="D380" i="11"/>
  <c r="D599" i="11"/>
  <c r="B449" i="11"/>
  <c r="H730" i="11"/>
  <c r="E239" i="11"/>
  <c r="F328" i="11"/>
  <c r="I204" i="11"/>
  <c r="C889" i="11"/>
  <c r="E222" i="11"/>
  <c r="G494" i="11"/>
  <c r="I224" i="11"/>
  <c r="I220" i="11"/>
  <c r="E390" i="11"/>
  <c r="D1102" i="11"/>
  <c r="I525" i="11"/>
  <c r="I57" i="11"/>
  <c r="J629" i="11"/>
  <c r="D656" i="11"/>
  <c r="L503" i="11"/>
  <c r="E601" i="11"/>
  <c r="J306" i="11"/>
  <c r="F346" i="11"/>
  <c r="B1016" i="11"/>
  <c r="E241" i="11"/>
  <c r="L238" i="11"/>
  <c r="D151" i="11"/>
  <c r="B616" i="11"/>
  <c r="K453" i="11"/>
  <c r="H295" i="11"/>
  <c r="H301" i="11"/>
  <c r="L952" i="11"/>
  <c r="C428" i="11"/>
  <c r="D635" i="11"/>
  <c r="B409" i="11"/>
  <c r="H6" i="11"/>
  <c r="D616" i="11"/>
  <c r="E80" i="11"/>
  <c r="L977" i="11"/>
  <c r="D854" i="11"/>
  <c r="L481" i="11"/>
  <c r="E416" i="11"/>
  <c r="H1052" i="11"/>
  <c r="H1057" i="11"/>
  <c r="L1175" i="11"/>
  <c r="E57" i="11"/>
  <c r="C433" i="11"/>
  <c r="L964" i="11"/>
  <c r="H1280" i="11"/>
  <c r="B770" i="11"/>
  <c r="H530" i="11"/>
  <c r="E371" i="11"/>
  <c r="E728" i="11"/>
  <c r="D439" i="11"/>
  <c r="L1105" i="11"/>
  <c r="B538" i="11"/>
  <c r="E120" i="11"/>
  <c r="L894" i="11"/>
  <c r="D774" i="11"/>
  <c r="H492" i="11"/>
  <c r="D424" i="11"/>
  <c r="H1003" i="11"/>
  <c r="H1008" i="11"/>
  <c r="B221" i="11"/>
  <c r="K216" i="11"/>
  <c r="D535" i="11"/>
  <c r="E114" i="11"/>
  <c r="H1085" i="11"/>
  <c r="C596" i="11"/>
  <c r="L373" i="11"/>
  <c r="H16" i="11"/>
  <c r="D1182" i="11"/>
  <c r="H442" i="11"/>
  <c r="H383" i="11"/>
  <c r="K323" i="11"/>
  <c r="K328" i="11"/>
  <c r="K1167" i="11"/>
  <c r="H265" i="11"/>
  <c r="I29" i="11"/>
  <c r="J484" i="11"/>
  <c r="K958" i="11"/>
  <c r="K479" i="11"/>
  <c r="D263" i="11"/>
  <c r="B347" i="11"/>
  <c r="I217" i="11"/>
  <c r="L807" i="11"/>
  <c r="C1161" i="11"/>
  <c r="L827" i="11"/>
  <c r="L983" i="11"/>
  <c r="F276" i="11"/>
  <c r="D472" i="11"/>
  <c r="I74" i="11"/>
  <c r="L974" i="11"/>
  <c r="C1213" i="11"/>
  <c r="L994" i="11"/>
  <c r="C1218" i="11"/>
  <c r="J216" i="11"/>
  <c r="H1127" i="11"/>
  <c r="H510" i="11"/>
  <c r="K1039" i="11"/>
  <c r="G867" i="11"/>
  <c r="B1190" i="11"/>
  <c r="D1253" i="11"/>
  <c r="H860" i="11"/>
  <c r="I200" i="11"/>
  <c r="H1135" i="11"/>
  <c r="E443" i="11"/>
  <c r="J227" i="11"/>
  <c r="I196" i="11"/>
  <c r="I201" i="11"/>
  <c r="E205" i="11"/>
  <c r="B382" i="11"/>
  <c r="D85" i="11"/>
  <c r="G788" i="11"/>
  <c r="G773" i="11"/>
  <c r="H426" i="11"/>
  <c r="F294" i="11"/>
  <c r="D1127" i="11"/>
  <c r="K838" i="11"/>
  <c r="G331" i="11"/>
  <c r="F1036" i="11"/>
  <c r="D94" i="11"/>
  <c r="E359" i="11"/>
  <c r="G509" i="11"/>
  <c r="L1284" i="11"/>
  <c r="D397" i="11"/>
  <c r="F1217" i="11"/>
  <c r="E97" i="11"/>
  <c r="B1055" i="11"/>
  <c r="C507" i="11"/>
  <c r="D795" i="11"/>
  <c r="D1053" i="11"/>
  <c r="K262" i="11"/>
  <c r="G1183" i="11"/>
  <c r="F429" i="11"/>
  <c r="D1029" i="11"/>
  <c r="D728" i="11"/>
  <c r="E403" i="11"/>
  <c r="E592" i="11"/>
  <c r="L993" i="11"/>
  <c r="D479" i="11"/>
  <c r="H1100" i="11"/>
  <c r="H229" i="11"/>
  <c r="D345" i="11"/>
  <c r="D1101" i="11"/>
  <c r="L456" i="11"/>
  <c r="I270" i="11"/>
  <c r="L849" i="11"/>
  <c r="F469" i="11"/>
  <c r="B358" i="11"/>
  <c r="I60" i="11"/>
  <c r="H370" i="11"/>
  <c r="L1087" i="11"/>
  <c r="K784" i="11"/>
  <c r="C1241" i="11"/>
  <c r="G277" i="11"/>
  <c r="L1066" i="11"/>
  <c r="E518" i="11"/>
  <c r="L1207" i="11"/>
  <c r="C426" i="11"/>
  <c r="B263" i="11"/>
  <c r="L938" i="11"/>
  <c r="G466" i="11"/>
  <c r="F351" i="11"/>
  <c r="I42" i="11"/>
  <c r="H722" i="11"/>
  <c r="L1104" i="11"/>
  <c r="K820" i="11"/>
  <c r="D43" i="11"/>
  <c r="G313" i="11"/>
  <c r="L1205" i="11"/>
  <c r="K825" i="11"/>
  <c r="D48" i="11"/>
  <c r="E281" i="11"/>
  <c r="I88" i="11"/>
  <c r="C1184" i="11"/>
  <c r="H1243" i="11"/>
  <c r="D44" i="11"/>
  <c r="I480" i="11"/>
  <c r="H795" i="11"/>
  <c r="K1127" i="11"/>
  <c r="D313" i="11"/>
  <c r="G932" i="11"/>
  <c r="C1021" i="11"/>
  <c r="B1264" i="11"/>
  <c r="J1271" i="11"/>
  <c r="G264" i="11"/>
  <c r="J1202" i="11"/>
  <c r="H1125" i="11"/>
  <c r="B275" i="11"/>
  <c r="I72" i="11"/>
  <c r="C1217" i="11"/>
  <c r="H1285" i="11"/>
  <c r="B714" i="11"/>
  <c r="I521" i="11"/>
  <c r="F446" i="11"/>
  <c r="L1095" i="11"/>
  <c r="E273" i="11"/>
  <c r="I68" i="11"/>
  <c r="C1225" i="11"/>
  <c r="L1162" i="11"/>
  <c r="I467" i="11"/>
  <c r="L1053" i="11"/>
  <c r="L1081" i="11"/>
  <c r="I120" i="11"/>
  <c r="F486" i="11"/>
  <c r="D165" i="11"/>
  <c r="G1146" i="11"/>
  <c r="G917" i="11"/>
  <c r="B1227" i="11"/>
  <c r="G881" i="11"/>
  <c r="J42" i="11"/>
  <c r="L396" i="11"/>
  <c r="L1092" i="11"/>
  <c r="L1291" i="11"/>
  <c r="C950" i="11"/>
  <c r="D1196" i="11"/>
  <c r="L1247" i="11"/>
  <c r="K903" i="11"/>
  <c r="D125" i="11"/>
  <c r="G731" i="11"/>
  <c r="K851" i="11"/>
  <c r="F1209" i="11"/>
  <c r="F1255" i="11"/>
  <c r="D338" i="11"/>
  <c r="J96" i="11"/>
  <c r="E63" i="11"/>
  <c r="G893" i="11"/>
  <c r="F410" i="11"/>
  <c r="J470" i="11"/>
  <c r="G471" i="11"/>
  <c r="K959" i="11"/>
  <c r="J303" i="11"/>
  <c r="C891" i="11"/>
  <c r="B1259" i="11"/>
  <c r="H878" i="11"/>
  <c r="L1179" i="11"/>
  <c r="K1130" i="11"/>
  <c r="J148" i="11"/>
  <c r="H775" i="11"/>
  <c r="I455" i="11"/>
  <c r="L1257" i="11"/>
  <c r="D918" i="11"/>
  <c r="K305" i="11"/>
  <c r="D1184" i="11"/>
  <c r="G966" i="11"/>
  <c r="K1163" i="11"/>
  <c r="J150" i="11"/>
  <c r="F567" i="11"/>
  <c r="G964" i="11"/>
  <c r="E372" i="11"/>
  <c r="K1223" i="11"/>
  <c r="G335" i="11"/>
  <c r="D1257" i="11"/>
  <c r="D1199" i="11"/>
  <c r="J634" i="11"/>
  <c r="E210" i="11"/>
  <c r="H995" i="11"/>
  <c r="E613" i="11"/>
  <c r="L325" i="11"/>
  <c r="L1217" i="11"/>
  <c r="D1134" i="11"/>
  <c r="E447" i="11"/>
  <c r="K389" i="11"/>
  <c r="K275" i="11"/>
  <c r="K280" i="11"/>
  <c r="K921" i="11"/>
  <c r="L1265" i="11"/>
  <c r="D740" i="11"/>
  <c r="K780" i="11"/>
  <c r="F735" i="11"/>
  <c r="E566" i="11"/>
  <c r="J226" i="11"/>
  <c r="H418" i="11"/>
  <c r="E192" i="11"/>
  <c r="I633" i="11"/>
  <c r="J440" i="11"/>
  <c r="B294" i="11"/>
  <c r="L730" i="11"/>
  <c r="H480" i="11"/>
  <c r="H797" i="11"/>
  <c r="K1135" i="11"/>
  <c r="D315" i="11"/>
  <c r="K478" i="11"/>
  <c r="E38" i="3"/>
  <c r="D466" i="11"/>
  <c r="H526" i="11"/>
  <c r="G396" i="11"/>
  <c r="E174" i="11"/>
  <c r="B620" i="11"/>
  <c r="K437" i="11"/>
  <c r="F287" i="11"/>
  <c r="L766" i="11"/>
  <c r="L467" i="11"/>
  <c r="H837" i="11"/>
  <c r="K1206" i="11"/>
  <c r="D351" i="11"/>
  <c r="D465" i="11"/>
  <c r="H842" i="11"/>
  <c r="K1211" i="11"/>
  <c r="E590" i="11"/>
  <c r="J764" i="11"/>
  <c r="D594" i="11"/>
  <c r="E586" i="11"/>
  <c r="K910" i="11"/>
  <c r="D364" i="11"/>
  <c r="E331" i="11"/>
  <c r="H1128" i="11"/>
  <c r="C791" i="11"/>
  <c r="D969" i="11"/>
  <c r="F1220" i="11"/>
  <c r="G254" i="11"/>
  <c r="J1192" i="11"/>
  <c r="H856" i="11"/>
  <c r="G1132" i="11"/>
  <c r="G840" i="11"/>
  <c r="H538" i="11"/>
  <c r="C693" i="11"/>
  <c r="G541" i="11"/>
  <c r="H534" i="11"/>
  <c r="K918" i="11"/>
  <c r="I227" i="11"/>
  <c r="K497" i="11"/>
  <c r="K844" i="11"/>
  <c r="C526" i="11"/>
  <c r="I681" i="11"/>
  <c r="B529" i="11"/>
  <c r="C522" i="11"/>
  <c r="F404" i="11"/>
  <c r="F303" i="11"/>
  <c r="K1146" i="11"/>
  <c r="K1174" i="11"/>
  <c r="D1284" i="11"/>
  <c r="H1093" i="11"/>
  <c r="D911" i="11"/>
  <c r="H357" i="11"/>
  <c r="B1054" i="11"/>
  <c r="H299" i="11"/>
  <c r="B1043" i="11"/>
  <c r="H791" i="11"/>
  <c r="L869" i="11"/>
  <c r="H841" i="11"/>
  <c r="H1198" i="11"/>
  <c r="D176" i="11"/>
  <c r="D437" i="11"/>
  <c r="H907" i="11"/>
  <c r="C256" i="11"/>
  <c r="D748" i="11"/>
  <c r="G1049" i="11"/>
  <c r="D318" i="11"/>
  <c r="J91" i="11"/>
  <c r="J363" i="11"/>
  <c r="G805" i="11"/>
  <c r="K1228" i="11"/>
  <c r="K876" i="11"/>
  <c r="F1243" i="11"/>
  <c r="K318" i="11"/>
  <c r="F304" i="11"/>
  <c r="C1010" i="11"/>
  <c r="C1242" i="11"/>
  <c r="H757" i="11"/>
  <c r="G907" i="11"/>
  <c r="G1012" i="11"/>
  <c r="H1121" i="11"/>
  <c r="K1245" i="11"/>
  <c r="J111" i="11"/>
  <c r="K795" i="11"/>
  <c r="F835" i="11"/>
  <c r="L1093" i="11"/>
  <c r="K721" i="11"/>
  <c r="G415" i="11"/>
  <c r="C316" i="11"/>
  <c r="G1162" i="11"/>
  <c r="J151" i="11"/>
  <c r="G886" i="11"/>
  <c r="K908" i="11"/>
  <c r="J125" i="11"/>
  <c r="F435" i="11"/>
  <c r="C436" i="11"/>
  <c r="D385" i="11"/>
  <c r="G890" i="11"/>
  <c r="G362" i="11"/>
  <c r="D1054" i="11"/>
  <c r="B790" i="11"/>
  <c r="K392" i="11"/>
  <c r="D67" i="11"/>
  <c r="L1276" i="11"/>
  <c r="K465" i="11"/>
  <c r="L1127" i="11"/>
  <c r="L1137" i="11"/>
  <c r="E253" i="11"/>
  <c r="I18" i="11"/>
  <c r="D91" i="11"/>
  <c r="E1104" i="11"/>
  <c r="H1283" i="11"/>
  <c r="K1216" i="11"/>
  <c r="E288" i="11"/>
  <c r="D211" i="11"/>
  <c r="H404" i="11"/>
  <c r="I584" i="11"/>
  <c r="E610" i="11"/>
  <c r="J373" i="11"/>
  <c r="E32" i="11"/>
  <c r="D511" i="11"/>
  <c r="C411" i="11"/>
  <c r="B230" i="11"/>
  <c r="L1042" i="11"/>
  <c r="F330" i="11"/>
  <c r="H1130" i="11"/>
  <c r="C793" i="11"/>
  <c r="D971" i="11"/>
  <c r="F326" i="11"/>
  <c r="J784" i="11"/>
  <c r="I299" i="11"/>
  <c r="G469" i="11"/>
  <c r="F340" i="11"/>
  <c r="E14" i="11"/>
  <c r="L506" i="11"/>
  <c r="D408" i="11"/>
  <c r="F223" i="11"/>
  <c r="L1076" i="11"/>
  <c r="B301" i="11"/>
  <c r="H1166" i="11"/>
  <c r="C829" i="11"/>
  <c r="D1007" i="11"/>
  <c r="B297" i="11"/>
  <c r="H1171" i="11"/>
  <c r="C834" i="11"/>
  <c r="I498" i="11"/>
  <c r="D428" i="11"/>
  <c r="H959" i="11"/>
  <c r="H333" i="11"/>
  <c r="C367" i="11"/>
  <c r="D1020" i="11"/>
  <c r="L799" i="11"/>
  <c r="K381" i="11"/>
  <c r="C1153" i="11"/>
  <c r="D1286" i="11"/>
  <c r="H836" i="11"/>
  <c r="G1153" i="11"/>
  <c r="D1258" i="11"/>
  <c r="C784" i="11"/>
  <c r="B1200" i="11"/>
  <c r="J1287" i="11"/>
  <c r="L494" i="11"/>
  <c r="K425" i="11"/>
  <c r="H991" i="11"/>
  <c r="H349" i="11"/>
  <c r="C379" i="11"/>
  <c r="L496" i="11"/>
  <c r="J276" i="11"/>
  <c r="D818" i="11"/>
  <c r="J492" i="11"/>
  <c r="J424" i="11"/>
  <c r="H999" i="11"/>
  <c r="F633" i="11"/>
  <c r="E86" i="11"/>
  <c r="L965" i="11"/>
  <c r="D842" i="11"/>
  <c r="L276" i="11"/>
  <c r="K1207" i="11"/>
  <c r="C823" i="11"/>
  <c r="G259" i="11"/>
  <c r="C1171" i="11"/>
  <c r="J1203" i="11"/>
  <c r="C977" i="11"/>
  <c r="J1234" i="11"/>
  <c r="B464" i="11"/>
  <c r="I407" i="11"/>
  <c r="D47" i="11"/>
  <c r="K963" i="11"/>
  <c r="D799" i="11"/>
  <c r="E235" i="11"/>
  <c r="H1256" i="11"/>
  <c r="C911" i="11"/>
  <c r="D1057" i="11"/>
  <c r="J379" i="11"/>
  <c r="G798" i="11"/>
  <c r="J1267" i="11"/>
  <c r="K278" i="11"/>
  <c r="F1043" i="11"/>
  <c r="F1206" i="11"/>
  <c r="D342" i="11"/>
  <c r="J97" i="11"/>
  <c r="F393" i="11"/>
  <c r="G438" i="11"/>
  <c r="H285" i="11"/>
  <c r="D992" i="11"/>
  <c r="K353" i="11"/>
  <c r="H1026" i="11"/>
  <c r="J221" i="11"/>
  <c r="D248" i="11"/>
  <c r="D938" i="11"/>
  <c r="H1065" i="11"/>
  <c r="G1149" i="11"/>
  <c r="E415" i="11"/>
  <c r="K937" i="11"/>
  <c r="C942" i="11"/>
  <c r="L1231" i="11"/>
  <c r="D121" i="11"/>
  <c r="K835" i="11"/>
  <c r="F1230" i="11"/>
  <c r="J92" i="11"/>
  <c r="D1129" i="11"/>
  <c r="E183" i="11"/>
  <c r="J285" i="11"/>
  <c r="C1129" i="11"/>
  <c r="K1172" i="11"/>
  <c r="L1218" i="11"/>
  <c r="K486" i="11"/>
  <c r="G589" i="11"/>
  <c r="L875" i="11"/>
  <c r="L921" i="11"/>
  <c r="B479" i="11"/>
  <c r="H402" i="11"/>
  <c r="I297" i="11"/>
  <c r="K1132" i="11"/>
  <c r="L472" i="11"/>
  <c r="J626" i="11"/>
  <c r="I472" i="11"/>
  <c r="L471" i="11"/>
  <c r="I1184" i="11"/>
  <c r="D348" i="11"/>
  <c r="C1150" i="11"/>
  <c r="G884" i="11"/>
  <c r="D1291" i="11"/>
  <c r="D1181" i="11"/>
  <c r="D1217" i="11"/>
  <c r="G356" i="11"/>
  <c r="D504" i="11"/>
  <c r="I168" i="11"/>
  <c r="G381" i="11"/>
  <c r="C359" i="11"/>
  <c r="D1028" i="11"/>
  <c r="L831" i="11"/>
  <c r="K726" i="11"/>
  <c r="C1180" i="11"/>
  <c r="G219" i="11"/>
  <c r="H869" i="11"/>
  <c r="D1090" i="11"/>
  <c r="D1006" i="11"/>
  <c r="J519" i="11"/>
  <c r="J72" i="11"/>
  <c r="I659" i="11"/>
  <c r="K442" i="11"/>
  <c r="K304" i="11"/>
  <c r="D964" i="11"/>
  <c r="H720" i="11"/>
  <c r="C735" i="11"/>
  <c r="D1276" i="11"/>
  <c r="C796" i="11"/>
  <c r="J43" i="11"/>
  <c r="C448" i="11"/>
  <c r="G741" i="11"/>
  <c r="K254" i="11"/>
  <c r="K346" i="11"/>
  <c r="F1184" i="11"/>
  <c r="H1079" i="11"/>
  <c r="J381" i="11"/>
  <c r="C290" i="11"/>
  <c r="C1047" i="11"/>
  <c r="H313" i="11"/>
  <c r="D1240" i="11"/>
  <c r="D346" i="11"/>
  <c r="H783" i="11"/>
  <c r="K956" i="11"/>
  <c r="B1222" i="11"/>
  <c r="H1081" i="11"/>
  <c r="F792" i="11"/>
  <c r="L374" i="11"/>
  <c r="K256" i="11"/>
  <c r="K450" i="11"/>
  <c r="C220" i="11"/>
  <c r="G1017" i="11"/>
  <c r="J55" i="11"/>
  <c r="G757" i="11"/>
  <c r="K314" i="11"/>
  <c r="J61" i="11"/>
  <c r="K581" i="11"/>
  <c r="L1001" i="11"/>
  <c r="K352" i="11"/>
  <c r="H424" i="11"/>
  <c r="C292" i="11"/>
  <c r="G1131" i="11"/>
  <c r="J127" i="11"/>
  <c r="G853" i="11"/>
  <c r="L1056" i="11"/>
  <c r="C471" i="11"/>
  <c r="K1180" i="11"/>
  <c r="J438" i="11"/>
  <c r="H593" i="11"/>
  <c r="G439" i="11"/>
  <c r="J437" i="11"/>
  <c r="E381" i="11"/>
  <c r="E264" i="11"/>
  <c r="C286" i="11"/>
  <c r="C291" i="11"/>
  <c r="E319" i="11"/>
  <c r="H1222" i="11"/>
  <c r="D985" i="11"/>
  <c r="H986" i="11"/>
  <c r="B1233" i="11"/>
  <c r="H911" i="11"/>
  <c r="B1208" i="11"/>
  <c r="H1043" i="11"/>
  <c r="J642" i="11"/>
  <c r="H1115" i="11"/>
  <c r="H1278" i="11"/>
  <c r="D17" i="11"/>
  <c r="B419" i="11"/>
  <c r="H989" i="11"/>
  <c r="C304" i="11"/>
  <c r="D796" i="11"/>
  <c r="G1179" i="11"/>
  <c r="D825" i="11"/>
  <c r="J139" i="11"/>
  <c r="E199" i="11"/>
  <c r="G870" i="11"/>
  <c r="C1168" i="11"/>
  <c r="K1138" i="11"/>
  <c r="F1282" i="11"/>
  <c r="C281" i="11"/>
  <c r="B227" i="11"/>
  <c r="D15" i="11"/>
  <c r="D124" i="11"/>
  <c r="H867" i="11"/>
  <c r="F1208" i="11"/>
  <c r="J46" i="11"/>
  <c r="K288" i="11"/>
  <c r="C739" i="11"/>
  <c r="J1224" i="11"/>
  <c r="C341" i="11"/>
  <c r="K523" i="11"/>
  <c r="H914" i="11"/>
  <c r="K849" i="11"/>
  <c r="J367" i="11"/>
  <c r="C747" i="11"/>
  <c r="F569" i="11"/>
  <c r="J560" i="11"/>
  <c r="G1015" i="11"/>
  <c r="K1230" i="11"/>
  <c r="J189" i="11"/>
  <c r="D482" i="11"/>
  <c r="L483" i="11"/>
  <c r="K946" i="11"/>
  <c r="B309" i="11"/>
  <c r="C819" i="11"/>
  <c r="D578" i="11"/>
  <c r="J1195" i="11"/>
  <c r="G1154" i="11"/>
  <c r="C724" i="11"/>
  <c r="J566" i="11"/>
  <c r="D201" i="11"/>
  <c r="C780" i="11"/>
  <c r="F863" i="11"/>
  <c r="H901" i="11"/>
  <c r="K270" i="11"/>
  <c r="C322" i="11"/>
  <c r="L1183" i="11"/>
  <c r="H1034" i="11"/>
  <c r="B1209" i="11"/>
  <c r="J1277" i="11"/>
  <c r="D180" i="11"/>
  <c r="C723" i="11"/>
  <c r="G1125" i="11"/>
  <c r="J36" i="11"/>
  <c r="B1291" i="11"/>
  <c r="D1180" i="11"/>
  <c r="G350" i="11"/>
  <c r="I386" i="11"/>
  <c r="J152" i="11"/>
  <c r="G453" i="11"/>
  <c r="E165" i="11"/>
  <c r="K769" i="11"/>
  <c r="D1067" i="11"/>
  <c r="H805" i="11"/>
  <c r="C799" i="11"/>
  <c r="G283" i="11"/>
  <c r="C1049" i="11"/>
  <c r="J107" i="11"/>
  <c r="E311" i="11"/>
  <c r="G826" i="11"/>
  <c r="C345" i="11"/>
  <c r="K940" i="11"/>
  <c r="F1261" i="11"/>
  <c r="K815" i="11"/>
  <c r="I278" i="11"/>
  <c r="C1201" i="11"/>
  <c r="D52" i="11"/>
  <c r="H800" i="11"/>
  <c r="G994" i="11"/>
  <c r="F1205" i="11"/>
  <c r="H1183" i="11"/>
  <c r="C276" i="11"/>
  <c r="J175" i="11"/>
  <c r="K973" i="11"/>
  <c r="B623" i="11"/>
  <c r="L1244" i="11"/>
  <c r="K765" i="11"/>
  <c r="B403" i="11"/>
  <c r="C348" i="11"/>
  <c r="G1208" i="11"/>
  <c r="J183" i="11"/>
  <c r="G929" i="11"/>
  <c r="K989" i="11"/>
  <c r="J149" i="11"/>
  <c r="F511" i="11"/>
  <c r="H742" i="11"/>
  <c r="K861" i="11"/>
  <c r="I360" i="11"/>
  <c r="C755" i="11"/>
  <c r="F559" i="11"/>
  <c r="J571" i="11"/>
  <c r="G1026" i="11"/>
  <c r="J757" i="11"/>
  <c r="E440" i="11"/>
  <c r="C821" i="11"/>
  <c r="J290" i="11"/>
  <c r="J504" i="11"/>
  <c r="E291" i="11"/>
  <c r="E287" i="11"/>
  <c r="I330" i="11"/>
  <c r="I210" i="11"/>
  <c r="C877" i="11"/>
  <c r="C882" i="11"/>
  <c r="H735" i="11"/>
  <c r="K766" i="11"/>
  <c r="D1104" i="11"/>
  <c r="K226" i="11"/>
  <c r="J51" i="11"/>
  <c r="H1260" i="11"/>
  <c r="J24" i="11"/>
  <c r="J741" i="11"/>
  <c r="E519" i="11"/>
  <c r="K359" i="11"/>
  <c r="K260" i="11"/>
  <c r="D276" i="11"/>
  <c r="D395" i="11"/>
  <c r="H1061" i="11"/>
  <c r="C368" i="11"/>
  <c r="D860" i="11"/>
  <c r="G1228" i="11"/>
  <c r="D1107" i="11"/>
  <c r="J203" i="11"/>
  <c r="L1065" i="11"/>
  <c r="G956" i="11"/>
  <c r="D970" i="11"/>
  <c r="C357" i="11"/>
  <c r="B1052" i="11"/>
  <c r="D214" i="11"/>
  <c r="L237" i="11"/>
  <c r="D1080" i="11"/>
  <c r="D240" i="11"/>
  <c r="H1017" i="11"/>
  <c r="J108" i="11"/>
  <c r="L639" i="11"/>
  <c r="K1011" i="11"/>
  <c r="C996" i="11"/>
  <c r="D54" i="11"/>
  <c r="D262" i="11"/>
  <c r="B400" i="11"/>
  <c r="J401" i="11"/>
  <c r="K1023" i="11"/>
  <c r="I264" i="11"/>
  <c r="C875" i="11"/>
  <c r="K438" i="11"/>
  <c r="J1273" i="11"/>
  <c r="G1249" i="11"/>
  <c r="C868" i="11"/>
  <c r="J1057" i="11"/>
  <c r="I129" i="11"/>
  <c r="E133" i="11"/>
  <c r="K1182" i="11"/>
  <c r="E193" i="11"/>
  <c r="C947" i="11"/>
  <c r="E263" i="11"/>
  <c r="K928" i="11"/>
  <c r="F1227" i="11"/>
  <c r="C1057" i="11"/>
  <c r="J1210" i="11"/>
  <c r="D381" i="11"/>
  <c r="D122" i="11"/>
  <c r="F222" i="11"/>
  <c r="K779" i="11"/>
  <c r="D986" i="11"/>
  <c r="D814" i="11"/>
  <c r="H768" i="11"/>
  <c r="C221" i="11"/>
  <c r="J180" i="11"/>
  <c r="E215" i="11"/>
  <c r="D739" i="11"/>
  <c r="C980" i="11"/>
  <c r="F1041" i="11"/>
  <c r="J1194" i="11"/>
  <c r="J89" i="11"/>
  <c r="G1041" i="11"/>
  <c r="F1286" i="11"/>
  <c r="C1125" i="11"/>
  <c r="B552" i="11"/>
  <c r="L317" i="11"/>
  <c r="D111" i="11"/>
  <c r="C886" i="11"/>
  <c r="F454" i="11"/>
  <c r="H1244" i="11"/>
  <c r="D77" i="11"/>
  <c r="G1005" i="11"/>
  <c r="G820" i="11"/>
  <c r="K286" i="11"/>
  <c r="K342" i="11"/>
  <c r="F1216" i="11"/>
  <c r="F1284" i="11"/>
  <c r="D721" i="11"/>
  <c r="J113" i="11"/>
  <c r="F1228" i="11"/>
  <c r="B426" i="11"/>
  <c r="H339" i="11"/>
  <c r="D1024" i="11"/>
  <c r="K722" i="11"/>
  <c r="K266" i="11"/>
  <c r="E100" i="11"/>
  <c r="D312" i="11"/>
  <c r="D1013" i="11"/>
  <c r="K230" i="11"/>
  <c r="G1186" i="11"/>
  <c r="K404" i="11"/>
  <c r="K1158" i="11"/>
  <c r="C987" i="11"/>
  <c r="H249" i="11"/>
  <c r="D153" i="11"/>
  <c r="K965" i="11"/>
  <c r="B570" i="11"/>
  <c r="J124" i="11"/>
  <c r="D1285" i="11"/>
  <c r="E23" i="11"/>
  <c r="E361" i="11"/>
  <c r="C721" i="11"/>
  <c r="C1163" i="11"/>
  <c r="H345" i="11"/>
  <c r="D18" i="11"/>
  <c r="C285" i="11"/>
  <c r="J82" i="11"/>
  <c r="D18" i="10"/>
  <c r="C395" i="11"/>
  <c r="I70" i="11"/>
  <c r="D1278" i="11"/>
  <c r="L437" i="11"/>
  <c r="B374" i="11"/>
  <c r="K367" i="11"/>
  <c r="L548" i="11"/>
  <c r="L805" i="11"/>
  <c r="H326" i="11"/>
  <c r="G233" i="11"/>
  <c r="E345" i="11"/>
  <c r="C1149" i="11"/>
  <c r="C968" i="11"/>
  <c r="G755" i="11"/>
  <c r="D793" i="11"/>
  <c r="K1217" i="11"/>
  <c r="B669" i="11"/>
  <c r="I695" i="11"/>
  <c r="J1010" i="11"/>
  <c r="B868" i="11"/>
  <c r="D670" i="11"/>
  <c r="E678" i="11"/>
  <c r="I433" i="11"/>
  <c r="L516" i="11"/>
  <c r="F715" i="11"/>
  <c r="I926" i="11"/>
  <c r="J736" i="11"/>
  <c r="L840" i="11"/>
  <c r="B488" i="11"/>
  <c r="C591" i="11"/>
  <c r="C457" i="11"/>
  <c r="B871" i="11"/>
  <c r="C445" i="11"/>
  <c r="C618" i="11"/>
  <c r="G448" i="11"/>
  <c r="E43" i="3"/>
  <c r="C567" i="11"/>
  <c r="E1080" i="11"/>
  <c r="J647" i="11"/>
  <c r="F265" i="11"/>
  <c r="F799" i="11"/>
  <c r="L1080" i="11"/>
  <c r="H25" i="11"/>
  <c r="I56" i="11"/>
  <c r="L908" i="11"/>
  <c r="D726" i="11"/>
  <c r="H960" i="11"/>
  <c r="E50" i="11"/>
  <c r="D429" i="11"/>
  <c r="G671" i="11"/>
  <c r="G517" i="11"/>
  <c r="E504" i="11"/>
  <c r="H861" i="11"/>
  <c r="D1112" i="11"/>
  <c r="H1251" i="11"/>
  <c r="L505" i="11"/>
  <c r="J330" i="11"/>
  <c r="I1096" i="11"/>
  <c r="B322" i="11"/>
  <c r="H965" i="11"/>
  <c r="H397" i="11"/>
  <c r="B359" i="11"/>
  <c r="L1169" i="11"/>
  <c r="D12" i="11"/>
  <c r="L1261" i="11"/>
  <c r="C581" i="11"/>
  <c r="B258" i="11"/>
  <c r="H1271" i="11"/>
  <c r="I49" i="11"/>
  <c r="B295" i="11"/>
  <c r="H1012" i="11"/>
  <c r="D327" i="11"/>
  <c r="L1124" i="11"/>
  <c r="B461" i="11"/>
  <c r="H1212" i="11"/>
  <c r="H1274" i="11"/>
  <c r="H1095" i="11"/>
  <c r="H1216" i="11"/>
  <c r="H1224" i="11"/>
  <c r="G355" i="11"/>
  <c r="K1170" i="11"/>
  <c r="C265" i="11"/>
  <c r="H822" i="11"/>
  <c r="F1236" i="11"/>
  <c r="J395" i="11"/>
  <c r="F889" i="11"/>
  <c r="D527" i="11"/>
  <c r="B265" i="11"/>
  <c r="G446" i="11"/>
  <c r="H922" i="11"/>
  <c r="E753" i="11"/>
  <c r="E206" i="11"/>
  <c r="L883" i="11"/>
  <c r="D287" i="11"/>
  <c r="C553" i="11"/>
  <c r="K821" i="11"/>
  <c r="C727" i="11"/>
  <c r="J393" i="11"/>
  <c r="B540" i="11"/>
  <c r="K833" i="11"/>
  <c r="I537" i="11"/>
  <c r="E427" i="11"/>
  <c r="C1054" i="11"/>
  <c r="F1254" i="11"/>
  <c r="E12" i="11"/>
  <c r="C460" i="11"/>
  <c r="G989" i="11"/>
  <c r="G376" i="11"/>
  <c r="H1098" i="11"/>
  <c r="H271" i="11"/>
  <c r="K891" i="11"/>
  <c r="L246" i="11"/>
  <c r="G985" i="11"/>
  <c r="J41" i="11"/>
  <c r="D334" i="11"/>
  <c r="E424" i="11"/>
  <c r="E149" i="11"/>
  <c r="C1006" i="11"/>
  <c r="F359" i="11"/>
  <c r="E642" i="11"/>
  <c r="K417" i="11"/>
  <c r="H1048" i="11"/>
  <c r="L519" i="11"/>
  <c r="E46" i="11"/>
  <c r="L1091" i="11"/>
  <c r="D914" i="11"/>
  <c r="L608" i="11"/>
  <c r="C283" i="11"/>
  <c r="C1044" i="11"/>
  <c r="D282" i="11"/>
  <c r="L592" i="11"/>
  <c r="C295" i="11"/>
  <c r="F587" i="11"/>
  <c r="E214" i="11"/>
  <c r="K801" i="11"/>
  <c r="J565" i="11"/>
  <c r="E436" i="11"/>
  <c r="J287" i="11"/>
  <c r="L479" i="11"/>
  <c r="G1211" i="11"/>
  <c r="G926" i="11"/>
  <c r="K225" i="11"/>
  <c r="D357" i="11"/>
  <c r="H1154" i="11"/>
  <c r="D6" i="3"/>
  <c r="I678" i="11"/>
  <c r="D636" i="11"/>
  <c r="I1244" i="11"/>
  <c r="E1186" i="11"/>
  <c r="I729" i="11"/>
  <c r="E603" i="11"/>
  <c r="F786" i="11"/>
  <c r="H551" i="11"/>
  <c r="I727" i="11"/>
  <c r="H555" i="11"/>
  <c r="E762" i="11"/>
  <c r="D618" i="11"/>
  <c r="H398" i="11"/>
  <c r="L612" i="11"/>
  <c r="D508" i="11"/>
  <c r="B617" i="11"/>
  <c r="C1073" i="11"/>
  <c r="G629" i="11"/>
  <c r="K455" i="11"/>
  <c r="L765" i="11"/>
  <c r="F783" i="11"/>
  <c r="I1074" i="11"/>
  <c r="G428" i="11"/>
  <c r="E669" i="11"/>
  <c r="B267" i="11"/>
  <c r="E464" i="11"/>
  <c r="L475" i="11"/>
  <c r="I614" i="11"/>
  <c r="I499" i="11"/>
  <c r="J375" i="11"/>
  <c r="H1067" i="11"/>
  <c r="J366" i="11"/>
  <c r="E184" i="11"/>
  <c r="I435" i="11"/>
  <c r="J319" i="11"/>
  <c r="H653" i="11"/>
  <c r="B457" i="11"/>
  <c r="K263" i="11"/>
  <c r="E792" i="11"/>
  <c r="C518" i="11"/>
  <c r="J748" i="11"/>
  <c r="K966" i="11"/>
  <c r="J978" i="11"/>
  <c r="H546" i="11"/>
  <c r="B242" i="11"/>
  <c r="K285" i="11"/>
  <c r="D488" i="11"/>
  <c r="H467" i="11"/>
  <c r="B427" i="11"/>
  <c r="C318" i="11"/>
  <c r="G534" i="11"/>
  <c r="D484" i="11"/>
  <c r="I122" i="11"/>
  <c r="K943" i="11"/>
  <c r="J543" i="11"/>
  <c r="H1199" i="11"/>
  <c r="L249" i="11"/>
  <c r="D1039" i="11"/>
  <c r="C790" i="11"/>
  <c r="G850" i="11"/>
  <c r="M19" i="8"/>
  <c r="L297" i="11"/>
  <c r="J1276" i="11"/>
  <c r="E137" i="11"/>
  <c r="F1235" i="11"/>
  <c r="K818" i="11"/>
  <c r="C817" i="11"/>
  <c r="H243" i="11"/>
  <c r="L1253" i="11"/>
  <c r="B361" i="11"/>
  <c r="J511" i="11"/>
  <c r="F307" i="11"/>
  <c r="K1150" i="11"/>
  <c r="K490" i="11"/>
  <c r="K644" i="11"/>
  <c r="G491" i="11"/>
  <c r="E488" i="11"/>
  <c r="L793" i="11"/>
  <c r="D300" i="11"/>
  <c r="D932" i="11"/>
  <c r="L1256" i="11"/>
  <c r="L825" i="11"/>
  <c r="B440" i="11"/>
  <c r="L833" i="11"/>
  <c r="B354" i="11"/>
  <c r="H773" i="11"/>
  <c r="E135" i="11"/>
  <c r="L1189" i="11"/>
  <c r="H855" i="11"/>
  <c r="D74" i="11"/>
  <c r="L867" i="11"/>
  <c r="L398" i="11"/>
  <c r="D829" i="11"/>
  <c r="B551" i="11"/>
  <c r="K5" i="11"/>
  <c r="J23" i="11"/>
  <c r="C561" i="11"/>
  <c r="D310" i="11"/>
  <c r="C982" i="11"/>
  <c r="E139" i="11"/>
  <c r="C1011" i="11"/>
  <c r="D147" i="11"/>
  <c r="L385" i="11"/>
  <c r="F243" i="11"/>
  <c r="C729" i="11"/>
  <c r="E350" i="11"/>
  <c r="G521" i="11"/>
  <c r="I352" i="11"/>
  <c r="I348" i="11"/>
  <c r="C451" i="11"/>
  <c r="D956" i="11"/>
  <c r="D1246" i="11"/>
  <c r="K1225" i="11"/>
  <c r="J448" i="11"/>
  <c r="G595" i="11"/>
  <c r="I447" i="11"/>
  <c r="L370" i="11"/>
  <c r="C376" i="11"/>
  <c r="I1111" i="11"/>
  <c r="J655" i="11"/>
  <c r="L631" i="11"/>
  <c r="L599" i="11"/>
  <c r="B680" i="11"/>
  <c r="E410" i="11"/>
  <c r="B436" i="11"/>
  <c r="G649" i="11"/>
  <c r="L870" i="11"/>
  <c r="D529" i="11"/>
  <c r="L836" i="11"/>
  <c r="F760" i="11"/>
  <c r="E419" i="11"/>
  <c r="C705" i="11"/>
  <c r="J661" i="11"/>
  <c r="J524" i="11"/>
  <c r="F927" i="11"/>
  <c r="I908" i="11"/>
  <c r="L448" i="11"/>
  <c r="I554" i="11"/>
  <c r="I1233" i="11"/>
  <c r="H589" i="11"/>
  <c r="L384" i="11"/>
  <c r="E545" i="11"/>
  <c r="J660" i="11"/>
  <c r="I52" i="11"/>
  <c r="L1135" i="11"/>
  <c r="L312" i="11"/>
  <c r="E144" i="11"/>
  <c r="J428" i="11"/>
  <c r="J255" i="11"/>
  <c r="F527" i="11"/>
  <c r="H506" i="11"/>
  <c r="L746" i="11"/>
  <c r="H853" i="11"/>
  <c r="C509" i="11"/>
  <c r="L245" i="11"/>
  <c r="K399" i="11"/>
  <c r="L1121" i="11"/>
  <c r="K445" i="11"/>
  <c r="K379" i="11"/>
  <c r="F703" i="11"/>
  <c r="K971" i="11"/>
  <c r="G458" i="11"/>
  <c r="D398" i="11"/>
  <c r="C733" i="11"/>
  <c r="B511" i="11"/>
  <c r="D416" i="11"/>
  <c r="K1214" i="11"/>
  <c r="E425" i="11"/>
  <c r="C323" i="11"/>
  <c r="H419" i="11"/>
  <c r="E53" i="11"/>
  <c r="C1050" i="11"/>
  <c r="H564" i="11"/>
  <c r="I316" i="11"/>
  <c r="D1035" i="11"/>
  <c r="G402" i="11"/>
  <c r="H1217" i="11"/>
  <c r="L1071" i="11"/>
  <c r="B1274" i="11"/>
  <c r="I198" i="11"/>
  <c r="D1114" i="11"/>
  <c r="K831" i="11"/>
  <c r="C976" i="11"/>
  <c r="D878" i="11"/>
  <c r="B670" i="11"/>
  <c r="H377" i="11"/>
  <c r="D1262" i="11"/>
  <c r="B363" i="11"/>
  <c r="D902" i="11"/>
  <c r="B219" i="11"/>
  <c r="L350" i="11"/>
  <c r="D251" i="11"/>
  <c r="G559" i="11"/>
  <c r="H443" i="11"/>
  <c r="H760" i="11"/>
  <c r="H767" i="11"/>
  <c r="H314" i="11"/>
  <c r="L383" i="11"/>
  <c r="F390" i="11"/>
  <c r="G988" i="11"/>
  <c r="H346" i="11"/>
  <c r="L906" i="11"/>
  <c r="H354" i="11"/>
  <c r="K804" i="11"/>
  <c r="D804" i="11"/>
  <c r="F1275" i="11"/>
  <c r="H1020" i="11"/>
  <c r="K1224" i="11"/>
  <c r="J27" i="11"/>
  <c r="K282" i="11"/>
  <c r="K1194" i="11"/>
  <c r="C760" i="11"/>
  <c r="H769" i="11"/>
  <c r="E461" i="11"/>
  <c r="G368" i="11"/>
  <c r="H298" i="11"/>
  <c r="K1029" i="11"/>
  <c r="I145" i="11"/>
  <c r="J305" i="11"/>
  <c r="H935" i="11"/>
  <c r="G427" i="11"/>
  <c r="E64" i="11"/>
  <c r="L1009" i="11"/>
  <c r="D940" i="11"/>
  <c r="L477" i="11"/>
  <c r="L414" i="11"/>
  <c r="H1099" i="11"/>
  <c r="H1119" i="11"/>
  <c r="H321" i="11"/>
  <c r="L227" i="11"/>
  <c r="L1210" i="11"/>
  <c r="B394" i="11"/>
  <c r="H364" i="11"/>
  <c r="B346" i="11"/>
  <c r="H375" i="11"/>
  <c r="D271" i="11"/>
  <c r="D1228" i="11"/>
  <c r="F1024" i="11"/>
  <c r="G578" i="11"/>
  <c r="H607" i="11"/>
  <c r="J945" i="11"/>
  <c r="L991" i="11"/>
  <c r="E769" i="11"/>
  <c r="J9" i="3"/>
  <c r="B799" i="11"/>
  <c r="C550" i="11"/>
  <c r="J728" i="11"/>
  <c r="C554" i="11"/>
  <c r="E1019" i="11"/>
  <c r="L703" i="11"/>
  <c r="F281" i="11"/>
  <c r="G607" i="11"/>
  <c r="D619" i="11"/>
  <c r="C1112" i="11"/>
  <c r="I630" i="11"/>
  <c r="E1056" i="11"/>
  <c r="J374" i="11"/>
  <c r="I801" i="11"/>
  <c r="F412" i="11"/>
  <c r="B668" i="11"/>
  <c r="J1133" i="11"/>
  <c r="L435" i="11"/>
  <c r="D20" i="11"/>
  <c r="L1145" i="11"/>
  <c r="C462" i="11"/>
  <c r="L826" i="11"/>
  <c r="H955" i="11"/>
  <c r="L499" i="11"/>
  <c r="E582" i="11"/>
  <c r="E29" i="11"/>
  <c r="D331" i="11"/>
  <c r="H858" i="11"/>
  <c r="E277" i="11"/>
  <c r="L1156" i="11"/>
  <c r="H1240" i="11"/>
  <c r="E278" i="11"/>
  <c r="H728" i="11"/>
  <c r="G719" i="11"/>
  <c r="G413" i="11"/>
  <c r="D830" i="11"/>
  <c r="C294" i="11"/>
  <c r="I395" i="11"/>
  <c r="C738" i="11"/>
  <c r="D400" i="11"/>
  <c r="H1068" i="11"/>
  <c r="E426" i="11"/>
  <c r="B375" i="11"/>
  <c r="B217" i="11"/>
  <c r="C1030" i="11"/>
  <c r="E43" i="11"/>
  <c r="C1055" i="11"/>
  <c r="J324" i="11"/>
  <c r="L15" i="11"/>
  <c r="B650" i="11"/>
  <c r="L1160" i="11"/>
  <c r="L465" i="11"/>
  <c r="C1239" i="11"/>
  <c r="L461" i="11"/>
  <c r="K460" i="11"/>
  <c r="C854" i="11"/>
  <c r="B350" i="11"/>
  <c r="E111" i="11"/>
  <c r="B561" i="11"/>
  <c r="D1208" i="11"/>
  <c r="C381" i="11"/>
  <c r="C768" i="11"/>
  <c r="C378" i="11"/>
  <c r="I62" i="11"/>
  <c r="E664" i="11"/>
  <c r="I508" i="11"/>
  <c r="G506" i="11"/>
  <c r="D403" i="11"/>
  <c r="J300" i="11"/>
  <c r="K1149" i="11"/>
  <c r="K1169" i="11"/>
  <c r="G221" i="11"/>
  <c r="H1046" i="11"/>
  <c r="D1261" i="11"/>
  <c r="D1280" i="11"/>
  <c r="G253" i="11"/>
  <c r="H1220" i="11"/>
  <c r="G261" i="11"/>
  <c r="K809" i="11"/>
  <c r="L375" i="11"/>
  <c r="L1034" i="11"/>
  <c r="D112" i="11"/>
  <c r="D369" i="11"/>
  <c r="B471" i="11"/>
  <c r="F1044" i="11"/>
  <c r="C1007" i="11"/>
  <c r="H296" i="11"/>
  <c r="F915" i="11"/>
  <c r="K1220" i="11"/>
  <c r="K234" i="11"/>
  <c r="J614" i="11"/>
  <c r="C610" i="11"/>
  <c r="L489" i="11"/>
  <c r="I146" i="11"/>
  <c r="K895" i="11"/>
  <c r="G635" i="11"/>
  <c r="C534" i="11"/>
  <c r="B381" i="11"/>
  <c r="B377" i="11"/>
  <c r="J353" i="11"/>
  <c r="J236" i="11"/>
  <c r="C765" i="11"/>
  <c r="C770" i="11"/>
  <c r="H12" i="11"/>
  <c r="K317" i="11"/>
  <c r="G982" i="11"/>
  <c r="J186" i="11"/>
  <c r="H223" i="11"/>
  <c r="D247" i="11"/>
  <c r="J805" i="11"/>
  <c r="E581" i="11"/>
  <c r="C365" i="11"/>
  <c r="C517" i="11"/>
  <c r="D735" i="11"/>
  <c r="D1025" i="11"/>
  <c r="H1112" i="11"/>
  <c r="J33" i="11"/>
  <c r="D843" i="11"/>
  <c r="C1210" i="11"/>
  <c r="I470" i="11"/>
  <c r="C321" i="11"/>
  <c r="H1250" i="11"/>
  <c r="G1137" i="11"/>
  <c r="J1190" i="11"/>
  <c r="C774" i="11"/>
  <c r="G802" i="11"/>
  <c r="L386" i="11"/>
  <c r="J173" i="11"/>
  <c r="G337" i="11"/>
  <c r="C501" i="11"/>
  <c r="B243" i="11"/>
  <c r="D834" i="11"/>
  <c r="F296" i="11"/>
  <c r="I124" i="11"/>
  <c r="C1046" i="11"/>
  <c r="L891" i="11"/>
  <c r="L478" i="11"/>
  <c r="L379" i="11"/>
  <c r="L935" i="11"/>
  <c r="F267" i="11"/>
  <c r="B608" i="11"/>
  <c r="G803" i="11"/>
  <c r="D962" i="11"/>
  <c r="E260" i="11"/>
  <c r="F648" i="11"/>
  <c r="F259" i="11"/>
  <c r="L403" i="11"/>
  <c r="C1223" i="11"/>
  <c r="G296" i="11"/>
  <c r="B463" i="11"/>
  <c r="K774" i="11"/>
  <c r="G1205" i="11"/>
  <c r="K470" i="11"/>
  <c r="L754" i="11"/>
  <c r="G1006" i="11"/>
  <c r="G1238" i="11"/>
  <c r="D352" i="11"/>
  <c r="H807" i="11"/>
  <c r="D476" i="11"/>
  <c r="C1020" i="11"/>
  <c r="E717" i="11"/>
  <c r="G533" i="11"/>
  <c r="B850" i="11"/>
  <c r="G1042" i="11"/>
  <c r="E313" i="11"/>
  <c r="H597" i="11"/>
  <c r="G811" i="11"/>
  <c r="K374" i="11"/>
  <c r="C251" i="11"/>
  <c r="G876" i="11"/>
  <c r="G1172" i="11"/>
  <c r="G724" i="11"/>
  <c r="H1203" i="11"/>
  <c r="D177" i="11"/>
  <c r="H744" i="11"/>
  <c r="H293" i="11"/>
  <c r="L584" i="11"/>
  <c r="L876" i="11"/>
  <c r="B1201" i="11"/>
  <c r="B502" i="11"/>
  <c r="E118" i="11"/>
  <c r="K1056" i="11"/>
  <c r="J1211" i="11"/>
  <c r="F413" i="11"/>
  <c r="I248" i="11"/>
  <c r="D409" i="11"/>
  <c r="F560" i="11"/>
  <c r="G1187" i="11"/>
  <c r="K321" i="11"/>
  <c r="D864" i="11"/>
  <c r="K808" i="11"/>
  <c r="K370" i="11"/>
  <c r="J267" i="11"/>
  <c r="H260" i="11"/>
  <c r="J132" i="11"/>
  <c r="G814" i="11"/>
  <c r="H1028" i="11"/>
  <c r="G845" i="11"/>
  <c r="B1278" i="11"/>
  <c r="K1033" i="11"/>
  <c r="C798" i="11"/>
  <c r="G940" i="11"/>
  <c r="G1233" i="11"/>
  <c r="G996" i="11"/>
  <c r="K257" i="11"/>
  <c r="D736" i="11"/>
  <c r="K10" i="11"/>
  <c r="H1181" i="11"/>
  <c r="I398" i="11"/>
  <c r="L1242" i="11"/>
  <c r="J68" i="11"/>
  <c r="E467" i="11"/>
  <c r="L233" i="11"/>
  <c r="C766" i="11"/>
  <c r="J1205" i="11"/>
  <c r="J376" i="11"/>
  <c r="E169" i="11"/>
  <c r="B225" i="11"/>
  <c r="F1245" i="11"/>
  <c r="F1276" i="11"/>
  <c r="K786" i="11"/>
  <c r="D787" i="11"/>
  <c r="K1161" i="11"/>
  <c r="F368" i="11"/>
  <c r="C1160" i="11"/>
  <c r="D5" i="11"/>
  <c r="J58" i="11"/>
  <c r="G226" i="11"/>
  <c r="I310" i="11"/>
  <c r="C1230" i="11"/>
  <c r="D277" i="11"/>
  <c r="J1050" i="11"/>
  <c r="G322" i="11"/>
  <c r="D1260" i="11"/>
  <c r="D877" i="11"/>
  <c r="B587" i="11"/>
  <c r="K1049" i="11"/>
  <c r="L723" i="11"/>
  <c r="B435" i="11"/>
  <c r="D1251" i="11"/>
  <c r="L1079" i="11"/>
  <c r="J1241" i="11"/>
  <c r="L1149" i="11"/>
  <c r="E155" i="11"/>
  <c r="J223" i="11"/>
  <c r="D873" i="11"/>
  <c r="G1226" i="11"/>
  <c r="C1123" i="11"/>
  <c r="L447" i="11"/>
  <c r="J1261" i="11"/>
  <c r="L926" i="11"/>
  <c r="I432" i="11"/>
  <c r="G1139" i="11"/>
  <c r="E347" i="11"/>
  <c r="F1185" i="11"/>
  <c r="H650" i="11"/>
  <c r="D869" i="11"/>
  <c r="D989" i="11"/>
  <c r="H958" i="11"/>
  <c r="G1016" i="11"/>
  <c r="G537" i="11"/>
  <c r="D771" i="11"/>
  <c r="D1088" i="11"/>
  <c r="H1215" i="11"/>
  <c r="J621" i="11"/>
  <c r="L811" i="11"/>
  <c r="I100" i="11"/>
  <c r="L897" i="11"/>
  <c r="L946" i="11"/>
  <c r="E228" i="11"/>
  <c r="D149" i="11"/>
  <c r="G874" i="11"/>
  <c r="D749" i="11"/>
  <c r="B1216" i="11"/>
  <c r="E44" i="11"/>
  <c r="D930" i="11"/>
  <c r="C926" i="11"/>
  <c r="K466" i="11"/>
  <c r="K293" i="11"/>
  <c r="D109" i="11"/>
  <c r="G973" i="11"/>
  <c r="G949" i="11"/>
  <c r="F1197" i="11"/>
  <c r="G344" i="11"/>
  <c r="J114" i="11"/>
  <c r="G871" i="11"/>
  <c r="H982" i="11"/>
  <c r="F315" i="11"/>
  <c r="K914" i="11"/>
  <c r="H217" i="11"/>
  <c r="D178" i="11"/>
  <c r="G470" i="11"/>
  <c r="D1100" i="11"/>
  <c r="G351" i="11"/>
  <c r="D733" i="11"/>
  <c r="B1194" i="11"/>
  <c r="E265" i="11"/>
  <c r="D31" i="11"/>
  <c r="D72" i="11"/>
  <c r="H819" i="11"/>
  <c r="D333" i="11"/>
  <c r="C1170" i="11"/>
  <c r="F595" i="11"/>
  <c r="J1189" i="11"/>
  <c r="G730" i="11"/>
  <c r="H917" i="11"/>
  <c r="E196" i="11"/>
  <c r="D307" i="11"/>
  <c r="D148" i="11"/>
  <c r="H880" i="11"/>
  <c r="D720" i="11"/>
  <c r="D7" i="11"/>
  <c r="G419" i="11"/>
  <c r="K783" i="11"/>
  <c r="G796" i="11"/>
  <c r="H1080" i="11"/>
  <c r="G279" i="11"/>
  <c r="F387" i="11"/>
  <c r="G272" i="11"/>
  <c r="G860" i="11"/>
  <c r="L12" i="11"/>
  <c r="K882" i="11"/>
  <c r="C308" i="11"/>
  <c r="J79" i="11"/>
  <c r="K378" i="11"/>
  <c r="E579" i="11"/>
  <c r="E283" i="11"/>
  <c r="D1270" i="11"/>
  <c r="G1123" i="11"/>
  <c r="L1226" i="11"/>
  <c r="H1197" i="11"/>
  <c r="H1165" i="11"/>
  <c r="K799" i="11"/>
  <c r="G923" i="11"/>
  <c r="J988" i="11"/>
  <c r="I337" i="11"/>
  <c r="L1283" i="11"/>
  <c r="D244" i="11"/>
  <c r="E105" i="11"/>
  <c r="K919" i="11"/>
  <c r="D828" i="11"/>
  <c r="L247" i="11"/>
  <c r="F1057" i="11"/>
  <c r="G1198" i="11"/>
  <c r="D158" i="11"/>
  <c r="J48" i="11"/>
  <c r="I308" i="11"/>
  <c r="G828" i="11"/>
  <c r="C480" i="11"/>
  <c r="J546" i="11"/>
  <c r="H330" i="11"/>
  <c r="K829" i="11"/>
  <c r="E379" i="11"/>
  <c r="C763" i="11"/>
  <c r="B393" i="11"/>
  <c r="D413" i="11"/>
  <c r="L275" i="11"/>
  <c r="H933" i="11"/>
  <c r="B1235" i="11"/>
  <c r="I292" i="11"/>
  <c r="E491" i="11"/>
  <c r="E187" i="11"/>
  <c r="D827" i="11"/>
  <c r="H1287" i="11"/>
  <c r="D1106" i="11"/>
  <c r="G836" i="11"/>
  <c r="K727" i="11"/>
  <c r="B554" i="11"/>
  <c r="G1197" i="11"/>
  <c r="G340" i="11"/>
  <c r="J464" i="11"/>
  <c r="L1153" i="11"/>
  <c r="D907" i="11"/>
  <c r="K281" i="11"/>
  <c r="D1176" i="11"/>
  <c r="G933" i="11"/>
  <c r="K1017" i="11"/>
  <c r="J4" i="11"/>
  <c r="C847" i="11"/>
  <c r="D98" i="11"/>
  <c r="I418" i="11"/>
  <c r="L1016" i="11"/>
  <c r="B1250" i="11"/>
  <c r="C258" i="11"/>
  <c r="I679" i="11"/>
  <c r="G425" i="11"/>
  <c r="L956" i="11"/>
  <c r="D104" i="11"/>
  <c r="L303" i="11"/>
  <c r="L721" i="11"/>
  <c r="H242" i="11"/>
  <c r="D1252" i="11"/>
  <c r="C438" i="11"/>
  <c r="E376" i="11"/>
  <c r="K355" i="11"/>
  <c r="K360" i="11"/>
  <c r="C274" i="11"/>
  <c r="H308" i="11"/>
  <c r="K1205" i="11"/>
  <c r="J168" i="11"/>
  <c r="C306" i="11"/>
  <c r="L1168" i="11"/>
  <c r="C314" i="11"/>
  <c r="D401" i="11"/>
  <c r="G948" i="11"/>
  <c r="G970" i="11"/>
  <c r="C778" i="11"/>
  <c r="C1231" i="11"/>
  <c r="G818" i="11"/>
  <c r="G378" i="11"/>
  <c r="K276" i="11"/>
  <c r="L18" i="11"/>
  <c r="J1242" i="11"/>
  <c r="H1206" i="11"/>
  <c r="G792" i="11"/>
  <c r="H1106" i="11"/>
  <c r="J426" i="11"/>
  <c r="E200" i="11"/>
  <c r="B438" i="11"/>
  <c r="I344" i="11"/>
  <c r="J570" i="11"/>
  <c r="H790" i="11"/>
  <c r="H319" i="11"/>
  <c r="K1238" i="11"/>
  <c r="D362" i="11"/>
  <c r="E505" i="11"/>
  <c r="D1236" i="11"/>
  <c r="G873" i="11"/>
  <c r="J578" i="11"/>
  <c r="G986" i="11"/>
  <c r="J389" i="11"/>
  <c r="C311" i="11"/>
  <c r="D837" i="11"/>
  <c r="C482" i="11"/>
  <c r="C1203" i="11"/>
  <c r="K519" i="11"/>
  <c r="G430" i="11"/>
  <c r="L910" i="11"/>
  <c r="C807" i="11"/>
  <c r="C912" i="11"/>
  <c r="C1126" i="11"/>
  <c r="H1214" i="11"/>
  <c r="G777" i="11"/>
  <c r="F1056" i="11"/>
  <c r="L450" i="11"/>
  <c r="H235" i="11"/>
  <c r="H764" i="11"/>
  <c r="C902" i="11"/>
  <c r="G1246" i="11"/>
  <c r="G401" i="11"/>
  <c r="D161" i="11"/>
  <c r="D1244" i="11"/>
  <c r="C928" i="11"/>
  <c r="K794" i="11"/>
  <c r="K482" i="11"/>
  <c r="F318" i="11"/>
  <c r="G1034" i="11"/>
  <c r="E477" i="11"/>
  <c r="G270" i="11"/>
  <c r="G1193" i="11"/>
  <c r="K473" i="11"/>
  <c r="I452" i="11"/>
  <c r="E167" i="11"/>
  <c r="C814" i="11"/>
  <c r="G931" i="11"/>
  <c r="F424" i="11"/>
  <c r="D97" i="11"/>
  <c r="B490" i="11"/>
  <c r="H407" i="11"/>
  <c r="L1144" i="11"/>
  <c r="C887" i="11"/>
  <c r="D62" i="11"/>
  <c r="D291" i="11"/>
  <c r="K229" i="11"/>
  <c r="G862" i="11"/>
  <c r="B1242" i="11"/>
  <c r="C403" i="11"/>
  <c r="K1036" i="11"/>
  <c r="B245" i="11"/>
  <c r="B571" i="11"/>
  <c r="L549" i="11"/>
  <c r="D763" i="11"/>
  <c r="D1059" i="11"/>
  <c r="H1258" i="11"/>
  <c r="G1136" i="11"/>
  <c r="H488" i="11"/>
  <c r="D835" i="11"/>
  <c r="D1187" i="11"/>
  <c r="K759" i="11"/>
  <c r="G1202" i="11"/>
  <c r="G1001" i="11"/>
  <c r="B1047" i="11"/>
  <c r="E36" i="11"/>
  <c r="D261" i="11"/>
  <c r="D1200" i="11"/>
  <c r="H303" i="11"/>
  <c r="H1111" i="11"/>
  <c r="G1219" i="11"/>
  <c r="F1045" i="11"/>
  <c r="C441" i="11"/>
  <c r="H1090" i="11"/>
  <c r="L1171" i="11"/>
  <c r="D1119" i="11"/>
  <c r="B1206" i="11"/>
  <c r="D1264" i="11"/>
  <c r="H884" i="11"/>
  <c r="L1274" i="11"/>
  <c r="H975" i="11"/>
  <c r="L815" i="11"/>
  <c r="C416" i="11"/>
  <c r="H1172" i="11"/>
  <c r="B397" i="11"/>
  <c r="B302" i="11"/>
  <c r="B722" i="11"/>
  <c r="G759" i="11"/>
  <c r="D765" i="11"/>
  <c r="B1056" i="11"/>
  <c r="E244" i="11"/>
  <c r="G566" i="11"/>
  <c r="G831" i="11"/>
  <c r="D1042" i="11"/>
  <c r="L305" i="11"/>
  <c r="C565" i="11"/>
  <c r="H290" i="11"/>
  <c r="B433" i="11"/>
  <c r="K740" i="11"/>
  <c r="C801" i="11"/>
  <c r="D788" i="11"/>
  <c r="F1265" i="11"/>
  <c r="G858" i="11"/>
  <c r="L787" i="11"/>
  <c r="F299" i="11"/>
  <c r="L731" i="11"/>
  <c r="D96" i="11"/>
  <c r="E41" i="11"/>
  <c r="K887" i="11"/>
  <c r="D353" i="11"/>
  <c r="L1111" i="11"/>
  <c r="F1218" i="11"/>
  <c r="F497" i="11"/>
  <c r="F1280" i="11"/>
  <c r="E191" i="11"/>
  <c r="F568" i="11"/>
  <c r="J10" i="11"/>
  <c r="G570" i="11"/>
  <c r="C967" i="11"/>
  <c r="K915" i="11"/>
  <c r="B1212" i="11"/>
  <c r="L1028" i="11"/>
  <c r="L1106" i="11"/>
  <c r="K803" i="11"/>
  <c r="J84" i="11"/>
  <c r="H17" i="11"/>
  <c r="C467" i="11"/>
  <c r="L1113" i="11"/>
  <c r="D875" i="11"/>
  <c r="K273" i="11"/>
  <c r="D1168" i="11"/>
  <c r="G922" i="11"/>
  <c r="K985" i="11"/>
  <c r="J54" i="11"/>
  <c r="F6" i="11"/>
  <c r="G878" i="11"/>
  <c r="K441" i="11"/>
  <c r="H269" i="11"/>
  <c r="D984" i="11"/>
  <c r="K345" i="11"/>
  <c r="D1224" i="11"/>
  <c r="G1019" i="11"/>
  <c r="C305" i="11"/>
  <c r="J1046" i="11"/>
  <c r="F1224" i="11"/>
  <c r="G1140" i="11"/>
  <c r="G1192" i="11"/>
  <c r="J199" i="11"/>
  <c r="J76" i="11"/>
  <c r="B1252" i="11"/>
  <c r="H514" i="11"/>
  <c r="D344" i="11"/>
  <c r="D832" i="11"/>
  <c r="I394" i="11"/>
  <c r="G780" i="11"/>
  <c r="H1235" i="11"/>
  <c r="H923" i="11"/>
  <c r="E79" i="11"/>
  <c r="K888" i="11"/>
  <c r="D982" i="11"/>
  <c r="J170" i="11"/>
  <c r="D286" i="11"/>
  <c r="B1231" i="11"/>
  <c r="B1265" i="11"/>
  <c r="I161" i="11"/>
  <c r="L1209" i="11"/>
  <c r="H1242" i="11"/>
  <c r="D912" i="11"/>
  <c r="H225" i="11"/>
  <c r="C336" i="11"/>
  <c r="D1156" i="11"/>
  <c r="K916" i="11"/>
  <c r="B1280" i="11"/>
  <c r="L692" i="11"/>
  <c r="G280" i="11"/>
  <c r="J1236" i="11"/>
  <c r="H1157" i="11"/>
  <c r="G1234" i="11"/>
  <c r="H832" i="11"/>
  <c r="G433" i="11"/>
  <c r="K744" i="11"/>
  <c r="C878" i="11"/>
  <c r="L1163" i="11"/>
  <c r="K1046" i="11"/>
  <c r="C833" i="11"/>
  <c r="G366" i="11"/>
  <c r="E484" i="11"/>
  <c r="J299" i="11"/>
  <c r="C1227" i="11"/>
  <c r="D769" i="11"/>
  <c r="K377" i="11"/>
  <c r="B300" i="11"/>
  <c r="E348" i="11"/>
  <c r="H770" i="11"/>
  <c r="C1016" i="11"/>
  <c r="J602" i="11"/>
  <c r="K481" i="11"/>
  <c r="L235" i="11"/>
  <c r="L255" i="11"/>
  <c r="J289" i="11"/>
  <c r="I106" i="11"/>
  <c r="C1175" i="11"/>
  <c r="C1130" i="11"/>
  <c r="H1058" i="11"/>
  <c r="K976" i="11"/>
  <c r="B391" i="11"/>
  <c r="L1288" i="11"/>
  <c r="H1105" i="11"/>
  <c r="E409" i="11"/>
  <c r="D402" i="11"/>
  <c r="J480" i="11"/>
  <c r="G318" i="11"/>
  <c r="L469" i="11"/>
  <c r="D1044" i="11"/>
  <c r="G267" i="11"/>
  <c r="C1009" i="11"/>
  <c r="J1270" i="11"/>
  <c r="C444" i="11"/>
  <c r="D393" i="11"/>
  <c r="B1003" i="11"/>
  <c r="D957" i="11"/>
  <c r="G990" i="11"/>
  <c r="D309" i="11"/>
  <c r="G565" i="11"/>
  <c r="L931" i="11"/>
  <c r="H821" i="11"/>
  <c r="D265" i="11"/>
  <c r="G1031" i="11"/>
  <c r="H317" i="11"/>
  <c r="K984" i="11"/>
  <c r="G787" i="11"/>
  <c r="E249" i="11"/>
  <c r="H1054" i="11"/>
  <c r="J1208" i="11"/>
  <c r="C1139" i="11"/>
  <c r="L423" i="11"/>
  <c r="E515" i="11"/>
  <c r="G338" i="11"/>
  <c r="L307" i="11"/>
  <c r="B553" i="11"/>
  <c r="H1040" i="11"/>
  <c r="H970" i="11"/>
  <c r="F295" i="11"/>
  <c r="H883" i="11"/>
  <c r="D778" i="11"/>
  <c r="G243" i="11"/>
  <c r="J1230" i="11"/>
  <c r="K942" i="11"/>
  <c r="C895" i="11"/>
  <c r="J1243" i="11"/>
  <c r="D278" i="11"/>
  <c r="H23" i="11"/>
  <c r="F272" i="11"/>
  <c r="G1011" i="11"/>
  <c r="L1200" i="11"/>
  <c r="J60" i="11"/>
  <c r="K1164" i="11"/>
  <c r="K997" i="11"/>
  <c r="L295" i="11"/>
  <c r="D1014" i="11"/>
  <c r="G1038" i="11"/>
  <c r="D916" i="11"/>
  <c r="G965" i="11"/>
  <c r="E140" i="11"/>
  <c r="H1136" i="11"/>
  <c r="J1290" i="11"/>
  <c r="D162" i="11"/>
  <c r="L924" i="11"/>
  <c r="L394" i="11"/>
  <c r="G898" i="11"/>
  <c r="L1049" i="11"/>
  <c r="B1273" i="11"/>
  <c r="K840" i="11"/>
  <c r="K739" i="11"/>
  <c r="E224" i="11"/>
  <c r="H1178" i="11"/>
  <c r="D1064" i="11"/>
  <c r="G323" i="11"/>
  <c r="K334" i="11"/>
  <c r="K1044" i="11"/>
  <c r="C960" i="11"/>
  <c r="K1054" i="11"/>
  <c r="D849" i="11"/>
  <c r="H772" i="11"/>
  <c r="L841" i="11"/>
  <c r="D1128" i="11"/>
  <c r="F1195" i="11"/>
  <c r="C354" i="11"/>
  <c r="H335" i="11"/>
  <c r="C253" i="11"/>
  <c r="J188" i="11"/>
  <c r="L1157" i="11"/>
  <c r="C978" i="11"/>
  <c r="H747" i="11"/>
  <c r="C876" i="11"/>
  <c r="J1040" i="11"/>
  <c r="H918" i="11"/>
  <c r="G987" i="11"/>
  <c r="G290" i="11"/>
  <c r="K244" i="11"/>
  <c r="F1278" i="11"/>
  <c r="B1045" i="11"/>
  <c r="D1144" i="11"/>
  <c r="J347" i="11"/>
  <c r="L970" i="11"/>
  <c r="G794" i="11"/>
  <c r="E394" i="11"/>
  <c r="D128" i="11"/>
  <c r="K854" i="11"/>
  <c r="E327" i="11"/>
  <c r="G883" i="11"/>
  <c r="B1290" i="11"/>
  <c r="G742" i="11"/>
  <c r="H527" i="11"/>
  <c r="K320" i="11"/>
  <c r="C300" i="11"/>
  <c r="L888" i="11"/>
  <c r="E449" i="11"/>
  <c r="J1278" i="11"/>
  <c r="B494" i="11"/>
  <c r="H1148" i="11"/>
  <c r="G294" i="11"/>
  <c r="G921" i="11"/>
  <c r="D250" i="11"/>
  <c r="B383" i="11"/>
  <c r="H1273" i="11"/>
  <c r="G761" i="11"/>
  <c r="I709" i="11"/>
  <c r="J481" i="11"/>
  <c r="I286" i="11"/>
  <c r="C1158" i="11"/>
  <c r="F473" i="11"/>
  <c r="L941" i="11"/>
  <c r="F532" i="11"/>
  <c r="G1147" i="11"/>
  <c r="B568" i="11"/>
  <c r="F1202" i="11"/>
  <c r="L720" i="11"/>
  <c r="L1107" i="11"/>
  <c r="H1000" i="11"/>
  <c r="D870" i="11"/>
  <c r="L1216" i="11"/>
  <c r="K1208" i="11"/>
  <c r="D1190" i="11"/>
  <c r="K787" i="11"/>
  <c r="J11" i="11"/>
  <c r="K1142" i="11"/>
  <c r="J80" i="11"/>
  <c r="K218" i="11"/>
  <c r="J209" i="11"/>
  <c r="L566" i="11"/>
  <c r="K1002" i="11"/>
  <c r="E1050" i="11"/>
  <c r="C859" i="11"/>
  <c r="K863" i="11"/>
  <c r="L1258" i="11"/>
  <c r="K826" i="11"/>
  <c r="F1257" i="11"/>
  <c r="L1195" i="11"/>
  <c r="J1232" i="11"/>
  <c r="I48" i="11"/>
  <c r="H1221" i="11"/>
  <c r="J473" i="11"/>
  <c r="K1188" i="11"/>
  <c r="G952" i="11"/>
  <c r="B1263" i="11"/>
  <c r="G304" i="11"/>
  <c r="H1231" i="11"/>
  <c r="J21" i="11"/>
  <c r="K706" i="11"/>
  <c r="L722" i="11"/>
  <c r="K268" i="11"/>
  <c r="G447" i="11"/>
  <c r="C228" i="11"/>
  <c r="G1025" i="11"/>
  <c r="J63" i="11"/>
  <c r="G768" i="11"/>
  <c r="K330" i="11"/>
  <c r="J69" i="11"/>
  <c r="C988" i="11"/>
  <c r="H1286" i="11"/>
  <c r="G1177" i="11"/>
  <c r="J198" i="11"/>
  <c r="B305" i="11"/>
  <c r="I336" i="11"/>
  <c r="B373" i="11"/>
  <c r="G1130" i="11"/>
  <c r="G789" i="11"/>
  <c r="J37" i="11"/>
  <c r="C870" i="11"/>
  <c r="K972" i="11"/>
  <c r="D1169" i="11"/>
  <c r="G1217" i="11"/>
  <c r="G1229" i="11"/>
  <c r="G371" i="11"/>
  <c r="G938" i="11"/>
  <c r="H1039" i="11"/>
  <c r="K1134" i="11"/>
  <c r="L388" i="11"/>
  <c r="K231" i="11"/>
  <c r="K1155" i="11"/>
  <c r="F876" i="11"/>
  <c r="H1021" i="11"/>
  <c r="C992" i="11"/>
  <c r="G747" i="11"/>
  <c r="D974" i="11"/>
  <c r="J558" i="11"/>
  <c r="H256" i="11"/>
  <c r="G999" i="11"/>
  <c r="D1290" i="11"/>
  <c r="C820" i="11"/>
  <c r="B1234" i="11"/>
  <c r="D894" i="11"/>
  <c r="L809" i="11"/>
  <c r="G237" i="11"/>
  <c r="D304" i="11"/>
  <c r="H1050" i="11"/>
  <c r="J1048" i="11"/>
  <c r="K853" i="11"/>
  <c r="J1258" i="11"/>
  <c r="E59" i="11"/>
  <c r="G865" i="11"/>
  <c r="H1113" i="11"/>
  <c r="H428" i="11"/>
  <c r="B1261" i="11"/>
  <c r="L250" i="11"/>
  <c r="K832" i="11"/>
  <c r="G361" i="11"/>
  <c r="L1108" i="11"/>
  <c r="H490" i="11"/>
  <c r="J383" i="11"/>
  <c r="K319" i="11"/>
  <c r="C571" i="11"/>
  <c r="L757" i="11"/>
  <c r="H278" i="11"/>
  <c r="D1271" i="11"/>
  <c r="E383" i="11"/>
  <c r="C1043" i="11"/>
  <c r="D197" i="11"/>
  <c r="B1285" i="11"/>
  <c r="E377" i="11"/>
  <c r="L705" i="11"/>
  <c r="F376" i="11"/>
  <c r="L551" i="11"/>
  <c r="D855" i="11"/>
  <c r="G786" i="11"/>
  <c r="I40" i="11"/>
  <c r="L1024" i="11"/>
  <c r="H1051" i="11"/>
  <c r="B1258" i="11"/>
  <c r="B659" i="11"/>
  <c r="C268" i="11"/>
  <c r="K715" i="11"/>
  <c r="D664" i="11"/>
  <c r="G230" i="11"/>
  <c r="C1208" i="11"/>
  <c r="B1192" i="11"/>
  <c r="E125" i="11"/>
  <c r="D299" i="11"/>
  <c r="H826" i="11"/>
  <c r="F550" i="11"/>
  <c r="J1231" i="11"/>
  <c r="C1051" i="11"/>
  <c r="D205" i="11"/>
  <c r="G1237" i="11"/>
  <c r="K889" i="11"/>
  <c r="C1052" i="11"/>
  <c r="H949" i="11"/>
  <c r="B1251" i="11"/>
  <c r="D747" i="11"/>
  <c r="C846" i="11"/>
  <c r="G567" i="11"/>
  <c r="C1164" i="11"/>
  <c r="D210" i="11"/>
  <c r="C742" i="11"/>
  <c r="G372" i="11"/>
  <c r="D754" i="11"/>
  <c r="E532" i="11"/>
  <c r="J322" i="11"/>
  <c r="C957" i="11"/>
  <c r="K488" i="11"/>
  <c r="D783" i="11"/>
  <c r="D1041" i="11"/>
  <c r="K9" i="11"/>
  <c r="J81" i="11"/>
  <c r="D960" i="11"/>
  <c r="D196" i="11"/>
  <c r="J427" i="11"/>
  <c r="D89" i="11"/>
  <c r="D1097" i="11"/>
  <c r="C999" i="11"/>
  <c r="B1053" i="11"/>
  <c r="D1103" i="11"/>
  <c r="J1279" i="11"/>
  <c r="J1201" i="11"/>
  <c r="J1266" i="11"/>
  <c r="F1223" i="11"/>
  <c r="C242" i="11"/>
  <c r="C1247" i="11"/>
  <c r="H1153" i="11"/>
  <c r="J49" i="11"/>
  <c r="D896" i="11"/>
  <c r="D60" i="11"/>
  <c r="D455" i="11"/>
  <c r="D25" i="11"/>
  <c r="D865" i="11"/>
  <c r="C910" i="11"/>
  <c r="F571" i="11"/>
  <c r="D1031" i="11"/>
  <c r="F663" i="11"/>
  <c r="F472" i="11"/>
  <c r="D170" i="11"/>
  <c r="I347" i="11"/>
  <c r="D847" i="11"/>
  <c r="D1124" i="11"/>
  <c r="K807" i="11"/>
  <c r="J145" i="11"/>
  <c r="D1056" i="11"/>
  <c r="H362" i="11"/>
  <c r="L311" i="11"/>
  <c r="I468" i="11"/>
  <c r="J399" i="11"/>
  <c r="H1245" i="11"/>
  <c r="G750" i="11"/>
  <c r="G1241" i="11"/>
  <c r="D1050" i="11"/>
  <c r="E123" i="11"/>
  <c r="K217" i="11"/>
  <c r="G846" i="11"/>
  <c r="B1049" i="11"/>
  <c r="G364" i="11"/>
  <c r="J71" i="11"/>
  <c r="F1266" i="11"/>
  <c r="D100" i="11"/>
  <c r="B1197" i="11"/>
  <c r="H854" i="11"/>
  <c r="G1248" i="11"/>
  <c r="C1220" i="11"/>
  <c r="C1212" i="11"/>
  <c r="F1264" i="11"/>
  <c r="L834" i="11"/>
  <c r="D815" i="11"/>
  <c r="K1241" i="11"/>
  <c r="K322" i="11"/>
  <c r="J214" i="11"/>
  <c r="J553" i="11"/>
  <c r="G1180" i="11"/>
  <c r="C496" i="11"/>
  <c r="C375" i="11"/>
  <c r="G749" i="11"/>
  <c r="D963" i="11"/>
  <c r="G825" i="11"/>
  <c r="G947" i="11"/>
  <c r="H996" i="11"/>
  <c r="K931" i="11"/>
  <c r="F1273" i="11"/>
  <c r="L851" i="11"/>
  <c r="J86" i="11"/>
  <c r="H1072" i="11"/>
  <c r="K1004" i="11"/>
  <c r="B565" i="11"/>
  <c r="B472" i="11"/>
  <c r="H1158" i="11"/>
  <c r="L769" i="11"/>
  <c r="D1241" i="11"/>
  <c r="F367" i="11"/>
  <c r="K745" i="11"/>
  <c r="H372" i="11"/>
  <c r="E175" i="11"/>
  <c r="J235" i="11"/>
  <c r="C969" i="11"/>
  <c r="I402" i="11"/>
  <c r="L919" i="11"/>
  <c r="K1219" i="11"/>
  <c r="D1175" i="11"/>
  <c r="H839" i="11"/>
  <c r="C1024" i="11"/>
  <c r="G379" i="11"/>
  <c r="C1244" i="11"/>
  <c r="C1240" i="11"/>
  <c r="D274" i="11"/>
  <c r="J1268" i="11"/>
  <c r="D1195" i="11"/>
  <c r="E433" i="11"/>
  <c r="H410" i="11"/>
  <c r="H972" i="11"/>
  <c r="I328" i="11"/>
  <c r="D142" i="11"/>
  <c r="B232" i="11"/>
  <c r="C343" i="11"/>
  <c r="D81" i="11"/>
  <c r="B387" i="11"/>
  <c r="D1219" i="11"/>
  <c r="L1178" i="11"/>
  <c r="L1073" i="11"/>
  <c r="C223" i="11"/>
  <c r="E81" i="11"/>
  <c r="C1004" i="11"/>
  <c r="L755" i="11"/>
  <c r="C952" i="11"/>
  <c r="F1283" i="11"/>
  <c r="D50" i="11"/>
  <c r="J1286" i="11"/>
  <c r="C546" i="11"/>
  <c r="H787" i="11"/>
  <c r="C319" i="11"/>
  <c r="L339" i="11"/>
  <c r="C1135" i="11"/>
  <c r="H336" i="11"/>
  <c r="D954" i="11"/>
  <c r="B1039" i="11"/>
  <c r="D230" i="11"/>
  <c r="G556" i="11"/>
  <c r="D824" i="11"/>
  <c r="D958" i="11"/>
  <c r="H885" i="11"/>
  <c r="C740" i="11"/>
  <c r="G1143" i="11"/>
  <c r="G411" i="11"/>
  <c r="H1025" i="11"/>
  <c r="D270" i="11"/>
  <c r="C728" i="11"/>
  <c r="H864" i="11"/>
  <c r="D1016" i="11"/>
  <c r="D193" i="11"/>
  <c r="B1256" i="11"/>
  <c r="K1234" i="11"/>
  <c r="J1041" i="11"/>
  <c r="G1204" i="11"/>
  <c r="B1287" i="11"/>
  <c r="D242" i="11"/>
  <c r="J90" i="11"/>
  <c r="L596" i="11"/>
  <c r="D734" i="11"/>
  <c r="C971" i="11"/>
  <c r="H408" i="11"/>
  <c r="K261" i="11"/>
  <c r="D141" i="11"/>
  <c r="G1196" i="11"/>
  <c r="G906" i="11"/>
  <c r="C792" i="11"/>
  <c r="K936" i="11"/>
  <c r="F1259" i="11"/>
  <c r="J18" i="11"/>
  <c r="D998" i="11"/>
  <c r="J177" i="11"/>
  <c r="B1218" i="11"/>
  <c r="B366" i="11"/>
  <c r="H866" i="11"/>
  <c r="D1139" i="11"/>
  <c r="K850" i="11"/>
  <c r="C916" i="11"/>
  <c r="L565" i="11"/>
  <c r="D886" i="11"/>
  <c r="G223" i="11"/>
  <c r="C1122" i="11"/>
  <c r="F1274" i="11"/>
  <c r="J317" i="11"/>
  <c r="C945" i="11"/>
  <c r="C1222" i="11"/>
  <c r="H736" i="11"/>
  <c r="D269" i="11"/>
  <c r="C844" i="11"/>
  <c r="J551" i="11"/>
  <c r="J559" i="11"/>
  <c r="G306" i="11"/>
  <c r="H373" i="11"/>
  <c r="B259" i="11"/>
  <c r="D63" i="11"/>
  <c r="D84" i="11"/>
  <c r="H827" i="11"/>
  <c r="D341" i="11"/>
  <c r="C1196" i="11"/>
  <c r="H943" i="11"/>
  <c r="K361" i="11"/>
  <c r="D441" i="11"/>
  <c r="I176" i="11"/>
  <c r="H500" i="11"/>
  <c r="G888" i="11"/>
  <c r="D1225" i="11"/>
  <c r="B1276" i="11"/>
  <c r="I32" i="11"/>
  <c r="F470" i="11"/>
  <c r="G961" i="11"/>
  <c r="I542" i="11"/>
  <c r="H549" i="11"/>
  <c r="I185" i="11"/>
  <c r="E307" i="11"/>
  <c r="F722" i="11"/>
  <c r="B235" i="11"/>
  <c r="L270" i="11"/>
  <c r="D183" i="11"/>
  <c r="D602" i="11"/>
  <c r="G450" i="11"/>
  <c r="H337" i="11"/>
  <c r="H344" i="11"/>
  <c r="L1050" i="11"/>
  <c r="I416" i="11"/>
  <c r="D217" i="11"/>
  <c r="G1236" i="11"/>
  <c r="G1003" i="11"/>
  <c r="J94" i="11"/>
  <c r="G967" i="11"/>
  <c r="J388" i="11"/>
  <c r="F352" i="11"/>
  <c r="H282" i="11"/>
  <c r="H264" i="11"/>
  <c r="C1015" i="11"/>
  <c r="I643" i="11"/>
  <c r="H276" i="11"/>
  <c r="K951" i="11"/>
  <c r="D173" i="11"/>
  <c r="G779" i="11"/>
  <c r="K1042" i="11"/>
  <c r="F1270" i="11"/>
  <c r="B1217" i="11"/>
  <c r="D845" i="11"/>
  <c r="J144" i="11"/>
  <c r="L1097" i="11"/>
  <c r="G958" i="11"/>
  <c r="E279" i="11"/>
  <c r="J258" i="11"/>
  <c r="E259" i="11"/>
  <c r="K1184" i="11"/>
  <c r="F226" i="11"/>
  <c r="C1211" i="11"/>
  <c r="J137" i="11"/>
  <c r="K905" i="11"/>
  <c r="H725" i="11"/>
  <c r="D26" i="11"/>
  <c r="J1284" i="11"/>
  <c r="K350" i="11"/>
  <c r="E420" i="11"/>
  <c r="H371" i="11"/>
  <c r="D1073" i="11"/>
  <c r="K738" i="11"/>
  <c r="G231" i="11"/>
  <c r="G1151" i="11"/>
  <c r="C864" i="11"/>
  <c r="I589" i="11"/>
  <c r="F1196" i="11"/>
  <c r="F570" i="11"/>
  <c r="E392" i="11"/>
  <c r="H814" i="11"/>
  <c r="D1086" i="11"/>
  <c r="K810" i="11"/>
  <c r="G303" i="11"/>
  <c r="F394" i="11"/>
  <c r="C1216" i="11"/>
  <c r="E417" i="11"/>
  <c r="F1258" i="11"/>
  <c r="B386" i="11"/>
  <c r="F1212" i="11"/>
  <c r="J1218" i="11"/>
  <c r="J1212" i="11"/>
  <c r="J117" i="11"/>
  <c r="D412" i="11"/>
  <c r="D928" i="11"/>
  <c r="D1074" i="11"/>
  <c r="H1169" i="11"/>
  <c r="G1039" i="11"/>
  <c r="K817" i="11"/>
  <c r="H1187" i="11"/>
  <c r="H820" i="11"/>
  <c r="D110" i="11"/>
  <c r="D1235" i="11"/>
  <c r="K947" i="11"/>
  <c r="F1052" i="11"/>
  <c r="L239" i="11"/>
  <c r="L324" i="11"/>
  <c r="J280" i="11"/>
  <c r="G852" i="11"/>
  <c r="C414" i="11"/>
  <c r="D1159" i="11"/>
  <c r="G363" i="11"/>
  <c r="D14" i="11"/>
  <c r="D457" i="11"/>
  <c r="F354" i="11"/>
  <c r="L847" i="11"/>
  <c r="H479" i="11"/>
  <c r="D1136" i="11"/>
  <c r="B1275" i="11"/>
  <c r="H844" i="11"/>
  <c r="F474" i="11"/>
  <c r="D238" i="11"/>
  <c r="I17" i="11"/>
  <c r="H262" i="11"/>
  <c r="J251" i="11"/>
  <c r="C483" i="11"/>
  <c r="K277" i="11"/>
  <c r="G572" i="11"/>
  <c r="D1201" i="11"/>
  <c r="C1138" i="11"/>
  <c r="J194" i="11"/>
  <c r="E143" i="11"/>
  <c r="H300" i="11"/>
  <c r="H727" i="11"/>
  <c r="F1288" i="11"/>
  <c r="D24" i="11"/>
  <c r="G1028" i="11"/>
  <c r="D1036" i="11"/>
  <c r="C1199" i="11"/>
  <c r="D939" i="11"/>
  <c r="G1240" i="11"/>
  <c r="H1177" i="11"/>
  <c r="L279" i="11"/>
  <c r="K338" i="11"/>
  <c r="J547" i="11"/>
  <c r="H798" i="11"/>
  <c r="K933" i="11"/>
  <c r="D852" i="11"/>
  <c r="B4" i="11"/>
  <c r="H1053" i="11"/>
  <c r="C224" i="11"/>
  <c r="J59" i="11"/>
  <c r="K747" i="11"/>
  <c r="C753" i="11"/>
  <c r="D1248" i="11"/>
  <c r="H1259" i="11"/>
  <c r="F438" i="11"/>
  <c r="G800" i="11"/>
  <c r="L1187" i="11"/>
  <c r="G1184" i="11"/>
  <c r="D66" i="11"/>
  <c r="D760" i="11"/>
  <c r="B1204" i="11"/>
  <c r="B563" i="11"/>
  <c r="L979" i="11"/>
  <c r="H452" i="11"/>
  <c r="L893" i="11"/>
  <c r="J253" i="11"/>
  <c r="D389" i="11"/>
  <c r="G246" i="11"/>
  <c r="K920" i="11"/>
  <c r="C244" i="11"/>
  <c r="J491" i="11"/>
  <c r="I233" i="11"/>
  <c r="F314" i="11"/>
  <c r="D37" i="11"/>
  <c r="G360" i="11"/>
  <c r="I391" i="11"/>
  <c r="K806" i="11"/>
  <c r="G1247" i="11"/>
  <c r="B423" i="11"/>
  <c r="L1033" i="11"/>
  <c r="G1207" i="11"/>
  <c r="F1267" i="11"/>
  <c r="D731" i="11"/>
  <c r="H1055" i="11"/>
  <c r="J503" i="11"/>
  <c r="D1071" i="11"/>
  <c r="K843" i="11"/>
  <c r="C1167" i="11"/>
  <c r="D330" i="11"/>
  <c r="C836" i="11"/>
  <c r="D407" i="11"/>
  <c r="C538" i="11"/>
  <c r="D841" i="11"/>
  <c r="C1029" i="11"/>
  <c r="C279" i="11"/>
  <c r="F1246" i="11"/>
  <c r="D906" i="11"/>
  <c r="B1224" i="11"/>
  <c r="I374" i="11"/>
  <c r="C771" i="11"/>
  <c r="H283" i="11"/>
  <c r="E458" i="11"/>
  <c r="G776" i="11"/>
  <c r="F462" i="11"/>
  <c r="C848" i="11"/>
  <c r="G1176" i="11"/>
  <c r="D92" i="11"/>
  <c r="D288" i="11"/>
  <c r="H1124" i="11"/>
  <c r="D809" i="11"/>
  <c r="H1264" i="11"/>
  <c r="B1267" i="11"/>
  <c r="G167" i="11"/>
  <c r="L37" i="11"/>
  <c r="L109" i="11"/>
  <c r="L203" i="11"/>
  <c r="L149" i="11"/>
  <c r="L197" i="11"/>
  <c r="L185" i="11"/>
  <c r="L198" i="11"/>
  <c r="L128" i="11"/>
  <c r="L143" i="11"/>
  <c r="B95" i="11"/>
  <c r="B84" i="11"/>
  <c r="L97" i="11"/>
  <c r="M32" i="8"/>
  <c r="N23" i="8"/>
  <c r="G525" i="11"/>
  <c r="C1042" i="11"/>
  <c r="L741" i="11"/>
  <c r="D772" i="11"/>
  <c r="J604" i="11"/>
  <c r="E73" i="11"/>
  <c r="B1271" i="11"/>
  <c r="B1195" i="11"/>
  <c r="K883" i="11"/>
  <c r="E295" i="11"/>
  <c r="C972" i="11"/>
  <c r="G781" i="11"/>
  <c r="G228" i="11"/>
  <c r="D1110" i="11"/>
  <c r="H857" i="11"/>
  <c r="D358" i="11"/>
  <c r="F607" i="11"/>
  <c r="B261" i="11"/>
  <c r="K683" i="11"/>
  <c r="D1123" i="11"/>
  <c r="K867" i="11"/>
  <c r="C1248" i="11"/>
  <c r="K923" i="11"/>
  <c r="D651" i="11"/>
  <c r="C459" i="11"/>
  <c r="L242" i="11"/>
  <c r="C248" i="11"/>
  <c r="K1160" i="11"/>
  <c r="C370" i="11"/>
  <c r="H1152" i="11"/>
  <c r="G302" i="11"/>
  <c r="G937" i="11"/>
  <c r="B525" i="11"/>
  <c r="F1260" i="11"/>
  <c r="D642" i="11"/>
  <c r="C351" i="11"/>
  <c r="D1232" i="11"/>
  <c r="I466" i="11"/>
  <c r="C1235" i="11"/>
  <c r="I244" i="11"/>
  <c r="B1270" i="11"/>
  <c r="J1200" i="11"/>
  <c r="G748" i="11"/>
  <c r="L1125" i="11"/>
  <c r="J449" i="11"/>
  <c r="K898" i="11"/>
  <c r="G1022" i="11"/>
  <c r="L745" i="11"/>
  <c r="L1280" i="11"/>
  <c r="G772" i="11"/>
  <c r="D280" i="11"/>
  <c r="I665" i="11"/>
  <c r="E40" i="11"/>
  <c r="F409" i="11"/>
  <c r="L735" i="11"/>
  <c r="G483" i="11"/>
  <c r="D394" i="11"/>
  <c r="H741" i="11"/>
  <c r="C860" i="11"/>
  <c r="J1036" i="11"/>
  <c r="C478" i="11"/>
  <c r="K454" i="11"/>
  <c r="G911" i="11"/>
  <c r="H1036" i="11"/>
  <c r="B7" i="11"/>
  <c r="J146" i="11"/>
  <c r="K1038" i="11"/>
  <c r="F396" i="11"/>
  <c r="D1165" i="11"/>
  <c r="J7" i="11"/>
  <c r="J812" i="11"/>
  <c r="J182" i="11"/>
  <c r="D13" i="11"/>
  <c r="G1232" i="11"/>
  <c r="B1189" i="11"/>
  <c r="L278" i="11"/>
  <c r="G720" i="11"/>
  <c r="F1238" i="11"/>
  <c r="C337" i="11"/>
  <c r="F1263" i="11"/>
  <c r="L998" i="11"/>
  <c r="G962" i="11"/>
  <c r="J73" i="11"/>
  <c r="H1291" i="11"/>
  <c r="I461" i="11"/>
  <c r="C892" i="11"/>
  <c r="C288" i="11"/>
  <c r="F461" i="11"/>
  <c r="F379" i="11"/>
  <c r="D610" i="11"/>
  <c r="D137" i="11"/>
  <c r="J122" i="11"/>
  <c r="K302" i="11"/>
  <c r="G207" i="11"/>
  <c r="L129" i="11"/>
  <c r="L105" i="11"/>
  <c r="L31" i="11"/>
  <c r="L180" i="11"/>
  <c r="L101" i="11"/>
  <c r="L89" i="11"/>
  <c r="L102" i="11"/>
  <c r="L26" i="11"/>
  <c r="L174" i="11"/>
  <c r="B38" i="11"/>
  <c r="B14" i="11"/>
  <c r="F97" i="11"/>
  <c r="P35" i="10"/>
  <c r="P44" i="9"/>
  <c r="D1263" i="11"/>
  <c r="F417" i="11"/>
  <c r="J577" i="11"/>
  <c r="H287" i="11"/>
  <c r="J88" i="11"/>
  <c r="D891" i="11"/>
  <c r="C1173" i="11"/>
  <c r="C884" i="11"/>
  <c r="D1171" i="11"/>
  <c r="F1233" i="11"/>
  <c r="E145" i="11"/>
  <c r="G1223" i="11"/>
  <c r="D1186" i="11"/>
  <c r="K1175" i="11"/>
  <c r="I938" i="11"/>
  <c r="G224" i="11"/>
  <c r="L814" i="11"/>
  <c r="H376" i="11"/>
  <c r="G314" i="11"/>
  <c r="E439" i="11"/>
  <c r="J335" i="11"/>
  <c r="G1221" i="11"/>
  <c r="C1178" i="11"/>
  <c r="I523" i="11"/>
  <c r="J419" i="11"/>
  <c r="I1064" i="11"/>
  <c r="D168" i="11"/>
  <c r="D102" i="11"/>
  <c r="J248" i="11"/>
  <c r="L323" i="11"/>
  <c r="H315" i="11"/>
  <c r="B569" i="11"/>
  <c r="J158" i="11"/>
  <c r="K1041" i="11"/>
  <c r="G880" i="11"/>
  <c r="D945" i="11"/>
  <c r="D302" i="11"/>
  <c r="H1145" i="11"/>
  <c r="H1009" i="11"/>
  <c r="J1222" i="11"/>
  <c r="H879" i="11"/>
  <c r="G1170" i="11"/>
  <c r="K406" i="11"/>
  <c r="G1043" i="11"/>
  <c r="I460" i="11"/>
  <c r="J301" i="11"/>
  <c r="B1193" i="11"/>
  <c r="L1199" i="11"/>
  <c r="C617" i="11"/>
  <c r="D792" i="11"/>
  <c r="B459" i="11"/>
  <c r="J568" i="11"/>
  <c r="F341" i="11"/>
  <c r="B343" i="11"/>
  <c r="H307" i="11"/>
  <c r="J19" i="11"/>
  <c r="D543" i="11"/>
  <c r="K402" i="11"/>
  <c r="G1212" i="11"/>
  <c r="G934" i="11"/>
  <c r="D19" i="11"/>
  <c r="H985" i="11"/>
  <c r="C931" i="11"/>
  <c r="H448" i="11"/>
  <c r="I484" i="11"/>
  <c r="J563" i="11"/>
  <c r="I232" i="11"/>
  <c r="F1048" i="11"/>
  <c r="G451" i="11"/>
  <c r="D1289" i="11"/>
  <c r="J140" i="11"/>
  <c r="H1030" i="11"/>
  <c r="H1209" i="11"/>
  <c r="D895" i="11"/>
  <c r="F1194" i="11"/>
  <c r="F1214" i="11"/>
  <c r="G976" i="11"/>
  <c r="K422" i="11"/>
  <c r="F1268" i="11"/>
  <c r="J386" i="11"/>
  <c r="D755" i="11"/>
  <c r="J130" i="11"/>
  <c r="G864" i="11"/>
  <c r="K1212" i="11"/>
  <c r="I263" i="11"/>
  <c r="H1176" i="11"/>
  <c r="J425" i="11"/>
  <c r="F1250" i="11"/>
  <c r="G1004" i="11"/>
  <c r="C329" i="11"/>
  <c r="J45" i="11"/>
  <c r="G1055" i="11"/>
  <c r="J1260" i="11"/>
  <c r="G155" i="11"/>
  <c r="L193" i="11"/>
  <c r="L170" i="11"/>
  <c r="L60" i="11"/>
  <c r="L84" i="11"/>
  <c r="L127" i="11"/>
  <c r="L120" i="11"/>
  <c r="L189" i="11"/>
  <c r="L68" i="11"/>
  <c r="L72" i="11"/>
  <c r="B93" i="11"/>
  <c r="B147" i="11"/>
  <c r="B188" i="11"/>
  <c r="G39" i="8"/>
  <c r="S44" i="9"/>
  <c r="M16" i="8"/>
  <c r="M44" i="8"/>
  <c r="N19" i="8"/>
  <c r="L117" i="11"/>
  <c r="L93" i="11"/>
  <c r="L30" i="11"/>
  <c r="B135" i="11"/>
  <c r="B169" i="11"/>
  <c r="P23" i="9"/>
  <c r="Q19" i="10"/>
  <c r="N21" i="8"/>
  <c r="N43" i="8"/>
  <c r="J19" i="10"/>
  <c r="N48" i="8"/>
  <c r="M8" i="8"/>
  <c r="B1272" i="11"/>
  <c r="B482" i="11"/>
  <c r="D1218" i="11"/>
  <c r="F1192" i="11"/>
  <c r="K954" i="11"/>
  <c r="C1008" i="11"/>
  <c r="G312" i="11"/>
  <c r="L960" i="11"/>
  <c r="I495" i="11"/>
  <c r="I112" i="11"/>
  <c r="C233" i="11"/>
  <c r="C1156" i="11"/>
  <c r="G268" i="11"/>
  <c r="G1245" i="11"/>
  <c r="K858" i="11"/>
  <c r="K520" i="11"/>
  <c r="J1055" i="11"/>
  <c r="D761" i="11"/>
  <c r="J1219" i="11"/>
  <c r="J28" i="11"/>
  <c r="F562" i="11"/>
  <c r="J1226" i="11"/>
  <c r="D46" i="11"/>
  <c r="H384" i="11"/>
  <c r="D119" i="11"/>
  <c r="H259" i="11"/>
  <c r="G1220" i="11"/>
  <c r="J138" i="11"/>
  <c r="C991" i="11"/>
  <c r="D157" i="11"/>
  <c r="B1041" i="11"/>
  <c r="G935" i="11"/>
  <c r="K1166" i="11"/>
  <c r="K311" i="11"/>
  <c r="H1129" i="11"/>
  <c r="K369" i="11"/>
  <c r="J1256" i="11"/>
  <c r="H756" i="11"/>
  <c r="G1210" i="11"/>
  <c r="G968" i="11"/>
  <c r="G807" i="11"/>
  <c r="H1246" i="11"/>
  <c r="K1248" i="11"/>
  <c r="F311" i="11"/>
  <c r="G227" i="11"/>
  <c r="D780" i="11"/>
  <c r="B467" i="11"/>
  <c r="K242" i="11"/>
  <c r="G824" i="11"/>
  <c r="C245" i="11"/>
  <c r="D154" i="11"/>
  <c r="J244" i="11"/>
  <c r="H1190" i="11"/>
  <c r="D991" i="11"/>
  <c r="G307" i="11"/>
  <c r="J1259" i="11"/>
  <c r="K1027" i="11"/>
  <c r="C943" i="11"/>
  <c r="K896" i="11"/>
  <c r="D785" i="11"/>
  <c r="H926" i="11"/>
  <c r="L269" i="11"/>
  <c r="F565" i="11"/>
  <c r="H292" i="11"/>
  <c r="J156" i="11"/>
  <c r="C849" i="11"/>
  <c r="C748" i="11"/>
  <c r="G234" i="11"/>
  <c r="D1152" i="11"/>
  <c r="I324" i="11"/>
  <c r="G887" i="11"/>
  <c r="B334" i="11"/>
  <c r="H367" i="11"/>
  <c r="J143" i="11"/>
  <c r="G1218" i="11"/>
  <c r="L11" i="11"/>
  <c r="C981" i="11"/>
  <c r="L1018" i="11"/>
  <c r="C503" i="11"/>
  <c r="I514" i="11"/>
  <c r="C1187" i="11"/>
  <c r="D942" i="11"/>
  <c r="E197" i="11"/>
  <c r="E209" i="11"/>
  <c r="B289" i="11"/>
  <c r="F1201" i="11"/>
  <c r="J1191" i="11"/>
  <c r="L1143" i="11"/>
  <c r="E65" i="11"/>
  <c r="L930" i="11"/>
  <c r="G320" i="11"/>
  <c r="E294" i="11"/>
  <c r="L507" i="11"/>
  <c r="K764" i="11"/>
  <c r="I625" i="11"/>
  <c r="E840" i="11"/>
  <c r="H629" i="11"/>
  <c r="I621" i="11"/>
  <c r="C410" i="11"/>
  <c r="J316" i="11"/>
  <c r="K998" i="11"/>
  <c r="K1003" i="11"/>
  <c r="D979" i="11"/>
  <c r="H997" i="11"/>
  <c r="D868" i="11"/>
  <c r="H272" i="11"/>
  <c r="B1038" i="11"/>
  <c r="L1141" i="11"/>
  <c r="B562" i="11"/>
  <c r="H894" i="11"/>
  <c r="L761" i="11"/>
  <c r="H765" i="11"/>
  <c r="H1071" i="11"/>
  <c r="D160" i="11"/>
  <c r="L443" i="11"/>
  <c r="H928" i="11"/>
  <c r="C240" i="11"/>
  <c r="D732" i="11"/>
  <c r="G1036" i="11"/>
  <c r="D254" i="11"/>
  <c r="J75" i="11"/>
  <c r="E401" i="11"/>
  <c r="G784" i="11"/>
  <c r="K944" i="11"/>
  <c r="K811" i="11"/>
  <c r="F1188" i="11"/>
  <c r="H1223" i="11"/>
  <c r="E329" i="11"/>
  <c r="C881" i="11"/>
  <c r="C1198" i="11"/>
  <c r="H934" i="11"/>
  <c r="G778" i="11"/>
  <c r="G829" i="11"/>
  <c r="H984" i="11"/>
  <c r="K1173" i="11"/>
  <c r="J47" i="11"/>
  <c r="K298" i="11"/>
  <c r="I627" i="11"/>
  <c r="L969" i="11"/>
  <c r="K340" i="11"/>
  <c r="L427" i="11"/>
  <c r="C284" i="11"/>
  <c r="G1160" i="11"/>
  <c r="J119" i="11"/>
  <c r="G842" i="11"/>
  <c r="K827" i="11"/>
  <c r="J105" i="11"/>
  <c r="L611" i="11"/>
  <c r="L1225" i="11"/>
  <c r="K773" i="11"/>
  <c r="I400" i="11"/>
  <c r="C356" i="11"/>
  <c r="G1216" i="11"/>
  <c r="J191" i="11"/>
  <c r="G939" i="11"/>
  <c r="K1021" i="11"/>
  <c r="J153" i="11"/>
  <c r="C1243" i="11"/>
  <c r="K900" i="11"/>
  <c r="J14" i="11"/>
  <c r="B321" i="11"/>
  <c r="H732" i="11"/>
  <c r="H1122" i="11"/>
  <c r="E161" i="11"/>
  <c r="G403" i="11"/>
  <c r="G1195" i="11"/>
  <c r="J205" i="11"/>
  <c r="D40" i="11"/>
  <c r="C260" i="11"/>
  <c r="G374" i="11"/>
  <c r="F1234" i="11"/>
  <c r="B5" i="11"/>
  <c r="D1005" i="11"/>
  <c r="K577" i="11"/>
  <c r="B299" i="11"/>
  <c r="C479" i="11"/>
  <c r="L632" i="11"/>
  <c r="F1190" i="11"/>
  <c r="L985" i="11"/>
  <c r="L1279" i="11"/>
  <c r="K723" i="11"/>
  <c r="J64" i="11"/>
  <c r="L500" i="11"/>
  <c r="C795" i="11"/>
  <c r="H1149" i="11"/>
  <c r="L351" i="11"/>
  <c r="G879" i="11"/>
  <c r="C674" i="11"/>
  <c r="J1206" i="11"/>
  <c r="K1034" i="11"/>
  <c r="J103" i="11"/>
  <c r="E385" i="11"/>
  <c r="K344" i="11"/>
  <c r="J115" i="11"/>
  <c r="D862" i="11"/>
  <c r="D337" i="11"/>
  <c r="G1020" i="11"/>
  <c r="E340" i="11"/>
  <c r="L223" i="11"/>
  <c r="L331" i="11"/>
  <c r="J1239" i="11"/>
  <c r="J31" i="11"/>
  <c r="G488" i="11"/>
  <c r="E55" i="11"/>
  <c r="C835" i="11"/>
  <c r="G616" i="11"/>
  <c r="H785" i="11"/>
  <c r="B549" i="11"/>
  <c r="J232" i="11"/>
  <c r="K1177" i="11"/>
  <c r="E760" i="11"/>
  <c r="C1045" i="11"/>
  <c r="J52" i="11"/>
  <c r="K347" i="11"/>
  <c r="G725" i="11"/>
  <c r="K938" i="11"/>
  <c r="L1096" i="11"/>
  <c r="H304" i="11"/>
  <c r="D144" i="11"/>
  <c r="D937" i="11"/>
  <c r="D425" i="11"/>
  <c r="F1215" i="11"/>
  <c r="C1146" i="11"/>
  <c r="H909" i="11"/>
  <c r="C626" i="11"/>
  <c r="C252" i="11"/>
  <c r="K731" i="11"/>
  <c r="K733" i="11"/>
  <c r="J159" i="11"/>
  <c r="F392" i="11"/>
  <c r="G1173" i="11"/>
  <c r="C1053" i="11"/>
  <c r="D1179" i="11"/>
  <c r="L1005" i="11"/>
  <c r="H916" i="11"/>
  <c r="G827" i="11"/>
  <c r="K289" i="11"/>
  <c r="J215" i="11"/>
  <c r="K250" i="11"/>
  <c r="G801" i="11"/>
  <c r="J15" i="11"/>
  <c r="H270" i="11"/>
  <c r="C777" i="11"/>
  <c r="F310" i="11"/>
  <c r="G981" i="11"/>
  <c r="G1225" i="11"/>
  <c r="C822" i="11"/>
  <c r="D29" i="11"/>
  <c r="G942" i="11"/>
  <c r="G764" i="11"/>
  <c r="K364" i="11"/>
  <c r="L1180" i="11"/>
  <c r="J630" i="11"/>
  <c r="H1180" i="11"/>
  <c r="G1046" i="11"/>
  <c r="B281" i="11"/>
  <c r="G804" i="11"/>
  <c r="G854" i="11"/>
  <c r="G343" i="11"/>
  <c r="H1022" i="11"/>
  <c r="G1182" i="11"/>
  <c r="L786" i="11"/>
  <c r="H1060" i="11"/>
  <c r="K1131" i="11"/>
  <c r="B399" i="11"/>
  <c r="K313" i="11"/>
  <c r="D801" i="11"/>
  <c r="K771" i="11"/>
  <c r="K957" i="11"/>
  <c r="L1264" i="11"/>
  <c r="G912" i="11"/>
  <c r="B1232" i="11"/>
  <c r="G269" i="11"/>
  <c r="C261" i="11"/>
  <c r="I277" i="11"/>
  <c r="B866" i="11"/>
  <c r="I260" i="11"/>
  <c r="G833" i="11"/>
  <c r="D1137" i="11"/>
  <c r="H840" i="11"/>
  <c r="H227" i="11"/>
  <c r="E33" i="11"/>
  <c r="C182" i="11"/>
  <c r="G191" i="11"/>
  <c r="L13" i="11"/>
  <c r="L145" i="11"/>
  <c r="L144" i="11"/>
  <c r="L216" i="11"/>
  <c r="L71" i="11"/>
  <c r="L124" i="11"/>
  <c r="L199" i="11"/>
  <c r="L62" i="11"/>
  <c r="K177" i="11"/>
  <c r="B172" i="11"/>
  <c r="B140" i="11"/>
  <c r="L33" i="11"/>
  <c r="M46" i="8"/>
  <c r="M30" i="8"/>
  <c r="G326" i="11"/>
  <c r="F444" i="11"/>
  <c r="K339" i="11"/>
  <c r="K819" i="11"/>
  <c r="E324" i="11"/>
  <c r="K1192" i="11"/>
  <c r="H341" i="11"/>
  <c r="B1247" i="11"/>
  <c r="H1200" i="11"/>
  <c r="L340" i="11"/>
  <c r="C973" i="11"/>
  <c r="D950" i="11"/>
  <c r="D817" i="11"/>
  <c r="J126" i="11"/>
  <c r="E429" i="11"/>
  <c r="K657" i="11"/>
  <c r="F1046" i="11"/>
  <c r="G235" i="11"/>
  <c r="H835" i="11"/>
  <c r="F554" i="11"/>
  <c r="E31" i="11"/>
  <c r="D246" i="11"/>
  <c r="F556" i="11"/>
  <c r="B378" i="11"/>
  <c r="L1281" i="11"/>
  <c r="D155" i="11"/>
  <c r="D1206" i="11"/>
  <c r="J184" i="11"/>
  <c r="K789" i="11"/>
  <c r="C815" i="11"/>
  <c r="J1187" i="11"/>
  <c r="C1204" i="11"/>
  <c r="F358" i="11"/>
  <c r="I474" i="11"/>
  <c r="G753" i="11"/>
  <c r="L751" i="11"/>
  <c r="B1244" i="11"/>
  <c r="H1282" i="11"/>
  <c r="H1096" i="11"/>
  <c r="D1046" i="11"/>
  <c r="D1061" i="11"/>
  <c r="G505" i="11"/>
  <c r="L992" i="11"/>
  <c r="B485" i="11"/>
  <c r="B293" i="11"/>
  <c r="K742" i="11"/>
  <c r="L1234" i="11"/>
  <c r="K834" i="11"/>
  <c r="F1271" i="11"/>
  <c r="F1251" i="11"/>
  <c r="D768" i="11"/>
  <c r="B367" i="11"/>
  <c r="L1078" i="11"/>
  <c r="H1150" i="11"/>
  <c r="D361" i="11"/>
  <c r="G1243" i="11"/>
  <c r="H830" i="11"/>
  <c r="K1126" i="11"/>
  <c r="B1248" i="11"/>
  <c r="H978" i="11"/>
  <c r="H1116" i="11"/>
  <c r="B241" i="11"/>
  <c r="J30" i="11"/>
  <c r="D626" i="11"/>
  <c r="D883" i="11"/>
  <c r="F219" i="11"/>
  <c r="G863" i="11"/>
  <c r="C900" i="11"/>
  <c r="D285" i="11"/>
  <c r="F1241" i="11"/>
  <c r="D326" i="11"/>
  <c r="E164" i="11"/>
  <c r="F322" i="11"/>
  <c r="G869" i="11"/>
  <c r="D1030" i="11"/>
  <c r="D116" i="11"/>
  <c r="C464" i="11"/>
  <c r="G375" i="11"/>
  <c r="C297" i="11"/>
  <c r="L927" i="11"/>
  <c r="C1134" i="11"/>
  <c r="K1050" i="11"/>
  <c r="E297" i="11"/>
  <c r="C961" i="11"/>
  <c r="D363" i="11"/>
  <c r="G1048" i="11"/>
  <c r="C269" i="11"/>
  <c r="E49" i="11"/>
  <c r="L1131" i="11"/>
  <c r="D129" i="11"/>
  <c r="B1198" i="11"/>
  <c r="H729" i="11"/>
  <c r="H331" i="11"/>
  <c r="G139" i="11"/>
  <c r="L178" i="11"/>
  <c r="L48" i="11"/>
  <c r="L42" i="11"/>
  <c r="L181" i="11"/>
  <c r="L162" i="11"/>
  <c r="L20" i="11"/>
  <c r="L103" i="11"/>
  <c r="L160" i="11"/>
  <c r="L175" i="11"/>
  <c r="B139" i="11"/>
  <c r="B107" i="11"/>
  <c r="P48" i="9"/>
  <c r="N23" i="9"/>
  <c r="N7" i="9"/>
  <c r="H379" i="11"/>
  <c r="D1242" i="11"/>
  <c r="J380" i="11"/>
  <c r="D1193" i="11"/>
  <c r="I33" i="11"/>
  <c r="H823" i="11"/>
  <c r="J555" i="11"/>
  <c r="J193" i="11"/>
  <c r="C800" i="11"/>
  <c r="D1078" i="11"/>
  <c r="D301" i="11"/>
  <c r="K615" i="11"/>
  <c r="L263" i="11"/>
  <c r="J207" i="11"/>
  <c r="H239" i="11"/>
  <c r="F1226" i="11"/>
  <c r="K975" i="11"/>
  <c r="H973" i="11"/>
  <c r="I16" i="11"/>
  <c r="H1109" i="11"/>
  <c r="J1238" i="11"/>
  <c r="G1040" i="11"/>
  <c r="D113" i="11"/>
  <c r="F249" i="11"/>
  <c r="J336" i="11"/>
  <c r="C709" i="11"/>
  <c r="C1032" i="11"/>
  <c r="D1026" i="11"/>
  <c r="D1194" i="11"/>
  <c r="K341" i="11"/>
  <c r="G1014" i="11"/>
  <c r="J567" i="11"/>
  <c r="B238" i="11"/>
  <c r="D1161" i="11"/>
  <c r="G288" i="11"/>
  <c r="D172" i="11"/>
  <c r="E375" i="11"/>
  <c r="E4" i="11"/>
  <c r="D816" i="11"/>
  <c r="H1219" i="11"/>
  <c r="C827" i="11"/>
  <c r="C744" i="11"/>
  <c r="B1211" i="11"/>
  <c r="L728" i="11"/>
  <c r="D929" i="11"/>
  <c r="D208" i="11"/>
  <c r="J1199" i="11"/>
  <c r="D1222" i="11"/>
  <c r="C787" i="11"/>
  <c r="J167" i="11"/>
  <c r="F406" i="11"/>
  <c r="E1217" i="11"/>
  <c r="L517" i="11"/>
  <c r="B226" i="11"/>
  <c r="K365" i="11"/>
  <c r="H1266" i="11"/>
  <c r="K295" i="11"/>
  <c r="H1062" i="11"/>
  <c r="D1065" i="11"/>
  <c r="D773" i="11"/>
  <c r="E52" i="11"/>
  <c r="J12" i="11"/>
  <c r="C840" i="11"/>
  <c r="K979" i="11"/>
  <c r="J1250" i="11"/>
  <c r="I283" i="11"/>
  <c r="C915" i="11"/>
  <c r="L537" i="11"/>
  <c r="F1051" i="11"/>
  <c r="J392" i="11"/>
  <c r="L1114" i="11"/>
  <c r="K1254" i="11"/>
  <c r="D723" i="11"/>
  <c r="L1051" i="11"/>
  <c r="E159" i="11"/>
  <c r="D191" i="11"/>
  <c r="B395" i="11"/>
  <c r="C1169" i="11"/>
  <c r="G821" i="11"/>
  <c r="J1193" i="11"/>
  <c r="H1140" i="11"/>
  <c r="J569" i="11"/>
  <c r="L1273" i="11"/>
  <c r="C1128" i="11"/>
  <c r="L395" i="11"/>
  <c r="B1199" i="11"/>
  <c r="D11" i="11"/>
  <c r="D95" i="11"/>
  <c r="K343" i="11"/>
  <c r="K902" i="11"/>
  <c r="G247" i="11"/>
  <c r="C430" i="11"/>
  <c r="H1173" i="11"/>
  <c r="G140" i="11"/>
  <c r="L24" i="11"/>
  <c r="L38" i="11"/>
  <c r="L63" i="11"/>
  <c r="L85" i="11"/>
  <c r="L133" i="11"/>
  <c r="L121" i="11"/>
  <c r="L134" i="11"/>
  <c r="L58" i="11"/>
  <c r="L206" i="11"/>
  <c r="B70" i="11"/>
  <c r="B46" i="11"/>
  <c r="C97" i="11"/>
  <c r="G35" i="10"/>
  <c r="N44" i="9"/>
  <c r="M43" i="8"/>
  <c r="N36" i="8"/>
  <c r="M48" i="8"/>
  <c r="L165" i="11"/>
  <c r="L166" i="11"/>
  <c r="L164" i="11"/>
  <c r="B192" i="11"/>
  <c r="B190" i="11"/>
  <c r="C161" i="11"/>
  <c r="M45" i="8"/>
  <c r="N16" i="8"/>
  <c r="H41" i="9"/>
  <c r="M26" i="8"/>
  <c r="Q7" i="9"/>
  <c r="N45" i="8"/>
  <c r="H511" i="11"/>
  <c r="K303" i="11"/>
  <c r="K1243" i="11"/>
  <c r="K775" i="11"/>
  <c r="K1199" i="11"/>
  <c r="G957" i="11"/>
  <c r="G308" i="11"/>
  <c r="H871" i="11"/>
  <c r="K762" i="11"/>
  <c r="K1215" i="11"/>
  <c r="J1221" i="11"/>
  <c r="G274" i="11"/>
  <c r="C890" i="11"/>
  <c r="F1187" i="11"/>
  <c r="G11" i="11"/>
  <c r="K632" i="11"/>
  <c r="K484" i="11"/>
  <c r="G848" i="11"/>
  <c r="D1256" i="11"/>
  <c r="F815" i="11"/>
  <c r="D1120" i="11"/>
  <c r="L342" i="11"/>
  <c r="F1277" i="11"/>
  <c r="K1075" i="11"/>
  <c r="B632" i="11"/>
  <c r="L802" i="11"/>
  <c r="G960" i="11"/>
  <c r="J365" i="11"/>
  <c r="I697" i="11"/>
  <c r="G763" i="11"/>
  <c r="D781" i="11"/>
  <c r="J331" i="11"/>
  <c r="E251" i="11"/>
  <c r="H324" i="11"/>
  <c r="J432" i="11"/>
  <c r="D1245" i="11"/>
  <c r="F1203" i="11"/>
  <c r="D1048" i="11"/>
  <c r="C1025" i="11"/>
  <c r="J197" i="11"/>
  <c r="K1221" i="11"/>
  <c r="J562" i="11"/>
  <c r="G977" i="11"/>
  <c r="E168" i="11"/>
  <c r="D1247" i="11"/>
  <c r="J123" i="11"/>
  <c r="C1124" i="11"/>
  <c r="G930" i="11"/>
  <c r="J5" i="11"/>
  <c r="G910" i="11"/>
  <c r="F1189" i="11"/>
  <c r="D967" i="11"/>
  <c r="B854" i="11"/>
  <c r="B509" i="11"/>
  <c r="D42" i="11"/>
  <c r="H393" i="11"/>
  <c r="D831" i="11"/>
  <c r="D1189" i="11"/>
  <c r="K743" i="11"/>
  <c r="J129" i="11"/>
  <c r="D1068" i="11"/>
  <c r="D376" i="11"/>
  <c r="L390" i="11"/>
  <c r="D185" i="11"/>
  <c r="D1227" i="11"/>
  <c r="C1190" i="11"/>
  <c r="J178" i="11"/>
  <c r="B1203" i="11"/>
  <c r="E15" i="11"/>
  <c r="G736" i="11"/>
  <c r="J181" i="11"/>
  <c r="I332" i="11"/>
  <c r="G1231" i="11"/>
  <c r="J74" i="11"/>
  <c r="H1151" i="11"/>
  <c r="K1057" i="11"/>
  <c r="B1221" i="11"/>
  <c r="H962" i="11"/>
  <c r="J1247" i="11"/>
  <c r="H1252" i="11"/>
  <c r="K1196" i="11"/>
  <c r="B1279" i="11"/>
  <c r="F1256" i="11"/>
  <c r="F618" i="11"/>
  <c r="B362" i="11"/>
  <c r="D195" i="11"/>
  <c r="F619" i="11"/>
  <c r="F453" i="11"/>
  <c r="H289" i="11"/>
  <c r="K697" i="11"/>
  <c r="F228" i="11"/>
  <c r="L306" i="11"/>
  <c r="D8" i="11"/>
  <c r="B955" i="11"/>
  <c r="K380" i="11"/>
  <c r="C312" i="11"/>
  <c r="D1212" i="11"/>
  <c r="C301" i="11"/>
  <c r="J211" i="11"/>
  <c r="C257" i="11"/>
  <c r="J200" i="11"/>
  <c r="C569" i="11"/>
  <c r="B442" i="11"/>
  <c r="C769" i="11"/>
  <c r="K813" i="11"/>
  <c r="D949" i="11"/>
  <c r="E299" i="11"/>
  <c r="H1168" i="11"/>
  <c r="C831" i="11"/>
  <c r="D1009" i="11"/>
  <c r="G507" i="11"/>
  <c r="G334" i="11"/>
  <c r="J1240" i="11"/>
  <c r="H1066" i="11"/>
  <c r="G1190" i="11"/>
  <c r="G1002" i="11"/>
  <c r="D34" i="11"/>
  <c r="J17" i="11"/>
  <c r="G861" i="11"/>
  <c r="B499" i="11"/>
  <c r="E255" i="11"/>
  <c r="D811" i="11"/>
  <c r="H1236" i="11"/>
  <c r="J6" i="11"/>
  <c r="J443" i="11"/>
  <c r="C1136" i="11"/>
  <c r="D293" i="11"/>
  <c r="F442" i="11"/>
  <c r="G812" i="11"/>
  <c r="C486" i="11"/>
  <c r="H1070" i="11"/>
  <c r="C730" i="11"/>
  <c r="L914" i="11"/>
  <c r="C1195" i="11"/>
  <c r="H895" i="11"/>
  <c r="G324" i="11"/>
  <c r="B1186" i="11"/>
  <c r="D374" i="11"/>
  <c r="L463" i="11"/>
  <c r="J451" i="11"/>
  <c r="K247" i="11"/>
  <c r="C826" i="11"/>
  <c r="L1089" i="11"/>
  <c r="D33" i="11"/>
  <c r="H1247" i="11"/>
  <c r="G959" i="11"/>
  <c r="B1289" i="11"/>
  <c r="D920" i="11"/>
  <c r="I390" i="11"/>
  <c r="D973" i="11"/>
  <c r="G262" i="11"/>
  <c r="K791" i="11"/>
  <c r="D82" i="11"/>
  <c r="B1253" i="11"/>
  <c r="H355" i="11"/>
  <c r="H1255" i="11"/>
  <c r="G342" i="11"/>
  <c r="G1018" i="11"/>
  <c r="C856" i="11"/>
  <c r="D1131" i="11"/>
  <c r="D752" i="11"/>
  <c r="J394" i="11"/>
  <c r="G1164" i="11"/>
  <c r="J1254" i="11"/>
  <c r="G1033" i="11"/>
  <c r="L622" i="11"/>
  <c r="I132" i="11"/>
  <c r="L315" i="11"/>
  <c r="D117" i="11"/>
  <c r="G837" i="11"/>
  <c r="E27" i="11"/>
  <c r="K871" i="11"/>
  <c r="F1199" i="11"/>
  <c r="B257" i="11"/>
  <c r="H774" i="11"/>
  <c r="B1044" i="11"/>
  <c r="J20" i="11"/>
  <c r="D859" i="11"/>
  <c r="K855" i="11"/>
  <c r="K224" i="11"/>
  <c r="J39" i="11"/>
  <c r="D221" i="11"/>
  <c r="L420" i="11"/>
  <c r="D1273" i="11"/>
  <c r="H1032" i="11"/>
  <c r="D306" i="11"/>
  <c r="D76" i="11"/>
  <c r="F564" i="11"/>
  <c r="J66" i="11"/>
  <c r="C922" i="11"/>
  <c r="D6" i="11"/>
  <c r="D28" i="11"/>
  <c r="C1188" i="11"/>
  <c r="B1245" i="11"/>
  <c r="I464" i="11"/>
  <c r="J1246" i="11"/>
  <c r="J1051" i="11"/>
  <c r="J507" i="11"/>
  <c r="C419" i="11"/>
  <c r="C872" i="11"/>
  <c r="D1018" i="11"/>
  <c r="K970" i="11"/>
  <c r="G1163" i="11"/>
  <c r="C1233" i="11"/>
  <c r="B439" i="11"/>
  <c r="K491" i="11"/>
  <c r="K416" i="11"/>
  <c r="D881" i="11"/>
  <c r="B567" i="11"/>
  <c r="L381" i="11"/>
  <c r="I448" i="11"/>
  <c r="G1021" i="11"/>
  <c r="G762" i="11"/>
  <c r="H1161" i="11"/>
  <c r="H356" i="11"/>
  <c r="K1020" i="11"/>
  <c r="L818" i="11"/>
  <c r="G1045" i="11"/>
  <c r="J85" i="11"/>
  <c r="C412" i="11"/>
  <c r="G897" i="11"/>
  <c r="J1253" i="11"/>
  <c r="D366" i="11"/>
  <c r="D915" i="11"/>
  <c r="G1189" i="11"/>
  <c r="E284" i="11"/>
  <c r="J1044" i="11"/>
  <c r="J70" i="11"/>
  <c r="J441" i="11"/>
  <c r="E343" i="11"/>
  <c r="H1014" i="11"/>
  <c r="E334" i="11"/>
  <c r="C932" i="11"/>
  <c r="B329" i="11"/>
  <c r="B312" i="11"/>
  <c r="L434" i="11"/>
  <c r="G745" i="11"/>
  <c r="B445" i="11"/>
  <c r="D1070" i="11"/>
  <c r="G299" i="11"/>
  <c r="C1200" i="11"/>
  <c r="B1171" i="11"/>
  <c r="D421" i="11"/>
  <c r="I296" i="11"/>
  <c r="I601" i="11"/>
  <c r="D1021" i="11"/>
  <c r="G1044" i="11"/>
  <c r="D803" i="11"/>
  <c r="K294" i="11"/>
  <c r="J109" i="11"/>
  <c r="K306" i="11"/>
  <c r="G1152" i="11"/>
  <c r="J1269" i="11"/>
  <c r="F230" i="11"/>
  <c r="C1028" i="11"/>
  <c r="D290" i="11"/>
  <c r="H1097" i="11"/>
  <c r="L1204" i="11"/>
  <c r="J133" i="11"/>
  <c r="J1043" i="11"/>
  <c r="B550" i="11"/>
  <c r="K1152" i="11"/>
  <c r="B1050" i="11"/>
  <c r="G316" i="11"/>
  <c r="E219" i="11"/>
  <c r="K912" i="11"/>
  <c r="E453" i="11"/>
  <c r="C734" i="11"/>
  <c r="G564" i="11"/>
  <c r="G1200" i="11"/>
  <c r="D966" i="11"/>
  <c r="D1145" i="11"/>
  <c r="H1276" i="11"/>
  <c r="E207" i="11"/>
  <c r="G183" i="11"/>
  <c r="F193" i="11"/>
  <c r="L69" i="11"/>
  <c r="L187" i="11"/>
  <c r="L46" i="11"/>
  <c r="L190" i="11"/>
  <c r="L50" i="11"/>
  <c r="L125" i="11"/>
  <c r="L79" i="11"/>
  <c r="L196" i="11"/>
  <c r="B124" i="11"/>
  <c r="B214" i="11"/>
  <c r="B201" i="11"/>
  <c r="J23" i="9"/>
  <c r="M40" i="8"/>
  <c r="N15" i="8"/>
  <c r="H694" i="11"/>
  <c r="H226" i="11"/>
  <c r="C1131" i="11"/>
  <c r="K977" i="11"/>
  <c r="H956" i="11"/>
  <c r="D943" i="11"/>
  <c r="F1291" i="11"/>
  <c r="K873" i="11"/>
  <c r="C255" i="11"/>
  <c r="C1127" i="11"/>
  <c r="G240" i="11"/>
  <c r="K1209" i="11"/>
  <c r="B458" i="11"/>
  <c r="B1282" i="11"/>
  <c r="D1093" i="11"/>
  <c r="L778" i="11"/>
  <c r="B1225" i="11"/>
  <c r="G348" i="11"/>
  <c r="D132" i="11"/>
  <c r="J169" i="11"/>
  <c r="D70" i="11"/>
  <c r="E724" i="11"/>
  <c r="I392" i="11"/>
  <c r="D131" i="11"/>
  <c r="F965" i="11"/>
  <c r="E651" i="11"/>
  <c r="C237" i="11"/>
  <c r="J593" i="11"/>
  <c r="D885" i="11"/>
  <c r="D993" i="11"/>
  <c r="H974" i="11"/>
  <c r="B1283" i="11"/>
  <c r="D779" i="11"/>
  <c r="C975" i="11"/>
  <c r="F506" i="11"/>
  <c r="C1166" i="11"/>
  <c r="D294" i="11"/>
  <c r="C782" i="11"/>
  <c r="G834" i="11"/>
  <c r="B564" i="11"/>
  <c r="J461" i="11"/>
  <c r="D1062" i="11"/>
  <c r="H1229" i="11"/>
  <c r="D375" i="11"/>
  <c r="G1127" i="11"/>
  <c r="H954" i="11"/>
  <c r="J219" i="11"/>
  <c r="D78" i="11"/>
  <c r="G769" i="11"/>
  <c r="B1213" i="11"/>
  <c r="E489" i="11"/>
  <c r="H369" i="11"/>
  <c r="D955" i="11"/>
  <c r="H1155" i="11"/>
  <c r="H444" i="11"/>
  <c r="H412" i="11"/>
  <c r="C1226" i="11"/>
  <c r="D273" i="11"/>
  <c r="J1042" i="11"/>
  <c r="G1138" i="11"/>
  <c r="C750" i="11"/>
  <c r="D1234" i="11"/>
  <c r="G1142" i="11"/>
  <c r="K964" i="11"/>
  <c r="L1181" i="11"/>
  <c r="H1196" i="11"/>
  <c r="B1236" i="11"/>
  <c r="G1156" i="11"/>
  <c r="G936" i="11"/>
  <c r="K1242" i="11"/>
  <c r="F1269" i="11"/>
  <c r="E5" i="11"/>
  <c r="K329" i="11"/>
  <c r="F1239" i="11"/>
  <c r="J77" i="11"/>
  <c r="K1229" i="11"/>
  <c r="G882" i="11"/>
  <c r="C1228" i="11"/>
  <c r="C997" i="11"/>
  <c r="D1063" i="11"/>
  <c r="H737" i="11"/>
  <c r="J121" i="11"/>
  <c r="H1087" i="11"/>
  <c r="G298" i="11"/>
  <c r="H937" i="11"/>
  <c r="B640" i="11"/>
  <c r="C880" i="11"/>
  <c r="J349" i="11"/>
  <c r="G1051" i="11"/>
  <c r="J100" i="11"/>
  <c r="D1274" i="11"/>
  <c r="K265" i="11"/>
  <c r="C142" i="11"/>
  <c r="G212" i="11"/>
  <c r="L67" i="11"/>
  <c r="L27" i="11"/>
  <c r="L176" i="11"/>
  <c r="L94" i="11"/>
  <c r="L36" i="11"/>
  <c r="L156" i="11"/>
  <c r="L194" i="11"/>
  <c r="L100" i="11"/>
  <c r="G113" i="11"/>
  <c r="B129" i="11"/>
  <c r="B105" i="11"/>
  <c r="G33" i="11"/>
  <c r="G161" i="11"/>
  <c r="N25" i="8"/>
  <c r="G857" i="11"/>
  <c r="L895" i="11"/>
  <c r="C1144" i="11"/>
  <c r="D729" i="11"/>
  <c r="E37" i="11"/>
  <c r="C751" i="11"/>
  <c r="K1001" i="11"/>
  <c r="B421" i="11"/>
  <c r="G412" i="11"/>
  <c r="B291" i="11"/>
  <c r="B1241" i="11"/>
  <c r="H859" i="11"/>
  <c r="G1239" i="11"/>
  <c r="D9" i="11"/>
  <c r="L1224" i="11"/>
  <c r="K1022" i="11"/>
  <c r="G222" i="11"/>
  <c r="C432" i="11"/>
  <c r="D253" i="11"/>
  <c r="L1173" i="11"/>
  <c r="D146" i="11"/>
  <c r="F1210" i="11"/>
  <c r="G1023" i="11"/>
  <c r="L330" i="11"/>
  <c r="K897" i="11"/>
  <c r="G680" i="11"/>
  <c r="G819" i="11"/>
  <c r="D853" i="11"/>
  <c r="C271" i="11"/>
  <c r="C1176" i="11"/>
  <c r="D936" i="11"/>
  <c r="D1275" i="11"/>
  <c r="H1104" i="11"/>
  <c r="J400" i="11"/>
  <c r="J57" i="11"/>
  <c r="H891" i="11"/>
  <c r="K1129" i="11"/>
  <c r="D1027" i="11"/>
  <c r="D931" i="11"/>
  <c r="G737" i="11"/>
  <c r="G6" i="11"/>
  <c r="L1082" i="11"/>
  <c r="C913" i="11"/>
  <c r="B478" i="11"/>
  <c r="C1191" i="11"/>
  <c r="C879" i="11"/>
  <c r="C247" i="11"/>
  <c r="D884" i="11"/>
  <c r="G1169" i="11"/>
  <c r="G380" i="11"/>
  <c r="G1058" i="11"/>
  <c r="D448" i="11"/>
  <c r="J343" i="11"/>
  <c r="C813" i="11"/>
  <c r="D1109" i="11"/>
  <c r="J8" i="11"/>
  <c r="K220" i="11"/>
  <c r="C352" i="11"/>
  <c r="J187" i="11"/>
  <c r="C293" i="11"/>
  <c r="D951" i="11"/>
  <c r="E736" i="11"/>
  <c r="D114" i="11"/>
  <c r="F290" i="11"/>
  <c r="G1206" i="11"/>
  <c r="B285" i="11"/>
  <c r="F366" i="11"/>
  <c r="D893" i="11"/>
  <c r="D948" i="11"/>
  <c r="J202" i="11"/>
  <c r="D1250" i="11"/>
  <c r="L482" i="11"/>
  <c r="L951" i="11"/>
  <c r="F1237" i="11"/>
  <c r="G838" i="11"/>
  <c r="L459" i="11"/>
  <c r="K924" i="11"/>
  <c r="G969" i="11"/>
  <c r="F1040" i="11"/>
  <c r="F283" i="11"/>
  <c r="D981" i="11"/>
  <c r="D1282" i="11"/>
  <c r="I64" i="11"/>
  <c r="B1257" i="11"/>
  <c r="B448" i="11"/>
  <c r="G770" i="11"/>
  <c r="G1171" i="11"/>
  <c r="K1237" i="11"/>
  <c r="C380" i="11"/>
  <c r="F1059" i="11"/>
  <c r="C1192" i="11"/>
  <c r="C383" i="11"/>
  <c r="J1054" i="11"/>
  <c r="G203" i="11"/>
  <c r="L41" i="11"/>
  <c r="L118" i="11"/>
  <c r="L74" i="11"/>
  <c r="L213" i="11"/>
  <c r="L163" i="11"/>
  <c r="L54" i="11"/>
  <c r="L135" i="11"/>
  <c r="L192" i="11"/>
  <c r="L207" i="11"/>
  <c r="B181" i="11"/>
  <c r="B149" i="11"/>
  <c r="H48" i="9"/>
  <c r="H23" i="9"/>
  <c r="H7" i="9"/>
  <c r="N38" i="8"/>
  <c r="M13" i="8"/>
  <c r="N31" i="8"/>
  <c r="L107" i="11"/>
  <c r="L167" i="11"/>
  <c r="L111" i="11"/>
  <c r="B189" i="11"/>
  <c r="C33" i="11"/>
  <c r="Q44" i="9"/>
  <c r="M23" i="8"/>
  <c r="M33" i="8"/>
  <c r="F161" i="11"/>
  <c r="M12" i="8"/>
  <c r="N33" i="8"/>
  <c r="G311" i="11"/>
  <c r="I110" i="11"/>
  <c r="K440" i="11"/>
  <c r="K960" i="11"/>
  <c r="C776" i="11"/>
  <c r="H472" i="11"/>
  <c r="D1223" i="11"/>
  <c r="D1092" i="11"/>
  <c r="L1208" i="11"/>
  <c r="G1214" i="11"/>
  <c r="H779" i="11"/>
  <c r="J1245" i="11"/>
  <c r="F566" i="11"/>
  <c r="D325" i="11"/>
  <c r="H491" i="11"/>
  <c r="J1215" i="11"/>
  <c r="C222" i="11"/>
  <c r="C1147" i="11"/>
  <c r="J65" i="11"/>
  <c r="H266" i="11"/>
  <c r="K907" i="11"/>
  <c r="J1282" i="11"/>
  <c r="I637" i="11"/>
  <c r="J666" i="11"/>
  <c r="F248" i="11"/>
  <c r="D456" i="11"/>
  <c r="H440" i="11"/>
  <c r="J50" i="11"/>
  <c r="H218" i="11"/>
  <c r="H255" i="11"/>
  <c r="K981" i="11"/>
  <c r="J128" i="11"/>
  <c r="B360" i="11"/>
  <c r="C1048" i="11"/>
  <c r="C940" i="11"/>
  <c r="H312" i="11"/>
  <c r="G1047" i="11"/>
  <c r="G1203" i="11"/>
  <c r="K778" i="11"/>
  <c r="G332" i="11"/>
  <c r="C936" i="11"/>
  <c r="B1042" i="11"/>
  <c r="H1141" i="11"/>
  <c r="E487" i="11"/>
  <c r="G390" i="11"/>
  <c r="I136" i="11"/>
  <c r="F386" i="11"/>
  <c r="K1213" i="11"/>
  <c r="H964" i="11"/>
  <c r="G839" i="11"/>
  <c r="I510" i="11"/>
  <c r="F552" i="11"/>
  <c r="J475" i="11"/>
  <c r="E22" i="11"/>
  <c r="C347" i="11"/>
  <c r="J1265" i="11"/>
  <c r="E386" i="11"/>
  <c r="E201" i="11"/>
  <c r="I276" i="11"/>
  <c r="F1211" i="11"/>
  <c r="F1221" i="11"/>
  <c r="K754" i="11"/>
  <c r="D1045" i="11"/>
  <c r="C226" i="11"/>
  <c r="K1144" i="11"/>
  <c r="L1010" i="11"/>
  <c r="H890" i="11"/>
  <c r="J196" i="11"/>
  <c r="L1188" i="11"/>
  <c r="G901" i="11"/>
  <c r="K880" i="11"/>
  <c r="D118" i="11"/>
  <c r="K1203" i="11"/>
  <c r="G899" i="11"/>
  <c r="I193" i="11"/>
  <c r="K1139" i="11"/>
  <c r="C939" i="11"/>
  <c r="K847" i="11"/>
  <c r="C1172" i="11"/>
  <c r="H232" i="11"/>
  <c r="C235" i="11"/>
  <c r="C1012" i="11"/>
  <c r="C1033" i="11"/>
  <c r="F677" i="11"/>
  <c r="I171" i="11"/>
  <c r="L726" i="11"/>
  <c r="G604" i="11"/>
  <c r="B413" i="11"/>
  <c r="F323" i="11"/>
  <c r="K962" i="11"/>
  <c r="C573" i="11"/>
  <c r="I725" i="11"/>
  <c r="B576" i="11"/>
  <c r="G568" i="11"/>
  <c r="E28" i="11"/>
  <c r="D220" i="11"/>
  <c r="C1152" i="11"/>
  <c r="G835" i="11"/>
  <c r="D1207" i="11"/>
  <c r="D789" i="11"/>
  <c r="D1058" i="11"/>
  <c r="D1108" i="11"/>
  <c r="G557" i="11"/>
  <c r="F235" i="11"/>
  <c r="D1287" i="11"/>
  <c r="C315" i="11"/>
  <c r="D996" i="11"/>
  <c r="L887" i="11"/>
  <c r="K357" i="11"/>
  <c r="C1183" i="11"/>
  <c r="D1279" i="11"/>
  <c r="H938" i="11"/>
  <c r="G1035" i="11"/>
  <c r="D1091" i="11"/>
  <c r="C353" i="11"/>
  <c r="B1051" i="11"/>
  <c r="J1223" i="11"/>
  <c r="G218" i="11"/>
  <c r="J1053" i="11"/>
  <c r="J206" i="11"/>
  <c r="I208" i="11"/>
  <c r="H1131" i="11"/>
  <c r="I507" i="11"/>
  <c r="K1141" i="11"/>
  <c r="G242" i="11"/>
  <c r="J360" i="11"/>
  <c r="E503" i="11"/>
  <c r="G944" i="11"/>
  <c r="G746" i="11"/>
  <c r="J101" i="11"/>
  <c r="E84" i="11"/>
  <c r="D846" i="11"/>
  <c r="D204" i="11"/>
  <c r="H969" i="11"/>
  <c r="D776" i="11"/>
  <c r="D745" i="11"/>
  <c r="B273" i="11"/>
  <c r="C824" i="11"/>
  <c r="G844" i="11"/>
  <c r="H1275" i="11"/>
  <c r="L333" i="11"/>
  <c r="D1142" i="11"/>
  <c r="D264" i="11"/>
  <c r="H1078" i="11"/>
  <c r="D848" i="11"/>
  <c r="D1060" i="11"/>
  <c r="L986" i="11"/>
  <c r="D805" i="11"/>
  <c r="G909" i="11"/>
  <c r="K1128" i="11"/>
  <c r="G743" i="11"/>
  <c r="F1262" i="11"/>
  <c r="G950" i="11"/>
  <c r="G1032" i="11"/>
  <c r="D459" i="11"/>
  <c r="C299" i="11"/>
  <c r="C899" i="11"/>
  <c r="J1233" i="11"/>
  <c r="C772" i="11"/>
  <c r="D750" i="11"/>
  <c r="E129" i="11"/>
  <c r="G799" i="11"/>
  <c r="J1288" i="11"/>
  <c r="K763" i="11"/>
  <c r="C377" i="11"/>
  <c r="C908" i="11"/>
  <c r="J535" i="11"/>
  <c r="C1034" i="11"/>
  <c r="L335" i="11"/>
  <c r="G1144" i="11"/>
  <c r="B1219" i="11"/>
  <c r="C906" i="11"/>
  <c r="D93" i="11"/>
  <c r="F549" i="11"/>
  <c r="G849" i="11"/>
  <c r="K870" i="11"/>
  <c r="F234" i="11"/>
  <c r="L739" i="11"/>
  <c r="K241" i="11"/>
  <c r="H1064" i="11"/>
  <c r="G993" i="11"/>
  <c r="J172" i="11"/>
  <c r="G904" i="11"/>
  <c r="H1044" i="11"/>
  <c r="F292" i="11"/>
  <c r="C951" i="11"/>
  <c r="E127" i="11"/>
  <c r="E363" i="11"/>
  <c r="G927" i="11"/>
  <c r="F385" i="11"/>
  <c r="H1091" i="11"/>
  <c r="D174" i="11"/>
  <c r="K1140" i="11"/>
  <c r="H796" i="11"/>
  <c r="D1243" i="11"/>
  <c r="F1042" i="11"/>
  <c r="C435" i="11"/>
  <c r="H948" i="11"/>
  <c r="H876" i="11"/>
  <c r="D1089" i="11"/>
  <c r="K1025" i="11"/>
  <c r="H846" i="11"/>
  <c r="D965" i="11"/>
  <c r="B407" i="11"/>
  <c r="H281" i="11"/>
  <c r="F365" i="11"/>
  <c r="L984" i="11"/>
  <c r="E328" i="11"/>
  <c r="H875" i="11"/>
  <c r="L1026" i="11"/>
  <c r="H279" i="11"/>
  <c r="H945" i="11"/>
  <c r="D202" i="11"/>
  <c r="K751" i="11"/>
  <c r="B355" i="11"/>
  <c r="G336" i="11"/>
  <c r="B1288" i="11"/>
  <c r="K300" i="11"/>
  <c r="J87" i="11"/>
  <c r="K711" i="11"/>
  <c r="C324" i="11"/>
  <c r="J78" i="11"/>
  <c r="G894" i="11"/>
  <c r="J135" i="11"/>
  <c r="K1179" i="11"/>
  <c r="G984" i="11"/>
  <c r="E432" i="11"/>
  <c r="C633" i="11"/>
  <c r="K1005" i="11"/>
  <c r="D757" i="11"/>
  <c r="D360" i="11"/>
  <c r="H1002" i="11"/>
  <c r="K797" i="11"/>
  <c r="K702" i="11"/>
  <c r="I350" i="11"/>
  <c r="E507" i="11"/>
  <c r="D1004" i="11"/>
  <c r="G975" i="11"/>
  <c r="L262" i="11"/>
  <c r="L1057" i="11"/>
  <c r="H1205" i="11"/>
  <c r="B1281" i="11"/>
  <c r="C528" i="11"/>
  <c r="C332" i="11"/>
  <c r="J315" i="11"/>
  <c r="K446" i="11"/>
  <c r="G358" i="11"/>
  <c r="D821" i="11"/>
  <c r="H1272" i="11"/>
  <c r="C920" i="11"/>
  <c r="K238" i="11"/>
  <c r="F1247" i="11"/>
  <c r="G856" i="11"/>
  <c r="G1235" i="11"/>
  <c r="C806" i="11"/>
  <c r="G783" i="11"/>
  <c r="D314" i="11"/>
  <c r="E233" i="11"/>
  <c r="E465" i="11"/>
  <c r="G244" i="11"/>
  <c r="H1137" i="11"/>
  <c r="H1239" i="11"/>
  <c r="J271" i="11"/>
  <c r="D1125" i="11"/>
  <c r="G974" i="11"/>
  <c r="G319" i="11"/>
  <c r="C456" i="11"/>
  <c r="G900" i="11"/>
  <c r="H1257" i="11"/>
  <c r="J1272" i="11"/>
  <c r="H576" i="11"/>
  <c r="I321" i="11"/>
  <c r="G980" i="11"/>
  <c r="H848" i="11"/>
  <c r="F563" i="11"/>
  <c r="G143" i="11"/>
  <c r="C129" i="11"/>
  <c r="L104" i="11"/>
  <c r="L131" i="11"/>
  <c r="L148" i="11"/>
  <c r="L191" i="11"/>
  <c r="L184" i="11"/>
  <c r="L64" i="11"/>
  <c r="L139" i="11"/>
  <c r="L142" i="11"/>
  <c r="B179" i="11"/>
  <c r="B216" i="11"/>
  <c r="B97" i="11"/>
  <c r="M7" i="9"/>
  <c r="M22" i="8"/>
  <c r="D856" i="11"/>
  <c r="E82" i="11"/>
  <c r="E11" i="11"/>
  <c r="C1023" i="11"/>
  <c r="F1186" i="11"/>
  <c r="D324" i="11"/>
  <c r="L819" i="11"/>
  <c r="H1277" i="11"/>
  <c r="D336" i="11"/>
  <c r="G287" i="11"/>
  <c r="D485" i="11"/>
  <c r="G354" i="11"/>
  <c r="H288" i="11"/>
  <c r="H843" i="11"/>
  <c r="K1201" i="11"/>
  <c r="H932" i="11"/>
  <c r="K603" i="11"/>
  <c r="H1069" i="11"/>
  <c r="H347" i="11"/>
  <c r="J384" i="11"/>
  <c r="C955" i="11"/>
  <c r="C317" i="11"/>
  <c r="H1143" i="11"/>
  <c r="D166" i="11"/>
  <c r="J652" i="11"/>
  <c r="J241" i="11"/>
  <c r="K292" i="11"/>
  <c r="J195" i="11"/>
  <c r="G454" i="11"/>
  <c r="I312" i="11"/>
  <c r="C601" i="11"/>
  <c r="G1134" i="11"/>
  <c r="G797" i="11"/>
  <c r="H1210" i="11"/>
  <c r="D229" i="11"/>
  <c r="H872" i="11"/>
  <c r="H780" i="11"/>
  <c r="B493" i="11"/>
  <c r="L1032" i="11"/>
  <c r="B1266" i="11"/>
  <c r="F254" i="11"/>
  <c r="G726" i="11"/>
  <c r="B1196" i="11"/>
  <c r="J1184" i="11"/>
  <c r="H849" i="11"/>
  <c r="H1010" i="11"/>
  <c r="D1076" i="11"/>
  <c r="D800" i="11"/>
  <c r="D614" i="11"/>
  <c r="J34" i="11"/>
  <c r="C613" i="11"/>
  <c r="G1159" i="11"/>
  <c r="D513" i="11"/>
  <c r="D471" i="11"/>
  <c r="H889" i="11"/>
  <c r="F397" i="11"/>
  <c r="J237" i="11"/>
  <c r="H498" i="11"/>
  <c r="G892" i="11"/>
  <c r="D1267" i="11"/>
  <c r="H267" i="11"/>
  <c r="L966" i="11"/>
  <c r="H1218" i="11"/>
  <c r="E276" i="11"/>
  <c r="G791" i="11"/>
  <c r="B1202" i="11"/>
  <c r="D515" i="11"/>
  <c r="D1192" i="11"/>
  <c r="J1209" i="11"/>
  <c r="C1040" i="11"/>
  <c r="B560" i="11"/>
  <c r="E87" i="11"/>
  <c r="H834" i="11"/>
  <c r="D209" i="11"/>
  <c r="G875" i="11"/>
  <c r="D1034" i="11"/>
  <c r="D90" i="11"/>
  <c r="J1216" i="11"/>
  <c r="L954" i="11"/>
  <c r="J53" i="11"/>
  <c r="D164" i="11"/>
  <c r="D741" i="11"/>
  <c r="B1277" i="11"/>
  <c r="H944" i="11"/>
  <c r="J134" i="11"/>
  <c r="D727" i="11"/>
  <c r="D767" i="11"/>
  <c r="D21" i="11"/>
  <c r="J549" i="11"/>
  <c r="F1290" i="11"/>
  <c r="G995" i="11"/>
  <c r="D1211" i="11"/>
  <c r="G782" i="11"/>
  <c r="G156" i="11"/>
  <c r="K193" i="11"/>
  <c r="L98" i="11"/>
  <c r="L77" i="11"/>
  <c r="L78" i="11"/>
  <c r="L95" i="11"/>
  <c r="L88" i="11"/>
  <c r="L157" i="11"/>
  <c r="L23" i="11"/>
  <c r="L40" i="11"/>
  <c r="B180" i="11"/>
  <c r="B103" i="11"/>
  <c r="B194" i="11"/>
  <c r="M41" i="9"/>
  <c r="L161" i="11"/>
  <c r="N26" i="8"/>
  <c r="F508" i="11"/>
  <c r="E21" i="11"/>
  <c r="L392" i="11"/>
  <c r="F286" i="11"/>
  <c r="K348" i="11"/>
  <c r="D1172" i="11"/>
  <c r="J1197" i="11"/>
  <c r="G365" i="11"/>
  <c r="D1000" i="11"/>
  <c r="H1201" i="11"/>
  <c r="F1213" i="11"/>
  <c r="D134" i="11"/>
  <c r="H903" i="11"/>
  <c r="C1236" i="11"/>
  <c r="J499" i="11"/>
  <c r="K1218" i="11"/>
  <c r="H613" i="11"/>
  <c r="H1261" i="11"/>
  <c r="C340" i="11"/>
  <c r="B1057" i="11"/>
  <c r="C923" i="11"/>
  <c r="I246" i="11"/>
  <c r="D833" i="11"/>
  <c r="I1088" i="11"/>
  <c r="G696" i="11"/>
  <c r="E156" i="11"/>
  <c r="D1038" i="11"/>
  <c r="J622" i="11"/>
  <c r="D980" i="11"/>
  <c r="D1220" i="11"/>
  <c r="C289" i="11"/>
  <c r="J1037" i="11"/>
  <c r="G550" i="11"/>
  <c r="K591" i="11"/>
  <c r="E148" i="11"/>
  <c r="D744" i="11"/>
  <c r="G817" i="11"/>
  <c r="D232" i="11"/>
  <c r="E39" i="11"/>
  <c r="J25" i="11"/>
  <c r="H852" i="11"/>
  <c r="F1222" i="11"/>
  <c r="D49" i="11"/>
  <c r="F827" i="11"/>
  <c r="G300" i="11"/>
  <c r="G756" i="11"/>
  <c r="B1240" i="11"/>
  <c r="I372" i="11"/>
  <c r="B1040" i="11"/>
  <c r="B369" i="11"/>
  <c r="G352" i="11"/>
  <c r="C725" i="11"/>
  <c r="J339" i="11"/>
  <c r="C818" i="11"/>
  <c r="H1211" i="11"/>
  <c r="I824" i="11"/>
  <c r="D260" i="11"/>
  <c r="D844" i="11"/>
  <c r="L909" i="11"/>
  <c r="B1036" i="11"/>
  <c r="D10" i="11"/>
  <c r="K926" i="11"/>
  <c r="K447" i="11"/>
  <c r="C843" i="11"/>
  <c r="C788" i="11"/>
  <c r="K1137" i="11"/>
  <c r="J1283" i="11"/>
  <c r="F1204" i="11"/>
  <c r="F389" i="11"/>
  <c r="D258" i="11"/>
  <c r="J9" i="11"/>
  <c r="K776" i="11"/>
  <c r="K988" i="11"/>
  <c r="L903" i="11"/>
  <c r="J1196" i="11"/>
  <c r="D373" i="11"/>
  <c r="G1158" i="11"/>
  <c r="G943" i="11"/>
  <c r="G330" i="11"/>
  <c r="L1063" i="11"/>
  <c r="C812" i="11"/>
  <c r="J1229" i="11"/>
  <c r="C1019" i="11"/>
  <c r="B1228" i="11"/>
  <c r="B447" i="11"/>
  <c r="C1026" i="11"/>
  <c r="F398" i="11"/>
  <c r="H1267" i="11"/>
  <c r="G972" i="11"/>
  <c r="J174" i="11"/>
  <c r="J44" i="11"/>
  <c r="C964" i="11"/>
  <c r="C206" i="11"/>
  <c r="L212" i="11"/>
  <c r="L154" i="11"/>
  <c r="L59" i="11"/>
  <c r="L208" i="11"/>
  <c r="L126" i="11"/>
  <c r="L106" i="11"/>
  <c r="L188" i="11"/>
  <c r="L195" i="11"/>
  <c r="L132" i="11"/>
  <c r="K113" i="11"/>
  <c r="B193" i="11"/>
  <c r="B137" i="11"/>
  <c r="E42" i="8"/>
  <c r="B161" i="11"/>
  <c r="K7" i="9"/>
  <c r="N50" i="8"/>
  <c r="N20" i="8"/>
  <c r="N9" i="8"/>
  <c r="L153" i="11"/>
  <c r="L138" i="11"/>
  <c r="L113" i="11"/>
  <c r="B78" i="11"/>
  <c r="E16" i="8"/>
  <c r="P7" i="9"/>
  <c r="N27" i="8"/>
  <c r="M39" i="8"/>
  <c r="G44" i="9"/>
  <c r="N47" i="8"/>
  <c r="N12" i="8"/>
  <c r="H1227" i="11"/>
  <c r="F590" i="11"/>
  <c r="I114" i="11"/>
  <c r="G723" i="11"/>
  <c r="E76" i="11"/>
  <c r="H1108" i="11"/>
  <c r="C1001" i="11"/>
  <c r="H900" i="11"/>
  <c r="K222" i="11"/>
  <c r="B566" i="11"/>
  <c r="G920" i="11"/>
  <c r="E452" i="11"/>
  <c r="D978" i="11"/>
  <c r="H277" i="11"/>
  <c r="K753" i="11"/>
  <c r="J501" i="11"/>
  <c r="C775" i="11"/>
  <c r="K1000" i="11"/>
  <c r="L1271" i="11"/>
  <c r="D57" i="11"/>
  <c r="D354" i="11"/>
  <c r="J1252" i="11"/>
  <c r="G383" i="11"/>
  <c r="H399" i="11"/>
  <c r="I4" i="11"/>
  <c r="H252" i="11"/>
  <c r="D213" i="11"/>
  <c r="G945" i="11"/>
  <c r="L1289" i="11"/>
  <c r="K935" i="11"/>
  <c r="F1281" i="11"/>
  <c r="L892" i="11"/>
  <c r="F362" i="11"/>
  <c r="J93" i="11"/>
  <c r="J1056" i="11"/>
  <c r="D1008" i="11"/>
  <c r="C736" i="11"/>
  <c r="G406" i="11"/>
  <c r="G271" i="11"/>
  <c r="K1246" i="11"/>
  <c r="D105" i="11"/>
  <c r="G866" i="11"/>
  <c r="J445" i="11"/>
  <c r="J542" i="11"/>
  <c r="H453" i="11"/>
  <c r="I573" i="11"/>
  <c r="G1056" i="11"/>
  <c r="C858" i="11"/>
  <c r="G735" i="11"/>
  <c r="G991" i="11"/>
  <c r="H993" i="11"/>
  <c r="G545" i="11"/>
  <c r="E412" i="11"/>
  <c r="L1077" i="11"/>
  <c r="C871" i="11"/>
  <c r="C1232" i="11"/>
  <c r="D175" i="11"/>
  <c r="K8" i="11"/>
  <c r="G841" i="11"/>
  <c r="B1037" i="11"/>
  <c r="H415" i="11"/>
  <c r="K859" i="11"/>
  <c r="K823" i="11"/>
  <c r="D245" i="11"/>
  <c r="K362" i="11"/>
  <c r="D1032" i="11"/>
  <c r="K952" i="11"/>
  <c r="B1239" i="11"/>
  <c r="J397" i="11"/>
  <c r="F1240" i="11"/>
  <c r="L359" i="11"/>
  <c r="D1083" i="11"/>
  <c r="C241" i="11"/>
  <c r="D1075" i="11"/>
  <c r="D889" i="11"/>
  <c r="L347" i="11"/>
  <c r="D281" i="11"/>
  <c r="H340" i="11"/>
  <c r="L231" i="11"/>
  <c r="G951" i="11"/>
  <c r="L413" i="11"/>
  <c r="E151" i="11"/>
  <c r="J157" i="11"/>
  <c r="K358" i="11"/>
  <c r="G179" i="11"/>
  <c r="K129" i="11"/>
  <c r="L34" i="11"/>
  <c r="L130" i="11"/>
  <c r="L116" i="11"/>
  <c r="L39" i="11"/>
  <c r="L47" i="11"/>
  <c r="B110" i="11"/>
  <c r="N39" i="8"/>
  <c r="N17" i="8"/>
  <c r="J7" i="9"/>
  <c r="M31" i="8"/>
  <c r="M50" i="8"/>
  <c r="S7" i="9"/>
  <c r="N42" i="8"/>
  <c r="J1248" i="11"/>
  <c r="I356" i="11"/>
  <c r="G946" i="11"/>
  <c r="H1207" i="11"/>
  <c r="C227" i="11"/>
  <c r="H961" i="11"/>
  <c r="J102" i="11"/>
  <c r="K212" i="11"/>
  <c r="L209" i="11"/>
  <c r="L159" i="11"/>
  <c r="N5" i="8"/>
  <c r="N11" i="8"/>
  <c r="C1031" i="11"/>
  <c r="H368" i="11"/>
  <c r="B646" i="11"/>
  <c r="C372" i="11"/>
  <c r="J116" i="11"/>
  <c r="L1243" i="11"/>
  <c r="F1253" i="11"/>
  <c r="J1198" i="11"/>
  <c r="B584" i="11"/>
  <c r="K730" i="11"/>
  <c r="G236" i="11"/>
  <c r="G744" i="11"/>
  <c r="B1238" i="11"/>
  <c r="D436" i="11"/>
  <c r="J1225" i="11"/>
  <c r="D1072" i="11"/>
  <c r="H1234" i="11"/>
  <c r="K805" i="11"/>
  <c r="D1204" i="11"/>
  <c r="L415" i="11"/>
  <c r="E384" i="11"/>
  <c r="G722" i="11"/>
  <c r="G204" i="11"/>
  <c r="L76" i="11"/>
  <c r="L108" i="11"/>
  <c r="L202" i="11"/>
  <c r="L56" i="11"/>
  <c r="L152" i="11"/>
  <c r="L96" i="11"/>
  <c r="B212" i="11"/>
  <c r="H161" i="11"/>
  <c r="M5" i="8"/>
  <c r="M11" i="8"/>
  <c r="N40" i="8"/>
  <c r="B191" i="11"/>
  <c r="J35" i="10"/>
  <c r="F336" i="11"/>
  <c r="K932" i="11"/>
  <c r="D317" i="11"/>
  <c r="G955" i="11"/>
  <c r="J165" i="11"/>
  <c r="D1094" i="11"/>
  <c r="D1160" i="11"/>
  <c r="L186" i="11"/>
  <c r="L32" i="11"/>
  <c r="H97" i="11"/>
  <c r="M37" i="8"/>
  <c r="B1254" i="11"/>
  <c r="J554" i="11"/>
  <c r="D243" i="11"/>
  <c r="D1198" i="11"/>
  <c r="K892" i="11"/>
  <c r="D1238" i="11"/>
  <c r="K767" i="11"/>
  <c r="G1227" i="11"/>
  <c r="H234" i="11"/>
  <c r="D1229" i="11"/>
  <c r="G925" i="11"/>
  <c r="H806" i="11"/>
  <c r="G754" i="11"/>
  <c r="E150" i="11"/>
  <c r="C637" i="11"/>
  <c r="J1281" i="11"/>
  <c r="G1185" i="11"/>
  <c r="G327" i="11"/>
  <c r="F1225" i="11"/>
  <c r="J106" i="11"/>
  <c r="D968" i="11"/>
  <c r="C183" i="11"/>
  <c r="G163" i="11"/>
  <c r="L210" i="11"/>
  <c r="L119" i="11"/>
  <c r="L112" i="11"/>
  <c r="L158" i="11"/>
  <c r="L92" i="11"/>
  <c r="L110" i="11"/>
  <c r="N35" i="8"/>
  <c r="K967" i="11"/>
  <c r="D234" i="11"/>
  <c r="K332" i="11"/>
  <c r="D819" i="11"/>
  <c r="H1179" i="11"/>
  <c r="J192" i="11"/>
  <c r="C309" i="11"/>
  <c r="C170" i="11"/>
  <c r="L91" i="11"/>
  <c r="L177" i="11"/>
  <c r="K161" i="11"/>
  <c r="O35" i="8" l="1"/>
  <c r="O40" i="8"/>
  <c r="M49" i="8"/>
  <c r="O11" i="8"/>
  <c r="O42" i="8"/>
  <c r="O17" i="8"/>
  <c r="O39" i="8"/>
  <c r="O12" i="8"/>
  <c r="O47" i="8"/>
  <c r="O27" i="8"/>
  <c r="F16" i="8"/>
  <c r="O9" i="8"/>
  <c r="O20" i="8"/>
  <c r="O50" i="8"/>
  <c r="L7" i="9"/>
  <c r="F42" i="8"/>
  <c r="O26" i="8"/>
  <c r="O33" i="8"/>
  <c r="R44" i="9"/>
  <c r="O31" i="8"/>
  <c r="O38" i="8"/>
  <c r="I7" i="9"/>
  <c r="I23" i="9"/>
  <c r="I48" i="9"/>
  <c r="O25" i="8"/>
  <c r="O15" i="8"/>
  <c r="O45" i="8"/>
  <c r="R7" i="9"/>
  <c r="I41" i="9"/>
  <c r="O16" i="8"/>
  <c r="O36" i="8"/>
  <c r="O44" i="9"/>
  <c r="O7" i="9"/>
  <c r="O23" i="9"/>
  <c r="O48" i="8"/>
  <c r="O43" i="8"/>
  <c r="O21" i="8"/>
  <c r="R19" i="10"/>
  <c r="O19" i="8"/>
  <c r="O23" i="8"/>
  <c r="F43" i="3"/>
  <c r="F38" i="3"/>
  <c r="R9" i="10"/>
  <c r="F45" i="9"/>
  <c r="L43" i="8"/>
  <c r="F8" i="3"/>
  <c r="O11" i="10"/>
  <c r="J49" i="3"/>
  <c r="N49" i="8"/>
  <c r="O49" i="8" s="1"/>
  <c r="O5" i="8"/>
  <c r="F1" i="11"/>
  <c r="C70" i="1" s="1"/>
  <c r="I1" i="11"/>
  <c r="D72" i="1" s="1"/>
  <c r="L1" i="11"/>
  <c r="D75" i="1" s="1"/>
  <c r="E75" i="1" s="1"/>
  <c r="G1" i="11"/>
  <c r="C75" i="1" s="1"/>
  <c r="D1" i="11"/>
  <c r="C72" i="1" s="1"/>
  <c r="H1" i="11"/>
  <c r="D73" i="1" s="1"/>
  <c r="K1" i="11"/>
  <c r="D70" i="1" s="1"/>
  <c r="E70" i="1" s="1"/>
  <c r="J1" i="11"/>
  <c r="D71" i="1" s="1"/>
  <c r="E1" i="11"/>
  <c r="C71" i="1" s="1"/>
  <c r="C1" i="11"/>
  <c r="C73" i="1" s="1"/>
  <c r="R28" i="9"/>
  <c r="F43" i="10"/>
  <c r="I43" i="3"/>
  <c r="F19" i="8"/>
  <c r="I29" i="3"/>
  <c r="R29" i="8"/>
  <c r="R16" i="8"/>
  <c r="F30" i="9"/>
  <c r="F11" i="8"/>
  <c r="R37" i="8"/>
  <c r="R10" i="8"/>
  <c r="L36" i="10"/>
  <c r="I25" i="3"/>
  <c r="I41" i="3"/>
  <c r="R21" i="9"/>
  <c r="F24" i="9"/>
  <c r="L33" i="8"/>
  <c r="L23" i="9"/>
  <c r="F6" i="8"/>
  <c r="F7" i="3"/>
  <c r="I18" i="3"/>
  <c r="L24" i="8"/>
  <c r="R15" i="8"/>
  <c r="I17" i="8"/>
  <c r="O9" i="9"/>
  <c r="R19" i="8"/>
  <c r="L23" i="8"/>
  <c r="O46" i="10"/>
  <c r="R48" i="8"/>
  <c r="F37" i="3"/>
  <c r="R18" i="8"/>
  <c r="I7" i="3"/>
  <c r="L37" i="8"/>
  <c r="O8" i="8"/>
  <c r="I45" i="3"/>
  <c r="L11" i="8"/>
  <c r="I15" i="3"/>
  <c r="F12" i="8"/>
  <c r="I15" i="8"/>
  <c r="I5" i="3"/>
  <c r="H49" i="3"/>
  <c r="I14" i="8"/>
  <c r="L7" i="8"/>
  <c r="O43" i="10"/>
  <c r="L26" i="3"/>
  <c r="L9" i="10"/>
  <c r="I8" i="3"/>
  <c r="R47" i="8"/>
  <c r="F37" i="8"/>
  <c r="D49" i="10"/>
  <c r="F33" i="10"/>
  <c r="J49" i="8"/>
  <c r="L7" i="10"/>
  <c r="I9" i="3"/>
  <c r="L40" i="8"/>
  <c r="F21" i="8"/>
  <c r="F35" i="8"/>
  <c r="I6" i="9"/>
  <c r="L32" i="3"/>
  <c r="I11" i="3"/>
  <c r="R5" i="10"/>
  <c r="Q49" i="10"/>
  <c r="I48" i="10"/>
  <c r="O20" i="9"/>
  <c r="I43" i="10"/>
  <c r="I46" i="3"/>
  <c r="O35" i="10"/>
  <c r="F44" i="9"/>
  <c r="L21" i="8"/>
  <c r="I24" i="9"/>
  <c r="I9" i="10"/>
  <c r="F27" i="9"/>
  <c r="L41" i="3"/>
  <c r="I32" i="3"/>
  <c r="I15" i="10"/>
  <c r="I37" i="3"/>
  <c r="F29" i="3"/>
  <c r="I17" i="3"/>
  <c r="F20" i="3"/>
  <c r="O31" i="9"/>
  <c r="Q49" i="9"/>
  <c r="R5" i="9"/>
  <c r="L28" i="3"/>
  <c r="F25" i="3"/>
  <c r="L34" i="9"/>
  <c r="R27" i="8"/>
  <c r="I28" i="3"/>
  <c r="R6" i="8"/>
  <c r="I22" i="3"/>
  <c r="L15" i="3"/>
  <c r="U23" i="9"/>
  <c r="I44" i="9"/>
  <c r="F48" i="8"/>
  <c r="F13" i="8"/>
  <c r="F27" i="10"/>
  <c r="F43" i="8"/>
  <c r="L31" i="3"/>
  <c r="Q49" i="8"/>
  <c r="R5" i="8"/>
  <c r="L10" i="9"/>
  <c r="F15" i="9"/>
  <c r="F31" i="3"/>
  <c r="F28" i="3"/>
  <c r="I6" i="10"/>
  <c r="F38" i="8"/>
  <c r="U40" i="9"/>
  <c r="I36" i="10"/>
  <c r="R29" i="10"/>
  <c r="R13" i="10"/>
  <c r="L43" i="9"/>
  <c r="L15" i="8"/>
  <c r="O7" i="8"/>
  <c r="L44" i="3"/>
  <c r="I35" i="8"/>
  <c r="F25" i="9"/>
  <c r="F8" i="10"/>
  <c r="L42" i="9"/>
  <c r="L26" i="8"/>
  <c r="O48" i="9"/>
  <c r="L25" i="3"/>
  <c r="O18" i="10"/>
  <c r="F23" i="8"/>
  <c r="L36" i="9"/>
  <c r="R22" i="8"/>
  <c r="O8" i="9"/>
  <c r="F38" i="9"/>
  <c r="L27" i="10"/>
  <c r="I28" i="8"/>
  <c r="R14" i="9"/>
  <c r="L32" i="8"/>
  <c r="L48" i="8"/>
  <c r="U14" i="9"/>
  <c r="I10" i="9"/>
  <c r="L44" i="9"/>
  <c r="I50" i="3"/>
  <c r="L41" i="8"/>
  <c r="F17" i="8"/>
  <c r="I13" i="3"/>
  <c r="R47" i="10"/>
  <c r="F16" i="10"/>
  <c r="L11" i="10"/>
  <c r="L29" i="10"/>
  <c r="F15" i="8"/>
  <c r="R21" i="10"/>
  <c r="R23" i="10"/>
  <c r="L21" i="10"/>
  <c r="L36" i="8"/>
  <c r="L39" i="10"/>
  <c r="L41" i="10"/>
  <c r="L38" i="8"/>
  <c r="F8" i="8"/>
  <c r="F21" i="9"/>
  <c r="O20" i="10"/>
  <c r="L26" i="10"/>
  <c r="R6" i="10"/>
  <c r="F47" i="3"/>
  <c r="I12" i="3"/>
  <c r="I44" i="10"/>
  <c r="R16" i="9"/>
  <c r="F36" i="3"/>
  <c r="F17" i="10"/>
  <c r="F46" i="9"/>
  <c r="U38" i="9"/>
  <c r="F20" i="8"/>
  <c r="F50" i="10"/>
  <c r="F44" i="8"/>
  <c r="R24" i="8"/>
  <c r="I29" i="8"/>
  <c r="F32" i="9"/>
  <c r="R27" i="9"/>
  <c r="F31" i="8"/>
  <c r="F22" i="8"/>
  <c r="O13" i="10"/>
  <c r="O28" i="8"/>
  <c r="L44" i="10"/>
  <c r="L28" i="10"/>
  <c r="F7" i="8"/>
  <c r="I30" i="9"/>
  <c r="F24" i="3"/>
  <c r="L39" i="3"/>
  <c r="I20" i="3"/>
  <c r="F30" i="10"/>
  <c r="I39" i="3"/>
  <c r="F45" i="8"/>
  <c r="I48" i="3"/>
  <c r="R25" i="9"/>
  <c r="I23" i="10"/>
  <c r="R46" i="8"/>
  <c r="I44" i="3"/>
  <c r="I12" i="10"/>
  <c r="F33" i="3"/>
  <c r="L6" i="3"/>
  <c r="F16" i="3"/>
  <c r="L24" i="10"/>
  <c r="F28" i="9"/>
  <c r="L13" i="10"/>
  <c r="R40" i="9"/>
  <c r="F18" i="10"/>
  <c r="R35" i="9"/>
  <c r="L13" i="8"/>
  <c r="I16" i="8"/>
  <c r="F15" i="10"/>
  <c r="L11" i="9"/>
  <c r="I23" i="8"/>
  <c r="F46" i="8"/>
  <c r="O44" i="8"/>
  <c r="O29" i="8"/>
  <c r="I36" i="8"/>
  <c r="L48" i="3"/>
  <c r="M49" i="10"/>
  <c r="L10" i="8"/>
  <c r="I50" i="8"/>
  <c r="R37" i="10"/>
  <c r="F19" i="3"/>
  <c r="G49" i="9"/>
  <c r="I22" i="8"/>
  <c r="F11" i="10"/>
  <c r="F26" i="3"/>
  <c r="L30" i="3"/>
  <c r="D49" i="3"/>
  <c r="L42" i="3"/>
  <c r="L30" i="10"/>
  <c r="I13" i="10"/>
  <c r="L38" i="10"/>
  <c r="R41" i="8"/>
  <c r="O18" i="8"/>
  <c r="R11" i="8"/>
  <c r="I11" i="8"/>
  <c r="I46" i="9"/>
  <c r="F48" i="10"/>
  <c r="R30" i="10"/>
  <c r="F13" i="3"/>
  <c r="O13" i="8"/>
  <c r="R15" i="10"/>
  <c r="F10" i="3"/>
  <c r="F17" i="3"/>
  <c r="F37" i="9"/>
  <c r="F30" i="8"/>
  <c r="F30" i="3"/>
  <c r="I33" i="3"/>
  <c r="F22" i="10"/>
  <c r="R17" i="9"/>
  <c r="L42" i="8"/>
  <c r="R20" i="8"/>
  <c r="I19" i="10"/>
  <c r="R8" i="10"/>
  <c r="F42" i="10"/>
  <c r="L40" i="10"/>
  <c r="R25" i="10"/>
  <c r="L28" i="8"/>
  <c r="L47" i="8"/>
  <c r="L15" i="10"/>
  <c r="R11" i="10"/>
  <c r="L27" i="8"/>
  <c r="I9" i="8"/>
  <c r="L20" i="8"/>
  <c r="I48" i="8"/>
  <c r="F10" i="9"/>
  <c r="F46" i="10"/>
  <c r="I42" i="3"/>
  <c r="R15" i="9"/>
  <c r="L5" i="10"/>
  <c r="K49" i="10"/>
  <c r="L12" i="3"/>
  <c r="I10" i="3"/>
  <c r="E49" i="3"/>
  <c r="F5" i="3"/>
  <c r="E49" i="8"/>
  <c r="F5" i="8"/>
  <c r="R31" i="10"/>
  <c r="O33" i="10"/>
  <c r="F18" i="8"/>
  <c r="F34" i="8"/>
  <c r="F27" i="3"/>
  <c r="L8" i="10"/>
  <c r="D49" i="9"/>
  <c r="R38" i="8"/>
  <c r="O47" i="10"/>
  <c r="R45" i="8"/>
  <c r="P49" i="9"/>
  <c r="R9" i="9"/>
  <c r="O27" i="9"/>
  <c r="U47" i="9"/>
  <c r="I30" i="10"/>
  <c r="F50" i="8"/>
  <c r="L38" i="9"/>
  <c r="O19" i="9"/>
  <c r="L30" i="9"/>
  <c r="I42" i="8"/>
  <c r="R39" i="10"/>
  <c r="R35" i="8"/>
  <c r="L29" i="3"/>
  <c r="L20" i="3"/>
  <c r="L31" i="8"/>
  <c r="F42" i="3"/>
  <c r="F21" i="3"/>
  <c r="R31" i="8"/>
  <c r="F12" i="3"/>
  <c r="F40" i="10"/>
  <c r="R24" i="9"/>
  <c r="I19" i="3"/>
  <c r="F35" i="3"/>
  <c r="F48" i="3"/>
  <c r="G49" i="3"/>
  <c r="O19" i="10"/>
  <c r="I26" i="8"/>
  <c r="I44" i="8"/>
  <c r="F23" i="3"/>
  <c r="L35" i="10"/>
  <c r="O30" i="8"/>
  <c r="I45" i="8"/>
  <c r="F18" i="9"/>
  <c r="O33" i="9"/>
  <c r="I7" i="10"/>
  <c r="I34" i="3"/>
  <c r="I35" i="3"/>
  <c r="R23" i="9"/>
  <c r="F12" i="10"/>
  <c r="L18" i="8"/>
  <c r="I21" i="10"/>
  <c r="L30" i="8"/>
  <c r="F35" i="10"/>
  <c r="R39" i="9"/>
  <c r="I36" i="3"/>
  <c r="O29" i="10"/>
  <c r="F31" i="9"/>
  <c r="R32" i="9"/>
  <c r="L29" i="8"/>
  <c r="R23" i="8"/>
  <c r="O16" i="10"/>
  <c r="L35" i="8"/>
  <c r="R17" i="8"/>
  <c r="L36" i="3"/>
  <c r="F41" i="3"/>
  <c r="L14" i="8"/>
  <c r="R45" i="9"/>
  <c r="R26" i="8"/>
  <c r="R41" i="9"/>
  <c r="O46" i="8"/>
  <c r="L12" i="8"/>
  <c r="R22" i="10"/>
  <c r="I26" i="3"/>
  <c r="U10" i="9"/>
  <c r="O22" i="10"/>
  <c r="I11" i="9"/>
  <c r="L42" i="10"/>
  <c r="I50" i="10"/>
  <c r="O30" i="9"/>
  <c r="L23" i="10"/>
  <c r="R38" i="10"/>
  <c r="O36" i="10"/>
  <c r="L37" i="10"/>
  <c r="I11" i="10"/>
  <c r="L8" i="9"/>
  <c r="I6" i="3"/>
  <c r="L24" i="3"/>
  <c r="I15" i="9"/>
  <c r="O10" i="8"/>
  <c r="F32" i="10"/>
  <c r="I18" i="8"/>
  <c r="I24" i="3"/>
  <c r="I34" i="9"/>
  <c r="O41" i="10"/>
  <c r="F50" i="3"/>
  <c r="F47" i="10"/>
  <c r="O27" i="10"/>
  <c r="L39" i="9"/>
  <c r="L32" i="10"/>
  <c r="F27" i="8"/>
  <c r="F24" i="8"/>
  <c r="L16" i="8"/>
  <c r="O45" i="10"/>
  <c r="I13" i="8"/>
  <c r="F14" i="9"/>
  <c r="O21" i="9"/>
  <c r="F41" i="10"/>
  <c r="L12" i="9"/>
  <c r="L19" i="10"/>
  <c r="F16" i="9"/>
  <c r="O7" i="10"/>
  <c r="I24" i="8"/>
  <c r="L34" i="3"/>
  <c r="O34" i="8"/>
  <c r="L22" i="10"/>
  <c r="K49" i="8"/>
  <c r="L49" i="8" s="1"/>
  <c r="L5" i="8"/>
  <c r="L23" i="3"/>
  <c r="I30" i="3"/>
  <c r="I31" i="3"/>
  <c r="F39" i="10"/>
  <c r="F7" i="9"/>
  <c r="L28" i="9"/>
  <c r="F24" i="10"/>
  <c r="L45" i="3"/>
  <c r="O37" i="10"/>
  <c r="F19" i="10"/>
  <c r="F6" i="9"/>
  <c r="L43" i="10"/>
  <c r="I23" i="3"/>
  <c r="F36" i="9"/>
  <c r="R45" i="10"/>
  <c r="F45" i="3"/>
  <c r="F38" i="10"/>
  <c r="I7" i="8"/>
  <c r="I41" i="8"/>
  <c r="L34" i="10"/>
  <c r="F23" i="10"/>
  <c r="L20" i="10"/>
  <c r="R9" i="8"/>
  <c r="L17" i="10"/>
  <c r="I21" i="3"/>
  <c r="I37" i="8"/>
  <c r="I27" i="9"/>
  <c r="F46" i="3"/>
  <c r="F40" i="3"/>
  <c r="D49" i="8"/>
  <c r="F29" i="10"/>
  <c r="I8" i="8"/>
  <c r="U27" i="9"/>
  <c r="L25" i="10"/>
  <c r="R14" i="8"/>
  <c r="F39" i="3"/>
  <c r="R36" i="8"/>
  <c r="L14" i="3"/>
  <c r="O38" i="9"/>
  <c r="R29" i="9"/>
  <c r="R36" i="10"/>
  <c r="L31" i="10"/>
  <c r="R41" i="10"/>
  <c r="L46" i="3"/>
  <c r="L50" i="3"/>
  <c r="I40" i="9"/>
  <c r="F26" i="9"/>
  <c r="U26" i="9"/>
  <c r="I16" i="3"/>
  <c r="L45" i="10"/>
  <c r="R42" i="8"/>
  <c r="L22" i="3"/>
  <c r="L12" i="10"/>
  <c r="L43" i="3"/>
  <c r="U6" i="9"/>
  <c r="I14" i="3"/>
  <c r="R50" i="8"/>
  <c r="I19" i="8"/>
  <c r="R48" i="9"/>
  <c r="F14" i="10"/>
  <c r="O15" i="10"/>
  <c r="L25" i="9"/>
  <c r="F40" i="8"/>
  <c r="R12" i="8"/>
  <c r="L38" i="3"/>
  <c r="I38" i="3"/>
  <c r="O22" i="8"/>
  <c r="F25" i="8"/>
  <c r="O36" i="9"/>
  <c r="F10" i="8"/>
  <c r="F31" i="10"/>
  <c r="R30" i="9"/>
  <c r="L46" i="10"/>
  <c r="I38" i="8"/>
  <c r="O38" i="10"/>
  <c r="U34" i="9"/>
  <c r="F14" i="8"/>
  <c r="H49" i="10"/>
  <c r="I5" i="10"/>
  <c r="U22" i="9"/>
  <c r="I40" i="3"/>
  <c r="I33" i="8"/>
  <c r="L48" i="10"/>
  <c r="F9" i="3"/>
  <c r="O34" i="10"/>
  <c r="F19" i="9"/>
  <c r="F40" i="9"/>
  <c r="I12" i="9"/>
  <c r="L29" i="9"/>
  <c r="I35" i="9"/>
  <c r="L40" i="3"/>
  <c r="U29" i="9"/>
  <c r="F13" i="9"/>
  <c r="I27" i="8"/>
  <c r="O25" i="10"/>
  <c r="I46" i="10"/>
  <c r="L24" i="9"/>
  <c r="O15" i="9"/>
  <c r="R36" i="9"/>
  <c r="R20" i="10"/>
  <c r="U24" i="9"/>
  <c r="I26" i="10"/>
  <c r="F6" i="10"/>
  <c r="R19" i="9"/>
  <c r="O29" i="9"/>
  <c r="N49" i="9"/>
  <c r="O49" i="9" s="1"/>
  <c r="O5" i="9"/>
  <c r="U7" i="9"/>
  <c r="F22" i="3"/>
  <c r="I25" i="9"/>
  <c r="I27" i="3"/>
  <c r="I32" i="8"/>
  <c r="F41" i="8"/>
  <c r="U44" i="9"/>
  <c r="O26" i="10"/>
  <c r="I36" i="9"/>
  <c r="I35" i="10"/>
  <c r="F36" i="8"/>
  <c r="L22" i="8"/>
  <c r="I21" i="8"/>
  <c r="L25" i="8"/>
  <c r="F9" i="8"/>
  <c r="I43" i="8"/>
  <c r="F20" i="10"/>
  <c r="R26" i="9"/>
  <c r="F34" i="3"/>
  <c r="O32" i="8"/>
  <c r="I47" i="8"/>
  <c r="O40" i="10"/>
  <c r="L46" i="8"/>
  <c r="R12" i="9"/>
  <c r="F28" i="10"/>
  <c r="I5" i="8"/>
  <c r="H49" i="8"/>
  <c r="I17" i="10"/>
  <c r="U20" i="9"/>
  <c r="F44" i="10"/>
  <c r="L18" i="10"/>
  <c r="O28" i="9"/>
  <c r="F32" i="8"/>
  <c r="O18" i="9"/>
  <c r="L17" i="3"/>
  <c r="I6" i="8"/>
  <c r="F11" i="9"/>
  <c r="F13" i="10"/>
  <c r="O40" i="9"/>
  <c r="R24" i="10"/>
  <c r="O6" i="10"/>
  <c r="O17" i="9"/>
  <c r="I42" i="9"/>
  <c r="L16" i="10"/>
  <c r="I33" i="9"/>
  <c r="F22" i="9"/>
  <c r="O8" i="10"/>
  <c r="R33" i="10"/>
  <c r="F9" i="9"/>
  <c r="L20" i="9"/>
  <c r="F45" i="10"/>
  <c r="F26" i="8"/>
  <c r="L27" i="3"/>
  <c r="R42" i="10"/>
  <c r="U5" i="9"/>
  <c r="T49" i="9"/>
  <c r="O50" i="9"/>
  <c r="I32" i="10"/>
  <c r="L7" i="3"/>
  <c r="L6" i="9"/>
  <c r="L14" i="9"/>
  <c r="F17" i="9"/>
  <c r="I29" i="9"/>
  <c r="U46" i="9"/>
  <c r="R43" i="8"/>
  <c r="L15" i="9"/>
  <c r="R7" i="8"/>
  <c r="F18" i="3"/>
  <c r="O41" i="8"/>
  <c r="L9" i="9"/>
  <c r="I32" i="9"/>
  <c r="F47" i="8"/>
  <c r="F14" i="3"/>
  <c r="L19" i="8"/>
  <c r="O37" i="8"/>
  <c r="O31" i="10"/>
  <c r="R33" i="8"/>
  <c r="L14" i="10"/>
  <c r="F6" i="3"/>
  <c r="O17" i="10"/>
  <c r="O13" i="9"/>
  <c r="F39" i="8"/>
  <c r="F29" i="8"/>
  <c r="U41" i="9"/>
  <c r="R21" i="8"/>
  <c r="O24" i="8"/>
  <c r="L37" i="3"/>
  <c r="R17" i="10"/>
  <c r="O30" i="10"/>
  <c r="O21" i="10"/>
  <c r="O14" i="8"/>
  <c r="I20" i="8"/>
  <c r="O6" i="8"/>
  <c r="F28" i="8"/>
  <c r="L39" i="8"/>
  <c r="L45" i="9"/>
  <c r="F25" i="10"/>
  <c r="O12" i="9"/>
  <c r="L9" i="8"/>
  <c r="K49" i="3"/>
  <c r="L49" i="3" s="1"/>
  <c r="L5" i="3"/>
  <c r="L6" i="8"/>
  <c r="R43" i="10"/>
  <c r="I31" i="8"/>
  <c r="R8" i="8"/>
  <c r="G49" i="8"/>
  <c r="U37" i="9"/>
  <c r="F29" i="9"/>
  <c r="I25" i="8"/>
  <c r="R35" i="10"/>
  <c r="L47" i="10"/>
  <c r="R46" i="10"/>
  <c r="R39" i="8"/>
  <c r="L35" i="3"/>
  <c r="F42" i="9"/>
  <c r="F32" i="3"/>
  <c r="O32" i="10"/>
  <c r="L33" i="10"/>
  <c r="O25" i="9"/>
  <c r="F50" i="9"/>
  <c r="I29" i="10"/>
  <c r="I20" i="10"/>
  <c r="L17" i="8"/>
  <c r="J49" i="9"/>
  <c r="L50" i="10"/>
  <c r="F44" i="3"/>
  <c r="O50" i="10"/>
  <c r="O37" i="9"/>
  <c r="L32" i="9"/>
  <c r="I41" i="10"/>
  <c r="U39" i="9"/>
  <c r="M49" i="9"/>
  <c r="O42" i="9"/>
  <c r="R12" i="10"/>
  <c r="O34" i="9"/>
  <c r="I22" i="9"/>
  <c r="O23" i="10"/>
  <c r="U31" i="9"/>
  <c r="R32" i="10"/>
  <c r="I8" i="9"/>
  <c r="F12" i="9"/>
  <c r="L41" i="9"/>
  <c r="O48" i="10"/>
  <c r="L44" i="8"/>
  <c r="L34" i="8"/>
  <c r="R40" i="8"/>
  <c r="O14" i="10"/>
  <c r="U30" i="9"/>
  <c r="L50" i="8"/>
  <c r="O41" i="9"/>
  <c r="U15" i="9"/>
  <c r="N49" i="10"/>
  <c r="O49" i="10" s="1"/>
  <c r="O5" i="10"/>
  <c r="I37" i="10"/>
  <c r="I37" i="9"/>
  <c r="L26" i="9"/>
  <c r="F36" i="10"/>
  <c r="U36" i="9"/>
  <c r="I39" i="8"/>
  <c r="U28" i="9"/>
  <c r="R14" i="10"/>
  <c r="L10" i="10"/>
  <c r="O12" i="10"/>
  <c r="I22" i="10"/>
  <c r="U12" i="9"/>
  <c r="L45" i="8"/>
  <c r="I5" i="9"/>
  <c r="H49" i="9"/>
  <c r="I49" i="9" s="1"/>
  <c r="I24" i="10"/>
  <c r="L22" i="9"/>
  <c r="I10" i="8"/>
  <c r="F41" i="9"/>
  <c r="U9" i="9"/>
  <c r="F7" i="10"/>
  <c r="O6" i="9"/>
  <c r="I26" i="9"/>
  <c r="O32" i="9"/>
  <c r="U17" i="9"/>
  <c r="R7" i="10"/>
  <c r="L17" i="9"/>
  <c r="L46" i="9"/>
  <c r="I47" i="10"/>
  <c r="R44" i="8"/>
  <c r="U19" i="9"/>
  <c r="I13" i="9"/>
  <c r="R13" i="9"/>
  <c r="I33" i="10"/>
  <c r="R6" i="9"/>
  <c r="L16" i="9"/>
  <c r="L33" i="3"/>
  <c r="R34" i="10"/>
  <c r="U13" i="9"/>
  <c r="R34" i="9"/>
  <c r="L18" i="3"/>
  <c r="I28" i="10"/>
  <c r="I12" i="8"/>
  <c r="R20" i="9"/>
  <c r="I20" i="9"/>
  <c r="R38" i="9"/>
  <c r="O24" i="9"/>
  <c r="F21" i="10"/>
  <c r="O42" i="10"/>
  <c r="L18" i="9"/>
  <c r="R43" i="9"/>
  <c r="F33" i="8"/>
  <c r="F26" i="10"/>
  <c r="S49" i="9"/>
  <c r="F34" i="10"/>
  <c r="I34" i="8"/>
  <c r="L27" i="9"/>
  <c r="R40" i="10"/>
  <c r="L31" i="9"/>
  <c r="R10" i="9"/>
  <c r="I17" i="9"/>
  <c r="R25" i="8"/>
  <c r="R13" i="8"/>
  <c r="O45" i="9"/>
  <c r="O11" i="9"/>
  <c r="F23" i="9"/>
  <c r="O44" i="10"/>
  <c r="U50" i="9"/>
  <c r="L8" i="8"/>
  <c r="U11" i="9"/>
  <c r="R8" i="9"/>
  <c r="L19" i="3"/>
  <c r="E49" i="10"/>
  <c r="F49" i="10" s="1"/>
  <c r="F5" i="10"/>
  <c r="U42" i="9"/>
  <c r="R32" i="8"/>
  <c r="I16" i="9"/>
  <c r="U35" i="9"/>
  <c r="I8" i="10"/>
  <c r="I18" i="10"/>
  <c r="R50" i="10"/>
  <c r="R18" i="10"/>
  <c r="I39" i="10"/>
  <c r="R28" i="10"/>
  <c r="L13" i="9"/>
  <c r="L11" i="3"/>
  <c r="P49" i="10"/>
  <c r="I40" i="10"/>
  <c r="F11" i="3"/>
  <c r="F47" i="9"/>
  <c r="U45" i="9"/>
  <c r="I34" i="10"/>
  <c r="F35" i="9"/>
  <c r="G49" i="10"/>
  <c r="F20" i="9"/>
  <c r="I19" i="9"/>
  <c r="L40" i="9"/>
  <c r="U8" i="9"/>
  <c r="J49" i="10"/>
  <c r="R46" i="9"/>
  <c r="I25" i="10"/>
  <c r="L5" i="9"/>
  <c r="K49" i="9"/>
  <c r="L49" i="9" s="1"/>
  <c r="R48" i="10"/>
  <c r="F15" i="3"/>
  <c r="I38" i="9"/>
  <c r="F10" i="10"/>
  <c r="F8" i="9"/>
  <c r="O22" i="9"/>
  <c r="O28" i="10"/>
  <c r="I38" i="10"/>
  <c r="F34" i="9"/>
  <c r="F39" i="9"/>
  <c r="I30" i="8"/>
  <c r="I46" i="8"/>
  <c r="I40" i="8"/>
  <c r="I14" i="10"/>
  <c r="L33" i="9"/>
  <c r="O47" i="9"/>
  <c r="I28" i="9"/>
  <c r="F37" i="10"/>
  <c r="O10" i="10"/>
  <c r="O10" i="9"/>
  <c r="O26" i="9"/>
  <c r="O39" i="10"/>
  <c r="O24" i="10"/>
  <c r="I27" i="10"/>
  <c r="F33" i="9"/>
  <c r="R27" i="10"/>
  <c r="I9" i="9"/>
  <c r="R16" i="10"/>
  <c r="R34" i="8"/>
  <c r="I45" i="10"/>
  <c r="L47" i="9"/>
  <c r="R10" i="10"/>
  <c r="I31" i="10"/>
  <c r="R28" i="8"/>
  <c r="R11" i="9"/>
  <c r="R42" i="9"/>
  <c r="I18" i="9"/>
  <c r="R33" i="9"/>
  <c r="L48" i="9"/>
  <c r="U43" i="9"/>
  <c r="O39" i="9"/>
  <c r="F9" i="10"/>
  <c r="F48" i="9"/>
  <c r="E49" i="9"/>
  <c r="F49" i="9" s="1"/>
  <c r="F5" i="9"/>
  <c r="R26" i="10"/>
  <c r="R50" i="9"/>
  <c r="R31" i="9"/>
  <c r="O9" i="10"/>
  <c r="U48" i="9"/>
  <c r="R37" i="9"/>
  <c r="I16" i="10"/>
  <c r="I47" i="9"/>
  <c r="L47" i="3"/>
  <c r="I43" i="9"/>
  <c r="I45" i="9"/>
  <c r="R44" i="10"/>
  <c r="O43" i="9"/>
  <c r="U25" i="9"/>
  <c r="O14" i="9"/>
  <c r="L9" i="3"/>
  <c r="L35" i="9"/>
  <c r="U16" i="9"/>
  <c r="I39" i="9"/>
  <c r="R22" i="9"/>
  <c r="I10" i="10"/>
  <c r="F43" i="9"/>
  <c r="R47" i="9"/>
  <c r="I50" i="9"/>
  <c r="L19" i="9"/>
  <c r="R30" i="8"/>
  <c r="O16" i="9"/>
  <c r="I14" i="9"/>
  <c r="L16" i="3"/>
  <c r="L50" i="9"/>
  <c r="O46" i="9"/>
  <c r="L21" i="3"/>
  <c r="L13" i="3"/>
  <c r="U18" i="9"/>
  <c r="I47" i="3"/>
  <c r="I42" i="10"/>
  <c r="R18" i="9"/>
  <c r="U32" i="9"/>
  <c r="I21" i="9"/>
  <c r="L10" i="3"/>
  <c r="U21" i="9"/>
  <c r="L6" i="10"/>
  <c r="L21" i="9"/>
  <c r="L8" i="3"/>
  <c r="P49" i="8"/>
  <c r="U33" i="9"/>
  <c r="L37" i="9"/>
  <c r="I31" i="9"/>
  <c r="O35" i="9"/>
  <c r="I49" i="8" l="1"/>
  <c r="I49" i="10"/>
  <c r="F49" i="8"/>
  <c r="E73" i="1"/>
  <c r="E72" i="1"/>
  <c r="L49" i="10"/>
  <c r="F49" i="3"/>
  <c r="R49" i="8"/>
  <c r="R49" i="10"/>
  <c r="E71" i="1"/>
  <c r="U49" i="9"/>
  <c r="R49" i="9"/>
  <c r="I49" i="3"/>
</calcChain>
</file>

<file path=xl/connections.xml><?xml version="1.0" encoding="utf-8"?>
<connections xmlns="http://schemas.openxmlformats.org/spreadsheetml/2006/main">
  <connection id="1" keepAlive="1" name="BIDB" type="5" refreshedVersion="4" background="1" saveData="1">
    <dbPr connection="Provider=MSOLAP.5;Integrated Security=SSPI;Persist Security Info=True;Initial Catalog=Medlemsomraadet;Data Source=BIDB;MDX Compatibility=1;Safety Options=2;MDX Missing Member Mode=Error" command="Medlemsomraade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338">
    <s v="[Uddannelse].[IDA Gruppe].&amp;[Civilingeniører]"/>
    <s v="[Uddannelse].[IDA Gruppe].&amp;[Diplomingeniør]"/>
    <s v="[Uddannelse].[IDA Gruppe].&amp;[Teknikumingeniør]"/>
    <s v="[Uddannelse].[IDA Gruppe].&amp;[Akademiingeniør]"/>
    <s v="[Medlem].[Køn].&amp;[Mand]"/>
    <s v="[Measures].[Fuldtidsledighed]"/>
    <s v="[Medlem].[Køn].&amp;[Kvinde]"/>
    <s v="[Measures].[Fuldtidsledige]"/>
    <s v="[Uddannelse].[IDA Gruppe].&amp;[Bachelorer]"/>
    <s v="#,0.00"/>
    <s v="#,0"/>
    <s v="[Uddannelse].[IDA Gruppe].&amp;[Cand.it]"/>
    <s v="[Uddannelse].[IDA Gruppe].&amp;[Cand.scient]"/>
    <s v="[Uddannelse].[IDA Gruppe].&amp;[Phd]"/>
    <s v="[Uddannelse].[IDA Gruppe Niveau1].&amp;[Ingeniører]"/>
    <s v="[Betalingsstatus].[Betalingsstatus].&amp;[Betalende medlem]"/>
    <s v="[Alder].[Aldersgruppe 10 års interval].&amp;[20-29 år]"/>
    <s v="[Alder].[Aldersgruppe 10 års interval].&amp;[30-39 år]"/>
    <s v="[Alder].[Aldersgruppe 10 års interval].&amp;[40-49 år]"/>
    <s v="[Alder].[Aldersgruppe 10 års interval].&amp;[50-59 år]"/>
    <s v="[Alder].[Aldersgruppe 10 års interval].&amp;[&gt; 59 år]"/>
    <s v="[Kandidatalder].[Kandidatalder Gruppe Niveau1].&amp;[&lt; 1 år]"/>
    <s v="[Kandidatalder].[Kandidatalder Gruppe Niveau1].&amp;[1 år]"/>
    <s v="[Kommune].[Region].&amp;[Region Hovedstaden]"/>
    <s v="[Kommune].[Region].&amp;[Region Sjælland]"/>
    <s v="[Kommune].[Region].&amp;[Region Syddanmark]"/>
    <s v="[Kommune].[Region].&amp;[Region Midtjylland]"/>
    <s v="[Kommune].[Region].&amp;[Region Nordjylland]"/>
    <s v="[Kandidatalder].[Kandidatalder Gruppe Niveau1].&amp;[2-4 år]"/>
    <s v="[Kandidatalder].[Kandidatalder Gruppe Niveau1].&amp;[5-9 år]"/>
    <s v="[Kandidatalder].[Kandidatalder Gruppe Niveau1].&amp;[10-14 år]"/>
    <s v="[Kandidatalder].[Kandidatalder Gruppe Niveau1].&amp;[15- år]"/>
    <s v="[Measures].[Ledighedsmulige]"/>
    <s v="BIDB"/>
    <s v="[Uddannelsesretning].[IDA Gruppe Cand Scient].&amp;[Medicin mv.]"/>
    <s v="[Uddannelsesretning].[IDA Gruppe Cand Scient].&amp;[Matematik-Fysik-Kemi]"/>
    <s v="[Uddannelsesretning].[IDA Gruppe].&amp;[Øvrige retninger/uoplyste]"/>
    <s v="[Uddannelsesretning].[IDA Gruppe].&amp;[Teknisk ledelse]"/>
    <s v="[Uddannelsesretning].[IDA Gruppe].&amp;[Anlæg]"/>
    <s v="[Uddannelsesretning].[IDA Gruppe].&amp;[Elektronik-IT]"/>
    <s v="[Uddannelsesretning].[IDA Gruppe].&amp;[Maskin]"/>
    <s v="[Uddannelsesretning].[IDA Gruppe].&amp;[Nye retninger]"/>
    <s v="[Uddannelsesretning].[IDA Gruppe].&amp;[Kemi]"/>
    <s v="[Uddannelsesretning].[IDA Gruppe].&amp;[Bygning]"/>
    <s v="[Uddannelsesretning].[IDA Gruppe].&amp;[Produktion]"/>
    <s v="[Uddannelsesretning].[IDA Gruppe Cand Scient].&amp;[Øvrige retninger/uoplyste]"/>
    <s v="[Uddannelsesretning].[IDA Gruppe Cand Scient].&amp;[Data og IT]"/>
    <s v="[Uddannelsesretning].[IDA Gruppe Cand Scient].&amp;[Geo-bio]"/>
    <s v="[Dimittenddato].[Dimittenddato].&amp;[2020-08-31T00:00:00]"/>
    <s v="[Dimittenddato].[Dimittenddato].&amp;[2020-08-30T00:00:00]"/>
    <s v="[Dimittenddato].[Dimittenddato].&amp;[2020-08-29T00:00:00]"/>
    <s v="[Dimittenddato].[Dimittenddato].&amp;[2020-08-28T00:00:00]"/>
    <s v="[Dimittenddato].[Dimittenddato].&amp;[2020-08-27T00:00:00]"/>
    <s v="[Dimittenddato].[Dimittenddato].&amp;[2020-08-26T00:00:00]"/>
    <s v="[Dimittenddato].[Dimittenddato].&amp;[2020-08-25T00:00:00]"/>
    <s v="[Dimittenddato].[Dimittenddato].&amp;[2020-08-24T00:00:00]"/>
    <s v="[Dimittenddato].[Dimittenddato].&amp;[2020-08-23T00:00:00]"/>
    <s v="[Dimittenddato].[Dimittenddato].&amp;[2020-08-22T00:00:00]"/>
    <s v="[Dimittenddato].[Dimittenddato].&amp;[2020-08-21T00:00:00]"/>
    <s v="[Dimittenddato].[Dimittenddato].&amp;[2020-08-20T00:00:00]"/>
    <s v="[Dimittenddato].[Dimittenddato].&amp;[2020-08-19T00:00:00]"/>
    <s v="[Dimittenddato].[Dimittenddato].&amp;[2020-08-18T00:00:00]"/>
    <s v="[Dimittenddato].[Dimittenddato].&amp;[2020-08-17T00:00:00]"/>
    <s v="[Dimittenddato].[Dimittenddato].&amp;[2020-08-16T00:00:00]"/>
    <s v="[Dimittenddato].[Dimittenddato].&amp;[2020-08-15T00:00:00]"/>
    <s v="[Dimittenddato].[Dimittenddato].&amp;[2020-08-14T00:00:00]"/>
    <s v="[Dimittenddato].[Dimittenddato].&amp;[2020-08-13T00:00:00]"/>
    <s v="[Dimittenddato].[Dimittenddato].&amp;[2020-08-12T00:00:00]"/>
    <s v="[Dimittenddato].[Dimittenddato].&amp;[2020-08-11T00:00:00]"/>
    <s v="[Dimittenddato].[Dimittenddato].&amp;[2020-08-10T00:00:00]"/>
    <s v="[Dimittenddato].[Dimittenddato].&amp;[2020-08-09T00:00:00]"/>
    <s v="[Dimittenddato].[Dimittenddato].&amp;[2020-08-08T00:00:00]"/>
    <s v="[Dimittenddato].[Dimittenddato].&amp;[2020-08-07T00:00:00]"/>
    <s v="[Dimittenddato].[Dimittenddato].&amp;[2020-08-06T00:00:00]"/>
    <s v="[Dimittenddato].[Dimittenddato].&amp;[2020-08-05T00:00:00]"/>
    <s v="[Dimittenddato].[Dimittenddato].&amp;[2020-08-04T00:00:00]"/>
    <s v="[Dimittenddato].[Dimittenddato].&amp;[2020-08-03T00:00:00]"/>
    <s v="[Dimittenddato].[Dimittenddato].&amp;[2020-08-02T00:00:00]"/>
    <s v="[Dimittenddato].[Dimittenddato].&amp;[2020-08-01T00:00:00]"/>
    <s v="[Dimittenddato].[Dimittenddato].&amp;[2020-07-31T00:00:00]"/>
    <s v="[Dimittenddato].[Dimittenddato].&amp;[2020-07-30T00:00:00]"/>
    <s v="[Dimittenddato].[Dimittenddato].&amp;[2020-07-29T00:00:00]"/>
    <s v="[Dimittenddato].[Dimittenddato].&amp;[2020-07-28T00:00:00]"/>
    <s v="[Dimittenddato].[Dimittenddato].&amp;[2020-07-27T00:00:00]"/>
    <s v="[Dimittenddato].[Dimittenddato].&amp;[2020-07-26T00:00:00]"/>
    <s v="[Dimittenddato].[Dimittenddato].&amp;[2020-07-25T00:00:00]"/>
    <s v="[Dimittenddato].[Dimittenddato].&amp;[2020-07-24T00:00:00]"/>
    <s v="[Dimittenddato].[Dimittenddato].&amp;[2020-07-23T00:00:00]"/>
    <s v="[Dimittenddato].[Dimittenddato].&amp;[2020-07-22T00:00:00]"/>
    <s v="[Dimittenddato].[Dimittenddato].&amp;[2020-07-21T00:00:00]"/>
    <s v="[Dimittenddato].[Dimittenddato].&amp;[2020-07-20T00:00:00]"/>
    <s v="[Dimittenddato].[Dimittenddato].&amp;[2020-07-19T00:00:00]"/>
    <s v="[Dimittenddato].[Dimittenddato].&amp;[2020-07-18T00:00:00]"/>
    <s v="[Dimittenddato].[Dimittenddato].&amp;[2020-07-17T00:00:00]"/>
    <s v="[Dimittenddato].[Dimittenddato].&amp;[2020-07-16T00:00:00]"/>
    <s v="[Dimittenddato].[Dimittenddato].&amp;[2020-07-15T00:00:00]"/>
    <s v="[Dimittenddato].[Dimittenddato].&amp;[2020-07-14T00:00:00]"/>
    <s v="[Dimittenddato].[Dimittenddato].&amp;[2020-07-13T00:00:00]"/>
    <s v="[Dimittenddato].[Dimittenddato].&amp;[2020-07-12T00:00:00]"/>
    <s v="[Dimittenddato].[Dimittenddato].&amp;[2020-07-11T00:00:00]"/>
    <s v="[Dimittenddato].[Dimittenddato].&amp;[2020-07-10T00:00:00]"/>
    <s v="[Dimittenddato].[Dimittenddato].&amp;[2020-07-09T00:00:00]"/>
    <s v="[Dimittenddato].[Dimittenddato].&amp;[2020-07-08T00:00:00]"/>
    <s v="[Dimittenddato].[Dimittenddato].&amp;[2020-07-07T00:00:00]"/>
    <s v="[Dimittenddato].[Dimittenddato].&amp;[2020-07-06T00:00:00]"/>
    <s v="[Dimittenddato].[Dimittenddato].&amp;[2020-07-05T00:00:00]"/>
    <s v="[Dimittenddato].[Dimittenddato].&amp;[2020-07-04T00:00:00]"/>
    <s v="[Dimittenddato].[Dimittenddato].&amp;[2020-07-03T00:00:00]"/>
    <s v="[Dimittenddato].[Dimittenddato].&amp;[2020-07-02T00:00:00]"/>
    <s v="[Dimittenddato].[Dimittenddato].&amp;[2020-07-01T00:00:00]"/>
    <s v="[Dimittenddato].[Dimittenddato].&amp;[2020-06-30T00:00:00]"/>
    <s v="[Dimittenddato].[Dimittenddato].&amp;[2020-06-29T00:00:00]"/>
    <s v="[Dimittenddato].[Dimittenddato].&amp;[2020-06-28T00:00:00]"/>
    <s v="[Dimittenddato].[Dimittenddato].&amp;[2020-06-27T00:00:00]"/>
    <s v="[Dimittenddato].[Dimittenddato].&amp;[2020-06-26T00:00:00]"/>
    <s v="[Dimittenddato].[Dimittenddato].&amp;[2020-06-25T00:00:00]"/>
    <s v="[Dimittenddato].[Dimittenddato].&amp;[2020-06-24T00:00:00]"/>
    <s v="[Dimittenddato].[Dimittenddato].&amp;[2020-06-23T00:00:00]"/>
    <s v="[Dimittenddato].[Dimittenddato].&amp;[2020-06-22T00:00:00]"/>
    <s v="[Dimittenddato].[Dimittenddato].&amp;[2020-06-21T00:00:00]"/>
    <s v="[Dimittenddato].[Dimittenddato].&amp;[2020-06-20T00:00:00]"/>
    <s v="[Dimittenddato].[Dimittenddato].&amp;[2020-06-19T00:00:00]"/>
    <s v="[Dimittenddato].[Dimittenddato].&amp;[2020-06-18T00:00:00]"/>
    <s v="[Dimittenddato].[Dimittenddato].&amp;[2020-06-17T00:00:00]"/>
    <s v="[Dimittenddato].[Dimittenddato].&amp;[2020-06-16T00:00:00]"/>
    <s v="[Dimittenddato].[Dimittenddato].&amp;[2020-06-15T00:00:00]"/>
    <s v="[Dimittenddato].[Dimittenddato].&amp;[2020-06-14T00:00:00]"/>
    <s v="[Dimittenddato].[Dimittenddato].&amp;[2020-06-13T00:00:00]"/>
    <s v="[Dimittenddato].[Dimittenddato].&amp;[2020-06-12T00:00:00]"/>
    <s v="[Dimittenddato].[Dimittenddato].&amp;[2020-06-11T00:00:00]"/>
    <s v="[Dimittenddato].[Dimittenddato].&amp;[2020-06-10T00:00:00]"/>
    <s v="[Dimittenddato].[Dimittenddato].&amp;[2020-06-09T00:00:00]"/>
    <s v="[Dimittenddato].[Dimittenddato].&amp;[2020-06-08T00:00:00]"/>
    <s v="[Dimittenddato].[Dimittenddato].&amp;[2020-06-07T00:00:00]"/>
    <s v="[Dimittenddato].[Dimittenddato].&amp;[2020-06-06T00:00:00]"/>
    <s v="[Dimittenddato].[Dimittenddato].&amp;[2020-06-05T00:00:00]"/>
    <s v="[Dimittenddato].[Dimittenddato].&amp;[2020-06-04T00:00:00]"/>
    <s v="[Dimittenddato].[Dimittenddato].&amp;[2020-06-03T00:00:00]"/>
    <s v="[Dimittenddato].[Dimittenddato].&amp;[2020-06-02T00:00:00]"/>
    <s v="[Dimittenddato].[Dimittenddato].&amp;[2020-06-01T00:00:00]"/>
    <s v="[Dimittenddato].[Dimittenddato].&amp;[2019-08-31T00:00:00]"/>
    <s v="[Dimittenddato].[Dimittenddato].&amp;[2019-08-30T00:00:00]"/>
    <s v="[Dimittenddato].[Dimittenddato].&amp;[2019-08-29T00:00:00]"/>
    <s v="[Dimittenddato].[Dimittenddato].&amp;[2019-08-28T00:00:00]"/>
    <s v="[Dimittenddato].[Dimittenddato].&amp;[2019-08-27T00:00:00]"/>
    <s v="[Dimittenddato].[Dimittenddato].&amp;[2019-08-26T00:00:00]"/>
    <s v="[Dimittenddato].[Dimittenddato].&amp;[2019-08-25T00:00:00]"/>
    <s v="[Dimittenddato].[Dimittenddato].&amp;[2019-08-24T00:00:00]"/>
    <s v="[Dimittenddato].[Dimittenddato].&amp;[2019-08-23T00:00:00]"/>
    <s v="[Dimittenddato].[Dimittenddato].&amp;[2019-08-22T00:00:00]"/>
    <s v="[Dimittenddato].[Dimittenddato].&amp;[2019-08-21T00:00:00]"/>
    <s v="[Dimittenddato].[Dimittenddato].&amp;[2019-08-20T00:00:00]"/>
    <s v="[Dimittenddato].[Dimittenddato].&amp;[2019-08-19T00:00:00]"/>
    <s v="[Dimittenddato].[Dimittenddato].&amp;[2019-08-18T00:00:00]"/>
    <s v="[Dimittenddato].[Dimittenddato].&amp;[2019-08-17T00:00:00]"/>
    <s v="[Dimittenddato].[Dimittenddato].&amp;[2019-08-16T00:00:00]"/>
    <s v="[Dimittenddato].[Dimittenddato].&amp;[2019-08-15T00:00:00]"/>
    <s v="[Dimittenddato].[Dimittenddato].&amp;[2019-08-14T00:00:00]"/>
    <s v="[Dimittenddato].[Dimittenddato].&amp;[2019-08-13T00:00:00]"/>
    <s v="[Dimittenddato].[Dimittenddato].&amp;[2019-08-12T00:00:00]"/>
    <s v="[Dimittenddato].[Dimittenddato].&amp;[2019-08-11T00:00:00]"/>
    <s v="[Dimittenddato].[Dimittenddato].&amp;[2019-08-10T00:00:00]"/>
    <s v="[Dimittenddato].[Dimittenddato].&amp;[2019-08-09T00:00:00]"/>
    <s v="[Dimittenddato].[Dimittenddato].&amp;[2019-08-08T00:00:00]"/>
    <s v="[Dimittenddato].[Dimittenddato].&amp;[2019-08-07T00:00:00]"/>
    <s v="[Dimittenddato].[Dimittenddato].&amp;[2019-08-06T00:00:00]"/>
    <s v="[Dimittenddato].[Dimittenddato].&amp;[2019-08-05T00:00:00]"/>
    <s v="[Dimittenddato].[Dimittenddato].&amp;[2019-08-04T00:00:00]"/>
    <s v="[Dimittenddato].[Dimittenddato].&amp;[2019-08-03T00:00:00]"/>
    <s v="[Dimittenddato].[Dimittenddato].&amp;[2019-08-02T00:00:00]"/>
    <s v="[Dimittenddato].[Dimittenddato].&amp;[2019-08-01T00:00:00]"/>
    <s v="[Dimittenddato].[Dimittenddato].&amp;[2019-07-31T00:00:00]"/>
    <s v="[Dimittenddato].[Dimittenddato].&amp;[2019-07-30T00:00:00]"/>
    <s v="[Dimittenddato].[Dimittenddato].&amp;[2019-07-29T00:00:00]"/>
    <s v="[Dimittenddato].[Dimittenddato].&amp;[2019-07-28T00:00:00]"/>
    <s v="[Dimittenddato].[Dimittenddato].&amp;[2019-07-27T00:00:00]"/>
    <s v="[Dimittenddato].[Dimittenddato].&amp;[2019-07-26T00:00:00]"/>
    <s v="[Dimittenddato].[Dimittenddato].&amp;[2019-07-25T00:00:00]"/>
    <s v="[Dimittenddato].[Dimittenddato].&amp;[2019-07-24T00:00:00]"/>
    <s v="[Dimittenddato].[Dimittenddato].&amp;[2019-07-23T00:00:00]"/>
    <s v="[Dimittenddato].[Dimittenddato].&amp;[2019-07-22T00:00:00]"/>
    <s v="[Dimittenddato].[Dimittenddato].&amp;[2019-07-21T00:00:00]"/>
    <s v="[Dimittenddato].[Dimittenddato].&amp;[2019-07-20T00:00:00]"/>
    <s v="[Dimittenddato].[Dimittenddato].&amp;[2019-07-19T00:00:00]"/>
    <s v="[Dimittenddato].[Dimittenddato].&amp;[2019-07-18T00:00:00]"/>
    <s v="[Dimittenddato].[Dimittenddato].&amp;[2019-07-17T00:00:00]"/>
    <s v="[Dimittenddato].[Dimittenddato].&amp;[2019-07-16T00:00:00]"/>
    <s v="[Dimittenddato].[Dimittenddato].&amp;[2019-07-15T00:00:00]"/>
    <s v="[Dimittenddato].[Dimittenddato].&amp;[2019-07-14T00:00:00]"/>
    <s v="[Dimittenddato].[Dimittenddato].&amp;[2019-07-13T00:00:00]"/>
    <s v="[Dimittenddato].[Dimittenddato].&amp;[2019-07-12T00:00:00]"/>
    <s v="[Dimittenddato].[Dimittenddato].&amp;[2019-07-11T00:00:00]"/>
    <s v="[Dimittenddato].[Dimittenddato].&amp;[2019-07-10T00:00:00]"/>
    <s v="[Dimittenddato].[Dimittenddato].&amp;[2019-07-09T00:00:00]"/>
    <s v="[Dimittenddato].[Dimittenddato].&amp;[2019-07-08T00:00:00]"/>
    <s v="[Dimittenddato].[Dimittenddato].&amp;[2019-07-07T00:00:00]"/>
    <s v="[Dimittenddato].[Dimittenddato].&amp;[2019-07-06T00:00:00]"/>
    <s v="[Dimittenddato].[Dimittenddato].&amp;[2019-07-05T00:00:00]"/>
    <s v="[Dimittenddato].[Dimittenddato].&amp;[2019-07-04T00:00:00]"/>
    <s v="[Dimittenddato].[Dimittenddato].&amp;[2019-07-03T00:00:00]"/>
    <s v="[Dimittenddato].[Dimittenddato].&amp;[2019-07-02T00:00:00]"/>
    <s v="[Dimittenddato].[Dimittenddato].&amp;[2019-07-01T00:00:00]"/>
    <s v="[Dimittenddato].[Dimittenddato].&amp;[2019-06-30T00:00:00]"/>
    <s v="[Dimittenddato].[Dimittenddato].&amp;[2019-06-29T00:00:00]"/>
    <s v="[Dimittenddato].[Dimittenddato].&amp;[2019-06-28T00:00:00]"/>
    <s v="[Dimittenddato].[Dimittenddato].&amp;[2019-06-27T00:00:00]"/>
    <s v="[Dimittenddato].[Dimittenddato].&amp;[2019-06-26T00:00:00]"/>
    <s v="[Dimittenddato].[Dimittenddato].&amp;[2019-06-25T00:00:00]"/>
    <s v="[Dimittenddato].[Dimittenddato].&amp;[2019-06-24T00:00:00]"/>
    <s v="[Dimittenddato].[Dimittenddato].&amp;[2019-06-23T00:00:00]"/>
    <s v="[Dimittenddato].[Dimittenddato].&amp;[2019-06-22T00:00:00]"/>
    <s v="[Dimittenddato].[Dimittenddato].&amp;[2019-06-21T00:00:00]"/>
    <s v="[Dimittenddato].[Dimittenddato].&amp;[2019-06-20T00:00:00]"/>
    <s v="[Dimittenddato].[Dimittenddato].&amp;[2019-06-19T00:00:00]"/>
    <s v="[Dimittenddato].[Dimittenddato].&amp;[2019-06-18T00:00:00]"/>
    <s v="[Dimittenddato].[Dimittenddato].&amp;[2019-06-17T00:00:00]"/>
    <s v="[Dimittenddato].[Dimittenddato].&amp;[2019-06-16T00:00:00]"/>
    <s v="[Dimittenddato].[Dimittenddato].&amp;[2019-06-15T00:00:00]"/>
    <s v="[Dimittenddato].[Dimittenddato].&amp;[2019-06-14T00:00:00]"/>
    <s v="[Dimittenddato].[Dimittenddato].&amp;[2019-06-13T00:00:00]"/>
    <s v="[Dimittenddato].[Dimittenddato].&amp;[2019-06-12T00:00:00]"/>
    <s v="[Dimittenddato].[Dimittenddato].&amp;[2019-06-11T00:00:00]"/>
    <s v="[Dimittenddato].[Dimittenddato].&amp;[2019-06-10T00:00:00]"/>
    <s v="[Dimittenddato].[Dimittenddato].&amp;[2019-06-09T00:00:00]"/>
    <s v="[Dimittenddato].[Dimittenddato].&amp;[2019-06-08T00:00:00]"/>
    <s v="[Dimittenddato].[Dimittenddato].&amp;[2019-06-07T00:00:00]"/>
    <s v="[Dimittenddato].[Dimittenddato].&amp;[2019-06-06T00:00:00]"/>
    <s v="[Dimittenddato].[Dimittenddato].&amp;[2019-06-05T00:00:00]"/>
    <s v="[Dimittenddato].[Dimittenddato].&amp;[2019-06-04T00:00:00]"/>
    <s v="[Dimittenddato].[Dimittenddato].&amp;[2019-06-03T00:00:00]"/>
    <s v="[Dimittenddato].[Dimittenddato].&amp;[2019-06-02T00:00:00]"/>
    <s v="[Dimittenddato].[Dimittenddato].&amp;[2019-06-01T00:00:00]"/>
    <s v="[Dimittenddato].[Dimittenddato].&amp;[2018-08-31T00:00:00]"/>
    <s v="[Dimittenddato].[Dimittenddato].&amp;[2018-08-30T00:00:00]"/>
    <s v="[Dimittenddato].[Dimittenddato].&amp;[2018-08-29T00:00:00]"/>
    <s v="[Dimittenddato].[Dimittenddato].&amp;[2018-08-28T00:00:00]"/>
    <s v="[Dimittenddato].[Dimittenddato].&amp;[2018-08-27T00:00:00]"/>
    <s v="[Dimittenddato].[Dimittenddato].&amp;[2018-08-26T00:00:00]"/>
    <s v="[Dimittenddato].[Dimittenddato].&amp;[2018-08-25T00:00:00]"/>
    <s v="[Dimittenddato].[Dimittenddato].&amp;[2018-08-24T00:00:00]"/>
    <s v="[Dimittenddato].[Dimittenddato].&amp;[2018-08-23T00:00:00]"/>
    <s v="[Dimittenddato].[Dimittenddato].&amp;[2018-08-22T00:00:00]"/>
    <s v="[Dimittenddato].[Dimittenddato].&amp;[2018-08-21T00:00:00]"/>
    <s v="[Dimittenddato].[Dimittenddato].&amp;[2018-08-20T00:00:00]"/>
    <s v="[Dimittenddato].[Dimittenddato].&amp;[2018-08-19T00:00:00]"/>
    <s v="[Dimittenddato].[Dimittenddato].&amp;[2018-08-18T00:00:00]"/>
    <s v="[Dimittenddato].[Dimittenddato].&amp;[2018-08-17T00:00:00]"/>
    <s v="[Dimittenddato].[Dimittenddato].&amp;[2018-08-16T00:00:00]"/>
    <s v="[Dimittenddato].[Dimittenddato].&amp;[2018-08-15T00:00:00]"/>
    <s v="[Dimittenddato].[Dimittenddato].&amp;[2018-08-14T00:00:00]"/>
    <s v="[Dimittenddato].[Dimittenddato].&amp;[2018-08-13T00:00:00]"/>
    <s v="[Dimittenddato].[Dimittenddato].&amp;[2018-08-12T00:00:00]"/>
    <s v="[Dimittenddato].[Dimittenddato].&amp;[2018-08-11T00:00:00]"/>
    <s v="[Dimittenddato].[Dimittenddato].&amp;[2018-08-10T00:00:00]"/>
    <s v="[Dimittenddato].[Dimittenddato].&amp;[2018-08-09T00:00:00]"/>
    <s v="[Dimittenddato].[Dimittenddato].&amp;[2018-08-08T00:00:00]"/>
    <s v="[Dimittenddato].[Dimittenddato].&amp;[2018-08-07T00:00:00]"/>
    <s v="[Dimittenddato].[Dimittenddato].&amp;[2018-08-06T00:00:00]"/>
    <s v="[Dimittenddato].[Dimittenddato].&amp;[2018-08-05T00:00:00]"/>
    <s v="[Dimittenddato].[Dimittenddato].&amp;[2018-08-04T00:00:00]"/>
    <s v="[Dimittenddato].[Dimittenddato].&amp;[2018-08-03T00:00:00]"/>
    <s v="[Dimittenddato].[Dimittenddato].&amp;[2018-08-02T00:00:00]"/>
    <s v="[Dimittenddato].[Dimittenddato].&amp;[2018-08-01T00:00:00]"/>
    <s v="[Dimittenddato].[Dimittenddato].&amp;[2018-07-31T00:00:00]"/>
    <s v="[Dimittenddato].[Dimittenddato].&amp;[2018-07-30T00:00:00]"/>
    <s v="[Dimittenddato].[Dimittenddato].&amp;[2018-07-29T00:00:00]"/>
    <s v="[Dimittenddato].[Dimittenddato].&amp;[2018-07-28T00:00:00]"/>
    <s v="[Dimittenddato].[Dimittenddato].&amp;[2018-07-27T00:00:00]"/>
    <s v="[Dimittenddato].[Dimittenddato].&amp;[2018-07-26T00:00:00]"/>
    <s v="[Dimittenddato].[Dimittenddato].&amp;[2018-07-25T00:00:00]"/>
    <s v="[Dimittenddato].[Dimittenddato].&amp;[2018-07-24T00:00:00]"/>
    <s v="[Dimittenddato].[Dimittenddato].&amp;[2018-07-23T00:00:00]"/>
    <s v="[Dimittenddato].[Dimittenddato].&amp;[2018-07-22T00:00:00]"/>
    <s v="[Dimittenddato].[Dimittenddato].&amp;[2018-07-21T00:00:00]"/>
    <s v="[Dimittenddato].[Dimittenddato].&amp;[2018-07-20T00:00:00]"/>
    <s v="[Dimittenddato].[Dimittenddato].&amp;[2018-07-19T00:00:00]"/>
    <s v="[Dimittenddato].[Dimittenddato].&amp;[2018-07-18T00:00:00]"/>
    <s v="[Dimittenddato].[Dimittenddato].&amp;[2018-07-17T00:00:00]"/>
    <s v="[Dimittenddato].[Dimittenddato].&amp;[2018-07-16T00:00:00]"/>
    <s v="[Dimittenddato].[Dimittenddato].&amp;[2018-07-15T00:00:00]"/>
    <s v="[Dimittenddato].[Dimittenddato].&amp;[2018-07-14T00:00:00]"/>
    <s v="[Dimittenddato].[Dimittenddato].&amp;[2018-07-13T00:00:00]"/>
    <s v="[Dimittenddato].[Dimittenddato].&amp;[2018-07-12T00:00:00]"/>
    <s v="[Dimittenddato].[Dimittenddato].&amp;[2018-07-11T00:00:00]"/>
    <s v="[Dimittenddato].[Dimittenddato].&amp;[2018-07-10T00:00:00]"/>
    <s v="[Dimittenddato].[Dimittenddato].&amp;[2018-07-09T00:00:00]"/>
    <s v="[Dimittenddato].[Dimittenddato].&amp;[2018-07-08T00:00:00]"/>
    <s v="[Dimittenddato].[Dimittenddato].&amp;[2018-07-07T00:00:00]"/>
    <s v="[Dimittenddato].[Dimittenddato].&amp;[2018-07-06T00:00:00]"/>
    <s v="[Dimittenddato].[Dimittenddato].&amp;[2018-07-05T00:00:00]"/>
    <s v="[Dimittenddato].[Dimittenddato].&amp;[2018-07-04T00:00:00]"/>
    <s v="[Dimittenddato].[Dimittenddato].&amp;[2018-07-03T00:00:00]"/>
    <s v="[Dimittenddato].[Dimittenddato].&amp;[2018-07-02T00:00:00]"/>
    <s v="[Dimittenddato].[Dimittenddato].&amp;[2018-07-01T00:00:00]"/>
    <s v="[Dimittenddato].[Dimittenddato].&amp;[2018-06-30T00:00:00]"/>
    <s v="[Dimittenddato].[Dimittenddato].&amp;[2018-06-29T00:00:00]"/>
    <s v="[Dimittenddato].[Dimittenddato].&amp;[2018-06-28T00:00:00]"/>
    <s v="[Dimittenddato].[Dimittenddato].&amp;[2018-06-27T00:00:00]"/>
    <s v="[Dimittenddato].[Dimittenddato].&amp;[2018-06-26T00:00:00]"/>
    <s v="[Dimittenddato].[Dimittenddato].&amp;[2018-06-25T00:00:00]"/>
    <s v="[Dimittenddato].[Dimittenddato].&amp;[2018-06-24T00:00:00]"/>
    <s v="[Dimittenddato].[Dimittenddato].&amp;[2018-06-23T00:00:00]"/>
    <s v="[Dimittenddato].[Dimittenddato].&amp;[2018-06-22T00:00:00]"/>
    <s v="[Dimittenddato].[Dimittenddato].&amp;[2018-06-21T00:00:00]"/>
    <s v="[Dimittenddato].[Dimittenddato].&amp;[2018-06-20T00:00:00]"/>
    <s v="[Dimittenddato].[Dimittenddato].&amp;[2018-06-19T00:00:00]"/>
    <s v="[Dimittenddato].[Dimittenddato].&amp;[2018-06-18T00:00:00]"/>
    <s v="[Dimittenddato].[Dimittenddato].&amp;[2018-06-17T00:00:00]"/>
    <s v="[Dimittenddato].[Dimittenddato].&amp;[2018-06-16T00:00:00]"/>
    <s v="[Dimittenddato].[Dimittenddato].&amp;[2018-06-15T00:00:00]"/>
    <s v="[Dimittenddato].[Dimittenddato].&amp;[2018-06-14T00:00:00]"/>
    <s v="[Dimittenddato].[Dimittenddato].&amp;[2018-06-13T00:00:00]"/>
    <s v="[Dimittenddato].[Dimittenddato].&amp;[2018-06-12T00:00:00]"/>
    <s v="[Dimittenddato].[Dimittenddato].&amp;[2018-06-11T00:00:00]"/>
    <s v="[Dimittenddato].[Dimittenddato].&amp;[2018-06-10T00:00:00]"/>
    <s v="[Dimittenddato].[Dimittenddato].&amp;[2018-06-09T00:00:00]"/>
    <s v="[Dimittenddato].[Dimittenddato].&amp;[2018-06-08T00:00:00]"/>
    <s v="[Dimittenddato].[Dimittenddato].&amp;[2018-06-07T00:00:00]"/>
    <s v="[Dimittenddato].[Dimittenddato].&amp;[2018-06-06T00:00:00]"/>
    <s v="[Dimittenddato].[Dimittenddato].&amp;[2018-06-05T00:00:00]"/>
    <s v="[Dimittenddato].[Dimittenddato].&amp;[2018-06-04T00:00:00]"/>
    <s v="[Dimittenddato].[Dimittenddato].&amp;[2018-06-03T00:00:00]"/>
    <s v="[Dimittenddato].[Dimittenddato].&amp;[2018-06-02T00:00:00]"/>
    <s v="[Dimittenddato].[Dimittenddato].&amp;[2018-06-01T00:00:00]"/>
    <s v="[Dimittenddato].[Dimittenddato].&amp;[2017-08-31T00:00:00]"/>
    <s v="[Dimittenddato].[Dimittenddato].&amp;[2017-08-30T00:00:00]"/>
    <s v="[Dimittenddato].[Dimittenddato].&amp;[2017-08-29T00:00:00]"/>
    <s v="[Dimittenddato].[Dimittenddato].&amp;[2017-08-28T00:00:00]"/>
    <s v="[Dimittenddato].[Dimittenddato].&amp;[2017-08-27T00:00:00]"/>
    <s v="[Dimittenddato].[Dimittenddato].&amp;[2017-08-26T00:00:00]"/>
    <s v="[Dimittenddato].[Dimittenddato].&amp;[2017-08-25T00:00:00]"/>
    <s v="[Dimittenddato].[Dimittenddato].&amp;[2017-08-24T00:00:00]"/>
    <s v="[Dimittenddato].[Dimittenddato].&amp;[2017-08-23T00:00:00]"/>
    <s v="[Dimittenddato].[Dimittenddato].&amp;[2017-08-22T00:00:00]"/>
    <s v="[Dimittenddato].[Dimittenddato].&amp;[2017-08-21T00:00:00]"/>
    <s v="[Dimittenddato].[Dimittenddato].&amp;[2017-08-20T00:00:00]"/>
    <s v="[Dimittenddato].[Dimittenddato].&amp;[2017-08-19T00:00:00]"/>
    <s v="[Dimittenddato].[Dimittenddato].&amp;[2017-08-18T00:00:00]"/>
    <s v="[Dimittenddato].[Dimittenddato].&amp;[2017-08-17T00:00:00]"/>
    <s v="[Dimittenddato].[Dimittenddato].&amp;[2017-08-16T00:00:00]"/>
    <s v="[Dimittenddato].[Dimittenddato].&amp;[2017-08-15T00:00:00]"/>
    <s v="[Dimittenddato].[Dimittenddato].&amp;[2017-08-14T00:00:00]"/>
    <s v="[Dimittenddato].[Dimittenddato].&amp;[2017-08-13T00:00:00]"/>
    <s v="[Dimittenddato].[Dimittenddato].&amp;[2017-08-12T00:00:00]"/>
    <s v="[Dimittenddato].[Dimittenddato].&amp;[2017-08-11T00:00:00]"/>
    <s v="[Dimittenddato].[Dimittenddato].&amp;[2017-08-10T00:00:00]"/>
    <s v="[Dimittenddato].[Dimittenddato].&amp;[2017-08-09T00:00:00]"/>
    <s v="[Dimittenddato].[Dimittenddato].&amp;[2017-08-08T00:00:00]"/>
    <s v="[Dimittenddato].[Dimittenddato].&amp;[2017-08-07T00:00:00]"/>
    <s v="[Dimittenddato].[Dimittenddato].&amp;[2017-08-06T00:00:00]"/>
    <s v="[Dimittenddato].[Dimittenddato].&amp;[2017-08-05T00:00:00]"/>
    <s v="[Dimittenddato].[Dimittenddato].&amp;[2017-08-04T00:00:00]"/>
    <s v="[Dimittenddato].[Dimittenddato].&amp;[2017-08-03T00:00:00]"/>
    <s v="[Dimittenddato].[Dimittenddato].&amp;[2017-08-02T00:00:00]"/>
    <s v="[Dimittenddato].[Dimittenddato].&amp;[2017-08-01T00:00:00]"/>
    <s v="[Dimittenddato].[Dimittenddato].&amp;[2017-07-31T00:00:00]"/>
    <s v="[Dimittenddato].[Dimittenddato].&amp;[2017-07-30T00:00:00]"/>
    <s v="[Dimittenddato].[Dimittenddato].&amp;[2017-07-29T00:00:00]"/>
    <s v="[Dimittenddato].[Dimittenddato].&amp;[2017-07-28T00:00:00]"/>
    <s v="[Dimittenddato].[Dimittenddato].&amp;[2017-07-27T00:00:00]"/>
    <s v="[Dimittenddato].[Dimittenddato].&amp;[2017-07-26T00:00:00]"/>
    <s v="[Dimittenddato].[Dimittenddato].&amp;[2017-07-25T00:00:00]"/>
    <s v="[Dimittenddato].[Dimittenddato].&amp;[2017-07-24T00:00:00]"/>
    <s v="[Dimittenddato].[Dimittenddato].&amp;[2017-07-23T00:00:00]"/>
    <s v="[Dimittenddato].[Dimittenddato].&amp;[2017-07-22T00:00:00]"/>
    <s v="[Dimittenddato].[Dimittenddato].&amp;[2017-07-21T00:00:00]"/>
    <s v="[Dimittenddato].[Dimittenddato].&amp;[2017-07-20T00:00:00]"/>
    <s v="[Dimittenddato].[Dimittenddato].&amp;[2017-07-19T00:00:00]"/>
    <s v="[Dimittenddato].[Dimittenddato].&amp;[2017-07-18T00:00:00]"/>
    <s v="[Dimittenddato].[Dimittenddato].&amp;[2017-07-17T00:00:00]"/>
    <s v="[Dimittenddato].[Dimittenddato].&amp;[2017-07-16T00:00:00]"/>
    <s v="[Dimittenddato].[Dimittenddato].&amp;[2017-07-15T00:00:00]"/>
    <s v="[Dimittenddato].[Dimittenddato].&amp;[2017-07-14T00:00:00]"/>
    <s v="[Dimittenddato].[Dimittenddato].&amp;[2017-07-13T00:00:00]"/>
    <s v="[Dimittenddato].[Dimittenddato].&amp;[2017-07-12T00:00:00]"/>
    <s v="[Dimittenddato].[Dimittenddato].&amp;[2017-07-11T00:00:00]"/>
    <s v="[Dimittenddato].[Dimittenddato].&amp;[2017-07-10T00:00:00]"/>
    <s v="[Dimittenddato].[Dimittenddato].&amp;[2017-07-09T00:00:00]"/>
    <s v="[Dimittenddato].[Dimittenddato].&amp;[2017-07-08T00:00:00]"/>
    <s v="[Dimittenddato].[Dimittenddato].&amp;[2017-07-07T00:00:00]"/>
    <s v="[Dimittenddato].[Dimittenddato].&amp;[2017-07-06T00:00:00]"/>
    <s v="[Dimittenddato].[Dimittenddato].&amp;[2017-07-05T00:00:00]"/>
    <s v="[Dimittenddato].[Dimittenddato].&amp;[2017-07-04T00:00:00]"/>
    <s v="[Dimittenddato].[Dimittenddato].&amp;[2017-07-03T00:00:00]"/>
    <s v="[Dimittenddato].[Dimittenddato].&amp;[2017-07-02T00:00:00]"/>
    <s v="[Dimittenddato].[Dimittenddato].&amp;[2017-07-01T00:00:00]"/>
    <s v="[Dimittenddato].[Dimittenddato].&amp;[2017-06-30T00:00:00]"/>
    <s v="[Dimittenddato].[Dimittenddato].&amp;[2017-06-29T00:00:00]"/>
    <s v="[Dimittenddato].[Dimittenddato].&amp;[2017-06-28T00:00:00]"/>
    <s v="[Dimittenddato].[Dimittenddato].&amp;[2017-06-27T00:00:00]"/>
    <s v="[Dimittenddato].[Dimittenddato].&amp;[2017-06-26T00:00:00]"/>
    <s v="[Dimittenddato].[Dimittenddato].&amp;[2017-06-25T00:00:00]"/>
    <s v="[Dimittenddato].[Dimittenddato].&amp;[2017-06-24T00:00:00]"/>
    <s v="[Dimittenddato].[Dimittenddato].&amp;[2017-06-23T00:00:00]"/>
    <s v="[Dimittenddato].[Dimittenddato].&amp;[2017-06-22T00:00:00]"/>
    <s v="[Dimittenddato].[Dimittenddato].&amp;[2017-06-21T00:00:00]"/>
    <s v="[Dimittenddato].[Dimittenddato].&amp;[2017-06-20T00:00:00]"/>
    <s v="[Dimittenddato].[Dimittenddato].&amp;[2017-06-19T00:00:00]"/>
    <s v="[Dimittenddato].[Dimittenddato].&amp;[2017-06-18T00:00:00]"/>
    <s v="[Dimittenddato].[Dimittenddato].&amp;[2017-06-17T00:00:00]"/>
    <s v="[Dimittenddato].[Dimittenddato].&amp;[2017-06-16T00:00:00]"/>
    <s v="[Dimittenddato].[Dimittenddato].&amp;[2017-06-15T00:00:00]"/>
    <s v="[Dimittenddato].[Dimittenddato].&amp;[2017-06-14T00:00:00]"/>
    <s v="[Dimittenddato].[Dimittenddato].&amp;[2017-06-13T00:00:00]"/>
    <s v="[Dimittenddato].[Dimittenddato].&amp;[2017-06-12T00:00:00]"/>
    <s v="[Dimittenddato].[Dimittenddato].&amp;[2017-06-11T00:00:00]"/>
    <s v="[Dimittenddato].[Dimittenddato].&amp;[2017-06-10T00:00:00]"/>
    <s v="[Dimittenddato].[Dimittenddato].&amp;[2017-06-09T00:00:00]"/>
    <s v="[Dimittenddato].[Dimittenddato].&amp;[2017-06-08T00:00:00]"/>
    <s v="[Dimittenddato].[Dimittenddato].&amp;[2017-06-07T00:00:00]"/>
    <s v="[Dimittenddato].[Dimittenddato].&amp;[2017-06-06T00:00:00]"/>
    <s v="[Dimittenddato].[Dimittenddato].&amp;[2017-06-05T00:00:00]"/>
    <s v="[Dimittenddato].[Dimittenddato].&amp;[2017-06-04T00:00:00]"/>
    <s v="[Dimittenddato].[Dimittenddato].&amp;[2017-06-03T00:00:00]"/>
    <s v="[Dimittenddato].[Dimittenddato].&amp;[2017-06-02T00:00:00]"/>
    <s v="[Dimittenddato].[Dimittenddato].&amp;[2017-06-01T00:00:00]"/>
    <s v="[Dimittenddato].[Dimittenddato].&amp;[2016-08-31T00:00:00]"/>
    <s v="[Dimittenddato].[Dimittenddato].&amp;[2016-08-30T00:00:00]"/>
    <s v="[Dimittenddato].[Dimittenddato].&amp;[2016-08-29T00:00:00]"/>
    <s v="[Dimittenddato].[Dimittenddato].&amp;[2016-08-28T00:00:00]"/>
    <s v="[Dimittenddato].[Dimittenddato].&amp;[2016-08-27T00:00:00]"/>
    <s v="[Dimittenddato].[Dimittenddato].&amp;[2016-08-26T00:00:00]"/>
    <s v="[Dimittenddato].[Dimittenddato].&amp;[2016-08-25T00:00:00]"/>
    <s v="[Dimittenddato].[Dimittenddato].&amp;[2016-08-24T00:00:00]"/>
    <s v="[Dimittenddato].[Dimittenddato].&amp;[2016-08-23T00:00:00]"/>
    <s v="[Dimittenddato].[Dimittenddato].&amp;[2016-08-22T00:00:00]"/>
    <s v="[Dimittenddato].[Dimittenddato].&amp;[2016-08-21T00:00:00]"/>
    <s v="[Dimittenddato].[Dimittenddato].&amp;[2016-08-20T00:00:00]"/>
    <s v="[Dimittenddato].[Dimittenddato].&amp;[2016-08-19T00:00:00]"/>
    <s v="[Dimittenddato].[Dimittenddato].&amp;[2016-08-18T00:00:00]"/>
    <s v="[Dimittenddato].[Dimittenddato].&amp;[2016-08-17T00:00:00]"/>
    <s v="[Dimittenddato].[Dimittenddato].&amp;[2016-08-16T00:00:00]"/>
    <s v="[Dimittenddato].[Dimittenddato].&amp;[2016-08-15T00:00:00]"/>
    <s v="[Dimittenddato].[Dimittenddato].&amp;[2016-08-14T00:00:00]"/>
    <s v="[Dimittenddato].[Dimittenddato].&amp;[2016-08-13T00:00:00]"/>
    <s v="[Dimittenddato].[Dimittenddato].&amp;[2016-08-12T00:00:00]"/>
    <s v="[Dimittenddato].[Dimittenddato].&amp;[2016-08-11T00:00:00]"/>
    <s v="[Dimittenddato].[Dimittenddato].&amp;[2016-08-10T00:00:00]"/>
    <s v="[Dimittenddato].[Dimittenddato].&amp;[2016-08-09T00:00:00]"/>
    <s v="[Dimittenddato].[Dimittenddato].&amp;[2016-08-08T00:00:00]"/>
    <s v="[Dimittenddato].[Dimittenddato].&amp;[2016-08-07T00:00:00]"/>
    <s v="[Dimittenddato].[Dimittenddato].&amp;[2016-08-06T00:00:00]"/>
    <s v="[Dimittenddato].[Dimittenddato].&amp;[2016-08-05T00:00:00]"/>
    <s v="[Dimittenddato].[Dimittenddato].&amp;[2016-08-04T00:00:00]"/>
    <s v="[Dimittenddato].[Dimittenddato].&amp;[2016-08-03T00:00:00]"/>
    <s v="[Dimittenddato].[Dimittenddato].&amp;[2016-08-02T00:00:00]"/>
    <s v="[Dimittenddato].[Dimittenddato].&amp;[2016-08-01T00:00:00]"/>
    <s v="[Dimittenddato].[Dimittenddato].&amp;[2016-07-31T00:00:00]"/>
    <s v="[Dimittenddato].[Dimittenddato].&amp;[2016-07-30T00:00:00]"/>
    <s v="[Dimittenddato].[Dimittenddato].&amp;[2016-07-29T00:00:00]"/>
    <s v="[Dimittenddato].[Dimittenddato].&amp;[2016-07-28T00:00:00]"/>
    <s v="[Dimittenddato].[Dimittenddato].&amp;[2016-07-27T00:00:00]"/>
    <s v="[Dimittenddato].[Dimittenddato].&amp;[2016-07-26T00:00:00]"/>
    <s v="[Dimittenddato].[Dimittenddato].&amp;[2016-07-25T00:00:00]"/>
    <s v="[Dimittenddato].[Dimittenddato].&amp;[2016-07-24T00:00:00]"/>
    <s v="[Dimittenddato].[Dimittenddato].&amp;[2016-07-23T00:00:00]"/>
    <s v="[Dimittenddato].[Dimittenddato].&amp;[2016-07-22T00:00:00]"/>
    <s v="[Dimittenddato].[Dimittenddato].&amp;[2016-07-21T00:00:00]"/>
    <s v="[Dimittenddato].[Dimittenddato].&amp;[2016-07-20T00:00:00]"/>
    <s v="[Dimittenddato].[Dimittenddato].&amp;[2016-07-19T00:00:00]"/>
    <s v="[Dimittenddato].[Dimittenddato].&amp;[2016-07-18T00:00:00]"/>
    <s v="[Dimittenddato].[Dimittenddato].&amp;[2016-07-17T00:00:00]"/>
    <s v="[Dimittenddato].[Dimittenddato].&amp;[2016-07-16T00:00:00]"/>
    <s v="[Dimittenddato].[Dimittenddato].&amp;[2016-07-15T00:00:00]"/>
    <s v="[Dimittenddato].[Dimittenddato].&amp;[2016-07-14T00:00:00]"/>
    <s v="[Dimittenddato].[Dimittenddato].&amp;[2016-07-13T00:00:00]"/>
    <s v="[Dimittenddato].[Dimittenddato].&amp;[2016-07-12T00:00:00]"/>
    <s v="[Dimittenddato].[Dimittenddato].&amp;[2016-07-11T00:00:00]"/>
    <s v="[Dimittenddato].[Dimittenddato].&amp;[2016-07-10T00:00:00]"/>
    <s v="[Dimittenddato].[Dimittenddato].&amp;[2016-07-09T00:00:00]"/>
    <s v="[Dimittenddato].[Dimittenddato].&amp;[2016-07-08T00:00:00]"/>
    <s v="[Dimittenddato].[Dimittenddato].&amp;[2016-07-07T00:00:00]"/>
    <s v="[Dimittenddato].[Dimittenddato].&amp;[2016-07-06T00:00:00]"/>
    <s v="[Dimittenddato].[Dimittenddato].&amp;[2016-07-05T00:00:00]"/>
    <s v="[Dimittenddato].[Dimittenddato].&amp;[2016-07-04T00:00:00]"/>
    <s v="[Dimittenddato].[Dimittenddato].&amp;[2016-07-03T00:00:00]"/>
    <s v="[Dimittenddato].[Dimittenddato].&amp;[2016-07-02T00:00:00]"/>
    <s v="[Dimittenddato].[Dimittenddato].&amp;[2016-07-01T00:00:00]"/>
    <s v="[Dimittenddato].[Dimittenddato].&amp;[2016-06-30T00:00:00]"/>
    <s v="[Dimittenddato].[Dimittenddato].&amp;[2016-06-29T00:00:00]"/>
    <s v="[Dimittenddato].[Dimittenddato].&amp;[2016-06-28T00:00:00]"/>
    <s v="[Dimittenddato].[Dimittenddato].&amp;[2016-06-27T00:00:00]"/>
    <s v="[Dimittenddato].[Dimittenddato].&amp;[2016-06-26T00:00:00]"/>
    <s v="[Dimittenddato].[Dimittenddato].&amp;[2016-06-25T00:00:00]"/>
    <s v="[Dimittenddato].[Dimittenddato].&amp;[2016-06-24T00:00:00]"/>
    <s v="[Dimittenddato].[Dimittenddato].&amp;[2016-06-23T00:00:00]"/>
    <s v="[Dimittenddato].[Dimittenddato].&amp;[2016-06-22T00:00:00]"/>
    <s v="[Dimittenddato].[Dimittenddato].&amp;[2016-06-21T00:00:00]"/>
    <s v="[Dimittenddato].[Dimittenddato].&amp;[2016-06-20T00:00:00]"/>
    <s v="[Dimittenddato].[Dimittenddato].&amp;[2016-06-19T00:00:00]"/>
    <s v="[Dimittenddato].[Dimittenddato].&amp;[2016-06-18T00:00:00]"/>
    <s v="[Dimittenddato].[Dimittenddato].&amp;[2016-06-17T00:00:00]"/>
    <s v="[Dimittenddato].[Dimittenddato].&amp;[2016-06-16T00:00:00]"/>
    <s v="[Dimittenddato].[Dimittenddato].&amp;[2016-06-15T00:00:00]"/>
    <s v="[Dimittenddato].[Dimittenddato].&amp;[2016-06-14T00:00:00]"/>
    <s v="[Dimittenddato].[Dimittenddato].&amp;[2016-06-13T00:00:00]"/>
    <s v="[Dimittenddato].[Dimittenddato].&amp;[2016-06-12T00:00:00]"/>
    <s v="[Dimittenddato].[Dimittenddato].&amp;[2016-06-11T00:00:00]"/>
    <s v="[Dimittenddato].[Dimittenddato].&amp;[2016-06-10T00:00:00]"/>
    <s v="[Dimittenddato].[Dimittenddato].&amp;[2016-06-09T00:00:00]"/>
    <s v="[Dimittenddato].[Dimittenddato].&amp;[2016-06-08T00:00:00]"/>
    <s v="[Dimittenddato].[Dimittenddato].&amp;[2016-06-07T00:00:00]"/>
    <s v="[Dimittenddato].[Dimittenddato].&amp;[2016-06-06T00:00:00]"/>
    <s v="[Dimittenddato].[Dimittenddato].&amp;[2016-06-05T00:00:00]"/>
    <s v="[Dimittenddato].[Dimittenddato].&amp;[2016-06-04T00:00:00]"/>
    <s v="[Dimittenddato].[Dimittenddato].&amp;[2016-06-03T00:00:00]"/>
    <s v="[Dimittenddato].[Dimittenddato].&amp;[2016-06-02T00:00:00]"/>
    <s v="[Dimittenddato].[Dimittenddato].&amp;[2016-06-01T00:00:00]"/>
    <s v="[Dimittenddato].[Dimittenddato].&amp;[2015-08-31T00:00:00]"/>
    <s v="[Dimittenddato].[Dimittenddato].&amp;[2015-08-30T00:00:00]"/>
    <s v="[Dimittenddato].[Dimittenddato].&amp;[2015-08-29T00:00:00]"/>
    <s v="[Dimittenddato].[Dimittenddato].&amp;[2015-08-28T00:00:00]"/>
    <s v="[Dimittenddato].[Dimittenddato].&amp;[2015-08-27T00:00:00]"/>
    <s v="[Dimittenddato].[Dimittenddato].&amp;[2015-08-26T00:00:00]"/>
    <s v="[Dimittenddato].[Dimittenddato].&amp;[2015-08-25T00:00:00]"/>
    <s v="[Dimittenddato].[Dimittenddato].&amp;[2015-08-24T00:00:00]"/>
    <s v="[Dimittenddato].[Dimittenddato].&amp;[2015-08-23T00:00:00]"/>
    <s v="[Dimittenddato].[Dimittenddato].&amp;[2015-08-22T00:00:00]"/>
    <s v="[Dimittenddato].[Dimittenddato].&amp;[2015-08-21T00:00:00]"/>
    <s v="[Dimittenddato].[Dimittenddato].&amp;[2015-08-20T00:00:00]"/>
    <s v="[Dimittenddato].[Dimittenddato].&amp;[2015-08-19T00:00:00]"/>
    <s v="[Dimittenddato].[Dimittenddato].&amp;[2015-08-18T00:00:00]"/>
    <s v="[Dimittenddato].[Dimittenddato].&amp;[2015-08-17T00:00:00]"/>
    <s v="[Dimittenddato].[Dimittenddato].&amp;[2015-08-16T00:00:00]"/>
    <s v="[Dimittenddato].[Dimittenddato].&amp;[2015-08-15T00:00:00]"/>
    <s v="[Dimittenddato].[Dimittenddato].&amp;[2015-08-14T00:00:00]"/>
    <s v="[Dimittenddato].[Dimittenddato].&amp;[2015-08-13T00:00:00]"/>
    <s v="[Dimittenddato].[Dimittenddato].&amp;[2015-08-12T00:00:00]"/>
    <s v="[Dimittenddato].[Dimittenddato].&amp;[2015-08-11T00:00:00]"/>
    <s v="[Dimittenddato].[Dimittenddato].&amp;[2015-08-10T00:00:00]"/>
    <s v="[Dimittenddato].[Dimittenddato].&amp;[2015-08-09T00:00:00]"/>
    <s v="[Dimittenddato].[Dimittenddato].&amp;[2015-08-08T00:00:00]"/>
    <s v="[Dimittenddato].[Dimittenddato].&amp;[2015-08-07T00:00:00]"/>
    <s v="[Dimittenddato].[Dimittenddato].&amp;[2015-08-06T00:00:00]"/>
    <s v="[Dimittenddato].[Dimittenddato].&amp;[2015-08-05T00:00:00]"/>
    <s v="[Dimittenddato].[Dimittenddato].&amp;[2015-08-04T00:00:00]"/>
    <s v="[Dimittenddato].[Dimittenddato].&amp;[2015-08-03T00:00:00]"/>
    <s v="[Dimittenddato].[Dimittenddato].&amp;[2015-08-02T00:00:00]"/>
    <s v="[Dimittenddato].[Dimittenddato].&amp;[2015-08-01T00:00:00]"/>
    <s v="[Dimittenddato].[Dimittenddato].&amp;[2015-07-31T00:00:00]"/>
    <s v="[Dimittenddato].[Dimittenddato].&amp;[2015-07-30T00:00:00]"/>
    <s v="[Dimittenddato].[Dimittenddato].&amp;[2015-07-29T00:00:00]"/>
    <s v="[Dimittenddato].[Dimittenddato].&amp;[2015-07-28T00:00:00]"/>
    <s v="[Dimittenddato].[Dimittenddato].&amp;[2015-07-27T00:00:00]"/>
    <s v="[Dimittenddato].[Dimittenddato].&amp;[2015-07-26T00:00:00]"/>
    <s v="[Dimittenddato].[Dimittenddato].&amp;[2015-07-25T00:00:00]"/>
    <s v="[Dimittenddato].[Dimittenddato].&amp;[2015-07-24T00:00:00]"/>
    <s v="[Dimittenddato].[Dimittenddato].&amp;[2015-07-23T00:00:00]"/>
    <s v="[Dimittenddato].[Dimittenddato].&amp;[2015-07-22T00:00:00]"/>
    <s v="[Dimittenddato].[Dimittenddato].&amp;[2015-07-21T00:00:00]"/>
    <s v="[Dimittenddato].[Dimittenddato].&amp;[2015-07-20T00:00:00]"/>
    <s v="[Dimittenddato].[Dimittenddato].&amp;[2015-07-19T00:00:00]"/>
    <s v="[Dimittenddato].[Dimittenddato].&amp;[2015-07-18T00:00:00]"/>
    <s v="[Dimittenddato].[Dimittenddato].&amp;[2015-07-17T00:00:00]"/>
    <s v="[Dimittenddato].[Dimittenddato].&amp;[2015-07-16T00:00:00]"/>
    <s v="[Dimittenddato].[Dimittenddato].&amp;[2015-07-15T00:00:00]"/>
    <s v="[Dimittenddato].[Dimittenddato].&amp;[2015-07-14T00:00:00]"/>
    <s v="[Dimittenddato].[Dimittenddato].&amp;[2015-07-13T00:00:00]"/>
    <s v="[Dimittenddato].[Dimittenddato].&amp;[2015-07-12T00:00:00]"/>
    <s v="[Dimittenddato].[Dimittenddato].&amp;[2015-07-11T00:00:00]"/>
    <s v="[Dimittenddato].[Dimittenddato].&amp;[2015-07-10T00:00:00]"/>
    <s v="[Dimittenddato].[Dimittenddato].&amp;[2015-07-09T00:00:00]"/>
    <s v="[Dimittenddato].[Dimittenddato].&amp;[2015-07-08T00:00:00]"/>
    <s v="[Dimittenddato].[Dimittenddato].&amp;[2015-07-07T00:00:00]"/>
    <s v="[Dimittenddato].[Dimittenddato].&amp;[2015-07-06T00:00:00]"/>
    <s v="[Dimittenddato].[Dimittenddato].&amp;[2015-07-05T00:00:00]"/>
    <s v="[Dimittenddato].[Dimittenddato].&amp;[2015-07-04T00:00:00]"/>
    <s v="[Dimittenddato].[Dimittenddato].&amp;[2015-07-03T00:00:00]"/>
    <s v="[Dimittenddato].[Dimittenddato].&amp;[2015-07-02T00:00:00]"/>
    <s v="[Dimittenddato].[Dimittenddato].&amp;[2015-07-01T00:00:00]"/>
    <s v="[Dimittenddato].[Dimittenddato].&amp;[2015-06-30T00:00:00]"/>
    <s v="[Dimittenddato].[Dimittenddato].&amp;[2015-06-29T00:00:00]"/>
    <s v="[Dimittenddato].[Dimittenddato].&amp;[2015-06-28T00:00:00]"/>
    <s v="[Dimittenddato].[Dimittenddato].&amp;[2015-06-27T00:00:00]"/>
    <s v="[Dimittenddato].[Dimittenddato].&amp;[2015-06-26T00:00:00]"/>
    <s v="[Dimittenddato].[Dimittenddato].&amp;[2015-06-25T00:00:00]"/>
    <s v="[Dimittenddato].[Dimittenddato].&amp;[2015-06-24T00:00:00]"/>
    <s v="[Dimittenddato].[Dimittenddato].&amp;[2015-06-23T00:00:00]"/>
    <s v="[Dimittenddato].[Dimittenddato].&amp;[2015-06-22T00:00:00]"/>
    <s v="[Dimittenddato].[Dimittenddato].&amp;[2015-06-21T00:00:00]"/>
    <s v="[Dimittenddato].[Dimittenddato].&amp;[2015-06-20T00:00:00]"/>
    <s v="[Dimittenddato].[Dimittenddato].&amp;[2015-06-19T00:00:00]"/>
    <s v="[Dimittenddato].[Dimittenddato].&amp;[2015-06-18T00:00:00]"/>
    <s v="[Dimittenddato].[Dimittenddato].&amp;[2015-06-17T00:00:00]"/>
    <s v="[Dimittenddato].[Dimittenddato].&amp;[2015-06-16T00:00:00]"/>
    <s v="[Dimittenddato].[Dimittenddato].&amp;[2015-06-15T00:00:00]"/>
    <s v="[Dimittenddato].[Dimittenddato].&amp;[2015-06-14T00:00:00]"/>
    <s v="[Dimittenddato].[Dimittenddato].&amp;[2015-06-13T00:00:00]"/>
    <s v="[Dimittenddato].[Dimittenddato].&amp;[2015-06-12T00:00:00]"/>
    <s v="[Dimittenddato].[Dimittenddato].&amp;[2015-06-11T00:00:00]"/>
    <s v="[Dimittenddato].[Dimittenddato].&amp;[2015-06-10T00:00:00]"/>
    <s v="[Dimittenddato].[Dimittenddato].&amp;[2015-06-09T00:00:00]"/>
    <s v="[Dimittenddato].[Dimittenddato].&amp;[2015-06-08T00:00:00]"/>
    <s v="[Dimittenddato].[Dimittenddato].&amp;[2015-06-07T00:00:00]"/>
    <s v="[Dimittenddato].[Dimittenddato].&amp;[2015-06-06T00:00:00]"/>
    <s v="[Dimittenddato].[Dimittenddato].&amp;[2015-06-05T00:00:00]"/>
    <s v="[Dimittenddato].[Dimittenddato].&amp;[2015-06-04T00:00:00]"/>
    <s v="[Dimittenddato].[Dimittenddato].&amp;[2015-06-03T00:00:00]"/>
    <s v="[Dimittenddato].[Dimittenddato].&amp;[2015-06-02T00:00:00]"/>
    <s v="[Dimittenddato].[Dimittenddato].&amp;[2015-06-01T00:00:00]"/>
    <s v="[Dimittenddato].[Dimittenddato].&amp;[2014-08-31T00:00:00]"/>
    <s v="[Dimittenddato].[Dimittenddato].&amp;[2014-08-30T00:00:00]"/>
    <s v="[Dimittenddato].[Dimittenddato].&amp;[2014-08-29T00:00:00]"/>
    <s v="[Dimittenddato].[Dimittenddato].&amp;[2014-08-28T00:00:00]"/>
    <s v="[Dimittenddato].[Dimittenddato].&amp;[2014-08-27T00:00:00]"/>
    <s v="[Dimittenddato].[Dimittenddato].&amp;[2014-08-26T00:00:00]"/>
    <s v="[Dimittenddato].[Dimittenddato].&amp;[2014-08-25T00:00:00]"/>
    <s v="[Dimittenddato].[Dimittenddato].&amp;[2014-08-24T00:00:00]"/>
    <s v="[Dimittenddato].[Dimittenddato].&amp;[2014-08-23T00:00:00]"/>
    <s v="[Dimittenddato].[Dimittenddato].&amp;[2014-08-22T00:00:00]"/>
    <s v="[Dimittenddato].[Dimittenddato].&amp;[2014-08-21T00:00:00]"/>
    <s v="[Dimittenddato].[Dimittenddato].&amp;[2014-08-20T00:00:00]"/>
    <s v="[Dimittenddato].[Dimittenddato].&amp;[2014-08-19T00:00:00]"/>
    <s v="[Dimittenddato].[Dimittenddato].&amp;[2014-08-18T00:00:00]"/>
    <s v="[Dimittenddato].[Dimittenddato].&amp;[2014-08-17T00:00:00]"/>
    <s v="[Dimittenddato].[Dimittenddato].&amp;[2014-08-16T00:00:00]"/>
    <s v="[Dimittenddato].[Dimittenddato].&amp;[2014-08-15T00:00:00]"/>
    <s v="[Dimittenddato].[Dimittenddato].&amp;[2014-08-14T00:00:00]"/>
    <s v="[Dimittenddato].[Dimittenddato].&amp;[2014-08-13T00:00:00]"/>
    <s v="[Dimittenddato].[Dimittenddato].&amp;[2014-08-12T00:00:00]"/>
    <s v="[Dimittenddato].[Dimittenddato].&amp;[2014-08-11T00:00:00]"/>
    <s v="[Dimittenddato].[Dimittenddato].&amp;[2014-08-10T00:00:00]"/>
    <s v="[Dimittenddato].[Dimittenddato].&amp;[2014-08-09T00:00:00]"/>
    <s v="[Dimittenddato].[Dimittenddato].&amp;[2014-08-08T00:00:00]"/>
    <s v="[Dimittenddato].[Dimittenddato].&amp;[2014-08-07T00:00:00]"/>
    <s v="[Dimittenddato].[Dimittenddato].&amp;[2014-08-06T00:00:00]"/>
    <s v="[Dimittenddato].[Dimittenddato].&amp;[2014-08-05T00:00:00]"/>
    <s v="[Dimittenddato].[Dimittenddato].&amp;[2014-08-04T00:00:00]"/>
    <s v="[Dimittenddato].[Dimittenddato].&amp;[2014-08-03T00:00:00]"/>
    <s v="[Dimittenddato].[Dimittenddato].&amp;[2014-08-02T00:00:00]"/>
    <s v="[Dimittenddato].[Dimittenddato].&amp;[2014-08-01T00:00:00]"/>
    <s v="[Dimittenddato].[Dimittenddato].&amp;[2014-07-31T00:00:00]"/>
    <s v="[Dimittenddato].[Dimittenddato].&amp;[2014-07-30T00:00:00]"/>
    <s v="[Dimittenddato].[Dimittenddato].&amp;[2014-07-29T00:00:00]"/>
    <s v="[Dimittenddato].[Dimittenddato].&amp;[2014-07-28T00:00:00]"/>
    <s v="[Dimittenddato].[Dimittenddato].&amp;[2014-07-27T00:00:00]"/>
    <s v="[Dimittenddato].[Dimittenddato].&amp;[2014-07-26T00:00:00]"/>
    <s v="[Dimittenddato].[Dimittenddato].&amp;[2014-07-25T00:00:00]"/>
    <s v="[Dimittenddato].[Dimittenddato].&amp;[2014-07-24T00:00:00]"/>
    <s v="[Dimittenddato].[Dimittenddato].&amp;[2014-07-23T00:00:00]"/>
    <s v="[Dimittenddato].[Dimittenddato].&amp;[2014-07-22T00:00:00]"/>
    <s v="[Dimittenddato].[Dimittenddato].&amp;[2014-07-21T00:00:00]"/>
    <s v="[Dimittenddato].[Dimittenddato].&amp;[2014-07-20T00:00:00]"/>
    <s v="[Dimittenddato].[Dimittenddato].&amp;[2014-07-19T00:00:00]"/>
    <s v="[Dimittenddato].[Dimittenddato].&amp;[2014-07-18T00:00:00]"/>
    <s v="[Dimittenddato].[Dimittenddato].&amp;[2014-07-17T00:00:00]"/>
    <s v="[Dimittenddato].[Dimittenddato].&amp;[2014-07-16T00:00:00]"/>
    <s v="[Dimittenddato].[Dimittenddato].&amp;[2014-07-15T00:00:00]"/>
    <s v="[Dimittenddato].[Dimittenddato].&amp;[2014-07-14T00:00:00]"/>
    <s v="[Dimittenddato].[Dimittenddato].&amp;[2014-07-13T00:00:00]"/>
    <s v="[Dimittenddato].[Dimittenddato].&amp;[2014-07-12T00:00:00]"/>
    <s v="[Dimittenddato].[Dimittenddato].&amp;[2014-07-11T00:00:00]"/>
    <s v="[Dimittenddato].[Dimittenddato].&amp;[2014-07-10T00:00:00]"/>
    <s v="[Dimittenddato].[Dimittenddato].&amp;[2014-07-09T00:00:00]"/>
    <s v="[Dimittenddato].[Dimittenddato].&amp;[2014-07-08T00:00:00]"/>
    <s v="[Dimittenddato].[Dimittenddato].&amp;[2014-07-07T00:00:00]"/>
    <s v="[Dimittenddato].[Dimittenddato].&amp;[2014-07-06T00:00:00]"/>
    <s v="[Dimittenddato].[Dimittenddato].&amp;[2014-07-05T00:00:00]"/>
    <s v="[Dimittenddato].[Dimittenddato].&amp;[2014-07-04T00:00:00]"/>
    <s v="[Dimittenddato].[Dimittenddato].&amp;[2014-07-03T00:00:00]"/>
    <s v="[Dimittenddato].[Dimittenddato].&amp;[2014-07-02T00:00:00]"/>
    <s v="[Dimittenddato].[Dimittenddato].&amp;[2014-07-01T00:00:00]"/>
    <s v="[Dimittenddato].[Dimittenddato].&amp;[2014-06-30T00:00:00]"/>
    <s v="[Dimittenddato].[Dimittenddato].&amp;[2014-06-29T00:00:00]"/>
    <s v="[Dimittenddato].[Dimittenddato].&amp;[2014-06-28T00:00:00]"/>
    <s v="[Dimittenddato].[Dimittenddato].&amp;[2014-06-27T00:00:00]"/>
    <s v="[Dimittenddato].[Dimittenddato].&amp;[2014-06-26T00:00:00]"/>
    <s v="[Dimittenddato].[Dimittenddato].&amp;[2014-06-25T00:00:00]"/>
    <s v="[Dimittenddato].[Dimittenddato].&amp;[2014-06-24T00:00:00]"/>
    <s v="[Dimittenddato].[Dimittenddato].&amp;[2014-06-23T00:00:00]"/>
    <s v="[Dimittenddato].[Dimittenddato].&amp;[2014-06-22T00:00:00]"/>
    <s v="[Dimittenddato].[Dimittenddato].&amp;[2014-06-21T00:00:00]"/>
    <s v="[Dimittenddato].[Dimittenddato].&amp;[2014-06-20T00:00:00]"/>
    <s v="[Dimittenddato].[Dimittenddato].&amp;[2014-06-19T00:00:00]"/>
    <s v="[Dimittenddato].[Dimittenddato].&amp;[2014-06-18T00:00:00]"/>
    <s v="[Dimittenddato].[Dimittenddato].&amp;[2014-06-17T00:00:00]"/>
    <s v="[Dimittenddato].[Dimittenddato].&amp;[2014-06-16T00:00:00]"/>
    <s v="[Dimittenddato].[Dimittenddato].&amp;[2014-06-15T00:00:00]"/>
    <s v="[Dimittenddato].[Dimittenddato].&amp;[2014-06-14T00:00:00]"/>
    <s v="[Dimittenddato].[Dimittenddato].&amp;[2014-06-13T00:00:00]"/>
    <s v="[Dimittenddato].[Dimittenddato].&amp;[2014-06-12T00:00:00]"/>
    <s v="[Dimittenddato].[Dimittenddato].&amp;[2014-06-11T00:00:00]"/>
    <s v="[Dimittenddato].[Dimittenddato].&amp;[2014-06-10T00:00:00]"/>
    <s v="[Dimittenddato].[Dimittenddato].&amp;[2014-06-09T00:00:00]"/>
    <s v="[Dimittenddato].[Dimittenddato].&amp;[2014-06-08T00:00:00]"/>
    <s v="[Dimittenddato].[Dimittenddato].&amp;[2014-06-07T00:00:00]"/>
    <s v="[Dimittenddato].[Dimittenddato].&amp;[2014-06-06T00:00:00]"/>
    <s v="[Dimittenddato].[Dimittenddato].&amp;[2014-06-05T00:00:00]"/>
    <s v="[Dimittenddato].[Dimittenddato].&amp;[2014-06-04T00:00:00]"/>
    <s v="[Dimittenddato].[Dimittenddato].&amp;[2014-06-03T00:00:00]"/>
    <s v="[Dimittenddato].[Dimittenddato].&amp;[2014-06-02T00:00:00]"/>
    <s v="[Dimittenddato].[Dimittenddato].&amp;[2014-06-01T00:00:00]"/>
    <s v="[Dimittenddato].[Dimittenddato].&amp;[2013-08-31T00:00:00]"/>
    <s v="[Dimittenddato].[Dimittenddato].&amp;[2013-08-30T00:00:00]"/>
    <s v="[Dimittenddato].[Dimittenddato].&amp;[2013-08-29T00:00:00]"/>
    <s v="[Dimittenddato].[Dimittenddato].&amp;[2013-08-28T00:00:00]"/>
    <s v="[Dimittenddato].[Dimittenddato].&amp;[2013-08-27T00:00:00]"/>
    <s v="[Dimittenddato].[Dimittenddato].&amp;[2013-08-26T00:00:00]"/>
    <s v="[Dimittenddato].[Dimittenddato].&amp;[2013-08-25T00:00:00]"/>
    <s v="[Dimittenddato].[Dimittenddato].&amp;[2013-08-24T00:00:00]"/>
    <s v="[Dimittenddato].[Dimittenddato].&amp;[2013-08-23T00:00:00]"/>
    <s v="[Dimittenddato].[Dimittenddato].&amp;[2013-08-22T00:00:00]"/>
    <s v="[Dimittenddato].[Dimittenddato].&amp;[2013-08-21T00:00:00]"/>
    <s v="[Dimittenddato].[Dimittenddato].&amp;[2013-08-20T00:00:00]"/>
    <s v="[Dimittenddato].[Dimittenddato].&amp;[2013-08-19T00:00:00]"/>
    <s v="[Dimittenddato].[Dimittenddato].&amp;[2013-08-18T00:00:00]"/>
    <s v="[Dimittenddato].[Dimittenddato].&amp;[2013-08-17T00:00:00]"/>
    <s v="[Dimittenddato].[Dimittenddato].&amp;[2013-08-16T00:00:00]"/>
    <s v="[Dimittenddato].[Dimittenddato].&amp;[2013-08-15T00:00:00]"/>
    <s v="[Dimittenddato].[Dimittenddato].&amp;[2013-08-14T00:00:00]"/>
    <s v="[Dimittenddato].[Dimittenddato].&amp;[2013-08-13T00:00:00]"/>
    <s v="[Dimittenddato].[Dimittenddato].&amp;[2013-08-12T00:00:00]"/>
    <s v="[Dimittenddato].[Dimittenddato].&amp;[2013-08-11T00:00:00]"/>
    <s v="[Dimittenddato].[Dimittenddato].&amp;[2013-08-10T00:00:00]"/>
    <s v="[Dimittenddato].[Dimittenddato].&amp;[2013-08-09T00:00:00]"/>
    <s v="[Dimittenddato].[Dimittenddato].&amp;[2013-08-08T00:00:00]"/>
    <s v="[Dimittenddato].[Dimittenddato].&amp;[2013-08-07T00:00:00]"/>
    <s v="[Dimittenddato].[Dimittenddato].&amp;[2013-08-06T00:00:00]"/>
    <s v="[Dimittenddato].[Dimittenddato].&amp;[2013-08-05T00:00:00]"/>
    <s v="[Dimittenddato].[Dimittenddato].&amp;[2013-08-04T00:00:00]"/>
    <s v="[Dimittenddato].[Dimittenddato].&amp;[2013-08-03T00:00:00]"/>
    <s v="[Dimittenddato].[Dimittenddato].&amp;[2013-08-02T00:00:00]"/>
    <s v="[Dimittenddato].[Dimittenddato].&amp;[2013-08-01T00:00:00]"/>
    <s v="[Dimittenddato].[Dimittenddato].&amp;[2013-07-31T00:00:00]"/>
    <s v="[Dimittenddato].[Dimittenddato].&amp;[2013-07-30T00:00:00]"/>
    <s v="[Dimittenddato].[Dimittenddato].&amp;[2013-07-29T00:00:00]"/>
    <s v="[Dimittenddato].[Dimittenddato].&amp;[2013-07-28T00:00:00]"/>
    <s v="[Dimittenddato].[Dimittenddato].&amp;[2013-07-27T00:00:00]"/>
    <s v="[Dimittenddato].[Dimittenddato].&amp;[2013-07-26T00:00:00]"/>
    <s v="[Dimittenddato].[Dimittenddato].&amp;[2013-07-25T00:00:00]"/>
    <s v="[Dimittenddato].[Dimittenddato].&amp;[2013-07-24T00:00:00]"/>
    <s v="[Dimittenddato].[Dimittenddato].&amp;[2013-07-23T00:00:00]"/>
    <s v="[Dimittenddato].[Dimittenddato].&amp;[2013-07-22T00:00:00]"/>
    <s v="[Dimittenddato].[Dimittenddato].&amp;[2013-07-21T00:00:00]"/>
    <s v="[Dimittenddato].[Dimittenddato].&amp;[2013-07-20T00:00:00]"/>
    <s v="[Dimittenddato].[Dimittenddato].&amp;[2013-07-19T00:00:00]"/>
    <s v="[Dimittenddato].[Dimittenddato].&amp;[2013-07-18T00:00:00]"/>
    <s v="[Dimittenddato].[Dimittenddato].&amp;[2013-07-17T00:00:00]"/>
    <s v="[Dimittenddato].[Dimittenddato].&amp;[2013-07-16T00:00:00]"/>
    <s v="[Dimittenddato].[Dimittenddato].&amp;[2013-07-15T00:00:00]"/>
    <s v="[Dimittenddato].[Dimittenddato].&amp;[2013-07-14T00:00:00]"/>
    <s v="[Dimittenddato].[Dimittenddato].&amp;[2013-07-13T00:00:00]"/>
    <s v="[Dimittenddato].[Dimittenddato].&amp;[2013-07-12T00:00:00]"/>
    <s v="[Dimittenddato].[Dimittenddato].&amp;[2013-07-11T00:00:00]"/>
    <s v="[Dimittenddato].[Dimittenddato].&amp;[2013-07-10T00:00:00]"/>
    <s v="[Dimittenddato].[Dimittenddato].&amp;[2013-07-09T00:00:00]"/>
    <s v="[Dimittenddato].[Dimittenddato].&amp;[2013-07-08T00:00:00]"/>
    <s v="[Dimittenddato].[Dimittenddato].&amp;[2013-07-07T00:00:00]"/>
    <s v="[Dimittenddato].[Dimittenddato].&amp;[2013-07-06T00:00:00]"/>
    <s v="[Dimittenddato].[Dimittenddato].&amp;[2013-07-05T00:00:00]"/>
    <s v="[Dimittenddato].[Dimittenddato].&amp;[2013-07-04T00:00:00]"/>
    <s v="[Dimittenddato].[Dimittenddato].&amp;[2013-07-03T00:00:00]"/>
    <s v="[Dimittenddato].[Dimittenddato].&amp;[2013-07-02T00:00:00]"/>
    <s v="[Dimittenddato].[Dimittenddato].&amp;[2013-07-01T00:00:00]"/>
    <s v="[Dimittenddato].[Dimittenddato].&amp;[2013-06-30T00:00:00]"/>
    <s v="[Dimittenddato].[Dimittenddato].&amp;[2013-06-29T00:00:00]"/>
    <s v="[Dimittenddato].[Dimittenddato].&amp;[2013-06-28T00:00:00]"/>
    <s v="[Dimittenddato].[Dimittenddato].&amp;[2013-06-27T00:00:00]"/>
    <s v="[Dimittenddato].[Dimittenddato].&amp;[2013-06-26T00:00:00]"/>
    <s v="[Dimittenddato].[Dimittenddato].&amp;[2013-06-25T00:00:00]"/>
    <s v="[Dimittenddato].[Dimittenddato].&amp;[2013-06-24T00:00:00]"/>
    <s v="[Dimittenddato].[Dimittenddato].&amp;[2013-06-23T00:00:00]"/>
    <s v="[Dimittenddato].[Dimittenddato].&amp;[2013-06-22T00:00:00]"/>
    <s v="[Dimittenddato].[Dimittenddato].&amp;[2013-06-21T00:00:00]"/>
    <s v="[Dimittenddato].[Dimittenddato].&amp;[2013-06-20T00:00:00]"/>
    <s v="[Dimittenddato].[Dimittenddato].&amp;[2013-06-19T00:00:00]"/>
    <s v="[Dimittenddato].[Dimittenddato].&amp;[2013-06-18T00:00:00]"/>
    <s v="[Dimittenddato].[Dimittenddato].&amp;[2013-06-17T00:00:00]"/>
    <s v="[Dimittenddato].[Dimittenddato].&amp;[2013-06-16T00:00:00]"/>
    <s v="[Dimittenddato].[Dimittenddato].&amp;[2013-06-15T00:00:00]"/>
    <s v="[Dimittenddato].[Dimittenddato].&amp;[2013-06-14T00:00:00]"/>
    <s v="[Dimittenddato].[Dimittenddato].&amp;[2013-06-13T00:00:00]"/>
    <s v="[Dimittenddato].[Dimittenddato].&amp;[2013-06-12T00:00:00]"/>
    <s v="[Dimittenddato].[Dimittenddato].&amp;[2013-06-11T00:00:00]"/>
    <s v="[Dimittenddato].[Dimittenddato].&amp;[2013-06-10T00:00:00]"/>
    <s v="[Dimittenddato].[Dimittenddato].&amp;[2013-06-09T00:00:00]"/>
    <s v="[Dimittenddato].[Dimittenddato].&amp;[2013-06-08T00:00:00]"/>
    <s v="[Dimittenddato].[Dimittenddato].&amp;[2013-06-07T00:00:00]"/>
    <s v="[Dimittenddato].[Dimittenddato].&amp;[2013-06-06T00:00:00]"/>
    <s v="[Dimittenddato].[Dimittenddato].&amp;[2013-06-05T00:00:00]"/>
    <s v="[Dimittenddato].[Dimittenddato].&amp;[2013-06-04T00:00:00]"/>
    <s v="[Dimittenddato].[Dimittenddato].&amp;[2013-06-03T00:00:00]"/>
    <s v="[Dimittenddato].[Dimittenddato].&amp;[2013-06-02T00:00:00]"/>
    <s v="[Dimittenddato].[Dimittenddato].&amp;[2013-06-01T00:00:00]"/>
    <s v="[Dimittenddato].[Dimittenddato].&amp;[2012-08-31T00:00:00]"/>
    <s v="[Dimittenddato].[Dimittenddato].&amp;[2012-08-30T00:00:00]"/>
    <s v="[Dimittenddato].[Dimittenddato].&amp;[2012-08-29T00:00:00]"/>
    <s v="[Dimittenddato].[Dimittenddato].&amp;[2012-08-28T00:00:00]"/>
    <s v="[Dimittenddato].[Dimittenddato].&amp;[2012-08-27T00:00:00]"/>
    <s v="[Dimittenddato].[Dimittenddato].&amp;[2012-08-26T00:00:00]"/>
    <s v="[Dimittenddato].[Dimittenddato].&amp;[2012-08-25T00:00:00]"/>
    <s v="[Dimittenddato].[Dimittenddato].&amp;[2012-08-24T00:00:00]"/>
    <s v="[Dimittenddato].[Dimittenddato].&amp;[2012-08-23T00:00:00]"/>
    <s v="[Dimittenddato].[Dimittenddato].&amp;[2012-08-22T00:00:00]"/>
    <s v="[Dimittenddato].[Dimittenddato].&amp;[2012-08-21T00:00:00]"/>
    <s v="[Dimittenddato].[Dimittenddato].&amp;[2012-08-20T00:00:00]"/>
    <s v="[Dimittenddato].[Dimittenddato].&amp;[2012-08-19T00:00:00]"/>
    <s v="[Dimittenddato].[Dimittenddato].&amp;[2012-08-18T00:00:00]"/>
    <s v="[Dimittenddato].[Dimittenddato].&amp;[2012-08-17T00:00:00]"/>
    <s v="[Dimittenddato].[Dimittenddato].&amp;[2012-08-16T00:00:00]"/>
    <s v="[Dimittenddato].[Dimittenddato].&amp;[2012-08-15T00:00:00]"/>
    <s v="[Dimittenddato].[Dimittenddato].&amp;[2012-08-14T00:00:00]"/>
    <s v="[Dimittenddato].[Dimittenddato].&amp;[2012-08-13T00:00:00]"/>
    <s v="[Dimittenddato].[Dimittenddato].&amp;[2012-08-12T00:00:00]"/>
    <s v="[Dimittenddato].[Dimittenddato].&amp;[2012-08-11T00:00:00]"/>
    <s v="[Dimittenddato].[Dimittenddato].&amp;[2012-08-10T00:00:00]"/>
    <s v="[Dimittenddato].[Dimittenddato].&amp;[2012-08-09T00:00:00]"/>
    <s v="[Dimittenddato].[Dimittenddato].&amp;[2012-08-08T00:00:00]"/>
    <s v="[Dimittenddato].[Dimittenddato].&amp;[2012-08-07T00:00:00]"/>
    <s v="[Dimittenddato].[Dimittenddato].&amp;[2012-08-06T00:00:00]"/>
    <s v="[Dimittenddato].[Dimittenddato].&amp;[2012-08-05T00:00:00]"/>
    <s v="[Dimittenddato].[Dimittenddato].&amp;[2012-08-04T00:00:00]"/>
    <s v="[Dimittenddato].[Dimittenddato].&amp;[2012-08-03T00:00:00]"/>
    <s v="[Dimittenddato].[Dimittenddato].&amp;[2012-08-02T00:00:00]"/>
    <s v="[Dimittenddato].[Dimittenddato].&amp;[2012-08-01T00:00:00]"/>
    <s v="[Dimittenddato].[Dimittenddato].&amp;[2012-07-31T00:00:00]"/>
    <s v="[Dimittenddato].[Dimittenddato].&amp;[2012-07-30T00:00:00]"/>
    <s v="[Dimittenddato].[Dimittenddato].&amp;[2012-07-29T00:00:00]"/>
    <s v="[Dimittenddato].[Dimittenddato].&amp;[2012-07-28T00:00:00]"/>
    <s v="[Dimittenddato].[Dimittenddato].&amp;[2012-07-27T00:00:00]"/>
    <s v="[Dimittenddato].[Dimittenddato].&amp;[2012-07-26T00:00:00]"/>
    <s v="[Dimittenddato].[Dimittenddato].&amp;[2012-07-25T00:00:00]"/>
    <s v="[Dimittenddato].[Dimittenddato].&amp;[2012-07-24T00:00:00]"/>
    <s v="[Dimittenddato].[Dimittenddato].&amp;[2012-07-23T00:00:00]"/>
    <s v="[Dimittenddato].[Dimittenddato].&amp;[2012-07-22T00:00:00]"/>
    <s v="[Dimittenddato].[Dimittenddato].&amp;[2012-07-21T00:00:00]"/>
    <s v="[Dimittenddato].[Dimittenddato].&amp;[2012-07-20T00:00:00]"/>
    <s v="[Dimittenddato].[Dimittenddato].&amp;[2012-07-19T00:00:00]"/>
    <s v="[Dimittenddato].[Dimittenddato].&amp;[2012-07-18T00:00:00]"/>
    <s v="[Dimittenddato].[Dimittenddato].&amp;[2012-07-17T00:00:00]"/>
    <s v="[Dimittenddato].[Dimittenddato].&amp;[2012-07-16T00:00:00]"/>
    <s v="[Dimittenddato].[Dimittenddato].&amp;[2012-07-15T00:00:00]"/>
    <s v="[Dimittenddato].[Dimittenddato].&amp;[2012-07-14T00:00:00]"/>
    <s v="[Dimittenddato].[Dimittenddato].&amp;[2012-07-13T00:00:00]"/>
    <s v="[Dimittenddato].[Dimittenddato].&amp;[2012-07-12T00:00:00]"/>
    <s v="[Dimittenddato].[Dimittenddato].&amp;[2012-07-11T00:00:00]"/>
    <s v="[Dimittenddato].[Dimittenddato].&amp;[2012-07-10T00:00:00]"/>
    <s v="[Dimittenddato].[Dimittenddato].&amp;[2012-07-09T00:00:00]"/>
    <s v="[Dimittenddato].[Dimittenddato].&amp;[2012-07-08T00:00:00]"/>
    <s v="[Dimittenddato].[Dimittenddato].&amp;[2012-07-07T00:00:00]"/>
    <s v="[Dimittenddato].[Dimittenddato].&amp;[2012-07-06T00:00:00]"/>
    <s v="[Dimittenddato].[Dimittenddato].&amp;[2012-07-05T00:00:00]"/>
    <s v="[Dimittenddato].[Dimittenddato].&amp;[2012-07-04T00:00:00]"/>
    <s v="[Dimittenddato].[Dimittenddato].&amp;[2012-07-03T00:00:00]"/>
    <s v="[Dimittenddato].[Dimittenddato].&amp;[2012-07-02T00:00:00]"/>
    <s v="[Dimittenddato].[Dimittenddato].&amp;[2012-07-01T00:00:00]"/>
    <s v="[Dimittenddato].[Dimittenddato].&amp;[2012-06-30T00:00:00]"/>
    <s v="[Dimittenddato].[Dimittenddato].&amp;[2012-06-29T00:00:00]"/>
    <s v="[Dimittenddato].[Dimittenddato].&amp;[2012-06-28T00:00:00]"/>
    <s v="[Dimittenddato].[Dimittenddato].&amp;[2012-06-27T00:00:00]"/>
    <s v="[Dimittenddato].[Dimittenddato].&amp;[2012-06-26T00:00:00]"/>
    <s v="[Dimittenddato].[Dimittenddato].&amp;[2012-06-25T00:00:00]"/>
    <s v="[Dimittenddato].[Dimittenddato].&amp;[2012-06-24T00:00:00]"/>
    <s v="[Dimittenddato].[Dimittenddato].&amp;[2012-06-23T00:00:00]"/>
    <s v="[Dimittenddato].[Dimittenddato].&amp;[2012-06-22T00:00:00]"/>
    <s v="[Dimittenddato].[Dimittenddato].&amp;[2012-06-21T00:00:00]"/>
    <s v="[Dimittenddato].[Dimittenddato].&amp;[2012-06-20T00:00:00]"/>
    <s v="[Dimittenddato].[Dimittenddato].&amp;[2012-06-19T00:00:00]"/>
    <s v="[Dimittenddato].[Dimittenddato].&amp;[2012-06-18T00:00:00]"/>
    <s v="[Dimittenddato].[Dimittenddato].&amp;[2012-06-17T00:00:00]"/>
    <s v="[Dimittenddato].[Dimittenddato].&amp;[2012-06-16T00:00:00]"/>
    <s v="[Dimittenddato].[Dimittenddato].&amp;[2012-06-15T00:00:00]"/>
    <s v="[Dimittenddato].[Dimittenddato].&amp;[2012-06-14T00:00:00]"/>
    <s v="[Dimittenddato].[Dimittenddato].&amp;[2012-06-13T00:00:00]"/>
    <s v="[Dimittenddato].[Dimittenddato].&amp;[2012-06-12T00:00:00]"/>
    <s v="[Dimittenddato].[Dimittenddato].&amp;[2012-06-11T00:00:00]"/>
    <s v="[Dimittenddato].[Dimittenddato].&amp;[2012-06-10T00:00:00]"/>
    <s v="[Dimittenddato].[Dimittenddato].&amp;[2012-06-09T00:00:00]"/>
    <s v="[Dimittenddato].[Dimittenddato].&amp;[2012-06-08T00:00:00]"/>
    <s v="[Dimittenddato].[Dimittenddato].&amp;[2012-06-07T00:00:00]"/>
    <s v="[Dimittenddato].[Dimittenddato].&amp;[2012-06-06T00:00:00]"/>
    <s v="[Dimittenddato].[Dimittenddato].&amp;[2012-06-05T00:00:00]"/>
    <s v="[Dimittenddato].[Dimittenddato].&amp;[2012-06-04T00:00:00]"/>
    <s v="[Dimittenddato].[Dimittenddato].&amp;[2012-06-03T00:00:00]"/>
    <s v="[Dimittenddato].[Dimittenddato].&amp;[2012-06-02T00:00:00]"/>
    <s v="[Dimittenddato].[Dimittenddato].&amp;[2012-06-01T00:00:00]"/>
    <s v="[Dimittenddato].[Dimittenddato].&amp;[2011-08-31T00:00:00]"/>
    <s v="[Dimittenddato].[Dimittenddato].&amp;[2011-08-30T00:00:00]"/>
    <s v="[Dimittenddato].[Dimittenddato].&amp;[2011-08-29T00:00:00]"/>
    <s v="[Dimittenddato].[Dimittenddato].&amp;[2011-08-28T00:00:00]"/>
    <s v="[Dimittenddato].[Dimittenddato].&amp;[2011-08-27T00:00:00]"/>
    <s v="[Dimittenddato].[Dimittenddato].&amp;[2011-08-26T00:00:00]"/>
    <s v="[Dimittenddato].[Dimittenddato].&amp;[2011-08-25T00:00:00]"/>
    <s v="[Dimittenddato].[Dimittenddato].&amp;[2011-08-24T00:00:00]"/>
    <s v="[Dimittenddato].[Dimittenddato].&amp;[2011-08-23T00:00:00]"/>
    <s v="[Dimittenddato].[Dimittenddato].&amp;[2011-08-22T00:00:00]"/>
    <s v="[Dimittenddato].[Dimittenddato].&amp;[2011-08-21T00:00:00]"/>
    <s v="[Dimittenddato].[Dimittenddato].&amp;[2011-08-20T00:00:00]"/>
    <s v="[Dimittenddato].[Dimittenddato].&amp;[2011-08-19T00:00:00]"/>
    <s v="[Dimittenddato].[Dimittenddato].&amp;[2011-08-18T00:00:00]"/>
    <s v="[Dimittenddato].[Dimittenddato].&amp;[2011-08-17T00:00:00]"/>
    <s v="[Dimittenddato].[Dimittenddato].&amp;[2011-08-16T00:00:00]"/>
    <s v="[Dimittenddato].[Dimittenddato].&amp;[2011-08-15T00:00:00]"/>
    <s v="[Dimittenddato].[Dimittenddato].&amp;[2011-08-14T00:00:00]"/>
    <s v="[Dimittenddato].[Dimittenddato].&amp;[2011-08-13T00:00:00]"/>
    <s v="[Dimittenddato].[Dimittenddato].&amp;[2011-08-12T00:00:00]"/>
    <s v="[Dimittenddato].[Dimittenddato].&amp;[2011-08-11T00:00:00]"/>
    <s v="[Dimittenddato].[Dimittenddato].&amp;[2011-08-10T00:00:00]"/>
    <s v="[Dimittenddato].[Dimittenddato].&amp;[2011-08-09T00:00:00]"/>
    <s v="[Dimittenddato].[Dimittenddato].&amp;[2011-08-08T00:00:00]"/>
    <s v="[Dimittenddato].[Dimittenddato].&amp;[2011-08-07T00:00:00]"/>
    <s v="[Dimittenddato].[Dimittenddato].&amp;[2011-08-06T00:00:00]"/>
    <s v="[Dimittenddato].[Dimittenddato].&amp;[2011-08-05T00:00:00]"/>
    <s v="[Dimittenddato].[Dimittenddato].&amp;[2011-08-04T00:00:00]"/>
    <s v="[Dimittenddato].[Dimittenddato].&amp;[2011-08-03T00:00:00]"/>
    <s v="[Dimittenddato].[Dimittenddato].&amp;[2011-08-02T00:00:00]"/>
    <s v="[Dimittenddato].[Dimittenddato].&amp;[2011-08-01T00:00:00]"/>
    <s v="[Dimittenddato].[Dimittenddato].&amp;[2011-07-31T00:00:00]"/>
    <s v="[Dimittenddato].[Dimittenddato].&amp;[2011-07-30T00:00:00]"/>
    <s v="[Dimittenddato].[Dimittenddato].&amp;[2011-07-29T00:00:00]"/>
    <s v="[Dimittenddato].[Dimittenddato].&amp;[2011-07-28T00:00:00]"/>
    <s v="[Dimittenddato].[Dimittenddato].&amp;[2011-07-27T00:00:00]"/>
    <s v="[Dimittenddato].[Dimittenddato].&amp;[2011-07-26T00:00:00]"/>
    <s v="[Dimittenddato].[Dimittenddato].&amp;[2011-07-25T00:00:00]"/>
    <s v="[Dimittenddato].[Dimittenddato].&amp;[2011-07-24T00:00:00]"/>
    <s v="[Dimittenddato].[Dimittenddato].&amp;[2011-07-23T00:00:00]"/>
    <s v="[Dimittenddato].[Dimittenddato].&amp;[2011-07-22T00:00:00]"/>
    <s v="[Dimittenddato].[Dimittenddato].&amp;[2011-07-21T00:00:00]"/>
    <s v="[Dimittenddato].[Dimittenddato].&amp;[2011-07-20T00:00:00]"/>
    <s v="[Dimittenddato].[Dimittenddato].&amp;[2011-07-19T00:00:00]"/>
    <s v="[Dimittenddato].[Dimittenddato].&amp;[2011-07-18T00:00:00]"/>
    <s v="[Dimittenddato].[Dimittenddato].&amp;[2011-07-17T00:00:00]"/>
    <s v="[Dimittenddato].[Dimittenddato].&amp;[2011-07-16T00:00:00]"/>
    <s v="[Dimittenddato].[Dimittenddato].&amp;[2011-07-15T00:00:00]"/>
    <s v="[Dimittenddato].[Dimittenddato].&amp;[2011-07-14T00:00:00]"/>
    <s v="[Dimittenddato].[Dimittenddato].&amp;[2011-07-13T00:00:00]"/>
    <s v="[Dimittenddato].[Dimittenddato].&amp;[2011-07-12T00:00:00]"/>
    <s v="[Dimittenddato].[Dimittenddato].&amp;[2011-07-11T00:00:00]"/>
    <s v="[Dimittenddato].[Dimittenddato].&amp;[2011-07-10T00:00:00]"/>
    <s v="[Dimittenddato].[Dimittenddato].&amp;[2011-07-09T00:00:00]"/>
    <s v="[Dimittenddato].[Dimittenddato].&amp;[2011-07-08T00:00:00]"/>
    <s v="[Dimittenddato].[Dimittenddato].&amp;[2011-07-07T00:00:00]"/>
    <s v="[Dimittenddato].[Dimittenddato].&amp;[2011-07-06T00:00:00]"/>
    <s v="[Dimittenddato].[Dimittenddato].&amp;[2011-07-05T00:00:00]"/>
    <s v="[Dimittenddato].[Dimittenddato].&amp;[2011-07-04T00:00:00]"/>
    <s v="[Dimittenddato].[Dimittenddato].&amp;[2011-07-03T00:00:00]"/>
    <s v="[Dimittenddato].[Dimittenddato].&amp;[2011-07-02T00:00:00]"/>
    <s v="[Dimittenddato].[Dimittenddato].&amp;[2011-07-01T00:00:00]"/>
    <s v="[Dimittenddato].[Dimittenddato].&amp;[2011-06-30T00:00:00]"/>
    <s v="[Dimittenddato].[Dimittenddato].&amp;[2011-06-29T00:00:00]"/>
    <s v="[Dimittenddato].[Dimittenddato].&amp;[2011-06-28T00:00:00]"/>
    <s v="[Dimittenddato].[Dimittenddato].&amp;[2011-06-27T00:00:00]"/>
    <s v="[Dimittenddato].[Dimittenddato].&amp;[2011-06-26T00:00:00]"/>
    <s v="[Dimittenddato].[Dimittenddato].&amp;[2011-06-25T00:00:00]"/>
    <s v="[Dimittenddato].[Dimittenddato].&amp;[2011-06-24T00:00:00]"/>
    <s v="[Dimittenddato].[Dimittenddato].&amp;[2011-06-23T00:00:00]"/>
    <s v="[Dimittenddato].[Dimittenddato].&amp;[2011-06-22T00:00:00]"/>
    <s v="[Dimittenddato].[Dimittenddato].&amp;[2011-06-21T00:00:00]"/>
    <s v="[Dimittenddato].[Dimittenddato].&amp;[2011-06-20T00:00:00]"/>
    <s v="[Dimittenddato].[Dimittenddato].&amp;[2011-06-19T00:00:00]"/>
    <s v="[Dimittenddato].[Dimittenddato].&amp;[2011-06-18T00:00:00]"/>
    <s v="[Dimittenddato].[Dimittenddato].&amp;[2011-06-17T00:00:00]"/>
    <s v="[Dimittenddato].[Dimittenddato].&amp;[2011-06-16T00:00:00]"/>
    <s v="[Dimittenddato].[Dimittenddato].&amp;[2011-06-15T00:00:00]"/>
    <s v="[Dimittenddato].[Dimittenddato].&amp;[2011-06-14T00:00:00]"/>
    <s v="[Dimittenddato].[Dimittenddato].&amp;[2011-06-13T00:00:00]"/>
    <s v="[Dimittenddato].[Dimittenddato].&amp;[2011-06-12T00:00:00]"/>
    <s v="[Dimittenddato].[Dimittenddato].&amp;[2011-06-11T00:00:00]"/>
    <s v="[Dimittenddato].[Dimittenddato].&amp;[2011-06-10T00:00:00]"/>
    <s v="[Dimittenddato].[Dimittenddato].&amp;[2011-06-09T00:00:00]"/>
    <s v="[Dimittenddato].[Dimittenddato].&amp;[2011-06-08T00:00:00]"/>
    <s v="[Dimittenddato].[Dimittenddato].&amp;[2011-06-07T00:00:00]"/>
    <s v="[Dimittenddato].[Dimittenddato].&amp;[2011-06-06T00:00:00]"/>
    <s v="[Dimittenddato].[Dimittenddato].&amp;[2011-06-05T00:00:00]"/>
    <s v="[Dimittenddato].[Dimittenddato].&amp;[2011-06-04T00:00:00]"/>
    <s v="[Dimittenddato].[Dimittenddato].&amp;[2011-06-03T00:00:00]"/>
    <s v="[Dimittenddato].[Dimittenddato].&amp;[2011-06-02T00:00:00]"/>
    <s v="[Dimittenddato].[Dimittenddato].&amp;[2011-06-01T00:00:00]"/>
    <s v="[Dimittenddato].[Dimittenddato].&amp;[2010-08-31T00:00:00]"/>
    <s v="[Dimittenddato].[Dimittenddato].&amp;[2010-08-30T00:00:00]"/>
    <s v="[Dimittenddato].[Dimittenddato].&amp;[2010-08-29T00:00:00]"/>
    <s v="[Dimittenddato].[Dimittenddato].&amp;[2010-08-28T00:00:00]"/>
    <s v="[Dimittenddato].[Dimittenddato].&amp;[2010-08-27T00:00:00]"/>
    <s v="[Dimittenddato].[Dimittenddato].&amp;[2010-08-26T00:00:00]"/>
    <s v="[Dimittenddato].[Dimittenddato].&amp;[2010-08-25T00:00:00]"/>
    <s v="[Dimittenddato].[Dimittenddato].&amp;[2010-08-24T00:00:00]"/>
    <s v="[Dimittenddato].[Dimittenddato].&amp;[2010-08-23T00:00:00]"/>
    <s v="[Dimittenddato].[Dimittenddato].&amp;[2010-08-22T00:00:00]"/>
    <s v="[Dimittenddato].[Dimittenddato].&amp;[2010-08-21T00:00:00]"/>
    <s v="[Dimittenddato].[Dimittenddato].&amp;[2010-08-20T00:00:00]"/>
    <s v="[Dimittenddato].[Dimittenddato].&amp;[2010-08-19T00:00:00]"/>
    <s v="[Dimittenddato].[Dimittenddato].&amp;[2010-08-18T00:00:00]"/>
    <s v="[Dimittenddato].[Dimittenddato].&amp;[2010-08-17T00:00:00]"/>
    <s v="[Dimittenddato].[Dimittenddato].&amp;[2010-08-16T00:00:00]"/>
    <s v="[Dimittenddato].[Dimittenddato].&amp;[2010-08-15T00:00:00]"/>
    <s v="[Dimittenddato].[Dimittenddato].&amp;[2010-08-14T00:00:00]"/>
    <s v="[Dimittenddato].[Dimittenddato].&amp;[2010-08-13T00:00:00]"/>
    <s v="[Dimittenddato].[Dimittenddato].&amp;[2010-08-12T00:00:00]"/>
    <s v="[Dimittenddato].[Dimittenddato].&amp;[2010-08-11T00:00:00]"/>
    <s v="[Dimittenddato].[Dimittenddato].&amp;[2010-08-10T00:00:00]"/>
    <s v="[Dimittenddato].[Dimittenddato].&amp;[2010-08-09T00:00:00]"/>
    <s v="[Dimittenddato].[Dimittenddato].&amp;[2010-08-08T00:00:00]"/>
    <s v="[Dimittenddato].[Dimittenddato].&amp;[2010-08-07T00:00:00]"/>
    <s v="[Dimittenddato].[Dimittenddato].&amp;[2010-08-06T00:00:00]"/>
    <s v="[Dimittenddato].[Dimittenddato].&amp;[2010-08-05T00:00:00]"/>
    <s v="[Dimittenddato].[Dimittenddato].&amp;[2010-08-04T00:00:00]"/>
    <s v="[Dimittenddato].[Dimittenddato].&amp;[2010-08-03T00:00:00]"/>
    <s v="[Dimittenddato].[Dimittenddato].&amp;[2010-08-02T00:00:00]"/>
    <s v="[Dimittenddato].[Dimittenddato].&amp;[2010-08-01T00:00:00]"/>
    <s v="[Dimittenddato].[Dimittenddato].&amp;[2010-07-31T00:00:00]"/>
    <s v="[Dimittenddato].[Dimittenddato].&amp;[2010-07-30T00:00:00]"/>
    <s v="[Dimittenddato].[Dimittenddato].&amp;[2010-07-29T00:00:00]"/>
    <s v="[Dimittenddato].[Dimittenddato].&amp;[2010-07-28T00:00:00]"/>
    <s v="[Dimittenddato].[Dimittenddato].&amp;[2010-07-27T00:00:00]"/>
    <s v="[Dimittenddato].[Dimittenddato].&amp;[2010-07-26T00:00:00]"/>
    <s v="[Dimittenddato].[Dimittenddato].&amp;[2010-07-25T00:00:00]"/>
    <s v="[Dimittenddato].[Dimittenddato].&amp;[2010-07-24T00:00:00]"/>
    <s v="[Dimittenddato].[Dimittenddato].&amp;[2010-07-23T00:00:00]"/>
    <s v="[Dimittenddato].[Dimittenddato].&amp;[2010-07-22T00:00:00]"/>
    <s v="[Dimittenddato].[Dimittenddato].&amp;[2010-07-21T00:00:00]"/>
    <s v="[Dimittenddato].[Dimittenddato].&amp;[2010-07-20T00:00:00]"/>
    <s v="[Dimittenddato].[Dimittenddato].&amp;[2010-07-19T00:00:00]"/>
    <s v="[Dimittenddato].[Dimittenddato].&amp;[2010-07-18T00:00:00]"/>
    <s v="[Dimittenddato].[Dimittenddato].&amp;[2010-07-17T00:00:00]"/>
    <s v="[Dimittenddato].[Dimittenddato].&amp;[2010-07-16T00:00:00]"/>
    <s v="[Dimittenddato].[Dimittenddato].&amp;[2010-07-15T00:00:00]"/>
    <s v="[Dimittenddato].[Dimittenddato].&amp;[2010-07-14T00:00:00]"/>
    <s v="[Dimittenddato].[Dimittenddato].&amp;[2010-07-13T00:00:00]"/>
    <s v="[Dimittenddato].[Dimittenddato].&amp;[2010-07-12T00:00:00]"/>
    <s v="[Dimittenddato].[Dimittenddato].&amp;[2010-07-11T00:00:00]"/>
    <s v="[Dimittenddato].[Dimittenddato].&amp;[2010-07-10T00:00:00]"/>
    <s v="[Dimittenddato].[Dimittenddato].&amp;[2010-07-09T00:00:00]"/>
    <s v="[Dimittenddato].[Dimittenddato].&amp;[2010-07-08T00:00:00]"/>
    <s v="[Dimittenddato].[Dimittenddato].&amp;[2010-07-07T00:00:00]"/>
    <s v="[Dimittenddato].[Dimittenddato].&amp;[2010-07-06T00:00:00]"/>
    <s v="[Dimittenddato].[Dimittenddato].&amp;[2010-07-05T00:00:00]"/>
    <s v="[Dimittenddato].[Dimittenddato].&amp;[2010-07-04T00:00:00]"/>
    <s v="[Dimittenddato].[Dimittenddato].&amp;[2010-07-03T00:00:00]"/>
    <s v="[Dimittenddato].[Dimittenddato].&amp;[2010-07-02T00:00:00]"/>
    <s v="[Dimittenddato].[Dimittenddato].&amp;[2010-07-01T00:00:00]"/>
    <s v="[Dimittenddato].[Dimittenddato].&amp;[2010-06-30T00:00:00]"/>
    <s v="[Dimittenddato].[Dimittenddato].&amp;[2010-06-29T00:00:00]"/>
    <s v="[Dimittenddato].[Dimittenddato].&amp;[2010-06-28T00:00:00]"/>
    <s v="[Dimittenddato].[Dimittenddato].&amp;[2010-06-27T00:00:00]"/>
    <s v="[Dimittenddato].[Dimittenddato].&amp;[2010-06-26T00:00:00]"/>
    <s v="[Dimittenddato].[Dimittenddato].&amp;[2010-06-25T00:00:00]"/>
    <s v="[Dimittenddato].[Dimittenddato].&amp;[2010-06-24T00:00:00]"/>
    <s v="[Dimittenddato].[Dimittenddato].&amp;[2010-06-23T00:00:00]"/>
    <s v="[Dimittenddato].[Dimittenddato].&amp;[2010-06-22T00:00:00]"/>
    <s v="[Dimittenddato].[Dimittenddato].&amp;[2010-06-21T00:00:00]"/>
    <s v="[Dimittenddato].[Dimittenddato].&amp;[2010-06-20T00:00:00]"/>
    <s v="[Dimittenddato].[Dimittenddato].&amp;[2010-06-19T00:00:00]"/>
    <s v="[Dimittenddato].[Dimittenddato].&amp;[2010-06-18T00:00:00]"/>
    <s v="[Dimittenddato].[Dimittenddato].&amp;[2010-06-17T00:00:00]"/>
    <s v="[Dimittenddato].[Dimittenddato].&amp;[2010-06-16T00:00:00]"/>
    <s v="[Dimittenddato].[Dimittenddato].&amp;[2010-06-15T00:00:00]"/>
    <s v="[Dimittenddato].[Dimittenddato].&amp;[2010-06-14T00:00:00]"/>
    <s v="[Dimittenddato].[Dimittenddato].&amp;[2010-06-13T00:00:00]"/>
    <s v="[Dimittenddato].[Dimittenddato].&amp;[2010-06-12T00:00:00]"/>
    <s v="[Dimittenddato].[Dimittenddato].&amp;[2010-06-11T00:00:00]"/>
    <s v="[Dimittenddato].[Dimittenddato].&amp;[2010-06-10T00:00:00]"/>
    <s v="[Dimittenddato].[Dimittenddato].&amp;[2010-06-09T00:00:00]"/>
    <s v="[Dimittenddato].[Dimittenddato].&amp;[2010-06-08T00:00:00]"/>
    <s v="[Dimittenddato].[Dimittenddato].&amp;[2010-06-07T00:00:00]"/>
    <s v="[Dimittenddato].[Dimittenddato].&amp;[2010-06-06T00:00:00]"/>
    <s v="[Dimittenddato].[Dimittenddato].&amp;[2010-06-05T00:00:00]"/>
    <s v="[Dimittenddato].[Dimittenddato].&amp;[2010-06-04T00:00:00]"/>
    <s v="[Dimittenddato].[Dimittenddato].&amp;[2010-06-03T00:00:00]"/>
    <s v="[Dimittenddato].[Dimittenddato].&amp;[2010-06-02T00:00:00]"/>
    <s v="[Dimittenddato].[Dimittenddato].&amp;[2010-06-01T00:00:00]"/>
    <s v="[Dimittenddato].[Dimittenddato].&amp;[2009-08-31T00:00:00]"/>
    <s v="[Dimittenddato].[Dimittenddato].&amp;[2009-08-30T00:00:00]"/>
    <s v="[Dimittenddato].[Dimittenddato].&amp;[2009-08-29T00:00:00]"/>
    <s v="[Dimittenddato].[Dimittenddato].&amp;[2009-08-28T00:00:00]"/>
    <s v="[Dimittenddato].[Dimittenddato].&amp;[2009-08-27T00:00:00]"/>
    <s v="[Dimittenddato].[Dimittenddato].&amp;[2009-08-26T00:00:00]"/>
    <s v="[Dimittenddato].[Dimittenddato].&amp;[2009-08-25T00:00:00]"/>
    <s v="[Dimittenddato].[Dimittenddato].&amp;[2009-08-24T00:00:00]"/>
    <s v="[Dimittenddato].[Dimittenddato].&amp;[2009-08-23T00:00:00]"/>
    <s v="[Dimittenddato].[Dimittenddato].&amp;[2009-08-22T00:00:00]"/>
    <s v="[Dimittenddato].[Dimittenddato].&amp;[2009-08-21T00:00:00]"/>
    <s v="[Dimittenddato].[Dimittenddato].&amp;[2009-08-20T00:00:00]"/>
    <s v="[Dimittenddato].[Dimittenddato].&amp;[2009-08-19T00:00:00]"/>
    <s v="[Dimittenddato].[Dimittenddato].&amp;[2009-08-18T00:00:00]"/>
    <s v="[Dimittenddato].[Dimittenddato].&amp;[2009-08-17T00:00:00]"/>
    <s v="[Dimittenddato].[Dimittenddato].&amp;[2009-08-16T00:00:00]"/>
    <s v="[Dimittenddato].[Dimittenddato].&amp;[2009-08-15T00:00:00]"/>
    <s v="[Dimittenddato].[Dimittenddato].&amp;[2009-08-14T00:00:00]"/>
    <s v="[Dimittenddato].[Dimittenddato].&amp;[2009-08-13T00:00:00]"/>
    <s v="[Dimittenddato].[Dimittenddato].&amp;[2009-08-12T00:00:00]"/>
    <s v="[Dimittenddato].[Dimittenddato].&amp;[2009-08-11T00:00:00]"/>
    <s v="[Dimittenddato].[Dimittenddato].&amp;[2009-08-10T00:00:00]"/>
    <s v="[Dimittenddato].[Dimittenddato].&amp;[2009-08-09T00:00:00]"/>
    <s v="[Dimittenddato].[Dimittenddato].&amp;[2009-08-08T00:00:00]"/>
    <s v="[Dimittenddato].[Dimittenddato].&amp;[2009-08-07T00:00:00]"/>
    <s v="[Dimittenddato].[Dimittenddato].&amp;[2009-08-06T00:00:00]"/>
    <s v="[Dimittenddato].[Dimittenddato].&amp;[2009-08-05T00:00:00]"/>
    <s v="[Dimittenddato].[Dimittenddato].&amp;[2009-08-04T00:00:00]"/>
    <s v="[Dimittenddato].[Dimittenddato].&amp;[2009-08-03T00:00:00]"/>
    <s v="[Dimittenddato].[Dimittenddato].&amp;[2009-08-02T00:00:00]"/>
    <s v="[Dimittenddato].[Dimittenddato].&amp;[2009-08-01T00:00:00]"/>
    <s v="[Dimittenddato].[Dimittenddato].&amp;[2009-07-31T00:00:00]"/>
    <s v="[Dimittenddato].[Dimittenddato].&amp;[2009-07-30T00:00:00]"/>
    <s v="[Dimittenddato].[Dimittenddato].&amp;[2009-07-29T00:00:00]"/>
    <s v="[Dimittenddato].[Dimittenddato].&amp;[2009-07-28T00:00:00]"/>
    <s v="[Dimittenddato].[Dimittenddato].&amp;[2009-07-27T00:00:00]"/>
    <s v="[Dimittenddato].[Dimittenddato].&amp;[2009-07-26T00:00:00]"/>
    <s v="[Dimittenddato].[Dimittenddato].&amp;[2009-07-25T00:00:00]"/>
    <s v="[Dimittenddato].[Dimittenddato].&amp;[2009-07-24T00:00:00]"/>
    <s v="[Dimittenddato].[Dimittenddato].&amp;[2009-07-23T00:00:00]"/>
    <s v="[Dimittenddato].[Dimittenddato].&amp;[2009-07-22T00:00:00]"/>
    <s v="[Dimittenddato].[Dimittenddato].&amp;[2009-07-21T00:00:00]"/>
    <s v="[Dimittenddato].[Dimittenddato].&amp;[2009-07-20T00:00:00]"/>
    <s v="[Dimittenddato].[Dimittenddato].&amp;[2009-07-19T00:00:00]"/>
    <s v="[Dimittenddato].[Dimittenddato].&amp;[2009-07-18T00:00:00]"/>
    <s v="[Dimittenddato].[Dimittenddato].&amp;[2009-07-17T00:00:00]"/>
    <s v="[Dimittenddato].[Dimittenddato].&amp;[2009-07-16T00:00:00]"/>
    <s v="[Dimittenddato].[Dimittenddato].&amp;[2009-07-15T00:00:00]"/>
    <s v="[Dimittenddato].[Dimittenddato].&amp;[2009-07-14T00:00:00]"/>
    <s v="[Dimittenddato].[Dimittenddato].&amp;[2009-07-13T00:00:00]"/>
    <s v="[Dimittenddato].[Dimittenddato].&amp;[2009-07-12T00:00:00]"/>
    <s v="[Dimittenddato].[Dimittenddato].&amp;[2009-07-11T00:00:00]"/>
    <s v="[Dimittenddato].[Dimittenddato].&amp;[2009-07-10T00:00:00]"/>
    <s v="[Dimittenddato].[Dimittenddato].&amp;[2009-07-09T00:00:00]"/>
    <s v="[Dimittenddato].[Dimittenddato].&amp;[2009-07-08T00:00:00]"/>
    <s v="[Dimittenddato].[Dimittenddato].&amp;[2009-07-07T00:00:00]"/>
    <s v="[Dimittenddato].[Dimittenddato].&amp;[2009-07-06T00:00:00]"/>
    <s v="[Dimittenddato].[Dimittenddato].&amp;[2009-07-05T00:00:00]"/>
    <s v="[Dimittenddato].[Dimittenddato].&amp;[2009-07-04T00:00:00]"/>
    <s v="[Dimittenddato].[Dimittenddato].&amp;[2009-07-03T00:00:00]"/>
    <s v="[Dimittenddato].[Dimittenddato].&amp;[2009-07-02T00:00:00]"/>
    <s v="[Dimittenddato].[Dimittenddato].&amp;[2009-07-01T00:00:00]"/>
    <s v="[Dimittenddato].[Dimittenddato].&amp;[2009-06-30T00:00:00]"/>
    <s v="[Dimittenddato].[Dimittenddato].&amp;[2009-06-29T00:00:00]"/>
    <s v="[Dimittenddato].[Dimittenddato].&amp;[2009-06-28T00:00:00]"/>
    <s v="[Dimittenddato].[Dimittenddato].&amp;[2009-06-27T00:00:00]"/>
    <s v="[Dimittenddato].[Dimittenddato].&amp;[2009-06-26T00:00:00]"/>
    <s v="[Dimittenddato].[Dimittenddato].&amp;[2009-06-25T00:00:00]"/>
    <s v="[Dimittenddato].[Dimittenddato].&amp;[2009-06-24T00:00:00]"/>
    <s v="[Dimittenddato].[Dimittenddato].&amp;[2009-06-23T00:00:00]"/>
    <s v="[Dimittenddato].[Dimittenddato].&amp;[2009-06-22T00:00:00]"/>
    <s v="[Dimittenddato].[Dimittenddato].&amp;[2009-06-21T00:00:00]"/>
    <s v="[Dimittenddato].[Dimittenddato].&amp;[2009-06-20T00:00:00]"/>
    <s v="[Dimittenddato].[Dimittenddato].&amp;[2009-06-19T00:00:00]"/>
    <s v="[Dimittenddato].[Dimittenddato].&amp;[2009-06-18T00:00:00]"/>
    <s v="[Dimittenddato].[Dimittenddato].&amp;[2009-06-17T00:00:00]"/>
    <s v="[Dimittenddato].[Dimittenddato].&amp;[2009-06-16T00:00:00]"/>
    <s v="[Dimittenddato].[Dimittenddato].&amp;[2009-06-15T00:00:00]"/>
    <s v="[Dimittenddato].[Dimittenddato].&amp;[2009-06-14T00:00:00]"/>
    <s v="[Dimittenddato].[Dimittenddato].&amp;[2009-06-13T00:00:00]"/>
    <s v="[Dimittenddato].[Dimittenddato].&amp;[2009-06-12T00:00:00]"/>
    <s v="[Dimittenddato].[Dimittenddato].&amp;[2009-06-11T00:00:00]"/>
    <s v="[Dimittenddato].[Dimittenddato].&amp;[2009-06-10T00:00:00]"/>
    <s v="[Dimittenddato].[Dimittenddato].&amp;[2009-06-09T00:00:00]"/>
    <s v="[Dimittenddato].[Dimittenddato].&amp;[2009-06-08T00:00:00]"/>
    <s v="[Dimittenddato].[Dimittenddato].&amp;[2009-06-07T00:00:00]"/>
    <s v="[Dimittenddato].[Dimittenddato].&amp;[2009-06-06T00:00:00]"/>
    <s v="[Dimittenddato].[Dimittenddato].&amp;[2009-06-05T00:00:00]"/>
    <s v="[Dimittenddato].[Dimittenddato].&amp;[2009-06-04T00:00:00]"/>
    <s v="[Dimittenddato].[Dimittenddato].&amp;[2009-06-03T00:00:00]"/>
    <s v="[Dimittenddato].[Dimittenddato].&amp;[2009-06-02T00:00:00]"/>
    <s v="[Dimittenddato].[Dimittenddato].&amp;[2009-06-01T00:00:00]"/>
    <s v="[Dimittenddato].[Dimittenddato].&amp;[2008-08-31T00:00:00]"/>
    <s v="[Dimittenddato].[Dimittenddato].&amp;[2008-08-30T00:00:00]"/>
    <s v="[Dimittenddato].[Dimittenddato].&amp;[2008-08-29T00:00:00]"/>
    <s v="[Dimittenddato].[Dimittenddato].&amp;[2008-08-28T00:00:00]"/>
    <s v="[Dimittenddato].[Dimittenddato].&amp;[2008-08-27T00:00:00]"/>
    <s v="[Dimittenddato].[Dimittenddato].&amp;[2008-08-26T00:00:00]"/>
    <s v="[Dimittenddato].[Dimittenddato].&amp;[2008-08-25T00:00:00]"/>
    <s v="[Dimittenddato].[Dimittenddato].&amp;[2008-08-24T00:00:00]"/>
    <s v="[Dimittenddato].[Dimittenddato].&amp;[2008-08-23T00:00:00]"/>
    <s v="[Dimittenddato].[Dimittenddato].&amp;[2008-08-22T00:00:00]"/>
    <s v="[Dimittenddato].[Dimittenddato].&amp;[2008-08-21T00:00:00]"/>
    <s v="[Dimittenddato].[Dimittenddato].&amp;[2008-08-20T00:00:00]"/>
    <s v="[Dimittenddato].[Dimittenddato].&amp;[2008-08-19T00:00:00]"/>
    <s v="[Dimittenddato].[Dimittenddato].&amp;[2008-08-18T00:00:00]"/>
    <s v="[Dimittenddato].[Dimittenddato].&amp;[2008-08-17T00:00:00]"/>
    <s v="[Dimittenddato].[Dimittenddato].&amp;[2008-08-16T00:00:00]"/>
    <s v="[Dimittenddato].[Dimittenddato].&amp;[2008-08-15T00:00:00]"/>
    <s v="[Dimittenddato].[Dimittenddato].&amp;[2008-08-14T00:00:00]"/>
    <s v="[Dimittenddato].[Dimittenddato].&amp;[2008-08-13T00:00:00]"/>
    <s v="[Dimittenddato].[Dimittenddato].&amp;[2008-08-12T00:00:00]"/>
    <s v="[Dimittenddato].[Dimittenddato].&amp;[2008-08-11T00:00:00]"/>
    <s v="[Dimittenddato].[Dimittenddato].&amp;[2008-08-10T00:00:00]"/>
    <s v="[Dimittenddato].[Dimittenddato].&amp;[2008-08-09T00:00:00]"/>
    <s v="[Dimittenddato].[Dimittenddato].&amp;[2008-08-08T00:00:00]"/>
    <s v="[Dimittenddato].[Dimittenddato].&amp;[2008-08-07T00:00:00]"/>
    <s v="[Dimittenddato].[Dimittenddato].&amp;[2008-08-06T00:00:00]"/>
    <s v="[Dimittenddato].[Dimittenddato].&amp;[2008-08-05T00:00:00]"/>
    <s v="[Dimittenddato].[Dimittenddato].&amp;[2008-08-04T00:00:00]"/>
    <s v="[Dimittenddato].[Dimittenddato].&amp;[2008-08-03T00:00:00]"/>
    <s v="[Dimittenddato].[Dimittenddato].&amp;[2008-08-02T00:00:00]"/>
    <s v="[Dimittenddato].[Dimittenddato].&amp;[2008-08-01T00:00:00]"/>
    <s v="[Dimittenddato].[Dimittenddato].&amp;[2008-07-31T00:00:00]"/>
    <s v="[Dimittenddato].[Dimittenddato].&amp;[2008-07-30T00:00:00]"/>
    <s v="[Dimittenddato].[Dimittenddato].&amp;[2008-07-29T00:00:00]"/>
    <s v="[Dimittenddato].[Dimittenddato].&amp;[2008-07-28T00:00:00]"/>
    <s v="[Dimittenddato].[Dimittenddato].&amp;[2008-07-27T00:00:00]"/>
    <s v="[Dimittenddato].[Dimittenddato].&amp;[2008-07-26T00:00:00]"/>
    <s v="[Dimittenddato].[Dimittenddato].&amp;[2008-07-25T00:00:00]"/>
    <s v="[Dimittenddato].[Dimittenddato].&amp;[2008-07-24T00:00:00]"/>
    <s v="[Dimittenddato].[Dimittenddato].&amp;[2008-07-23T00:00:00]"/>
    <s v="[Dimittenddato].[Dimittenddato].&amp;[2008-07-22T00:00:00]"/>
    <s v="[Dimittenddato].[Dimittenddato].&amp;[2008-07-21T00:00:00]"/>
    <s v="[Dimittenddato].[Dimittenddato].&amp;[2008-07-20T00:00:00]"/>
    <s v="[Dimittenddato].[Dimittenddato].&amp;[2008-07-19T00:00:00]"/>
    <s v="[Dimittenddato].[Dimittenddato].&amp;[2008-07-18T00:00:00]"/>
    <s v="[Dimittenddato].[Dimittenddato].&amp;[2008-07-17T00:00:00]"/>
    <s v="[Dimittenddato].[Dimittenddato].&amp;[2008-07-16T00:00:00]"/>
    <s v="[Dimittenddato].[Dimittenddato].&amp;[2008-07-15T00:00:00]"/>
    <s v="[Dimittenddato].[Dimittenddato].&amp;[2008-07-14T00:00:00]"/>
    <s v="[Dimittenddato].[Dimittenddato].&amp;[2008-07-13T00:00:00]"/>
    <s v="[Dimittenddato].[Dimittenddato].&amp;[2008-07-12T00:00:00]"/>
    <s v="[Dimittenddato].[Dimittenddato].&amp;[2008-07-11T00:00:00]"/>
    <s v="[Dimittenddato].[Dimittenddato].&amp;[2008-07-10T00:00:00]"/>
    <s v="[Dimittenddato].[Dimittenddato].&amp;[2008-07-09T00:00:00]"/>
    <s v="[Dimittenddato].[Dimittenddato].&amp;[2008-07-08T00:00:00]"/>
    <s v="[Dimittenddato].[Dimittenddato].&amp;[2008-07-07T00:00:00]"/>
    <s v="[Dimittenddato].[Dimittenddato].&amp;[2008-07-06T00:00:00]"/>
    <s v="[Dimittenddato].[Dimittenddato].&amp;[2008-07-05T00:00:00]"/>
    <s v="[Dimittenddato].[Dimittenddato].&amp;[2008-07-04T00:00:00]"/>
    <s v="[Dimittenddato].[Dimittenddato].&amp;[2008-07-03T00:00:00]"/>
    <s v="[Dimittenddato].[Dimittenddato].&amp;[2008-07-02T00:00:00]"/>
    <s v="[Dimittenddato].[Dimittenddato].&amp;[2008-07-01T00:00:00]"/>
    <s v="[Dimittenddato].[Dimittenddato].&amp;[2008-06-30T00:00:00]"/>
    <s v="[Dimittenddato].[Dimittenddato].&amp;[2008-06-29T00:00:00]"/>
    <s v="[Dimittenddato].[Dimittenddato].&amp;[2008-06-28T00:00:00]"/>
    <s v="[Dimittenddato].[Dimittenddato].&amp;[2008-06-27T00:00:00]"/>
    <s v="[Dimittenddato].[Dimittenddato].&amp;[2008-06-26T00:00:00]"/>
    <s v="[Dimittenddato].[Dimittenddato].&amp;[2008-06-25T00:00:00]"/>
    <s v="[Dimittenddato].[Dimittenddato].&amp;[2008-06-24T00:00:00]"/>
    <s v="[Dimittenddato].[Dimittenddato].&amp;[2008-06-23T00:00:00]"/>
    <s v="[Dimittenddato].[Dimittenddato].&amp;[2008-06-22T00:00:00]"/>
    <s v="[Dimittenddato].[Dimittenddato].&amp;[2008-06-21T00:00:00]"/>
    <s v="[Dimittenddato].[Dimittenddato].&amp;[2008-06-20T00:00:00]"/>
    <s v="[Dimittenddato].[Dimittenddato].&amp;[2008-06-19T00:00:00]"/>
    <s v="[Dimittenddato].[Dimittenddato].&amp;[2008-06-18T00:00:00]"/>
    <s v="[Dimittenddato].[Dimittenddato].&amp;[2008-06-17T00:00:00]"/>
    <s v="[Dimittenddato].[Dimittenddato].&amp;[2008-06-16T00:00:00]"/>
    <s v="[Dimittenddato].[Dimittenddato].&amp;[2008-06-15T00:00:00]"/>
    <s v="[Dimittenddato].[Dimittenddato].&amp;[2008-06-14T00:00:00]"/>
    <s v="[Dimittenddato].[Dimittenddato].&amp;[2008-06-13T00:00:00]"/>
    <s v="[Dimittenddato].[Dimittenddato].&amp;[2008-06-12T00:00:00]"/>
    <s v="[Dimittenddato].[Dimittenddato].&amp;[2008-06-11T00:00:00]"/>
    <s v="[Dimittenddato].[Dimittenddato].&amp;[2008-06-10T00:00:00]"/>
    <s v="[Dimittenddato].[Dimittenddato].&amp;[2008-06-09T00:00:00]"/>
    <s v="[Dimittenddato].[Dimittenddato].&amp;[2008-06-08T00:00:00]"/>
    <s v="[Dimittenddato].[Dimittenddato].&amp;[2008-06-07T00:00:00]"/>
    <s v="[Dimittenddato].[Dimittenddato].&amp;[2008-06-06T00:00:00]"/>
    <s v="[Dimittenddato].[Dimittenddato].&amp;[2008-06-05T00:00:00]"/>
    <s v="[Dimittenddato].[Dimittenddato].&amp;[2008-06-04T00:00:00]"/>
    <s v="[Dimittenddato].[Dimittenddato].&amp;[2008-06-03T00:00:00]"/>
    <s v="[Dimittenddato].[Dimittenddato].&amp;[2008-06-02T00:00:00]"/>
    <s v="[Dimittenddato].[Dimittenddato].&amp;[2008-06-01T00:00:00]"/>
    <s v="[Dimittenddato].[Dimittenddato].&amp;[2007-08-31T00:00:00]"/>
    <s v="[Dimittenddato].[Dimittenddato].&amp;[2007-08-30T00:00:00]"/>
    <s v="[Dimittenddato].[Dimittenddato].&amp;[2007-08-29T00:00:00]"/>
    <s v="[Dimittenddato].[Dimittenddato].&amp;[2007-08-28T00:00:00]"/>
    <s v="[Dimittenddato].[Dimittenddato].&amp;[2007-08-27T00:00:00]"/>
    <s v="[Dimittenddato].[Dimittenddato].&amp;[2007-08-26T00:00:00]"/>
    <s v="[Dimittenddato].[Dimittenddato].&amp;[2007-08-25T00:00:00]"/>
    <s v="[Dimittenddato].[Dimittenddato].&amp;[2007-08-24T00:00:00]"/>
    <s v="[Dimittenddato].[Dimittenddato].&amp;[2007-08-23T00:00:00]"/>
    <s v="[Dimittenddato].[Dimittenddato].&amp;[2007-08-22T00:00:00]"/>
    <s v="[Dimittenddato].[Dimittenddato].&amp;[2007-08-21T00:00:00]"/>
    <s v="[Dimittenddato].[Dimittenddato].&amp;[2007-08-20T00:00:00]"/>
    <s v="[Dimittenddato].[Dimittenddato].&amp;[2007-08-19T00:00:00]"/>
    <s v="[Dimittenddato].[Dimittenddato].&amp;[2007-08-18T00:00:00]"/>
    <s v="[Dimittenddato].[Dimittenddato].&amp;[2007-08-17T00:00:00]"/>
    <s v="[Dimittenddato].[Dimittenddato].&amp;[2007-08-16T00:00:00]"/>
    <s v="[Dimittenddato].[Dimittenddato].&amp;[2007-08-15T00:00:00]"/>
    <s v="[Dimittenddato].[Dimittenddato].&amp;[2007-08-14T00:00:00]"/>
    <s v="[Dimittenddato].[Dimittenddato].&amp;[2007-08-13T00:00:00]"/>
    <s v="[Dimittenddato].[Dimittenddato].&amp;[2007-08-12T00:00:00]"/>
    <s v="[Dimittenddato].[Dimittenddato].&amp;[2007-08-11T00:00:00]"/>
    <s v="[Dimittenddato].[Dimittenddato].&amp;[2007-08-10T00:00:00]"/>
    <s v="[Dimittenddato].[Dimittenddato].&amp;[2007-08-09T00:00:00]"/>
    <s v="[Dimittenddato].[Dimittenddato].&amp;[2007-08-08T00:00:00]"/>
    <s v="[Dimittenddato].[Dimittenddato].&amp;[2007-08-07T00:00:00]"/>
    <s v="[Dimittenddato].[Dimittenddato].&amp;[2007-08-06T00:00:00]"/>
    <s v="[Dimittenddato].[Dimittenddato].&amp;[2007-08-05T00:00:00]"/>
    <s v="[Dimittenddato].[Dimittenddato].&amp;[2007-08-04T00:00:00]"/>
    <s v="[Dimittenddato].[Dimittenddato].&amp;[2007-08-03T00:00:00]"/>
    <s v="[Dimittenddato].[Dimittenddato].&amp;[2007-08-02T00:00:00]"/>
    <s v="[Dimittenddato].[Dimittenddato].&amp;[2007-08-01T00:00:00]"/>
    <s v="[Dimittenddato].[Dimittenddato].&amp;[2007-07-31T00:00:00]"/>
    <s v="[Dimittenddato].[Dimittenddato].&amp;[2007-07-30T00:00:00]"/>
    <s v="[Dimittenddato].[Dimittenddato].&amp;[2007-07-29T00:00:00]"/>
    <s v="[Dimittenddato].[Dimittenddato].&amp;[2007-07-28T00:00:00]"/>
    <s v="[Dimittenddato].[Dimittenddato].&amp;[2007-07-27T00:00:00]"/>
    <s v="[Dimittenddato].[Dimittenddato].&amp;[2007-07-26T00:00:00]"/>
    <s v="[Dimittenddato].[Dimittenddato].&amp;[2007-07-25T00:00:00]"/>
    <s v="[Dimittenddato].[Dimittenddato].&amp;[2007-07-24T00:00:00]"/>
    <s v="[Dimittenddato].[Dimittenddato].&amp;[2007-07-23T00:00:00]"/>
    <s v="[Dimittenddato].[Dimittenddato].&amp;[2007-07-22T00:00:00]"/>
    <s v="[Dimittenddato].[Dimittenddato].&amp;[2007-07-21T00:00:00]"/>
    <s v="[Dimittenddato].[Dimittenddato].&amp;[2007-07-20T00:00:00]"/>
    <s v="[Dimittenddato].[Dimittenddato].&amp;[2007-07-19T00:00:00]"/>
    <s v="[Dimittenddato].[Dimittenddato].&amp;[2007-07-18T00:00:00]"/>
    <s v="[Dimittenddato].[Dimittenddato].&amp;[2007-07-17T00:00:00]"/>
    <s v="[Dimittenddato].[Dimittenddato].&amp;[2007-07-16T00:00:00]"/>
    <s v="[Dimittenddato].[Dimittenddato].&amp;[2007-07-15T00:00:00]"/>
    <s v="[Dimittenddato].[Dimittenddato].&amp;[2007-07-14T00:00:00]"/>
    <s v="[Dimittenddato].[Dimittenddato].&amp;[2007-07-13T00:00:00]"/>
    <s v="[Dimittenddato].[Dimittenddato].&amp;[2007-07-12T00:00:00]"/>
    <s v="[Dimittenddato].[Dimittenddato].&amp;[2007-07-11T00:00:00]"/>
    <s v="[Dimittenddato].[Dimittenddato].&amp;[2007-07-10T00:00:00]"/>
    <s v="[Dimittenddato].[Dimittenddato].&amp;[2007-07-09T00:00:00]"/>
    <s v="[Dimittenddato].[Dimittenddato].&amp;[2007-07-08T00:00:00]"/>
    <s v="[Dimittenddato].[Dimittenddato].&amp;[2007-07-07T00:00:00]"/>
    <s v="[Dimittenddato].[Dimittenddato].&amp;[2007-07-06T00:00:00]"/>
    <s v="[Dimittenddato].[Dimittenddato].&amp;[2007-07-05T00:00:00]"/>
    <s v="[Dimittenddato].[Dimittenddato].&amp;[2007-07-04T00:00:00]"/>
    <s v="[Dimittenddato].[Dimittenddato].&amp;[2007-07-03T00:00:00]"/>
    <s v="[Dimittenddato].[Dimittenddato].&amp;[2007-07-02T00:00:00]"/>
    <s v="[Dimittenddato].[Dimittenddato].&amp;[2007-07-01T00:00:00]"/>
    <s v="[Dimittenddato].[Dimittenddato].&amp;[2007-06-30T00:00:00]"/>
    <s v="[Dimittenddato].[Dimittenddato].&amp;[2007-06-29T00:00:00]"/>
    <s v="[Dimittenddato].[Dimittenddato].&amp;[2007-06-28T00:00:00]"/>
    <s v="[Dimittenddato].[Dimittenddato].&amp;[2007-06-27T00:00:00]"/>
    <s v="[Dimittenddato].[Dimittenddato].&amp;[2007-06-26T00:00:00]"/>
    <s v="[Dimittenddato].[Dimittenddato].&amp;[2007-06-25T00:00:00]"/>
    <s v="[Dimittenddato].[Dimittenddato].&amp;[2007-06-24T00:00:00]"/>
    <s v="[Dimittenddato].[Dimittenddato].&amp;[2007-06-23T00:00:00]"/>
    <s v="[Dimittenddato].[Dimittenddato].&amp;[2007-06-22T00:00:00]"/>
    <s v="[Dimittenddato].[Dimittenddato].&amp;[2007-06-21T00:00:00]"/>
    <s v="[Dimittenddato].[Dimittenddato].&amp;[2007-06-20T00:00:00]"/>
    <s v="[Dimittenddato].[Dimittenddato].&amp;[2007-06-19T00:00:00]"/>
    <s v="[Dimittenddato].[Dimittenddato].&amp;[2007-06-18T00:00:00]"/>
    <s v="[Dimittenddato].[Dimittenddato].&amp;[2007-06-17T00:00:00]"/>
    <s v="[Dimittenddato].[Dimittenddato].&amp;[2007-06-16T00:00:00]"/>
    <s v="[Dimittenddato].[Dimittenddato].&amp;[2007-06-15T00:00:00]"/>
    <s v="[Dimittenddato].[Dimittenddato].&amp;[2007-06-14T00:00:00]"/>
    <s v="[Dimittenddato].[Dimittenddato].&amp;[2007-06-13T00:00:00]"/>
    <s v="[Dimittenddato].[Dimittenddato].&amp;[2007-06-12T00:00:00]"/>
    <s v="[Dimittenddato].[Dimittenddato].&amp;[2007-06-11T00:00:00]"/>
    <s v="[Dimittenddato].[Dimittenddato].&amp;[2007-06-10T00:00:00]"/>
    <s v="[Dimittenddato].[Dimittenddato].&amp;[2007-06-09T00:00:00]"/>
    <s v="[Dimittenddato].[Dimittenddato].&amp;[2007-06-08T00:00:00]"/>
    <s v="[Dimittenddato].[Dimittenddato].&amp;[2007-06-07T00:00:00]"/>
    <s v="[Dimittenddato].[Dimittenddato].&amp;[2007-06-06T00:00:00]"/>
    <s v="[Dimittenddato].[Dimittenddato].&amp;[2007-06-05T00:00:00]"/>
    <s v="[Dimittenddato].[Dimittenddato].&amp;[2007-06-04T00:00:00]"/>
    <s v="[Dimittenddato].[Dimittenddato].&amp;[2007-06-03T00:00:00]"/>
    <s v="[Dimittenddato].[Dimittenddato].&amp;[2007-06-02T00:00:00]"/>
    <s v="[Dimittenddato].[Dimittenddato].&amp;[2007-06-01T00:00:00]"/>
    <s v="[Measures].[Sommerdimittender]"/>
    <s v="{[Rapporteringsmåned].[Rapporteringsmåned].&amp;[Jul 2016]}"/>
  </metadataStrings>
  <mdxMetadata count="17213">
    <mdx n="33" f="m">
      <t c="1">
        <n x="14"/>
      </t>
    </mdx>
    <mdx n="33" f="m">
      <t c="1">
        <n x="1"/>
      </t>
    </mdx>
    <mdx n="33" f="m">
      <t c="1">
        <n x="12"/>
      </t>
    </mdx>
    <mdx n="33" f="m">
      <t c="1">
        <n x="3"/>
      </t>
    </mdx>
    <mdx n="33" f="m">
      <t c="1">
        <n x="27"/>
      </t>
    </mdx>
    <mdx n="33" f="m">
      <t c="1">
        <n x="23"/>
      </t>
    </mdx>
    <mdx n="33" f="m">
      <t c="1">
        <n x="31"/>
      </t>
    </mdx>
    <mdx n="33" f="m">
      <t c="1">
        <n x="20"/>
      </t>
    </mdx>
    <mdx n="33" f="m">
      <t c="1">
        <n x="11"/>
      </t>
    </mdx>
    <mdx n="33" f="m">
      <t c="1">
        <n x="2"/>
      </t>
    </mdx>
    <mdx n="33" f="m">
      <t c="1">
        <n x="8"/>
      </t>
    </mdx>
    <mdx n="33" f="m">
      <t c="1">
        <n x="13"/>
      </t>
    </mdx>
    <mdx n="33" f="m">
      <t c="1">
        <n x="25"/>
      </t>
    </mdx>
    <mdx n="33" f="m">
      <t c="1">
        <n x="29"/>
      </t>
    </mdx>
    <mdx n="33" f="m">
      <t c="1">
        <n x="26"/>
      </t>
    </mdx>
    <mdx n="33" f="m">
      <t c="1">
        <n x="5"/>
      </t>
    </mdx>
    <mdx n="33" f="m">
      <t c="1">
        <n x="30"/>
      </t>
    </mdx>
    <mdx n="33" f="m">
      <t c="1">
        <n x="21"/>
      </t>
    </mdx>
    <mdx n="33" f="m">
      <t c="1">
        <n x="0"/>
      </t>
    </mdx>
    <mdx n="33" f="m">
      <t c="1">
        <n x="24"/>
      </t>
    </mdx>
    <mdx n="33" f="m">
      <t c="1">
        <n x="28"/>
      </t>
    </mdx>
    <mdx n="33" f="m">
      <t c="1">
        <n x="17"/>
      </t>
    </mdx>
    <mdx n="33" f="m">
      <t c="1">
        <n x="6"/>
      </t>
    </mdx>
    <mdx n="33" f="m">
      <t c="1">
        <n x="32"/>
      </t>
    </mdx>
    <mdx n="33" f="m">
      <t c="1">
        <n x="22"/>
      </t>
    </mdx>
    <mdx n="33" f="m">
      <t c="1">
        <n x="16"/>
      </t>
    </mdx>
    <mdx n="33" f="m">
      <t c="1">
        <n x="19"/>
      </t>
    </mdx>
    <mdx n="33" f="m">
      <t c="1">
        <n x="18"/>
      </t>
    </mdx>
    <mdx n="33" f="m">
      <t c="1">
        <n x="7"/>
      </t>
    </mdx>
    <mdx n="33" f="m">
      <t c="1">
        <n x="4"/>
      </t>
    </mdx>
    <mdx n="33" f="m">
      <t c="1">
        <n x="34"/>
      </t>
    </mdx>
    <mdx n="33" f="m">
      <t c="1">
        <n x="35"/>
      </t>
    </mdx>
    <mdx n="33" f="m">
      <t c="1">
        <n x="36"/>
      </t>
    </mdx>
    <mdx n="33" f="m">
      <t c="1">
        <n x="37"/>
      </t>
    </mdx>
    <mdx n="33" f="m">
      <t c="1">
        <n x="38"/>
      </t>
    </mdx>
    <mdx n="33" f="m">
      <t c="1">
        <n x="39"/>
      </t>
    </mdx>
    <mdx n="33" f="m">
      <t c="1">
        <n x="40"/>
      </t>
    </mdx>
    <mdx n="33" f="m">
      <t c="1">
        <n x="41"/>
      </t>
    </mdx>
    <mdx n="33" f="m">
      <t c="1">
        <n x="42"/>
      </t>
    </mdx>
    <mdx n="33" f="m">
      <t c="1">
        <n x="43"/>
      </t>
    </mdx>
    <mdx n="33" f="m">
      <t c="1">
        <n x="44"/>
      </t>
    </mdx>
    <mdx n="33" f="m">
      <t c="1">
        <n x="45"/>
      </t>
    </mdx>
    <mdx n="33" f="m">
      <t c="1">
        <n x="46"/>
      </t>
    </mdx>
    <mdx n="33" f="m">
      <t c="1">
        <n x="47"/>
      </t>
    </mdx>
    <mdx n="33" f="m">
      <t c="1">
        <n x="48"/>
      </t>
    </mdx>
    <mdx n="33" f="m">
      <t c="1">
        <n x="49"/>
      </t>
    </mdx>
    <mdx n="33" f="m">
      <t c="1">
        <n x="50"/>
      </t>
    </mdx>
    <mdx n="33" f="m">
      <t c="1">
        <n x="51"/>
      </t>
    </mdx>
    <mdx n="33" f="m">
      <t c="1">
        <n x="52"/>
      </t>
    </mdx>
    <mdx n="33" f="m">
      <t c="1">
        <n x="53"/>
      </t>
    </mdx>
    <mdx n="33" f="m">
      <t c="1">
        <n x="54"/>
      </t>
    </mdx>
    <mdx n="33" f="m">
      <t c="1">
        <n x="55"/>
      </t>
    </mdx>
    <mdx n="33" f="m">
      <t c="1">
        <n x="56"/>
      </t>
    </mdx>
    <mdx n="33" f="m">
      <t c="1">
        <n x="57"/>
      </t>
    </mdx>
    <mdx n="33" f="m">
      <t c="1">
        <n x="58"/>
      </t>
    </mdx>
    <mdx n="33" f="m">
      <t c="1">
        <n x="59"/>
      </t>
    </mdx>
    <mdx n="33" f="m">
      <t c="1">
        <n x="60"/>
      </t>
    </mdx>
    <mdx n="33" f="m">
      <t c="1">
        <n x="61"/>
      </t>
    </mdx>
    <mdx n="33" f="m">
      <t c="1">
        <n x="62"/>
      </t>
    </mdx>
    <mdx n="33" f="m">
      <t c="1">
        <n x="63"/>
      </t>
    </mdx>
    <mdx n="33" f="m">
      <t c="1">
        <n x="64"/>
      </t>
    </mdx>
    <mdx n="33" f="m">
      <t c="1">
        <n x="65"/>
      </t>
    </mdx>
    <mdx n="33" f="m">
      <t c="1">
        <n x="66"/>
      </t>
    </mdx>
    <mdx n="33" f="m">
      <t c="1">
        <n x="67"/>
      </t>
    </mdx>
    <mdx n="33" f="m">
      <t c="1">
        <n x="68"/>
      </t>
    </mdx>
    <mdx n="33" f="m">
      <t c="1">
        <n x="69"/>
      </t>
    </mdx>
    <mdx n="33" f="m">
      <t c="1">
        <n x="70"/>
      </t>
    </mdx>
    <mdx n="33" f="m">
      <t c="1">
        <n x="71"/>
      </t>
    </mdx>
    <mdx n="33" f="m">
      <t c="1">
        <n x="72"/>
      </t>
    </mdx>
    <mdx n="33" f="m">
      <t c="1">
        <n x="73"/>
      </t>
    </mdx>
    <mdx n="33" f="m">
      <t c="1">
        <n x="74"/>
      </t>
    </mdx>
    <mdx n="33" f="m">
      <t c="1">
        <n x="75"/>
      </t>
    </mdx>
    <mdx n="33" f="m">
      <t c="1">
        <n x="76"/>
      </t>
    </mdx>
    <mdx n="33" f="m">
      <t c="1">
        <n x="77"/>
      </t>
    </mdx>
    <mdx n="33" f="m">
      <t c="1">
        <n x="78"/>
      </t>
    </mdx>
    <mdx n="33" f="m">
      <t c="1">
        <n x="79"/>
      </t>
    </mdx>
    <mdx n="33" f="m">
      <t c="1">
        <n x="80"/>
      </t>
    </mdx>
    <mdx n="33" f="m">
      <t c="1">
        <n x="81"/>
      </t>
    </mdx>
    <mdx n="33" f="m">
      <t c="1">
        <n x="82"/>
      </t>
    </mdx>
    <mdx n="33" f="m">
      <t c="1">
        <n x="83"/>
      </t>
    </mdx>
    <mdx n="33" f="m">
      <t c="1">
        <n x="84"/>
      </t>
    </mdx>
    <mdx n="33" f="m">
      <t c="1">
        <n x="85"/>
      </t>
    </mdx>
    <mdx n="33" f="m">
      <t c="1">
        <n x="86"/>
      </t>
    </mdx>
    <mdx n="33" f="m">
      <t c="1">
        <n x="87"/>
      </t>
    </mdx>
    <mdx n="33" f="m">
      <t c="1">
        <n x="88"/>
      </t>
    </mdx>
    <mdx n="33" f="m">
      <t c="1">
        <n x="89"/>
      </t>
    </mdx>
    <mdx n="33" f="m">
      <t c="1">
        <n x="90"/>
      </t>
    </mdx>
    <mdx n="33" f="m">
      <t c="1">
        <n x="91"/>
      </t>
    </mdx>
    <mdx n="33" f="m">
      <t c="1">
        <n x="92"/>
      </t>
    </mdx>
    <mdx n="33" f="m">
      <t c="1">
        <n x="93"/>
      </t>
    </mdx>
    <mdx n="33" f="m">
      <t c="1">
        <n x="94"/>
      </t>
    </mdx>
    <mdx n="33" f="m">
      <t c="1">
        <n x="95"/>
      </t>
    </mdx>
    <mdx n="33" f="m">
      <t c="1">
        <n x="96"/>
      </t>
    </mdx>
    <mdx n="33" f="m">
      <t c="1">
        <n x="97"/>
      </t>
    </mdx>
    <mdx n="33" f="m">
      <t c="1">
        <n x="98"/>
      </t>
    </mdx>
    <mdx n="33" f="m">
      <t c="1">
        <n x="99"/>
      </t>
    </mdx>
    <mdx n="33" f="m">
      <t c="1">
        <n x="100"/>
      </t>
    </mdx>
    <mdx n="33" f="m">
      <t c="1">
        <n x="101"/>
      </t>
    </mdx>
    <mdx n="33" f="m">
      <t c="1">
        <n x="102"/>
      </t>
    </mdx>
    <mdx n="33" f="m">
      <t c="1">
        <n x="103"/>
      </t>
    </mdx>
    <mdx n="33" f="m">
      <t c="1">
        <n x="104"/>
      </t>
    </mdx>
    <mdx n="33" f="m">
      <t c="1">
        <n x="105"/>
      </t>
    </mdx>
    <mdx n="33" f="m">
      <t c="1">
        <n x="106"/>
      </t>
    </mdx>
    <mdx n="33" f="m">
      <t c="1">
        <n x="107"/>
      </t>
    </mdx>
    <mdx n="33" f="m">
      <t c="1">
        <n x="108"/>
      </t>
    </mdx>
    <mdx n="33" f="m">
      <t c="1">
        <n x="109"/>
      </t>
    </mdx>
    <mdx n="33" f="m">
      <t c="1">
        <n x="110"/>
      </t>
    </mdx>
    <mdx n="33" f="m">
      <t c="1">
        <n x="111"/>
      </t>
    </mdx>
    <mdx n="33" f="m">
      <t c="1">
        <n x="112"/>
      </t>
    </mdx>
    <mdx n="33" f="m">
      <t c="1">
        <n x="113"/>
      </t>
    </mdx>
    <mdx n="33" f="m">
      <t c="1">
        <n x="114"/>
      </t>
    </mdx>
    <mdx n="33" f="m">
      <t c="1">
        <n x="115"/>
      </t>
    </mdx>
    <mdx n="33" f="m">
      <t c="1">
        <n x="116"/>
      </t>
    </mdx>
    <mdx n="33" f="m">
      <t c="1">
        <n x="117"/>
      </t>
    </mdx>
    <mdx n="33" f="m">
      <t c="1">
        <n x="118"/>
      </t>
    </mdx>
    <mdx n="33" f="m">
      <t c="1">
        <n x="119"/>
      </t>
    </mdx>
    <mdx n="33" f="m">
      <t c="1">
        <n x="120"/>
      </t>
    </mdx>
    <mdx n="33" f="m">
      <t c="1">
        <n x="121"/>
      </t>
    </mdx>
    <mdx n="33" f="m">
      <t c="1">
        <n x="122"/>
      </t>
    </mdx>
    <mdx n="33" f="m">
      <t c="1">
        <n x="123"/>
      </t>
    </mdx>
    <mdx n="33" f="m">
      <t c="1">
        <n x="124"/>
      </t>
    </mdx>
    <mdx n="33" f="m">
      <t c="1">
        <n x="125"/>
      </t>
    </mdx>
    <mdx n="33" f="m">
      <t c="1">
        <n x="126"/>
      </t>
    </mdx>
    <mdx n="33" f="m">
      <t c="1">
        <n x="127"/>
      </t>
    </mdx>
    <mdx n="33" f="m">
      <t c="1">
        <n x="128"/>
      </t>
    </mdx>
    <mdx n="33" f="m">
      <t c="1">
        <n x="129"/>
      </t>
    </mdx>
    <mdx n="33" f="m">
      <t c="1">
        <n x="130"/>
      </t>
    </mdx>
    <mdx n="33" f="m">
      <t c="1">
        <n x="131"/>
      </t>
    </mdx>
    <mdx n="33" f="m">
      <t c="1">
        <n x="132"/>
      </t>
    </mdx>
    <mdx n="33" f="m">
      <t c="1">
        <n x="133"/>
      </t>
    </mdx>
    <mdx n="33" f="m">
      <t c="1">
        <n x="134"/>
      </t>
    </mdx>
    <mdx n="33" f="m">
      <t c="1">
        <n x="135"/>
      </t>
    </mdx>
    <mdx n="33" f="m">
      <t c="1">
        <n x="136"/>
      </t>
    </mdx>
    <mdx n="33" f="m">
      <t c="1">
        <n x="137"/>
      </t>
    </mdx>
    <mdx n="33" f="m">
      <t c="1">
        <n x="138"/>
      </t>
    </mdx>
    <mdx n="33" f="m">
      <t c="1">
        <n x="139"/>
      </t>
    </mdx>
    <mdx n="33" f="m">
      <t c="1">
        <n x="140"/>
      </t>
    </mdx>
    <mdx n="33" f="m">
      <t c="1">
        <n x="141"/>
      </t>
    </mdx>
    <mdx n="33" f="m">
      <t c="1">
        <n x="142"/>
      </t>
    </mdx>
    <mdx n="33" f="m">
      <t c="1">
        <n x="143"/>
      </t>
    </mdx>
    <mdx n="33" f="m">
      <t c="1">
        <n x="144"/>
      </t>
    </mdx>
    <mdx n="33" f="m">
      <t c="1">
        <n x="145"/>
      </t>
    </mdx>
    <mdx n="33" f="m">
      <t c="1">
        <n x="146"/>
      </t>
    </mdx>
    <mdx n="33" f="m">
      <t c="1">
        <n x="147"/>
      </t>
    </mdx>
    <mdx n="33" f="m">
      <t c="1">
        <n x="148"/>
      </t>
    </mdx>
    <mdx n="33" f="m">
      <t c="1">
        <n x="149"/>
      </t>
    </mdx>
    <mdx n="33" f="m">
      <t c="1">
        <n x="150"/>
      </t>
    </mdx>
    <mdx n="33" f="m">
      <t c="1">
        <n x="151"/>
      </t>
    </mdx>
    <mdx n="33" f="m">
      <t c="1">
        <n x="152"/>
      </t>
    </mdx>
    <mdx n="33" f="m">
      <t c="1">
        <n x="153"/>
      </t>
    </mdx>
    <mdx n="33" f="m">
      <t c="1">
        <n x="154"/>
      </t>
    </mdx>
    <mdx n="33" f="m">
      <t c="1">
        <n x="155"/>
      </t>
    </mdx>
    <mdx n="33" f="m">
      <t c="1">
        <n x="156"/>
      </t>
    </mdx>
    <mdx n="33" f="m">
      <t c="1">
        <n x="157"/>
      </t>
    </mdx>
    <mdx n="33" f="m">
      <t c="1">
        <n x="158"/>
      </t>
    </mdx>
    <mdx n="33" f="m">
      <t c="1">
        <n x="159"/>
      </t>
    </mdx>
    <mdx n="33" f="m">
      <t c="1">
        <n x="160"/>
      </t>
    </mdx>
    <mdx n="33" f="m">
      <t c="1">
        <n x="161"/>
      </t>
    </mdx>
    <mdx n="33" f="m">
      <t c="1">
        <n x="162"/>
      </t>
    </mdx>
    <mdx n="33" f="m">
      <t c="1">
        <n x="163"/>
      </t>
    </mdx>
    <mdx n="33" f="m">
      <t c="1">
        <n x="164"/>
      </t>
    </mdx>
    <mdx n="33" f="m">
      <t c="1">
        <n x="165"/>
      </t>
    </mdx>
    <mdx n="33" f="m">
      <t c="1">
        <n x="166"/>
      </t>
    </mdx>
    <mdx n="33" f="m">
      <t c="1">
        <n x="167"/>
      </t>
    </mdx>
    <mdx n="33" f="m">
      <t c="1">
        <n x="168"/>
      </t>
    </mdx>
    <mdx n="33" f="m">
      <t c="1">
        <n x="169"/>
      </t>
    </mdx>
    <mdx n="33" f="m">
      <t c="1">
        <n x="170"/>
      </t>
    </mdx>
    <mdx n="33" f="m">
      <t c="1">
        <n x="171"/>
      </t>
    </mdx>
    <mdx n="33" f="m">
      <t c="1">
        <n x="172"/>
      </t>
    </mdx>
    <mdx n="33" f="m">
      <t c="1">
        <n x="173"/>
      </t>
    </mdx>
    <mdx n="33" f="m">
      <t c="1">
        <n x="174"/>
      </t>
    </mdx>
    <mdx n="33" f="m">
      <t c="1">
        <n x="175"/>
      </t>
    </mdx>
    <mdx n="33" f="m">
      <t c="1">
        <n x="176"/>
      </t>
    </mdx>
    <mdx n="33" f="m">
      <t c="1">
        <n x="177"/>
      </t>
    </mdx>
    <mdx n="33" f="m">
      <t c="1">
        <n x="178"/>
      </t>
    </mdx>
    <mdx n="33" f="m">
      <t c="1">
        <n x="179"/>
      </t>
    </mdx>
    <mdx n="33" f="m">
      <t c="1">
        <n x="180"/>
      </t>
    </mdx>
    <mdx n="33" f="m">
      <t c="1">
        <n x="181"/>
      </t>
    </mdx>
    <mdx n="33" f="m">
      <t c="1">
        <n x="182"/>
      </t>
    </mdx>
    <mdx n="33" f="m">
      <t c="1">
        <n x="183"/>
      </t>
    </mdx>
    <mdx n="33" f="m">
      <t c="1">
        <n x="184"/>
      </t>
    </mdx>
    <mdx n="33" f="m">
      <t c="1">
        <n x="185"/>
      </t>
    </mdx>
    <mdx n="33" f="m">
      <t c="1">
        <n x="186"/>
      </t>
    </mdx>
    <mdx n="33" f="m">
      <t c="1">
        <n x="187"/>
      </t>
    </mdx>
    <mdx n="33" f="m">
      <t c="1">
        <n x="188"/>
      </t>
    </mdx>
    <mdx n="33" f="m">
      <t c="1">
        <n x="189"/>
      </t>
    </mdx>
    <mdx n="33" f="m">
      <t c="1">
        <n x="190"/>
      </t>
    </mdx>
    <mdx n="33" f="m">
      <t c="1">
        <n x="191"/>
      </t>
    </mdx>
    <mdx n="33" f="m">
      <t c="1">
        <n x="192"/>
      </t>
    </mdx>
    <mdx n="33" f="m">
      <t c="1">
        <n x="193"/>
      </t>
    </mdx>
    <mdx n="33" f="m">
      <t c="1">
        <n x="194"/>
      </t>
    </mdx>
    <mdx n="33" f="m">
      <t c="1">
        <n x="195"/>
      </t>
    </mdx>
    <mdx n="33" f="m">
      <t c="1">
        <n x="196"/>
      </t>
    </mdx>
    <mdx n="33" f="m">
      <t c="1">
        <n x="197"/>
      </t>
    </mdx>
    <mdx n="33" f="m">
      <t c="1">
        <n x="198"/>
      </t>
    </mdx>
    <mdx n="33" f="m">
      <t c="1">
        <n x="199"/>
      </t>
    </mdx>
    <mdx n="33" f="m">
      <t c="1">
        <n x="200"/>
      </t>
    </mdx>
    <mdx n="33" f="m">
      <t c="1">
        <n x="201"/>
      </t>
    </mdx>
    <mdx n="33" f="m">
      <t c="1">
        <n x="202"/>
      </t>
    </mdx>
    <mdx n="33" f="m">
      <t c="1">
        <n x="203"/>
      </t>
    </mdx>
    <mdx n="33" f="m">
      <t c="1">
        <n x="204"/>
      </t>
    </mdx>
    <mdx n="33" f="m">
      <t c="1">
        <n x="205"/>
      </t>
    </mdx>
    <mdx n="33" f="m">
      <t c="1">
        <n x="206"/>
      </t>
    </mdx>
    <mdx n="33" f="m">
      <t c="1">
        <n x="207"/>
      </t>
    </mdx>
    <mdx n="33" f="m">
      <t c="1">
        <n x="208"/>
      </t>
    </mdx>
    <mdx n="33" f="m">
      <t c="1">
        <n x="209"/>
      </t>
    </mdx>
    <mdx n="33" f="m">
      <t c="1">
        <n x="210"/>
      </t>
    </mdx>
    <mdx n="33" f="m">
      <t c="1">
        <n x="211"/>
      </t>
    </mdx>
    <mdx n="33" f="m">
      <t c="1">
        <n x="212"/>
      </t>
    </mdx>
    <mdx n="33" f="m">
      <t c="1">
        <n x="213"/>
      </t>
    </mdx>
    <mdx n="33" f="m">
      <t c="1">
        <n x="214"/>
      </t>
    </mdx>
    <mdx n="33" f="m">
      <t c="1">
        <n x="215"/>
      </t>
    </mdx>
    <mdx n="33" f="m">
      <t c="1">
        <n x="216"/>
      </t>
    </mdx>
    <mdx n="33" f="m">
      <t c="1">
        <n x="217"/>
      </t>
    </mdx>
    <mdx n="33" f="m">
      <t c="1">
        <n x="218"/>
      </t>
    </mdx>
    <mdx n="33" f="m">
      <t c="1">
        <n x="219"/>
      </t>
    </mdx>
    <mdx n="33" f="m">
      <t c="1">
        <n x="220"/>
      </t>
    </mdx>
    <mdx n="33" f="m">
      <t c="1">
        <n x="221"/>
      </t>
    </mdx>
    <mdx n="33" f="m">
      <t c="1">
        <n x="222"/>
      </t>
    </mdx>
    <mdx n="33" f="m">
      <t c="1">
        <n x="223"/>
      </t>
    </mdx>
    <mdx n="33" f="m">
      <t c="1">
        <n x="224"/>
      </t>
    </mdx>
    <mdx n="33" f="m">
      <t c="1">
        <n x="225"/>
      </t>
    </mdx>
    <mdx n="33" f="m">
      <t c="1">
        <n x="226"/>
      </t>
    </mdx>
    <mdx n="33" f="m">
      <t c="1">
        <n x="227"/>
      </t>
    </mdx>
    <mdx n="33" f="m">
      <t c="1">
        <n x="228"/>
      </t>
    </mdx>
    <mdx n="33" f="m">
      <t c="1">
        <n x="229"/>
      </t>
    </mdx>
    <mdx n="33" f="m">
      <t c="1">
        <n x="230"/>
      </t>
    </mdx>
    <mdx n="33" f="m">
      <t c="1">
        <n x="231"/>
      </t>
    </mdx>
    <mdx n="33" f="m">
      <t c="1">
        <n x="232"/>
      </t>
    </mdx>
    <mdx n="33" f="m">
      <t c="1">
        <n x="233"/>
      </t>
    </mdx>
    <mdx n="33" f="m">
      <t c="1">
        <n x="234"/>
      </t>
    </mdx>
    <mdx n="33" f="m">
      <t c="1">
        <n x="235"/>
      </t>
    </mdx>
    <mdx n="33" f="m">
      <t c="1">
        <n x="236"/>
      </t>
    </mdx>
    <mdx n="33" f="m">
      <t c="1">
        <n x="237"/>
      </t>
    </mdx>
    <mdx n="33" f="m">
      <t c="1">
        <n x="238"/>
      </t>
    </mdx>
    <mdx n="33" f="m">
      <t c="1">
        <n x="239"/>
      </t>
    </mdx>
    <mdx n="33" f="m">
      <t c="1">
        <n x="240"/>
      </t>
    </mdx>
    <mdx n="33" f="m">
      <t c="1">
        <n x="241"/>
      </t>
    </mdx>
    <mdx n="33" f="m">
      <t c="1">
        <n x="242"/>
      </t>
    </mdx>
    <mdx n="33" f="m">
      <t c="1">
        <n x="243"/>
      </t>
    </mdx>
    <mdx n="33" f="m">
      <t c="1">
        <n x="244"/>
      </t>
    </mdx>
    <mdx n="33" f="m">
      <t c="1">
        <n x="245"/>
      </t>
    </mdx>
    <mdx n="33" f="m">
      <t c="1">
        <n x="246"/>
      </t>
    </mdx>
    <mdx n="33" f="m">
      <t c="1">
        <n x="247"/>
      </t>
    </mdx>
    <mdx n="33" f="m">
      <t c="1">
        <n x="248"/>
      </t>
    </mdx>
    <mdx n="33" f="m">
      <t c="1">
        <n x="249"/>
      </t>
    </mdx>
    <mdx n="33" f="m">
      <t c="1">
        <n x="250"/>
      </t>
    </mdx>
    <mdx n="33" f="m">
      <t c="1">
        <n x="251"/>
      </t>
    </mdx>
    <mdx n="33" f="m">
      <t c="1">
        <n x="252"/>
      </t>
    </mdx>
    <mdx n="33" f="m">
      <t c="1">
        <n x="253"/>
      </t>
    </mdx>
    <mdx n="33" f="m">
      <t c="1">
        <n x="254"/>
      </t>
    </mdx>
    <mdx n="33" f="m">
      <t c="1">
        <n x="255"/>
      </t>
    </mdx>
    <mdx n="33" f="m">
      <t c="1">
        <n x="256"/>
      </t>
    </mdx>
    <mdx n="33" f="m">
      <t c="1">
        <n x="257"/>
      </t>
    </mdx>
    <mdx n="33" f="m">
      <t c="1">
        <n x="258"/>
      </t>
    </mdx>
    <mdx n="33" f="m">
      <t c="1">
        <n x="259"/>
      </t>
    </mdx>
    <mdx n="33" f="m">
      <t c="1">
        <n x="260"/>
      </t>
    </mdx>
    <mdx n="33" f="m">
      <t c="1">
        <n x="261"/>
      </t>
    </mdx>
    <mdx n="33" f="m">
      <t c="1">
        <n x="262"/>
      </t>
    </mdx>
    <mdx n="33" f="m">
      <t c="1">
        <n x="263"/>
      </t>
    </mdx>
    <mdx n="33" f="m">
      <t c="1">
        <n x="264"/>
      </t>
    </mdx>
    <mdx n="33" f="m">
      <t c="1">
        <n x="265"/>
      </t>
    </mdx>
    <mdx n="33" f="m">
      <t c="1">
        <n x="266"/>
      </t>
    </mdx>
    <mdx n="33" f="m">
      <t c="1">
        <n x="267"/>
      </t>
    </mdx>
    <mdx n="33" f="m">
      <t c="1">
        <n x="268"/>
      </t>
    </mdx>
    <mdx n="33" f="m">
      <t c="1">
        <n x="269"/>
      </t>
    </mdx>
    <mdx n="33" f="m">
      <t c="1">
        <n x="270"/>
      </t>
    </mdx>
    <mdx n="33" f="m">
      <t c="1">
        <n x="271"/>
      </t>
    </mdx>
    <mdx n="33" f="m">
      <t c="1">
        <n x="272"/>
      </t>
    </mdx>
    <mdx n="33" f="m">
      <t c="1">
        <n x="273"/>
      </t>
    </mdx>
    <mdx n="33" f="m">
      <t c="1">
        <n x="274"/>
      </t>
    </mdx>
    <mdx n="33" f="m">
      <t c="1">
        <n x="275"/>
      </t>
    </mdx>
    <mdx n="33" f="m">
      <t c="1">
        <n x="276"/>
      </t>
    </mdx>
    <mdx n="33" f="m">
      <t c="1">
        <n x="277"/>
      </t>
    </mdx>
    <mdx n="33" f="m">
      <t c="1">
        <n x="278"/>
      </t>
    </mdx>
    <mdx n="33" f="m">
      <t c="1">
        <n x="279"/>
      </t>
    </mdx>
    <mdx n="33" f="m">
      <t c="1">
        <n x="280"/>
      </t>
    </mdx>
    <mdx n="33" f="m">
      <t c="1">
        <n x="281"/>
      </t>
    </mdx>
    <mdx n="33" f="m">
      <t c="1">
        <n x="282"/>
      </t>
    </mdx>
    <mdx n="33" f="m">
      <t c="1">
        <n x="283"/>
      </t>
    </mdx>
    <mdx n="33" f="m">
      <t c="1">
        <n x="284"/>
      </t>
    </mdx>
    <mdx n="33" f="m">
      <t c="1">
        <n x="285"/>
      </t>
    </mdx>
    <mdx n="33" f="m">
      <t c="1">
        <n x="286"/>
      </t>
    </mdx>
    <mdx n="33" f="m">
      <t c="1">
        <n x="287"/>
      </t>
    </mdx>
    <mdx n="33" f="m">
      <t c="1">
        <n x="288"/>
      </t>
    </mdx>
    <mdx n="33" f="m">
      <t c="1">
        <n x="289"/>
      </t>
    </mdx>
    <mdx n="33" f="m">
      <t c="1">
        <n x="290"/>
      </t>
    </mdx>
    <mdx n="33" f="m">
      <t c="1">
        <n x="291"/>
      </t>
    </mdx>
    <mdx n="33" f="m">
      <t c="1">
        <n x="292"/>
      </t>
    </mdx>
    <mdx n="33" f="m">
      <t c="1">
        <n x="293"/>
      </t>
    </mdx>
    <mdx n="33" f="m">
      <t c="1">
        <n x="294"/>
      </t>
    </mdx>
    <mdx n="33" f="m">
      <t c="1">
        <n x="295"/>
      </t>
    </mdx>
    <mdx n="33" f="m">
      <t c="1">
        <n x="296"/>
      </t>
    </mdx>
    <mdx n="33" f="m">
      <t c="1">
        <n x="297"/>
      </t>
    </mdx>
    <mdx n="33" f="m">
      <t c="1">
        <n x="298"/>
      </t>
    </mdx>
    <mdx n="33" f="m">
      <t c="1">
        <n x="299"/>
      </t>
    </mdx>
    <mdx n="33" f="m">
      <t c="1">
        <n x="300"/>
      </t>
    </mdx>
    <mdx n="33" f="m">
      <t c="1">
        <n x="301"/>
      </t>
    </mdx>
    <mdx n="33" f="m">
      <t c="1">
        <n x="302"/>
      </t>
    </mdx>
    <mdx n="33" f="m">
      <t c="1">
        <n x="303"/>
      </t>
    </mdx>
    <mdx n="33" f="m">
      <t c="1">
        <n x="304"/>
      </t>
    </mdx>
    <mdx n="33" f="m">
      <t c="1">
        <n x="305"/>
      </t>
    </mdx>
    <mdx n="33" f="m">
      <t c="1">
        <n x="306"/>
      </t>
    </mdx>
    <mdx n="33" f="m">
      <t c="1">
        <n x="307"/>
      </t>
    </mdx>
    <mdx n="33" f="m">
      <t c="1">
        <n x="308"/>
      </t>
    </mdx>
    <mdx n="33" f="m">
      <t c="1">
        <n x="309"/>
      </t>
    </mdx>
    <mdx n="33" f="m">
      <t c="1">
        <n x="310"/>
      </t>
    </mdx>
    <mdx n="33" f="m">
      <t c="1">
        <n x="311"/>
      </t>
    </mdx>
    <mdx n="33" f="m">
      <t c="1">
        <n x="312"/>
      </t>
    </mdx>
    <mdx n="33" f="m">
      <t c="1">
        <n x="313"/>
      </t>
    </mdx>
    <mdx n="33" f="m">
      <t c="1">
        <n x="314"/>
      </t>
    </mdx>
    <mdx n="33" f="m">
      <t c="1">
        <n x="315"/>
      </t>
    </mdx>
    <mdx n="33" f="m">
      <t c="1">
        <n x="316"/>
      </t>
    </mdx>
    <mdx n="33" f="m">
      <t c="1">
        <n x="317"/>
      </t>
    </mdx>
    <mdx n="33" f="m">
      <t c="1">
        <n x="318"/>
      </t>
    </mdx>
    <mdx n="33" f="m">
      <t c="1">
        <n x="319"/>
      </t>
    </mdx>
    <mdx n="33" f="m">
      <t c="1">
        <n x="320"/>
      </t>
    </mdx>
    <mdx n="33" f="m">
      <t c="1">
        <n x="321"/>
      </t>
    </mdx>
    <mdx n="33" f="m">
      <t c="1">
        <n x="322"/>
      </t>
    </mdx>
    <mdx n="33" f="m">
      <t c="1">
        <n x="323"/>
      </t>
    </mdx>
    <mdx n="33" f="m">
      <t c="1">
        <n x="324"/>
      </t>
    </mdx>
    <mdx n="33" f="m">
      <t c="1">
        <n x="325"/>
      </t>
    </mdx>
    <mdx n="33" f="m">
      <t c="1">
        <n x="326"/>
      </t>
    </mdx>
    <mdx n="33" f="m">
      <t c="1">
        <n x="327"/>
      </t>
    </mdx>
    <mdx n="33" f="m">
      <t c="1">
        <n x="328"/>
      </t>
    </mdx>
    <mdx n="33" f="m">
      <t c="1">
        <n x="329"/>
      </t>
    </mdx>
    <mdx n="33" f="m">
      <t c="1">
        <n x="330"/>
      </t>
    </mdx>
    <mdx n="33" f="m">
      <t c="1">
        <n x="331"/>
      </t>
    </mdx>
    <mdx n="33" f="m">
      <t c="1">
        <n x="332"/>
      </t>
    </mdx>
    <mdx n="33" f="m">
      <t c="1">
        <n x="333"/>
      </t>
    </mdx>
    <mdx n="33" f="m">
      <t c="1">
        <n x="334"/>
      </t>
    </mdx>
    <mdx n="33" f="m">
      <t c="1">
        <n x="335"/>
      </t>
    </mdx>
    <mdx n="33" f="m">
      <t c="1">
        <n x="336"/>
      </t>
    </mdx>
    <mdx n="33" f="m">
      <t c="1">
        <n x="337"/>
      </t>
    </mdx>
    <mdx n="33" f="m">
      <t c="1">
        <n x="338"/>
      </t>
    </mdx>
    <mdx n="33" f="m">
      <t c="1">
        <n x="339"/>
      </t>
    </mdx>
    <mdx n="33" f="m">
      <t c="1">
        <n x="340"/>
      </t>
    </mdx>
    <mdx n="33" f="m">
      <t c="1">
        <n x="341"/>
      </t>
    </mdx>
    <mdx n="33" f="m">
      <t c="1">
        <n x="342"/>
      </t>
    </mdx>
    <mdx n="33" f="m">
      <t c="1">
        <n x="343"/>
      </t>
    </mdx>
    <mdx n="33" f="m">
      <t c="1">
        <n x="344"/>
      </t>
    </mdx>
    <mdx n="33" f="m">
      <t c="1">
        <n x="345"/>
      </t>
    </mdx>
    <mdx n="33" f="m">
      <t c="1">
        <n x="346"/>
      </t>
    </mdx>
    <mdx n="33" f="m">
      <t c="1">
        <n x="347"/>
      </t>
    </mdx>
    <mdx n="33" f="m">
      <t c="1">
        <n x="348"/>
      </t>
    </mdx>
    <mdx n="33" f="m">
      <t c="1">
        <n x="349"/>
      </t>
    </mdx>
    <mdx n="33" f="m">
      <t c="1">
        <n x="350"/>
      </t>
    </mdx>
    <mdx n="33" f="m">
      <t c="1">
        <n x="351"/>
      </t>
    </mdx>
    <mdx n="33" f="m">
      <t c="1">
        <n x="352"/>
      </t>
    </mdx>
    <mdx n="33" f="m">
      <t c="1">
        <n x="353"/>
      </t>
    </mdx>
    <mdx n="33" f="m">
      <t c="1">
        <n x="354"/>
      </t>
    </mdx>
    <mdx n="33" f="m">
      <t c="1">
        <n x="355"/>
      </t>
    </mdx>
    <mdx n="33" f="m">
      <t c="1">
        <n x="356"/>
      </t>
    </mdx>
    <mdx n="33" f="m">
      <t c="1">
        <n x="357"/>
      </t>
    </mdx>
    <mdx n="33" f="m">
      <t c="1">
        <n x="358"/>
      </t>
    </mdx>
    <mdx n="33" f="m">
      <t c="1">
        <n x="359"/>
      </t>
    </mdx>
    <mdx n="33" f="m">
      <t c="1">
        <n x="360"/>
      </t>
    </mdx>
    <mdx n="33" f="m">
      <t c="1">
        <n x="361"/>
      </t>
    </mdx>
    <mdx n="33" f="m">
      <t c="1">
        <n x="362"/>
      </t>
    </mdx>
    <mdx n="33" f="m">
      <t c="1">
        <n x="363"/>
      </t>
    </mdx>
    <mdx n="33" f="m">
      <t c="1">
        <n x="364"/>
      </t>
    </mdx>
    <mdx n="33" f="m">
      <t c="1">
        <n x="365"/>
      </t>
    </mdx>
    <mdx n="33" f="m">
      <t c="1">
        <n x="366"/>
      </t>
    </mdx>
    <mdx n="33" f="m">
      <t c="1">
        <n x="367"/>
      </t>
    </mdx>
    <mdx n="33" f="m">
      <t c="1">
        <n x="368"/>
      </t>
    </mdx>
    <mdx n="33" f="m">
      <t c="1">
        <n x="369"/>
      </t>
    </mdx>
    <mdx n="33" f="m">
      <t c="1">
        <n x="370"/>
      </t>
    </mdx>
    <mdx n="33" f="m">
      <t c="1">
        <n x="371"/>
      </t>
    </mdx>
    <mdx n="33" f="m">
      <t c="1">
        <n x="372"/>
      </t>
    </mdx>
    <mdx n="33" f="m">
      <t c="1">
        <n x="373"/>
      </t>
    </mdx>
    <mdx n="33" f="m">
      <t c="1">
        <n x="374"/>
      </t>
    </mdx>
    <mdx n="33" f="m">
      <t c="1">
        <n x="375"/>
      </t>
    </mdx>
    <mdx n="33" f="m">
      <t c="1">
        <n x="376"/>
      </t>
    </mdx>
    <mdx n="33" f="m">
      <t c="1">
        <n x="377"/>
      </t>
    </mdx>
    <mdx n="33" f="m">
      <t c="1">
        <n x="378"/>
      </t>
    </mdx>
    <mdx n="33" f="m">
      <t c="1">
        <n x="379"/>
      </t>
    </mdx>
    <mdx n="33" f="m">
      <t c="1">
        <n x="380"/>
      </t>
    </mdx>
    <mdx n="33" f="m">
      <t c="1">
        <n x="381"/>
      </t>
    </mdx>
    <mdx n="33" f="m">
      <t c="1">
        <n x="382"/>
      </t>
    </mdx>
    <mdx n="33" f="m">
      <t c="1">
        <n x="383"/>
      </t>
    </mdx>
    <mdx n="33" f="m">
      <t c="1">
        <n x="384"/>
      </t>
    </mdx>
    <mdx n="33" f="m">
      <t c="1">
        <n x="385"/>
      </t>
    </mdx>
    <mdx n="33" f="m">
      <t c="1">
        <n x="386"/>
      </t>
    </mdx>
    <mdx n="33" f="m">
      <t c="1">
        <n x="387"/>
      </t>
    </mdx>
    <mdx n="33" f="m">
      <t c="1">
        <n x="388"/>
      </t>
    </mdx>
    <mdx n="33" f="m">
      <t c="1">
        <n x="389"/>
      </t>
    </mdx>
    <mdx n="33" f="m">
      <t c="1">
        <n x="390"/>
      </t>
    </mdx>
    <mdx n="33" f="m">
      <t c="1">
        <n x="391"/>
      </t>
    </mdx>
    <mdx n="33" f="m">
      <t c="1">
        <n x="392"/>
      </t>
    </mdx>
    <mdx n="33" f="m">
      <t c="1">
        <n x="393"/>
      </t>
    </mdx>
    <mdx n="33" f="m">
      <t c="1">
        <n x="394"/>
      </t>
    </mdx>
    <mdx n="33" f="m">
      <t c="1">
        <n x="395"/>
      </t>
    </mdx>
    <mdx n="33" f="m">
      <t c="1">
        <n x="396"/>
      </t>
    </mdx>
    <mdx n="33" f="m">
      <t c="1">
        <n x="397"/>
      </t>
    </mdx>
    <mdx n="33" f="m">
      <t c="1">
        <n x="398"/>
      </t>
    </mdx>
    <mdx n="33" f="m">
      <t c="1">
        <n x="399"/>
      </t>
    </mdx>
    <mdx n="33" f="m">
      <t c="1">
        <n x="400"/>
      </t>
    </mdx>
    <mdx n="33" f="m">
      <t c="1">
        <n x="401"/>
      </t>
    </mdx>
    <mdx n="33" f="m">
      <t c="1">
        <n x="402"/>
      </t>
    </mdx>
    <mdx n="33" f="m">
      <t c="1">
        <n x="403"/>
      </t>
    </mdx>
    <mdx n="33" f="m">
      <t c="1">
        <n x="404"/>
      </t>
    </mdx>
    <mdx n="33" f="m">
      <t c="1">
        <n x="405"/>
      </t>
    </mdx>
    <mdx n="33" f="m">
      <t c="1">
        <n x="406"/>
      </t>
    </mdx>
    <mdx n="33" f="m">
      <t c="1">
        <n x="407"/>
      </t>
    </mdx>
    <mdx n="33" f="m">
      <t c="1">
        <n x="408"/>
      </t>
    </mdx>
    <mdx n="33" f="m">
      <t c="1">
        <n x="409"/>
      </t>
    </mdx>
    <mdx n="33" f="m">
      <t c="1">
        <n x="410"/>
      </t>
    </mdx>
    <mdx n="33" f="m">
      <t c="1">
        <n x="411"/>
      </t>
    </mdx>
    <mdx n="33" f="m">
      <t c="1">
        <n x="412"/>
      </t>
    </mdx>
    <mdx n="33" f="m">
      <t c="1">
        <n x="413"/>
      </t>
    </mdx>
    <mdx n="33" f="m">
      <t c="1">
        <n x="414"/>
      </t>
    </mdx>
    <mdx n="33" f="m">
      <t c="1">
        <n x="415"/>
      </t>
    </mdx>
    <mdx n="33" f="m">
      <t c="1">
        <n x="416"/>
      </t>
    </mdx>
    <mdx n="33" f="m">
      <t c="1">
        <n x="417"/>
      </t>
    </mdx>
    <mdx n="33" f="m">
      <t c="1">
        <n x="418"/>
      </t>
    </mdx>
    <mdx n="33" f="m">
      <t c="1">
        <n x="419"/>
      </t>
    </mdx>
    <mdx n="33" f="m">
      <t c="1">
        <n x="420"/>
      </t>
    </mdx>
    <mdx n="33" f="m">
      <t c="1">
        <n x="421"/>
      </t>
    </mdx>
    <mdx n="33" f="m">
      <t c="1">
        <n x="422"/>
      </t>
    </mdx>
    <mdx n="33" f="m">
      <t c="1">
        <n x="423"/>
      </t>
    </mdx>
    <mdx n="33" f="m">
      <t c="1">
        <n x="424"/>
      </t>
    </mdx>
    <mdx n="33" f="m">
      <t c="1">
        <n x="425"/>
      </t>
    </mdx>
    <mdx n="33" f="m">
      <t c="1">
        <n x="426"/>
      </t>
    </mdx>
    <mdx n="33" f="m">
      <t c="1">
        <n x="427"/>
      </t>
    </mdx>
    <mdx n="33" f="m">
      <t c="1">
        <n x="428"/>
      </t>
    </mdx>
    <mdx n="33" f="m">
      <t c="1">
        <n x="429"/>
      </t>
    </mdx>
    <mdx n="33" f="m">
      <t c="1">
        <n x="430"/>
      </t>
    </mdx>
    <mdx n="33" f="m">
      <t c="1">
        <n x="431"/>
      </t>
    </mdx>
    <mdx n="33" f="m">
      <t c="1">
        <n x="432"/>
      </t>
    </mdx>
    <mdx n="33" f="m">
      <t c="1">
        <n x="433"/>
      </t>
    </mdx>
    <mdx n="33" f="m">
      <t c="1">
        <n x="434"/>
      </t>
    </mdx>
    <mdx n="33" f="m">
      <t c="1">
        <n x="435"/>
      </t>
    </mdx>
    <mdx n="33" f="m">
      <t c="1">
        <n x="436"/>
      </t>
    </mdx>
    <mdx n="33" f="m">
      <t c="1">
        <n x="437"/>
      </t>
    </mdx>
    <mdx n="33" f="m">
      <t c="1">
        <n x="438"/>
      </t>
    </mdx>
    <mdx n="33" f="m">
      <t c="1">
        <n x="439"/>
      </t>
    </mdx>
    <mdx n="33" f="m">
      <t c="1">
        <n x="440"/>
      </t>
    </mdx>
    <mdx n="33" f="m">
      <t c="1">
        <n x="441"/>
      </t>
    </mdx>
    <mdx n="33" f="m">
      <t c="1">
        <n x="442"/>
      </t>
    </mdx>
    <mdx n="33" f="m">
      <t c="1">
        <n x="443"/>
      </t>
    </mdx>
    <mdx n="33" f="m">
      <t c="1">
        <n x="444"/>
      </t>
    </mdx>
    <mdx n="33" f="m">
      <t c="1">
        <n x="445"/>
      </t>
    </mdx>
    <mdx n="33" f="m">
      <t c="1">
        <n x="446"/>
      </t>
    </mdx>
    <mdx n="33" f="m">
      <t c="1">
        <n x="447"/>
      </t>
    </mdx>
    <mdx n="33" f="m">
      <t c="1">
        <n x="448"/>
      </t>
    </mdx>
    <mdx n="33" f="m">
      <t c="1">
        <n x="449"/>
      </t>
    </mdx>
    <mdx n="33" f="m">
      <t c="1">
        <n x="450"/>
      </t>
    </mdx>
    <mdx n="33" f="m">
      <t c="1">
        <n x="451"/>
      </t>
    </mdx>
    <mdx n="33" f="m">
      <t c="1">
        <n x="452"/>
      </t>
    </mdx>
    <mdx n="33" f="m">
      <t c="1">
        <n x="453"/>
      </t>
    </mdx>
    <mdx n="33" f="m">
      <t c="1">
        <n x="454"/>
      </t>
    </mdx>
    <mdx n="33" f="m">
      <t c="1">
        <n x="455"/>
      </t>
    </mdx>
    <mdx n="33" f="m">
      <t c="1">
        <n x="456"/>
      </t>
    </mdx>
    <mdx n="33" f="m">
      <t c="1">
        <n x="457"/>
      </t>
    </mdx>
    <mdx n="33" f="m">
      <t c="1">
        <n x="458"/>
      </t>
    </mdx>
    <mdx n="33" f="m">
      <t c="1">
        <n x="459"/>
      </t>
    </mdx>
    <mdx n="33" f="m">
      <t c="1">
        <n x="460"/>
      </t>
    </mdx>
    <mdx n="33" f="m">
      <t c="1">
        <n x="461"/>
      </t>
    </mdx>
    <mdx n="33" f="m">
      <t c="1">
        <n x="462"/>
      </t>
    </mdx>
    <mdx n="33" f="m">
      <t c="1">
        <n x="463"/>
      </t>
    </mdx>
    <mdx n="33" f="m">
      <t c="1">
        <n x="464"/>
      </t>
    </mdx>
    <mdx n="33" f="m">
      <t c="1">
        <n x="465"/>
      </t>
    </mdx>
    <mdx n="33" f="m">
      <t c="1">
        <n x="466"/>
      </t>
    </mdx>
    <mdx n="33" f="m">
      <t c="1">
        <n x="467"/>
      </t>
    </mdx>
    <mdx n="33" f="m">
      <t c="1">
        <n x="468"/>
      </t>
    </mdx>
    <mdx n="33" f="m">
      <t c="1">
        <n x="469"/>
      </t>
    </mdx>
    <mdx n="33" f="m">
      <t c="1">
        <n x="470"/>
      </t>
    </mdx>
    <mdx n="33" f="m">
      <t c="1">
        <n x="471"/>
      </t>
    </mdx>
    <mdx n="33" f="m">
      <t c="1">
        <n x="472"/>
      </t>
    </mdx>
    <mdx n="33" f="m">
      <t c="1">
        <n x="473"/>
      </t>
    </mdx>
    <mdx n="33" f="m">
      <t c="1">
        <n x="474"/>
      </t>
    </mdx>
    <mdx n="33" f="m">
      <t c="1">
        <n x="475"/>
      </t>
    </mdx>
    <mdx n="33" f="m">
      <t c="1">
        <n x="476"/>
      </t>
    </mdx>
    <mdx n="33" f="m">
      <t c="1">
        <n x="477"/>
      </t>
    </mdx>
    <mdx n="33" f="m">
      <t c="1">
        <n x="478"/>
      </t>
    </mdx>
    <mdx n="33" f="m">
      <t c="1">
        <n x="479"/>
      </t>
    </mdx>
    <mdx n="33" f="m">
      <t c="1">
        <n x="480"/>
      </t>
    </mdx>
    <mdx n="33" f="m">
      <t c="1">
        <n x="481"/>
      </t>
    </mdx>
    <mdx n="33" f="m">
      <t c="1">
        <n x="482"/>
      </t>
    </mdx>
    <mdx n="33" f="m">
      <t c="1">
        <n x="483"/>
      </t>
    </mdx>
    <mdx n="33" f="m">
      <t c="1">
        <n x="484"/>
      </t>
    </mdx>
    <mdx n="33" f="m">
      <t c="1">
        <n x="485"/>
      </t>
    </mdx>
    <mdx n="33" f="m">
      <t c="1">
        <n x="486"/>
      </t>
    </mdx>
    <mdx n="33" f="m">
      <t c="1">
        <n x="487"/>
      </t>
    </mdx>
    <mdx n="33" f="m">
      <t c="1">
        <n x="488"/>
      </t>
    </mdx>
    <mdx n="33" f="m">
      <t c="1">
        <n x="489"/>
      </t>
    </mdx>
    <mdx n="33" f="m">
      <t c="1">
        <n x="490"/>
      </t>
    </mdx>
    <mdx n="33" f="m">
      <t c="1">
        <n x="491"/>
      </t>
    </mdx>
    <mdx n="33" f="m">
      <t c="1">
        <n x="492"/>
      </t>
    </mdx>
    <mdx n="33" f="m">
      <t c="1">
        <n x="493"/>
      </t>
    </mdx>
    <mdx n="33" f="m">
      <t c="1">
        <n x="494"/>
      </t>
    </mdx>
    <mdx n="33" f="m">
      <t c="1">
        <n x="495"/>
      </t>
    </mdx>
    <mdx n="33" f="m">
      <t c="1">
        <n x="496"/>
      </t>
    </mdx>
    <mdx n="33" f="m">
      <t c="1">
        <n x="497"/>
      </t>
    </mdx>
    <mdx n="33" f="m">
      <t c="1">
        <n x="498"/>
      </t>
    </mdx>
    <mdx n="33" f="m">
      <t c="1">
        <n x="499"/>
      </t>
    </mdx>
    <mdx n="33" f="m">
      <t c="1">
        <n x="500"/>
      </t>
    </mdx>
    <mdx n="33" f="m">
      <t c="1">
        <n x="501"/>
      </t>
    </mdx>
    <mdx n="33" f="m">
      <t c="1">
        <n x="502"/>
      </t>
    </mdx>
    <mdx n="33" f="m">
      <t c="1">
        <n x="503"/>
      </t>
    </mdx>
    <mdx n="33" f="m">
      <t c="1">
        <n x="504"/>
      </t>
    </mdx>
    <mdx n="33" f="m">
      <t c="1">
        <n x="505"/>
      </t>
    </mdx>
    <mdx n="33" f="m">
      <t c="1">
        <n x="506"/>
      </t>
    </mdx>
    <mdx n="33" f="m">
      <t c="1">
        <n x="507"/>
      </t>
    </mdx>
    <mdx n="33" f="m">
      <t c="1">
        <n x="508"/>
      </t>
    </mdx>
    <mdx n="33" f="m">
      <t c="1">
        <n x="509"/>
      </t>
    </mdx>
    <mdx n="33" f="m">
      <t c="1">
        <n x="510"/>
      </t>
    </mdx>
    <mdx n="33" f="m">
      <t c="1">
        <n x="511"/>
      </t>
    </mdx>
    <mdx n="33" f="m">
      <t c="1">
        <n x="512"/>
      </t>
    </mdx>
    <mdx n="33" f="m">
      <t c="1">
        <n x="513"/>
      </t>
    </mdx>
    <mdx n="33" f="m">
      <t c="1">
        <n x="514"/>
      </t>
    </mdx>
    <mdx n="33" f="m">
      <t c="1">
        <n x="515"/>
      </t>
    </mdx>
    <mdx n="33" f="m">
      <t c="1">
        <n x="516"/>
      </t>
    </mdx>
    <mdx n="33" f="m">
      <t c="1">
        <n x="517"/>
      </t>
    </mdx>
    <mdx n="33" f="m">
      <t c="1">
        <n x="518"/>
      </t>
    </mdx>
    <mdx n="33" f="m">
      <t c="1">
        <n x="519"/>
      </t>
    </mdx>
    <mdx n="33" f="m">
      <t c="1">
        <n x="520"/>
      </t>
    </mdx>
    <mdx n="33" f="m">
      <t c="1">
        <n x="521"/>
      </t>
    </mdx>
    <mdx n="33" f="m">
      <t c="1">
        <n x="522"/>
      </t>
    </mdx>
    <mdx n="33" f="m">
      <t c="1">
        <n x="523"/>
      </t>
    </mdx>
    <mdx n="33" f="m">
      <t c="1">
        <n x="524"/>
      </t>
    </mdx>
    <mdx n="33" f="m">
      <t c="1">
        <n x="525"/>
      </t>
    </mdx>
    <mdx n="33" f="m">
      <t c="1">
        <n x="526"/>
      </t>
    </mdx>
    <mdx n="33" f="m">
      <t c="1">
        <n x="527"/>
      </t>
    </mdx>
    <mdx n="33" f="m">
      <t c="1">
        <n x="528"/>
      </t>
    </mdx>
    <mdx n="33" f="m">
      <t c="1">
        <n x="529"/>
      </t>
    </mdx>
    <mdx n="33" f="m">
      <t c="1">
        <n x="530"/>
      </t>
    </mdx>
    <mdx n="33" f="m">
      <t c="1">
        <n x="531"/>
      </t>
    </mdx>
    <mdx n="33" f="m">
      <t c="1">
        <n x="532"/>
      </t>
    </mdx>
    <mdx n="33" f="m">
      <t c="1">
        <n x="533"/>
      </t>
    </mdx>
    <mdx n="33" f="m">
      <t c="1">
        <n x="534"/>
      </t>
    </mdx>
    <mdx n="33" f="m">
      <t c="1">
        <n x="535"/>
      </t>
    </mdx>
    <mdx n="33" f="m">
      <t c="1">
        <n x="536"/>
      </t>
    </mdx>
    <mdx n="33" f="m">
      <t c="1">
        <n x="537"/>
      </t>
    </mdx>
    <mdx n="33" f="m">
      <t c="1">
        <n x="538"/>
      </t>
    </mdx>
    <mdx n="33" f="m">
      <t c="1">
        <n x="539"/>
      </t>
    </mdx>
    <mdx n="33" f="m">
      <t c="1">
        <n x="540"/>
      </t>
    </mdx>
    <mdx n="33" f="m">
      <t c="1">
        <n x="541"/>
      </t>
    </mdx>
    <mdx n="33" f="m">
      <t c="1">
        <n x="542"/>
      </t>
    </mdx>
    <mdx n="33" f="m">
      <t c="1">
        <n x="543"/>
      </t>
    </mdx>
    <mdx n="33" f="m">
      <t c="1">
        <n x="544"/>
      </t>
    </mdx>
    <mdx n="33" f="m">
      <t c="1">
        <n x="545"/>
      </t>
    </mdx>
    <mdx n="33" f="m">
      <t c="1">
        <n x="546"/>
      </t>
    </mdx>
    <mdx n="33" f="m">
      <t c="1">
        <n x="547"/>
      </t>
    </mdx>
    <mdx n="33" f="m">
      <t c="1">
        <n x="548"/>
      </t>
    </mdx>
    <mdx n="33" f="m">
      <t c="1">
        <n x="549"/>
      </t>
    </mdx>
    <mdx n="33" f="m">
      <t c="1">
        <n x="550"/>
      </t>
    </mdx>
    <mdx n="33" f="m">
      <t c="1">
        <n x="551"/>
      </t>
    </mdx>
    <mdx n="33" f="m">
      <t c="1">
        <n x="552"/>
      </t>
    </mdx>
    <mdx n="33" f="m">
      <t c="1">
        <n x="553"/>
      </t>
    </mdx>
    <mdx n="33" f="m">
      <t c="1">
        <n x="554"/>
      </t>
    </mdx>
    <mdx n="33" f="m">
      <t c="1">
        <n x="555"/>
      </t>
    </mdx>
    <mdx n="33" f="m">
      <t c="1">
        <n x="556"/>
      </t>
    </mdx>
    <mdx n="33" f="m">
      <t c="1">
        <n x="557"/>
      </t>
    </mdx>
    <mdx n="33" f="m">
      <t c="1">
        <n x="558"/>
      </t>
    </mdx>
    <mdx n="33" f="m">
      <t c="1">
        <n x="559"/>
      </t>
    </mdx>
    <mdx n="33" f="m">
      <t c="1">
        <n x="560"/>
      </t>
    </mdx>
    <mdx n="33" f="m">
      <t c="1">
        <n x="561"/>
      </t>
    </mdx>
    <mdx n="33" f="m">
      <t c="1">
        <n x="562"/>
      </t>
    </mdx>
    <mdx n="33" f="m">
      <t c="1">
        <n x="563"/>
      </t>
    </mdx>
    <mdx n="33" f="m">
      <t c="1">
        <n x="564"/>
      </t>
    </mdx>
    <mdx n="33" f="m">
      <t c="1">
        <n x="565"/>
      </t>
    </mdx>
    <mdx n="33" f="m">
      <t c="1">
        <n x="566"/>
      </t>
    </mdx>
    <mdx n="33" f="m">
      <t c="1">
        <n x="567"/>
      </t>
    </mdx>
    <mdx n="33" f="m">
      <t c="1">
        <n x="568"/>
      </t>
    </mdx>
    <mdx n="33" f="m">
      <t c="1">
        <n x="569"/>
      </t>
    </mdx>
    <mdx n="33" f="m">
      <t c="1">
        <n x="570"/>
      </t>
    </mdx>
    <mdx n="33" f="m">
      <t c="1">
        <n x="571"/>
      </t>
    </mdx>
    <mdx n="33" f="m">
      <t c="1">
        <n x="572"/>
      </t>
    </mdx>
    <mdx n="33" f="m">
      <t c="1">
        <n x="573"/>
      </t>
    </mdx>
    <mdx n="33" f="m">
      <t c="1">
        <n x="574"/>
      </t>
    </mdx>
    <mdx n="33" f="m">
      <t c="1">
        <n x="575"/>
      </t>
    </mdx>
    <mdx n="33" f="m">
      <t c="1">
        <n x="576"/>
      </t>
    </mdx>
    <mdx n="33" f="m">
      <t c="1">
        <n x="577"/>
      </t>
    </mdx>
    <mdx n="33" f="m">
      <t c="1">
        <n x="578"/>
      </t>
    </mdx>
    <mdx n="33" f="m">
      <t c="1">
        <n x="579"/>
      </t>
    </mdx>
    <mdx n="33" f="m">
      <t c="1">
        <n x="580"/>
      </t>
    </mdx>
    <mdx n="33" f="m">
      <t c="1">
        <n x="581"/>
      </t>
    </mdx>
    <mdx n="33" f="m">
      <t c="1">
        <n x="582"/>
      </t>
    </mdx>
    <mdx n="33" f="m">
      <t c="1">
        <n x="583"/>
      </t>
    </mdx>
    <mdx n="33" f="m">
      <t c="1">
        <n x="584"/>
      </t>
    </mdx>
    <mdx n="33" f="m">
      <t c="1">
        <n x="585"/>
      </t>
    </mdx>
    <mdx n="33" f="m">
      <t c="1">
        <n x="586"/>
      </t>
    </mdx>
    <mdx n="33" f="m">
      <t c="1">
        <n x="587"/>
      </t>
    </mdx>
    <mdx n="33" f="m">
      <t c="1">
        <n x="588"/>
      </t>
    </mdx>
    <mdx n="33" f="m">
      <t c="1">
        <n x="589"/>
      </t>
    </mdx>
    <mdx n="33" f="m">
      <t c="1">
        <n x="590"/>
      </t>
    </mdx>
    <mdx n="33" f="m">
      <t c="1">
        <n x="591"/>
      </t>
    </mdx>
    <mdx n="33" f="m">
      <t c="1">
        <n x="592"/>
      </t>
    </mdx>
    <mdx n="33" f="m">
      <t c="1">
        <n x="593"/>
      </t>
    </mdx>
    <mdx n="33" f="m">
      <t c="1">
        <n x="594"/>
      </t>
    </mdx>
    <mdx n="33" f="m">
      <t c="1">
        <n x="595"/>
      </t>
    </mdx>
    <mdx n="33" f="m">
      <t c="1">
        <n x="596"/>
      </t>
    </mdx>
    <mdx n="33" f="m">
      <t c="1">
        <n x="597"/>
      </t>
    </mdx>
    <mdx n="33" f="m">
      <t c="1">
        <n x="598"/>
      </t>
    </mdx>
    <mdx n="33" f="m">
      <t c="1">
        <n x="599"/>
      </t>
    </mdx>
    <mdx n="33" f="m">
      <t c="1">
        <n x="600"/>
      </t>
    </mdx>
    <mdx n="33" f="m">
      <t c="1">
        <n x="601"/>
      </t>
    </mdx>
    <mdx n="33" f="m">
      <t c="1">
        <n x="602"/>
      </t>
    </mdx>
    <mdx n="33" f="m">
      <t c="1">
        <n x="603"/>
      </t>
    </mdx>
    <mdx n="33" f="m">
      <t c="1">
        <n x="604"/>
      </t>
    </mdx>
    <mdx n="33" f="m">
      <t c="1">
        <n x="605"/>
      </t>
    </mdx>
    <mdx n="33" f="m">
      <t c="1">
        <n x="606"/>
      </t>
    </mdx>
    <mdx n="33" f="m">
      <t c="1">
        <n x="607"/>
      </t>
    </mdx>
    <mdx n="33" f="m">
      <t c="1">
        <n x="608"/>
      </t>
    </mdx>
    <mdx n="33" f="m">
      <t c="1">
        <n x="609"/>
      </t>
    </mdx>
    <mdx n="33" f="m">
      <t c="1">
        <n x="610"/>
      </t>
    </mdx>
    <mdx n="33" f="m">
      <t c="1">
        <n x="611"/>
      </t>
    </mdx>
    <mdx n="33" f="m">
      <t c="1">
        <n x="612"/>
      </t>
    </mdx>
    <mdx n="33" f="m">
      <t c="1">
        <n x="613"/>
      </t>
    </mdx>
    <mdx n="33" f="m">
      <t c="1">
        <n x="614"/>
      </t>
    </mdx>
    <mdx n="33" f="m">
      <t c="1">
        <n x="615"/>
      </t>
    </mdx>
    <mdx n="33" f="m">
      <t c="1">
        <n x="616"/>
      </t>
    </mdx>
    <mdx n="33" f="m">
      <t c="1">
        <n x="617"/>
      </t>
    </mdx>
    <mdx n="33" f="m">
      <t c="1">
        <n x="618"/>
      </t>
    </mdx>
    <mdx n="33" f="m">
      <t c="1">
        <n x="619"/>
      </t>
    </mdx>
    <mdx n="33" f="m">
      <t c="1">
        <n x="620"/>
      </t>
    </mdx>
    <mdx n="33" f="m">
      <t c="1">
        <n x="621"/>
      </t>
    </mdx>
    <mdx n="33" f="m">
      <t c="1">
        <n x="622"/>
      </t>
    </mdx>
    <mdx n="33" f="m">
      <t c="1">
        <n x="623"/>
      </t>
    </mdx>
    <mdx n="33" f="m">
      <t c="1">
        <n x="624"/>
      </t>
    </mdx>
    <mdx n="33" f="m">
      <t c="1">
        <n x="625"/>
      </t>
    </mdx>
    <mdx n="33" f="m">
      <t c="1">
        <n x="626"/>
      </t>
    </mdx>
    <mdx n="33" f="m">
      <t c="1">
        <n x="627"/>
      </t>
    </mdx>
    <mdx n="33" f="m">
      <t c="1">
        <n x="628"/>
      </t>
    </mdx>
    <mdx n="33" f="m">
      <t c="1">
        <n x="629"/>
      </t>
    </mdx>
    <mdx n="33" f="m">
      <t c="1">
        <n x="630"/>
      </t>
    </mdx>
    <mdx n="33" f="m">
      <t c="1">
        <n x="631"/>
      </t>
    </mdx>
    <mdx n="33" f="m">
      <t c="1">
        <n x="632"/>
      </t>
    </mdx>
    <mdx n="33" f="m">
      <t c="1">
        <n x="633"/>
      </t>
    </mdx>
    <mdx n="33" f="m">
      <t c="1">
        <n x="634"/>
      </t>
    </mdx>
    <mdx n="33" f="m">
      <t c="1">
        <n x="635"/>
      </t>
    </mdx>
    <mdx n="33" f="m">
      <t c="1">
        <n x="636"/>
      </t>
    </mdx>
    <mdx n="33" f="m">
      <t c="1">
        <n x="637"/>
      </t>
    </mdx>
    <mdx n="33" f="m">
      <t c="1">
        <n x="638"/>
      </t>
    </mdx>
    <mdx n="33" f="m">
      <t c="1">
        <n x="639"/>
      </t>
    </mdx>
    <mdx n="33" f="m">
      <t c="1">
        <n x="640"/>
      </t>
    </mdx>
    <mdx n="33" f="m">
      <t c="1">
        <n x="641"/>
      </t>
    </mdx>
    <mdx n="33" f="m">
      <t c="1">
        <n x="642"/>
      </t>
    </mdx>
    <mdx n="33" f="m">
      <t c="1">
        <n x="643"/>
      </t>
    </mdx>
    <mdx n="33" f="m">
      <t c="1">
        <n x="644"/>
      </t>
    </mdx>
    <mdx n="33" f="m">
      <t c="1">
        <n x="645"/>
      </t>
    </mdx>
    <mdx n="33" f="m">
      <t c="1">
        <n x="646"/>
      </t>
    </mdx>
    <mdx n="33" f="m">
      <t c="1">
        <n x="647"/>
      </t>
    </mdx>
    <mdx n="33" f="m">
      <t c="1">
        <n x="648"/>
      </t>
    </mdx>
    <mdx n="33" f="m">
      <t c="1">
        <n x="649"/>
      </t>
    </mdx>
    <mdx n="33" f="m">
      <t c="1">
        <n x="650"/>
      </t>
    </mdx>
    <mdx n="33" f="m">
      <t c="1">
        <n x="651"/>
      </t>
    </mdx>
    <mdx n="33" f="m">
      <t c="1">
        <n x="652"/>
      </t>
    </mdx>
    <mdx n="33" f="m">
      <t c="1">
        <n x="653"/>
      </t>
    </mdx>
    <mdx n="33" f="m">
      <t c="1">
        <n x="654"/>
      </t>
    </mdx>
    <mdx n="33" f="m">
      <t c="1">
        <n x="655"/>
      </t>
    </mdx>
    <mdx n="33" f="m">
      <t c="1">
        <n x="656"/>
      </t>
    </mdx>
    <mdx n="33" f="m">
      <t c="1">
        <n x="657"/>
      </t>
    </mdx>
    <mdx n="33" f="m">
      <t c="1">
        <n x="658"/>
      </t>
    </mdx>
    <mdx n="33" f="m">
      <t c="1">
        <n x="659"/>
      </t>
    </mdx>
    <mdx n="33" f="m">
      <t c="1">
        <n x="660"/>
      </t>
    </mdx>
    <mdx n="33" f="m">
      <t c="1">
        <n x="661"/>
      </t>
    </mdx>
    <mdx n="33" f="m">
      <t c="1">
        <n x="662"/>
      </t>
    </mdx>
    <mdx n="33" f="m">
      <t c="1">
        <n x="663"/>
      </t>
    </mdx>
    <mdx n="33" f="m">
      <t c="1">
        <n x="664"/>
      </t>
    </mdx>
    <mdx n="33" f="m">
      <t c="1">
        <n x="665"/>
      </t>
    </mdx>
    <mdx n="33" f="m">
      <t c="1">
        <n x="666"/>
      </t>
    </mdx>
    <mdx n="33" f="m">
      <t c="1">
        <n x="667"/>
      </t>
    </mdx>
    <mdx n="33" f="m">
      <t c="1">
        <n x="668"/>
      </t>
    </mdx>
    <mdx n="33" f="m">
      <t c="1">
        <n x="669"/>
      </t>
    </mdx>
    <mdx n="33" f="m">
      <t c="1">
        <n x="670"/>
      </t>
    </mdx>
    <mdx n="33" f="m">
      <t c="1">
        <n x="671"/>
      </t>
    </mdx>
    <mdx n="33" f="m">
      <t c="1">
        <n x="672"/>
      </t>
    </mdx>
    <mdx n="33" f="m">
      <t c="1">
        <n x="673"/>
      </t>
    </mdx>
    <mdx n="33" f="m">
      <t c="1">
        <n x="674"/>
      </t>
    </mdx>
    <mdx n="33" f="m">
      <t c="1">
        <n x="675"/>
      </t>
    </mdx>
    <mdx n="33" f="m">
      <t c="1">
        <n x="676"/>
      </t>
    </mdx>
    <mdx n="33" f="m">
      <t c="1">
        <n x="677"/>
      </t>
    </mdx>
    <mdx n="33" f="m">
      <t c="1">
        <n x="678"/>
      </t>
    </mdx>
    <mdx n="33" f="m">
      <t c="1">
        <n x="679"/>
      </t>
    </mdx>
    <mdx n="33" f="m">
      <t c="1">
        <n x="680"/>
      </t>
    </mdx>
    <mdx n="33" f="m">
      <t c="1">
        <n x="681"/>
      </t>
    </mdx>
    <mdx n="33" f="m">
      <t c="1">
        <n x="682"/>
      </t>
    </mdx>
    <mdx n="33" f="m">
      <t c="1">
        <n x="683"/>
      </t>
    </mdx>
    <mdx n="33" f="m">
      <t c="1">
        <n x="684"/>
      </t>
    </mdx>
    <mdx n="33" f="m">
      <t c="1">
        <n x="685"/>
      </t>
    </mdx>
    <mdx n="33" f="m">
      <t c="1">
        <n x="686"/>
      </t>
    </mdx>
    <mdx n="33" f="m">
      <t c="1">
        <n x="687"/>
      </t>
    </mdx>
    <mdx n="33" f="m">
      <t c="1">
        <n x="688"/>
      </t>
    </mdx>
    <mdx n="33" f="m">
      <t c="1">
        <n x="689"/>
      </t>
    </mdx>
    <mdx n="33" f="m">
      <t c="1">
        <n x="690"/>
      </t>
    </mdx>
    <mdx n="33" f="m">
      <t c="1">
        <n x="691"/>
      </t>
    </mdx>
    <mdx n="33" f="m">
      <t c="1">
        <n x="692"/>
      </t>
    </mdx>
    <mdx n="33" f="m">
      <t c="1">
        <n x="693"/>
      </t>
    </mdx>
    <mdx n="33" f="m">
      <t c="1">
        <n x="694"/>
      </t>
    </mdx>
    <mdx n="33" f="m">
      <t c="1">
        <n x="695"/>
      </t>
    </mdx>
    <mdx n="33" f="m">
      <t c="1">
        <n x="696"/>
      </t>
    </mdx>
    <mdx n="33" f="m">
      <t c="1">
        <n x="697"/>
      </t>
    </mdx>
    <mdx n="33" f="m">
      <t c="1">
        <n x="698"/>
      </t>
    </mdx>
    <mdx n="33" f="m">
      <t c="1">
        <n x="699"/>
      </t>
    </mdx>
    <mdx n="33" f="m">
      <t c="1">
        <n x="700"/>
      </t>
    </mdx>
    <mdx n="33" f="m">
      <t c="1">
        <n x="701"/>
      </t>
    </mdx>
    <mdx n="33" f="m">
      <t c="1">
        <n x="702"/>
      </t>
    </mdx>
    <mdx n="33" f="m">
      <t c="1">
        <n x="703"/>
      </t>
    </mdx>
    <mdx n="33" f="m">
      <t c="1">
        <n x="704"/>
      </t>
    </mdx>
    <mdx n="33" f="m">
      <t c="1">
        <n x="705"/>
      </t>
    </mdx>
    <mdx n="33" f="m">
      <t c="1">
        <n x="706"/>
      </t>
    </mdx>
    <mdx n="33" f="m">
      <t c="1">
        <n x="707"/>
      </t>
    </mdx>
    <mdx n="33" f="m">
      <t c="1">
        <n x="708"/>
      </t>
    </mdx>
    <mdx n="33" f="m">
      <t c="1">
        <n x="709"/>
      </t>
    </mdx>
    <mdx n="33" f="m">
      <t c="1">
        <n x="710"/>
      </t>
    </mdx>
    <mdx n="33" f="m">
      <t c="1">
        <n x="711"/>
      </t>
    </mdx>
    <mdx n="33" f="m">
      <t c="1">
        <n x="712"/>
      </t>
    </mdx>
    <mdx n="33" f="m">
      <t c="1">
        <n x="713"/>
      </t>
    </mdx>
    <mdx n="33" f="m">
      <t c="1">
        <n x="714"/>
      </t>
    </mdx>
    <mdx n="33" f="m">
      <t c="1">
        <n x="715"/>
      </t>
    </mdx>
    <mdx n="33" f="m">
      <t c="1">
        <n x="716"/>
      </t>
    </mdx>
    <mdx n="33" f="m">
      <t c="1">
        <n x="717"/>
      </t>
    </mdx>
    <mdx n="33" f="m">
      <t c="1">
        <n x="718"/>
      </t>
    </mdx>
    <mdx n="33" f="m">
      <t c="1">
        <n x="719"/>
      </t>
    </mdx>
    <mdx n="33" f="m">
      <t c="1">
        <n x="720"/>
      </t>
    </mdx>
    <mdx n="33" f="m">
      <t c="1">
        <n x="721"/>
      </t>
    </mdx>
    <mdx n="33" f="m">
      <t c="1">
        <n x="722"/>
      </t>
    </mdx>
    <mdx n="33" f="m">
      <t c="1">
        <n x="723"/>
      </t>
    </mdx>
    <mdx n="33" f="m">
      <t c="1">
        <n x="724"/>
      </t>
    </mdx>
    <mdx n="33" f="m">
      <t c="1">
        <n x="725"/>
      </t>
    </mdx>
    <mdx n="33" f="m">
      <t c="1">
        <n x="726"/>
      </t>
    </mdx>
    <mdx n="33" f="m">
      <t c="1">
        <n x="727"/>
      </t>
    </mdx>
    <mdx n="33" f="m">
      <t c="1">
        <n x="728"/>
      </t>
    </mdx>
    <mdx n="33" f="m">
      <t c="1">
        <n x="729"/>
      </t>
    </mdx>
    <mdx n="33" f="m">
      <t c="1">
        <n x="730"/>
      </t>
    </mdx>
    <mdx n="33" f="m">
      <t c="1">
        <n x="731"/>
      </t>
    </mdx>
    <mdx n="33" f="m">
      <t c="1">
        <n x="732"/>
      </t>
    </mdx>
    <mdx n="33" f="m">
      <t c="1">
        <n x="733"/>
      </t>
    </mdx>
    <mdx n="33" f="m">
      <t c="1">
        <n x="734"/>
      </t>
    </mdx>
    <mdx n="33" f="m">
      <t c="1">
        <n x="735"/>
      </t>
    </mdx>
    <mdx n="33" f="m">
      <t c="1">
        <n x="736"/>
      </t>
    </mdx>
    <mdx n="33" f="m">
      <t c="1">
        <n x="737"/>
      </t>
    </mdx>
    <mdx n="33" f="m">
      <t c="1">
        <n x="738"/>
      </t>
    </mdx>
    <mdx n="33" f="m">
      <t c="1">
        <n x="739"/>
      </t>
    </mdx>
    <mdx n="33" f="m">
      <t c="1">
        <n x="740"/>
      </t>
    </mdx>
    <mdx n="33" f="m">
      <t c="1">
        <n x="741"/>
      </t>
    </mdx>
    <mdx n="33" f="m">
      <t c="1">
        <n x="742"/>
      </t>
    </mdx>
    <mdx n="33" f="m">
      <t c="1">
        <n x="743"/>
      </t>
    </mdx>
    <mdx n="33" f="m">
      <t c="1">
        <n x="744"/>
      </t>
    </mdx>
    <mdx n="33" f="m">
      <t c="1">
        <n x="745"/>
      </t>
    </mdx>
    <mdx n="33" f="m">
      <t c="1">
        <n x="746"/>
      </t>
    </mdx>
    <mdx n="33" f="m">
      <t c="1">
        <n x="747"/>
      </t>
    </mdx>
    <mdx n="33" f="m">
      <t c="1">
        <n x="748"/>
      </t>
    </mdx>
    <mdx n="33" f="m">
      <t c="1">
        <n x="749"/>
      </t>
    </mdx>
    <mdx n="33" f="m">
      <t c="1">
        <n x="750"/>
      </t>
    </mdx>
    <mdx n="33" f="m">
      <t c="1">
        <n x="751"/>
      </t>
    </mdx>
    <mdx n="33" f="m">
      <t c="1">
        <n x="752"/>
      </t>
    </mdx>
    <mdx n="33" f="m">
      <t c="1">
        <n x="753"/>
      </t>
    </mdx>
    <mdx n="33" f="m">
      <t c="1">
        <n x="754"/>
      </t>
    </mdx>
    <mdx n="33" f="m">
      <t c="1">
        <n x="755"/>
      </t>
    </mdx>
    <mdx n="33" f="m">
      <t c="1">
        <n x="756"/>
      </t>
    </mdx>
    <mdx n="33" f="m">
      <t c="1">
        <n x="757"/>
      </t>
    </mdx>
    <mdx n="33" f="m">
      <t c="1">
        <n x="758"/>
      </t>
    </mdx>
    <mdx n="33" f="m">
      <t c="1">
        <n x="759"/>
      </t>
    </mdx>
    <mdx n="33" f="m">
      <t c="1">
        <n x="760"/>
      </t>
    </mdx>
    <mdx n="33" f="m">
      <t c="1">
        <n x="761"/>
      </t>
    </mdx>
    <mdx n="33" f="m">
      <t c="1">
        <n x="762"/>
      </t>
    </mdx>
    <mdx n="33" f="m">
      <t c="1">
        <n x="763"/>
      </t>
    </mdx>
    <mdx n="33" f="m">
      <t c="1">
        <n x="764"/>
      </t>
    </mdx>
    <mdx n="33" f="m">
      <t c="1">
        <n x="765"/>
      </t>
    </mdx>
    <mdx n="33" f="m">
      <t c="1">
        <n x="766"/>
      </t>
    </mdx>
    <mdx n="33" f="m">
      <t c="1">
        <n x="767"/>
      </t>
    </mdx>
    <mdx n="33" f="m">
      <t c="1">
        <n x="768"/>
      </t>
    </mdx>
    <mdx n="33" f="m">
      <t c="1">
        <n x="769"/>
      </t>
    </mdx>
    <mdx n="33" f="m">
      <t c="1">
        <n x="770"/>
      </t>
    </mdx>
    <mdx n="33" f="m">
      <t c="1">
        <n x="771"/>
      </t>
    </mdx>
    <mdx n="33" f="m">
      <t c="1">
        <n x="772"/>
      </t>
    </mdx>
    <mdx n="33" f="m">
      <t c="1">
        <n x="773"/>
      </t>
    </mdx>
    <mdx n="33" f="m">
      <t c="1">
        <n x="774"/>
      </t>
    </mdx>
    <mdx n="33" f="m">
      <t c="1">
        <n x="775"/>
      </t>
    </mdx>
    <mdx n="33" f="m">
      <t c="1">
        <n x="776"/>
      </t>
    </mdx>
    <mdx n="33" f="m">
      <t c="1">
        <n x="777"/>
      </t>
    </mdx>
    <mdx n="33" f="m">
      <t c="1">
        <n x="778"/>
      </t>
    </mdx>
    <mdx n="33" f="m">
      <t c="1">
        <n x="779"/>
      </t>
    </mdx>
    <mdx n="33" f="m">
      <t c="1">
        <n x="780"/>
      </t>
    </mdx>
    <mdx n="33" f="m">
      <t c="1">
        <n x="781"/>
      </t>
    </mdx>
    <mdx n="33" f="m">
      <t c="1">
        <n x="782"/>
      </t>
    </mdx>
    <mdx n="33" f="m">
      <t c="1">
        <n x="783"/>
      </t>
    </mdx>
    <mdx n="33" f="m">
      <t c="1">
        <n x="784"/>
      </t>
    </mdx>
    <mdx n="33" f="m">
      <t c="1">
        <n x="785"/>
      </t>
    </mdx>
    <mdx n="33" f="m">
      <t c="1">
        <n x="786"/>
      </t>
    </mdx>
    <mdx n="33" f="m">
      <t c="1">
        <n x="787"/>
      </t>
    </mdx>
    <mdx n="33" f="m">
      <t c="1">
        <n x="788"/>
      </t>
    </mdx>
    <mdx n="33" f="m">
      <t c="1">
        <n x="789"/>
      </t>
    </mdx>
    <mdx n="33" f="m">
      <t c="1">
        <n x="790"/>
      </t>
    </mdx>
    <mdx n="33" f="m">
      <t c="1">
        <n x="791"/>
      </t>
    </mdx>
    <mdx n="33" f="m">
      <t c="1">
        <n x="792"/>
      </t>
    </mdx>
    <mdx n="33" f="m">
      <t c="1">
        <n x="793"/>
      </t>
    </mdx>
    <mdx n="33" f="m">
      <t c="1">
        <n x="794"/>
      </t>
    </mdx>
    <mdx n="33" f="m">
      <t c="1">
        <n x="795"/>
      </t>
    </mdx>
    <mdx n="33" f="m">
      <t c="1">
        <n x="796"/>
      </t>
    </mdx>
    <mdx n="33" f="m">
      <t c="1">
        <n x="797"/>
      </t>
    </mdx>
    <mdx n="33" f="m">
      <t c="1">
        <n x="798"/>
      </t>
    </mdx>
    <mdx n="33" f="m">
      <t c="1">
        <n x="799"/>
      </t>
    </mdx>
    <mdx n="33" f="m">
      <t c="1">
        <n x="800"/>
      </t>
    </mdx>
    <mdx n="33" f="m">
      <t c="1">
        <n x="801"/>
      </t>
    </mdx>
    <mdx n="33" f="m">
      <t c="1">
        <n x="802"/>
      </t>
    </mdx>
    <mdx n="33" f="m">
      <t c="1">
        <n x="803"/>
      </t>
    </mdx>
    <mdx n="33" f="m">
      <t c="1">
        <n x="804"/>
      </t>
    </mdx>
    <mdx n="33" f="m">
      <t c="1">
        <n x="805"/>
      </t>
    </mdx>
    <mdx n="33" f="m">
      <t c="1">
        <n x="806"/>
      </t>
    </mdx>
    <mdx n="33" f="m">
      <t c="1">
        <n x="807"/>
      </t>
    </mdx>
    <mdx n="33" f="m">
      <t c="1">
        <n x="808"/>
      </t>
    </mdx>
    <mdx n="33" f="m">
      <t c="1">
        <n x="809"/>
      </t>
    </mdx>
    <mdx n="33" f="m">
      <t c="1">
        <n x="810"/>
      </t>
    </mdx>
    <mdx n="33" f="m">
      <t c="1">
        <n x="811"/>
      </t>
    </mdx>
    <mdx n="33" f="m">
      <t c="1">
        <n x="812"/>
      </t>
    </mdx>
    <mdx n="33" f="m">
      <t c="1">
        <n x="813"/>
      </t>
    </mdx>
    <mdx n="33" f="m">
      <t c="1">
        <n x="814"/>
      </t>
    </mdx>
    <mdx n="33" f="m">
      <t c="1">
        <n x="815"/>
      </t>
    </mdx>
    <mdx n="33" f="m">
      <t c="1">
        <n x="816"/>
      </t>
    </mdx>
    <mdx n="33" f="m">
      <t c="1">
        <n x="817"/>
      </t>
    </mdx>
    <mdx n="33" f="m">
      <t c="1">
        <n x="818"/>
      </t>
    </mdx>
    <mdx n="33" f="m">
      <t c="1">
        <n x="819"/>
      </t>
    </mdx>
    <mdx n="33" f="m">
      <t c="1">
        <n x="820"/>
      </t>
    </mdx>
    <mdx n="33" f="m">
      <t c="1">
        <n x="821"/>
      </t>
    </mdx>
    <mdx n="33" f="m">
      <t c="1">
        <n x="822"/>
      </t>
    </mdx>
    <mdx n="33" f="m">
      <t c="1">
        <n x="823"/>
      </t>
    </mdx>
    <mdx n="33" f="m">
      <t c="1">
        <n x="824"/>
      </t>
    </mdx>
    <mdx n="33" f="m">
      <t c="1">
        <n x="825"/>
      </t>
    </mdx>
    <mdx n="33" f="m">
      <t c="1">
        <n x="826"/>
      </t>
    </mdx>
    <mdx n="33" f="m">
      <t c="1">
        <n x="827"/>
      </t>
    </mdx>
    <mdx n="33" f="m">
      <t c="1">
        <n x="828"/>
      </t>
    </mdx>
    <mdx n="33" f="m">
      <t c="1">
        <n x="829"/>
      </t>
    </mdx>
    <mdx n="33" f="m">
      <t c="1">
        <n x="830"/>
      </t>
    </mdx>
    <mdx n="33" f="m">
      <t c="1">
        <n x="831"/>
      </t>
    </mdx>
    <mdx n="33" f="m">
      <t c="1">
        <n x="832"/>
      </t>
    </mdx>
    <mdx n="33" f="m">
      <t c="1">
        <n x="833"/>
      </t>
    </mdx>
    <mdx n="33" f="m">
      <t c="1">
        <n x="834"/>
      </t>
    </mdx>
    <mdx n="33" f="m">
      <t c="1">
        <n x="835"/>
      </t>
    </mdx>
    <mdx n="33" f="m">
      <t c="1">
        <n x="836"/>
      </t>
    </mdx>
    <mdx n="33" f="m">
      <t c="1">
        <n x="837"/>
      </t>
    </mdx>
    <mdx n="33" f="m">
      <t c="1">
        <n x="838"/>
      </t>
    </mdx>
    <mdx n="33" f="m">
      <t c="1">
        <n x="839"/>
      </t>
    </mdx>
    <mdx n="33" f="m">
      <t c="1">
        <n x="840"/>
      </t>
    </mdx>
    <mdx n="33" f="m">
      <t c="1">
        <n x="841"/>
      </t>
    </mdx>
    <mdx n="33" f="m">
      <t c="1">
        <n x="842"/>
      </t>
    </mdx>
    <mdx n="33" f="m">
      <t c="1">
        <n x="843"/>
      </t>
    </mdx>
    <mdx n="33" f="m">
      <t c="1">
        <n x="844"/>
      </t>
    </mdx>
    <mdx n="33" f="m">
      <t c="1">
        <n x="845"/>
      </t>
    </mdx>
    <mdx n="33" f="m">
      <t c="1">
        <n x="846"/>
      </t>
    </mdx>
    <mdx n="33" f="m">
      <t c="1">
        <n x="847"/>
      </t>
    </mdx>
    <mdx n="33" f="m">
      <t c="1">
        <n x="848"/>
      </t>
    </mdx>
    <mdx n="33" f="m">
      <t c="1">
        <n x="849"/>
      </t>
    </mdx>
    <mdx n="33" f="m">
      <t c="1">
        <n x="850"/>
      </t>
    </mdx>
    <mdx n="33" f="m">
      <t c="1">
        <n x="851"/>
      </t>
    </mdx>
    <mdx n="33" f="m">
      <t c="1">
        <n x="852"/>
      </t>
    </mdx>
    <mdx n="33" f="m">
      <t c="1">
        <n x="853"/>
      </t>
    </mdx>
    <mdx n="33" f="m">
      <t c="1">
        <n x="854"/>
      </t>
    </mdx>
    <mdx n="33" f="m">
      <t c="1">
        <n x="855"/>
      </t>
    </mdx>
    <mdx n="33" f="m">
      <t c="1">
        <n x="856"/>
      </t>
    </mdx>
    <mdx n="33" f="m">
      <t c="1">
        <n x="857"/>
      </t>
    </mdx>
    <mdx n="33" f="m">
      <t c="1">
        <n x="858"/>
      </t>
    </mdx>
    <mdx n="33" f="m">
      <t c="1">
        <n x="859"/>
      </t>
    </mdx>
    <mdx n="33" f="m">
      <t c="1">
        <n x="860"/>
      </t>
    </mdx>
    <mdx n="33" f="m">
      <t c="1">
        <n x="861"/>
      </t>
    </mdx>
    <mdx n="33" f="m">
      <t c="1">
        <n x="862"/>
      </t>
    </mdx>
    <mdx n="33" f="m">
      <t c="1">
        <n x="863"/>
      </t>
    </mdx>
    <mdx n="33" f="m">
      <t c="1">
        <n x="864"/>
      </t>
    </mdx>
    <mdx n="33" f="m">
      <t c="1">
        <n x="865"/>
      </t>
    </mdx>
    <mdx n="33" f="m">
      <t c="1">
        <n x="866"/>
      </t>
    </mdx>
    <mdx n="33" f="m">
      <t c="1">
        <n x="867"/>
      </t>
    </mdx>
    <mdx n="33" f="m">
      <t c="1">
        <n x="868"/>
      </t>
    </mdx>
    <mdx n="33" f="m">
      <t c="1">
        <n x="869"/>
      </t>
    </mdx>
    <mdx n="33" f="m">
      <t c="1">
        <n x="870"/>
      </t>
    </mdx>
    <mdx n="33" f="m">
      <t c="1">
        <n x="871"/>
      </t>
    </mdx>
    <mdx n="33" f="m">
      <t c="1">
        <n x="872"/>
      </t>
    </mdx>
    <mdx n="33" f="m">
      <t c="1">
        <n x="873"/>
      </t>
    </mdx>
    <mdx n="33" f="m">
      <t c="1">
        <n x="874"/>
      </t>
    </mdx>
    <mdx n="33" f="m">
      <t c="1">
        <n x="875"/>
      </t>
    </mdx>
    <mdx n="33" f="m">
      <t c="1">
        <n x="876"/>
      </t>
    </mdx>
    <mdx n="33" f="m">
      <t c="1">
        <n x="877"/>
      </t>
    </mdx>
    <mdx n="33" f="m">
      <t c="1">
        <n x="878"/>
      </t>
    </mdx>
    <mdx n="33" f="m">
      <t c="1">
        <n x="879"/>
      </t>
    </mdx>
    <mdx n="33" f="m">
      <t c="1">
        <n x="880"/>
      </t>
    </mdx>
    <mdx n="33" f="m">
      <t c="1">
        <n x="881"/>
      </t>
    </mdx>
    <mdx n="33" f="m">
      <t c="1">
        <n x="882"/>
      </t>
    </mdx>
    <mdx n="33" f="m">
      <t c="1">
        <n x="883"/>
      </t>
    </mdx>
    <mdx n="33" f="m">
      <t c="1">
        <n x="884"/>
      </t>
    </mdx>
    <mdx n="33" f="m">
      <t c="1">
        <n x="885"/>
      </t>
    </mdx>
    <mdx n="33" f="m">
      <t c="1">
        <n x="886"/>
      </t>
    </mdx>
    <mdx n="33" f="m">
      <t c="1">
        <n x="887"/>
      </t>
    </mdx>
    <mdx n="33" f="m">
      <t c="1">
        <n x="888"/>
      </t>
    </mdx>
    <mdx n="33" f="m">
      <t c="1">
        <n x="889"/>
      </t>
    </mdx>
    <mdx n="33" f="m">
      <t c="1">
        <n x="890"/>
      </t>
    </mdx>
    <mdx n="33" f="m">
      <t c="1">
        <n x="891"/>
      </t>
    </mdx>
    <mdx n="33" f="m">
      <t c="1">
        <n x="892"/>
      </t>
    </mdx>
    <mdx n="33" f="m">
      <t c="1">
        <n x="893"/>
      </t>
    </mdx>
    <mdx n="33" f="m">
      <t c="1">
        <n x="894"/>
      </t>
    </mdx>
    <mdx n="33" f="m">
      <t c="1">
        <n x="895"/>
      </t>
    </mdx>
    <mdx n="33" f="m">
      <t c="1">
        <n x="896"/>
      </t>
    </mdx>
    <mdx n="33" f="m">
      <t c="1">
        <n x="897"/>
      </t>
    </mdx>
    <mdx n="33" f="m">
      <t c="1">
        <n x="898"/>
      </t>
    </mdx>
    <mdx n="33" f="m">
      <t c="1">
        <n x="899"/>
      </t>
    </mdx>
    <mdx n="33" f="m">
      <t c="1">
        <n x="900"/>
      </t>
    </mdx>
    <mdx n="33" f="m">
      <t c="1">
        <n x="901"/>
      </t>
    </mdx>
    <mdx n="33" f="m">
      <t c="1">
        <n x="902"/>
      </t>
    </mdx>
    <mdx n="33" f="m">
      <t c="1">
        <n x="903"/>
      </t>
    </mdx>
    <mdx n="33" f="m">
      <t c="1">
        <n x="904"/>
      </t>
    </mdx>
    <mdx n="33" f="m">
      <t c="1">
        <n x="905"/>
      </t>
    </mdx>
    <mdx n="33" f="m">
      <t c="1">
        <n x="906"/>
      </t>
    </mdx>
    <mdx n="33" f="m">
      <t c="1">
        <n x="907"/>
      </t>
    </mdx>
    <mdx n="33" f="m">
      <t c="1">
        <n x="908"/>
      </t>
    </mdx>
    <mdx n="33" f="m">
      <t c="1">
        <n x="909"/>
      </t>
    </mdx>
    <mdx n="33" f="m">
      <t c="1">
        <n x="910"/>
      </t>
    </mdx>
    <mdx n="33" f="m">
      <t c="1">
        <n x="911"/>
      </t>
    </mdx>
    <mdx n="33" f="m">
      <t c="1">
        <n x="912"/>
      </t>
    </mdx>
    <mdx n="33" f="m">
      <t c="1">
        <n x="913"/>
      </t>
    </mdx>
    <mdx n="33" f="m">
      <t c="1">
        <n x="914"/>
      </t>
    </mdx>
    <mdx n="33" f="m">
      <t c="1">
        <n x="915"/>
      </t>
    </mdx>
    <mdx n="33" f="m">
      <t c="1">
        <n x="916"/>
      </t>
    </mdx>
    <mdx n="33" f="m">
      <t c="1">
        <n x="917"/>
      </t>
    </mdx>
    <mdx n="33" f="m">
      <t c="1">
        <n x="918"/>
      </t>
    </mdx>
    <mdx n="33" f="m">
      <t c="1">
        <n x="919"/>
      </t>
    </mdx>
    <mdx n="33" f="m">
      <t c="1">
        <n x="920"/>
      </t>
    </mdx>
    <mdx n="33" f="m">
      <t c="1">
        <n x="921"/>
      </t>
    </mdx>
    <mdx n="33" f="m">
      <t c="1">
        <n x="922"/>
      </t>
    </mdx>
    <mdx n="33" f="m">
      <t c="1">
        <n x="923"/>
      </t>
    </mdx>
    <mdx n="33" f="m">
      <t c="1">
        <n x="924"/>
      </t>
    </mdx>
    <mdx n="33" f="m">
      <t c="1">
        <n x="925"/>
      </t>
    </mdx>
    <mdx n="33" f="m">
      <t c="1">
        <n x="926"/>
      </t>
    </mdx>
    <mdx n="33" f="m">
      <t c="1">
        <n x="927"/>
      </t>
    </mdx>
    <mdx n="33" f="m">
      <t c="1">
        <n x="928"/>
      </t>
    </mdx>
    <mdx n="33" f="m">
      <t c="1">
        <n x="929"/>
      </t>
    </mdx>
    <mdx n="33" f="m">
      <t c="1">
        <n x="930"/>
      </t>
    </mdx>
    <mdx n="33" f="m">
      <t c="1">
        <n x="931"/>
      </t>
    </mdx>
    <mdx n="33" f="m">
      <t c="1">
        <n x="932"/>
      </t>
    </mdx>
    <mdx n="33" f="m">
      <t c="1">
        <n x="933"/>
      </t>
    </mdx>
    <mdx n="33" f="m">
      <t c="1">
        <n x="934"/>
      </t>
    </mdx>
    <mdx n="33" f="m">
      <t c="1">
        <n x="935"/>
      </t>
    </mdx>
    <mdx n="33" f="m">
      <t c="1">
        <n x="936"/>
      </t>
    </mdx>
    <mdx n="33" f="m">
      <t c="1">
        <n x="937"/>
      </t>
    </mdx>
    <mdx n="33" f="m">
      <t c="1">
        <n x="938"/>
      </t>
    </mdx>
    <mdx n="33" f="m">
      <t c="1">
        <n x="939"/>
      </t>
    </mdx>
    <mdx n="33" f="m">
      <t c="1">
        <n x="940"/>
      </t>
    </mdx>
    <mdx n="33" f="m">
      <t c="1">
        <n x="941"/>
      </t>
    </mdx>
    <mdx n="33" f="m">
      <t c="1">
        <n x="942"/>
      </t>
    </mdx>
    <mdx n="33" f="m">
      <t c="1">
        <n x="943"/>
      </t>
    </mdx>
    <mdx n="33" f="m">
      <t c="1">
        <n x="944"/>
      </t>
    </mdx>
    <mdx n="33" f="m">
      <t c="1">
        <n x="945"/>
      </t>
    </mdx>
    <mdx n="33" f="m">
      <t c="1">
        <n x="946"/>
      </t>
    </mdx>
    <mdx n="33" f="m">
      <t c="1">
        <n x="947"/>
      </t>
    </mdx>
    <mdx n="33" f="m">
      <t c="1">
        <n x="948"/>
      </t>
    </mdx>
    <mdx n="33" f="m">
      <t c="1">
        <n x="949"/>
      </t>
    </mdx>
    <mdx n="33" f="m">
      <t c="1">
        <n x="950"/>
      </t>
    </mdx>
    <mdx n="33" f="m">
      <t c="1">
        <n x="951"/>
      </t>
    </mdx>
    <mdx n="33" f="m">
      <t c="1">
        <n x="952"/>
      </t>
    </mdx>
    <mdx n="33" f="m">
      <t c="1">
        <n x="953"/>
      </t>
    </mdx>
    <mdx n="33" f="m">
      <t c="1">
        <n x="954"/>
      </t>
    </mdx>
    <mdx n="33" f="m">
      <t c="1">
        <n x="955"/>
      </t>
    </mdx>
    <mdx n="33" f="m">
      <t c="1">
        <n x="956"/>
      </t>
    </mdx>
    <mdx n="33" f="m">
      <t c="1">
        <n x="957"/>
      </t>
    </mdx>
    <mdx n="33" f="m">
      <t c="1">
        <n x="958"/>
      </t>
    </mdx>
    <mdx n="33" f="m">
      <t c="1">
        <n x="959"/>
      </t>
    </mdx>
    <mdx n="33" f="m">
      <t c="1">
        <n x="960"/>
      </t>
    </mdx>
    <mdx n="33" f="m">
      <t c="1">
        <n x="961"/>
      </t>
    </mdx>
    <mdx n="33" f="m">
      <t c="1">
        <n x="962"/>
      </t>
    </mdx>
    <mdx n="33" f="m">
      <t c="1">
        <n x="963"/>
      </t>
    </mdx>
    <mdx n="33" f="m">
      <t c="1">
        <n x="964"/>
      </t>
    </mdx>
    <mdx n="33" f="m">
      <t c="1">
        <n x="965"/>
      </t>
    </mdx>
    <mdx n="33" f="m">
      <t c="1">
        <n x="966"/>
      </t>
    </mdx>
    <mdx n="33" f="m">
      <t c="1">
        <n x="967"/>
      </t>
    </mdx>
    <mdx n="33" f="m">
      <t c="1">
        <n x="968"/>
      </t>
    </mdx>
    <mdx n="33" f="m">
      <t c="1">
        <n x="969"/>
      </t>
    </mdx>
    <mdx n="33" f="m">
      <t c="1">
        <n x="970"/>
      </t>
    </mdx>
    <mdx n="33" f="m">
      <t c="1">
        <n x="971"/>
      </t>
    </mdx>
    <mdx n="33" f="m">
      <t c="1">
        <n x="972"/>
      </t>
    </mdx>
    <mdx n="33" f="m">
      <t c="1">
        <n x="973"/>
      </t>
    </mdx>
    <mdx n="33" f="m">
      <t c="1">
        <n x="974"/>
      </t>
    </mdx>
    <mdx n="33" f="m">
      <t c="1">
        <n x="975"/>
      </t>
    </mdx>
    <mdx n="33" f="m">
      <t c="1">
        <n x="976"/>
      </t>
    </mdx>
    <mdx n="33" f="m">
      <t c="1">
        <n x="977"/>
      </t>
    </mdx>
    <mdx n="33" f="m">
      <t c="1">
        <n x="978"/>
      </t>
    </mdx>
    <mdx n="33" f="m">
      <t c="1">
        <n x="979"/>
      </t>
    </mdx>
    <mdx n="33" f="m">
      <t c="1">
        <n x="980"/>
      </t>
    </mdx>
    <mdx n="33" f="m">
      <t c="1">
        <n x="981"/>
      </t>
    </mdx>
    <mdx n="33" f="m">
      <t c="1">
        <n x="982"/>
      </t>
    </mdx>
    <mdx n="33" f="m">
      <t c="1">
        <n x="983"/>
      </t>
    </mdx>
    <mdx n="33" f="m">
      <t c="1">
        <n x="984"/>
      </t>
    </mdx>
    <mdx n="33" f="m">
      <t c="1">
        <n x="985"/>
      </t>
    </mdx>
    <mdx n="33" f="m">
      <t c="1">
        <n x="986"/>
      </t>
    </mdx>
    <mdx n="33" f="m">
      <t c="1">
        <n x="987"/>
      </t>
    </mdx>
    <mdx n="33" f="m">
      <t c="1">
        <n x="988"/>
      </t>
    </mdx>
    <mdx n="33" f="m">
      <t c="1">
        <n x="989"/>
      </t>
    </mdx>
    <mdx n="33" f="m">
      <t c="1">
        <n x="990"/>
      </t>
    </mdx>
    <mdx n="33" f="m">
      <t c="1">
        <n x="991"/>
      </t>
    </mdx>
    <mdx n="33" f="m">
      <t c="1">
        <n x="992"/>
      </t>
    </mdx>
    <mdx n="33" f="m">
      <t c="1">
        <n x="993"/>
      </t>
    </mdx>
    <mdx n="33" f="m">
      <t c="1">
        <n x="994"/>
      </t>
    </mdx>
    <mdx n="33" f="m">
      <t c="1">
        <n x="995"/>
      </t>
    </mdx>
    <mdx n="33" f="m">
      <t c="1">
        <n x="996"/>
      </t>
    </mdx>
    <mdx n="33" f="m">
      <t c="1">
        <n x="997"/>
      </t>
    </mdx>
    <mdx n="33" f="m">
      <t c="1">
        <n x="998"/>
      </t>
    </mdx>
    <mdx n="33" f="m">
      <t c="1">
        <n x="999"/>
      </t>
    </mdx>
    <mdx n="33" f="m">
      <t c="1">
        <n x="1000"/>
      </t>
    </mdx>
    <mdx n="33" f="m">
      <t c="1">
        <n x="1001"/>
      </t>
    </mdx>
    <mdx n="33" f="m">
      <t c="1">
        <n x="1002"/>
      </t>
    </mdx>
    <mdx n="33" f="m">
      <t c="1">
        <n x="1003"/>
      </t>
    </mdx>
    <mdx n="33" f="m">
      <t c="1">
        <n x="1004"/>
      </t>
    </mdx>
    <mdx n="33" f="m">
      <t c="1">
        <n x="1005"/>
      </t>
    </mdx>
    <mdx n="33" f="m">
      <t c="1">
        <n x="1006"/>
      </t>
    </mdx>
    <mdx n="33" f="m">
      <t c="1">
        <n x="1007"/>
      </t>
    </mdx>
    <mdx n="33" f="m">
      <t c="1">
        <n x="1008"/>
      </t>
    </mdx>
    <mdx n="33" f="m">
      <t c="1">
        <n x="1009"/>
      </t>
    </mdx>
    <mdx n="33" f="m">
      <t c="1">
        <n x="1010"/>
      </t>
    </mdx>
    <mdx n="33" f="m">
      <t c="1">
        <n x="1011"/>
      </t>
    </mdx>
    <mdx n="33" f="m">
      <t c="1">
        <n x="1012"/>
      </t>
    </mdx>
    <mdx n="33" f="m">
      <t c="1">
        <n x="1013"/>
      </t>
    </mdx>
    <mdx n="33" f="m">
      <t c="1">
        <n x="1014"/>
      </t>
    </mdx>
    <mdx n="33" f="m">
      <t c="1">
        <n x="1015"/>
      </t>
    </mdx>
    <mdx n="33" f="m">
      <t c="1">
        <n x="1016"/>
      </t>
    </mdx>
    <mdx n="33" f="m">
      <t c="1">
        <n x="1017"/>
      </t>
    </mdx>
    <mdx n="33" f="m">
      <t c="1">
        <n x="1018"/>
      </t>
    </mdx>
    <mdx n="33" f="m">
      <t c="1">
        <n x="1019"/>
      </t>
    </mdx>
    <mdx n="33" f="m">
      <t c="1">
        <n x="1020"/>
      </t>
    </mdx>
    <mdx n="33" f="m">
      <t c="1">
        <n x="1021"/>
      </t>
    </mdx>
    <mdx n="33" f="m">
      <t c="1">
        <n x="1022"/>
      </t>
    </mdx>
    <mdx n="33" f="m">
      <t c="1">
        <n x="1023"/>
      </t>
    </mdx>
    <mdx n="33" f="m">
      <t c="1">
        <n x="1024"/>
      </t>
    </mdx>
    <mdx n="33" f="m">
      <t c="1">
        <n x="1025"/>
      </t>
    </mdx>
    <mdx n="33" f="m">
      <t c="1">
        <n x="1026"/>
      </t>
    </mdx>
    <mdx n="33" f="m">
      <t c="1">
        <n x="1027"/>
      </t>
    </mdx>
    <mdx n="33" f="m">
      <t c="1">
        <n x="1028"/>
      </t>
    </mdx>
    <mdx n="33" f="m">
      <t c="1">
        <n x="1029"/>
      </t>
    </mdx>
    <mdx n="33" f="m">
      <t c="1">
        <n x="1030"/>
      </t>
    </mdx>
    <mdx n="33" f="m">
      <t c="1">
        <n x="1031"/>
      </t>
    </mdx>
    <mdx n="33" f="m">
      <t c="1">
        <n x="1032"/>
      </t>
    </mdx>
    <mdx n="33" f="m">
      <t c="1">
        <n x="1033"/>
      </t>
    </mdx>
    <mdx n="33" f="m">
      <t c="1">
        <n x="1034"/>
      </t>
    </mdx>
    <mdx n="33" f="m">
      <t c="1">
        <n x="1035"/>
      </t>
    </mdx>
    <mdx n="33" f="m">
      <t c="1">
        <n x="1036"/>
      </t>
    </mdx>
    <mdx n="33" f="m">
      <t c="1">
        <n x="1037"/>
      </t>
    </mdx>
    <mdx n="33" f="m">
      <t c="1">
        <n x="1038"/>
      </t>
    </mdx>
    <mdx n="33" f="m">
      <t c="1">
        <n x="1039"/>
      </t>
    </mdx>
    <mdx n="33" f="m">
      <t c="1">
        <n x="1040"/>
      </t>
    </mdx>
    <mdx n="33" f="m">
      <t c="1">
        <n x="1041"/>
      </t>
    </mdx>
    <mdx n="33" f="m">
      <t c="1">
        <n x="1042"/>
      </t>
    </mdx>
    <mdx n="33" f="m">
      <t c="1">
        <n x="1043"/>
      </t>
    </mdx>
    <mdx n="33" f="m">
      <t c="1">
        <n x="1044"/>
      </t>
    </mdx>
    <mdx n="33" f="m">
      <t c="1">
        <n x="1045"/>
      </t>
    </mdx>
    <mdx n="33" f="m">
      <t c="1">
        <n x="1046"/>
      </t>
    </mdx>
    <mdx n="33" f="m">
      <t c="1">
        <n x="1047"/>
      </t>
    </mdx>
    <mdx n="33" f="m">
      <t c="1">
        <n x="1048"/>
      </t>
    </mdx>
    <mdx n="33" f="m">
      <t c="1">
        <n x="1049"/>
      </t>
    </mdx>
    <mdx n="33" f="m">
      <t c="1">
        <n x="1050"/>
      </t>
    </mdx>
    <mdx n="33" f="m">
      <t c="1">
        <n x="1051"/>
      </t>
    </mdx>
    <mdx n="33" f="m">
      <t c="1">
        <n x="1052"/>
      </t>
    </mdx>
    <mdx n="33" f="m">
      <t c="1">
        <n x="1053"/>
      </t>
    </mdx>
    <mdx n="33" f="m">
      <t c="1">
        <n x="1054"/>
      </t>
    </mdx>
    <mdx n="33" f="m">
      <t c="1">
        <n x="1055"/>
      </t>
    </mdx>
    <mdx n="33" f="m">
      <t c="1">
        <n x="1056"/>
      </t>
    </mdx>
    <mdx n="33" f="m">
      <t c="1">
        <n x="1057"/>
      </t>
    </mdx>
    <mdx n="33" f="m">
      <t c="1">
        <n x="1058"/>
      </t>
    </mdx>
    <mdx n="33" f="m">
      <t c="1">
        <n x="1059"/>
      </t>
    </mdx>
    <mdx n="33" f="m">
      <t c="1">
        <n x="1060"/>
      </t>
    </mdx>
    <mdx n="33" f="m">
      <t c="1">
        <n x="1061"/>
      </t>
    </mdx>
    <mdx n="33" f="m">
      <t c="1">
        <n x="1062"/>
      </t>
    </mdx>
    <mdx n="33" f="m">
      <t c="1">
        <n x="1063"/>
      </t>
    </mdx>
    <mdx n="33" f="m">
      <t c="1">
        <n x="1064"/>
      </t>
    </mdx>
    <mdx n="33" f="m">
      <t c="1">
        <n x="1065"/>
      </t>
    </mdx>
    <mdx n="33" f="m">
      <t c="1">
        <n x="1066"/>
      </t>
    </mdx>
    <mdx n="33" f="m">
      <t c="1">
        <n x="1067"/>
      </t>
    </mdx>
    <mdx n="33" f="m">
      <t c="1">
        <n x="1068"/>
      </t>
    </mdx>
    <mdx n="33" f="m">
      <t c="1">
        <n x="1069"/>
      </t>
    </mdx>
    <mdx n="33" f="m">
      <t c="1">
        <n x="1070"/>
      </t>
    </mdx>
    <mdx n="33" f="m">
      <t c="1">
        <n x="1071"/>
      </t>
    </mdx>
    <mdx n="33" f="m">
      <t c="1">
        <n x="1072"/>
      </t>
    </mdx>
    <mdx n="33" f="m">
      <t c="1">
        <n x="1073"/>
      </t>
    </mdx>
    <mdx n="33" f="m">
      <t c="1">
        <n x="1074"/>
      </t>
    </mdx>
    <mdx n="33" f="m">
      <t c="1">
        <n x="1075"/>
      </t>
    </mdx>
    <mdx n="33" f="m">
      <t c="1">
        <n x="1076"/>
      </t>
    </mdx>
    <mdx n="33" f="m">
      <t c="1">
        <n x="1077"/>
      </t>
    </mdx>
    <mdx n="33" f="m">
      <t c="1">
        <n x="1078"/>
      </t>
    </mdx>
    <mdx n="33" f="m">
      <t c="1">
        <n x="1079"/>
      </t>
    </mdx>
    <mdx n="33" f="m">
      <t c="1">
        <n x="1080"/>
      </t>
    </mdx>
    <mdx n="33" f="m">
      <t c="1">
        <n x="1081"/>
      </t>
    </mdx>
    <mdx n="33" f="m">
      <t c="1">
        <n x="1082"/>
      </t>
    </mdx>
    <mdx n="33" f="m">
      <t c="1">
        <n x="1083"/>
      </t>
    </mdx>
    <mdx n="33" f="m">
      <t c="1">
        <n x="1084"/>
      </t>
    </mdx>
    <mdx n="33" f="m">
      <t c="1">
        <n x="1085"/>
      </t>
    </mdx>
    <mdx n="33" f="m">
      <t c="1">
        <n x="1086"/>
      </t>
    </mdx>
    <mdx n="33" f="m">
      <t c="1">
        <n x="1087"/>
      </t>
    </mdx>
    <mdx n="33" f="m">
      <t c="1">
        <n x="1088"/>
      </t>
    </mdx>
    <mdx n="33" f="m">
      <t c="1">
        <n x="1089"/>
      </t>
    </mdx>
    <mdx n="33" f="m">
      <t c="1">
        <n x="1090"/>
      </t>
    </mdx>
    <mdx n="33" f="m">
      <t c="1">
        <n x="1091"/>
      </t>
    </mdx>
    <mdx n="33" f="m">
      <t c="1">
        <n x="1092"/>
      </t>
    </mdx>
    <mdx n="33" f="m">
      <t c="1">
        <n x="1093"/>
      </t>
    </mdx>
    <mdx n="33" f="m">
      <t c="1">
        <n x="1094"/>
      </t>
    </mdx>
    <mdx n="33" f="m">
      <t c="1">
        <n x="1095"/>
      </t>
    </mdx>
    <mdx n="33" f="m">
      <t c="1">
        <n x="1096"/>
      </t>
    </mdx>
    <mdx n="33" f="m">
      <t c="1">
        <n x="1097"/>
      </t>
    </mdx>
    <mdx n="33" f="m">
      <t c="1">
        <n x="1098"/>
      </t>
    </mdx>
    <mdx n="33" f="m">
      <t c="1">
        <n x="1099"/>
      </t>
    </mdx>
    <mdx n="33" f="m">
      <t c="1">
        <n x="1100"/>
      </t>
    </mdx>
    <mdx n="33" f="m">
      <t c="1">
        <n x="1101"/>
      </t>
    </mdx>
    <mdx n="33" f="m">
      <t c="1">
        <n x="1102"/>
      </t>
    </mdx>
    <mdx n="33" f="m">
      <t c="1">
        <n x="1103"/>
      </t>
    </mdx>
    <mdx n="33" f="m">
      <t c="1">
        <n x="1104"/>
      </t>
    </mdx>
    <mdx n="33" f="m">
      <t c="1">
        <n x="1105"/>
      </t>
    </mdx>
    <mdx n="33" f="m">
      <t c="1">
        <n x="1106"/>
      </t>
    </mdx>
    <mdx n="33" f="m">
      <t c="1">
        <n x="1107"/>
      </t>
    </mdx>
    <mdx n="33" f="m">
      <t c="1">
        <n x="1108"/>
      </t>
    </mdx>
    <mdx n="33" f="m">
      <t c="1">
        <n x="1109"/>
      </t>
    </mdx>
    <mdx n="33" f="m">
      <t c="1">
        <n x="1110"/>
      </t>
    </mdx>
    <mdx n="33" f="m">
      <t c="1">
        <n x="1111"/>
      </t>
    </mdx>
    <mdx n="33" f="m">
      <t c="1">
        <n x="1112"/>
      </t>
    </mdx>
    <mdx n="33" f="m">
      <t c="1">
        <n x="1113"/>
      </t>
    </mdx>
    <mdx n="33" f="m">
      <t c="1">
        <n x="1114"/>
      </t>
    </mdx>
    <mdx n="33" f="m">
      <t c="1">
        <n x="1115"/>
      </t>
    </mdx>
    <mdx n="33" f="m">
      <t c="1">
        <n x="1116"/>
      </t>
    </mdx>
    <mdx n="33" f="m">
      <t c="1">
        <n x="1117"/>
      </t>
    </mdx>
    <mdx n="33" f="m">
      <t c="1">
        <n x="1118"/>
      </t>
    </mdx>
    <mdx n="33" f="m">
      <t c="1">
        <n x="1119"/>
      </t>
    </mdx>
    <mdx n="33" f="m">
      <t c="1">
        <n x="1120"/>
      </t>
    </mdx>
    <mdx n="33" f="m">
      <t c="1">
        <n x="1121"/>
      </t>
    </mdx>
    <mdx n="33" f="m">
      <t c="1">
        <n x="1122"/>
      </t>
    </mdx>
    <mdx n="33" f="m">
      <t c="1">
        <n x="1123"/>
      </t>
    </mdx>
    <mdx n="33" f="m">
      <t c="1">
        <n x="1124"/>
      </t>
    </mdx>
    <mdx n="33" f="m">
      <t c="1">
        <n x="1125"/>
      </t>
    </mdx>
    <mdx n="33" f="m">
      <t c="1">
        <n x="1126"/>
      </t>
    </mdx>
    <mdx n="33" f="m">
      <t c="1">
        <n x="1127"/>
      </t>
    </mdx>
    <mdx n="33" f="m">
      <t c="1">
        <n x="1128"/>
      </t>
    </mdx>
    <mdx n="33" f="m">
      <t c="1">
        <n x="1129"/>
      </t>
    </mdx>
    <mdx n="33" f="m">
      <t c="1">
        <n x="1130"/>
      </t>
    </mdx>
    <mdx n="33" f="m">
      <t c="1">
        <n x="1131"/>
      </t>
    </mdx>
    <mdx n="33" f="m">
      <t c="1">
        <n x="1132"/>
      </t>
    </mdx>
    <mdx n="33" f="m">
      <t c="1">
        <n x="1133"/>
      </t>
    </mdx>
    <mdx n="33" f="m">
      <t c="1">
        <n x="1134"/>
      </t>
    </mdx>
    <mdx n="33" f="m">
      <t c="1">
        <n x="1135"/>
      </t>
    </mdx>
    <mdx n="33" f="m">
      <t c="1">
        <n x="1136"/>
      </t>
    </mdx>
    <mdx n="33" f="m">
      <t c="1">
        <n x="1137"/>
      </t>
    </mdx>
    <mdx n="33" f="m">
      <t c="1">
        <n x="1138"/>
      </t>
    </mdx>
    <mdx n="33" f="m">
      <t c="1">
        <n x="1139"/>
      </t>
    </mdx>
    <mdx n="33" f="m">
      <t c="1">
        <n x="1140"/>
      </t>
    </mdx>
    <mdx n="33" f="m">
      <t c="1">
        <n x="1141"/>
      </t>
    </mdx>
    <mdx n="33" f="m">
      <t c="1">
        <n x="1142"/>
      </t>
    </mdx>
    <mdx n="33" f="m">
      <t c="1">
        <n x="1143"/>
      </t>
    </mdx>
    <mdx n="33" f="m">
      <t c="1">
        <n x="1144"/>
      </t>
    </mdx>
    <mdx n="33" f="m">
      <t c="1">
        <n x="1145"/>
      </t>
    </mdx>
    <mdx n="33" f="m">
      <t c="1">
        <n x="1146"/>
      </t>
    </mdx>
    <mdx n="33" f="m">
      <t c="1">
        <n x="1147"/>
      </t>
    </mdx>
    <mdx n="33" f="m">
      <t c="1">
        <n x="1148"/>
      </t>
    </mdx>
    <mdx n="33" f="m">
      <t c="1">
        <n x="1149"/>
      </t>
    </mdx>
    <mdx n="33" f="m">
      <t c="1">
        <n x="1150"/>
      </t>
    </mdx>
    <mdx n="33" f="m">
      <t c="1">
        <n x="1151"/>
      </t>
    </mdx>
    <mdx n="33" f="m">
      <t c="1">
        <n x="1152"/>
      </t>
    </mdx>
    <mdx n="33" f="m">
      <t c="1">
        <n x="1153"/>
      </t>
    </mdx>
    <mdx n="33" f="m">
      <t c="1">
        <n x="1154"/>
      </t>
    </mdx>
    <mdx n="33" f="m">
      <t c="1">
        <n x="1155"/>
      </t>
    </mdx>
    <mdx n="33" f="m">
      <t c="1">
        <n x="1156"/>
      </t>
    </mdx>
    <mdx n="33" f="m">
      <t c="1">
        <n x="1157"/>
      </t>
    </mdx>
    <mdx n="33" f="m">
      <t c="1">
        <n x="1158"/>
      </t>
    </mdx>
    <mdx n="33" f="m">
      <t c="1">
        <n x="1159"/>
      </t>
    </mdx>
    <mdx n="33" f="m">
      <t c="1">
        <n x="1160"/>
      </t>
    </mdx>
    <mdx n="33" f="m">
      <t c="1">
        <n x="1161"/>
      </t>
    </mdx>
    <mdx n="33" f="m">
      <t c="1">
        <n x="1162"/>
      </t>
    </mdx>
    <mdx n="33" f="m">
      <t c="1">
        <n x="1163"/>
      </t>
    </mdx>
    <mdx n="33" f="m">
      <t c="1">
        <n x="1164"/>
      </t>
    </mdx>
    <mdx n="33" f="m">
      <t c="1">
        <n x="1165"/>
      </t>
    </mdx>
    <mdx n="33" f="m">
      <t c="1">
        <n x="1166"/>
      </t>
    </mdx>
    <mdx n="33" f="m">
      <t c="1">
        <n x="1167"/>
      </t>
    </mdx>
    <mdx n="33" f="m">
      <t c="1">
        <n x="1168"/>
      </t>
    </mdx>
    <mdx n="33" f="m">
      <t c="1">
        <n x="1169"/>
      </t>
    </mdx>
    <mdx n="33" f="m">
      <t c="1">
        <n x="1170"/>
      </t>
    </mdx>
    <mdx n="33" f="m">
      <t c="1">
        <n x="1171"/>
      </t>
    </mdx>
    <mdx n="33" f="m">
      <t c="1">
        <n x="1172"/>
      </t>
    </mdx>
    <mdx n="33" f="m">
      <t c="1">
        <n x="1173"/>
      </t>
    </mdx>
    <mdx n="33" f="m">
      <t c="1">
        <n x="1174"/>
      </t>
    </mdx>
    <mdx n="33" f="m">
      <t c="1">
        <n x="1175"/>
      </t>
    </mdx>
    <mdx n="33" f="m">
      <t c="1">
        <n x="1176"/>
      </t>
    </mdx>
    <mdx n="33" f="m">
      <t c="1">
        <n x="1177"/>
      </t>
    </mdx>
    <mdx n="33" f="m">
      <t c="1">
        <n x="1178"/>
      </t>
    </mdx>
    <mdx n="33" f="m">
      <t c="1">
        <n x="1179"/>
      </t>
    </mdx>
    <mdx n="33" f="m">
      <t c="1">
        <n x="1180"/>
      </t>
    </mdx>
    <mdx n="33" f="m">
      <t c="1">
        <n x="1181"/>
      </t>
    </mdx>
    <mdx n="33" f="m">
      <t c="1">
        <n x="1182"/>
      </t>
    </mdx>
    <mdx n="33" f="m">
      <t c="1">
        <n x="1183"/>
      </t>
    </mdx>
    <mdx n="33" f="m">
      <t c="1">
        <n x="1184"/>
      </t>
    </mdx>
    <mdx n="33" f="m">
      <t c="1">
        <n x="1185"/>
      </t>
    </mdx>
    <mdx n="33" f="m">
      <t c="1">
        <n x="1186"/>
      </t>
    </mdx>
    <mdx n="33" f="m">
      <t c="1">
        <n x="1187"/>
      </t>
    </mdx>
    <mdx n="33" f="m">
      <t c="1">
        <n x="1188"/>
      </t>
    </mdx>
    <mdx n="33" f="m">
      <t c="1">
        <n x="1189"/>
      </t>
    </mdx>
    <mdx n="33" f="m">
      <t c="1">
        <n x="1190"/>
      </t>
    </mdx>
    <mdx n="33" f="m">
      <t c="1">
        <n x="1191"/>
      </t>
    </mdx>
    <mdx n="33" f="m">
      <t c="1">
        <n x="1192"/>
      </t>
    </mdx>
    <mdx n="33" f="m">
      <t c="1">
        <n x="1193"/>
      </t>
    </mdx>
    <mdx n="33" f="m">
      <t c="1">
        <n x="1194"/>
      </t>
    </mdx>
    <mdx n="33" f="m">
      <t c="1">
        <n x="1195"/>
      </t>
    </mdx>
    <mdx n="33" f="m">
      <t c="1">
        <n x="1196"/>
      </t>
    </mdx>
    <mdx n="33" f="m">
      <t c="1">
        <n x="1197"/>
      </t>
    </mdx>
    <mdx n="33" f="m">
      <t c="1">
        <n x="1198"/>
      </t>
    </mdx>
    <mdx n="33" f="m">
      <t c="1">
        <n x="1199"/>
      </t>
    </mdx>
    <mdx n="33" f="m">
      <t c="1">
        <n x="1200"/>
      </t>
    </mdx>
    <mdx n="33" f="m">
      <t c="1">
        <n x="1201"/>
      </t>
    </mdx>
    <mdx n="33" f="m">
      <t c="1">
        <n x="1202"/>
      </t>
    </mdx>
    <mdx n="33" f="m">
      <t c="1">
        <n x="1203"/>
      </t>
    </mdx>
    <mdx n="33" f="m">
      <t c="1">
        <n x="1204"/>
      </t>
    </mdx>
    <mdx n="33" f="m">
      <t c="1">
        <n x="1205"/>
      </t>
    </mdx>
    <mdx n="33" f="m">
      <t c="1">
        <n x="1206"/>
      </t>
    </mdx>
    <mdx n="33" f="m">
      <t c="1">
        <n x="1207"/>
      </t>
    </mdx>
    <mdx n="33" f="m">
      <t c="1">
        <n x="1208"/>
      </t>
    </mdx>
    <mdx n="33" f="m">
      <t c="1">
        <n x="1209"/>
      </t>
    </mdx>
    <mdx n="33" f="m">
      <t c="1">
        <n x="1210"/>
      </t>
    </mdx>
    <mdx n="33" f="m">
      <t c="1">
        <n x="1211"/>
      </t>
    </mdx>
    <mdx n="33" f="m">
      <t c="1">
        <n x="1212"/>
      </t>
    </mdx>
    <mdx n="33" f="m">
      <t c="1">
        <n x="1213"/>
      </t>
    </mdx>
    <mdx n="33" f="m">
      <t c="1">
        <n x="1214"/>
      </t>
    </mdx>
    <mdx n="33" f="m">
      <t c="1">
        <n x="1215"/>
      </t>
    </mdx>
    <mdx n="33" f="m">
      <t c="1">
        <n x="1216"/>
      </t>
    </mdx>
    <mdx n="33" f="m">
      <t c="1">
        <n x="1217"/>
      </t>
    </mdx>
    <mdx n="33" f="m">
      <t c="1">
        <n x="1218"/>
      </t>
    </mdx>
    <mdx n="33" f="m">
      <t c="1">
        <n x="1219"/>
      </t>
    </mdx>
    <mdx n="33" f="m">
      <t c="1">
        <n x="1220"/>
      </t>
    </mdx>
    <mdx n="33" f="m">
      <t c="1">
        <n x="1221"/>
      </t>
    </mdx>
    <mdx n="33" f="m">
      <t c="1">
        <n x="1222"/>
      </t>
    </mdx>
    <mdx n="33" f="m">
      <t c="1">
        <n x="1223"/>
      </t>
    </mdx>
    <mdx n="33" f="m">
      <t c="1">
        <n x="1224"/>
      </t>
    </mdx>
    <mdx n="33" f="m">
      <t c="1">
        <n x="1225"/>
      </t>
    </mdx>
    <mdx n="33" f="m">
      <t c="1">
        <n x="1226"/>
      </t>
    </mdx>
    <mdx n="33" f="m">
      <t c="1">
        <n x="1227"/>
      </t>
    </mdx>
    <mdx n="33" f="m">
      <t c="1">
        <n x="1228"/>
      </t>
    </mdx>
    <mdx n="33" f="m">
      <t c="1">
        <n x="1229"/>
      </t>
    </mdx>
    <mdx n="33" f="m">
      <t c="1">
        <n x="1230"/>
      </t>
    </mdx>
    <mdx n="33" f="m">
      <t c="1">
        <n x="1231"/>
      </t>
    </mdx>
    <mdx n="33" f="m">
      <t c="1">
        <n x="1232"/>
      </t>
    </mdx>
    <mdx n="33" f="m">
      <t c="1">
        <n x="1233"/>
      </t>
    </mdx>
    <mdx n="33" f="m">
      <t c="1">
        <n x="1234"/>
      </t>
    </mdx>
    <mdx n="33" f="m">
      <t c="1">
        <n x="1235"/>
      </t>
    </mdx>
    <mdx n="33" f="m">
      <t c="1">
        <n x="1236"/>
      </t>
    </mdx>
    <mdx n="33" f="m">
      <t c="1">
        <n x="1237"/>
      </t>
    </mdx>
    <mdx n="33" f="m">
      <t c="1">
        <n x="1238"/>
      </t>
    </mdx>
    <mdx n="33" f="m">
      <t c="1">
        <n x="1239"/>
      </t>
    </mdx>
    <mdx n="33" f="m">
      <t c="1">
        <n x="1240"/>
      </t>
    </mdx>
    <mdx n="33" f="m">
      <t c="1">
        <n x="1241"/>
      </t>
    </mdx>
    <mdx n="33" f="m">
      <t c="1">
        <n x="1242"/>
      </t>
    </mdx>
    <mdx n="33" f="m">
      <t c="1">
        <n x="1243"/>
      </t>
    </mdx>
    <mdx n="33" f="m">
      <t c="1">
        <n x="1244"/>
      </t>
    </mdx>
    <mdx n="33" f="m">
      <t c="1">
        <n x="1245"/>
      </t>
    </mdx>
    <mdx n="33" f="m">
      <t c="1">
        <n x="1246"/>
      </t>
    </mdx>
    <mdx n="33" f="m">
      <t c="1">
        <n x="1247"/>
      </t>
    </mdx>
    <mdx n="33" f="m">
      <t c="1">
        <n x="1248"/>
      </t>
    </mdx>
    <mdx n="33" f="m">
      <t c="1">
        <n x="1249"/>
      </t>
    </mdx>
    <mdx n="33" f="m">
      <t c="1">
        <n x="1250"/>
      </t>
    </mdx>
    <mdx n="33" f="m">
      <t c="1">
        <n x="1251"/>
      </t>
    </mdx>
    <mdx n="33" f="m">
      <t c="1">
        <n x="1252"/>
      </t>
    </mdx>
    <mdx n="33" f="m">
      <t c="1">
        <n x="1253"/>
      </t>
    </mdx>
    <mdx n="33" f="m">
      <t c="1">
        <n x="1254"/>
      </t>
    </mdx>
    <mdx n="33" f="m">
      <t c="1">
        <n x="1255"/>
      </t>
    </mdx>
    <mdx n="33" f="m">
      <t c="1">
        <n x="1256"/>
      </t>
    </mdx>
    <mdx n="33" f="m">
      <t c="1">
        <n x="1257"/>
      </t>
    </mdx>
    <mdx n="33" f="m">
      <t c="1">
        <n x="1258"/>
      </t>
    </mdx>
    <mdx n="33" f="m">
      <t c="1">
        <n x="1259"/>
      </t>
    </mdx>
    <mdx n="33" f="m">
      <t c="1">
        <n x="1260"/>
      </t>
    </mdx>
    <mdx n="33" f="m">
      <t c="1">
        <n x="1261"/>
      </t>
    </mdx>
    <mdx n="33" f="m">
      <t c="1">
        <n x="1262"/>
      </t>
    </mdx>
    <mdx n="33" f="m">
      <t c="1">
        <n x="1263"/>
      </t>
    </mdx>
    <mdx n="33" f="m">
      <t c="1">
        <n x="1264"/>
      </t>
    </mdx>
    <mdx n="33" f="m">
      <t c="1">
        <n x="1265"/>
      </t>
    </mdx>
    <mdx n="33" f="m">
      <t c="1">
        <n x="1266"/>
      </t>
    </mdx>
    <mdx n="33" f="m">
      <t c="1">
        <n x="1267"/>
      </t>
    </mdx>
    <mdx n="33" f="m">
      <t c="1">
        <n x="1268"/>
      </t>
    </mdx>
    <mdx n="33" f="m">
      <t c="1">
        <n x="1269"/>
      </t>
    </mdx>
    <mdx n="33" f="m">
      <t c="1">
        <n x="1270"/>
      </t>
    </mdx>
    <mdx n="33" f="m">
      <t c="1">
        <n x="1271"/>
      </t>
    </mdx>
    <mdx n="33" f="m">
      <t c="1">
        <n x="1272"/>
      </t>
    </mdx>
    <mdx n="33" f="m">
      <t c="1">
        <n x="1273"/>
      </t>
    </mdx>
    <mdx n="33" f="m">
      <t c="1">
        <n x="1274"/>
      </t>
    </mdx>
    <mdx n="33" f="m">
      <t c="1">
        <n x="1275"/>
      </t>
    </mdx>
    <mdx n="33" f="m">
      <t c="1">
        <n x="1276"/>
      </t>
    </mdx>
    <mdx n="33" f="m">
      <t c="1">
        <n x="1277"/>
      </t>
    </mdx>
    <mdx n="33" f="m">
      <t c="1">
        <n x="1278"/>
      </t>
    </mdx>
    <mdx n="33" f="m">
      <t c="1">
        <n x="1279"/>
      </t>
    </mdx>
    <mdx n="33" f="m">
      <t c="1">
        <n x="1280"/>
      </t>
    </mdx>
    <mdx n="33" f="m">
      <t c="1">
        <n x="1281"/>
      </t>
    </mdx>
    <mdx n="33" f="m">
      <t c="1">
        <n x="1282"/>
      </t>
    </mdx>
    <mdx n="33" f="m">
      <t c="1">
        <n x="1283"/>
      </t>
    </mdx>
    <mdx n="33" f="m">
      <t c="1">
        <n x="1284"/>
      </t>
    </mdx>
    <mdx n="33" f="m">
      <t c="1">
        <n x="1285"/>
      </t>
    </mdx>
    <mdx n="33" f="m">
      <t c="1">
        <n x="1286"/>
      </t>
    </mdx>
    <mdx n="33" f="m">
      <t c="1">
        <n x="1287"/>
      </t>
    </mdx>
    <mdx n="33" f="m">
      <t c="1">
        <n x="1288"/>
      </t>
    </mdx>
    <mdx n="33" f="m">
      <t c="1">
        <n x="1289"/>
      </t>
    </mdx>
    <mdx n="33" f="m">
      <t c="1">
        <n x="1290"/>
      </t>
    </mdx>
    <mdx n="33" f="m">
      <t c="1">
        <n x="1291"/>
      </t>
    </mdx>
    <mdx n="33" f="m">
      <t c="1">
        <n x="1292"/>
      </t>
    </mdx>
    <mdx n="33" f="m">
      <t c="1">
        <n x="1293"/>
      </t>
    </mdx>
    <mdx n="33" f="m">
      <t c="1">
        <n x="1294"/>
      </t>
    </mdx>
    <mdx n="33" f="m">
      <t c="1">
        <n x="1295"/>
      </t>
    </mdx>
    <mdx n="33" f="m">
      <t c="1">
        <n x="1296"/>
      </t>
    </mdx>
    <mdx n="33" f="m">
      <t c="1">
        <n x="1297"/>
      </t>
    </mdx>
    <mdx n="33" f="m">
      <t c="1">
        <n x="1298"/>
      </t>
    </mdx>
    <mdx n="33" f="m">
      <t c="1">
        <n x="1299"/>
      </t>
    </mdx>
    <mdx n="33" f="m">
      <t c="1">
        <n x="1300"/>
      </t>
    </mdx>
    <mdx n="33" f="m">
      <t c="1">
        <n x="1301"/>
      </t>
    </mdx>
    <mdx n="33" f="m">
      <t c="1">
        <n x="1302"/>
      </t>
    </mdx>
    <mdx n="33" f="m">
      <t c="1">
        <n x="1303"/>
      </t>
    </mdx>
    <mdx n="33" f="m">
      <t c="1">
        <n x="1304"/>
      </t>
    </mdx>
    <mdx n="33" f="m">
      <t c="1">
        <n x="1305"/>
      </t>
    </mdx>
    <mdx n="33" f="m">
      <t c="1">
        <n x="1306"/>
      </t>
    </mdx>
    <mdx n="33" f="m">
      <t c="1">
        <n x="1307"/>
      </t>
    </mdx>
    <mdx n="33" f="m">
      <t c="1">
        <n x="1308"/>
      </t>
    </mdx>
    <mdx n="33" f="m">
      <t c="1">
        <n x="1309"/>
      </t>
    </mdx>
    <mdx n="33" f="m">
      <t c="1">
        <n x="1310"/>
      </t>
    </mdx>
    <mdx n="33" f="m">
      <t c="1">
        <n x="1311"/>
      </t>
    </mdx>
    <mdx n="33" f="m">
      <t c="1">
        <n x="1312"/>
      </t>
    </mdx>
    <mdx n="33" f="m">
      <t c="1">
        <n x="1313"/>
      </t>
    </mdx>
    <mdx n="33" f="m">
      <t c="1">
        <n x="1314"/>
      </t>
    </mdx>
    <mdx n="33" f="m">
      <t c="1">
        <n x="1315"/>
      </t>
    </mdx>
    <mdx n="33" f="m">
      <t c="1">
        <n x="1316"/>
      </t>
    </mdx>
    <mdx n="33" f="m">
      <t c="1">
        <n x="1317"/>
      </t>
    </mdx>
    <mdx n="33" f="m">
      <t c="1">
        <n x="1318"/>
      </t>
    </mdx>
    <mdx n="33" f="m">
      <t c="1">
        <n x="1319"/>
      </t>
    </mdx>
    <mdx n="33" f="m">
      <t c="1">
        <n x="1320"/>
      </t>
    </mdx>
    <mdx n="33" f="m">
      <t c="1">
        <n x="1321"/>
      </t>
    </mdx>
    <mdx n="33" f="m">
      <t c="1">
        <n x="1322"/>
      </t>
    </mdx>
    <mdx n="33" f="m">
      <t c="1">
        <n x="1323"/>
      </t>
    </mdx>
    <mdx n="33" f="m">
      <t c="1">
        <n x="1324"/>
      </t>
    </mdx>
    <mdx n="33" f="m">
      <t c="1">
        <n x="1325"/>
      </t>
    </mdx>
    <mdx n="33" f="m">
      <t c="1">
        <n x="1326"/>
      </t>
    </mdx>
    <mdx n="33" f="m">
      <t c="1">
        <n x="1327"/>
      </t>
    </mdx>
    <mdx n="33" f="m">
      <t c="1">
        <n x="1328"/>
      </t>
    </mdx>
    <mdx n="33" f="m">
      <t c="1">
        <n x="1329"/>
      </t>
    </mdx>
    <mdx n="33" f="m">
      <t c="1">
        <n x="1330"/>
      </t>
    </mdx>
    <mdx n="33" f="m">
      <t c="1">
        <n x="1331"/>
      </t>
    </mdx>
    <mdx n="33" f="m">
      <t c="1">
        <n x="1332"/>
      </t>
    </mdx>
    <mdx n="33" f="m">
      <t c="1">
        <n x="1333"/>
      </t>
    </mdx>
    <mdx n="33" f="m">
      <t c="1">
        <n x="1334"/>
      </t>
    </mdx>
    <mdx n="33" f="m">
      <t c="1">
        <n x="1335"/>
      </t>
    </mdx>
    <mdx n="33" f="m">
      <t c="1">
        <n x="1336"/>
      </t>
    </mdx>
    <mdx n="33" f="s">
      <ms ns="1337" c="0"/>
    </mdx>
    <mdx n="33" f="v">
      <t c="3" si="9">
        <n x="1337" s="1"/>
        <n x="11"/>
        <n x="7"/>
      </t>
    </mdx>
    <mdx n="33" f="v">
      <t c="3" si="9">
        <n x="1337" s="1"/>
        <n x="8"/>
        <n x="7"/>
      </t>
    </mdx>
    <mdx n="33" f="v">
      <t c="4">
        <n x="1171"/>
        <n x="11"/>
        <n x="7"/>
        <n x="1337" s="1"/>
      </t>
    </mdx>
    <mdx n="33" f="v">
      <t c="4">
        <n x="1168"/>
        <n x="11"/>
        <n x="7"/>
        <n x="1337" s="1"/>
      </t>
    </mdx>
    <mdx n="33" f="v">
      <t c="4">
        <n x="1213"/>
        <n x="11"/>
        <n x="7"/>
        <n x="1337" s="1"/>
      </t>
    </mdx>
    <mdx n="33" f="v">
      <t c="4">
        <n x="1155"/>
        <n x="1"/>
        <n x="7"/>
        <n x="1337" s="1"/>
      </t>
    </mdx>
    <mdx n="33" f="v">
      <t c="4">
        <n x="1249"/>
        <n x="11"/>
        <n x="7"/>
        <n x="1337" s="1"/>
      </t>
    </mdx>
    <mdx n="33" f="v">
      <t c="4" si="9">
        <n x="1135"/>
        <n x="1"/>
        <n x="7"/>
        <n x="1337" s="1"/>
      </t>
    </mdx>
    <mdx n="33" f="v">
      <t c="4">
        <n x="1147"/>
        <n x="11"/>
        <n x="7"/>
        <n x="1337" s="1"/>
      </t>
    </mdx>
    <mdx n="33" f="v">
      <t c="3" si="10">
        <n x="1337" s="1"/>
        <n x="0"/>
        <n x="32"/>
      </t>
    </mdx>
    <mdx n="33" f="v">
      <t c="3" si="10">
        <n x="1337" s="1"/>
        <n x="13"/>
        <n x="32"/>
      </t>
    </mdx>
    <mdx n="33" f="v">
      <t c="4">
        <n x="1157"/>
        <n x="11"/>
        <n x="7"/>
        <n x="1337" s="1"/>
      </t>
    </mdx>
    <mdx n="33" f="v">
      <t c="3" si="10">
        <n x="1337" s="1"/>
        <n x="12"/>
        <n x="32"/>
      </t>
    </mdx>
    <mdx n="33" f="v">
      <t c="4">
        <n x="1203"/>
        <n x="1"/>
        <n x="7"/>
        <n x="1337" s="1"/>
      </t>
    </mdx>
    <mdx n="33" f="v">
      <t c="3" si="9">
        <n x="1337" s="1"/>
        <n x="1"/>
        <n x="7"/>
      </t>
    </mdx>
    <mdx n="33" f="v">
      <t c="4">
        <n x="956"/>
        <n x="12"/>
        <n x="7"/>
        <n x="1337" s="1"/>
      </t>
    </mdx>
    <mdx n="33" f="v">
      <t c="4">
        <n x="1129"/>
        <n x="11"/>
        <n x="7"/>
        <n x="1337" s="1"/>
      </t>
    </mdx>
    <mdx n="33" f="v">
      <t c="4">
        <n x="1257"/>
        <n x="11"/>
        <n x="7"/>
        <n x="1337" s="1"/>
      </t>
    </mdx>
    <mdx n="33" f="v">
      <t c="4" si="10">
        <n x="1141"/>
        <n x="11"/>
        <n x="32"/>
        <n x="1337" s="1"/>
      </t>
    </mdx>
    <mdx n="33" f="v">
      <t c="4">
        <n x="1138"/>
        <n x="11"/>
        <n x="7"/>
        <n x="1337" s="1"/>
      </t>
    </mdx>
    <mdx n="33" f="v">
      <t c="4">
        <n x="1334"/>
        <n x="11"/>
        <n x="7"/>
        <n x="1337" s="1"/>
      </t>
    </mdx>
    <mdx n="33" f="v">
      <t c="4">
        <n x="1155"/>
        <n x="11"/>
        <n x="7"/>
        <n x="1337" s="1"/>
      </t>
    </mdx>
    <mdx n="33" f="v">
      <t c="4">
        <n x="1159"/>
        <n x="1"/>
        <n x="7"/>
        <n x="1337" s="1"/>
      </t>
    </mdx>
    <mdx n="33" f="v">
      <t c="4">
        <n x="1133"/>
        <n x="11"/>
        <n x="7"/>
        <n x="1337" s="1"/>
      </t>
    </mdx>
    <mdx n="33" f="v">
      <t c="4">
        <n x="1165"/>
        <n x="11"/>
        <n x="32"/>
        <n x="1337" s="1"/>
      </t>
    </mdx>
    <mdx n="33" f="v">
      <t c="4">
        <n x="1201"/>
        <n x="11"/>
        <n x="7"/>
        <n x="1337" s="1"/>
      </t>
    </mdx>
    <mdx n="33" f="v">
      <t c="4">
        <n x="1125"/>
        <n x="11"/>
        <n x="32"/>
        <n x="1337" s="1"/>
      </t>
    </mdx>
    <mdx n="33" f="v">
      <t c="4">
        <n x="1267"/>
        <n x="11"/>
        <n x="7"/>
        <n x="1337" s="1"/>
      </t>
    </mdx>
    <mdx n="33" f="v">
      <t c="4">
        <n x="1188"/>
        <n x="11"/>
        <n x="32"/>
        <n x="1337" s="1"/>
      </t>
    </mdx>
    <mdx n="33" f="v">
      <t c="4">
        <n x="1158"/>
        <n x="1"/>
        <n x="7"/>
        <n x="1337" s="1"/>
      </t>
    </mdx>
    <mdx n="33" f="v">
      <t c="3" si="9">
        <n x="1337" s="1"/>
        <n x="13"/>
        <n x="7"/>
      </t>
    </mdx>
    <mdx n="33" f="v">
      <t c="4">
        <n x="1271"/>
        <n x="11"/>
        <n x="7"/>
        <n x="1337" s="1"/>
      </t>
    </mdx>
    <mdx n="33" f="v">
      <t c="4" si="10">
        <n x="1191"/>
        <n x="14"/>
        <n x="32"/>
        <n x="1337" s="1"/>
      </t>
    </mdx>
    <mdx n="33" f="v">
      <t c="4">
        <n x="1227"/>
        <n x="11"/>
        <n x="7"/>
        <n x="1337" s="1"/>
      </t>
    </mdx>
    <mdx n="33" f="v">
      <t c="4">
        <n x="1151"/>
        <n x="1"/>
        <n x="7"/>
        <n x="1337" s="1"/>
      </t>
    </mdx>
    <mdx n="33" f="v">
      <t c="4">
        <n x="1199"/>
        <n x="1"/>
        <n x="7"/>
        <n x="1337" s="1"/>
      </t>
    </mdx>
    <mdx n="33" f="v">
      <t c="4" si="10">
        <n x="1163"/>
        <n x="14"/>
        <n x="32"/>
        <n x="1337" s="1"/>
      </t>
    </mdx>
    <mdx n="33" f="v">
      <t c="4">
        <n x="1263"/>
        <n x="11"/>
        <n x="7"/>
        <n x="1337" s="1"/>
      </t>
    </mdx>
    <mdx n="33" f="v">
      <t c="4">
        <n x="1196"/>
        <n x="11"/>
        <n x="32"/>
        <n x="1337" s="1"/>
      </t>
    </mdx>
    <mdx n="33" f="v">
      <t c="4">
        <n x="1181"/>
        <n x="1"/>
        <n x="7"/>
        <n x="1337" s="1"/>
      </t>
    </mdx>
    <mdx n="33" f="v">
      <t c="4">
        <n x="1142"/>
        <n x="11"/>
        <n x="7"/>
        <n x="1337" s="1"/>
      </t>
    </mdx>
    <mdx n="33" f="v">
      <t c="4">
        <n x="1289"/>
        <n x="1"/>
        <n x="7"/>
        <n x="1337" s="1"/>
      </t>
    </mdx>
    <mdx n="33" f="v">
      <t c="4" si="10">
        <n x="1135"/>
        <n x="11"/>
        <n x="32"/>
        <n x="1337" s="1"/>
      </t>
    </mdx>
    <mdx n="33" f="v">
      <t c="4">
        <n x="1249"/>
        <n x="1"/>
        <n x="7"/>
        <n x="1337" s="1"/>
      </t>
    </mdx>
    <mdx n="33" f="v">
      <t c="4">
        <n x="1305"/>
        <n x="1"/>
        <n x="7"/>
        <n x="1337" s="1"/>
      </t>
    </mdx>
    <mdx n="33" f="v">
      <t c="4">
        <n x="1234"/>
        <n x="1"/>
        <n x="7"/>
        <n x="1337" s="1"/>
      </t>
    </mdx>
    <mdx n="33" f="v">
      <t c="4" si="10">
        <n x="1325"/>
        <n x="14"/>
        <n x="32"/>
        <n x="1337" s="1"/>
      </t>
    </mdx>
    <mdx n="33" f="v">
      <t c="4">
        <n x="1257"/>
        <n x="11"/>
        <n x="32"/>
        <n x="1337" s="1"/>
      </t>
    </mdx>
    <mdx n="33" f="v">
      <t c="4">
        <n x="1145"/>
        <n x="11"/>
        <n x="32"/>
        <n x="1337" s="1"/>
      </t>
    </mdx>
    <mdx n="33" f="v">
      <t c="4">
        <n x="1166"/>
        <n x="14"/>
        <n x="32"/>
        <n x="1337" s="1"/>
      </t>
    </mdx>
    <mdx n="33" f="v">
      <t c="4">
        <n x="1308"/>
        <n x="11"/>
        <n x="7"/>
        <n x="1337" s="1"/>
      </t>
    </mdx>
    <mdx n="33" f="v">
      <t c="4">
        <n x="1327"/>
        <n x="11"/>
        <n x="32"/>
        <n x="1337" s="1"/>
      </t>
    </mdx>
    <mdx n="33" f="v">
      <t c="4">
        <n x="1262"/>
        <n x="11"/>
        <n x="32"/>
        <n x="1337" s="1"/>
      </t>
    </mdx>
    <mdx n="33" f="v">
      <t c="4">
        <n x="1259"/>
        <n x="1"/>
        <n x="7"/>
        <n x="1337" s="1"/>
      </t>
    </mdx>
    <mdx n="33" f="v">
      <t c="4">
        <n x="1281"/>
        <n x="11"/>
        <n x="7"/>
        <n x="1337" s="1"/>
      </t>
    </mdx>
    <mdx n="33" f="v">
      <t c="4">
        <n x="1189"/>
        <n x="1"/>
        <n x="7"/>
        <n x="1337" s="1"/>
      </t>
    </mdx>
    <mdx n="33" f="v">
      <t c="4" si="10">
        <n x="1205"/>
        <n x="14"/>
        <n x="32"/>
        <n x="1337" s="1"/>
      </t>
    </mdx>
    <mdx n="33" f="v">
      <t c="4" si="10">
        <n x="1323"/>
        <n x="11"/>
        <n x="32"/>
        <n x="1337" s="1"/>
      </t>
    </mdx>
    <mdx n="33" f="v">
      <t c="4" si="10">
        <n x="1258"/>
        <n x="11"/>
        <n x="32"/>
        <n x="1337" s="1"/>
      </t>
    </mdx>
    <mdx n="33" f="v">
      <t c="4" si="10">
        <n x="1142"/>
        <n x="1"/>
        <n x="32"/>
        <n x="1337" s="1"/>
      </t>
    </mdx>
    <mdx n="33" f="v">
      <t c="4">
        <n x="1254"/>
        <n x="1"/>
        <n x="7"/>
        <n x="1337" s="1"/>
      </t>
    </mdx>
    <mdx n="33" f="v">
      <t c="4">
        <n x="1280"/>
        <n x="11"/>
        <n x="32"/>
        <n x="1337" s="1"/>
      </t>
    </mdx>
    <mdx n="33" f="v">
      <t c="5">
        <n x="15"/>
        <n x="1337" s="1"/>
        <n x="41"/>
        <n x="7"/>
        <n x="3"/>
      </t>
    </mdx>
    <mdx n="33" f="v">
      <t c="4">
        <n x="1319"/>
        <n x="14"/>
        <n x="32"/>
        <n x="1337" s="1"/>
      </t>
    </mdx>
    <mdx n="33" f="v">
      <t c="4">
        <n x="1325"/>
        <n x="1"/>
        <n x="7"/>
        <n x="1337" s="1"/>
      </t>
    </mdx>
    <mdx n="33" f="v">
      <t c="4">
        <n x="1315"/>
        <n x="1"/>
        <n x="7"/>
        <n x="1337" s="1"/>
      </t>
    </mdx>
    <mdx n="33" f="v">
      <t c="5" si="9">
        <n x="15"/>
        <n x="1337" s="1"/>
        <n x="37"/>
        <n x="7"/>
        <n x="2"/>
      </t>
    </mdx>
    <mdx n="33" f="v">
      <t c="4">
        <n x="1142"/>
        <n x="11"/>
        <n x="32"/>
        <n x="1337" s="1"/>
      </t>
    </mdx>
    <mdx n="33" f="v">
      <t c="6" si="10">
        <n x="15"/>
        <n x="1337" s="1"/>
        <n x="41"/>
        <n x="32"/>
        <n x="24"/>
        <n x="0"/>
      </t>
    </mdx>
    <mdx n="33" f="v">
      <t c="4">
        <n x="1333"/>
        <n x="1"/>
        <n x="7"/>
        <n x="1337" s="1"/>
      </t>
    </mdx>
    <mdx n="33" f="v">
      <t c="4">
        <n x="1131"/>
        <n x="1"/>
        <n x="32"/>
        <n x="1337" s="1"/>
      </t>
    </mdx>
    <mdx n="33" f="v">
      <t c="5" si="9">
        <n x="15"/>
        <n x="1337" s="1"/>
        <n x="43"/>
        <n x="7"/>
        <n x="2"/>
      </t>
    </mdx>
    <mdx n="33" f="v">
      <t c="4" si="9">
        <n x="1252"/>
        <n x="14"/>
        <n x="7"/>
        <n x="1337" s="1"/>
      </t>
    </mdx>
    <mdx n="33" f="v">
      <t c="4">
        <n x="1142"/>
        <n x="1"/>
        <n x="7"/>
        <n x="1337" s="1"/>
      </t>
    </mdx>
    <mdx n="33" f="v">
      <t c="4">
        <n x="1278"/>
        <n x="14"/>
        <n x="7"/>
        <n x="1337" s="1"/>
      </t>
    </mdx>
    <mdx n="33" f="v">
      <t c="4">
        <n x="1127"/>
        <n x="11"/>
        <n x="7"/>
        <n x="1337" s="1"/>
      </t>
    </mdx>
    <mdx n="33" f="v">
      <t c="4">
        <n x="1279"/>
        <n x="11"/>
        <n x="7"/>
        <n x="1337" s="1"/>
      </t>
    </mdx>
    <mdx n="33" f="v">
      <t c="4">
        <n x="1202"/>
        <n x="1"/>
        <n x="7"/>
        <n x="1337" s="1"/>
      </t>
    </mdx>
    <mdx n="33" f="v">
      <t c="4">
        <n x="1143"/>
        <n x="11"/>
        <n x="32"/>
        <n x="1337" s="1"/>
      </t>
    </mdx>
    <mdx n="33" f="v">
      <t c="4">
        <n x="1229"/>
        <n x="1"/>
        <n x="7"/>
        <n x="1337" s="1"/>
      </t>
    </mdx>
    <mdx n="33" f="v">
      <t c="4" si="10">
        <n x="1221"/>
        <n x="14"/>
        <n x="32"/>
        <n x="1337" s="1"/>
      </t>
    </mdx>
    <mdx n="33" f="v">
      <t c="4">
        <n x="1314"/>
        <n x="14"/>
        <n x="7"/>
        <n x="1337" s="1"/>
      </t>
    </mdx>
    <mdx n="33" f="v">
      <t c="4">
        <n x="1203"/>
        <n x="11"/>
        <n x="7"/>
        <n x="1337" s="1"/>
      </t>
    </mdx>
    <mdx n="33" f="v">
      <t c="4">
        <n x="1191"/>
        <n x="1"/>
        <n x="7"/>
        <n x="1337" s="1"/>
      </t>
    </mdx>
    <mdx n="33" f="v">
      <t c="4">
        <n x="1245"/>
        <n x="11"/>
        <n x="7"/>
        <n x="1337" s="1"/>
      </t>
    </mdx>
    <mdx n="33" f="v">
      <t c="4">
        <n x="1153"/>
        <n x="11"/>
        <n x="7"/>
        <n x="1337" s="1"/>
      </t>
    </mdx>
    <mdx n="33" f="v">
      <t c="4">
        <n x="1283"/>
        <n x="11"/>
        <n x="7"/>
        <n x="1337" s="1"/>
      </t>
    </mdx>
    <mdx n="33" f="v">
      <t c="4">
        <n x="1234"/>
        <n x="11"/>
        <n x="7"/>
        <n x="1337" s="1"/>
      </t>
    </mdx>
    <mdx n="33" f="v">
      <t c="4">
        <n x="1179"/>
        <n x="11"/>
        <n x="7"/>
        <n x="1337" s="1"/>
      </t>
    </mdx>
    <mdx n="33" f="v">
      <t c="4">
        <n x="1200"/>
        <n x="11"/>
        <n x="7"/>
        <n x="1337" s="1"/>
      </t>
    </mdx>
    <mdx n="33" f="v">
      <t c="4">
        <n x="1189"/>
        <n x="11"/>
        <n x="7"/>
        <n x="1337" s="1"/>
      </t>
    </mdx>
    <mdx n="33" f="v">
      <t c="4">
        <n x="1240"/>
        <n x="11"/>
        <n x="7"/>
        <n x="1337" s="1"/>
      </t>
    </mdx>
    <mdx n="33" f="v">
      <t c="4">
        <n x="1161"/>
        <n x="11"/>
        <n x="7"/>
        <n x="1337" s="1"/>
      </t>
    </mdx>
    <mdx n="33" f="v">
      <t c="4">
        <n x="1128"/>
        <n x="11"/>
        <n x="7"/>
        <n x="1337" s="1"/>
      </t>
    </mdx>
    <mdx n="33" f="v">
      <t c="4">
        <n x="1163"/>
        <n x="1"/>
        <n x="7"/>
        <n x="1337" s="1"/>
      </t>
    </mdx>
    <mdx n="33" f="v">
      <t c="4">
        <n x="1259"/>
        <n x="11"/>
        <n x="7"/>
        <n x="1337" s="1"/>
      </t>
    </mdx>
    <mdx n="33" f="v">
      <t c="4">
        <n x="1172"/>
        <n x="11"/>
        <n x="7"/>
        <n x="1337" s="1"/>
      </t>
    </mdx>
    <mdx n="33" f="v">
      <t c="4">
        <n x="1183"/>
        <n x="11"/>
        <n x="7"/>
        <n x="1337" s="1"/>
      </t>
    </mdx>
    <mdx n="33" f="v">
      <t c="4" si="9">
        <n x="1187"/>
        <n x="11"/>
        <n x="7"/>
        <n x="1337" s="1"/>
      </t>
    </mdx>
    <mdx n="33" f="v">
      <t c="4">
        <n x="1232"/>
        <n x="11"/>
        <n x="7"/>
        <n x="1337" s="1"/>
      </t>
    </mdx>
    <mdx n="33" f="v">
      <t c="4">
        <n x="1180"/>
        <n x="14"/>
        <n x="32"/>
        <n x="1337" s="1"/>
      </t>
    </mdx>
    <mdx n="33" f="v">
      <t c="4">
        <n x="1165"/>
        <n x="11"/>
        <n x="7"/>
        <n x="1337" s="1"/>
      </t>
    </mdx>
    <mdx n="33" f="v">
      <t c="4">
        <n x="1144"/>
        <n x="11"/>
        <n x="7"/>
        <n x="1337" s="1"/>
      </t>
    </mdx>
    <mdx n="33" f="v">
      <t c="4">
        <n x="1187"/>
        <n x="1"/>
        <n x="7"/>
        <n x="1337" s="1"/>
      </t>
    </mdx>
    <mdx n="33" f="v">
      <t c="4">
        <n x="1233"/>
        <n x="11"/>
        <n x="7"/>
        <n x="1337" s="1"/>
      </t>
    </mdx>
    <mdx n="33" f="v">
      <t c="4">
        <n x="1147"/>
        <n x="1"/>
        <n x="7"/>
        <n x="1337" s="1"/>
      </t>
    </mdx>
    <mdx n="33" f="v">
      <t c="4">
        <n x="1129"/>
        <n x="11"/>
        <n x="32"/>
        <n x="1337" s="1"/>
      </t>
    </mdx>
    <mdx n="33" f="v">
      <t c="4">
        <n x="1299"/>
        <n x="11"/>
        <n x="7"/>
        <n x="1337" s="1"/>
      </t>
    </mdx>
    <mdx n="33" f="v">
      <t c="4">
        <n x="1285"/>
        <n x="11"/>
        <n x="7"/>
        <n x="1337" s="1"/>
      </t>
    </mdx>
    <mdx n="33" f="v">
      <t c="4" si="10">
        <n x="1179"/>
        <n x="14"/>
        <n x="32"/>
        <n x="1337" s="1"/>
      </t>
    </mdx>
    <mdx n="33" f="v">
      <t c="3" si="10">
        <n x="1337" s="1"/>
        <n x="3"/>
        <n x="32"/>
      </t>
    </mdx>
    <mdx n="33" f="v">
      <t c="4" si="10">
        <n x="1140"/>
        <n x="14"/>
        <n x="32"/>
        <n x="1337" s="1"/>
      </t>
    </mdx>
    <mdx n="33" f="v">
      <t c="4">
        <n x="1303"/>
        <n x="11"/>
        <n x="7"/>
        <n x="1337" s="1"/>
      </t>
    </mdx>
    <mdx n="33" f="v">
      <t c="4">
        <n x="1185"/>
        <n x="11"/>
        <n x="32"/>
        <n x="1337" s="1"/>
      </t>
    </mdx>
    <mdx n="33" f="v">
      <t c="4">
        <n x="1237"/>
        <n x="11"/>
        <n x="7"/>
        <n x="1337" s="1"/>
      </t>
    </mdx>
    <mdx n="33" f="v">
      <t c="4">
        <n x="1307"/>
        <n x="11"/>
        <n x="7"/>
        <n x="1337" s="1"/>
      </t>
    </mdx>
    <mdx n="33" f="v">
      <t c="4">
        <n x="1261"/>
        <n x="11"/>
        <n x="7"/>
        <n x="1337" s="1"/>
      </t>
    </mdx>
    <mdx n="33" f="v">
      <t c="4">
        <n x="1190"/>
        <n x="1"/>
        <n x="7"/>
        <n x="1337" s="1"/>
      </t>
    </mdx>
    <mdx n="33" f="v">
      <t c="4">
        <n x="1255"/>
        <n x="11"/>
        <n x="7"/>
        <n x="1337" s="1"/>
      </t>
    </mdx>
    <mdx n="33" f="v">
      <t c="4">
        <n x="1311"/>
        <n x="11"/>
        <n x="7"/>
        <n x="1337" s="1"/>
      </t>
    </mdx>
    <mdx n="33" f="v">
      <t c="4">
        <n x="1156"/>
        <n x="11"/>
        <n x="7"/>
        <n x="1337" s="1"/>
      </t>
    </mdx>
    <mdx n="33" f="v">
      <t c="4">
        <n x="1202"/>
        <n x="14"/>
        <n x="32"/>
        <n x="1337" s="1"/>
      </t>
    </mdx>
    <mdx n="33" f="v">
      <t c="4" si="10">
        <n x="1149"/>
        <n x="14"/>
        <n x="32"/>
        <n x="1337" s="1"/>
      </t>
    </mdx>
    <mdx n="33" f="v">
      <t c="4" si="10">
        <n x="1124"/>
        <n x="14"/>
        <n x="32"/>
        <n x="1337" s="1"/>
      </t>
    </mdx>
    <mdx n="33" f="v">
      <t c="4" si="10">
        <n x="1163"/>
        <n x="11"/>
        <n x="32"/>
        <n x="1337" s="1"/>
      </t>
    </mdx>
    <mdx n="33" f="v">
      <t c="4">
        <n x="1300"/>
        <n x="11"/>
        <n x="7"/>
        <n x="1337" s="1"/>
      </t>
    </mdx>
    <mdx n="33" f="v">
      <t c="4" si="10">
        <n x="1326"/>
        <n x="14"/>
        <n x="32"/>
        <n x="1337" s="1"/>
      </t>
    </mdx>
    <mdx n="33" f="v">
      <t c="4" si="10">
        <n x="1261"/>
        <n x="14"/>
        <n x="32"/>
        <n x="1337" s="1"/>
      </t>
    </mdx>
    <mdx n="33" f="v">
      <t c="4">
        <n x="1312"/>
        <n x="11"/>
        <n x="7"/>
        <n x="1337" s="1"/>
      </t>
    </mdx>
    <mdx n="33" f="v">
      <t c="4">
        <n x="1279"/>
        <n x="1"/>
        <n x="7"/>
        <n x="1337" s="1"/>
      </t>
    </mdx>
    <mdx n="33" f="v">
      <t c="4">
        <n x="1305"/>
        <n x="11"/>
        <n x="7"/>
        <n x="1337" s="1"/>
      </t>
    </mdx>
    <mdx n="33" f="v">
      <t c="4">
        <n x="1194"/>
        <n x="14"/>
        <n x="32"/>
        <n x="1337" s="1"/>
      </t>
    </mdx>
    <mdx n="33" f="v">
      <t c="4" si="10">
        <n x="1212"/>
        <n x="14"/>
        <n x="32"/>
        <n x="1337" s="1"/>
      </t>
    </mdx>
    <mdx n="33" f="v">
      <t c="4" si="10">
        <n x="1129"/>
        <n x="14"/>
        <n x="32"/>
        <n x="1337" s="1"/>
      </t>
    </mdx>
    <mdx n="33" f="v">
      <t c="4">
        <n x="1284"/>
        <n x="1"/>
        <n x="7"/>
        <n x="1337" s="1"/>
      </t>
    </mdx>
    <mdx n="33" f="v">
      <t c="4">
        <n x="1328"/>
        <n x="11"/>
        <n x="7"/>
        <n x="1337" s="1"/>
      </t>
    </mdx>
    <mdx n="33" f="v">
      <t c="4" si="10">
        <n x="1280"/>
        <n x="14"/>
        <n x="32"/>
        <n x="1337" s="1"/>
      </t>
    </mdx>
    <mdx n="33" f="v">
      <t c="4">
        <n x="1176"/>
        <n x="11"/>
        <n x="32"/>
        <n x="1337" s="1"/>
      </t>
    </mdx>
    <mdx n="33" f="v">
      <t c="4">
        <n x="1217"/>
        <n x="1"/>
        <n x="7"/>
        <n x="1337" s="1"/>
      </t>
    </mdx>
    <mdx n="33" f="v">
      <t c="4" si="10">
        <n x="1244"/>
        <n x="14"/>
        <n x="32"/>
        <n x="1337" s="1"/>
      </t>
    </mdx>
    <mdx n="33" f="v">
      <t c="4">
        <n x="1310"/>
        <n x="11"/>
        <n x="7"/>
        <n x="1337" s="1"/>
      </t>
    </mdx>
    <mdx n="33" f="v">
      <t c="4">
        <n x="1280"/>
        <n x="1"/>
        <n x="7"/>
        <n x="1337" s="1"/>
      </t>
    </mdx>
    <mdx n="33" f="v">
      <t c="4">
        <n x="1296"/>
        <n x="11"/>
        <n x="7"/>
        <n x="1337" s="1"/>
      </t>
    </mdx>
    <mdx n="33" f="v">
      <t c="4" si="10">
        <n x="1276"/>
        <n x="14"/>
        <n x="32"/>
        <n x="1337" s="1"/>
      </t>
    </mdx>
    <mdx n="33" f="v">
      <t c="4">
        <n x="1157"/>
        <n x="1"/>
        <n x="32"/>
        <n x="1337" s="1"/>
      </t>
    </mdx>
    <mdx n="33" f="v">
      <t c="6" si="9">
        <n x="15"/>
        <n x="1337" s="1"/>
        <n x="45"/>
        <n x="7"/>
        <n x="29"/>
        <n x="12"/>
      </t>
    </mdx>
    <mdx n="33" f="v">
      <t c="4">
        <n x="1182"/>
        <n x="1"/>
        <n x="7"/>
        <n x="1337" s="1"/>
      </t>
    </mdx>
    <mdx n="33" f="v">
      <t c="4" si="10">
        <n x="1232"/>
        <n x="14"/>
        <n x="32"/>
        <n x="1337" s="1"/>
      </t>
    </mdx>
    <mdx n="33" f="v">
      <t c="4" si="10">
        <n x="1123"/>
        <n x="14"/>
        <n x="32"/>
        <n x="1337" s="1"/>
      </t>
    </mdx>
    <mdx n="33" f="v">
      <t c="5" si="9">
        <n x="15"/>
        <n x="1337" s="1"/>
        <n x="14"/>
        <n x="7"/>
        <n x="28"/>
      </t>
    </mdx>
    <mdx n="33" f="v">
      <t c="4">
        <n x="1314"/>
        <n x="1"/>
        <n x="7"/>
        <n x="1337" s="1"/>
      </t>
    </mdx>
    <mdx n="33" f="v">
      <t c="6" si="9">
        <n x="15"/>
        <n x="1337" s="1"/>
        <n x="42"/>
        <n x="7"/>
        <n x="22"/>
        <n x="0"/>
      </t>
    </mdx>
    <mdx n="33" f="v">
      <t c="4" si="10">
        <n x="1198"/>
        <n x="14"/>
        <n x="32"/>
        <n x="1337" s="1"/>
      </t>
    </mdx>
    <mdx n="33" f="v">
      <t c="4" si="10">
        <n x="1234"/>
        <n x="11"/>
        <n x="32"/>
        <n x="1337" s="1"/>
      </t>
    </mdx>
    <mdx n="33" f="v">
      <t c="4">
        <n x="1202"/>
        <n x="1"/>
        <n x="32"/>
        <n x="1337" s="1"/>
      </t>
    </mdx>
    <mdx n="33" f="v">
      <t c="4">
        <n x="1125"/>
        <n x="14"/>
        <n x="7"/>
        <n x="1337" s="1"/>
      </t>
    </mdx>
    <mdx n="33" f="v">
      <t c="4">
        <n x="1333"/>
        <n x="14"/>
        <n x="7"/>
        <n x="1337" s="1"/>
      </t>
    </mdx>
    <mdx n="33" f="v">
      <t c="4" si="9">
        <n x="1135"/>
        <n x="14"/>
        <n x="7"/>
        <n x="1337" s="1"/>
      </t>
    </mdx>
    <mdx n="33" f="v">
      <t c="4" si="10">
        <n x="1128"/>
        <n x="14"/>
        <n x="32"/>
        <n x="1337" s="1"/>
      </t>
    </mdx>
    <mdx n="33" f="v">
      <t c="4">
        <n x="1139"/>
        <n x="14"/>
        <n x="7"/>
        <n x="1337" s="1"/>
      </t>
    </mdx>
    <mdx n="33" f="v">
      <t c="4">
        <n x="1131"/>
        <n x="1"/>
        <n x="7"/>
        <n x="1337" s="1"/>
      </t>
    </mdx>
    <mdx n="33" f="v">
      <t c="4">
        <n x="1130"/>
        <n x="1"/>
        <n x="7"/>
        <n x="1337" s="1"/>
      </t>
    </mdx>
    <mdx n="33" f="v">
      <t c="4">
        <n x="1168"/>
        <n x="11"/>
        <n x="32"/>
        <n x="1337" s="1"/>
      </t>
    </mdx>
    <mdx n="33" f="v">
      <t c="4">
        <n x="1248"/>
        <n x="11"/>
        <n x="7"/>
        <n x="1337" s="1"/>
      </t>
    </mdx>
    <mdx n="33" f="v">
      <t c="4">
        <n x="1325"/>
        <n x="14"/>
        <n x="7"/>
        <n x="1337" s="1"/>
      </t>
    </mdx>
    <mdx n="33" f="v">
      <t c="4">
        <n x="1188"/>
        <n x="11"/>
        <n x="7"/>
        <n x="1337" s="1"/>
      </t>
    </mdx>
    <mdx n="33" f="v">
      <t c="4">
        <n x="1165"/>
        <n x="1"/>
        <n x="7"/>
        <n x="1337" s="1"/>
      </t>
    </mdx>
    <mdx n="33" f="v">
      <t c="4">
        <n x="1250"/>
        <n x="14"/>
        <n x="32"/>
        <n x="1337" s="1"/>
      </t>
    </mdx>
    <mdx n="33" f="v">
      <t c="4">
        <n x="1249"/>
        <n x="11"/>
        <n x="32"/>
        <n x="1337" s="1"/>
      </t>
    </mdx>
    <mdx n="33" f="v">
      <t c="3" si="10">
        <n x="1337" s="1"/>
        <n x="8"/>
        <n x="32"/>
      </t>
    </mdx>
    <mdx n="33" f="v">
      <t c="4" si="9">
        <n x="1235"/>
        <n x="11"/>
        <n x="7"/>
        <n x="1337" s="1"/>
      </t>
    </mdx>
    <mdx n="33" f="v">
      <t c="4">
        <n x="1149"/>
        <n x="11"/>
        <n x="7"/>
        <n x="1337" s="1"/>
      </t>
    </mdx>
    <mdx n="33" f="v">
      <t c="4">
        <n x="1185"/>
        <n x="11"/>
        <n x="7"/>
        <n x="1337" s="1"/>
      </t>
    </mdx>
    <mdx n="33" f="v">
      <t c="4">
        <n x="1224"/>
        <n x="11"/>
        <n x="7"/>
        <n x="1337" s="1"/>
      </t>
    </mdx>
    <mdx n="33" f="v">
      <t c="4">
        <n x="1140"/>
        <n x="11"/>
        <n x="7"/>
        <n x="1337" s="1"/>
      </t>
    </mdx>
    <mdx n="33" f="v">
      <t c="4">
        <n x="1151"/>
        <n x="11"/>
        <n x="7"/>
        <n x="1337" s="1"/>
      </t>
    </mdx>
    <mdx n="33" f="v">
      <t c="4">
        <n x="1211"/>
        <n x="11"/>
        <n x="7"/>
        <n x="1337" s="1"/>
      </t>
    </mdx>
    <mdx n="33" f="v">
      <t c="4">
        <n x="1153"/>
        <n x="11"/>
        <n x="32"/>
        <n x="1337" s="1"/>
      </t>
    </mdx>
    <mdx n="33" f="v">
      <t c="4">
        <n x="1221"/>
        <n x="11"/>
        <n x="7"/>
        <n x="1337" s="1"/>
      </t>
    </mdx>
    <mdx n="33" f="v">
      <t c="4">
        <n x="1139"/>
        <n x="1"/>
        <n x="7"/>
        <n x="1337" s="1"/>
      </t>
    </mdx>
    <mdx n="33" f="v">
      <t c="4">
        <n x="1193"/>
        <n x="11"/>
        <n x="7"/>
        <n x="1337" s="1"/>
      </t>
    </mdx>
    <mdx n="33" f="v">
      <t c="4">
        <n x="1256"/>
        <n x="11"/>
        <n x="7"/>
        <n x="1337" s="1"/>
      </t>
    </mdx>
    <mdx n="33" f="v">
      <t c="4">
        <n x="1239"/>
        <n x="11"/>
        <n x="7"/>
        <n x="1337" s="1"/>
      </t>
    </mdx>
    <mdx n="33" f="v">
      <t c="4">
        <n x="1291"/>
        <n x="11"/>
        <n x="7"/>
        <n x="1337" s="1"/>
      </t>
    </mdx>
    <mdx n="33" f="v">
      <t c="4">
        <n x="1216"/>
        <n x="11"/>
        <n x="7"/>
        <n x="1337" s="1"/>
      </t>
    </mdx>
    <mdx n="33" f="v">
      <t c="4">
        <n x="1219"/>
        <n x="11"/>
        <n x="7"/>
        <n x="1337" s="1"/>
      </t>
    </mdx>
    <mdx n="33" f="v">
      <t c="4">
        <n x="1315"/>
        <n x="11"/>
        <n x="7"/>
        <n x="1337" s="1"/>
      </t>
    </mdx>
    <mdx n="33" f="v">
      <t c="4">
        <n x="1201"/>
        <n x="11"/>
        <n x="32"/>
        <n x="1337" s="1"/>
      </t>
    </mdx>
    <mdx n="33" f="v">
      <t c="4">
        <n x="1197"/>
        <n x="11"/>
        <n x="7"/>
        <n x="1337" s="1"/>
      </t>
    </mdx>
    <mdx n="33" f="v">
      <t c="4">
        <n x="1332"/>
        <n x="11"/>
        <n x="32"/>
        <n x="1337" s="1"/>
      </t>
    </mdx>
    <mdx n="33" f="v">
      <t c="4">
        <n x="1137"/>
        <n x="11"/>
        <n x="7"/>
        <n x="1337" s="1"/>
      </t>
    </mdx>
    <mdx n="33" f="v">
      <t c="4" si="10">
        <n x="1168"/>
        <n x="14"/>
        <n x="32"/>
        <n x="1337" s="1"/>
      </t>
    </mdx>
    <mdx n="33" f="v">
      <t c="4">
        <n x="1124"/>
        <n x="11"/>
        <n x="32"/>
        <n x="1337" s="1"/>
      </t>
    </mdx>
    <mdx n="33" f="v">
      <t c="4">
        <n x="1204"/>
        <n x="11"/>
        <n x="7"/>
        <n x="1337" s="1"/>
      </t>
    </mdx>
    <mdx n="33" f="v">
      <t c="4">
        <n x="1215"/>
        <n x="11"/>
        <n x="7"/>
        <n x="1337" s="1"/>
      </t>
    </mdx>
    <mdx n="33" f="v">
      <t c="4">
        <n x="1321"/>
        <n x="11"/>
        <n x="7"/>
        <n x="1337" s="1"/>
      </t>
    </mdx>
    <mdx n="33" f="v">
      <t c="4">
        <n x="1200"/>
        <n x="11"/>
        <n x="32"/>
        <n x="1337" s="1"/>
      </t>
    </mdx>
    <mdx n="33" f="v">
      <t c="4">
        <n x="1148"/>
        <n x="11"/>
        <n x="32"/>
        <n x="1337" s="1"/>
      </t>
    </mdx>
    <mdx n="33" f="v">
      <t c="4">
        <n x="1220"/>
        <n x="11"/>
        <n x="7"/>
        <n x="1337" s="1"/>
      </t>
    </mdx>
    <mdx n="33" f="v">
      <t c="3" si="10">
        <n x="1337" s="1"/>
        <n x="11"/>
        <n x="32"/>
      </t>
    </mdx>
    <mdx n="33" f="v">
      <t c="4">
        <n x="1192"/>
        <n x="14"/>
        <n x="32"/>
        <n x="1337" s="1"/>
      </t>
    </mdx>
    <mdx n="33" f="v">
      <t c="4">
        <n x="1241"/>
        <n x="11"/>
        <n x="7"/>
        <n x="1337" s="1"/>
      </t>
    </mdx>
    <mdx n="33" f="v">
      <t c="4">
        <n x="1194"/>
        <n x="1"/>
        <n x="7"/>
        <n x="1337" s="1"/>
      </t>
    </mdx>
    <mdx n="33" f="v">
      <t c="4">
        <n x="1301"/>
        <n x="11"/>
        <n x="7"/>
        <n x="1337" s="1"/>
      </t>
    </mdx>
    <mdx n="33" f="v">
      <t c="4" si="10">
        <n x="1161"/>
        <n x="11"/>
        <n x="32"/>
        <n x="1337" s="1"/>
      </t>
    </mdx>
    <mdx n="33" f="v">
      <t c="4">
        <n x="1138"/>
        <n x="1"/>
        <n x="7"/>
        <n x="1337" s="1"/>
      </t>
    </mdx>
    <mdx n="33" f="v">
      <t c="4" si="10">
        <n x="1138"/>
        <n x="14"/>
        <n x="32"/>
        <n x="1337" s="1"/>
      </t>
    </mdx>
    <mdx n="33" f="v">
      <t c="4">
        <n x="1223"/>
        <n x="11"/>
        <n x="32"/>
        <n x="1337" s="1"/>
      </t>
    </mdx>
    <mdx n="33" f="v">
      <t c="4">
        <n x="1214"/>
        <n x="1"/>
        <n x="7"/>
        <n x="1337" s="1"/>
      </t>
    </mdx>
    <mdx n="33" f="v">
      <t c="4">
        <n x="1297"/>
        <n x="11"/>
        <n x="7"/>
        <n x="1337" s="1"/>
      </t>
    </mdx>
    <mdx n="33" f="v">
      <t c="4">
        <n x="1193"/>
        <n x="1"/>
        <n x="7"/>
        <n x="1337" s="1"/>
      </t>
    </mdx>
    <mdx n="33" f="v">
      <t c="4">
        <n x="1248"/>
        <n x="1"/>
        <n x="7"/>
        <n x="1337" s="1"/>
      </t>
    </mdx>
    <mdx n="33" f="v">
      <t c="4">
        <n x="1124"/>
        <n x="1"/>
        <n x="7"/>
        <n x="1337" s="1"/>
      </t>
    </mdx>
    <mdx n="33" f="v">
      <t c="4">
        <n x="1282"/>
        <n x="11"/>
        <n x="32"/>
        <n x="1337" s="1"/>
      </t>
    </mdx>
    <mdx n="33" f="v">
      <t c="4">
        <n x="1194"/>
        <n x="11"/>
        <n x="32"/>
        <n x="1337" s="1"/>
      </t>
    </mdx>
    <mdx n="33" f="v">
      <t c="4" si="10">
        <n x="1300"/>
        <n x="14"/>
        <n x="32"/>
        <n x="1337" s="1"/>
      </t>
    </mdx>
    <mdx n="33" f="v">
      <t c="4" si="10">
        <n x="1192"/>
        <n x="11"/>
        <n x="32"/>
        <n x="1337" s="1"/>
      </t>
    </mdx>
    <mdx n="33" f="v">
      <t c="4" si="10">
        <n x="1222"/>
        <n x="14"/>
        <n x="32"/>
        <n x="1337" s="1"/>
      </t>
    </mdx>
    <mdx n="33" f="v">
      <t c="4" si="10">
        <n x="1251"/>
        <n x="14"/>
        <n x="32"/>
        <n x="1337" s="1"/>
      </t>
    </mdx>
    <mdx n="33" f="v">
      <t c="4" si="10">
        <n x="1207"/>
        <n x="14"/>
        <n x="32"/>
        <n x="1337" s="1"/>
      </t>
    </mdx>
    <mdx n="33" f="v">
      <t c="4" si="10">
        <n x="1305"/>
        <n x="14"/>
        <n x="32"/>
        <n x="1337" s="1"/>
      </t>
    </mdx>
    <mdx n="33" f="v">
      <t c="4">
        <n x="1200"/>
        <n x="1"/>
        <n x="7"/>
        <n x="1337" s="1"/>
      </t>
    </mdx>
    <mdx n="33" f="v">
      <t c="4">
        <n x="1301"/>
        <n x="11"/>
        <n x="32"/>
        <n x="1337" s="1"/>
      </t>
    </mdx>
    <mdx n="33" f="v">
      <t c="4">
        <n x="1131"/>
        <n x="11"/>
        <n x="32"/>
        <n x="1337" s="1"/>
      </t>
    </mdx>
    <mdx n="33" f="v">
      <t c="4" si="10">
        <n x="1246"/>
        <n x="14"/>
        <n x="32"/>
        <n x="1337" s="1"/>
      </t>
    </mdx>
    <mdx n="33" f="v">
      <t c="4">
        <n x="1275"/>
        <n x="11"/>
        <n x="32"/>
        <n x="1337" s="1"/>
      </t>
    </mdx>
    <mdx n="33" f="v">
      <t c="4">
        <n x="1198"/>
        <n x="11"/>
        <n x="32"/>
        <n x="1337" s="1"/>
      </t>
    </mdx>
    <mdx n="33" f="v">
      <t c="4" si="10">
        <n x="1301"/>
        <n x="14"/>
        <n x="32"/>
        <n x="1337" s="1"/>
      </t>
    </mdx>
    <mdx n="33" f="v">
      <t c="4">
        <n x="1184"/>
        <n x="1"/>
        <n x="7"/>
        <n x="1337" s="1"/>
      </t>
    </mdx>
    <mdx n="33" f="v">
      <t c="4">
        <n x="1297"/>
        <n x="11"/>
        <n x="32"/>
        <n x="1337" s="1"/>
      </t>
    </mdx>
    <mdx n="33" f="v">
      <t c="4">
        <n x="1279"/>
        <n x="1"/>
        <n x="32"/>
        <n x="1337" s="1"/>
      </t>
    </mdx>
    <mdx n="33" f="v">
      <t c="6">
        <n x="15"/>
        <n x="1337" s="1"/>
        <n x="41"/>
        <n x="7"/>
        <n x="30"/>
        <n x="2"/>
      </t>
    </mdx>
    <mdx n="33" f="v">
      <t c="4" si="10">
        <n x="1190"/>
        <n x="14"/>
        <n x="32"/>
        <n x="1337" s="1"/>
      </t>
    </mdx>
    <mdx n="33" f="v">
      <t c="4">
        <n x="1324"/>
        <n x="1"/>
        <n x="7"/>
        <n x="1337" s="1"/>
      </t>
    </mdx>
    <mdx n="33" f="v">
      <t c="4">
        <n x="1197"/>
        <n x="1"/>
        <n x="32"/>
        <n x="1337" s="1"/>
      </t>
    </mdx>
    <mdx n="33" f="v">
      <t c="6" si="9">
        <n x="15"/>
        <n x="1337" s="1"/>
        <n x="37"/>
        <n x="7"/>
        <n x="22"/>
        <n x="0"/>
      </t>
    </mdx>
    <mdx n="33" f="v">
      <t c="4" si="10">
        <n x="1176"/>
        <n x="1"/>
        <n x="32"/>
        <n x="1337" s="1"/>
      </t>
    </mdx>
    <mdx n="33" f="v">
      <t c="6" si="9">
        <n x="15"/>
        <n x="1337" s="1"/>
        <n x="39"/>
        <n x="7"/>
        <n x="29"/>
        <n x="0"/>
      </t>
    </mdx>
    <mdx n="33" f="v">
      <t c="4" si="10">
        <n x="1217"/>
        <n x="11"/>
        <n x="32"/>
        <n x="1337" s="1"/>
      </t>
    </mdx>
    <mdx n="33" f="v">
      <t c="4">
        <n x="1317"/>
        <n x="11"/>
        <n x="32"/>
        <n x="1337" s="1"/>
      </t>
    </mdx>
    <mdx n="33" f="v">
      <t c="4" si="10">
        <n x="1258"/>
        <n x="1"/>
        <n x="32"/>
        <n x="1337" s="1"/>
      </t>
    </mdx>
    <mdx n="33" f="v">
      <t c="6" si="9">
        <n x="15"/>
        <n x="1337" s="1"/>
        <n x="41"/>
        <n x="7"/>
        <n x="22"/>
        <n x="1"/>
      </t>
    </mdx>
    <mdx n="33" f="v">
      <t c="4">
        <n x="1253"/>
        <n x="14"/>
        <n x="7"/>
        <n x="1337" s="1"/>
      </t>
    </mdx>
    <mdx n="33" f="v">
      <t c="3" si="9">
        <n x="1337" s="1"/>
        <n x="12"/>
        <n x="7"/>
      </t>
    </mdx>
    <mdx n="33" f="v">
      <t c="4">
        <n x="1269"/>
        <n x="11"/>
        <n x="7"/>
        <n x="1337" s="1"/>
      </t>
    </mdx>
    <mdx n="33" f="v">
      <t c="4">
        <n x="1195"/>
        <n x="14"/>
        <n x="32"/>
        <n x="1337" s="1"/>
      </t>
    </mdx>
    <mdx n="33" f="v">
      <t c="4">
        <n x="1183"/>
        <n x="1"/>
        <n x="7"/>
        <n x="1337" s="1"/>
      </t>
    </mdx>
    <mdx n="33" f="v">
      <t c="4" si="10">
        <n x="1143"/>
        <n x="14"/>
        <n x="32"/>
        <n x="1337" s="1"/>
      </t>
    </mdx>
    <mdx n="33" f="v">
      <t c="4">
        <n x="1288"/>
        <n x="14"/>
        <n x="7"/>
        <n x="1337" s="1"/>
      </t>
    </mdx>
    <mdx n="33" f="v">
      <t c="4" si="10">
        <n x="1186"/>
        <n x="14"/>
        <n x="32"/>
        <n x="1337" s="1"/>
      </t>
    </mdx>
    <mdx n="33" f="v">
      <t c="4">
        <n x="1260"/>
        <n x="11"/>
        <n x="7"/>
        <n x="1337" s="1"/>
      </t>
    </mdx>
    <mdx n="33" f="v">
      <t c="4">
        <n x="1273"/>
        <n x="1"/>
        <n x="7"/>
        <n x="1337" s="1"/>
      </t>
    </mdx>
    <mdx n="33" f="v">
      <t c="4">
        <n x="1123"/>
        <n x="11"/>
        <n x="7"/>
        <n x="1337" s="1"/>
      </t>
    </mdx>
    <mdx n="33" f="v">
      <t c="4" si="10">
        <n x="1171"/>
        <n x="11"/>
        <n x="32"/>
        <n x="1337" s="1"/>
      </t>
    </mdx>
    <mdx n="33" f="v">
      <t c="4">
        <n x="1139"/>
        <n x="11"/>
        <n x="7"/>
        <n x="1337" s="1"/>
      </t>
    </mdx>
    <mdx n="33" f="v">
      <t c="4" si="9">
        <n x="15"/>
        <n x="1337" s="1"/>
        <n x="14"/>
        <n x="7"/>
      </t>
    </mdx>
    <mdx n="33" f="v">
      <t c="4">
        <n x="1181"/>
        <n x="11"/>
        <n x="7"/>
        <n x="1337" s="1"/>
      </t>
    </mdx>
    <mdx n="33" f="v">
      <t c="4">
        <n x="1208"/>
        <n x="11"/>
        <n x="7"/>
        <n x="1337" s="1"/>
      </t>
    </mdx>
    <mdx n="33" f="v">
      <t c="4">
        <n x="1217"/>
        <n x="11"/>
        <n x="7"/>
        <n x="1337" s="1"/>
      </t>
    </mdx>
    <mdx n="33" f="v">
      <t c="4">
        <n x="1179"/>
        <n x="1"/>
        <n x="7"/>
        <n x="1337" s="1"/>
      </t>
    </mdx>
    <mdx n="33" f="v">
      <t c="4">
        <n x="1207"/>
        <n x="11"/>
        <n x="7"/>
        <n x="1337" s="1"/>
      </t>
    </mdx>
    <mdx n="33" f="v">
      <t c="3" si="10">
        <n x="1337" s="1"/>
        <n x="1"/>
        <n x="32"/>
      </t>
    </mdx>
    <mdx n="33" f="v">
      <t c="4">
        <n x="1243"/>
        <n x="11"/>
        <n x="7"/>
        <n x="1337" s="1"/>
      </t>
    </mdx>
    <mdx n="33" f="v">
      <t c="4">
        <n x="1175"/>
        <n x="1"/>
        <n x="7"/>
        <n x="1337" s="1"/>
      </t>
    </mdx>
    <mdx n="33" f="v">
      <t c="4">
        <n x="1125"/>
        <n x="11"/>
        <n x="7"/>
        <n x="1337" s="1"/>
      </t>
    </mdx>
    <mdx n="33" f="v">
      <t c="4">
        <n x="1253"/>
        <n x="11"/>
        <n x="7"/>
        <n x="1337" s="1"/>
      </t>
    </mdx>
    <mdx n="33" f="v">
      <t c="4">
        <n x="1181"/>
        <n x="11"/>
        <n x="32"/>
        <n x="1337" s="1"/>
      </t>
    </mdx>
    <mdx n="33" f="v">
      <t c="4">
        <n x="1225"/>
        <n x="11"/>
        <n x="7"/>
        <n x="1337" s="1"/>
      </t>
    </mdx>
    <mdx n="33" f="v">
      <t c="4">
        <n x="1329"/>
        <n x="11"/>
        <n x="7"/>
        <n x="1337" s="1"/>
      </t>
    </mdx>
    <mdx n="33" f="v">
      <t c="4">
        <n x="1193"/>
        <n x="11"/>
        <n x="32"/>
        <n x="1337" s="1"/>
      </t>
    </mdx>
    <mdx n="33" f="v">
      <t c="4">
        <n x="1140"/>
        <n x="11"/>
        <n x="32"/>
        <n x="1337" s="1"/>
      </t>
    </mdx>
    <mdx n="33" f="v">
      <t c="4">
        <n x="1251"/>
        <n x="11"/>
        <n x="7"/>
        <n x="1337" s="1"/>
      </t>
    </mdx>
    <mdx n="33" f="v">
      <t c="4">
        <n x="1137"/>
        <n x="11"/>
        <n x="32"/>
        <n x="1337" s="1"/>
      </t>
    </mdx>
    <mdx n="33" f="v">
      <t c="3" si="10">
        <n x="1337" s="1"/>
        <n x="2"/>
        <n x="32"/>
      </t>
    </mdx>
    <mdx n="33" f="v">
      <t c="4">
        <n x="1229"/>
        <n x="11"/>
        <n x="7"/>
        <n x="1337" s="1"/>
      </t>
    </mdx>
    <mdx n="33" f="v">
      <t c="4" si="10">
        <n x="1144"/>
        <n x="14"/>
        <n x="32"/>
        <n x="1337" s="1"/>
      </t>
    </mdx>
    <mdx n="33" f="v">
      <t c="4">
        <n x="1169"/>
        <n x="11"/>
        <n x="7"/>
        <n x="1337" s="1"/>
      </t>
    </mdx>
    <mdx n="33" f="v">
      <t c="4">
        <n x="1160"/>
        <n x="11"/>
        <n x="7"/>
        <n x="1337" s="1"/>
      </t>
    </mdx>
    <mdx n="33" f="v">
      <t c="4">
        <n x="1189"/>
        <n x="11"/>
        <n x="32"/>
        <n x="1337" s="1"/>
      </t>
    </mdx>
    <mdx n="33" f="v">
      <t c="4">
        <n x="1143"/>
        <n x="11"/>
        <n x="7"/>
        <n x="1337" s="1"/>
      </t>
    </mdx>
    <mdx n="33" f="v">
      <t c="4">
        <n x="1170"/>
        <n x="11"/>
        <n x="7"/>
        <n x="1337" s="1"/>
      </t>
    </mdx>
    <mdx n="33" f="v">
      <t c="4">
        <n x="1167"/>
        <n x="14"/>
        <n x="32"/>
        <n x="1337" s="1"/>
      </t>
    </mdx>
    <mdx n="33" f="v">
      <t c="4">
        <n x="1177"/>
        <n x="11"/>
        <n x="32"/>
        <n x="1337" s="1"/>
      </t>
    </mdx>
    <mdx n="33" f="v">
      <t c="4" si="10">
        <n x="1136"/>
        <n x="11"/>
        <n x="32"/>
        <n x="1337" s="1"/>
      </t>
    </mdx>
    <mdx n="33" f="v">
      <t c="4">
        <n x="1148"/>
        <n x="11"/>
        <n x="7"/>
        <n x="1337" s="1"/>
      </t>
    </mdx>
    <mdx n="33" f="v">
      <t c="4">
        <n x="1159"/>
        <n x="11"/>
        <n x="7"/>
        <n x="1337" s="1"/>
      </t>
    </mdx>
    <mdx n="33" f="v">
      <t c="4">
        <n x="1186"/>
        <n x="11"/>
        <n x="7"/>
        <n x="1337" s="1"/>
      </t>
    </mdx>
    <mdx n="33" f="v">
      <t c="4">
        <n x="1170"/>
        <n x="1"/>
        <n x="7"/>
        <n x="1337" s="1"/>
      </t>
    </mdx>
    <mdx n="33" f="v">
      <t c="4">
        <n x="1195"/>
        <n x="1"/>
        <n x="7"/>
        <n x="1337" s="1"/>
      </t>
    </mdx>
    <mdx n="33" f="v">
      <t c="4">
        <n x="1317"/>
        <n x="11"/>
        <n x="7"/>
        <n x="1337" s="1"/>
      </t>
    </mdx>
    <mdx n="33" f="v">
      <t c="4" si="10">
        <n x="1131"/>
        <n x="14"/>
        <n x="32"/>
        <n x="1337" s="1"/>
      </t>
    </mdx>
    <mdx n="33" f="v">
      <t c="4" si="10">
        <n x="1164"/>
        <n x="11"/>
        <n x="32"/>
        <n x="1337" s="1"/>
      </t>
    </mdx>
    <mdx n="33" f="v">
      <t c="4">
        <n x="1159"/>
        <n x="11"/>
        <n x="32"/>
        <n x="1337" s="1"/>
      </t>
    </mdx>
    <mdx n="33" f="v">
      <t c="4">
        <n x="1245"/>
        <n x="1"/>
        <n x="7"/>
        <n x="1337" s="1"/>
      </t>
    </mdx>
    <mdx n="33" f="v">
      <t c="4">
        <n x="1267"/>
        <n x="11"/>
        <n x="32"/>
        <n x="1337" s="1"/>
      </t>
    </mdx>
    <mdx n="33" f="v">
      <t c="4" si="10">
        <n x="1187"/>
        <n x="14"/>
        <n x="32"/>
        <n x="1337" s="1"/>
      </t>
    </mdx>
    <mdx n="33" f="v">
      <t c="4">
        <n x="1221"/>
        <n x="1"/>
        <n x="7"/>
        <n x="1337" s="1"/>
      </t>
    </mdx>
    <mdx n="33" f="v">
      <t c="4">
        <n x="1279"/>
        <n x="11"/>
        <n x="32"/>
        <n x="1337" s="1"/>
      </t>
    </mdx>
    <mdx n="33" f="v">
      <t c="4">
        <n x="1205"/>
        <n x="11"/>
        <n x="32"/>
        <n x="1337" s="1"/>
      </t>
    </mdx>
    <mdx n="33" f="v">
      <t c="4">
        <n x="1304"/>
        <n x="1"/>
        <n x="7"/>
        <n x="1337" s="1"/>
      </t>
    </mdx>
    <mdx n="33" f="v">
      <t c="4" si="10">
        <n x="1229"/>
        <n x="14"/>
        <n x="32"/>
        <n x="1337" s="1"/>
      </t>
    </mdx>
    <mdx n="33" f="v">
      <t c="4" si="10">
        <n x="1321"/>
        <n x="11"/>
        <n x="32"/>
        <n x="1337" s="1"/>
      </t>
    </mdx>
    <mdx n="33" f="v">
      <t c="4" si="9">
        <n x="1137"/>
        <n x="1"/>
        <n x="7"/>
        <n x="1337" s="1"/>
      </t>
    </mdx>
    <mdx n="33" f="v">
      <t c="4">
        <n x="1251"/>
        <n x="11"/>
        <n x="32"/>
        <n x="1337" s="1"/>
      </t>
    </mdx>
    <mdx n="33" f="v">
      <t c="4">
        <n x="1281"/>
        <n x="1"/>
        <n x="7"/>
        <n x="1337" s="1"/>
      </t>
    </mdx>
    <mdx n="33" f="v">
      <t c="4">
        <n x="1236"/>
        <n x="1"/>
        <n x="7"/>
        <n x="1337" s="1"/>
      </t>
    </mdx>
    <mdx n="33" f="v">
      <t c="4">
        <n x="1326"/>
        <n x="11"/>
        <n x="32"/>
        <n x="1337" s="1"/>
      </t>
    </mdx>
    <mdx n="33" f="v">
      <t c="4">
        <n x="1231"/>
        <n x="1"/>
        <n x="7"/>
        <n x="1337" s="1"/>
      </t>
    </mdx>
    <mdx n="33" f="v">
      <t c="4">
        <n x="1161"/>
        <n x="1"/>
        <n x="7"/>
        <n x="1337" s="1"/>
      </t>
    </mdx>
    <mdx n="33" f="v">
      <t c="4">
        <n x="1276"/>
        <n x="11"/>
        <n x="7"/>
        <n x="1337" s="1"/>
      </t>
    </mdx>
    <mdx n="33" f="v">
      <t c="4" si="10">
        <n x="1302"/>
        <n x="14"/>
        <n x="32"/>
        <n x="1337" s="1"/>
      </t>
    </mdx>
    <mdx n="33" f="v">
      <t c="4">
        <n x="1230"/>
        <n x="11"/>
        <n x="32"/>
        <n x="1337" s="1"/>
      </t>
    </mdx>
    <mdx n="33" f="v">
      <t c="4" si="10">
        <n x="1322"/>
        <n x="11"/>
        <n x="32"/>
        <n x="1337" s="1"/>
      </t>
    </mdx>
    <mdx n="33" f="v">
      <t c="4" si="10">
        <n x="1225"/>
        <n x="11"/>
        <n x="32"/>
        <n x="1337" s="1"/>
      </t>
    </mdx>
    <mdx n="33" f="v">
      <t c="4">
        <n x="1319"/>
        <n x="1"/>
        <n x="7"/>
        <n x="1337" s="1"/>
      </t>
    </mdx>
    <mdx n="33" f="v">
      <t c="4" si="10">
        <n x="1311"/>
        <n x="1"/>
        <n x="32"/>
        <n x="1337" s="1"/>
      </t>
    </mdx>
    <mdx n="33" f="v">
      <t c="6">
        <n x="15"/>
        <n x="1337" s="1"/>
        <n x="38"/>
        <n x="7"/>
        <n x="28"/>
        <n x="0"/>
      </t>
    </mdx>
    <mdx n="33" f="v">
      <t c="4">
        <n x="1208"/>
        <n x="11"/>
        <n x="32"/>
        <n x="1337" s="1"/>
      </t>
    </mdx>
    <mdx n="33" f="v">
      <t c="4" si="10">
        <n x="1227"/>
        <n x="14"/>
        <n x="32"/>
        <n x="1337" s="1"/>
      </t>
    </mdx>
    <mdx n="33" f="v">
      <t c="4">
        <n x="1299"/>
        <n x="1"/>
        <n x="32"/>
        <n x="1337" s="1"/>
      </t>
    </mdx>
    <mdx n="33" f="v">
      <t c="6" si="10">
        <n x="15"/>
        <n x="1337" s="1"/>
        <n x="39"/>
        <n x="32"/>
        <n x="28"/>
        <n x="2"/>
      </t>
    </mdx>
    <mdx n="33" f="v">
      <t c="4" si="10">
        <n x="1219"/>
        <n x="1"/>
        <n x="32"/>
        <n x="1337" s="1"/>
      </t>
    </mdx>
    <mdx n="33" f="v">
      <t c="6" si="10">
        <n x="15"/>
        <n x="1337" s="1"/>
        <n x="34"/>
        <n x="32"/>
        <n x="29"/>
        <n x="12"/>
      </t>
    </mdx>
    <mdx n="33" f="v">
      <t c="4">
        <n x="1239"/>
        <n x="14"/>
        <n x="32"/>
        <n x="1337" s="1"/>
      </t>
    </mdx>
    <mdx n="33" f="v">
      <t c="4" si="10">
        <n x="1217"/>
        <n x="14"/>
        <n x="32"/>
        <n x="1337" s="1"/>
      </t>
    </mdx>
    <mdx n="33" f="v">
      <t c="4">
        <n x="1301"/>
        <n x="1"/>
        <n x="32"/>
        <n x="1337" s="1"/>
      </t>
    </mdx>
    <mdx n="33" f="v">
      <t c="4">
        <n x="1124"/>
        <n x="14"/>
        <n x="7"/>
        <n x="1337" s="1"/>
      </t>
    </mdx>
    <mdx n="33" f="v">
      <t c="4">
        <n x="1131"/>
        <n x="11"/>
        <n x="7"/>
        <n x="1337" s="1"/>
      </t>
    </mdx>
    <mdx n="33" f="v">
      <t c="4" si="9">
        <n x="1134"/>
        <n x="14"/>
        <n x="7"/>
        <n x="1337" s="1"/>
      </t>
    </mdx>
    <mdx n="33" f="v">
      <t c="4">
        <n x="1141"/>
        <n x="11"/>
        <n x="7"/>
        <n x="1337" s="1"/>
      </t>
    </mdx>
    <mdx n="33" f="v">
      <t c="4">
        <n x="1138"/>
        <n x="14"/>
        <n x="7"/>
        <n x="1337" s="1"/>
      </t>
    </mdx>
    <mdx n="33" f="v">
      <t c="4">
        <n x="1145"/>
        <n x="11"/>
        <n x="7"/>
        <n x="1337" s="1"/>
      </t>
    </mdx>
    <mdx n="33" f="v">
      <t c="4">
        <n x="1309"/>
        <n x="11"/>
        <n x="7"/>
        <n x="1337" s="1"/>
      </t>
    </mdx>
    <mdx n="33" f="v">
      <t c="4">
        <n x="1180"/>
        <n x="11"/>
        <n x="7"/>
        <n x="1337" s="1"/>
      </t>
    </mdx>
    <mdx n="33" f="v">
      <t c="4" si="9">
        <n x="1217"/>
        <n x="14"/>
        <n x="7"/>
        <n x="1337" s="1"/>
      </t>
    </mdx>
    <mdx n="33" f="v">
      <t c="4">
        <n x="1154"/>
        <n x="11"/>
        <n x="7"/>
        <n x="1337" s="1"/>
      </t>
    </mdx>
    <mdx n="33" f="v">
      <t c="4" si="10">
        <n x="1175"/>
        <n x="14"/>
        <n x="32"/>
        <n x="1337" s="1"/>
      </t>
    </mdx>
    <mdx n="33" f="v">
      <t c="4">
        <n x="1334"/>
        <n x="11"/>
        <n x="32"/>
        <n x="1337" s="1"/>
      </t>
    </mdx>
    <mdx n="33" f="v">
      <t c="4">
        <n x="1207"/>
        <n x="11"/>
        <n x="32"/>
        <n x="1337" s="1"/>
      </t>
    </mdx>
    <mdx n="33" f="v">
      <t c="4">
        <n x="1170"/>
        <n x="11"/>
        <n x="32"/>
        <n x="1337" s="1"/>
      </t>
    </mdx>
    <mdx n="33" f="v">
      <t c="4" si="10">
        <n x="1294"/>
        <n x="14"/>
        <n x="32"/>
        <n x="1337" s="1"/>
      </t>
    </mdx>
    <mdx n="33" f="v">
      <t c="4" si="10">
        <n x="1142"/>
        <n x="14"/>
        <n x="32"/>
        <n x="1337" s="1"/>
      </t>
    </mdx>
    <mdx n="33" f="v">
      <t c="4">
        <n x="1138"/>
        <n x="11"/>
        <n x="32"/>
        <n x="1337" s="1"/>
      </t>
    </mdx>
    <mdx n="33" f="v">
      <t c="4" si="10">
        <n x="1310"/>
        <n x="14"/>
        <n x="32"/>
        <n x="1337" s="1"/>
      </t>
    </mdx>
    <mdx n="33" f="v">
      <t c="4" si="10">
        <n x="1241"/>
        <n x="14"/>
        <n x="32"/>
        <n x="1337" s="1"/>
      </t>
    </mdx>
    <mdx n="33" f="v">
      <t c="4" si="10">
        <n x="1335"/>
        <n x="1"/>
        <n x="32"/>
        <n x="1337" s="1"/>
      </t>
    </mdx>
    <mdx n="33" f="v">
      <t c="4" si="10">
        <n x="1236"/>
        <n x="14"/>
        <n x="32"/>
        <n x="1337" s="1"/>
      </t>
    </mdx>
    <mdx n="33" f="v">
      <t c="4" si="10">
        <n x="15"/>
        <n x="1337" s="1"/>
        <n x="14"/>
        <n x="32"/>
      </t>
    </mdx>
    <mdx n="33" f="v">
      <t c="4">
        <n x="1201"/>
        <n x="1"/>
        <n x="7"/>
        <n x="1337" s="1"/>
      </t>
    </mdx>
    <mdx n="33" f="v">
      <t c="4">
        <n x="1223"/>
        <n x="1"/>
        <n x="7"/>
        <n x="1337" s="1"/>
      </t>
    </mdx>
    <mdx n="33" f="v">
      <t c="4">
        <n x="1182"/>
        <n x="11"/>
        <n x="7"/>
        <n x="1337" s="1"/>
      </t>
    </mdx>
    <mdx n="33" f="v">
      <t c="4">
        <n x="1268"/>
        <n x="1"/>
        <n x="7"/>
        <n x="1337" s="1"/>
      </t>
    </mdx>
    <mdx n="33" f="v">
      <t c="4">
        <n x="1126"/>
        <n x="11"/>
        <n x="7"/>
        <n x="1337" s="1"/>
      </t>
    </mdx>
    <mdx n="33" f="v">
      <t c="4">
        <n x="1264"/>
        <n x="14"/>
        <n x="32"/>
        <n x="1337" s="1"/>
      </t>
    </mdx>
    <mdx n="33" f="v">
      <t c="4">
        <n x="1167"/>
        <n x="1"/>
        <n x="7"/>
        <n x="1337" s="1"/>
      </t>
    </mdx>
    <mdx n="33" f="v">
      <t c="4">
        <n x="1167"/>
        <n x="11"/>
        <n x="32"/>
        <n x="1337" s="1"/>
      </t>
    </mdx>
    <mdx n="33" f="v">
      <t c="4">
        <n x="1318"/>
        <n x="14"/>
        <n x="7"/>
        <n x="1337" s="1"/>
      </t>
    </mdx>
    <mdx n="33" f="v">
      <t c="4">
        <n x="1307"/>
        <n x="11"/>
        <n x="32"/>
        <n x="1337" s="1"/>
      </t>
    </mdx>
    <mdx n="33" f="v">
      <t c="4" si="10">
        <n x="1209"/>
        <n x="14"/>
        <n x="32"/>
        <n x="1337" s="1"/>
      </t>
    </mdx>
    <mdx n="33" f="v">
      <t c="4">
        <n x="1328"/>
        <n x="11"/>
        <n x="32"/>
        <n x="1337" s="1"/>
      </t>
    </mdx>
    <mdx n="33" f="v">
      <t c="4" si="10">
        <n x="1232"/>
        <n x="11"/>
        <n x="32"/>
        <n x="1337" s="1"/>
      </t>
    </mdx>
    <mdx n="33" f="v">
      <t c="4" si="10">
        <n x="1324"/>
        <n x="14"/>
        <n x="32"/>
        <n x="1337" s="1"/>
      </t>
    </mdx>
    <mdx n="33" f="v">
      <t c="4">
        <n x="1253"/>
        <n x="1"/>
        <n x="32"/>
        <n x="1337" s="1"/>
      </t>
    </mdx>
    <mdx n="33" f="v">
      <t c="6" si="10">
        <n x="15"/>
        <n x="1337" s="1"/>
        <n x="43"/>
        <n x="32"/>
        <n x="28"/>
        <n x="1"/>
      </t>
    </mdx>
    <mdx n="33" f="v">
      <t c="4" si="10">
        <n x="1254"/>
        <n x="11"/>
        <n x="32"/>
        <n x="1337" s="1"/>
      </t>
    </mdx>
    <mdx n="33" f="v">
      <t c="4">
        <n x="1246"/>
        <n x="1"/>
        <n x="7"/>
        <n x="1337" s="1"/>
      </t>
    </mdx>
    <mdx n="33" f="v">
      <t c="4">
        <n x="1325"/>
        <n x="11"/>
        <n x="32"/>
        <n x="1337" s="1"/>
      </t>
    </mdx>
    <mdx n="33" f="v">
      <t c="4">
        <n x="1267"/>
        <n x="1"/>
        <n x="32"/>
        <n x="1337" s="1"/>
      </t>
    </mdx>
    <mdx n="33" f="v">
      <t c="6" si="9">
        <n x="15"/>
        <n x="1337" s="1"/>
        <n x="40"/>
        <n x="7"/>
        <n x="31"/>
        <n x="0"/>
      </t>
    </mdx>
    <mdx n="33" f="v">
      <t c="4" si="10">
        <n x="1133"/>
        <n x="1"/>
        <n x="32"/>
        <n x="1337" s="1"/>
      </t>
    </mdx>
    <mdx n="33" f="v">
      <t c="6" si="9">
        <n x="15"/>
        <n x="1337" s="1"/>
        <n x="44"/>
        <n x="7"/>
        <n x="31"/>
        <n x="2"/>
      </t>
    </mdx>
    <mdx n="33" f="v">
      <t c="4">
        <n x="1255"/>
        <n x="1"/>
        <n x="7"/>
        <n x="1337" s="1"/>
      </t>
    </mdx>
    <mdx n="33" f="v">
      <t c="4">
        <n x="1261"/>
        <n x="11"/>
        <n x="32"/>
        <n x="1337" s="1"/>
      </t>
    </mdx>
    <mdx n="33" f="v">
      <t c="4">
        <n x="1313"/>
        <n x="1"/>
        <n x="32"/>
        <n x="1337" s="1"/>
      </t>
    </mdx>
    <mdx n="33" f="v">
      <t c="4">
        <n x="1136"/>
        <n x="11"/>
        <n x="7"/>
        <n x="1337" s="1"/>
      </t>
    </mdx>
    <mdx n="33" f="v">
      <t c="4">
        <n x="1176"/>
        <n x="11"/>
        <n x="7"/>
        <n x="1337" s="1"/>
      </t>
    </mdx>
    <mdx n="33" f="v">
      <t c="3" si="9">
        <n x="1337" s="1"/>
        <n x="0"/>
        <n x="7"/>
      </t>
    </mdx>
    <mdx n="33" f="v">
      <t c="4">
        <n x="1192"/>
        <n x="11"/>
        <n x="7"/>
        <n x="1337" s="1"/>
      </t>
    </mdx>
    <mdx n="33" f="v">
      <t c="4">
        <n x="1202"/>
        <n x="11"/>
        <n x="7"/>
        <n x="1337" s="1"/>
      </t>
    </mdx>
    <mdx n="33" f="v">
      <t c="4">
        <n x="1247"/>
        <n x="11"/>
        <n x="7"/>
        <n x="1337" s="1"/>
      </t>
    </mdx>
    <mdx n="33" f="v">
      <t c="4">
        <n x="1147"/>
        <n x="14"/>
        <n x="32"/>
        <n x="1337" s="1"/>
      </t>
    </mdx>
    <mdx n="33" f="v">
      <t c="4">
        <n x="1286"/>
        <n x="14"/>
        <n x="7"/>
        <n x="1337" s="1"/>
      </t>
    </mdx>
    <mdx n="33" f="v">
      <t c="4">
        <n x="1191"/>
        <n x="11"/>
        <n x="7"/>
        <n x="1337" s="1"/>
      </t>
    </mdx>
    <mdx n="33" f="v">
      <t c="4">
        <n x="1287"/>
        <n x="11"/>
        <n x="7"/>
        <n x="1337" s="1"/>
      </t>
    </mdx>
    <mdx n="33" f="v">
      <t c="4">
        <n x="1149"/>
        <n x="1"/>
        <n x="7"/>
        <n x="1337" s="1"/>
      </t>
    </mdx>
    <mdx n="33" f="v">
      <t c="4" si="10">
        <n x="1234"/>
        <n x="14"/>
        <n x="32"/>
        <n x="1337" s="1"/>
      </t>
    </mdx>
    <mdx n="33" f="v">
      <t c="4" si="10">
        <n x="1228"/>
        <n x="14"/>
        <n x="32"/>
        <n x="1337" s="1"/>
      </t>
    </mdx>
    <mdx n="33" f="v">
      <t c="4">
        <n x="1135"/>
        <n x="11"/>
        <n x="7"/>
        <n x="1337" s="1"/>
      </t>
    </mdx>
    <mdx n="33" f="v">
      <t c="4">
        <n x="1330"/>
        <n x="11"/>
        <n x="32"/>
        <n x="1337" s="1"/>
      </t>
    </mdx>
    <mdx n="33" f="v">
      <t c="4">
        <n x="1293"/>
        <n x="1"/>
        <n x="7"/>
        <n x="1337" s="1"/>
      </t>
    </mdx>
    <mdx n="33" f="v">
      <t c="4">
        <n x="1166"/>
        <n x="11"/>
        <n x="32"/>
        <n x="1337" s="1"/>
      </t>
    </mdx>
    <mdx n="33" f="v">
      <t c="4" si="10">
        <n x="1293"/>
        <n x="14"/>
        <n x="32"/>
        <n x="1337" s="1"/>
      </t>
    </mdx>
    <mdx n="33" f="v">
      <t c="4">
        <n x="1152"/>
        <n x="1"/>
        <n x="7"/>
        <n x="1337" s="1"/>
      </t>
    </mdx>
    <mdx n="33" f="v">
      <t c="4">
        <n x="1289"/>
        <n x="11"/>
        <n x="32"/>
        <n x="1337" s="1"/>
      </t>
    </mdx>
    <mdx n="33" f="v">
      <t c="4">
        <n x="1194"/>
        <n x="11"/>
        <n x="7"/>
        <n x="1337" s="1"/>
      </t>
    </mdx>
    <mdx n="33" f="v">
      <t c="4">
        <n x="1151"/>
        <n x="11"/>
        <n x="32"/>
        <n x="1337" s="1"/>
      </t>
    </mdx>
    <mdx n="33" f="v">
      <t c="4">
        <n x="1295"/>
        <n x="11"/>
        <n x="32"/>
        <n x="1337" s="1"/>
      </t>
    </mdx>
    <mdx n="33" f="v">
      <t c="4">
        <n x="1172"/>
        <n x="1"/>
        <n x="7"/>
        <n x="1337" s="1"/>
      </t>
    </mdx>
    <mdx n="33" f="v">
      <t c="4">
        <n x="1294"/>
        <n x="11"/>
        <n x="32"/>
        <n x="1337" s="1"/>
      </t>
    </mdx>
    <mdx n="33" f="v">
      <t c="4" si="10">
        <n x="1157"/>
        <n x="14"/>
        <n x="32"/>
        <n x="1337" s="1"/>
      </t>
    </mdx>
    <mdx n="33" f="v">
      <t c="4">
        <n x="1291"/>
        <n x="1"/>
        <n x="7"/>
        <n x="1337" s="1"/>
      </t>
    </mdx>
    <mdx n="33" f="v">
      <t c="4">
        <n x="1134"/>
        <n x="1"/>
        <n x="7"/>
        <n x="1337" s="1"/>
      </t>
    </mdx>
    <mdx n="33" f="v">
      <t c="4">
        <n x="1174"/>
        <n x="14"/>
        <n x="32"/>
        <n x="1337" s="1"/>
      </t>
    </mdx>
    <mdx n="33" f="v">
      <t c="4" si="10">
        <n x="1154"/>
        <n x="11"/>
        <n x="32"/>
        <n x="1337" s="1"/>
      </t>
    </mdx>
    <mdx n="33" f="v">
      <t c="4">
        <n x="1313"/>
        <n x="1"/>
        <n x="7"/>
        <n x="1337" s="1"/>
      </t>
    </mdx>
    <mdx n="33" f="v">
      <t c="4" si="10">
        <n x="1216"/>
        <n x="14"/>
        <n x="32"/>
        <n x="1337" s="1"/>
      </t>
    </mdx>
    <mdx n="33" f="v">
      <t c="4">
        <n x="1312"/>
        <n x="1"/>
        <n x="7"/>
        <n x="1337" s="1"/>
      </t>
    </mdx>
    <mdx n="33" f="v">
      <t c="4" si="10">
        <n x="1211"/>
        <n x="14"/>
        <n x="32"/>
        <n x="1337" s="1"/>
      </t>
    </mdx>
    <mdx n="33" f="v">
      <t c="4" si="10">
        <n x="1308"/>
        <n x="14"/>
        <n x="32"/>
        <n x="1337" s="1"/>
      </t>
    </mdx>
    <mdx n="33" f="v">
      <t c="3">
        <n x="1218"/>
        <n x="1336"/>
        <n x="1337" s="1"/>
      </t>
    </mdx>
    <mdx n="33" f="v">
      <t c="4" si="10">
        <n x="1221"/>
        <n x="1"/>
        <n x="32"/>
        <n x="1337" s="1"/>
      </t>
    </mdx>
    <mdx n="33" f="v">
      <t c="5" si="10">
        <n x="15"/>
        <n x="1337" s="1"/>
        <n x="8"/>
        <n x="32"/>
        <n x="20"/>
      </t>
    </mdx>
    <mdx n="33" f="v">
      <t c="6" si="10">
        <n x="15"/>
        <n x="1337" s="1"/>
        <n x="44"/>
        <n x="32"/>
        <n x="30"/>
        <n x="0"/>
      </t>
    </mdx>
    <mdx n="33" f="v">
      <t c="4">
        <n x="1295"/>
        <n x="14"/>
        <n x="7"/>
        <n x="1337" s="1"/>
      </t>
    </mdx>
    <mdx n="33" f="v">
      <t c="4">
        <n x="1323"/>
        <n x="14"/>
        <n x="7"/>
        <n x="1337" s="1"/>
      </t>
    </mdx>
    <mdx n="33" f="v">
      <t c="3">
        <n x="1126"/>
        <n x="1336"/>
        <n x="1337" s="1"/>
      </t>
    </mdx>
    <mdx n="33" f="v">
      <t c="4" si="10">
        <n x="1275"/>
        <n x="14"/>
        <n x="32"/>
        <n x="1337" s="1"/>
      </t>
    </mdx>
    <mdx n="33" f="v">
      <t c="4" si="10">
        <n x="1321"/>
        <n x="1"/>
        <n x="32"/>
        <n x="1337" s="1"/>
      </t>
    </mdx>
    <mdx n="33" f="v">
      <t c="6" si="10">
        <n x="15"/>
        <n x="1337" s="1"/>
        <n x="37"/>
        <n x="32"/>
        <n x="28"/>
        <n x="1"/>
      </t>
    </mdx>
    <mdx n="33" f="v">
      <t c="3">
        <n x="1197"/>
        <n x="1336"/>
        <n x="1337" s="1"/>
      </t>
    </mdx>
    <mdx n="33" f="v">
      <t c="5" si="9">
        <n x="15"/>
        <n x="1337" s="1"/>
        <n x="44"/>
        <n x="7"/>
        <n x="2"/>
      </t>
    </mdx>
    <mdx n="33" f="v">
      <t c="4" si="10">
        <n x="1254"/>
        <n x="14"/>
        <n x="32"/>
        <n x="1337" s="1"/>
      </t>
    </mdx>
    <mdx n="33" f="v">
      <t c="4" si="10">
        <n x="1125"/>
        <n x="14"/>
        <n x="32"/>
        <n x="1337" s="1"/>
      </t>
    </mdx>
    <mdx n="33" f="v">
      <t c="3">
        <n x="1214"/>
        <n x="1336"/>
        <n x="1337" s="1"/>
      </t>
    </mdx>
    <mdx n="33" f="v">
      <t c="4" si="10">
        <n x="1229"/>
        <n x="1"/>
        <n x="32"/>
        <n x="1337" s="1"/>
      </t>
    </mdx>
    <mdx n="33" f="v">
      <t c="6" si="9">
        <n x="15"/>
        <n x="1337" s="1"/>
        <n x="39"/>
        <n x="7"/>
        <n x="28"/>
        <n x="0"/>
      </t>
    </mdx>
    <mdx n="33" f="v">
      <t c="4">
        <n x="1200"/>
        <n x="1"/>
        <n x="32"/>
        <n x="1337" s="1"/>
      </t>
    </mdx>
    <mdx n="33" f="v">
      <t c="5" si="9">
        <n x="15"/>
        <n x="1337" s="1"/>
        <n x="39"/>
        <n x="7"/>
        <n x="3"/>
      </t>
    </mdx>
    <mdx n="33" f="v">
      <t c="4">
        <n x="1147"/>
        <n x="11"/>
        <n x="32"/>
        <n x="1337" s="1"/>
      </t>
    </mdx>
    <mdx n="33" f="v">
      <t c="4">
        <n x="1292"/>
        <n x="1"/>
        <n x="7"/>
        <n x="1337" s="1"/>
      </t>
    </mdx>
    <mdx n="33" f="v">
      <t c="3">
        <n x="1174"/>
        <n x="1336"/>
        <n x="1337" s="1"/>
      </t>
    </mdx>
    <mdx n="33" f="v">
      <t c="3">
        <n x="1175"/>
        <n x="1336"/>
        <n x="1337" s="1"/>
      </t>
    </mdx>
    <mdx n="33" f="v">
      <t c="6">
        <n x="15"/>
        <n x="1337" s="1"/>
        <n x="36"/>
        <n x="7"/>
        <n x="22"/>
        <n x="3"/>
      </t>
    </mdx>
    <mdx n="33" f="v">
      <t c="4" si="10">
        <n x="1203"/>
        <n x="1"/>
        <n x="32"/>
        <n x="1337" s="1"/>
      </t>
    </mdx>
    <mdx n="33" f="v">
      <t c="6" si="9">
        <n x="15"/>
        <n x="1337" s="1"/>
        <n x="40"/>
        <n x="7"/>
        <n x="6"/>
        <n x="2"/>
      </t>
    </mdx>
    <mdx n="33" f="v">
      <t c="6" si="10">
        <n x="15"/>
        <n x="1337" s="1"/>
        <n x="36"/>
        <n x="32"/>
        <n x="31"/>
        <n x="3"/>
      </t>
    </mdx>
    <mdx n="33" f="v">
      <t c="4">
        <n x="1198"/>
        <n x="1"/>
        <n x="32"/>
        <n x="1337" s="1"/>
      </t>
    </mdx>
    <mdx n="33" f="v">
      <t c="5" si="9">
        <n x="15"/>
        <n x="1337" s="1"/>
        <n x="43"/>
        <n x="7"/>
        <n x="3"/>
      </t>
    </mdx>
    <mdx n="33" f="v">
      <t c="4" si="10">
        <n x="1164"/>
        <n x="14"/>
        <n x="32"/>
        <n x="1337" s="1"/>
      </t>
    </mdx>
    <mdx n="33" f="v">
      <t c="4">
        <n x="1173"/>
        <n x="11"/>
        <n x="32"/>
        <n x="1337" s="1"/>
      </t>
    </mdx>
    <mdx n="33" f="v">
      <t c="4" si="9">
        <n x="1216"/>
        <n x="14"/>
        <n x="7"/>
        <n x="1337" s="1"/>
      </t>
    </mdx>
    <mdx n="33" f="v">
      <t c="4">
        <n x="1175"/>
        <n x="11"/>
        <n x="32"/>
        <n x="1337" s="1"/>
      </t>
    </mdx>
    <mdx n="33" f="v">
      <t c="4">
        <n x="1157"/>
        <n x="1"/>
        <n x="7"/>
        <n x="1337" s="1"/>
      </t>
    </mdx>
    <mdx n="33" f="v">
      <t c="4">
        <n x="1298"/>
        <n x="11"/>
        <n x="32"/>
        <n x="1337" s="1"/>
      </t>
    </mdx>
    <mdx n="33" f="v">
      <t c="4" si="10">
        <n x="1158"/>
        <n x="14"/>
        <n x="32"/>
        <n x="1337" s="1"/>
      </t>
    </mdx>
    <mdx n="33" f="v">
      <t c="4">
        <n x="1300"/>
        <n x="1"/>
        <n x="7"/>
        <n x="1337" s="1"/>
      </t>
    </mdx>
    <mdx n="33" f="v">
      <t c="4">
        <n x="1181"/>
        <n x="14"/>
        <n x="32"/>
        <n x="1337" s="1"/>
      </t>
    </mdx>
    <mdx n="33" f="v">
      <t c="4" si="10">
        <n x="1218"/>
        <n x="11"/>
        <n x="32"/>
        <n x="1337" s="1"/>
      </t>
    </mdx>
    <mdx n="33" f="v">
      <t c="5" si="10">
        <n x="15"/>
        <n x="1337" s="1"/>
        <n x="13"/>
        <n x="32"/>
        <n x="4"/>
      </t>
    </mdx>
    <mdx n="33" f="v">
      <t c="4">
        <n x="1199"/>
        <n x="11"/>
        <n x="32"/>
        <n x="1337" s="1"/>
      </t>
    </mdx>
    <mdx n="33" f="v">
      <t c="4" si="10">
        <n x="1219"/>
        <n x="14"/>
        <n x="32"/>
        <n x="1337" s="1"/>
      </t>
    </mdx>
    <mdx n="33" f="v">
      <t c="4">
        <n x="1150"/>
        <n x="11"/>
        <n x="7"/>
        <n x="1337" s="1"/>
      </t>
    </mdx>
    <mdx n="33" f="v">
      <t c="4">
        <n x="1266"/>
        <n x="11"/>
        <n x="32"/>
        <n x="1337" s="1"/>
      </t>
    </mdx>
    <mdx n="33" f="v">
      <t c="4">
        <n x="1263"/>
        <n x="1"/>
        <n x="7"/>
        <n x="1337" s="1"/>
      </t>
    </mdx>
    <mdx n="33" f="v">
      <t c="3" si="9">
        <n x="1337" s="1"/>
        <n x="2"/>
        <n x="7"/>
      </t>
    </mdx>
    <mdx n="33" f="v">
      <t c="4">
        <n x="1322"/>
        <n x="14"/>
        <n x="7"/>
        <n x="1337" s="1"/>
      </t>
    </mdx>
    <mdx n="33" f="v">
      <t c="4" si="10">
        <n x="1230"/>
        <n x="14"/>
        <n x="32"/>
        <n x="1337" s="1"/>
      </t>
    </mdx>
    <mdx n="33" f="v">
      <t c="4">
        <n x="1259"/>
        <n x="11"/>
        <n x="32"/>
        <n x="1337" s="1"/>
      </t>
    </mdx>
    <mdx n="33" f="v">
      <t c="4">
        <n x="1150"/>
        <n x="11"/>
        <n x="32"/>
        <n x="1337" s="1"/>
      </t>
    </mdx>
    <mdx n="33" f="v">
      <t c="4" si="10">
        <n x="1289"/>
        <n x="14"/>
        <n x="32"/>
        <n x="1337" s="1"/>
      </t>
    </mdx>
    <mdx n="33" f="v">
      <t c="4">
        <n x="1136"/>
        <n x="1"/>
        <n x="7"/>
        <n x="1337" s="1"/>
      </t>
    </mdx>
    <mdx n="33" f="v">
      <t c="4" si="10">
        <n x="1285"/>
        <n x="11"/>
        <n x="32"/>
        <n x="1337" s="1"/>
      </t>
    </mdx>
    <mdx n="33" f="v">
      <t c="4">
        <n x="1313"/>
        <n x="11"/>
        <n x="7"/>
        <n x="1337" s="1"/>
      </t>
    </mdx>
    <mdx n="33" f="v">
      <t c="4">
        <n x="1195"/>
        <n x="11"/>
        <n x="32"/>
        <n x="1337" s="1"/>
      </t>
    </mdx>
    <mdx n="33" f="v">
      <t c="4" si="9">
        <n x="1216"/>
        <n x="1"/>
        <n x="7"/>
        <n x="1337" s="1"/>
      </t>
    </mdx>
    <mdx n="33" f="v">
      <t c="4" si="10">
        <n x="1331"/>
        <n x="14"/>
        <n x="32"/>
        <n x="1337" s="1"/>
      </t>
    </mdx>
    <mdx n="33" f="v">
      <t c="4">
        <n x="1237"/>
        <n x="11"/>
        <n x="32"/>
        <n x="1337" s="1"/>
      </t>
    </mdx>
    <mdx n="33" f="v">
      <t c="3" si="9">
        <n x="1337" s="1"/>
        <n x="3"/>
        <n x="7"/>
      </t>
    </mdx>
    <mdx n="33" f="v">
      <t c="4" si="10">
        <n x="1260"/>
        <n x="14"/>
        <n x="32"/>
        <n x="1337" s="1"/>
      </t>
    </mdx>
    <mdx n="33" f="v">
      <t c="4">
        <n x="1201"/>
        <n x="14"/>
        <n x="32"/>
        <n x="1337" s="1"/>
      </t>
    </mdx>
    <mdx n="33" f="v">
      <t c="4">
        <n x="1287"/>
        <n x="1"/>
        <n x="32"/>
        <n x="1337" s="1"/>
      </t>
    </mdx>
    <mdx n="33" f="v">
      <t c="6" si="10">
        <n x="15"/>
        <n x="1337" s="1"/>
        <n x="46"/>
        <n x="32"/>
        <n x="22"/>
        <n x="12"/>
      </t>
    </mdx>
    <mdx n="33" f="v">
      <t c="4">
        <n x="1260"/>
        <n x="1"/>
        <n x="7"/>
        <n x="1337" s="1"/>
      </t>
    </mdx>
    <mdx n="33" f="v">
      <t c="4" si="10">
        <n x="1245"/>
        <n x="11"/>
        <n x="32"/>
        <n x="1337" s="1"/>
      </t>
    </mdx>
    <mdx n="33" f="v">
      <t c="4" si="10">
        <n x="1309"/>
        <n x="1"/>
        <n x="32"/>
        <n x="1337" s="1"/>
      </t>
    </mdx>
    <mdx n="33" f="v">
      <t c="6" si="10">
        <n x="15"/>
        <n x="1337" s="1"/>
        <n x="42"/>
        <n x="32"/>
        <n x="28"/>
        <n x="0"/>
      </t>
    </mdx>
    <mdx n="33" f="v">
      <t c="4">
        <n x="1187"/>
        <n x="1"/>
        <n x="32"/>
        <n x="1337" s="1"/>
      </t>
    </mdx>
    <mdx n="33" f="v">
      <t c="6" si="10">
        <n x="15"/>
        <n x="1337" s="1"/>
        <n x="41"/>
        <n x="32"/>
        <n x="30"/>
        <n x="1"/>
      </t>
    </mdx>
    <mdx n="33" f="v">
      <t c="4">
        <n x="1327"/>
        <n x="1"/>
        <n x="7"/>
        <n x="1337" s="1"/>
      </t>
    </mdx>
    <mdx n="33" f="v">
      <t c="4">
        <n x="1157"/>
        <n x="14"/>
        <n x="7"/>
        <n x="1337" s="1"/>
      </t>
    </mdx>
    <mdx n="33" f="v">
      <t c="4">
        <n x="1143"/>
        <n x="1"/>
        <n x="7"/>
        <n x="1337" s="1"/>
      </t>
    </mdx>
    <mdx n="33" f="v">
      <t c="4">
        <n x="1167"/>
        <n x="14"/>
        <n x="7"/>
        <n x="1337" s="1"/>
      </t>
    </mdx>
    <mdx n="33" f="v">
      <t c="4">
        <n x="1149"/>
        <n x="11"/>
        <n x="32"/>
        <n x="1337" s="1"/>
      </t>
    </mdx>
    <mdx n="33" f="v">
      <t c="4">
        <n x="1171"/>
        <n x="14"/>
        <n x="7"/>
        <n x="1337" s="1"/>
      </t>
    </mdx>
    <mdx n="33" f="v">
      <t c="4">
        <n x="1152"/>
        <n x="14"/>
        <n x="32"/>
        <n x="1337" s="1"/>
      </t>
    </mdx>
    <mdx n="33" f="v">
      <t c="4" si="10">
        <n x="1151"/>
        <n x="14"/>
        <n x="32"/>
        <n x="1337" s="1"/>
      </t>
    </mdx>
    <mdx n="33" f="v">
      <t c="4">
        <n x="1146"/>
        <n x="11"/>
        <n x="7"/>
        <n x="1337" s="1"/>
      </t>
    </mdx>
    <mdx n="33" f="v">
      <t c="4">
        <n x="1174"/>
        <n x="1"/>
        <n x="7"/>
        <n x="1337" s="1"/>
      </t>
    </mdx>
    <mdx n="33" f="v">
      <t c="4">
        <n x="1184"/>
        <n x="14"/>
        <n x="7"/>
        <n x="1337" s="1"/>
      </t>
    </mdx>
    <mdx n="33" f="v">
      <t c="4">
        <n x="1287"/>
        <n x="14"/>
        <n x="7"/>
        <n x="1337" s="1"/>
      </t>
    </mdx>
    <mdx n="33" f="v">
      <t c="4">
        <n x="1333"/>
        <n x="11"/>
        <n x="32"/>
        <n x="1337" s="1"/>
      </t>
    </mdx>
    <mdx n="33" f="v">
      <t c="4">
        <n x="1252"/>
        <n x="11"/>
        <n x="7"/>
        <n x="1337" s="1"/>
      </t>
    </mdx>
    <mdx n="33" f="v">
      <t c="4" si="10">
        <n x="1170"/>
        <n x="14"/>
        <n x="32"/>
        <n x="1337" s="1"/>
      </t>
    </mdx>
    <mdx n="33" f="v">
      <t c="4">
        <n x="1255"/>
        <n x="11"/>
        <n x="32"/>
        <n x="1337" s="1"/>
      </t>
    </mdx>
    <mdx n="33" f="v">
      <t c="4">
        <n x="1256"/>
        <n x="11"/>
        <n x="32"/>
        <n x="1337" s="1"/>
      </t>
    </mdx>
    <mdx n="33" f="v">
      <t c="4">
        <n x="1162"/>
        <n x="11"/>
        <n x="7"/>
        <n x="1337" s="1"/>
      </t>
    </mdx>
    <mdx n="33" f="v">
      <t c="4" si="10">
        <n x="1150"/>
        <n x="14"/>
        <n x="32"/>
        <n x="1337" s="1"/>
      </t>
    </mdx>
    <mdx n="33" f="v">
      <t c="4" si="10">
        <n x="1165"/>
        <n x="14"/>
        <n x="32"/>
        <n x="1337" s="1"/>
      </t>
    </mdx>
    <mdx n="33" f="v">
      <t c="4" si="10">
        <n x="1315"/>
        <n x="11"/>
        <n x="32"/>
        <n x="1337" s="1"/>
      </t>
    </mdx>
    <mdx n="33" f="v">
      <t c="4">
        <n x="1220"/>
        <n x="1"/>
        <n x="7"/>
        <n x="1337" s="1"/>
      </t>
    </mdx>
    <mdx n="33" f="v">
      <t c="4" si="10">
        <n x="1314"/>
        <n x="11"/>
        <n x="32"/>
        <n x="1337" s="1"/>
      </t>
    </mdx>
    <mdx n="33" f="v">
      <t c="4">
        <n x="1215"/>
        <n x="1"/>
        <n x="7"/>
        <n x="1337" s="1"/>
      </t>
    </mdx>
    <mdx n="33" f="v">
      <t c="4">
        <n x="1311"/>
        <n x="1"/>
        <n x="7"/>
        <n x="1337" s="1"/>
      </t>
    </mdx>
    <mdx n="33" f="v">
      <t c="4">
        <n x="1150"/>
        <n x="1"/>
        <n x="7"/>
        <n x="1337" s="1"/>
      </t>
    </mdx>
    <mdx n="33" f="v">
      <t c="4">
        <n x="1179"/>
        <n x="11"/>
        <n x="32"/>
        <n x="1337" s="1"/>
      </t>
    </mdx>
    <mdx n="33" f="v">
      <t c="4">
        <n x="1176"/>
        <n x="1"/>
        <n x="7"/>
        <n x="1337" s="1"/>
      </t>
    </mdx>
    <mdx n="33" f="v">
      <t c="4">
        <n x="1317"/>
        <n x="1"/>
        <n x="7"/>
        <n x="1337" s="1"/>
      </t>
    </mdx>
    <mdx n="33" f="v">
      <t c="4" si="10">
        <n x="1221"/>
        <n x="11"/>
        <n x="32"/>
        <n x="1337" s="1"/>
      </t>
    </mdx>
    <mdx n="33" f="v">
      <t c="4">
        <n x="1316"/>
        <n x="1"/>
        <n x="7"/>
        <n x="1337" s="1"/>
      </t>
    </mdx>
    <mdx n="33" f="v">
      <t c="4">
        <n x="1216"/>
        <n x="11"/>
        <n x="32"/>
        <n x="1337" s="1"/>
      </t>
    </mdx>
    <mdx n="33" f="v">
      <t c="4">
        <n x="1132"/>
        <n x="11"/>
        <n x="7"/>
        <n x="1337" s="1"/>
      </t>
    </mdx>
    <mdx n="33" f="v">
      <t c="4">
        <n x="1203"/>
        <n x="11"/>
        <n x="32"/>
        <n x="1337" s="1"/>
      </t>
    </mdx>
    <mdx n="33" f="v">
      <t c="4" si="10">
        <n x="1224"/>
        <n x="11"/>
        <n x="32"/>
        <n x="1337" s="1"/>
      </t>
    </mdx>
    <mdx n="33" f="v">
      <t c="3">
        <n x="1129"/>
        <n x="1336"/>
        <n x="1337" s="1"/>
      </t>
    </mdx>
    <mdx n="33" f="v">
      <t c="4" si="10">
        <n x="1244"/>
        <n x="11"/>
        <n x="32"/>
        <n x="1337" s="1"/>
      </t>
    </mdx>
    <mdx n="33" f="v">
      <t c="4" si="10">
        <n x="1126"/>
        <n x="1"/>
        <n x="32"/>
        <n x="1337" s="1"/>
      </t>
    </mdx>
    <mdx n="33" f="v">
      <t c="4">
        <n x="1240"/>
        <n x="1"/>
        <n x="7"/>
        <n x="1337" s="1"/>
      </t>
    </mdx>
    <mdx n="33" f="v">
      <t c="4">
        <n x="1334"/>
        <n x="14"/>
        <n x="32"/>
        <n x="1337" s="1"/>
      </t>
    </mdx>
    <mdx n="33" f="v">
      <t c="3">
        <n x="1250"/>
        <n x="1336"/>
        <n x="1337" s="1"/>
      </t>
    </mdx>
    <mdx n="33" f="v">
      <t c="4">
        <n x="1263"/>
        <n x="1"/>
        <n x="32"/>
        <n x="1337" s="1"/>
      </t>
    </mdx>
    <mdx n="33" f="v">
      <t c="6">
        <n x="15"/>
        <n x="1337" s="1"/>
        <n x="44"/>
        <n x="7"/>
        <n x="29"/>
        <n x="2"/>
      </t>
    </mdx>
    <mdx n="33" f="v">
      <t c="6">
        <n x="15"/>
        <n x="1337" s="1"/>
        <n x="41"/>
        <n x="32"/>
        <n x="21"/>
        <n x="3"/>
      </t>
    </mdx>
    <mdx n="33" f="v">
      <t c="4" si="10">
        <n x="1134"/>
        <n x="14"/>
        <n x="32"/>
        <n x="1337" s="1"/>
      </t>
    </mdx>
    <mdx n="33" f="v">
      <t c="4" si="10">
        <n x="1281"/>
        <n x="14"/>
        <n x="32"/>
        <n x="1337" s="1"/>
      </t>
    </mdx>
    <mdx n="33" f="v">
      <t c="3">
        <n x="1168"/>
        <n x="1336"/>
        <n x="1337" s="1"/>
      </t>
    </mdx>
    <mdx n="33" f="v">
      <t c="4">
        <n x="1170"/>
        <n x="1"/>
        <n x="32"/>
        <n x="1337" s="1"/>
      </t>
    </mdx>
    <mdx n="33" f="v">
      <t c="5" si="9">
        <n x="15"/>
        <n x="1337" s="1"/>
        <n x="13"/>
        <n x="7"/>
        <n x="27"/>
      </t>
    </mdx>
    <mdx n="33" f="v">
      <t c="6">
        <n x="15"/>
        <n x="1337" s="1"/>
        <n x="37"/>
        <n x="7"/>
        <n x="28"/>
        <n x="2"/>
      </t>
    </mdx>
    <mdx n="33" f="v">
      <t c="4">
        <n x="1240"/>
        <n x="1"/>
        <n x="32"/>
        <n x="1337" s="1"/>
      </t>
    </mdx>
    <mdx n="33" f="v">
      <t c="6" si="10">
        <n x="15"/>
        <n x="1337" s="1"/>
        <n x="44"/>
        <n x="32"/>
        <n x="21"/>
        <n x="1"/>
      </t>
    </mdx>
    <mdx n="33" f="v">
      <t c="4">
        <n x="1285"/>
        <n x="1"/>
        <n x="7"/>
        <n x="1337" s="1"/>
      </t>
    </mdx>
    <mdx n="33" f="v">
      <t c="4">
        <n x="1283"/>
        <n x="1"/>
        <n x="7"/>
        <n x="1337" s="1"/>
      </t>
    </mdx>
    <mdx n="33" f="v">
      <t c="3">
        <n x="1256"/>
        <n x="1336"/>
        <n x="1337" s="1"/>
      </t>
    </mdx>
    <mdx n="33" f="v">
      <t c="4" si="10">
        <n x="1281"/>
        <n x="1"/>
        <n x="32"/>
        <n x="1337" s="1"/>
      </t>
    </mdx>
    <mdx n="33" f="v">
      <t c="6" si="9">
        <n x="15"/>
        <n x="1337" s="1"/>
        <n x="37"/>
        <n x="7"/>
        <n x="28"/>
        <n x="1"/>
      </t>
    </mdx>
    <mdx n="33" f="v">
      <t c="4" si="10">
        <n x="1243"/>
        <n x="1"/>
        <n x="32"/>
        <n x="1337" s="1"/>
      </t>
    </mdx>
    <mdx n="33" f="v">
      <t c="6" si="10">
        <n x="15"/>
        <n x="1337" s="1"/>
        <n x="37"/>
        <n x="32"/>
        <n x="26"/>
        <n x="2"/>
      </t>
    </mdx>
    <mdx n="33" f="v">
      <t c="4">
        <n x="1146"/>
        <n x="11"/>
        <n x="32"/>
        <n x="1337" s="1"/>
      </t>
    </mdx>
    <mdx n="33" f="v">
      <t c="3">
        <n x="1216"/>
        <n x="1336"/>
        <n x="1337" s="1"/>
      </t>
    </mdx>
    <mdx n="33" f="v">
      <t c="4">
        <n x="1234"/>
        <n x="1"/>
        <n x="32"/>
        <n x="1337" s="1"/>
      </t>
    </mdx>
    <mdx n="33" f="v">
      <t c="6" si="10">
        <n x="15"/>
        <n x="1337" s="1"/>
        <n x="39"/>
        <n x="32"/>
        <n x="30"/>
        <n x="1"/>
      </t>
    </mdx>
    <mdx n="33" f="v">
      <t c="3">
        <n x="1245"/>
        <n x="1336"/>
        <n x="1337" s="1"/>
      </t>
    </mdx>
    <mdx n="33" f="v">
      <t c="6" si="10">
        <n x="15"/>
        <n x="1337" s="1"/>
        <n x="40"/>
        <n x="32"/>
        <n x="27"/>
        <n x="3"/>
      </t>
    </mdx>
    <mdx n="33" f="v">
      <t c="4">
        <n x="1266"/>
        <n x="11"/>
        <n x="7"/>
        <n x="1337" s="1"/>
      </t>
    </mdx>
    <mdx n="33" f="v">
      <t c="4">
        <n x="1241"/>
        <n x="1"/>
        <n x="32"/>
        <n x="1337" s="1"/>
      </t>
    </mdx>
    <mdx n="33" f="v">
      <t c="6" si="10">
        <n x="15"/>
        <n x="1337" s="1"/>
        <n x="42"/>
        <n x="32"/>
        <n x="24"/>
        <n x="3"/>
      </t>
    </mdx>
    <mdx n="33" f="v">
      <t c="4">
        <n x="1199"/>
        <n x="14"/>
        <n x="7"/>
        <n x="1337" s="1"/>
      </t>
    </mdx>
    <mdx n="33" f="v">
      <t c="4">
        <n x="1172"/>
        <n x="11"/>
        <n x="32"/>
        <n x="1337" s="1"/>
      </t>
    </mdx>
    <mdx n="33" f="v">
      <t c="4">
        <n x="1324"/>
        <n x="11"/>
        <n x="7"/>
        <n x="1337" s="1"/>
      </t>
    </mdx>
    <mdx n="33" f="v">
      <t c="4">
        <n x="1238"/>
        <n x="11"/>
        <n x="7"/>
        <n x="1337" s="1"/>
      </t>
    </mdx>
    <mdx n="33" f="v">
      <t c="4">
        <n x="1173"/>
        <n x="14"/>
        <n x="32"/>
        <n x="1337" s="1"/>
      </t>
    </mdx>
    <mdx n="33" f="v">
      <t c="4">
        <n x="1268"/>
        <n x="11"/>
        <n x="7"/>
        <n x="1337" s="1"/>
      </t>
    </mdx>
    <mdx n="33" f="v">
      <t c="4" si="10">
        <n x="1296"/>
        <n x="14"/>
        <n x="32"/>
        <n x="1337" s="1"/>
      </t>
    </mdx>
    <mdx n="33" f="v">
      <t c="4" si="10">
        <n x="1318"/>
        <n x="14"/>
        <n x="32"/>
        <n x="1337" s="1"/>
      </t>
    </mdx>
    <mdx n="33" f="v">
      <t c="4">
        <n x="1313"/>
        <n x="11"/>
        <n x="32"/>
        <n x="1337" s="1"/>
      </t>
    </mdx>
    <mdx n="33" f="v">
      <t c="6" si="10">
        <n x="15"/>
        <n x="1337" s="1"/>
        <n x="44"/>
        <n x="32"/>
        <n x="29"/>
        <n x="1"/>
      </t>
    </mdx>
    <mdx n="33" f="v">
      <t c="4">
        <n x="1227"/>
        <n x="11"/>
        <n x="32"/>
        <n x="1337" s="1"/>
      </t>
    </mdx>
    <mdx n="33" f="v">
      <t c="4" si="10">
        <n x="1258"/>
        <n x="14"/>
        <n x="32"/>
        <n x="1337" s="1"/>
      </t>
    </mdx>
    <mdx n="33" f="v">
      <t c="4">
        <n x="1145"/>
        <n x="14"/>
        <n x="32"/>
        <n x="1337" s="1"/>
      </t>
    </mdx>
    <mdx n="33" f="v">
      <t c="4">
        <n x="1288"/>
        <n x="1"/>
        <n x="7"/>
        <n x="1337" s="1"/>
      </t>
    </mdx>
    <mdx n="33" f="v">
      <t c="4" si="10">
        <n x="1130"/>
        <n x="11"/>
        <n x="32"/>
        <n x="1337" s="1"/>
      </t>
    </mdx>
    <mdx n="33" f="v">
      <t c="4">
        <n x="1284"/>
        <n x="14"/>
        <n x="32"/>
        <n x="1337" s="1"/>
      </t>
    </mdx>
    <mdx n="33" f="v">
      <t c="4">
        <n x="1145"/>
        <n x="1"/>
        <n x="7"/>
        <n x="1337" s="1"/>
      </t>
    </mdx>
    <mdx n="33" f="v">
      <t c="4">
        <n x="1287"/>
        <n x="11"/>
        <n x="32"/>
        <n x="1337" s="1"/>
      </t>
    </mdx>
    <mdx n="33" f="v">
      <t c="4">
        <n x="1214"/>
        <n x="11"/>
        <n x="32"/>
        <n x="1337" s="1"/>
      </t>
    </mdx>
    <mdx n="33" f="v">
      <t c="4" si="10">
        <n x="1310"/>
        <n x="11"/>
        <n x="32"/>
        <n x="1337" s="1"/>
      </t>
    </mdx>
    <mdx n="33" f="v">
      <t c="4">
        <n x="1209"/>
        <n x="11"/>
        <n x="32"/>
        <n x="1337" s="1"/>
      </t>
    </mdx>
    <mdx n="33" f="v">
      <t c="4">
        <n x="1307"/>
        <n x="1"/>
        <n x="7"/>
        <n x="1337" s="1"/>
      </t>
    </mdx>
    <mdx n="33" f="v">
      <t c="4">
        <n x="1198"/>
        <n x="1"/>
        <n x="7"/>
        <n x="1337" s="1"/>
      </t>
    </mdx>
    <mdx n="33" f="v">
      <t c="4" si="9">
        <n x="1225"/>
        <n x="1"/>
        <n x="7"/>
        <n x="1337" s="1"/>
      </t>
    </mdx>
    <mdx n="33" f="v">
      <t c="4" si="10">
        <n x="1253"/>
        <n x="14"/>
        <n x="32"/>
        <n x="1337" s="1"/>
      </t>
    </mdx>
    <mdx n="33" f="v">
      <t c="4">
        <n x="1264"/>
        <n x="1"/>
        <n x="7"/>
        <n x="1337" s="1"/>
      </t>
    </mdx>
    <mdx n="33" f="v">
      <t c="4">
        <n x="1332"/>
        <n x="1"/>
        <n x="7"/>
        <n x="1337" s="1"/>
      </t>
    </mdx>
    <mdx n="33" f="v">
      <t c="4">
        <n x="1281"/>
        <n x="11"/>
        <n x="32"/>
        <n x="1337" s="1"/>
      </t>
    </mdx>
    <mdx n="33" f="v">
      <t c="4">
        <n x="1302"/>
        <n x="1"/>
        <n x="7"/>
        <n x="1337" s="1"/>
      </t>
    </mdx>
    <mdx n="33" f="v">
      <t c="4">
        <n x="1319"/>
        <n x="1"/>
        <n x="32"/>
        <n x="1337" s="1"/>
      </t>
    </mdx>
    <mdx n="33" f="v">
      <t c="4">
        <n x="1294"/>
        <n x="14"/>
        <n x="7"/>
        <n x="1337" s="1"/>
      </t>
    </mdx>
    <mdx n="33" f="v">
      <t c="4" si="10">
        <n x="1144"/>
        <n x="1"/>
        <n x="32"/>
        <n x="1337" s="1"/>
      </t>
    </mdx>
    <mdx n="33" f="v">
      <t c="4">
        <n x="1154"/>
        <n x="1"/>
        <n x="32"/>
        <n x="1337" s="1"/>
      </t>
    </mdx>
    <mdx n="33" f="v">
      <t c="6">
        <n x="15"/>
        <n x="1337" s="1"/>
        <n x="37"/>
        <n x="7"/>
        <n x="20"/>
        <n x="1"/>
      </t>
    </mdx>
    <mdx n="33" f="v">
      <t c="6" si="10">
        <n x="15"/>
        <n x="1337" s="1"/>
        <n x="42"/>
        <n x="32"/>
        <n x="28"/>
        <n x="3"/>
      </t>
    </mdx>
    <mdx n="33" f="v">
      <t c="4" si="9">
        <n x="15"/>
        <n x="1337" s="1"/>
        <n x="11"/>
        <n x="7"/>
      </t>
    </mdx>
    <mdx n="33" f="v">
      <t c="4" si="9">
        <n x="1225"/>
        <n x="14"/>
        <n x="7"/>
        <n x="1337" s="1"/>
      </t>
    </mdx>
    <mdx n="33" f="v">
      <t c="4" si="10">
        <n x="1265"/>
        <n x="14"/>
        <n x="32"/>
        <n x="1337" s="1"/>
      </t>
    </mdx>
    <mdx n="33" f="v">
      <t c="4" si="10">
        <n x="1252"/>
        <n x="11"/>
        <n x="32"/>
        <n x="1337" s="1"/>
      </t>
    </mdx>
    <mdx n="33" f="v">
      <t c="4">
        <n x="1290"/>
        <n x="14"/>
        <n x="7"/>
        <n x="1337" s="1"/>
      </t>
    </mdx>
    <mdx n="33" f="v">
      <t c="6" si="9">
        <n x="15"/>
        <n x="1337" s="1"/>
        <n x="40"/>
        <n x="7"/>
        <n x="25"/>
        <n x="3"/>
      </t>
    </mdx>
    <mdx n="33" f="v">
      <t c="4">
        <n x="1168"/>
        <n x="14"/>
        <n x="7"/>
        <n x="1337" s="1"/>
      </t>
    </mdx>
    <mdx n="33" f="v">
      <t c="4">
        <n x="1236"/>
        <n x="11"/>
        <n x="7"/>
        <n x="1337" s="1"/>
      </t>
    </mdx>
    <mdx n="33" f="v">
      <t c="4">
        <n x="1277"/>
        <n x="11"/>
        <n x="7"/>
        <n x="1337" s="1"/>
      </t>
    </mdx>
    <mdx n="33" f="v">
      <t c="4" si="10">
        <n x="1204"/>
        <n x="14"/>
        <n x="32"/>
        <n x="1337" s="1"/>
      </t>
    </mdx>
    <mdx n="33" f="v">
      <t c="4">
        <n x="1154"/>
        <n x="1"/>
        <n x="7"/>
        <n x="1337" s="1"/>
      </t>
    </mdx>
    <mdx n="33" f="v">
      <t c="4" si="9">
        <n x="1296"/>
        <n x="14"/>
        <n x="7"/>
        <n x="1337" s="1"/>
      </t>
    </mdx>
    <mdx n="33" f="v">
      <t c="4">
        <n x="1191"/>
        <n x="11"/>
        <n x="32"/>
        <n x="1337" s="1"/>
      </t>
    </mdx>
    <mdx n="33" f="v">
      <t c="4">
        <n x="1292"/>
        <n x="11"/>
        <n x="7"/>
        <n x="1337" s="1"/>
      </t>
    </mdx>
    <mdx n="33" f="v">
      <t c="4">
        <n x="1278"/>
        <n x="14"/>
        <n x="32"/>
        <n x="1337" s="1"/>
      </t>
    </mdx>
    <mdx n="33" f="v">
      <t c="4">
        <n x="1144"/>
        <n x="11"/>
        <n x="32"/>
        <n x="1337" s="1"/>
      </t>
    </mdx>
    <mdx n="33" f="v">
      <t c="4">
        <n x="1206"/>
        <n x="14"/>
        <n x="32"/>
        <n x="1337" s="1"/>
      </t>
    </mdx>
    <mdx n="33" f="v">
      <t c="4">
        <n x="1230"/>
        <n x="1"/>
        <n x="7"/>
        <n x="1337" s="1"/>
      </t>
    </mdx>
    <mdx n="33" f="v">
      <t c="3">
        <n x="1133"/>
        <n x="1336"/>
        <n x="1337" s="1"/>
      </t>
    </mdx>
    <mdx n="33" f="v">
      <t c="4" si="10">
        <n x="1248"/>
        <n x="14"/>
        <n x="32"/>
        <n x="1337" s="1"/>
      </t>
    </mdx>
    <mdx n="33" f="v">
      <t c="4" si="10">
        <n x="1130"/>
        <n x="1"/>
        <n x="32"/>
        <n x="1337" s="1"/>
      </t>
    </mdx>
    <mdx n="33" f="v">
      <t c="4" si="10">
        <n x="1243"/>
        <n x="14"/>
        <n x="32"/>
        <n x="1337" s="1"/>
      </t>
    </mdx>
    <mdx n="33" f="v">
      <t c="4">
        <n x="1160"/>
        <n x="14"/>
        <n x="7"/>
        <n x="1337" s="1"/>
      </t>
    </mdx>
    <mdx n="33" f="v">
      <t c="4">
        <n x="1228"/>
        <n x="11"/>
        <n x="7"/>
        <n x="1337" s="1"/>
      </t>
    </mdx>
    <mdx n="33" f="v">
      <t c="4">
        <n x="1209"/>
        <n x="1"/>
        <n x="7"/>
        <n x="1337" s="1"/>
      </t>
    </mdx>
    <mdx n="33" f="v">
      <t c="4">
        <n x="1232"/>
        <n x="1"/>
        <n x="7"/>
        <n x="1337" s="1"/>
      </t>
    </mdx>
    <mdx n="33" f="v">
      <t c="3">
        <n x="1135"/>
        <n x="1336"/>
        <n x="1337" s="1"/>
      </t>
    </mdx>
    <mdx n="33" f="v">
      <t c="4">
        <n x="1250"/>
        <n x="1"/>
        <n x="7"/>
        <n x="1337" s="1"/>
      </t>
    </mdx>
    <mdx n="33" f="v">
      <t c="4">
        <n x="1132"/>
        <n x="1"/>
        <n x="32"/>
        <n x="1337" s="1"/>
      </t>
    </mdx>
    <mdx n="33" f="v">
      <t c="4" si="10">
        <n x="1245"/>
        <n x="14"/>
        <n x="32"/>
        <n x="1337" s="1"/>
      </t>
    </mdx>
    <mdx n="33" f="v">
      <t c="4">
        <n x="1331"/>
        <n x="11"/>
        <n x="7"/>
        <n x="1337" s="1"/>
      </t>
    </mdx>
    <mdx n="33" f="v">
      <t c="4" si="10">
        <n x="1231"/>
        <n x="11"/>
        <n x="32"/>
        <n x="1337" s="1"/>
      </t>
    </mdx>
    <mdx n="33" f="v">
      <t c="4">
        <n x="1261"/>
        <n x="1"/>
        <n x="7"/>
        <n x="1337" s="1"/>
      </t>
    </mdx>
    <mdx n="33" f="v">
      <t c="4">
        <n x="1214"/>
        <n x="11"/>
        <n x="7"/>
        <n x="1337" s="1"/>
      </t>
    </mdx>
    <mdx n="33" f="v">
      <t c="4" si="10">
        <n x="1269"/>
        <n x="14"/>
        <n x="32"/>
        <n x="1337" s="1"/>
      </t>
    </mdx>
    <mdx n="33" f="v">
      <t c="4">
        <n x="1158"/>
        <n x="11"/>
        <n x="7"/>
        <n x="1337" s="1"/>
      </t>
    </mdx>
    <mdx n="33" f="v">
      <t c="4" si="10">
        <n x="1265"/>
        <n x="11"/>
        <n x="32"/>
        <n x="1337" s="1"/>
      </t>
    </mdx>
    <mdx n="33" f="v">
      <t c="3">
        <n x="1154"/>
        <n x="1336"/>
        <n x="1337" s="1"/>
      </t>
    </mdx>
    <mdx n="33" f="v">
      <t c="4" si="10">
        <n x="1231"/>
        <n x="14"/>
        <n x="32"/>
        <n x="1337" s="1"/>
      </t>
    </mdx>
    <mdx n="33" f="v">
      <t c="4" si="10">
        <n x="1295"/>
        <n x="1"/>
        <n x="32"/>
        <n x="1337" s="1"/>
      </t>
    </mdx>
    <mdx n="33" f="v">
      <t c="6" si="10">
        <n x="15"/>
        <n x="1337" s="1"/>
        <n x="35"/>
        <n x="32"/>
        <n x="28"/>
        <n x="12"/>
      </t>
    </mdx>
    <mdx n="33" f="v">
      <t c="4">
        <n x="1290"/>
        <n x="11"/>
        <n x="7"/>
        <n x="1337" s="1"/>
      </t>
    </mdx>
    <mdx n="33" f="v">
      <t c="4" si="10">
        <n x="1247"/>
        <n x="11"/>
        <n x="32"/>
        <n x="1337" s="1"/>
      </t>
    </mdx>
    <mdx n="33" f="v">
      <t c="4">
        <n x="1304"/>
        <n x="11"/>
        <n x="7"/>
        <n x="1337" s="1"/>
      </t>
    </mdx>
    <mdx n="33" f="v">
      <t c="3">
        <n x="1212"/>
        <n x="1336"/>
        <n x="1337" s="1"/>
      </t>
    </mdx>
    <mdx n="33" f="v">
      <t c="4" si="10">
        <n x="1226"/>
        <n x="1"/>
        <n x="32"/>
        <n x="1337" s="1"/>
      </t>
    </mdx>
    <mdx n="33" f="v">
      <t c="6">
        <n x="15"/>
        <n x="1337" s="1"/>
        <n x="36"/>
        <n x="7"/>
        <n x="29"/>
        <n x="3"/>
      </t>
    </mdx>
    <mdx n="33" f="v">
      <t c="4">
        <n x="1257"/>
        <n x="1"/>
        <n x="7"/>
        <n x="1337" s="1"/>
      </t>
    </mdx>
    <mdx n="33" f="v">
      <t c="4" si="10">
        <n x="1286"/>
        <n x="14"/>
        <n x="32"/>
        <n x="1337" s="1"/>
      </t>
    </mdx>
    <mdx n="33" f="v">
      <t c="4">
        <n x="1212"/>
        <n x="11"/>
        <n x="32"/>
        <n x="1337" s="1"/>
      </t>
    </mdx>
    <mdx n="33" f="v">
      <t c="4" si="10">
        <n x="1309"/>
        <n x="14"/>
        <n x="32"/>
        <n x="1337" s="1"/>
      </t>
    </mdx>
    <mdx n="33" f="v">
      <t c="4">
        <n x="1208"/>
        <n x="1"/>
        <n x="7"/>
        <n x="1337" s="1"/>
      </t>
    </mdx>
    <mdx n="33" f="v">
      <t c="4">
        <n x="1305"/>
        <n x="11"/>
        <n x="32"/>
        <n x="1337" s="1"/>
      </t>
    </mdx>
    <mdx n="33" f="v">
      <t c="4" si="10">
        <n x="1128"/>
        <n x="11"/>
        <n x="32"/>
        <n x="1337" s="1"/>
      </t>
    </mdx>
    <mdx n="33" f="v">
      <t c="4">
        <n x="1173"/>
        <n x="1"/>
        <n x="7"/>
        <n x="1337" s="1"/>
      </t>
    </mdx>
    <mdx n="33" f="v">
      <t c="4">
        <n x="1144"/>
        <n x="1"/>
        <n x="7"/>
        <n x="1337" s="1"/>
      </t>
    </mdx>
    <mdx n="33" f="v">
      <t c="4" si="10">
        <n x="1311"/>
        <n x="11"/>
        <n x="32"/>
        <n x="1337" s="1"/>
      </t>
    </mdx>
    <mdx n="33" f="v">
      <t c="4">
        <n x="1243"/>
        <n x="1"/>
        <n x="7"/>
        <n x="1337" s="1"/>
      </t>
    </mdx>
    <mdx n="33" f="v">
      <t c="4" si="10">
        <n x="1124"/>
        <n x="1"/>
        <n x="32"/>
        <n x="1337" s="1"/>
      </t>
    </mdx>
    <mdx n="33" f="v">
      <t c="4">
        <n x="1238"/>
        <n x="1"/>
        <n x="7"/>
        <n x="1337" s="1"/>
      </t>
    </mdx>
    <mdx n="33" f="v">
      <t c="4">
        <n x="1193"/>
        <n x="14"/>
        <n x="7"/>
        <n x="1337" s="1"/>
      </t>
    </mdx>
    <mdx n="33" f="v">
      <t c="4">
        <n x="1139"/>
        <n x="11"/>
        <n x="32"/>
        <n x="1337" s="1"/>
      </t>
    </mdx>
    <mdx n="33" f="v">
      <t c="4">
        <n x="1253"/>
        <n x="1"/>
        <n x="7"/>
        <n x="1337" s="1"/>
      </t>
    </mdx>
    <mdx n="33" f="v">
      <t c="4">
        <n x="1282"/>
        <n x="14"/>
        <n x="32"/>
        <n x="1337" s="1"/>
      </t>
    </mdx>
    <mdx n="33" f="v">
      <t c="4">
        <n x="1134"/>
        <n x="11"/>
        <n x="32"/>
        <n x="1337" s="1"/>
      </t>
    </mdx>
    <mdx n="33" f="v">
      <t c="4">
        <n x="1285"/>
        <n x="14"/>
        <n x="32"/>
        <n x="1337" s="1"/>
      </t>
    </mdx>
    <mdx n="33" f="v">
      <t c="4">
        <n x="1204"/>
        <n x="1"/>
        <n x="7"/>
        <n x="1337" s="1"/>
      </t>
    </mdx>
    <mdx n="33" f="v">
      <t c="4">
        <n x="1303"/>
        <n x="1"/>
        <n x="7"/>
        <n x="1337" s="1"/>
      </t>
    </mdx>
    <mdx n="33" f="v">
      <t c="4" si="10">
        <n x="1210"/>
        <n x="1"/>
        <n x="32"/>
        <n x="1337" s="1"/>
      </t>
    </mdx>
    <mdx n="33" f="v">
      <t c="6" si="10">
        <n x="15"/>
        <n x="1337" s="1"/>
        <n x="39"/>
        <n x="32"/>
        <n x="24"/>
        <n x="3"/>
      </t>
    </mdx>
    <mdx n="33" f="v">
      <t c="6" si="10">
        <n x="15"/>
        <n x="1337" s="1"/>
        <n x="36"/>
        <n x="32"/>
        <n x="21"/>
        <n x="1"/>
      </t>
    </mdx>
    <mdx n="33" f="v">
      <t c="4">
        <n x="1219"/>
        <n x="11"/>
        <n x="32"/>
        <n x="1337" s="1"/>
      </t>
    </mdx>
    <mdx n="33" f="v">
      <t c="4">
        <n x="1256"/>
        <n x="1"/>
        <n x="7"/>
        <n x="1337" s="1"/>
      </t>
    </mdx>
    <mdx n="33" f="v">
      <t c="4" si="10">
        <n x="1213"/>
        <n x="1"/>
        <n x="32"/>
        <n x="1337" s="1"/>
      </t>
    </mdx>
    <mdx n="33" f="v">
      <t c="6" si="10">
        <n x="15"/>
        <n x="1337" s="1"/>
        <n x="42"/>
        <n x="32"/>
        <n x="29"/>
        <n x="3"/>
      </t>
    </mdx>
    <mdx n="33" f="v">
      <t c="4">
        <n x="1219"/>
        <n x="1"/>
        <n x="7"/>
        <n x="1337" s="1"/>
      </t>
    </mdx>
    <mdx n="33" f="v">
      <t c="6" si="10">
        <n x="15"/>
        <n x="1337" s="1"/>
        <n x="39"/>
        <n x="32"/>
        <n x="24"/>
        <n x="1"/>
      </t>
    </mdx>
    <mdx n="33" f="v">
      <t c="4" si="9">
        <n x="1310"/>
        <n x="14"/>
        <n x="7"/>
        <n x="1337" s="1"/>
      </t>
    </mdx>
    <mdx n="33" f="v">
      <t c="4">
        <n x="1269"/>
        <n x="1"/>
        <n x="32"/>
        <n x="1337" s="1"/>
      </t>
    </mdx>
    <mdx n="33" f="v">
      <t c="5" si="10">
        <n x="15"/>
        <n x="1337" s="1"/>
        <n x="11"/>
        <n x="32"/>
        <n x="30"/>
      </t>
    </mdx>
    <mdx n="33" f="v">
      <t c="4">
        <n x="1156"/>
        <n x="14"/>
        <n x="7"/>
        <n x="1337" s="1"/>
      </t>
    </mdx>
    <mdx n="33" f="v">
      <t c="4">
        <n x="1163"/>
        <n x="11"/>
        <n x="7"/>
        <n x="1337" s="1"/>
      </t>
    </mdx>
    <mdx n="33" f="v">
      <t c="4">
        <n x="1166"/>
        <n x="14"/>
        <n x="7"/>
        <n x="1337" s="1"/>
      </t>
    </mdx>
    <mdx n="33" f="v">
      <t c="4">
        <n x="1173"/>
        <n x="11"/>
        <n x="7"/>
        <n x="1337" s="1"/>
      </t>
    </mdx>
    <mdx n="33" f="v">
      <t c="4">
        <n x="1170"/>
        <n x="14"/>
        <n x="7"/>
        <n x="1337" s="1"/>
      </t>
    </mdx>
    <mdx n="33" f="v">
      <t c="4">
        <n x="1177"/>
        <n x="11"/>
        <n x="7"/>
        <n x="1337" s="1"/>
      </t>
    </mdx>
    <mdx n="33" f="v">
      <t c="4">
        <n x="1175"/>
        <n x="11"/>
        <n x="7"/>
        <n x="1337" s="1"/>
      </t>
    </mdx>
    <mdx n="33" f="v">
      <t c="4">
        <n x="1240"/>
        <n x="14"/>
        <n x="7"/>
        <n x="1337" s="1"/>
      </t>
    </mdx>
    <mdx n="33" f="v">
      <t c="4">
        <n x="1329"/>
        <n x="11"/>
        <n x="32"/>
        <n x="1337" s="1"/>
      </t>
    </mdx>
    <mdx n="33" f="v">
      <t c="4">
        <n x="1212"/>
        <n x="11"/>
        <n x="7"/>
        <n x="1337" s="1"/>
      </t>
    </mdx>
    <mdx n="33" f="v">
      <t c="4">
        <n x="1249"/>
        <n x="14"/>
        <n x="7"/>
        <n x="1337" s="1"/>
      </t>
    </mdx>
    <mdx n="33" f="v">
      <t c="4">
        <n x="1218"/>
        <n x="11"/>
        <n x="7"/>
        <n x="1337" s="1"/>
      </t>
    </mdx>
    <mdx n="33" f="v">
      <t c="4">
        <n x="1180"/>
        <n x="11"/>
        <n x="32"/>
        <n x="1337" s="1"/>
      </t>
    </mdx>
    <mdx n="33" f="v">
      <t c="4">
        <n x="1127"/>
        <n x="11"/>
        <n x="32"/>
        <n x="1337" s="1"/>
      </t>
    </mdx>
    <mdx n="33" f="v">
      <t c="4">
        <n x="1213"/>
        <n x="1"/>
        <n x="7"/>
        <n x="1337" s="1"/>
      </t>
    </mdx>
    <mdx n="33" f="v">
      <t c="4">
        <n x="1192"/>
        <n x="1"/>
        <n x="7"/>
        <n x="1337" s="1"/>
      </t>
    </mdx>
    <mdx n="33" f="v">
      <t c="4">
        <n x="1128"/>
        <n x="14"/>
        <n x="7"/>
        <n x="1337" s="1"/>
      </t>
    </mdx>
    <mdx n="33" f="v">
      <t c="4">
        <n x="1196"/>
        <n x="11"/>
        <n x="7"/>
        <n x="1337" s="1"/>
      </t>
    </mdx>
    <mdx n="33" f="v">
      <t c="4" si="10">
        <n x="1235"/>
        <n x="11"/>
        <n x="32"/>
        <n x="1337" s="1"/>
      </t>
    </mdx>
    <mdx n="33" f="v">
      <t c="4">
        <n x="1265"/>
        <n x="1"/>
        <n x="7"/>
        <n x="1337" s="1"/>
      </t>
    </mdx>
    <mdx n="33" f="v">
      <t c="4">
        <n x="1262"/>
        <n x="11"/>
        <n x="7"/>
        <n x="1337" s="1"/>
      </t>
    </mdx>
    <mdx n="33" f="v">
      <t c="4">
        <n x="1272"/>
        <n x="1"/>
        <n x="7"/>
        <n x="1337" s="1"/>
      </t>
    </mdx>
    <mdx n="33" f="v">
      <t c="4">
        <n x="1222"/>
        <n x="11"/>
        <n x="7"/>
        <n x="1337" s="1"/>
      </t>
    </mdx>
    <mdx n="33" f="v">
      <t c="4" si="10">
        <n x="1268"/>
        <n x="14"/>
        <n x="32"/>
        <n x="1337" s="1"/>
      </t>
    </mdx>
    <mdx n="33" f="v">
      <t c="4">
        <n x="1167"/>
        <n x="11"/>
        <n x="7"/>
        <n x="1337" s="1"/>
      </t>
    </mdx>
    <mdx n="33" f="v">
      <t c="4">
        <n x="1123"/>
        <n x="11"/>
        <n x="32"/>
        <n x="1337" s="1"/>
      </t>
    </mdx>
    <mdx n="33" f="v">
      <t c="4">
        <n x="1237"/>
        <n x="1"/>
        <n x="7"/>
        <n x="1337" s="1"/>
      </t>
    </mdx>
    <mdx n="33" f="v">
      <t c="4" si="10">
        <n x="1266"/>
        <n x="14"/>
        <n x="32"/>
        <n x="1337" s="1"/>
      </t>
    </mdx>
    <mdx n="33" f="v">
      <t c="4">
        <n x="1270"/>
        <n x="11"/>
        <n x="7"/>
        <n x="1337" s="1"/>
      </t>
    </mdx>
    <mdx n="33" f="v">
      <t c="4" si="10">
        <n x="1273"/>
        <n x="14"/>
        <n x="32"/>
        <n x="1337" s="1"/>
      </t>
    </mdx>
    <mdx n="33" f="v">
      <t c="4">
        <n x="1254"/>
        <n x="11"/>
        <n x="7"/>
        <n x="1337" s="1"/>
      </t>
    </mdx>
    <mdx n="33" f="v">
      <t c="4">
        <n x="1269"/>
        <n x="11"/>
        <n x="32"/>
        <n x="1337" s="1"/>
      </t>
    </mdx>
    <mdx n="33" f="v">
      <t c="4">
        <n x="1146"/>
        <n x="14"/>
        <n x="32"/>
        <n x="1337" s="1"/>
      </t>
    </mdx>
    <mdx n="33" f="v">
      <t c="4" si="10">
        <n x="1290"/>
        <n x="14"/>
        <n x="32"/>
        <n x="1337" s="1"/>
      </t>
    </mdx>
    <mdx n="33" f="v">
      <t c="4">
        <n x="1156"/>
        <n x="1"/>
        <n x="7"/>
        <n x="1337" s="1"/>
      </t>
    </mdx>
    <mdx n="33" f="v">
      <t c="4">
        <n x="1290"/>
        <n x="11"/>
        <n x="32"/>
        <n x="1337" s="1"/>
      </t>
    </mdx>
    <mdx n="33" f="v">
      <t c="4" si="10">
        <n x="1141"/>
        <n x="14"/>
        <n x="32"/>
        <n x="1337" s="1"/>
      </t>
    </mdx>
    <mdx n="33" f="v">
      <t c="4">
        <n x="1287"/>
        <n x="1"/>
        <n x="7"/>
        <n x="1337" s="1"/>
      </t>
    </mdx>
    <mdx n="33" f="v">
      <t c="3">
        <n x="1186"/>
        <n x="1336"/>
        <n x="1337" s="1"/>
      </t>
    </mdx>
    <mdx n="33" f="v">
      <t c="4" si="10">
        <n x="1323"/>
        <n x="14"/>
        <n x="32"/>
        <n x="1337" s="1"/>
      </t>
    </mdx>
    <mdx n="33" f="v">
      <t c="4">
        <n x="1327"/>
        <n x="1"/>
        <n x="32"/>
        <n x="1337" s="1"/>
      </t>
    </mdx>
    <mdx n="33" f="v">
      <t c="6" si="9">
        <n x="15"/>
        <n x="1337" s="1"/>
        <n x="37"/>
        <n x="7"/>
        <n x="31"/>
        <n x="2"/>
      </t>
    </mdx>
    <mdx n="33" f="v">
      <t c="4">
        <n x="1276"/>
        <n x="11"/>
        <n x="32"/>
        <n x="1337" s="1"/>
      </t>
    </mdx>
    <mdx n="33" f="v">
      <t c="4">
        <n x="1277"/>
        <n x="1"/>
        <n x="7"/>
        <n x="1337" s="1"/>
      </t>
    </mdx>
    <mdx n="33" f="v">
      <t c="4">
        <n x="1277"/>
        <n x="11"/>
        <n x="32"/>
        <n x="1337" s="1"/>
      </t>
    </mdx>
    <mdx n="33" f="v">
      <t c="3">
        <n x="1254"/>
        <n x="1336"/>
        <n x="1337" s="1"/>
      </t>
    </mdx>
    <mdx n="33" f="v">
      <t c="4" si="10">
        <n x="1277"/>
        <n x="1"/>
        <n x="32"/>
        <n x="1337" s="1"/>
      </t>
    </mdx>
    <mdx n="33" f="v">
      <t c="6" si="9">
        <n x="15"/>
        <n x="1337" s="1"/>
        <n x="44"/>
        <n x="7"/>
        <n x="31"/>
        <n x="1"/>
      </t>
    </mdx>
    <mdx n="33" f="v">
      <t c="4" si="10">
        <n x="1155"/>
        <n x="1"/>
        <n x="32"/>
        <n x="1337" s="1"/>
      </t>
    </mdx>
    <mdx n="33" f="v">
      <t c="3">
        <n x="1309"/>
        <n x="1336"/>
        <n x="1337" s="1"/>
      </t>
    </mdx>
    <mdx n="33" f="v">
      <t c="4">
        <n x="1141"/>
        <n x="1"/>
        <n x="7"/>
        <n x="1337" s="1"/>
      </t>
    </mdx>
    <mdx n="33" f="v">
      <t c="4">
        <n x="1286"/>
        <n x="11"/>
        <n x="32"/>
        <n x="1337" s="1"/>
      </t>
    </mdx>
    <mdx n="33" f="v">
      <t c="3">
        <n x="1172"/>
        <n x="1336"/>
        <n x="1337" s="1"/>
      </t>
    </mdx>
    <mdx n="33" f="v">
      <t c="4">
        <n x="1173"/>
        <n x="1"/>
        <n x="32"/>
        <n x="1337" s="1"/>
      </t>
    </mdx>
    <mdx n="33" f="v">
      <t c="6" si="10">
        <n x="15"/>
        <n x="1337" s="1"/>
        <n x="44"/>
        <n x="32"/>
        <n x="24"/>
        <n x="2"/>
      </t>
    </mdx>
    <mdx n="33" f="v">
      <t c="3">
        <n x="1157"/>
        <n x="1336"/>
        <n x="1337" s="1"/>
      </t>
    </mdx>
    <mdx n="33" f="v">
      <t c="3">
        <n x="1311"/>
        <n x="1336"/>
        <n x="1337" s="1"/>
      </t>
    </mdx>
    <mdx n="33" f="v">
      <t c="4">
        <n x="1130"/>
        <n x="11"/>
        <n x="7"/>
        <n x="1337" s="1"/>
      </t>
    </mdx>
    <mdx n="33" f="v">
      <t c="4" si="10">
        <n x="1161"/>
        <n x="14"/>
        <n x="32"/>
        <n x="1337" s="1"/>
      </t>
    </mdx>
    <mdx n="33" f="v">
      <t c="3">
        <n x="1132"/>
        <n x="1336"/>
        <n x="1337" s="1"/>
      </t>
    </mdx>
    <mdx n="33" f="v">
      <t c="4" si="10">
        <n x="1291"/>
        <n x="14"/>
        <n x="32"/>
        <n x="1337" s="1"/>
      </t>
    </mdx>
    <mdx n="33" f="v">
      <t c="4" si="10">
        <n x="1325"/>
        <n x="1"/>
        <n x="32"/>
        <n x="1337" s="1"/>
      </t>
    </mdx>
    <mdx n="33" f="v">
      <t c="4">
        <n x="1160"/>
        <n x="1"/>
        <n x="32"/>
        <n x="1337" s="1"/>
      </t>
    </mdx>
    <mdx n="33" f="v">
      <t c="3">
        <n x="1313"/>
        <n x="1336"/>
        <n x="1337" s="1"/>
      </t>
    </mdx>
    <mdx n="33" f="v">
      <t c="6" si="9">
        <n x="15"/>
        <n x="1337" s="1"/>
        <n x="44"/>
        <n x="7"/>
        <n x="29"/>
        <n x="0"/>
      </t>
    </mdx>
    <mdx n="33" f="v">
      <t c="3">
        <n x="1155"/>
        <n x="1336"/>
        <n x="1337" s="1"/>
      </t>
    </mdx>
    <mdx n="33" f="v">
      <t c="4" si="10">
        <n x="1310"/>
        <n x="1"/>
        <n x="32"/>
        <n x="1337" s="1"/>
      </t>
    </mdx>
    <mdx n="33" f="v">
      <t c="6" si="10">
        <n x="15"/>
        <n x="1337" s="1"/>
        <n x="40"/>
        <n x="32"/>
        <n x="28"/>
        <n x="0"/>
      </t>
    </mdx>
    <mdx n="33" f="v">
      <t c="4">
        <n x="1189"/>
        <n x="14"/>
        <n x="7"/>
        <n x="1337" s="1"/>
      </t>
    </mdx>
    <mdx n="33" f="v">
      <t c="4">
        <n x="1203"/>
        <n x="14"/>
        <n x="7"/>
        <n x="1337" s="1"/>
      </t>
    </mdx>
    <mdx n="33" f="v">
      <t c="4">
        <n x="1184"/>
        <n x="11"/>
        <n x="32"/>
        <n x="1337" s="1"/>
      </t>
    </mdx>
    <mdx n="33" f="v">
      <t c="4">
        <n x="1264"/>
        <n x="14"/>
        <n x="7"/>
        <n x="1337" s="1"/>
      </t>
    </mdx>
    <mdx n="33" f="v">
      <t c="4">
        <n x="1265"/>
        <n x="11"/>
        <n x="7"/>
        <n x="1337" s="1"/>
      </t>
    </mdx>
    <mdx n="33" f="v">
      <t c="4">
        <n x="1188"/>
        <n x="1"/>
        <n x="7"/>
        <n x="1337" s="1"/>
      </t>
    </mdx>
    <mdx n="33" f="v">
      <t c="4">
        <n x="1273"/>
        <n x="11"/>
        <n x="7"/>
        <n x="1337" s="1"/>
      </t>
    </mdx>
    <mdx n="33" f="v">
      <t c="4" si="10">
        <n x="1193"/>
        <n x="14"/>
        <n x="32"/>
        <n x="1337" s="1"/>
      </t>
    </mdx>
    <mdx n="33" f="v">
      <t c="4" si="10">
        <n x="1182"/>
        <n x="14"/>
        <n x="32"/>
        <n x="1337" s="1"/>
      </t>
    </mdx>
    <mdx n="33" f="v">
      <t c="4" si="10">
        <n x="1317"/>
        <n x="14"/>
        <n x="32"/>
        <n x="1337" s="1"/>
      </t>
    </mdx>
    <mdx n="33" f="v">
      <t c="4">
        <n x="1189"/>
        <n x="1"/>
        <n x="32"/>
        <n x="1337" s="1"/>
      </t>
    </mdx>
    <mdx n="33" f="v">
      <t c="4">
        <n x="1303"/>
        <n x="11"/>
        <n x="32"/>
        <n x="1337" s="1"/>
      </t>
    </mdx>
    <mdx n="33" f="v">
      <t c="6">
        <n x="15"/>
        <n x="1337" s="1"/>
        <n x="38"/>
        <n x="32"/>
        <n x="28"/>
        <n x="2"/>
      </t>
    </mdx>
    <mdx n="33" f="v">
      <t c="4">
        <n x="1309"/>
        <n x="1"/>
        <n x="7"/>
        <n x="1337" s="1"/>
      </t>
    </mdx>
    <mdx n="33" f="v">
      <t c="6">
        <n x="15"/>
        <n x="1337" s="1"/>
        <n x="38"/>
        <n x="7"/>
        <n x="28"/>
        <n x="2"/>
      </t>
    </mdx>
    <mdx n="33" f="v">
      <t c="4" si="10">
        <n x="1168"/>
        <n x="1"/>
        <n x="32"/>
        <n x="1337" s="1"/>
      </t>
    </mdx>
    <mdx n="33" f="v">
      <t c="6" si="10">
        <n x="15"/>
        <n x="1337" s="1"/>
        <n x="40"/>
        <n x="32"/>
        <n x="25"/>
        <n x="3"/>
      </t>
    </mdx>
    <mdx n="33" f="v">
      <t c="4">
        <n x="1233"/>
        <n x="1"/>
        <n x="7"/>
        <n x="1337" s="1"/>
      </t>
    </mdx>
    <mdx n="33" f="v">
      <t c="4" si="10">
        <n x="1309"/>
        <n x="11"/>
        <n x="32"/>
        <n x="1337" s="1"/>
      </t>
    </mdx>
    <mdx n="33" f="v">
      <t c="4">
        <n x="1147"/>
        <n x="1"/>
        <n x="32"/>
        <n x="1337" s="1"/>
      </t>
    </mdx>
    <mdx n="33" f="v">
      <t c="5" si="9">
        <n x="15"/>
        <n x="1337" s="1"/>
        <n x="8"/>
        <n x="7"/>
        <n x="28"/>
      </t>
    </mdx>
    <mdx n="33" f="v">
      <t c="4" si="10">
        <n x="1224"/>
        <n x="1"/>
        <n x="32"/>
        <n x="1337" s="1"/>
      </t>
    </mdx>
    <mdx n="33" f="v">
      <t c="5" si="9">
        <n x="15"/>
        <n x="1337" s="1"/>
        <n x="14"/>
        <n x="7"/>
        <n x="22"/>
      </t>
    </mdx>
    <mdx n="33" f="v">
      <t c="4">
        <n x="1260"/>
        <n x="11"/>
        <n x="32"/>
        <n x="1337" s="1"/>
      </t>
    </mdx>
    <mdx n="33" f="v">
      <t c="3">
        <n x="1128"/>
        <n x="1336"/>
        <n x="1337" s="1"/>
      </t>
    </mdx>
    <mdx n="33" f="v">
      <t c="3">
        <n x="1279"/>
        <n x="1336"/>
        <n x="1337" s="1"/>
      </t>
    </mdx>
    <mdx n="33" f="v">
      <t c="3">
        <n x="1260"/>
        <n x="1336"/>
        <n x="1337" s="1"/>
      </t>
    </mdx>
    <mdx n="33" f="v">
      <t c="6" si="9">
        <n x="15"/>
        <n x="1337" s="1"/>
        <n x="35"/>
        <n x="7"/>
        <n x="29"/>
        <n x="12"/>
      </t>
    </mdx>
    <mdx n="33" f="v">
      <t c="4">
        <n x="1210"/>
        <n x="11"/>
        <n x="7"/>
        <n x="1337" s="1"/>
      </t>
    </mdx>
    <mdx n="33" f="v">
      <t c="4">
        <n x="1295"/>
        <n x="1"/>
        <n x="7"/>
        <n x="1337" s="1"/>
      </t>
    </mdx>
    <mdx n="33" f="v">
      <t c="3">
        <n x="1226"/>
        <n x="1336"/>
        <n x="1337" s="1"/>
      </t>
    </mdx>
    <mdx n="33" f="v">
      <t c="4">
        <n x="1289"/>
        <n x="1"/>
        <n x="32"/>
        <n x="1337" s="1"/>
      </t>
    </mdx>
    <mdx n="33" f="v">
      <t c="4" si="10">
        <n x="1304"/>
        <n x="14"/>
        <n x="32"/>
        <n x="1337" s="1"/>
      </t>
    </mdx>
    <mdx n="33" f="v">
      <t c="6">
        <n x="15"/>
        <n x="1337" s="1"/>
        <n x="36"/>
        <n x="32"/>
        <n x="21"/>
        <n x="3"/>
      </t>
    </mdx>
    <mdx n="33" f="v">
      <t c="3">
        <n x="1319"/>
        <n x="1336"/>
        <n x="1337" s="1"/>
      </t>
    </mdx>
    <mdx n="33" f="v">
      <t c="4" si="10">
        <n x="1314"/>
        <n x="14"/>
        <n x="32"/>
        <n x="1337" s="1"/>
      </t>
    </mdx>
    <mdx n="33" f="v">
      <t c="3">
        <n x="1206"/>
        <n x="1336"/>
        <n x="1337" s="1"/>
      </t>
    </mdx>
    <mdx n="33" f="v">
      <t c="5" si="9">
        <n x="15"/>
        <n x="1337" s="1"/>
        <n x="38"/>
        <n x="7"/>
        <n x="3"/>
      </t>
    </mdx>
    <mdx n="33" f="v">
      <t c="3">
        <n x="1273"/>
        <n x="1336"/>
        <n x="1337" s="1"/>
      </t>
    </mdx>
    <mdx n="33" f="v">
      <t c="6">
        <n x="15"/>
        <n x="1337" s="1"/>
        <n x="41"/>
        <n x="32"/>
        <n x="30"/>
        <n x="2"/>
      </t>
    </mdx>
    <mdx n="33" f="v">
      <t c="4" si="10">
        <n x="1286"/>
        <n x="1"/>
        <n x="32"/>
        <n x="1337" s="1"/>
      </t>
    </mdx>
    <mdx n="33" f="v">
      <t c="6">
        <n x="15"/>
        <n x="1337" s="1"/>
        <n x="37"/>
        <n x="7"/>
        <n x="22"/>
        <n x="2"/>
      </t>
    </mdx>
    <mdx n="33" f="v">
      <t c="6" si="10">
        <n x="15"/>
        <n x="1337" s="1"/>
        <n x="43"/>
        <n x="32"/>
        <n x="29"/>
        <n x="0"/>
      </t>
    </mdx>
    <mdx n="33" f="v">
      <t c="4">
        <n x="1286"/>
        <n x="11"/>
        <n x="7"/>
        <n x="1337" s="1"/>
      </t>
    </mdx>
    <mdx n="33" f="v">
      <t c="6" si="10">
        <n x="15"/>
        <n x="1337" s="1"/>
        <n x="44"/>
        <n x="32"/>
        <n x="22"/>
        <n x="0"/>
      </t>
    </mdx>
    <mdx n="33" f="v">
      <t c="4">
        <n x="1249"/>
        <n x="1"/>
        <n x="32"/>
        <n x="1337" s="1"/>
      </t>
    </mdx>
    <mdx n="33" f="v">
      <t c="5" si="10">
        <n x="15"/>
        <n x="1337" s="1"/>
        <n x="13"/>
        <n x="32"/>
        <n x="29"/>
      </t>
    </mdx>
    <mdx n="33" f="v">
      <t c="4">
        <n x="1290"/>
        <n x="1"/>
        <n x="7"/>
        <n x="1337" s="1"/>
      </t>
    </mdx>
    <mdx n="33" f="v">
      <t c="6" si="10">
        <n x="15"/>
        <n x="1337" s="1"/>
        <n x="41"/>
        <n x="32"/>
        <n x="28"/>
        <n x="0"/>
      </t>
    </mdx>
    <mdx n="33" f="v">
      <t c="6" si="10">
        <n x="15"/>
        <n x="1337" s="1"/>
        <n x="39"/>
        <n x="32"/>
        <n x="25"/>
        <n x="1"/>
      </t>
    </mdx>
    <mdx n="33" f="v">
      <t c="6" si="10">
        <n x="15"/>
        <n x="1337" s="1"/>
        <n x="38"/>
        <n x="32"/>
        <n x="17"/>
        <n x="2"/>
      </t>
    </mdx>
    <mdx n="33" f="v">
      <t c="6">
        <n x="15"/>
        <n x="1337" s="1"/>
        <n x="41"/>
        <n x="32"/>
        <n x="31"/>
        <n x="2"/>
      </t>
    </mdx>
    <mdx n="33" f="v">
      <t c="6" si="9">
        <n x="15"/>
        <n x="1337" s="1"/>
        <n x="44"/>
        <n x="7"/>
        <n x="24"/>
        <n x="1"/>
      </t>
    </mdx>
    <mdx n="33" f="v">
      <t c="4">
        <n x="1285"/>
        <n x="1"/>
        <n x="32"/>
        <n x="1337" s="1"/>
      </t>
    </mdx>
    <mdx n="33" f="v">
      <t c="6" si="10">
        <n x="15"/>
        <n x="1337" s="1"/>
        <n x="37"/>
        <n x="32"/>
        <n x="21"/>
        <n x="2"/>
      </t>
    </mdx>
    <mdx n="33" f="v">
      <t c="4" si="10">
        <n x="1182"/>
        <n x="1"/>
        <n x="32"/>
        <n x="1337" s="1"/>
      </t>
    </mdx>
    <mdx n="33" f="v">
      <t c="6">
        <n x="15"/>
        <n x="1337" s="1"/>
        <n x="41"/>
        <n x="32"/>
        <n x="24"/>
        <n x="2"/>
      </t>
    </mdx>
    <mdx n="33" f="v">
      <t c="6" si="9">
        <n x="15"/>
        <n x="1337" s="1"/>
        <n x="36"/>
        <n x="7"/>
        <n x="31"/>
        <n x="1"/>
      </t>
    </mdx>
    <mdx n="33" f="v">
      <t c="5" si="9">
        <n x="15"/>
        <n x="1337" s="1"/>
        <n x="11"/>
        <n x="7"/>
        <n x="30"/>
      </t>
    </mdx>
    <mdx n="33" f="v">
      <t c="6" si="9">
        <n x="15"/>
        <n x="1337" s="1"/>
        <n x="47"/>
        <n x="7"/>
        <n x="27"/>
        <n x="12"/>
      </t>
    </mdx>
    <mdx n="33" f="v">
      <t c="6">
        <n x="15"/>
        <n x="1337" s="1"/>
        <n x="37"/>
        <n x="7"/>
        <n x="27"/>
        <n x="3"/>
      </t>
    </mdx>
    <mdx n="33" f="v">
      <t c="4" si="10">
        <n x="1247"/>
        <n x="1"/>
        <n x="32"/>
        <n x="1337" s="1"/>
      </t>
    </mdx>
    <mdx n="33" f="v">
      <t c="6" si="9">
        <n x="15"/>
        <n x="1337" s="1"/>
        <n x="35"/>
        <n x="7"/>
        <n x="21"/>
        <n x="12"/>
      </t>
    </mdx>
    <mdx n="33" f="v">
      <t c="4">
        <n x="1319"/>
        <n x="11"/>
        <n x="32"/>
        <n x="1337" s="1"/>
      </t>
    </mdx>
    <mdx n="33" f="v">
      <t c="5" si="9">
        <n x="15"/>
        <n x="1337" s="1"/>
        <n x="11"/>
        <n x="7"/>
        <n x="22"/>
      </t>
    </mdx>
    <mdx n="33" f="v">
      <t c="6">
        <n x="15"/>
        <n x="1337" s="1"/>
        <n x="43"/>
        <n x="7"/>
        <n x="30"/>
        <n x="2"/>
      </t>
    </mdx>
    <mdx n="33" f="v">
      <t c="3">
        <n x="1243"/>
        <n x="1336"/>
        <n x="1337" s="1"/>
      </t>
    </mdx>
    <mdx n="33" f="v">
      <t c="6" si="9">
        <n x="15"/>
        <n x="1337" s="1"/>
        <n x="34"/>
        <n x="7"/>
        <n x="22"/>
        <n x="12"/>
      </t>
    </mdx>
    <mdx n="33" f="v">
      <t c="6" si="10">
        <n x="15"/>
        <n x="1337" s="1"/>
        <n x="42"/>
        <n x="32"/>
        <n x="29"/>
        <n x="2"/>
      </t>
    </mdx>
    <mdx n="33" f="v">
      <t c="6" si="10">
        <n x="15"/>
        <n x="1337" s="1"/>
        <n x="40"/>
        <n x="32"/>
        <n x="22"/>
        <n x="1"/>
      </t>
    </mdx>
    <mdx n="33" f="v">
      <t c="6" si="10">
        <n x="15"/>
        <n x="1337" s="1"/>
        <n x="43"/>
        <n x="32"/>
        <n x="25"/>
        <n x="1"/>
      </t>
    </mdx>
    <mdx n="33" f="v">
      <t c="6" si="10">
        <n x="15"/>
        <n x="1337" s="1"/>
        <n x="37"/>
        <n x="32"/>
        <n x="18"/>
        <n x="2"/>
      </t>
    </mdx>
    <mdx n="33" f="v">
      <t c="6" si="9">
        <n x="15"/>
        <n x="1337" s="1"/>
        <n x="44"/>
        <n x="7"/>
        <n x="30"/>
        <n x="0"/>
      </t>
    </mdx>
    <mdx n="33" f="v">
      <t c="6">
        <n x="15"/>
        <n x="1337" s="1"/>
        <n x="46"/>
        <n x="7"/>
        <n x="24"/>
        <n x="12"/>
      </t>
    </mdx>
    <mdx n="33" f="v">
      <t c="6">
        <n x="15"/>
        <n x="1337" s="1"/>
        <n x="38"/>
        <n x="7"/>
        <n x="24"/>
        <n x="3"/>
      </t>
    </mdx>
    <mdx n="33" f="v">
      <t c="4">
        <n x="1304"/>
        <n x="14"/>
        <n x="7"/>
        <n x="1337" s="1"/>
      </t>
    </mdx>
    <mdx n="33" f="v">
      <t c="4">
        <n x="1166"/>
        <n x="1"/>
        <n x="7"/>
        <n x="1337" s="1"/>
      </t>
    </mdx>
    <mdx n="33" f="v">
      <t c="4" si="9">
        <n x="1227"/>
        <n x="1"/>
        <n x="7"/>
        <n x="1337" s="1"/>
      </t>
    </mdx>
    <mdx n="33" f="v">
      <t c="4" si="10">
        <n x="1171"/>
        <n x="14"/>
        <n x="32"/>
        <n x="1337" s="1"/>
      </t>
    </mdx>
    <mdx n="33" f="v">
      <t c="4" si="10">
        <n x="1228"/>
        <n x="11"/>
        <n x="32"/>
        <n x="1337" s="1"/>
      </t>
    </mdx>
    <mdx n="33" f="v">
      <t c="4">
        <n x="1258"/>
        <n x="14"/>
        <n x="7"/>
        <n x="1337" s="1"/>
      </t>
    </mdx>
    <mdx n="33" f="v">
      <t c="4">
        <n x="1252"/>
        <n x="1"/>
        <n x="7"/>
        <n x="1337" s="1"/>
      </t>
    </mdx>
    <mdx n="33" f="v">
      <t c="3">
        <n x="1258"/>
        <n x="1336"/>
        <n x="1337" s="1"/>
      </t>
    </mdx>
    <mdx n="33" f="v">
      <t c="4">
        <n x="1289"/>
        <n x="11"/>
        <n x="7"/>
        <n x="1337" s="1"/>
      </t>
    </mdx>
    <mdx n="33" f="v">
      <t c="4">
        <n x="1331"/>
        <n x="1"/>
        <n x="32"/>
        <n x="1337" s="1"/>
      </t>
    </mdx>
    <mdx n="33" f="v">
      <t c="4">
        <n x="1330"/>
        <n x="14"/>
        <n x="7"/>
        <n x="1337" s="1"/>
      </t>
    </mdx>
    <mdx n="33" f="v">
      <t c="5" si="9">
        <n x="15"/>
        <n x="1337" s="1"/>
        <n x="11"/>
        <n x="7"/>
        <n x="4"/>
      </t>
    </mdx>
    <mdx n="33" f="v">
      <t c="4">
        <n x="1292"/>
        <n x="11"/>
        <n x="32"/>
        <n x="1337" s="1"/>
      </t>
    </mdx>
    <mdx n="33" f="v">
      <t c="3">
        <n x="1327"/>
        <n x="1336"/>
        <n x="1337" s="1"/>
      </t>
    </mdx>
    <mdx n="33" f="v">
      <t c="4">
        <n x="1335"/>
        <n x="14"/>
        <n x="7"/>
        <n x="1337" s="1"/>
      </t>
    </mdx>
    <mdx n="33" f="v">
      <t c="4" si="10">
        <n x="1213"/>
        <n x="14"/>
        <n x="32"/>
        <n x="1337" s="1"/>
      </t>
    </mdx>
    <mdx n="33" f="v">
      <t c="4" si="10">
        <n x="1224"/>
        <n x="14"/>
        <n x="32"/>
        <n x="1337" s="1"/>
      </t>
    </mdx>
    <mdx n="33" f="v">
      <t c="6" si="9">
        <n x="15"/>
        <n x="1337" s="1"/>
        <n x="35"/>
        <n x="7"/>
        <n x="22"/>
        <n x="12"/>
      </t>
    </mdx>
    <mdx n="33" f="v">
      <t c="4" si="10">
        <n x="1235"/>
        <n x="1"/>
        <n x="32"/>
        <n x="1337" s="1"/>
      </t>
    </mdx>
    <mdx n="33" f="v">
      <t c="6" si="10">
        <n x="15"/>
        <n x="1337" s="1"/>
        <n x="37"/>
        <n x="32"/>
        <n x="30"/>
        <n x="0"/>
      </t>
    </mdx>
    <mdx n="33" f="v">
      <t c="4" si="10">
        <n x="1315"/>
        <n x="14"/>
        <n x="32"/>
        <n x="1337" s="1"/>
      </t>
    </mdx>
    <mdx n="33" f="v">
      <t c="5" si="10">
        <n x="15"/>
        <n x="1337" s="1"/>
        <n x="11"/>
        <n x="32"/>
        <n x="4"/>
      </t>
    </mdx>
    <mdx n="33" f="v">
      <t c="6" si="10">
        <n x="15"/>
        <n x="1337" s="1"/>
        <n x="37"/>
        <n x="32"/>
        <n x="22"/>
        <n x="1"/>
      </t>
    </mdx>
    <mdx n="33" f="v">
      <t c="6" si="9">
        <n x="15"/>
        <n x="1337" s="1"/>
        <n x="43"/>
        <n x="7"/>
        <n x="31"/>
        <n x="2"/>
      </t>
    </mdx>
    <mdx n="33" f="v">
      <t c="3">
        <n x="1166"/>
        <n x="1336"/>
        <n x="1337" s="1"/>
      </t>
    </mdx>
    <mdx n="33" f="v">
      <t c="3">
        <n x="1237"/>
        <n x="1336"/>
        <n x="1337" s="1"/>
      </t>
    </mdx>
    <mdx n="33" f="v">
      <t c="4">
        <n x="1228"/>
        <n x="1"/>
        <n x="7"/>
        <n x="1337" s="1"/>
      </t>
    </mdx>
    <mdx n="33" f="v">
      <t c="4" si="10">
        <n x="1306"/>
        <n x="1"/>
        <n x="32"/>
        <n x="1337" s="1"/>
      </t>
    </mdx>
    <mdx n="33" f="v">
      <t c="6" si="10">
        <n x="15"/>
        <n x="1337" s="1"/>
        <n x="46"/>
        <n x="32"/>
        <n x="28"/>
        <n x="12"/>
      </t>
    </mdx>
    <mdx n="33" f="v">
      <t c="4">
        <n x="1191"/>
        <n x="1"/>
        <n x="32"/>
        <n x="1337" s="1"/>
      </t>
    </mdx>
    <mdx n="33" f="v">
      <t c="6">
        <n x="15"/>
        <n x="1337" s="1"/>
        <n x="41"/>
        <n x="7"/>
        <n x="31"/>
        <n x="3"/>
      </t>
    </mdx>
    <mdx n="33" f="v">
      <t c="6" si="10">
        <n x="15"/>
        <n x="1337" s="1"/>
        <n x="40"/>
        <n x="32"/>
        <n x="25"/>
        <n x="1"/>
      </t>
    </mdx>
    <mdx n="33" f="v">
      <t c="6" si="10">
        <n x="15"/>
        <n x="1337" s="1"/>
        <n x="39"/>
        <n x="32"/>
        <n x="17"/>
        <n x="0"/>
      </t>
    </mdx>
    <mdx n="33" f="v">
      <t c="3">
        <n x="1306"/>
        <n x="1336"/>
        <n x="1337" s="1"/>
      </t>
    </mdx>
    <mdx n="33" f="v">
      <t c="6" si="10">
        <n x="15"/>
        <n x="1337" s="1"/>
        <n x="42"/>
        <n x="32"/>
        <n x="31"/>
        <n x="1"/>
      </t>
    </mdx>
    <mdx n="33" f="v">
      <t c="4">
        <n x="1257"/>
        <n x="14"/>
        <n x="7"/>
        <n x="1337" s="1"/>
      </t>
    </mdx>
    <mdx n="33" f="v">
      <t c="4" si="10">
        <n x="1329"/>
        <n x="1"/>
        <n x="32"/>
        <n x="1337" s="1"/>
      </t>
    </mdx>
    <mdx n="33" f="v">
      <t c="6" si="9">
        <n x="15"/>
        <n x="1337" s="1"/>
        <n x="45"/>
        <n x="7"/>
        <n x="30"/>
        <n x="12"/>
      </t>
    </mdx>
    <mdx n="33" f="v">
      <t c="3">
        <n x="1195"/>
        <n x="1336"/>
        <n x="1337" s="1"/>
      </t>
    </mdx>
    <mdx n="33" f="v">
      <t c="6" si="10">
        <n x="15"/>
        <n x="1337" s="1"/>
        <n x="36"/>
        <n x="32"/>
        <n x="28"/>
        <n x="0"/>
      </t>
    </mdx>
    <mdx n="33" f="v">
      <t c="6">
        <n x="15"/>
        <n x="1337" s="1"/>
        <n x="39"/>
        <n x="32"/>
        <n x="21"/>
        <n x="3"/>
      </t>
    </mdx>
    <mdx n="33" f="v">
      <t c="6" si="10">
        <n x="15"/>
        <n x="1337" s="1"/>
        <n x="38"/>
        <n x="32"/>
        <n x="21"/>
        <n x="1"/>
      </t>
    </mdx>
    <mdx n="33" f="v">
      <t c="6" si="9">
        <n x="15"/>
        <n x="1337" s="1"/>
        <n x="44"/>
        <n x="7"/>
        <n x="27"/>
        <n x="0"/>
      </t>
    </mdx>
    <mdx n="33" f="v">
      <t c="6" si="10">
        <n x="15"/>
        <n x="1337" s="1"/>
        <n x="47"/>
        <n x="32"/>
        <n x="26"/>
        <n x="12"/>
      </t>
    </mdx>
    <mdx n="33" f="v">
      <t c="3">
        <n x="1282"/>
        <n x="1336"/>
        <n x="1337" s="1"/>
      </t>
    </mdx>
    <mdx n="33" f="v">
      <t c="4">
        <n x="1160"/>
        <n x="11"/>
        <n x="32"/>
        <n x="1337" s="1"/>
      </t>
    </mdx>
    <mdx n="33" f="v">
      <t c="5" si="9">
        <n x="15"/>
        <n x="1337" s="1"/>
        <n x="40"/>
        <n x="7"/>
        <n x="0"/>
      </t>
    </mdx>
    <mdx n="33" f="v">
      <t c="6" si="9">
        <n x="15"/>
        <n x="1337" s="1"/>
        <n x="46"/>
        <n x="7"/>
        <n x="29"/>
        <n x="12"/>
      </t>
    </mdx>
    <mdx n="33" f="v">
      <t c="4">
        <n x="1201"/>
        <n x="1"/>
        <n x="32"/>
        <n x="1337" s="1"/>
      </t>
    </mdx>
    <mdx n="33" f="v">
      <t c="5" si="10">
        <n x="15"/>
        <n x="1337" s="1"/>
        <n x="8"/>
        <n x="32"/>
        <n x="25"/>
      </t>
    </mdx>
    <mdx n="33" f="v">
      <t c="6" si="10">
        <n x="15"/>
        <n x="1337" s="1"/>
        <n x="38"/>
        <n x="32"/>
        <n x="22"/>
        <n x="0"/>
      </t>
    </mdx>
    <mdx n="33" f="v">
      <t c="6">
        <n x="15"/>
        <n x="1337" s="1"/>
        <n x="39"/>
        <n x="7"/>
        <n x="21"/>
        <n x="2"/>
      </t>
    </mdx>
    <mdx n="33" f="v">
      <t c="6" si="10">
        <n x="15"/>
        <n x="1337" s="1"/>
        <n x="40"/>
        <n x="32"/>
        <n x="25"/>
        <n x="0"/>
      </t>
    </mdx>
    <mdx n="33" f="v">
      <t c="6" si="10">
        <n x="15"/>
        <n x="1337" s="1"/>
        <n x="38"/>
        <n x="32"/>
        <n x="26"/>
        <n x="0"/>
      </t>
    </mdx>
    <mdx n="33" f="v">
      <t c="6">
        <n x="15"/>
        <n x="1337" s="1"/>
        <n x="44"/>
        <n x="7"/>
        <n x="28"/>
        <n x="2"/>
      </t>
    </mdx>
    <mdx n="33" f="v">
      <t c="6">
        <n x="15"/>
        <n x="1337" s="1"/>
        <n x="38"/>
        <n x="7"/>
        <n x="30"/>
        <n x="2"/>
      </t>
    </mdx>
    <mdx n="33" f="v">
      <t c="6" si="9">
        <n x="15"/>
        <n x="1337" s="1"/>
        <n x="44"/>
        <n x="7"/>
        <n x="24"/>
        <n x="2"/>
      </t>
    </mdx>
    <mdx n="33" f="v">
      <t c="4">
        <n x="1195"/>
        <n x="11"/>
        <n x="7"/>
        <n x="1337" s="1"/>
      </t>
    </mdx>
    <mdx n="33" f="v">
      <t c="4">
        <n x="1209"/>
        <n x="11"/>
        <n x="7"/>
        <n x="1337" s="1"/>
      </t>
    </mdx>
    <mdx n="33" f="v">
      <t c="4">
        <n x="1244"/>
        <n x="11"/>
        <n x="7"/>
        <n x="1337" s="1"/>
      </t>
    </mdx>
    <mdx n="33" f="v">
      <t c="4" si="9">
        <n x="1133"/>
        <n x="1"/>
        <n x="7"/>
        <n x="1337" s="1"/>
      </t>
    </mdx>
    <mdx n="33" f="v">
      <t c="4">
        <n x="1274"/>
        <n x="14"/>
        <n x="7"/>
        <n x="1337" s="1"/>
      </t>
    </mdx>
    <mdx n="33" f="v">
      <t c="4" si="10">
        <n x="1255"/>
        <n x="14"/>
        <n x="32"/>
        <n x="1337" s="1"/>
      </t>
    </mdx>
    <mdx n="33" f="v">
      <t c="4">
        <n x="1282"/>
        <n x="14"/>
        <n x="7"/>
        <n x="1337" s="1"/>
      </t>
    </mdx>
    <mdx n="33" f="v">
      <t c="4">
        <n x="1257"/>
        <n x="14"/>
        <n x="32"/>
        <n x="1337" s="1"/>
      </t>
    </mdx>
    <mdx n="33" f="v">
      <t c="4">
        <n x="1125"/>
        <n x="1"/>
        <n x="7"/>
        <n x="1337" s="1"/>
      </t>
    </mdx>
    <mdx n="33" f="v">
      <t c="4">
        <n x="1274"/>
        <n x="11"/>
        <n x="32"/>
        <n x="1337" s="1"/>
      </t>
    </mdx>
    <mdx n="33" f="v">
      <t c="4" si="10">
        <n x="1259"/>
        <n x="14"/>
        <n x="32"/>
        <n x="1337" s="1"/>
      </t>
    </mdx>
    <mdx n="33" f="v">
      <t c="4">
        <n x="1302"/>
        <n x="11"/>
        <n x="32"/>
        <n x="1337" s="1"/>
      </t>
    </mdx>
    <mdx n="33" f="v">
      <t c="3">
        <n x="1277"/>
        <n x="1336"/>
        <n x="1337" s="1"/>
      </t>
    </mdx>
    <mdx n="33" f="v">
      <t c="4">
        <n x="1286"/>
        <n x="1"/>
        <n x="7"/>
        <n x="1337" s="1"/>
      </t>
    </mdx>
    <mdx n="33" f="v">
      <t c="6" si="10">
        <n x="15"/>
        <n x="1337" s="1"/>
        <n x="34"/>
        <n x="32"/>
        <n x="21"/>
        <n x="12"/>
      </t>
    </mdx>
    <mdx n="33" f="v">
      <t c="4">
        <n x="1283"/>
        <n x="1"/>
        <n x="32"/>
        <n x="1337" s="1"/>
      </t>
    </mdx>
    <mdx n="33" f="v">
      <t c="4">
        <n x="1272"/>
        <n x="11"/>
        <n x="32"/>
        <n x="1337" s="1"/>
      </t>
    </mdx>
    <mdx n="33" f="v">
      <t c="4" si="10">
        <n x="1132"/>
        <n x="11"/>
        <n x="32"/>
        <n x="1337" s="1"/>
      </t>
    </mdx>
    <mdx n="33" f="v">
      <t c="4">
        <n x="1301"/>
        <n x="1"/>
        <n x="7"/>
        <n x="1337" s="1"/>
      </t>
    </mdx>
    <mdx n="33" f="v">
      <t c="4">
        <n x="1298"/>
        <n x="1"/>
        <n x="7"/>
        <n x="1337" s="1"/>
      </t>
    </mdx>
    <mdx n="33" f="v">
      <t c="3">
        <n x="1165"/>
        <n x="1336"/>
        <n x="1337" s="1"/>
      </t>
    </mdx>
    <mdx n="33" f="v">
      <t c="4" si="10">
        <n x="1137"/>
        <n x="14"/>
        <n x="32"/>
        <n x="1337" s="1"/>
      </t>
    </mdx>
    <mdx n="33" f="v">
      <t c="4" si="10">
        <n x="1233"/>
        <n x="14"/>
        <n x="32"/>
        <n x="1337" s="1"/>
      </t>
    </mdx>
    <mdx n="33" f="v">
      <t c="6" si="9">
        <n x="15"/>
        <n x="1337" s="1"/>
        <n x="39"/>
        <n x="7"/>
        <n x="31"/>
        <n x="3"/>
      </t>
    </mdx>
    <mdx n="33" f="v">
      <t c="4" si="10">
        <n x="1246"/>
        <n x="11"/>
        <n x="32"/>
        <n x="1337" s="1"/>
      </t>
    </mdx>
    <mdx n="33" f="v">
      <t c="4">
        <n x="1158"/>
        <n x="11"/>
        <n x="32"/>
        <n x="1337" s="1"/>
      </t>
    </mdx>
    <mdx n="33" f="v">
      <t c="6" si="10">
        <n x="15"/>
        <n x="1337" s="1"/>
        <n x="36"/>
        <n x="32"/>
        <n x="29"/>
        <n x="3"/>
      </t>
    </mdx>
    <mdx n="33" f="v">
      <t c="3">
        <n x="1321"/>
        <n x="1336"/>
        <n x="1337" s="1"/>
      </t>
    </mdx>
    <mdx n="33" f="v">
      <t c="4">
        <n x="1294"/>
        <n x="1"/>
        <n x="7"/>
        <n x="1337" s="1"/>
      </t>
    </mdx>
    <mdx n="33" f="v">
      <t c="4">
        <n x="1326"/>
        <n x="1"/>
        <n x="32"/>
        <n x="1337" s="1"/>
      </t>
    </mdx>
    <mdx n="33" f="v">
      <t c="6" si="10">
        <n x="15"/>
        <n x="1337" s="1"/>
        <n x="44"/>
        <n x="32"/>
        <n x="28"/>
        <n x="0"/>
      </t>
    </mdx>
    <mdx n="33" f="v">
      <t c="6" si="9">
        <n x="15"/>
        <n x="1337" s="1"/>
        <n x="41"/>
        <n x="7"/>
        <n x="28"/>
        <n x="0"/>
      </t>
    </mdx>
    <mdx n="33" f="v">
      <t c="3">
        <n x="1124"/>
        <n x="1336"/>
        <n x="1337" s="1"/>
      </t>
    </mdx>
    <mdx n="33" f="v">
      <t c="4">
        <n x="1195"/>
        <n x="1"/>
        <n x="32"/>
        <n x="1337" s="1"/>
      </t>
    </mdx>
    <mdx n="33" f="v">
      <t c="4">
        <n x="1148"/>
        <n x="1"/>
        <n x="7"/>
        <n x="1337" s="1"/>
      </t>
    </mdx>
    <mdx n="33" f="v">
      <t c="4" si="10">
        <n x="1296"/>
        <n x="1"/>
        <n x="32"/>
        <n x="1337" s="1"/>
      </t>
    </mdx>
    <mdx n="33" f="v">
      <t c="6">
        <n x="15"/>
        <n x="1337" s="1"/>
        <n x="43"/>
        <n x="32"/>
        <n x="22"/>
        <n x="2"/>
      </t>
    </mdx>
    <mdx n="33" f="v">
      <t c="3">
        <n x="1328"/>
        <n x="1336"/>
        <n x="1337" s="1"/>
      </t>
    </mdx>
    <mdx n="33" f="v">
      <t c="6" si="9">
        <n x="15"/>
        <n x="1337" s="1"/>
        <n x="38"/>
        <n x="7"/>
        <n x="30"/>
        <n x="0"/>
      </t>
    </mdx>
    <mdx n="33" f="v">
      <t c="6" si="10">
        <n x="15"/>
        <n x="1337" s="1"/>
        <n x="43"/>
        <n x="32"/>
        <n x="25"/>
        <n x="2"/>
      </t>
    </mdx>
    <mdx n="33" f="v">
      <t c="4">
        <n x="1251"/>
        <n x="1"/>
        <n x="7"/>
        <n x="1337" s="1"/>
      </t>
    </mdx>
    <mdx n="33" f="v">
      <t c="6" si="10">
        <n x="15"/>
        <n x="1337" s="1"/>
        <n x="38"/>
        <n x="32"/>
        <n x="28"/>
        <n x="1"/>
      </t>
    </mdx>
    <mdx n="33" f="v">
      <t c="4">
        <n x="1298"/>
        <n x="14"/>
        <n x="32"/>
        <n x="1337" s="1"/>
      </t>
    </mdx>
    <mdx n="33" f="v">
      <t c="6">
        <n x="15"/>
        <n x="1337" s="1"/>
        <n x="38"/>
        <n x="7"/>
        <n x="22"/>
        <n x="2"/>
      </t>
    </mdx>
    <mdx n="33" f="v">
      <t c="6" si="10">
        <n x="15"/>
        <n x="1337" s="1"/>
        <n x="43"/>
        <n x="32"/>
        <n x="21"/>
        <n x="2"/>
      </t>
    </mdx>
    <mdx n="33" f="v">
      <t c="4" si="10">
        <n x="1238"/>
        <n x="1"/>
        <n x="32"/>
        <n x="1337" s="1"/>
      </t>
    </mdx>
    <mdx n="33" f="v">
      <t c="5" si="9">
        <n x="15"/>
        <n x="1337" s="1"/>
        <n x="13"/>
        <n x="7"/>
        <n x="31"/>
      </t>
    </mdx>
    <mdx n="33" f="v">
      <t c="6">
        <n x="15"/>
        <n x="1337" s="1"/>
        <n x="42"/>
        <n x="7"/>
        <n x="21"/>
        <n x="2"/>
      </t>
    </mdx>
    <mdx n="33" f="v">
      <t c="6" si="10">
        <n x="15"/>
        <n x="1337" s="1"/>
        <n x="40"/>
        <n x="32"/>
        <n x="21"/>
        <n x="1"/>
      </t>
    </mdx>
    <mdx n="33" f="v">
      <t c="6" si="9">
        <n x="15"/>
        <n x="1337" s="1"/>
        <n x="43"/>
        <n x="7"/>
        <n x="27"/>
        <n x="0"/>
      </t>
    </mdx>
    <mdx n="33" f="v">
      <t c="6" si="9">
        <n x="15"/>
        <n x="1337" s="1"/>
        <n x="43"/>
        <n x="7"/>
        <n x="26"/>
        <n x="3"/>
      </t>
    </mdx>
    <mdx n="33" f="v">
      <t c="5" si="10">
        <n x="15"/>
        <n x="1337" s="1"/>
        <n x="8"/>
        <n x="32"/>
        <n x="24"/>
      </t>
    </mdx>
    <mdx n="33" f="v">
      <t c="6">
        <n x="15"/>
        <n x="1337" s="1"/>
        <n x="40"/>
        <n x="7"/>
        <n x="30"/>
        <n x="3"/>
      </t>
    </mdx>
    <mdx n="33" f="v">
      <t c="4" si="10">
        <n x="1312"/>
        <n x="14"/>
        <n x="32"/>
        <n x="1337" s="1"/>
      </t>
    </mdx>
    <mdx n="33" f="v">
      <t c="3">
        <n x="1173"/>
        <n x="1336"/>
        <n x="1337" s="1"/>
      </t>
    </mdx>
    <mdx n="33" f="v">
      <t c="4">
        <n x="1298"/>
        <n x="11"/>
        <n x="7"/>
        <n x="1337" s="1"/>
      </t>
    </mdx>
    <mdx n="33" f="v">
      <t c="4" si="10">
        <n x="1290"/>
        <n x="1"/>
        <n x="32"/>
        <n x="1337" s="1"/>
      </t>
    </mdx>
    <mdx n="33" f="v">
      <t c="6" si="10">
        <n x="15"/>
        <n x="1337" s="1"/>
        <n x="44"/>
        <n x="32"/>
        <n x="28"/>
        <n x="2"/>
      </t>
    </mdx>
    <mdx n="33" f="v">
      <t c="4">
        <n x="1244"/>
        <n x="1"/>
        <n x="7"/>
        <n x="1337" s="1"/>
      </t>
    </mdx>
    <mdx n="33" f="v">
      <t c="6" si="9">
        <n x="15"/>
        <n x="1337" s="1"/>
        <n x="39"/>
        <n x="7"/>
        <n x="21"/>
        <n x="0"/>
      </t>
    </mdx>
    <mdx n="33" f="v">
      <t c="6" si="10">
        <n x="15"/>
        <n x="1337" s="1"/>
        <n x="42"/>
        <n x="32"/>
        <n x="25"/>
        <n x="3"/>
      </t>
    </mdx>
    <mdx n="33" f="v">
      <t c="4">
        <n x="1174"/>
        <n x="11"/>
        <n x="32"/>
        <n x="1337" s="1"/>
      </t>
    </mdx>
    <mdx n="33" f="v">
      <t c="6">
        <n x="15"/>
        <n x="1337" s="1"/>
        <n x="40"/>
        <n x="32"/>
        <n x="22"/>
        <n x="2"/>
      </t>
    </mdx>
    <mdx n="33" f="v">
      <t c="6">
        <n x="15"/>
        <n x="1337" s="1"/>
        <n x="44"/>
        <n x="7"/>
        <n x="24"/>
        <n x="0"/>
      </t>
    </mdx>
    <mdx n="33" f="v">
      <t c="6" si="9">
        <n x="15"/>
        <n x="1337" s="1"/>
        <n x="40"/>
        <n x="7"/>
        <n x="24"/>
        <n x="0"/>
      </t>
    </mdx>
    <mdx n="33" f="v">
      <t c="4">
        <n x="1197"/>
        <n x="1"/>
        <n x="7"/>
        <n x="1337" s="1"/>
      </t>
    </mdx>
    <mdx n="33" f="v">
      <t c="4">
        <n x="1185"/>
        <n x="1"/>
        <n x="7"/>
        <n x="1337" s="1"/>
      </t>
    </mdx>
    <mdx n="33" f="v">
      <t c="4">
        <n x="1320"/>
        <n x="1"/>
        <n x="7"/>
        <n x="1337" s="1"/>
      </t>
    </mdx>
    <mdx n="33" f="v">
      <t c="4" si="10">
        <n x="1187"/>
        <n x="11"/>
        <n x="32"/>
        <n x="1337" s="1"/>
      </t>
    </mdx>
    <mdx n="33" f="v">
      <t c="4" si="10">
        <n x="1321"/>
        <n x="14"/>
        <n x="32"/>
        <n x="1337" s="1"/>
      </t>
    </mdx>
    <mdx n="33" f="v">
      <t c="4" si="10">
        <n x="1210"/>
        <n x="14"/>
        <n x="32"/>
        <n x="1337" s="1"/>
      </t>
    </mdx>
    <mdx n="33" f="v">
      <t c="4" si="10">
        <n x="1134"/>
        <n x="1"/>
        <n x="32"/>
        <n x="1337" s="1"/>
      </t>
    </mdx>
    <mdx n="33" f="v">
      <t c="3">
        <n x="1231"/>
        <n x="1336"/>
        <n x="1337" s="1"/>
      </t>
    </mdx>
    <mdx n="33" f="v">
      <t c="4" si="10">
        <n x="1203"/>
        <n x="14"/>
        <n x="32"/>
        <n x="1337" s="1"/>
      </t>
    </mdx>
    <mdx n="33" f="v">
      <t c="6">
        <n x="15"/>
        <n x="1337" s="1"/>
        <n x="41"/>
        <n x="32"/>
        <n x="21"/>
        <n x="2"/>
      </t>
    </mdx>
    <mdx n="33" f="v">
      <t c="4">
        <n x="1211"/>
        <n x="1"/>
        <n x="7"/>
        <n x="1337" s="1"/>
      </t>
    </mdx>
    <mdx n="33" f="v">
      <t c="6">
        <n x="15"/>
        <n x="1337" s="1"/>
        <n x="34"/>
        <n x="7"/>
        <n x="31"/>
        <n x="12"/>
      </t>
    </mdx>
    <mdx n="33" f="v">
      <t c="4" si="10">
        <n x="1179"/>
        <n x="1"/>
        <n x="32"/>
        <n x="1337" s="1"/>
      </t>
    </mdx>
    <mdx n="33" f="v">
      <t c="6" si="10">
        <n x="15"/>
        <n x="1337" s="1"/>
        <n x="36"/>
        <n x="32"/>
        <n x="24"/>
        <n x="3"/>
      </t>
    </mdx>
    <mdx n="33" f="v">
      <t c="4">
        <n x="1160"/>
        <n x="1"/>
        <n x="7"/>
        <n x="1337" s="1"/>
      </t>
    </mdx>
    <mdx n="33" f="v">
      <t c="4" si="10">
        <n x="1320"/>
        <n x="14"/>
        <n x="32"/>
        <n x="1337" s="1"/>
      </t>
    </mdx>
    <mdx n="33" f="v">
      <t c="4">
        <n x="1162"/>
        <n x="1"/>
        <n x="32"/>
        <n x="1337" s="1"/>
      </t>
    </mdx>
    <mdx n="33" f="v">
      <t c="6" si="10">
        <n x="15"/>
        <n x="1337" s="1"/>
        <n x="45"/>
        <n x="32"/>
        <n x="31"/>
        <n x="12"/>
      </t>
    </mdx>
    <mdx n="33" f="v">
      <t c="3">
        <n x="1289"/>
        <n x="1336"/>
        <n x="1337" s="1"/>
      </t>
    </mdx>
    <mdx n="33" f="v">
      <t c="5" si="9">
        <n x="15"/>
        <n x="1337" s="1"/>
        <n x="11"/>
        <n x="7"/>
        <n x="21"/>
      </t>
    </mdx>
    <mdx n="33" f="v">
      <t c="3">
        <n x="1187"/>
        <n x="1336"/>
        <n x="1337" s="1"/>
      </t>
    </mdx>
    <mdx n="33" f="v">
      <t c="6" si="10">
        <n x="15"/>
        <n x="1337" s="1"/>
        <n x="36"/>
        <n x="32"/>
        <n x="24"/>
        <n x="1"/>
      </t>
    </mdx>
    <mdx n="33" f="v">
      <t c="6" si="10">
        <n x="15"/>
        <n x="1337" s="1"/>
        <n x="43"/>
        <n x="32"/>
        <n x="28"/>
        <n x="3"/>
      </t>
    </mdx>
    <mdx n="33" f="v">
      <t c="4" si="10">
        <n x="1223"/>
        <n x="1"/>
        <n x="32"/>
        <n x="1337" s="1"/>
      </t>
    </mdx>
    <mdx n="33" f="v">
      <t c="4">
        <n x="1165"/>
        <n x="1"/>
        <n x="32"/>
        <n x="1337" s="1"/>
      </t>
    </mdx>
    <mdx n="33" f="v">
      <t c="6" si="9">
        <n x="15"/>
        <n x="1337" s="1"/>
        <n x="40"/>
        <n x="7"/>
        <n x="23"/>
        <n x="3"/>
      </t>
    </mdx>
    <mdx n="33" f="v">
      <t c="4" si="10">
        <n x="1149"/>
        <n x="1"/>
        <n x="32"/>
        <n x="1337" s="1"/>
      </t>
    </mdx>
    <mdx n="33" f="v">
      <t c="6" si="9">
        <n x="15"/>
        <n x="1337" s="1"/>
        <n x="42"/>
        <n x="7"/>
        <n x="6"/>
        <n x="3"/>
      </t>
    </mdx>
    <mdx n="33" f="v">
      <t c="6">
        <n x="15"/>
        <n x="1337" s="1"/>
        <n x="41"/>
        <n x="7"/>
        <n x="30"/>
        <n x="3"/>
      </t>
    </mdx>
    <mdx n="33" f="v">
      <t c="6" si="9">
        <n x="15"/>
        <n x="1337" s="1"/>
        <n x="40"/>
        <n x="7"/>
        <n x="27"/>
        <n x="3"/>
      </t>
    </mdx>
    <mdx n="33" f="v">
      <t c="6">
        <n x="15"/>
        <n x="1337" s="1"/>
        <n x="41"/>
        <n x="7"/>
        <n x="30"/>
        <n x="1"/>
      </t>
    </mdx>
    <mdx n="33" f="v">
      <t c="6" si="10">
        <n x="15"/>
        <n x="1337" s="1"/>
        <n x="44"/>
        <n x="32"/>
        <n x="25"/>
        <n x="2"/>
      </t>
    </mdx>
    <mdx n="33" f="v">
      <t c="6">
        <n x="15"/>
        <n x="1337" s="1"/>
        <n x="41"/>
        <n x="32"/>
        <n x="18"/>
        <n x="3"/>
      </t>
    </mdx>
    <mdx n="33" f="v">
      <t c="5" si="10">
        <n x="15"/>
        <n x="1337" s="1"/>
        <n x="8"/>
        <n x="32"/>
        <n x="29"/>
      </t>
    </mdx>
    <mdx n="33" f="v">
      <t c="5" si="9">
        <n x="15"/>
        <n x="1337" s="1"/>
        <n x="14"/>
        <n x="7"/>
        <n x="30"/>
      </t>
    </mdx>
    <mdx n="33" f="v">
      <t c="4" si="10">
        <n x="1182"/>
        <n x="11"/>
        <n x="32"/>
        <n x="1337" s="1"/>
      </t>
    </mdx>
    <mdx n="33" f="v">
      <t c="6" si="10">
        <n x="15"/>
        <n x="1337" s="1"/>
        <n x="39"/>
        <n x="32"/>
        <n x="22"/>
        <n x="1"/>
      </t>
    </mdx>
    <mdx n="33" f="v">
      <t c="6">
        <n x="15"/>
        <n x="1337" s="1"/>
        <n x="36"/>
        <n x="7"/>
        <n x="28"/>
        <n x="3"/>
      </t>
    </mdx>
    <mdx n="33" f="v">
      <t c="4">
        <n x="1254"/>
        <n x="1"/>
        <n x="32"/>
        <n x="1337" s="1"/>
      </t>
    </mdx>
    <mdx n="33" f="v">
      <t c="5" si="10">
        <n x="15"/>
        <n x="1337" s="1"/>
        <n x="11"/>
        <n x="32"/>
        <n x="21"/>
      </t>
    </mdx>
    <mdx n="33" f="v">
      <t c="4">
        <n x="1145"/>
        <n x="1"/>
        <n x="32"/>
        <n x="1337" s="1"/>
      </t>
    </mdx>
    <mdx n="33" f="v">
      <t c="6" si="10">
        <n x="15"/>
        <n x="1337" s="1"/>
        <n x="41"/>
        <n x="32"/>
        <n x="29"/>
        <n x="0"/>
      </t>
    </mdx>
    <mdx n="33" f="v">
      <t c="6" si="9">
        <n x="15"/>
        <n x="1337" s="1"/>
        <n x="39"/>
        <n x="7"/>
        <n x="27"/>
        <n x="1"/>
      </t>
    </mdx>
    <mdx n="33" f="v">
      <t c="6" si="10">
        <n x="15"/>
        <n x="1337" s="1"/>
        <n x="39"/>
        <n x="32"/>
        <n x="18"/>
        <n x="2"/>
      </t>
    </mdx>
    <mdx n="33" f="v">
      <t c="6" si="10">
        <n x="15"/>
        <n x="1337" s="1"/>
        <n x="43"/>
        <n x="32"/>
        <n x="29"/>
        <n x="1"/>
      </t>
    </mdx>
    <mdx n="33" f="v">
      <t c="6" si="9">
        <n x="15"/>
        <n x="1337" s="1"/>
        <n x="42"/>
        <n x="7"/>
        <n x="30"/>
        <n x="1"/>
      </t>
    </mdx>
    <mdx n="33" f="v">
      <t c="4" si="10">
        <n x="1225"/>
        <n x="14"/>
        <n x="32"/>
        <n x="1337" s="1"/>
      </t>
    </mdx>
    <mdx n="33" f="v">
      <t c="6">
        <n x="15"/>
        <n x="1337" s="1"/>
        <n x="41"/>
        <n x="32"/>
        <n x="28"/>
        <n x="3"/>
      </t>
    </mdx>
    <mdx n="33" f="v">
      <t c="4">
        <n x="1257"/>
        <n x="1"/>
        <n x="32"/>
        <n x="1337" s="1"/>
      </t>
    </mdx>
    <mdx n="33" f="v">
      <t c="6" si="9">
        <n x="15"/>
        <n x="1337" s="1"/>
        <n x="37"/>
        <n x="7"/>
        <n x="31"/>
        <n x="0"/>
      </t>
    </mdx>
    <mdx n="33" f="v">
      <t c="5" si="9">
        <n x="15"/>
        <n x="1337" s="1"/>
        <n x="8"/>
        <n x="7"/>
        <n x="21"/>
      </t>
    </mdx>
    <mdx n="33" f="v">
      <t c="6" si="10">
        <n x="15"/>
        <n x="1337" s="1"/>
        <n x="38"/>
        <n x="32"/>
        <n x="22"/>
        <n x="1"/>
      </t>
    </mdx>
    <mdx n="33" f="v">
      <t c="6" si="10">
        <n x="15"/>
        <n x="1337" s="1"/>
        <n x="44"/>
        <n x="32"/>
        <n x="25"/>
        <n x="1"/>
      </t>
    </mdx>
    <mdx n="33" f="v">
      <t c="6" si="10">
        <n x="15"/>
        <n x="1337" s="1"/>
        <n x="38"/>
        <n x="32"/>
        <n x="18"/>
        <n x="0"/>
      </t>
    </mdx>
    <mdx n="33" f="v">
      <t c="6">
        <n x="15"/>
        <n x="1337" s="1"/>
        <n x="41"/>
        <n x="32"/>
        <n x="30"/>
        <n x="3"/>
      </t>
    </mdx>
    <mdx n="33" f="v">
      <t c="6" si="9">
        <n x="15"/>
        <n x="1337" s="1"/>
        <n x="41"/>
        <n x="7"/>
        <n x="24"/>
        <n x="0"/>
      </t>
    </mdx>
    <mdx n="33" f="v">
      <t c="6" si="10">
        <n x="15"/>
        <n x="1337" s="1"/>
        <n x="42"/>
        <n x="32"/>
        <n x="24"/>
        <n x="0"/>
      </t>
    </mdx>
    <mdx n="33" f="v">
      <t c="4">
        <n x="1198"/>
        <n x="14"/>
        <n x="7"/>
        <n x="1337" s="1"/>
      </t>
    </mdx>
    <mdx n="33" f="v">
      <t c="4">
        <n x="1184"/>
        <n x="11"/>
        <n x="7"/>
        <n x="1337" s="1"/>
      </t>
    </mdx>
    <mdx n="33" f="v">
      <t c="4" si="10">
        <n x="1218"/>
        <n x="14"/>
        <n x="32"/>
        <n x="1337" s="1"/>
      </t>
    </mdx>
    <mdx n="33" f="v">
      <t c="4" si="10">
        <n x="1214"/>
        <n x="14"/>
        <n x="32"/>
        <n x="1337" s="1"/>
      </t>
    </mdx>
    <mdx n="33" f="v">
      <t c="4">
        <n x="1138"/>
        <n x="1"/>
        <n x="32"/>
        <n x="1337" s="1"/>
      </t>
    </mdx>
    <mdx n="33" f="v">
      <t c="4">
        <n x="1215"/>
        <n x="11"/>
        <n x="32"/>
        <n x="1337" s="1"/>
      </t>
    </mdx>
    <mdx n="33" f="v">
      <t c="4" si="10">
        <n x="1140"/>
        <n x="1"/>
        <n x="32"/>
        <n x="1337" s="1"/>
      </t>
    </mdx>
    <mdx n="33" f="v">
      <t c="4" si="10">
        <n x="1238"/>
        <n x="14"/>
        <n x="32"/>
        <n x="1337" s="1"/>
      </t>
    </mdx>
    <mdx n="33" f="v">
      <t c="4">
        <n x="1264"/>
        <n x="11"/>
        <n x="7"/>
        <n x="1337" s="1"/>
      </t>
    </mdx>
    <mdx n="33" f="v">
      <t c="4">
        <n x="1271"/>
        <n x="1"/>
        <n x="32"/>
        <n x="1337" s="1"/>
      </t>
    </mdx>
    <mdx n="33" f="v">
      <t c="3">
        <n x="1180"/>
        <n x="1336"/>
        <n x="1337" s="1"/>
      </t>
    </mdx>
    <mdx n="33" f="v">
      <t c="4" si="10">
        <n x="1251"/>
        <n x="1"/>
        <n x="32"/>
        <n x="1337" s="1"/>
      </t>
    </mdx>
    <mdx n="33" f="v">
      <t c="3">
        <n x="1182"/>
        <n x="1336"/>
        <n x="1337" s="1"/>
      </t>
    </mdx>
    <mdx n="33" f="v">
      <t c="4">
        <n x="1188"/>
        <n x="14"/>
        <n x="32"/>
        <n x="1337" s="1"/>
      </t>
    </mdx>
    <mdx n="33" f="v">
      <t c="4" si="10">
        <n x="1323"/>
        <n x="1"/>
        <n x="32"/>
        <n x="1337" s="1"/>
      </t>
    </mdx>
    <mdx n="33" f="v">
      <t c="4">
        <n x="1291"/>
        <n x="11"/>
        <n x="32"/>
        <n x="1337" s="1"/>
      </t>
    </mdx>
    <mdx n="33" f="v">
      <t c="4">
        <n x="1271"/>
        <n x="14"/>
        <n x="32"/>
        <n x="1337" s="1"/>
      </t>
    </mdx>
    <mdx n="33" f="v">
      <t c="4">
        <n x="1278"/>
        <n x="1"/>
        <n x="32"/>
        <n x="1337" s="1"/>
      </t>
    </mdx>
    <mdx n="33" f="v">
      <t c="4" si="10">
        <n x="1262"/>
        <n x="14"/>
        <n x="32"/>
        <n x="1337" s="1"/>
      </t>
    </mdx>
    <mdx n="33" f="v">
      <t c="4" si="10">
        <n x="1155"/>
        <n x="14"/>
        <n x="32"/>
        <n x="1337" s="1"/>
      </t>
    </mdx>
    <mdx n="33" f="v">
      <t c="4">
        <n x="1299"/>
        <n x="1"/>
        <n x="7"/>
        <n x="1337" s="1"/>
      </t>
    </mdx>
    <mdx n="33" f="v">
      <t c="3">
        <n x="1317"/>
        <n x="1336"/>
        <n x="1337" s="1"/>
      </t>
    </mdx>
    <mdx n="33" f="v">
      <t c="4" si="10">
        <n x="1291"/>
        <n x="1"/>
        <n x="32"/>
        <n x="1337" s="1"/>
      </t>
    </mdx>
    <mdx n="33" f="v">
      <t c="3">
        <n x="1221"/>
        <n x="1336"/>
        <n x="1337" s="1"/>
      </t>
    </mdx>
    <mdx n="33" f="v">
      <t c="4">
        <n x="1190"/>
        <n x="11"/>
        <n x="7"/>
        <n x="1337" s="1"/>
      </t>
    </mdx>
    <mdx n="33" f="v">
      <t c="4" si="10">
        <n x="1218"/>
        <n x="1"/>
        <n x="32"/>
        <n x="1337" s="1"/>
      </t>
    </mdx>
    <mdx n="33" f="v">
      <t c="4" si="10">
        <n x="1240"/>
        <n x="14"/>
        <n x="32"/>
        <n x="1337" s="1"/>
      </t>
    </mdx>
    <mdx n="33" f="v">
      <t c="6" si="10">
        <n x="15"/>
        <n x="1337" s="1"/>
        <n x="45"/>
        <n x="32"/>
        <n x="24"/>
        <n x="12"/>
      </t>
    </mdx>
    <mdx n="33" f="v">
      <t c="4">
        <n x="1177"/>
        <n x="1"/>
        <n x="32"/>
        <n x="1337" s="1"/>
      </t>
    </mdx>
    <mdx n="33" f="v">
      <t c="5" si="10">
        <n x="15"/>
        <n x="1337" s="1"/>
        <n x="8"/>
        <n x="32"/>
        <n x="27"/>
      </t>
    </mdx>
    <mdx n="33" f="v">
      <t c="6">
        <n x="15"/>
        <n x="1337" s="1"/>
        <n x="41"/>
        <n x="7"/>
        <n x="22"/>
        <n x="3"/>
      </t>
    </mdx>
    <mdx n="33" f="v">
      <t c="4">
        <n x="1180"/>
        <n x="1"/>
        <n x="32"/>
        <n x="1337" s="1"/>
      </t>
    </mdx>
    <mdx n="33" f="v">
      <t c="4">
        <n x="1270"/>
        <n x="1"/>
        <n x="7"/>
        <n x="1337" s="1"/>
      </t>
    </mdx>
    <mdx n="33" f="v">
      <t c="5" si="9">
        <n x="15"/>
        <n x="1337" s="1"/>
        <n x="42"/>
        <n x="7"/>
        <n x="3"/>
      </t>
    </mdx>
    <mdx n="33" f="v">
      <t c="4">
        <n x="1320"/>
        <n x="11"/>
        <n x="32"/>
        <n x="1337" s="1"/>
      </t>
    </mdx>
    <mdx n="33" f="v">
      <t c="5" si="9">
        <n x="15"/>
        <n x="1337" s="1"/>
        <n x="44"/>
        <n x="7"/>
        <n x="1"/>
      </t>
    </mdx>
    <mdx n="33" f="v">
      <t c="6" si="10">
        <n x="15"/>
        <n x="1337" s="1"/>
        <n x="37"/>
        <n x="32"/>
        <n x="22"/>
        <n x="2"/>
      </t>
    </mdx>
    <mdx n="33" f="v">
      <t c="6" si="10">
        <n x="15"/>
        <n x="1337" s="1"/>
        <n x="37"/>
        <n x="32"/>
        <n x="29"/>
        <n x="1"/>
      </t>
    </mdx>
    <mdx n="33" f="v">
      <t c="6" si="10">
        <n x="15"/>
        <n x="1337" s="1"/>
        <n x="46"/>
        <n x="32"/>
        <n x="25"/>
        <n x="12"/>
      </t>
    </mdx>
    <mdx n="33" f="v">
      <t c="6" si="10">
        <n x="15"/>
        <n x="1337" s="1"/>
        <n x="38"/>
        <n x="32"/>
        <n x="25"/>
        <n x="3"/>
      </t>
    </mdx>
    <mdx n="33" f="v">
      <t c="3">
        <n x="1274"/>
        <n x="1336"/>
        <n x="1337" s="1"/>
      </t>
    </mdx>
    <mdx n="33" f="v">
      <t c="6">
        <n x="15"/>
        <n x="1337" s="1"/>
        <n x="41"/>
        <n x="7"/>
        <n x="28"/>
        <n x="3"/>
      </t>
    </mdx>
    <mdx n="33" f="v">
      <t c="4">
        <n x="1293"/>
        <n x="11"/>
        <n x="32"/>
        <n x="1337" s="1"/>
      </t>
    </mdx>
    <mdx n="33" f="v">
      <t c="4">
        <n x="1163"/>
        <n x="1"/>
        <n x="32"/>
        <n x="1337" s="1"/>
      </t>
    </mdx>
    <mdx n="33" f="v">
      <t c="4">
        <n x="1166"/>
        <n x="11"/>
        <n x="7"/>
        <n x="1337" s="1"/>
      </t>
    </mdx>
    <mdx n="33" f="v">
      <t c="4">
        <n x="1288"/>
        <n x="1"/>
        <n x="32"/>
        <n x="1337" s="1"/>
      </t>
    </mdx>
    <mdx n="33" f="v">
      <t c="6" si="9">
        <n x="15"/>
        <n x="1337" s="1"/>
        <n x="38"/>
        <n x="7"/>
        <n x="31"/>
        <n x="2"/>
      </t>
    </mdx>
    <mdx n="33" f="v">
      <t c="4" si="10">
        <n x="1153"/>
        <n x="14"/>
        <n x="32"/>
        <n x="1337" s="1"/>
      </t>
    </mdx>
    <mdx n="33" f="v">
      <t c="5" si="9">
        <n x="15"/>
        <n x="1337" s="1"/>
        <n x="13"/>
        <n x="7"/>
        <n x="21"/>
      </t>
    </mdx>
    <mdx n="33" f="v">
      <t c="6">
        <n x="15"/>
        <n x="1337" s="1"/>
        <n x="38"/>
        <n x="7"/>
        <n x="27"/>
        <n x="1"/>
      </t>
    </mdx>
    <mdx n="33" f="v">
      <t c="6">
        <n x="15"/>
        <n x="1337" s="1"/>
        <n x="47"/>
        <n x="7"/>
        <n x="20"/>
        <n x="12"/>
      </t>
    </mdx>
    <mdx n="33" f="v">
      <t c="6" si="9">
        <n x="15"/>
        <n x="1337" s="1"/>
        <n x="42"/>
        <n x="7"/>
        <n x="29"/>
        <n x="0"/>
      </t>
    </mdx>
    <mdx n="33" f="v">
      <t c="6" si="10">
        <n x="15"/>
        <n x="1337" s="1"/>
        <n x="35"/>
        <n x="32"/>
        <n x="27"/>
        <n x="12"/>
      </t>
    </mdx>
    <mdx n="33" f="v">
      <t c="4">
        <n x="1180"/>
        <n x="1"/>
        <n x="7"/>
        <n x="1337" s="1"/>
      </t>
    </mdx>
    <mdx n="33" f="v">
      <t c="3">
        <n x="1323"/>
        <n x="1336"/>
        <n x="1337" s="1"/>
      </t>
    </mdx>
    <mdx n="33" f="v">
      <t c="4" si="10">
        <n x="1304"/>
        <n x="11"/>
        <n x="32"/>
        <n x="1337" s="1"/>
      </t>
    </mdx>
    <mdx n="33" f="v">
      <t c="4">
        <n x="1332"/>
        <n x="1"/>
        <n x="32"/>
        <n x="1337" s="1"/>
      </t>
    </mdx>
    <mdx n="33" f="v">
      <t c="6">
        <n x="15"/>
        <n x="1337" s="1"/>
        <n x="41"/>
        <n x="32"/>
        <n x="29"/>
        <n x="2"/>
      </t>
    </mdx>
    <mdx n="33" f="v">
      <t c="3">
        <n x="1312"/>
        <n x="1336"/>
        <n x="1337" s="1"/>
      </t>
    </mdx>
    <mdx n="33" f="v">
      <t c="6">
        <n x="15"/>
        <n x="1337" s="1"/>
        <n x="40"/>
        <n x="7"/>
        <n x="28"/>
        <n x="3"/>
      </t>
    </mdx>
    <mdx n="33" f="v">
      <t c="6" si="9">
        <n x="15"/>
        <n x="1337" s="1"/>
        <n x="43"/>
        <n x="7"/>
        <n x="23"/>
        <n x="3"/>
      </t>
    </mdx>
    <mdx n="33" f="v">
      <t c="3">
        <n x="1257"/>
        <n x="1336"/>
        <n x="1337" s="1"/>
      </t>
    </mdx>
    <mdx n="33" f="v">
      <t c="6" si="10">
        <n x="15"/>
        <n x="1337" s="1"/>
        <n x="41"/>
        <n x="32"/>
        <n x="30"/>
        <n x="0"/>
      </t>
    </mdx>
    <mdx n="33" f="v">
      <t c="6" si="9">
        <n x="15"/>
        <n x="1337" s="1"/>
        <n x="39"/>
        <n x="7"/>
        <n x="24"/>
        <n x="1"/>
      </t>
    </mdx>
    <mdx n="33" f="v">
      <t c="4">
        <n x="1284"/>
        <n x="14"/>
        <n x="7"/>
        <n x="1337" s="1"/>
      </t>
    </mdx>
    <mdx n="33" f="v">
      <t c="4">
        <n x="1128"/>
        <n x="1"/>
        <n x="7"/>
        <n x="1337" s="1"/>
      </t>
    </mdx>
    <mdx n="33" f="v">
      <t c="4" si="10">
        <n x="1197"/>
        <n x="14"/>
        <n x="32"/>
        <n x="1337" s="1"/>
      </t>
    </mdx>
    <mdx n="33" f="v">
      <t c="4">
        <n x="1222"/>
        <n x="1"/>
        <n x="7"/>
        <n x="1337" s="1"/>
      </t>
    </mdx>
    <mdx n="33" f="v">
      <t c="4">
        <n x="1202"/>
        <n x="11"/>
        <n x="32"/>
        <n x="1337" s="1"/>
      </t>
    </mdx>
    <mdx n="33" f="v">
      <t c="4">
        <n x="1224"/>
        <n x="1"/>
        <n x="7"/>
        <n x="1337" s="1"/>
      </t>
    </mdx>
    <mdx n="33" f="v">
      <t c="4" si="10">
        <n x="1233"/>
        <n x="11"/>
        <n x="32"/>
        <n x="1337" s="1"/>
      </t>
    </mdx>
    <mdx n="33" f="v">
      <t c="4">
        <n x="1247"/>
        <n x="1"/>
        <n x="7"/>
        <n x="1337" s="1"/>
      </t>
    </mdx>
    <mdx n="33" f="v">
      <t c="5" si="9">
        <n x="15"/>
        <n x="1337" s="1"/>
        <n x="11"/>
        <n x="7"/>
        <n x="24"/>
      </t>
    </mdx>
    <mdx n="33" f="v">
      <t c="3">
        <n x="1136"/>
        <n x="1336"/>
        <n x="1337" s="1"/>
      </t>
    </mdx>
    <mdx n="33" f="v">
      <t c="4">
        <n x="1208"/>
        <n x="1"/>
        <n x="32"/>
        <n x="1337" s="1"/>
      </t>
    </mdx>
    <mdx n="33" f="v">
      <t c="3">
        <n x="1140"/>
        <n x="1336"/>
        <n x="1337" s="1"/>
      </t>
    </mdx>
    <mdx n="33" f="v">
      <t c="6" si="9">
        <n x="15"/>
        <n x="1337" s="1"/>
        <n x="45"/>
        <n x="7"/>
        <n x="28"/>
        <n x="12"/>
      </t>
    </mdx>
    <mdx n="33" f="v">
      <t c="4" si="10">
        <n x="1232"/>
        <n x="1"/>
        <n x="32"/>
        <n x="1337" s="1"/>
      </t>
    </mdx>
    <mdx n="33" f="v">
      <t c="6" si="9">
        <n x="15"/>
        <n x="1337" s="1"/>
        <n x="37"/>
        <n x="7"/>
        <n x="29"/>
        <n x="0"/>
      </t>
    </mdx>
    <mdx n="33" f="v">
      <t c="3">
        <n x="1131"/>
        <n x="1336"/>
        <n x="1337" s="1"/>
      </t>
    </mdx>
    <mdx n="33" f="v">
      <t c="3">
        <n x="1164"/>
        <n x="1336"/>
        <n x="1337" s="1"/>
      </t>
    </mdx>
    <mdx n="33" f="v">
      <t c="3">
        <n x="1247"/>
        <n x="1336"/>
        <n x="1337" s="1"/>
      </t>
    </mdx>
    <mdx n="33" f="v">
      <t c="4" si="10">
        <n x="1303"/>
        <n x="14"/>
        <n x="32"/>
        <n x="1337" s="1"/>
      </t>
    </mdx>
    <mdx n="33" f="v">
      <t c="3">
        <n x="1329"/>
        <n x="1336"/>
        <n x="1337" s="1"/>
      </t>
    </mdx>
    <mdx n="33" f="v">
      <t c="6">
        <n x="15"/>
        <n x="1337" s="1"/>
        <n x="39"/>
        <n x="7"/>
        <n x="28"/>
        <n x="2"/>
      </t>
    </mdx>
    <mdx n="33" f="v">
      <t c="3">
        <n x="1251"/>
        <n x="1336"/>
        <n x="1337" s="1"/>
      </t>
    </mdx>
    <mdx n="33" f="v">
      <t c="6" si="9">
        <n x="15"/>
        <n x="1337" s="1"/>
        <n x="35"/>
        <n x="7"/>
        <n x="31"/>
        <n x="12"/>
      </t>
    </mdx>
    <mdx n="33" f="v">
      <t c="6" si="10">
        <n x="15"/>
        <n x="1337" s="1"/>
        <n x="43"/>
        <n x="32"/>
        <n x="22"/>
        <n x="1"/>
      </t>
    </mdx>
    <mdx n="33" f="v">
      <t c="4" si="10">
        <n x="1126"/>
        <n x="14"/>
        <n x="32"/>
        <n x="1337" s="1"/>
      </t>
    </mdx>
    <mdx n="33" f="v">
      <t c="6" si="10">
        <n x="15"/>
        <n x="1337" s="1"/>
        <n x="43"/>
        <n x="32"/>
        <n x="24"/>
        <n x="0"/>
      </t>
    </mdx>
    <mdx n="33" f="v">
      <t c="6" si="10">
        <n x="15"/>
        <n x="1337" s="1"/>
        <n x="42"/>
        <n x="32"/>
        <n x="21"/>
        <n x="0"/>
      </t>
    </mdx>
    <mdx n="33" f="v">
      <t c="4">
        <n x="1206"/>
        <n x="1"/>
        <n x="32"/>
        <n x="1337" s="1"/>
      </t>
    </mdx>
    <mdx n="33" f="v">
      <t c="6" si="10">
        <n x="15"/>
        <n x="1337" s="1"/>
        <n x="38"/>
        <n x="32"/>
        <n x="29"/>
        <n x="2"/>
      </t>
    </mdx>
    <mdx n="33" f="v">
      <t c="6" si="9">
        <n x="15"/>
        <n x="1337" s="1"/>
        <n x="40"/>
        <n x="7"/>
        <n x="31"/>
        <n x="1"/>
      </t>
    </mdx>
    <mdx n="33" f="v">
      <t c="6" si="10">
        <n x="15"/>
        <n x="1337" s="1"/>
        <n x="43"/>
        <n x="32"/>
        <n x="30"/>
        <n x="3"/>
      </t>
    </mdx>
    <mdx n="33" f="v">
      <t c="6" si="10">
        <n x="15"/>
        <n x="1337" s="1"/>
        <n x="41"/>
        <n x="32"/>
        <n x="25"/>
        <n x="0"/>
      </t>
    </mdx>
    <mdx n="33" f="v">
      <t c="6">
        <n x="15"/>
        <n x="1337" s="1"/>
        <n x="44"/>
        <n x="7"/>
        <n x="27"/>
        <n x="3"/>
      </t>
    </mdx>
    <mdx n="33" f="v">
      <t c="6" si="10">
        <n x="15"/>
        <n x="1337" s="1"/>
        <n x="42"/>
        <n x="32"/>
        <n x="17"/>
        <n x="0"/>
      </t>
    </mdx>
    <mdx n="33" f="v">
      <t c="5">
        <n x="15"/>
        <n x="1337" s="1"/>
        <n x="13"/>
        <n x="7"/>
        <n x="28"/>
      </t>
    </mdx>
    <mdx n="33" f="v">
      <t c="6">
        <n x="15"/>
        <n x="1337" s="1"/>
        <n x="37"/>
        <n x="7"/>
        <n x="24"/>
        <n x="0"/>
      </t>
    </mdx>
    <mdx n="33" f="v">
      <t c="3">
        <n x="1134"/>
        <n x="1336"/>
        <n x="1337" s="1"/>
      </t>
    </mdx>
    <mdx n="33" f="v">
      <t c="3">
        <n x="1205"/>
        <n x="1336"/>
        <n x="1337" s="1"/>
      </t>
    </mdx>
    <mdx n="33" f="v">
      <t c="4">
        <n x="1190"/>
        <n x="11"/>
        <n x="32"/>
        <n x="1337" s="1"/>
      </t>
    </mdx>
    <mdx n="33" f="v">
      <t c="4">
        <n x="1298"/>
        <n x="1"/>
        <n x="32"/>
        <n x="1337" s="1"/>
      </t>
    </mdx>
    <mdx n="33" f="v">
      <t c="6" si="9">
        <n x="15"/>
        <n x="1337" s="1"/>
        <n x="39"/>
        <n x="7"/>
        <n x="31"/>
        <n x="2"/>
      </t>
    </mdx>
    <mdx n="33" f="v">
      <t c="5">
        <n x="15"/>
        <n x="1337" s="1"/>
        <n x="44"/>
        <n x="7"/>
        <n x="3"/>
      </t>
    </mdx>
    <mdx n="33" f="v">
      <t c="6" si="9">
        <n x="15"/>
        <n x="1337" s="1"/>
        <n x="40"/>
        <n x="7"/>
        <n x="30"/>
        <n x="0"/>
      </t>
    </mdx>
    <mdx n="33" f="v">
      <t c="6" si="9">
        <n x="15"/>
        <n x="1337" s="1"/>
        <n x="43"/>
        <n x="7"/>
        <n x="27"/>
        <n x="2"/>
      </t>
    </mdx>
    <mdx n="33" f="v">
      <t c="6" si="10">
        <n x="15"/>
        <n x="1337" s="1"/>
        <n x="41"/>
        <n x="32"/>
        <n x="16"/>
        <n x="0"/>
      </t>
    </mdx>
    <mdx n="33" f="v">
      <t c="6">
        <n x="15"/>
        <n x="1337" s="1"/>
        <n x="39"/>
        <n x="32"/>
        <n x="21"/>
        <n x="2"/>
      </t>
    </mdx>
    <mdx n="33" f="v">
      <t c="6" si="10">
        <n x="15"/>
        <n x="1337" s="1"/>
        <n x="36"/>
        <n x="32"/>
        <n x="27"/>
        <n x="0"/>
      </t>
    </mdx>
    <mdx n="33" f="v">
      <t c="3">
        <n x="1144"/>
        <n x="1336"/>
        <n x="1337" s="1"/>
      </t>
    </mdx>
    <mdx n="33" f="v">
      <t c="4" si="10">
        <n x="1216"/>
        <n x="1"/>
        <n x="32"/>
        <n x="1337" s="1"/>
      </t>
    </mdx>
    <mdx n="33" f="v">
      <t c="4">
        <n x="1206"/>
        <n x="11"/>
        <n x="32"/>
        <n x="1337" s="1"/>
      </t>
    </mdx>
    <mdx n="33" f="v">
      <t c="4" si="10">
        <n x="1300"/>
        <n x="1"/>
        <n x="32"/>
        <n x="1337" s="1"/>
      </t>
    </mdx>
    <mdx n="33" f="v">
      <t c="6" si="10">
        <n x="15"/>
        <n x="1337" s="1"/>
        <n x="45"/>
        <n x="32"/>
        <n x="30"/>
        <n x="12"/>
      </t>
    </mdx>
    <mdx n="33" f="v">
      <t c="4">
        <n x="1159"/>
        <n x="1"/>
        <n x="32"/>
        <n x="1337" s="1"/>
      </t>
    </mdx>
    <mdx n="33" f="v">
      <t c="6" si="10">
        <n x="15"/>
        <n x="1337" s="1"/>
        <n x="36"/>
        <n x="32"/>
        <n x="30"/>
        <n x="3"/>
      </t>
    </mdx>
    <mdx n="33" f="v">
      <t c="6" si="10">
        <n x="15"/>
        <n x="1337" s="1"/>
        <n x="39"/>
        <n x="32"/>
        <n x="25"/>
        <n x="2"/>
      </t>
    </mdx>
    <mdx n="33" f="v">
      <t c="4" si="10">
        <n x="1295"/>
        <n x="14"/>
        <n x="32"/>
        <n x="1337" s="1"/>
      </t>
    </mdx>
    <mdx n="33" f="v">
      <t c="6" si="10">
        <n x="15"/>
        <n x="1337" s="1"/>
        <n x="43"/>
        <n x="32"/>
        <n x="21"/>
        <n x="0"/>
      </t>
    </mdx>
    <mdx n="33" f="v">
      <t c="6" si="9">
        <n x="15"/>
        <n x="1337" s="1"/>
        <n x="36"/>
        <n x="7"/>
        <n x="24"/>
        <n x="1"/>
      </t>
    </mdx>
    <mdx n="33" f="v">
      <t c="4">
        <n x="1205"/>
        <n x="11"/>
        <n x="7"/>
        <n x="1337" s="1"/>
      </t>
    </mdx>
    <mdx n="33" f="v">
      <t c="4">
        <n x="1250"/>
        <n x="11"/>
        <n x="7"/>
        <n x="1337" s="1"/>
      </t>
    </mdx>
    <mdx n="33" f="v">
      <t c="4">
        <n x="1207"/>
        <n x="1"/>
        <n x="7"/>
        <n x="1337" s="1"/>
      </t>
    </mdx>
    <mdx n="33" f="v">
      <t c="4">
        <n x="1239"/>
        <n x="1"/>
        <n x="7"/>
        <n x="1337" s="1"/>
      </t>
    </mdx>
    <mdx n="33" f="v">
      <t c="4">
        <n x="1250"/>
        <n x="11"/>
        <n x="32"/>
        <n x="1337" s="1"/>
      </t>
    </mdx>
    <mdx n="33" f="v">
      <t c="4" si="10">
        <n x="1240"/>
        <n x="11"/>
        <n x="32"/>
        <n x="1337" s="1"/>
      </t>
    </mdx>
    <mdx n="33" f="v">
      <t c="4" si="10">
        <n x="1252"/>
        <n x="14"/>
        <n x="32"/>
        <n x="1337" s="1"/>
      </t>
    </mdx>
    <mdx n="33" f="v">
      <t c="4">
        <n x="1269"/>
        <n x="1"/>
        <n x="7"/>
        <n x="1337" s="1"/>
      </t>
    </mdx>
    <mdx n="33" f="v">
      <t c="4">
        <n x="1271"/>
        <n x="1"/>
        <n x="7"/>
        <n x="1337" s="1"/>
      </t>
    </mdx>
    <mdx n="33" f="v">
      <t c="6" si="9">
        <n x="15"/>
        <n x="1337" s="1"/>
        <n x="36"/>
        <n x="7"/>
        <n x="29"/>
        <n x="1"/>
      </t>
    </mdx>
    <mdx n="33" f="v">
      <t c="3">
        <n x="1183"/>
        <n x="1336"/>
        <n x="1337" s="1"/>
      </t>
    </mdx>
    <mdx n="33" f="v">
      <t c="6" si="10">
        <n x="15"/>
        <n x="1337" s="1"/>
        <n x="39"/>
        <n x="32"/>
        <n x="29"/>
        <n x="0"/>
      </t>
    </mdx>
    <mdx n="33" f="v">
      <t c="4">
        <n x="1186"/>
        <n x="1"/>
        <n x="32"/>
        <n x="1337" s="1"/>
      </t>
    </mdx>
    <mdx n="33" f="v">
      <t c="4">
        <n x="1140"/>
        <n x="1"/>
        <n x="7"/>
        <n x="1337" s="1"/>
      </t>
    </mdx>
    <mdx n="33" f="v">
      <t c="4">
        <n x="1266"/>
        <n x="1"/>
        <n x="7"/>
        <n x="1337" s="1"/>
      </t>
    </mdx>
    <mdx n="33" f="v">
      <t c="4">
        <n x="1288"/>
        <n x="14"/>
        <n x="32"/>
        <n x="1337" s="1"/>
      </t>
    </mdx>
    <mdx n="33" f="v">
      <t c="3">
        <n x="1281"/>
        <n x="1336"/>
        <n x="1337" s="1"/>
      </t>
    </mdx>
    <mdx n="33" f="v">
      <t c="6" si="9">
        <n x="15"/>
        <n x="1337" s="1"/>
        <n x="39"/>
        <n x="7"/>
        <n x="22"/>
        <n x="1"/>
      </t>
    </mdx>
    <mdx n="33" f="v">
      <t c="4">
        <n x="1171"/>
        <n x="1"/>
        <n x="7"/>
        <n x="1337" s="1"/>
      </t>
    </mdx>
    <mdx n="33" f="v">
      <t c="4">
        <n x="1299"/>
        <n x="11"/>
        <n x="32"/>
        <n x="1337" s="1"/>
      </t>
    </mdx>
    <mdx n="33" f="v">
      <t c="4" si="10">
        <n x="1223"/>
        <n x="14"/>
        <n x="32"/>
        <n x="1337" s="1"/>
      </t>
    </mdx>
    <mdx n="33" f="v">
      <t c="4">
        <n x="1282"/>
        <n x="11"/>
        <n x="7"/>
        <n x="1337" s="1"/>
      </t>
    </mdx>
    <mdx n="33" f="v">
      <t c="6">
        <n x="15"/>
        <n x="1337" s="1"/>
        <n x="38"/>
        <n x="7"/>
        <n x="29"/>
        <n x="2"/>
      </t>
    </mdx>
    <mdx n="33" f="v">
      <t c="6">
        <n x="15"/>
        <n x="1337" s="1"/>
        <n x="44"/>
        <n x="32"/>
        <n x="22"/>
        <n x="2"/>
      </t>
    </mdx>
    <mdx n="33" f="v">
      <t c="3">
        <n x="1271"/>
        <n x="1336"/>
        <n x="1337" s="1"/>
      </t>
    </mdx>
    <mdx n="33" f="v">
      <t c="4">
        <n x="1164"/>
        <n x="11"/>
        <n x="7"/>
        <n x="1337" s="1"/>
      </t>
    </mdx>
    <mdx n="33" f="v">
      <t c="3">
        <n x="1152"/>
        <n x="1336"/>
        <n x="1337" s="1"/>
      </t>
    </mdx>
    <mdx n="33" f="v">
      <t c="4" si="10">
        <n x="1293"/>
        <n x="1"/>
        <n x="32"/>
        <n x="1337" s="1"/>
      </t>
    </mdx>
    <mdx n="33" f="v">
      <t c="4" si="10">
        <n x="1171"/>
        <n x="1"/>
        <n x="32"/>
        <n x="1337" s="1"/>
      </t>
    </mdx>
    <mdx n="33" f="v">
      <t c="4" si="10">
        <n x="1230"/>
        <n x="1"/>
        <n x="32"/>
        <n x="1337" s="1"/>
      </t>
    </mdx>
    <mdx n="33" f="v">
      <t c="5" si="9">
        <n x="15"/>
        <n x="1337" s="1"/>
        <n x="14"/>
        <n x="7"/>
        <n x="29"/>
      </t>
    </mdx>
    <mdx n="33" f="v">
      <t c="6">
        <n x="15"/>
        <n x="1337" s="1"/>
        <n x="43"/>
        <n x="7"/>
        <n x="22"/>
        <n x="2"/>
      </t>
    </mdx>
    <mdx n="33" f="v">
      <t c="4">
        <n x="1231"/>
        <n x="11"/>
        <n x="7"/>
        <n x="1337" s="1"/>
      </t>
    </mdx>
    <mdx n="33" f="v">
      <t c="4" si="10">
        <n x="1317"/>
        <n x="1"/>
        <n x="32"/>
        <n x="1337" s="1"/>
      </t>
    </mdx>
    <mdx n="33" f="v">
      <t c="6" si="10">
        <n x="15"/>
        <n x="1337" s="1"/>
        <n x="45"/>
        <n x="32"/>
        <n x="21"/>
        <n x="12"/>
      </t>
    </mdx>
    <mdx n="33" f="v">
      <t c="4" si="10">
        <n x="1193"/>
        <n x="1"/>
        <n x="32"/>
        <n x="1337" s="1"/>
      </t>
    </mdx>
    <mdx n="33" f="v">
      <t c="5" si="9">
        <n x="15"/>
        <n x="1337" s="1"/>
        <n x="14"/>
        <n x="7"/>
        <n x="27"/>
      </t>
    </mdx>
    <mdx n="33" f="v">
      <t c="6" si="10">
        <n x="15"/>
        <n x="1337" s="1"/>
        <n x="37"/>
        <n x="32"/>
        <n x="31"/>
        <n x="3"/>
      </t>
    </mdx>
    <mdx n="33" f="v">
      <t c="6" si="10">
        <n x="15"/>
        <n x="1337" s="1"/>
        <n x="40"/>
        <n x="32"/>
        <n x="30"/>
        <n x="2"/>
      </t>
    </mdx>
    <mdx n="33" f="v">
      <t c="6" si="10">
        <n x="15"/>
        <n x="1337" s="1"/>
        <n x="44"/>
        <n x="32"/>
        <n x="25"/>
        <n x="0"/>
      </t>
    </mdx>
    <mdx n="33" f="v">
      <t c="6" si="10">
        <n x="15"/>
        <n x="1337" s="1"/>
        <n x="38"/>
        <n x="32"/>
        <n x="26"/>
        <n x="1"/>
      </t>
    </mdx>
    <mdx n="33" f="v">
      <t c="6" si="10">
        <n x="15"/>
        <n x="1337" s="1"/>
        <n x="37"/>
        <n x="32"/>
        <n x="24"/>
        <n x="3"/>
      </t>
    </mdx>
    <mdx n="33" f="v">
      <t c="6" si="9">
        <n x="15"/>
        <n x="1337" s="1"/>
        <n x="36"/>
        <n x="7"/>
        <n x="24"/>
        <n x="0"/>
      </t>
    </mdx>
    <mdx n="33" f="v">
      <t c="4">
        <n x="1230"/>
        <n x="11"/>
        <n x="7"/>
        <n x="1337" s="1"/>
      </t>
    </mdx>
    <mdx n="33" f="v">
      <t c="3">
        <n x="1315"/>
        <n x="1336"/>
        <n x="1337" s="1"/>
      </t>
    </mdx>
    <mdx n="33" f="v">
      <t c="4">
        <n x="1299"/>
        <n x="14"/>
        <n x="32"/>
        <n x="1337" s="1"/>
      </t>
    </mdx>
    <mdx n="33" f="v">
      <t c="4" si="10">
        <n x="1330"/>
        <n x="1"/>
        <n x="32"/>
        <n x="1337" s="1"/>
      </t>
    </mdx>
    <mdx n="33" f="v">
      <t c="6" si="10">
        <n x="15"/>
        <n x="1337" s="1"/>
        <n x="39"/>
        <n x="32"/>
        <n x="31"/>
        <n x="1"/>
      </t>
    </mdx>
    <mdx n="33" f="v">
      <t c="3">
        <n x="1304"/>
        <n x="1336"/>
        <n x="1337" s="1"/>
      </t>
    </mdx>
    <mdx n="33" f="v">
      <t c="6">
        <n x="15"/>
        <n x="1337" s="1"/>
        <n x="40"/>
        <n x="7"/>
        <n x="29"/>
        <n x="3"/>
      </t>
    </mdx>
    <mdx n="33" f="v">
      <t c="6">
        <n x="15"/>
        <n x="1337" s="1"/>
        <n x="42"/>
        <n x="7"/>
        <n x="27"/>
        <n x="2"/>
      </t>
    </mdx>
    <mdx n="33" f="v">
      <t c="4">
        <n x="1274"/>
        <n x="11"/>
        <n x="7"/>
        <n x="1337" s="1"/>
      </t>
    </mdx>
    <mdx n="33" f="v">
      <t c="6" si="10">
        <n x="15"/>
        <n x="1337" s="1"/>
        <n x="40"/>
        <n x="32"/>
        <n x="29"/>
        <n x="1"/>
      </t>
    </mdx>
    <mdx n="33" f="v">
      <t c="6" si="10">
        <n x="15"/>
        <n x="1337" s="1"/>
        <n x="43"/>
        <n x="32"/>
        <n x="27"/>
        <n x="1"/>
      </t>
    </mdx>
    <mdx n="33" f="v">
      <t c="4">
        <n x="1297"/>
        <n x="1"/>
        <n x="32"/>
        <n x="1337" s="1"/>
      </t>
    </mdx>
    <mdx n="33" f="v">
      <t c="6" si="10">
        <n x="15"/>
        <n x="1337" s="1"/>
        <n x="42"/>
        <n x="32"/>
        <n x="29"/>
        <n x="1"/>
      </t>
    </mdx>
    <mdx n="33" f="v">
      <t c="4">
        <n x="1185"/>
        <n x="1"/>
        <n x="32"/>
        <n x="1337" s="1"/>
      </t>
    </mdx>
    <mdx n="33" f="v">
      <t c="6">
        <n x="15"/>
        <n x="1337" s="1"/>
        <n x="44"/>
        <n x="7"/>
        <n x="23"/>
        <n x="3"/>
      </t>
    </mdx>
    <mdx n="33" f="v">
      <t c="6" si="9">
        <n x="15"/>
        <n x="1337" s="1"/>
        <n x="36"/>
        <n x="7"/>
        <n x="28"/>
        <n x="1"/>
      </t>
    </mdx>
    <mdx n="33" f="v">
      <t c="6">
        <n x="15"/>
        <n x="1337" s="1"/>
        <n x="46"/>
        <n x="7"/>
        <n x="30"/>
        <n x="12"/>
      </t>
    </mdx>
    <mdx n="33" f="v">
      <t c="6" si="10">
        <n x="15"/>
        <n x="1337" s="1"/>
        <n x="35"/>
        <n x="32"/>
        <n x="25"/>
        <n x="12"/>
      </t>
    </mdx>
    <mdx n="33" f="v">
      <t c="6" si="10">
        <n x="15"/>
        <n x="1337" s="1"/>
        <n x="35"/>
        <n x="32"/>
        <n x="17"/>
        <n x="12"/>
      </t>
    </mdx>
    <mdx n="33" f="v">
      <t c="6" si="10">
        <n x="15"/>
        <n x="1337" s="1"/>
        <n x="46"/>
        <n x="32"/>
        <n x="24"/>
        <n x="12"/>
      </t>
    </mdx>
    <mdx n="33" f="v">
      <t c="6">
        <n x="15"/>
        <n x="1337" s="1"/>
        <n x="42"/>
        <n x="7"/>
        <n x="30"/>
        <n x="3"/>
      </t>
    </mdx>
    <mdx n="33" f="v">
      <t c="6" si="9">
        <n x="15"/>
        <n x="1337" s="1"/>
        <n x="43"/>
        <n x="7"/>
        <n x="24"/>
        <n x="2"/>
      </t>
    </mdx>
    <mdx n="33" f="v">
      <t c="6" si="10">
        <n x="15"/>
        <n x="1337" s="1"/>
        <n x="36"/>
        <n x="32"/>
        <n x="17"/>
        <n x="2"/>
      </t>
    </mdx>
    <mdx n="33" f="v">
      <t c="4">
        <n x="1293"/>
        <n x="11"/>
        <n x="7"/>
        <n x="1337" s="1"/>
      </t>
    </mdx>
    <mdx n="33" f="v">
      <t c="4">
        <n x="1159"/>
        <n x="14"/>
        <n x="32"/>
        <n x="1337" s="1"/>
      </t>
    </mdx>
    <mdx n="33" f="v">
      <t c="4">
        <n x="1283"/>
        <n x="11"/>
        <n x="32"/>
        <n x="1337" s="1"/>
      </t>
    </mdx>
    <mdx n="33" f="v">
      <t c="4">
        <n x="1321"/>
        <n x="1"/>
        <n x="7"/>
        <n x="1337" s="1"/>
      </t>
    </mdx>
    <mdx n="33" f="v">
      <t c="4" si="10">
        <n x="1316"/>
        <n x="14"/>
        <n x="32"/>
        <n x="1337" s="1"/>
      </t>
    </mdx>
    <mdx n="33" f="v">
      <t c="4" si="10">
        <n x="1322"/>
        <n x="14"/>
        <n x="32"/>
        <n x="1337" s="1"/>
      </t>
    </mdx>
    <mdx n="33" f="v">
      <t c="4">
        <n x="1192"/>
        <n x="14"/>
        <n x="7"/>
        <n x="1337" s="1"/>
      </t>
    </mdx>
    <mdx n="33" f="v">
      <t c="3">
        <n x="1137"/>
        <n x="1336"/>
        <n x="1337" s="1"/>
      </t>
    </mdx>
    <mdx n="33" f="v">
      <t c="3">
        <n x="1130"/>
        <n x="1336"/>
        <n x="1337" s="1"/>
      </t>
    </mdx>
    <mdx n="33" f="v">
      <t c="6" si="10">
        <n x="15"/>
        <n x="1337" s="1"/>
        <n x="37"/>
        <n x="32"/>
        <n x="31"/>
        <n x="1"/>
      </t>
    </mdx>
    <mdx n="33" f="v">
      <t c="4" si="10">
        <n x="1307"/>
        <n x="14"/>
        <n x="32"/>
        <n x="1337" s="1"/>
      </t>
    </mdx>
    <mdx n="33" f="v">
      <t c="6">
        <n x="15"/>
        <n x="1337" s="1"/>
        <n x="38"/>
        <n x="7"/>
        <n x="20"/>
        <n x="1"/>
      </t>
    </mdx>
    <mdx n="33" f="v">
      <t c="4">
        <n x="1312"/>
        <n x="11"/>
        <n x="32"/>
        <n x="1337" s="1"/>
      </t>
    </mdx>
    <mdx n="33" f="v">
      <t c="6" si="9">
        <n x="15"/>
        <n x="1337" s="1"/>
        <n x="43"/>
        <n x="7"/>
        <n x="31"/>
        <n x="3"/>
      </t>
    </mdx>
    <mdx n="33" f="v">
      <t c="3">
        <n x="1287"/>
        <n x="1336"/>
        <n x="1337" s="1"/>
      </t>
    </mdx>
    <mdx n="33" f="v">
      <t c="4">
        <n x="1270"/>
        <n x="11"/>
        <n x="32"/>
        <n x="1337" s="1"/>
      </t>
    </mdx>
    <mdx n="33" f="v">
      <t c="3">
        <n x="1228"/>
        <n x="1336"/>
        <n x="1337" s="1"/>
      </t>
    </mdx>
    <mdx n="33" f="v">
      <t c="4" si="10">
        <n x="1305"/>
        <n x="1"/>
        <n x="32"/>
        <n x="1337" s="1"/>
      </t>
    </mdx>
    <mdx n="33" f="v">
      <t c="3">
        <n x="1181"/>
        <n x="1336"/>
        <n x="1337" s="1"/>
      </t>
    </mdx>
    <mdx n="33" f="v">
      <t c="6" si="9">
        <n x="15"/>
        <n x="1337" s="1"/>
        <n x="39"/>
        <n x="7"/>
        <n x="24"/>
        <n x="3"/>
      </t>
    </mdx>
    <mdx n="33" f="v">
      <t c="4" si="10">
        <n x="1169"/>
        <n x="14"/>
        <n x="32"/>
        <n x="1337" s="1"/>
      </t>
    </mdx>
    <mdx n="33" f="v">
      <t c="4" si="10">
        <n x="1294"/>
        <n x="1"/>
        <n x="32"/>
        <n x="1337" s="1"/>
      </t>
    </mdx>
    <mdx n="33" f="v">
      <t c="6" si="10">
        <n x="15"/>
        <n x="1337" s="1"/>
        <n x="44"/>
        <n x="32"/>
        <n x="31"/>
        <n x="2"/>
      </t>
    </mdx>
    <mdx n="33" f="v">
      <t c="6" si="10">
        <n x="15"/>
        <n x="1337" s="1"/>
        <n x="37"/>
        <n x="32"/>
        <n x="28"/>
        <n x="3"/>
      </t>
    </mdx>
    <mdx n="33" f="v">
      <t c="4">
        <n x="1276"/>
        <n x="1"/>
        <n x="7"/>
        <n x="1337" s="1"/>
      </t>
    </mdx>
    <mdx n="33" f="v">
      <t c="5" si="9">
        <n x="15"/>
        <n x="1337" s="1"/>
        <n x="8"/>
        <n x="7"/>
        <n x="31"/>
      </t>
    </mdx>
    <mdx n="33" f="v">
      <t c="4">
        <n x="1264"/>
        <n x="1"/>
        <n x="32"/>
        <n x="1337" s="1"/>
      </t>
    </mdx>
    <mdx n="33" f="v">
      <t c="6" si="9">
        <n x="15"/>
        <n x="1337" s="1"/>
        <n x="39"/>
        <n x="7"/>
        <n x="31"/>
        <n x="0"/>
      </t>
    </mdx>
    <mdx n="33" f="v">
      <t c="6" si="9">
        <n x="15"/>
        <n x="1337" s="1"/>
        <n x="36"/>
        <n x="7"/>
        <n x="21"/>
        <n x="0"/>
      </t>
    </mdx>
    <mdx n="33" f="v">
      <t c="6" si="9">
        <n x="15"/>
        <n x="1337" s="1"/>
        <n x="43"/>
        <n x="7"/>
        <n x="30"/>
        <n x="0"/>
      </t>
    </mdx>
    <mdx n="33" f="v">
      <t c="6" si="10">
        <n x="15"/>
        <n x="1337" s="1"/>
        <n x="36"/>
        <n x="32"/>
        <n x="25"/>
        <n x="1"/>
      </t>
    </mdx>
    <mdx n="33" f="v">
      <t c="6" si="10">
        <n x="15"/>
        <n x="1337" s="1"/>
        <n x="36"/>
        <n x="32"/>
        <n x="26"/>
        <n x="2"/>
      </t>
    </mdx>
    <mdx n="33" f="v">
      <t c="4" si="10">
        <n x="1150"/>
        <n x="1"/>
        <n x="32"/>
        <n x="1337" s="1"/>
      </t>
    </mdx>
    <mdx n="33" f="v">
      <t c="6">
        <n x="15"/>
        <n x="1337" s="1"/>
        <n x="42"/>
        <n x="32"/>
        <n x="21"/>
        <n x="2"/>
      </t>
    </mdx>
    <mdx n="33" f="v">
      <t c="6">
        <n x="15"/>
        <n x="1337" s="1"/>
        <n x="41"/>
        <n x="7"/>
        <n x="24"/>
        <n x="1"/>
      </t>
    </mdx>
    <mdx n="33" f="v">
      <t c="4">
        <n x="1296"/>
        <n x="11"/>
        <n x="32"/>
        <n x="1337" s="1"/>
      </t>
    </mdx>
    <mdx n="33" f="v">
      <t c="6">
        <n x="15"/>
        <n x="1337" s="1"/>
        <n x="38"/>
        <n x="7"/>
        <n x="17"/>
        <n x="3"/>
      </t>
    </mdx>
    <mdx n="33" f="v">
      <t c="4">
        <n x="1326"/>
        <n x="1"/>
        <n x="7"/>
        <n x="1337" s="1"/>
      </t>
    </mdx>
    <mdx n="33" f="v">
      <t c="6" si="10">
        <n x="15"/>
        <n x="1337" s="1"/>
        <n x="40"/>
        <n x="32"/>
        <n x="24"/>
        <n x="2"/>
      </t>
    </mdx>
    <mdx n="33" f="v">
      <t c="6">
        <n x="15"/>
        <n x="1337" s="1"/>
        <n x="44"/>
        <n x="7"/>
        <n x="22"/>
        <n x="2"/>
      </t>
    </mdx>
    <mdx n="33" f="v">
      <t c="6">
        <n x="15"/>
        <n x="1337" s="1"/>
        <n x="41"/>
        <n x="7"/>
        <n x="28"/>
        <n x="2"/>
      </t>
    </mdx>
    <mdx n="33" f="v">
      <t c="6" si="9">
        <n x="15"/>
        <n x="1337" s="1"/>
        <n x="46"/>
        <n x="7"/>
        <n x="27"/>
        <n x="12"/>
      </t>
    </mdx>
    <mdx n="33" f="v">
      <t c="6" si="9">
        <n x="15"/>
        <n x="1337" s="1"/>
        <n x="38"/>
        <n x="7"/>
        <n x="27"/>
        <n x="3"/>
      </t>
    </mdx>
    <mdx n="33" f="v">
      <t c="4">
        <n x="1274"/>
        <n x="1"/>
        <n x="7"/>
        <n x="1337" s="1"/>
      </t>
    </mdx>
    <mdx n="33" f="v">
      <t c="6" si="10">
        <n x="15"/>
        <n x="1337" s="1"/>
        <n x="38"/>
        <n x="32"/>
        <n x="31"/>
        <n x="1"/>
      </t>
    </mdx>
    <mdx n="33" f="v">
      <t c="6" si="10">
        <n x="15"/>
        <n x="1337" s="1"/>
        <n x="40"/>
        <n x="32"/>
        <n x="27"/>
        <n x="0"/>
      </t>
    </mdx>
    <mdx n="33" f="v">
      <t c="4" si="10">
        <n x="1330"/>
        <n x="14"/>
        <n x="32"/>
        <n x="1337" s="1"/>
      </t>
    </mdx>
    <mdx n="33" f="v">
      <t c="6" si="10">
        <n x="15"/>
        <n x="1337" s="1"/>
        <n x="44"/>
        <n x="32"/>
        <n x="24"/>
        <n x="3"/>
      </t>
    </mdx>
    <mdx n="33" f="v">
      <t c="4" si="10">
        <n x="1127"/>
        <n x="1"/>
        <n x="32"/>
        <n x="1337" s="1"/>
      </t>
    </mdx>
    <mdx n="33" f="v">
      <t c="5" si="9">
        <n x="15"/>
        <n x="1337" s="1"/>
        <n x="36"/>
        <n x="7"/>
        <n x="3"/>
      </t>
    </mdx>
    <mdx n="33" f="v">
      <t c="6" si="10">
        <n x="15"/>
        <n x="1337" s="1"/>
        <n x="36"/>
        <n x="32"/>
        <n x="28"/>
        <n x="3"/>
      </t>
    </mdx>
    <mdx n="33" f="v">
      <t c="6">
        <n x="15"/>
        <n x="1337" s="1"/>
        <n x="36"/>
        <n x="7"/>
        <n x="20"/>
        <n x="1"/>
      </t>
    </mdx>
    <mdx n="33" f="v">
      <t c="6" si="10">
        <n x="15"/>
        <n x="1337" s="1"/>
        <n x="36"/>
        <n x="32"/>
        <n x="25"/>
        <n x="0"/>
      </t>
    </mdx>
    <mdx n="33" f="v">
      <t c="6" si="10">
        <n x="15"/>
        <n x="1337" s="1"/>
        <n x="39"/>
        <n x="32"/>
        <n x="27"/>
        <n x="3"/>
      </t>
    </mdx>
    <mdx n="33" f="v">
      <t c="3">
        <n x="1290"/>
        <n x="1336"/>
        <n x="1337" s="1"/>
      </t>
    </mdx>
    <mdx n="33" f="v">
      <t c="6" si="9">
        <n x="15"/>
        <n x="1337" s="1"/>
        <n x="46"/>
        <n x="7"/>
        <n x="31"/>
        <n x="12"/>
      </t>
    </mdx>
    <mdx n="33" f="v">
      <t c="6" si="9">
        <n x="15"/>
        <n x="1337" s="1"/>
        <n x="40"/>
        <n x="7"/>
        <n x="24"/>
        <n x="1"/>
      </t>
    </mdx>
    <mdx n="33" f="v">
      <t c="4">
        <n x="1188"/>
        <n x="14"/>
        <n x="7"/>
        <n x="1337" s="1"/>
      </t>
    </mdx>
    <mdx n="33" f="v">
      <t c="4">
        <n x="1202"/>
        <n x="14"/>
        <n x="7"/>
        <n x="1337" s="1"/>
      </t>
    </mdx>
    <mdx n="33" f="v">
      <t c="4">
        <n x="1126"/>
        <n x="1"/>
        <n x="7"/>
        <n x="1337" s="1"/>
      </t>
    </mdx>
    <mdx n="33" f="v">
      <t c="4">
        <n x="1186"/>
        <n x="1"/>
        <n x="7"/>
        <n x="1337" s="1"/>
      </t>
    </mdx>
    <mdx n="33" f="v">
      <t c="4">
        <n x="1256"/>
        <n x="14"/>
        <n x="7"/>
        <n x="1337" s="1"/>
      </t>
    </mdx>
    <mdx n="33" f="v">
      <t c="3">
        <n x="1141"/>
        <n x="1336"/>
        <n x="1337" s="1"/>
      </t>
    </mdx>
    <mdx n="33" f="v">
      <t c="3">
        <n x="1143"/>
        <n x="1336"/>
        <n x="1337" s="1"/>
      </t>
    </mdx>
    <mdx n="33" f="v">
      <t c="4">
        <n x="1199"/>
        <n x="11"/>
        <n x="7"/>
        <n x="1337" s="1"/>
      </t>
    </mdx>
    <mdx n="33" f="v">
      <t c="4">
        <n x="1278"/>
        <n x="11"/>
        <n x="7"/>
        <n x="1337" s="1"/>
      </t>
    </mdx>
    <mdx n="33" f="v">
      <t c="3">
        <n x="1162"/>
        <n x="1336"/>
        <n x="1337" s="1"/>
      </t>
    </mdx>
    <mdx n="33" f="v">
      <t c="4" si="10">
        <n x="1162"/>
        <n x="14"/>
        <n x="32"/>
        <n x="1337" s="1"/>
      </t>
    </mdx>
    <mdx n="33" f="v">
      <t c="6" si="10">
        <n x="15"/>
        <n x="1337" s="1"/>
        <n x="43"/>
        <n x="32"/>
        <n x="24"/>
        <n x="2"/>
      </t>
    </mdx>
    <mdx n="33" f="v">
      <t c="4">
        <n x="1169"/>
        <n x="1"/>
        <n x="7"/>
        <n x="1337" s="1"/>
      </t>
    </mdx>
    <mdx n="33" f="v">
      <t c="5" si="9">
        <n x="15"/>
        <n x="1337" s="1"/>
        <n x="8"/>
        <n x="7"/>
        <n x="23"/>
      </t>
    </mdx>
    <mdx n="33" f="v">
      <t c="4" si="10">
        <n x="1324"/>
        <n x="11"/>
        <n x="32"/>
        <n x="1337" s="1"/>
      </t>
    </mdx>
    <mdx n="33" f="v">
      <t c="5" si="9">
        <n x="15"/>
        <n x="1337" s="1"/>
        <n x="43"/>
        <n x="7"/>
        <n x="1"/>
      </t>
    </mdx>
    <mdx n="33" f="v">
      <t c="4">
        <n x="1177"/>
        <n x="1"/>
        <n x="7"/>
        <n x="1337" s="1"/>
      </t>
    </mdx>
    <mdx n="33" f="v">
      <t c="4">
        <n x="1241"/>
        <n x="11"/>
        <n x="32"/>
        <n x="1337" s="1"/>
      </t>
    </mdx>
    <mdx n="33" f="v">
      <t c="4">
        <n x="1264"/>
        <n x="11"/>
        <n x="32"/>
        <n x="1337" s="1"/>
      </t>
    </mdx>
    <mdx n="33" f="v">
      <t c="6" si="10">
        <n x="15"/>
        <n x="1337" s="1"/>
        <n x="37"/>
        <n x="32"/>
        <n x="24"/>
        <n x="0"/>
      </t>
    </mdx>
    <mdx n="33" f="v">
      <t c="4" si="10">
        <n x="1335"/>
        <n x="11"/>
        <n x="32"/>
        <n x="1337" s="1"/>
      </t>
    </mdx>
    <mdx n="33" f="v">
      <t c="5" si="9">
        <n x="15"/>
        <n x="1337" s="1"/>
        <n x="38"/>
        <n x="7"/>
        <n x="2"/>
      </t>
    </mdx>
    <mdx n="33" f="v">
      <t c="6">
        <n x="15"/>
        <n x="1337" s="1"/>
        <n x="43"/>
        <n x="32"/>
        <n x="21"/>
        <n x="3"/>
      </t>
    </mdx>
    <mdx n="33" f="v">
      <t c="4">
        <n x="1262"/>
        <n x="1"/>
        <n x="32"/>
        <n x="1337" s="1"/>
      </t>
    </mdx>
    <mdx n="33" f="v">
      <t c="5" si="9">
        <n x="15"/>
        <n x="1337" s="1"/>
        <n x="11"/>
        <n x="7"/>
        <n x="28"/>
      </t>
    </mdx>
    <mdx n="33" f="v">
      <t c="6">
        <n x="15"/>
        <n x="1337" s="1"/>
        <n x="39"/>
        <n x="7"/>
        <n x="30"/>
        <n x="3"/>
      </t>
    </mdx>
    <mdx n="33" f="v">
      <t c="4">
        <n x="1272"/>
        <n x="11"/>
        <n x="7"/>
        <n x="1337" s="1"/>
      </t>
    </mdx>
    <mdx n="33" f="v">
      <t c="4" si="10">
        <n x="1247"/>
        <n x="14"/>
        <n x="32"/>
        <n x="1337" s="1"/>
      </t>
    </mdx>
    <mdx n="33" f="v">
      <t c="4">
        <n x="1308"/>
        <n x="1"/>
        <n x="7"/>
        <n x="1337" s="1"/>
      </t>
    </mdx>
    <mdx n="33" f="v">
      <t c="3">
        <n x="1189"/>
        <n x="1336"/>
        <n x="1337" s="1"/>
      </t>
    </mdx>
    <mdx n="33" f="v">
      <t c="6" si="10">
        <n x="15"/>
        <n x="1337" s="1"/>
        <n x="39"/>
        <n x="32"/>
        <n x="30"/>
        <n x="0"/>
      </t>
    </mdx>
    <mdx n="33" f="v">
      <t c="4">
        <n x="1313"/>
        <n x="14"/>
        <n x="32"/>
        <n x="1337" s="1"/>
      </t>
    </mdx>
    <mdx n="33" f="v">
      <t c="3">
        <n x="1191"/>
        <n x="1336"/>
        <n x="1337" s="1"/>
      </t>
    </mdx>
    <mdx n="33" f="v">
      <t c="6" si="10">
        <n x="15"/>
        <n x="1337" s="1"/>
        <n x="42"/>
        <n x="32"/>
        <n x="31"/>
        <n x="0"/>
      </t>
    </mdx>
    <mdx n="33" f="v">
      <t c="3">
        <n x="1297"/>
        <n x="1336"/>
        <n x="1337" s="1"/>
      </t>
    </mdx>
    <mdx n="33" f="v">
      <t c="4" si="10">
        <n x="1220"/>
        <n x="11"/>
        <n x="32"/>
        <n x="1337" s="1"/>
      </t>
    </mdx>
    <mdx n="33" f="v">
      <t c="6" si="10">
        <n x="15"/>
        <n x="1337" s="1"/>
        <n x="41"/>
        <n x="32"/>
        <n x="29"/>
        <n x="1"/>
      </t>
    </mdx>
    <mdx n="33" f="v">
      <t c="6" si="10">
        <n x="15"/>
        <n x="1337" s="1"/>
        <n x="40"/>
        <n x="32"/>
        <n x="31"/>
        <n x="1"/>
      </t>
    </mdx>
    <mdx n="33" f="v">
      <t c="3">
        <n x="1208"/>
        <n x="1336"/>
        <n x="1337" s="1"/>
      </t>
    </mdx>
    <mdx n="33" f="v">
      <t c="5">
        <n x="15"/>
        <n x="1337" s="1"/>
        <n x="13"/>
        <n x="7"/>
        <n x="29"/>
      </t>
    </mdx>
    <mdx n="33" f="v">
      <t c="3">
        <n x="1163"/>
        <n x="1336"/>
        <n x="1337" s="1"/>
      </t>
    </mdx>
    <mdx n="33" f="v">
      <t c="6" si="10">
        <n x="15"/>
        <n x="1337" s="1"/>
        <n x="40"/>
        <n x="32"/>
        <n x="24"/>
        <n x="3"/>
      </t>
    </mdx>
    <mdx n="33" f="v">
      <t c="5" si="9">
        <n x="15"/>
        <n x="1337" s="1"/>
        <n x="8"/>
        <n x="7"/>
        <n x="22"/>
      </t>
    </mdx>
    <mdx n="33" f="v">
      <t c="6">
        <n x="15"/>
        <n x="1337" s="1"/>
        <n x="38"/>
        <n x="7"/>
        <n x="29"/>
        <n x="0"/>
      </t>
    </mdx>
    <mdx n="33" f="v">
      <t c="6" si="10">
        <n x="15"/>
        <n x="1337" s="1"/>
        <n x="45"/>
        <n x="32"/>
        <n x="25"/>
        <n x="12"/>
      </t>
    </mdx>
    <mdx n="33" f="v">
      <t c="6" si="10">
        <n x="15"/>
        <n x="1337" s="1"/>
        <n x="36"/>
        <n x="32"/>
        <n x="25"/>
        <n x="3"/>
      </t>
    </mdx>
    <mdx n="33" f="v">
      <t c="6">
        <n x="15"/>
        <n x="1337" s="1"/>
        <n x="34"/>
        <n x="7"/>
        <n x="18"/>
        <n x="12"/>
      </t>
    </mdx>
    <mdx n="33" f="v">
      <t c="6" si="10">
        <n x="15"/>
        <n x="1337" s="1"/>
        <n x="41"/>
        <n x="32"/>
        <n x="21"/>
        <n x="1"/>
      </t>
    </mdx>
    <mdx n="33" f="v">
      <t c="6">
        <n x="15"/>
        <n x="1337" s="1"/>
        <n x="34"/>
        <n x="7"/>
        <n x="24"/>
        <n x="12"/>
      </t>
    </mdx>
    <mdx n="33" f="v">
      <t c="4" si="10">
        <n x="1297"/>
        <n x="14"/>
        <n x="32"/>
        <n x="1337" s="1"/>
      </t>
    </mdx>
    <mdx n="33" f="v">
      <t c="4">
        <n x="1248"/>
        <n x="1"/>
        <n x="32"/>
        <n x="1337" s="1"/>
      </t>
    </mdx>
    <mdx n="33" f="v">
      <t c="4" si="10">
        <n x="1153"/>
        <n x="1"/>
        <n x="32"/>
        <n x="1337" s="1"/>
      </t>
    </mdx>
    <mdx n="33" f="v">
      <t c="6">
        <n x="15"/>
        <n x="1337" s="1"/>
        <n x="44"/>
        <n x="7"/>
        <n x="20"/>
        <n x="0"/>
      </t>
    </mdx>
    <mdx n="33" f="v">
      <t c="6" si="9">
        <n x="15"/>
        <n x="1337" s="1"/>
        <n x="42"/>
        <n x="7"/>
        <n x="31"/>
        <n x="3"/>
      </t>
    </mdx>
    <mdx n="33" f="v">
      <t c="6" si="9">
        <n x="15"/>
        <n x="1337" s="1"/>
        <n x="37"/>
        <n x="7"/>
        <n x="31"/>
        <n x="3"/>
      </t>
    </mdx>
    <mdx n="33" f="v">
      <t c="5" si="10">
        <n x="15"/>
        <n x="1337" s="1"/>
        <n x="14"/>
        <n x="32"/>
        <n x="30"/>
      </t>
    </mdx>
    <mdx n="33" f="v">
      <t c="6">
        <n x="15"/>
        <n x="1337" s="1"/>
        <n x="44"/>
        <n x="7"/>
        <n x="27"/>
        <n x="2"/>
      </t>
    </mdx>
    <mdx n="33" f="v">
      <t c="6" si="9">
        <n x="15"/>
        <n x="1337" s="1"/>
        <n x="39"/>
        <n x="7"/>
        <n x="18"/>
        <n x="3"/>
      </t>
    </mdx>
    <mdx n="33" f="v">
      <t c="5" si="10">
        <n x="15"/>
        <n x="1337" s="1"/>
        <n x="13"/>
        <n x="32"/>
        <n x="21"/>
      </t>
    </mdx>
    <mdx n="33" f="v">
      <t c="5" si="9">
        <n x="15"/>
        <n x="1337" s="1"/>
        <n x="14"/>
        <n x="7"/>
        <n x="26"/>
      </t>
    </mdx>
    <mdx n="33" f="v">
      <t c="4" si="10">
        <n x="1318"/>
        <n x="11"/>
        <n x="32"/>
        <n x="1337" s="1"/>
      </t>
    </mdx>
    <mdx n="33" f="v">
      <t c="4">
        <n x="1332"/>
        <n x="11"/>
        <n x="7"/>
        <n x="1337" s="1"/>
      </t>
    </mdx>
    <mdx n="33" f="v">
      <t c="4">
        <n x="1158"/>
        <n x="1"/>
        <n x="32"/>
        <n x="1337" s="1"/>
      </t>
    </mdx>
    <mdx n="33" f="v">
      <t c="6" si="9">
        <n x="15"/>
        <n x="1337" s="1"/>
        <n x="39"/>
        <n x="7"/>
        <n x="16"/>
        <n x="1"/>
      </t>
    </mdx>
    <mdx n="33" f="v">
      <t c="6">
        <n x="15"/>
        <n x="1337" s="1"/>
        <n x="43"/>
        <n x="7"/>
        <n x="22"/>
        <n x="3"/>
      </t>
    </mdx>
    <mdx n="33" f="v">
      <t c="5" si="9">
        <n x="15"/>
        <n x="1337" s="1"/>
        <n x="14"/>
        <n x="7"/>
        <n x="31"/>
      </t>
    </mdx>
    <mdx n="33" f="v">
      <t c="6" si="10">
        <n x="15"/>
        <n x="1337" s="1"/>
        <n x="37"/>
        <n x="32"/>
        <n x="25"/>
        <n x="0"/>
      </t>
    </mdx>
    <mdx n="33" f="v">
      <t c="6" si="10">
        <n x="15"/>
        <n x="1337" s="1"/>
        <n x="44"/>
        <n x="32"/>
        <n x="24"/>
        <n x="1"/>
      </t>
    </mdx>
    <mdx n="33" f="v">
      <t c="3">
        <n x="1322"/>
        <n x="1336"/>
        <n x="1337" s="1"/>
      </t>
    </mdx>
    <mdx n="33" f="v">
      <t c="6" si="10">
        <n x="15"/>
        <n x="1337" s="1"/>
        <n x="38"/>
        <n x="32"/>
        <n x="31"/>
        <n x="2"/>
      </t>
    </mdx>
    <mdx n="33" f="v">
      <t c="6">
        <n x="15"/>
        <n x="1337" s="1"/>
        <n x="41"/>
        <n x="7"/>
        <n x="24"/>
        <n x="2"/>
      </t>
    </mdx>
    <mdx n="33" f="v">
      <t c="6" si="10">
        <n x="15"/>
        <n x="1337" s="1"/>
        <n x="34"/>
        <n x="32"/>
        <n x="18"/>
        <n x="12"/>
      </t>
    </mdx>
    <mdx n="33" f="v">
      <t c="6">
        <n x="15"/>
        <n x="1337" s="1"/>
        <n x="38"/>
        <n x="32"/>
        <n x="21"/>
        <n x="2"/>
      </t>
    </mdx>
    <mdx n="33" f="v">
      <t c="6" si="9">
        <n x="15"/>
        <n x="1337" s="1"/>
        <n x="47"/>
        <n x="7"/>
        <n x="26"/>
        <n x="12"/>
      </t>
    </mdx>
    <mdx n="33" f="v">
      <t c="6">
        <n x="15"/>
        <n x="1337" s="1"/>
        <n x="37"/>
        <n x="7"/>
        <n x="26"/>
        <n x="3"/>
      </t>
    </mdx>
    <mdx n="33" f="v">
      <t c="4" si="10">
        <n x="1292"/>
        <n x="1"/>
        <n x="32"/>
        <n x="1337" s="1"/>
      </t>
    </mdx>
    <mdx n="33" f="v">
      <t c="6" si="9">
        <n x="15"/>
        <n x="1337" s="1"/>
        <n x="43"/>
        <n x="7"/>
        <n x="27"/>
        <n x="1"/>
      </t>
    </mdx>
    <mdx n="33" f="v">
      <t c="6" si="10">
        <n x="15"/>
        <n x="1337" s="1"/>
        <n x="39"/>
        <n x="32"/>
        <n x="27"/>
        <n x="1"/>
      </t>
    </mdx>
    <mdx n="33" f="v">
      <t c="3">
        <n x="1268"/>
        <n x="1336"/>
        <n x="1337" s="1"/>
      </t>
    </mdx>
    <mdx n="33" f="v">
      <t c="6" si="9">
        <n x="15"/>
        <n x="1337" s="1"/>
        <n x="34"/>
        <n x="7"/>
        <n x="23"/>
        <n x="12"/>
      </t>
    </mdx>
    <mdx n="33" f="v">
      <t c="6" si="10">
        <n x="15"/>
        <n x="1337" s="1"/>
        <n x="43"/>
        <n x="32"/>
        <n x="24"/>
        <n x="3"/>
      </t>
    </mdx>
    <mdx n="33" f="v">
      <t c="6" si="10">
        <n x="15"/>
        <n x="1337" s="1"/>
        <n x="36"/>
        <n x="32"/>
        <n x="18"/>
        <n x="3"/>
      </t>
    </mdx>
    <mdx n="33" f="v">
      <t c="6">
        <n x="15"/>
        <n x="1337" s="1"/>
        <n x="38"/>
        <n x="7"/>
        <n x="25"/>
        <n x="3"/>
      </t>
    </mdx>
    <mdx n="33" f="v">
      <t c="4">
        <n x="1223"/>
        <n x="11"/>
        <n x="7"/>
        <n x="1337" s="1"/>
      </t>
    </mdx>
    <mdx n="33" f="v">
      <t c="4" si="10">
        <n x="1243"/>
        <n x="11"/>
        <n x="32"/>
        <n x="1337" s="1"/>
      </t>
    </mdx>
    <mdx n="33" f="v">
      <t c="4" si="10">
        <n x="1303"/>
        <n x="1"/>
        <n x="32"/>
        <n x="1337" s="1"/>
      </t>
    </mdx>
    <mdx n="33" f="v">
      <t c="6" si="10">
        <n x="15"/>
        <n x="1337" s="1"/>
        <n x="41"/>
        <n x="32"/>
        <n x="28"/>
        <n x="1"/>
      </t>
    </mdx>
    <mdx n="33" f="v">
      <t c="3">
        <n x="1142"/>
        <n x="1336"/>
        <n x="1337" s="1"/>
      </t>
    </mdx>
    <mdx n="33" f="v">
      <t c="6" si="9">
        <n x="15"/>
        <n x="1337" s="1"/>
        <n x="40"/>
        <n x="7"/>
        <n x="21"/>
        <n x="0"/>
      </t>
    </mdx>
    <mdx n="33" f="v">
      <t c="6">
        <n x="15"/>
        <n x="1337" s="1"/>
        <n x="36"/>
        <n x="7"/>
        <n x="21"/>
        <n x="2"/>
      </t>
    </mdx>
    <mdx n="33" f="v">
      <t c="4">
        <n x="1284"/>
        <n x="1"/>
        <n x="32"/>
        <n x="1337" s="1"/>
      </t>
    </mdx>
    <mdx n="33" f="v">
      <t c="6" si="10">
        <n x="15"/>
        <n x="1337" s="1"/>
        <n x="38"/>
        <n x="32"/>
        <n x="25"/>
        <n x="1"/>
      </t>
    </mdx>
    <mdx n="33" f="v">
      <t c="6" si="9">
        <n x="15"/>
        <n x="1337" s="1"/>
        <n x="43"/>
        <n x="7"/>
        <n x="24"/>
        <n x="1"/>
      </t>
    </mdx>
    <mdx n="33" f="v">
      <t c="5" si="10">
        <n x="15"/>
        <n x="1337" s="1"/>
        <n x="13"/>
        <n x="32"/>
        <n x="25"/>
      </t>
    </mdx>
    <mdx n="33" f="v">
      <t c="6" si="9">
        <n x="15"/>
        <n x="1337" s="1"/>
        <n x="36"/>
        <n x="7"/>
        <n x="27"/>
        <n x="3"/>
      </t>
    </mdx>
    <mdx n="33" f="v">
      <t c="4" si="10">
        <n x="1220"/>
        <n x="14"/>
        <n x="32"/>
        <n x="1337" s="1"/>
      </t>
    </mdx>
    <mdx n="33" f="v">
      <t c="6" si="10">
        <n x="15"/>
        <n x="1337" s="1"/>
        <n x="44"/>
        <n x="32"/>
        <n x="28"/>
        <n x="1"/>
      </t>
    </mdx>
    <mdx n="33" f="v">
      <t c="4">
        <n x="1215"/>
        <n x="1"/>
        <n x="32"/>
        <n x="1337" s="1"/>
      </t>
    </mdx>
    <mdx n="33" f="v">
      <t c="6" si="10">
        <n x="15"/>
        <n x="1337" s="1"/>
        <n x="36"/>
        <n x="32"/>
        <n x="20"/>
        <n x="0"/>
      </t>
    </mdx>
    <mdx n="33" f="v">
      <t c="6">
        <n x="15"/>
        <n x="1337" s="1"/>
        <n x="40"/>
        <n x="7"/>
        <n x="29"/>
        <n x="2"/>
      </t>
    </mdx>
    <mdx n="33" f="v">
      <t c="6" si="9">
        <n x="15"/>
        <n x="1337" s="1"/>
        <n x="40"/>
        <n x="7"/>
        <n x="26"/>
        <n x="1"/>
      </t>
    </mdx>
    <mdx n="33" f="v">
      <t c="4" si="10">
        <n x="1246"/>
        <n x="1"/>
        <n x="32"/>
        <n x="1337" s="1"/>
      </t>
    </mdx>
    <mdx n="33" f="v">
      <t c="6" si="10">
        <n x="15"/>
        <n x="1337" s="1"/>
        <n x="39"/>
        <n x="32"/>
        <n x="21"/>
        <n x="1"/>
      </t>
    </mdx>
    <mdx n="33" f="v">
      <t c="6" si="10">
        <n x="15"/>
        <n x="1337" s="1"/>
        <n x="39"/>
        <n x="32"/>
        <n x="20"/>
        <n x="2"/>
      </t>
    </mdx>
    <mdx n="33" f="v">
      <t c="6" si="9">
        <n x="15"/>
        <n x="1337" s="1"/>
        <n x="37"/>
        <n x="7"/>
        <n x="26"/>
        <n x="0"/>
      </t>
    </mdx>
    <mdx n="33" f="v">
      <t c="6" si="10">
        <n x="15"/>
        <n x="1337" s="1"/>
        <n x="42"/>
        <n x="32"/>
        <n x="17"/>
        <n x="1"/>
      </t>
    </mdx>
    <mdx n="33" f="v">
      <t c="6">
        <n x="15"/>
        <n x="1337" s="1"/>
        <n x="38"/>
        <n x="7"/>
        <n x="31"/>
        <n x="1"/>
      </t>
    </mdx>
    <mdx n="33" f="v">
      <t c="6" si="9">
        <n x="15"/>
        <n x="1337" s="1"/>
        <n x="47"/>
        <n x="7"/>
        <n x="6"/>
        <n x="12"/>
      </t>
    </mdx>
    <mdx n="33" f="v">
      <t c="4">
        <n x="56"/>
        <n x="0"/>
        <n x="32"/>
        <n x="1337" s="1"/>
      </t>
    </mdx>
    <mdx n="33" f="v">
      <t c="4">
        <n x="131"/>
        <n x="12"/>
        <n x="7"/>
        <n x="1337" s="1"/>
      </t>
    </mdx>
    <mdx n="33" f="v">
      <t c="6" si="9">
        <n x="15"/>
        <n x="1337" s="1"/>
        <n x="37"/>
        <n x="7"/>
        <n x="17"/>
        <n x="0"/>
      </t>
    </mdx>
    <mdx n="33" f="v">
      <t c="5" si="10">
        <n x="15"/>
        <n x="1337" s="1"/>
        <n x="38"/>
        <n x="32"/>
        <n x="2"/>
      </t>
    </mdx>
    <mdx n="33" f="v">
      <t c="6" si="10">
        <n x="15"/>
        <n x="1337" s="1"/>
        <n x="40"/>
        <n x="32"/>
        <n x="18"/>
        <n x="3"/>
      </t>
    </mdx>
    <mdx n="33" f="v">
      <t c="6">
        <n x="15"/>
        <n x="1337" s="1"/>
        <n x="42"/>
        <n x="7"/>
        <n x="29"/>
        <n x="3"/>
      </t>
    </mdx>
    <mdx n="33" f="v">
      <t c="6" si="9">
        <n x="15"/>
        <n x="1337" s="1"/>
        <n x="43"/>
        <n x="7"/>
        <n x="31"/>
        <n x="0"/>
      </t>
    </mdx>
    <mdx n="33" f="v">
      <t c="6" si="10">
        <n x="15"/>
        <n x="1337" s="1"/>
        <n x="43"/>
        <n x="32"/>
        <n x="22"/>
        <n x="0"/>
      </t>
    </mdx>
    <mdx n="33" f="v">
      <t c="6" si="10">
        <n x="15"/>
        <n x="1337" s="1"/>
        <n x="35"/>
        <n x="32"/>
        <n x="16"/>
        <n x="12"/>
      </t>
    </mdx>
    <mdx n="33" f="v">
      <t c="6" si="9">
        <n x="15"/>
        <n x="1337" s="1"/>
        <n x="34"/>
        <n x="7"/>
        <n x="29"/>
        <n x="12"/>
      </t>
    </mdx>
    <mdx n="33" f="v">
      <t c="6" si="9">
        <n x="15"/>
        <n x="1337" s="1"/>
        <n x="43"/>
        <n x="7"/>
        <n x="23"/>
        <n x="0"/>
      </t>
    </mdx>
    <mdx n="33" f="v">
      <t c="6" si="10">
        <n x="15"/>
        <n x="1337" s="1"/>
        <n x="43"/>
        <n x="32"/>
        <n x="18"/>
        <n x="1"/>
      </t>
    </mdx>
    <mdx n="33" f="v">
      <t c="6" si="10">
        <n x="15"/>
        <n x="1337" s="1"/>
        <n x="35"/>
        <n x="32"/>
        <n x="29"/>
        <n x="12"/>
      </t>
    </mdx>
    <mdx n="33" f="v">
      <t c="6">
        <n x="15"/>
        <n x="1337" s="1"/>
        <n x="41"/>
        <n x="7"/>
        <n x="20"/>
        <n x="3"/>
      </t>
    </mdx>
    <mdx n="33" f="v">
      <t c="6" si="10">
        <n x="15"/>
        <n x="1337" s="1"/>
        <n x="40"/>
        <n x="32"/>
        <n x="6"/>
        <n x="2"/>
      </t>
    </mdx>
    <mdx n="33" f="v">
      <t c="4">
        <n x="85"/>
        <n x="14"/>
        <n x="32"/>
        <n x="1337" s="1"/>
      </t>
    </mdx>
    <mdx n="33" f="v">
      <t c="6" si="10">
        <n x="15"/>
        <n x="1337" s="1"/>
        <n x="34"/>
        <n x="32"/>
        <n x="23"/>
        <n x="12"/>
      </t>
    </mdx>
    <mdx n="33" f="v">
      <t c="6">
        <n x="15"/>
        <n x="1337" s="1"/>
        <n x="44"/>
        <n x="7"/>
        <n x="20"/>
        <n x="1"/>
      </t>
    </mdx>
    <mdx n="33" f="v">
      <t c="3">
        <n x="1286"/>
        <n x="1336"/>
        <n x="1337" s="1"/>
      </t>
    </mdx>
    <mdx n="33" f="v">
      <t c="4" si="10">
        <n x="1235"/>
        <n x="14"/>
        <n x="32"/>
        <n x="1337" s="1"/>
      </t>
    </mdx>
    <mdx n="33" f="v">
      <t c="4">
        <n x="1275"/>
        <n x="1"/>
        <n x="7"/>
        <n x="1337" s="1"/>
      </t>
    </mdx>
    <mdx n="33" f="v">
      <t c="3">
        <n x="1222"/>
        <n x="1336"/>
        <n x="1337" s="1"/>
      </t>
    </mdx>
    <mdx n="33" f="v">
      <t c="3">
        <n x="1263"/>
        <n x="1336"/>
        <n x="1337" s="1"/>
      </t>
    </mdx>
    <mdx n="33" f="v">
      <t c="4" si="10">
        <n x="1273"/>
        <n x="1"/>
        <n x="32"/>
        <n x="1337" s="1"/>
      </t>
    </mdx>
    <mdx n="33" f="v">
      <t c="4">
        <n x="1166"/>
        <n x="1"/>
        <n x="32"/>
        <n x="1337" s="1"/>
      </t>
    </mdx>
    <mdx n="33" f="v">
      <t c="3">
        <n x="1252"/>
        <n x="1336"/>
        <n x="1337" s="1"/>
      </t>
    </mdx>
    <mdx n="33" f="v">
      <t c="6" si="9">
        <n x="15"/>
        <n x="1337" s="1"/>
        <n x="39"/>
        <n x="7"/>
        <n x="28"/>
        <n x="1"/>
      </t>
    </mdx>
    <mdx n="33" f="v">
      <t c="6" si="10">
        <n x="15"/>
        <n x="1337" s="1"/>
        <n x="42"/>
        <n x="32"/>
        <n x="24"/>
        <n x="2"/>
      </t>
    </mdx>
    <mdx n="33" f="v">
      <t c="6" si="9">
        <n x="15"/>
        <n x="1337" s="1"/>
        <n x="39"/>
        <n x="7"/>
        <n x="29"/>
        <n x="1"/>
      </t>
    </mdx>
    <mdx n="33" f="v">
      <t c="6">
        <n x="15"/>
        <n x="1337" s="1"/>
        <n x="39"/>
        <n x="7"/>
        <n x="22"/>
        <n x="2"/>
      </t>
    </mdx>
    <mdx n="33" f="v">
      <t c="6" si="10">
        <n x="15"/>
        <n x="1337" s="1"/>
        <n x="44"/>
        <n x="32"/>
        <n x="22"/>
        <n x="1"/>
      </t>
    </mdx>
    <mdx n="33" f="v">
      <t c="4">
        <n x="1278"/>
        <n x="1"/>
        <n x="7"/>
        <n x="1337" s="1"/>
      </t>
    </mdx>
    <mdx n="33" f="v">
      <t c="6">
        <n x="15"/>
        <n x="1337" s="1"/>
        <n x="38"/>
        <n x="7"/>
        <n x="29"/>
        <n x="3"/>
      </t>
    </mdx>
    <mdx n="33" f="v">
      <t c="6">
        <n x="15"/>
        <n x="1337" s="1"/>
        <n x="38"/>
        <n x="7"/>
        <n x="30"/>
        <n x="3"/>
      </t>
    </mdx>
    <mdx n="33" f="v">
      <t c="4">
        <n x="1196"/>
        <n x="1"/>
        <n x="7"/>
        <n x="1337" s="1"/>
      </t>
    </mdx>
    <mdx n="33" f="v">
      <t c="6" si="10">
        <n x="15"/>
        <n x="1337" s="1"/>
        <n x="36"/>
        <n x="32"/>
        <n x="31"/>
        <n x="2"/>
      </t>
    </mdx>
    <mdx n="33" f="v">
      <t c="6">
        <n x="15"/>
        <n x="1337" s="1"/>
        <n x="38"/>
        <n x="7"/>
        <n x="26"/>
        <n x="3"/>
      </t>
    </mdx>
    <mdx n="33" f="v">
      <t c="6" si="10">
        <n x="15"/>
        <n x="1337" s="1"/>
        <n x="36"/>
        <n x="32"/>
        <n x="31"/>
        <n x="1"/>
      </t>
    </mdx>
    <mdx n="33" f="v">
      <t c="6" si="10">
        <n x="15"/>
        <n x="1337" s="1"/>
        <n x="36"/>
        <n x="32"/>
        <n x="27"/>
        <n x="2"/>
      </t>
    </mdx>
    <mdx n="33" f="v">
      <t c="3">
        <n x="1153"/>
        <n x="1336"/>
        <n x="1337" s="1"/>
      </t>
    </mdx>
    <mdx n="33" f="v">
      <t c="6" si="9">
        <n x="15"/>
        <n x="1337" s="1"/>
        <n x="38"/>
        <n x="7"/>
        <n x="23"/>
        <n x="0"/>
      </t>
    </mdx>
    <mdx n="33" f="v">
      <t c="6" si="10">
        <n x="15"/>
        <n x="1337" s="1"/>
        <n x="43"/>
        <n x="32"/>
        <n x="18"/>
        <n x="2"/>
      </t>
    </mdx>
    <mdx n="33" f="v">
      <t c="6" si="10">
        <n x="15"/>
        <n x="1337" s="1"/>
        <n x="38"/>
        <n x="32"/>
        <n x="20"/>
        <n x="1"/>
      </t>
    </mdx>
    <mdx n="33" f="v">
      <t c="6" si="10">
        <n x="15"/>
        <n x="1337" s="1"/>
        <n x="42"/>
        <n x="32"/>
        <n x="6"/>
        <n x="1"/>
      </t>
    </mdx>
    <mdx n="33" f="v">
      <t c="4">
        <n x="72"/>
        <n x="0"/>
        <n x="32"/>
        <n x="1337" s="1"/>
      </t>
    </mdx>
    <mdx n="33" f="v">
      <t c="6" si="9">
        <n x="15"/>
        <n x="1337" s="1"/>
        <n x="41"/>
        <n x="7"/>
        <n x="28"/>
        <n x="1"/>
      </t>
    </mdx>
    <mdx n="33" f="v">
      <t c="6" si="10">
        <n x="15"/>
        <n x="1337" s="1"/>
        <n x="37"/>
        <n x="32"/>
        <n x="28"/>
        <n x="0"/>
      </t>
    </mdx>
    <mdx n="33" f="v">
      <t c="3">
        <n x="1253"/>
        <n x="1336"/>
        <n x="1337" s="1"/>
      </t>
    </mdx>
    <mdx n="33" f="v">
      <t c="4" si="10">
        <n x="1329"/>
        <n x="14"/>
        <n x="32"/>
        <n x="1337" s="1"/>
      </t>
    </mdx>
    <mdx n="33" f="v">
      <t c="4">
        <n x="1261"/>
        <n x="1"/>
        <n x="32"/>
        <n x="1337" s="1"/>
      </t>
    </mdx>
    <mdx n="33" f="v">
      <t c="4">
        <n x="1258"/>
        <n x="11"/>
        <n x="7"/>
        <n x="1337" s="1"/>
      </t>
    </mdx>
    <mdx n="33" f="v">
      <t c="5" si="10">
        <n x="15"/>
        <n x="1337" s="1"/>
        <n x="14"/>
        <n x="32"/>
        <n x="28"/>
      </t>
    </mdx>
    <mdx n="33" f="v">
      <t c="4" si="10">
        <n x="1135"/>
        <n x="1"/>
        <n x="32"/>
        <n x="1337" s="1"/>
      </t>
    </mdx>
    <mdx n="33" f="v">
      <t c="6" si="9">
        <n x="15"/>
        <n x="1337" s="1"/>
        <n x="38"/>
        <n x="7"/>
        <n x="22"/>
        <n x="0"/>
      </t>
    </mdx>
    <mdx n="33" f="v">
      <t c="4">
        <n x="1215"/>
        <n x="14"/>
        <n x="32"/>
        <n x="1337" s="1"/>
      </t>
    </mdx>
    <mdx n="33" f="v">
      <t c="3">
        <n x="1223"/>
        <n x="1336"/>
        <n x="1337" s="1"/>
      </t>
    </mdx>
    <mdx n="33" f="v">
      <t c="6" si="10">
        <n x="15"/>
        <n x="1337" s="1"/>
        <n x="37"/>
        <n x="32"/>
        <n x="21"/>
        <n x="1"/>
      </t>
    </mdx>
    <mdx n="33" f="v">
      <t c="4" si="10">
        <n x="1222"/>
        <n x="1"/>
        <n x="32"/>
        <n x="1337" s="1"/>
      </t>
    </mdx>
    <mdx n="33" f="v">
      <t c="6">
        <n x="15"/>
        <n x="1337" s="1"/>
        <n x="42"/>
        <n x="7"/>
        <n x="28"/>
        <n x="3"/>
      </t>
    </mdx>
    <mdx n="33" f="v">
      <t c="6">
        <n x="15"/>
        <n x="1337" s="1"/>
        <n x="38"/>
        <n x="7"/>
        <n x="22"/>
        <n x="1"/>
      </t>
    </mdx>
    <mdx n="33" f="v">
      <t c="6">
        <n x="15"/>
        <n x="1337" s="1"/>
        <n x="43"/>
        <n x="32"/>
        <n x="22"/>
        <n x="3"/>
      </t>
    </mdx>
    <mdx n="33" f="v">
      <t c="6" si="10">
        <n x="15"/>
        <n x="1337" s="1"/>
        <n x="42"/>
        <n x="32"/>
        <n x="25"/>
        <n x="0"/>
      </t>
    </mdx>
    <mdx n="33" f="v">
      <t c="5" si="9">
        <n x="15"/>
        <n x="1337" s="1"/>
        <n x="14"/>
        <n x="7"/>
        <n x="25"/>
      </t>
    </mdx>
    <mdx n="33" f="v">
      <t c="6" si="10">
        <n x="15"/>
        <n x="1337" s="1"/>
        <n x="44"/>
        <n x="32"/>
        <n x="20"/>
        <n x="0"/>
      </t>
    </mdx>
    <mdx n="33" f="v">
      <t c="6" si="10">
        <n x="15"/>
        <n x="1337" s="1"/>
        <n x="40"/>
        <n x="32"/>
        <n x="22"/>
        <n x="0"/>
      </t>
    </mdx>
    <mdx n="33" f="v">
      <t c="6">
        <n x="15"/>
        <n x="1337" s="1"/>
        <n x="38"/>
        <n x="7"/>
        <n x="24"/>
        <n x="0"/>
      </t>
    </mdx>
    <mdx n="33" f="v">
      <t c="3">
        <n x="1176"/>
        <n x="1336"/>
        <n x="1337" s="1"/>
      </t>
    </mdx>
    <mdx n="33" f="v">
      <t c="5" si="9">
        <n x="15"/>
        <n x="1337" s="1"/>
        <n x="11"/>
        <n x="7"/>
        <n x="29"/>
      </t>
    </mdx>
    <mdx n="33" f="v">
      <t c="3">
        <n x="1211"/>
        <n x="1336"/>
        <n x="1337" s="1"/>
      </t>
    </mdx>
    <mdx n="33" f="v">
      <t c="5" si="10">
        <n x="15"/>
        <n x="1337" s="1"/>
        <n x="11"/>
        <n x="32"/>
        <n x="29"/>
      </t>
    </mdx>
    <mdx n="33" f="v">
      <t c="6" si="9">
        <n x="15"/>
        <n x="1337" s="1"/>
        <n x="40"/>
        <n x="7"/>
        <n x="28"/>
        <n x="1"/>
      </t>
    </mdx>
    <mdx n="33" f="v">
      <t c="6" si="9">
        <n x="15"/>
        <n x="1337" s="1"/>
        <n x="40"/>
        <n x="7"/>
        <n x="28"/>
        <n x="0"/>
      </t>
    </mdx>
    <mdx n="33" f="v">
      <t c="6" si="9">
        <n x="15"/>
        <n x="1337" s="1"/>
        <n x="41"/>
        <n x="7"/>
        <n x="27"/>
        <n x="0"/>
      </t>
    </mdx>
    <mdx n="33" f="v">
      <t c="5" si="9">
        <n x="15"/>
        <n x="1337" s="1"/>
        <n x="8"/>
        <n x="7"/>
        <n x="26"/>
      </t>
    </mdx>
    <mdx n="33" f="v">
      <t c="6" si="9">
        <n x="15"/>
        <n x="1337" s="1"/>
        <n x="43"/>
        <n x="7"/>
        <n x="20"/>
        <n x="0"/>
      </t>
    </mdx>
    <mdx n="33" f="v">
      <t c="6" si="10">
        <n x="15"/>
        <n x="1337" s="1"/>
        <n x="36"/>
        <n x="32"/>
        <n x="30"/>
        <n x="1"/>
      </t>
    </mdx>
    <mdx n="33" f="v">
      <t c="6" si="10">
        <n x="15"/>
        <n x="1337" s="1"/>
        <n x="37"/>
        <n x="32"/>
        <n x="27"/>
        <n x="0"/>
      </t>
    </mdx>
    <mdx n="33" f="v">
      <t c="3">
        <n x="1188"/>
        <n x="1336"/>
        <n x="1337" s="1"/>
      </t>
    </mdx>
    <mdx n="33" f="v">
      <t c="4">
        <n x="1259"/>
        <n x="1"/>
        <n x="32"/>
        <n x="1337" s="1"/>
      </t>
    </mdx>
    <mdx n="33" f="v">
      <t c="4" si="10">
        <n x="1214"/>
        <n x="1"/>
        <n x="32"/>
        <n x="1337" s="1"/>
      </t>
    </mdx>
    <mdx n="33" f="v">
      <t c="6" si="9">
        <n x="15"/>
        <n x="1337" s="1"/>
        <n x="43"/>
        <n x="7"/>
        <n x="28"/>
        <n x="1"/>
      </t>
    </mdx>
    <mdx n="33" f="v">
      <t c="6" si="9">
        <n x="15"/>
        <n x="1337" s="1"/>
        <n x="40"/>
        <n x="7"/>
        <n x="31"/>
        <n x="2"/>
      </t>
    </mdx>
    <mdx n="33" f="v">
      <t c="6">
        <n x="15"/>
        <n x="1337" s="1"/>
        <n x="42"/>
        <n x="7"/>
        <n x="28"/>
        <n x="2"/>
      </t>
    </mdx>
    <mdx n="33" f="v">
      <t c="6" si="10">
        <n x="15"/>
        <n x="1337" s="1"/>
        <n x="41"/>
        <n x="32"/>
        <n x="25"/>
        <n x="1"/>
      </t>
    </mdx>
    <mdx n="33" f="v">
      <t c="6" si="10">
        <n x="15"/>
        <n x="1337" s="1"/>
        <n x="44"/>
        <n x="32"/>
        <n x="26"/>
        <n x="1"/>
      </t>
    </mdx>
    <mdx n="33" f="v">
      <t c="6" si="9">
        <n x="15"/>
        <n x="1337" s="1"/>
        <n x="36"/>
        <n x="7"/>
        <n x="29"/>
        <n x="0"/>
      </t>
    </mdx>
    <mdx n="33" f="v">
      <t c="6" si="9">
        <n x="15"/>
        <n x="1337" s="1"/>
        <n x="45"/>
        <n x="7"/>
        <n x="24"/>
        <n x="12"/>
      </t>
    </mdx>
    <mdx n="33" f="v">
      <t c="6" si="9">
        <n x="15"/>
        <n x="1337" s="1"/>
        <n x="36"/>
        <n x="7"/>
        <n x="24"/>
        <n x="3"/>
      </t>
    </mdx>
    <mdx n="33" f="v">
      <t c="6" si="9">
        <n x="15"/>
        <n x="1337" s="1"/>
        <n x="44"/>
        <n x="7"/>
        <n x="17"/>
        <n x="0"/>
      </t>
    </mdx>
    <mdx n="33" f="v">
      <t c="6" si="10">
        <n x="15"/>
        <n x="1337" s="1"/>
        <n x="41"/>
        <n x="32"/>
        <n x="22"/>
        <n x="1"/>
      </t>
    </mdx>
    <mdx n="33" f="v">
      <t c="6" si="9">
        <n x="15"/>
        <n x="1337" s="1"/>
        <n x="43"/>
        <n x="7"/>
        <n x="26"/>
        <n x="0"/>
      </t>
    </mdx>
    <mdx n="33" f="v">
      <t c="4">
        <n x="1323"/>
        <n x="1"/>
        <n x="7"/>
        <n x="1337" s="1"/>
      </t>
    </mdx>
    <mdx n="33" f="v">
      <t c="6" si="10">
        <n x="15"/>
        <n x="1337" s="1"/>
        <n x="40"/>
        <n x="32"/>
        <n x="29"/>
        <n x="0"/>
      </t>
    </mdx>
    <mdx n="33" f="v">
      <t c="6" si="10">
        <n x="15"/>
        <n x="1337" s="1"/>
        <n x="36"/>
        <n x="32"/>
        <n x="18"/>
        <n x="0"/>
      </t>
    </mdx>
    <mdx n="33" f="v">
      <t c="6" si="10">
        <n x="15"/>
        <n x="1337" s="1"/>
        <n x="40"/>
        <n x="32"/>
        <n x="27"/>
        <n x="2"/>
      </t>
    </mdx>
    <mdx n="33" f="v">
      <t c="6" si="10">
        <n x="15"/>
        <n x="1337" s="1"/>
        <n x="44"/>
        <n x="32"/>
        <n x="30"/>
        <n x="1"/>
      </t>
    </mdx>
    <mdx n="33" f="v">
      <t c="6" si="9">
        <n x="15"/>
        <n x="1337" s="1"/>
        <n x="44"/>
        <n x="7"/>
        <n x="23"/>
        <n x="0"/>
      </t>
    </mdx>
    <mdx n="33" f="v">
      <t c="5" si="9">
        <n x="15"/>
        <n x="1337" s="1"/>
        <n x="14"/>
        <n x="7"/>
        <n x="18"/>
      </t>
    </mdx>
    <mdx n="33" f="v">
      <t c="6" si="10">
        <n x="15"/>
        <n x="1337" s="1"/>
        <n x="43"/>
        <n x="32"/>
        <n x="17"/>
        <n x="3"/>
      </t>
    </mdx>
    <mdx n="33" f="v">
      <t c="6" si="9">
        <n x="15"/>
        <n x="1337" s="1"/>
        <n x="41"/>
        <n x="7"/>
        <n x="17"/>
        <n x="0"/>
      </t>
    </mdx>
    <mdx n="33" f="v">
      <t c="4">
        <n x="1239"/>
        <n x="11"/>
        <n x="32"/>
        <n x="1337" s="1"/>
      </t>
    </mdx>
    <mdx n="33" f="v">
      <t c="4">
        <n x="1288"/>
        <n x="11"/>
        <n x="7"/>
        <n x="1337" s="1"/>
      </t>
    </mdx>
    <mdx n="33" f="v">
      <t c="4" si="10">
        <n x="1189"/>
        <n x="14"/>
        <n x="32"/>
        <n x="1337" s="1"/>
      </t>
    </mdx>
    <mdx n="33" f="v">
      <t c="4" si="10">
        <n x="1211"/>
        <n x="1"/>
        <n x="32"/>
        <n x="1337" s="1"/>
      </t>
    </mdx>
    <mdx n="33" f="v">
      <t c="4" si="10">
        <n x="1205"/>
        <n x="1"/>
        <n x="32"/>
        <n x="1337" s="1"/>
      </t>
    </mdx>
    <mdx n="33" f="v">
      <t c="4">
        <n x="1249"/>
        <n x="14"/>
        <n x="32"/>
        <n x="1337" s="1"/>
      </t>
    </mdx>
    <mdx n="33" f="v">
      <t c="4" si="10">
        <n x="1272"/>
        <n x="14"/>
        <n x="32"/>
        <n x="1337" s="1"/>
      </t>
    </mdx>
    <mdx n="33" f="v">
      <t c="6" si="10">
        <n x="15"/>
        <n x="1337" s="1"/>
        <n x="37"/>
        <n x="32"/>
        <n x="28"/>
        <n x="2"/>
      </t>
    </mdx>
    <mdx n="33" f="v">
      <t c="5" si="10">
        <n x="15"/>
        <n x="1337" s="1"/>
        <n x="14"/>
        <n x="32"/>
        <n x="20"/>
      </t>
    </mdx>
    <mdx n="33" f="v">
      <t c="4">
        <n x="1237"/>
        <n x="1"/>
        <n x="32"/>
        <n x="1337" s="1"/>
      </t>
    </mdx>
    <mdx n="33" f="v">
      <t c="5" si="10">
        <n x="15"/>
        <n x="1337" s="1"/>
        <n x="8"/>
        <n x="32"/>
        <n x="28"/>
      </t>
    </mdx>
    <mdx n="33" f="v">
      <t c="6" si="9">
        <n x="15"/>
        <n x="1337" s="1"/>
        <n x="45"/>
        <n x="7"/>
        <n x="17"/>
        <n x="12"/>
      </t>
    </mdx>
    <mdx n="33" f="v">
      <t c="4">
        <n x="1308"/>
        <n x="11"/>
        <n x="32"/>
        <n x="1337" s="1"/>
      </t>
    </mdx>
    <mdx n="33" f="v">
      <t c="6" si="9">
        <n x="15"/>
        <n x="1337" s="1"/>
        <n x="37"/>
        <n x="7"/>
        <n x="31"/>
        <n x="1"/>
      </t>
    </mdx>
    <mdx n="33" f="v">
      <t c="6">
        <n x="15"/>
        <n x="1337" s="1"/>
        <n x="43"/>
        <n x="7"/>
        <n x="21"/>
        <n x="3"/>
      </t>
    </mdx>
    <mdx n="33" f="v">
      <t c="6" si="9">
        <n x="15"/>
        <n x="1337" s="1"/>
        <n x="37"/>
        <n x="7"/>
        <n x="17"/>
        <n x="1"/>
      </t>
    </mdx>
    <mdx n="33" f="v">
      <t c="5" si="10">
        <n x="15"/>
        <n x="1337" s="1"/>
        <n x="8"/>
        <n x="32"/>
        <n x="31"/>
      </t>
    </mdx>
    <mdx n="33" f="v">
      <t c="6">
        <n x="15"/>
        <n x="1337" s="1"/>
        <n x="36"/>
        <n x="7"/>
        <n x="26"/>
        <n x="3"/>
      </t>
    </mdx>
    <mdx n="33" f="v">
      <t c="6" si="10">
        <n x="15"/>
        <n x="1337" s="1"/>
        <n x="44"/>
        <n x="32"/>
        <n x="27"/>
        <n x="0"/>
      </t>
    </mdx>
    <mdx n="33" f="v">
      <t c="4">
        <n x="1258"/>
        <n x="1"/>
        <n x="7"/>
        <n x="1337" s="1"/>
      </t>
    </mdx>
    <mdx n="33" f="v">
      <t c="6" si="9">
        <n x="15"/>
        <n x="1337" s="1"/>
        <n x="39"/>
        <n x="7"/>
        <n x="23"/>
        <n x="1"/>
      </t>
    </mdx>
    <mdx n="33" f="v">
      <t c="6">
        <n x="15"/>
        <n x="1337" s="1"/>
        <n x="41"/>
        <n x="7"/>
        <n x="20"/>
        <n x="0"/>
      </t>
    </mdx>
    <mdx n="33" f="v">
      <t c="6" si="9">
        <n x="15"/>
        <n x="1337" s="1"/>
        <n x="39"/>
        <n x="7"/>
        <n x="25"/>
        <n x="1"/>
      </t>
    </mdx>
    <mdx n="33" f="v">
      <t c="6" si="10">
        <n x="15"/>
        <n x="1337" s="1"/>
        <n x="36"/>
        <n x="32"/>
        <n x="6"/>
        <n x="1"/>
      </t>
    </mdx>
    <mdx n="33" f="v">
      <t c="4">
        <n x="68"/>
        <n x="1"/>
        <n x="7"/>
        <n x="1337" s="1"/>
      </t>
    </mdx>
    <mdx n="33" f="v">
      <t c="3">
        <n x="1278"/>
        <n x="1336"/>
        <n x="1337" s="1"/>
      </t>
    </mdx>
    <mdx n="33" f="v">
      <t c="6" si="9">
        <n x="15"/>
        <n x="1337" s="1"/>
        <n x="39"/>
        <n x="7"/>
        <n x="18"/>
        <n x="2"/>
      </t>
    </mdx>
    <mdx n="33" f="v">
      <t c="6" si="10">
        <n x="15"/>
        <n x="1337" s="1"/>
        <n x="43"/>
        <n x="32"/>
        <n x="30"/>
        <n x="0"/>
      </t>
    </mdx>
    <mdx n="33" f="v">
      <t c="6" si="9">
        <n x="15"/>
        <n x="1337" s="1"/>
        <n x="40"/>
        <n x="7"/>
        <n x="16"/>
        <n x="0"/>
      </t>
    </mdx>
    <mdx n="33" f="v">
      <t c="3">
        <n x="1259"/>
        <n x="1336"/>
        <n x="1337" s="1"/>
      </t>
    </mdx>
    <mdx n="33" f="v">
      <t c="6" si="9">
        <n x="15"/>
        <n x="1337" s="1"/>
        <n x="40"/>
        <n x="7"/>
        <n x="27"/>
        <n x="0"/>
      </t>
    </mdx>
    <mdx n="33" f="v">
      <t c="6" si="10">
        <n x="15"/>
        <n x="1337" s="1"/>
        <n x="36"/>
        <n x="32"/>
        <n x="27"/>
        <n x="1"/>
      </t>
    </mdx>
    <mdx n="33" f="v">
      <t c="6" si="10">
        <n x="15"/>
        <n x="1337" s="1"/>
        <n x="40"/>
        <n x="32"/>
        <n x="16"/>
        <n x="2"/>
      </t>
    </mdx>
    <mdx n="33" f="v">
      <t c="6" si="10">
        <n x="15"/>
        <n x="1337" s="1"/>
        <n x="40"/>
        <n x="32"/>
        <n x="30"/>
        <n x="1"/>
      </t>
    </mdx>
    <mdx n="33" f="v">
      <t c="6" si="9">
        <n x="15"/>
        <n x="1337" s="1"/>
        <n x="44"/>
        <n x="7"/>
        <n x="26"/>
        <n x="1"/>
      </t>
    </mdx>
    <mdx n="33" f="v">
      <t c="6" si="10">
        <n x="15"/>
        <n x="1337" s="1"/>
        <n x="45"/>
        <n x="32"/>
        <n x="16"/>
        <n x="12"/>
      </t>
    </mdx>
    <mdx n="33" f="v">
      <t c="6" si="9">
        <n x="15"/>
        <n x="1337" s="1"/>
        <n x="35"/>
        <n x="7"/>
        <n x="30"/>
        <n x="12"/>
      </t>
    </mdx>
    <mdx n="33" f="v">
      <t c="6" si="9">
        <n x="15"/>
        <n x="1337" s="1"/>
        <n x="44"/>
        <n x="7"/>
        <n x="18"/>
        <n x="0"/>
      </t>
    </mdx>
    <mdx n="33" f="v">
      <t c="6" si="9">
        <n x="15"/>
        <n x="1337" s="1"/>
        <n x="37"/>
        <n x="7"/>
        <n x="6"/>
        <n x="0"/>
      </t>
    </mdx>
    <mdx n="33" f="v">
      <t c="4">
        <n x="110"/>
        <n x="0"/>
        <n x="32"/>
        <n x="1337" s="1"/>
      </t>
    </mdx>
    <mdx n="33" f="v">
      <t c="6">
        <n x="15"/>
        <n x="1337" s="1"/>
        <n x="41"/>
        <n x="32"/>
        <n x="23"/>
        <n x="3"/>
      </t>
    </mdx>
    <mdx n="33" f="v">
      <t c="6" si="9">
        <n x="15"/>
        <n x="1337" s="1"/>
        <n x="47"/>
        <n x="7"/>
        <n x="18"/>
        <n x="12"/>
      </t>
    </mdx>
    <mdx n="33" f="v">
      <t c="6" si="10">
        <n x="15"/>
        <n x="1337" s="1"/>
        <n x="34"/>
        <n x="32"/>
        <n x="31"/>
        <n x="12"/>
      </t>
    </mdx>
    <mdx n="33" f="v">
      <t c="4">
        <n x="1269"/>
        <n x="14"/>
        <n x="7"/>
        <n x="1337" s="1"/>
      </t>
    </mdx>
    <mdx n="33" f="v">
      <t c="4">
        <n x="1271"/>
        <n x="11"/>
        <n x="32"/>
        <n x="1337" s="1"/>
      </t>
    </mdx>
    <mdx n="33" f="v">
      <t c="4">
        <n x="1297"/>
        <n x="1"/>
        <n x="7"/>
        <n x="1337" s="1"/>
      </t>
    </mdx>
    <mdx n="33" f="v">
      <t c="3">
        <n x="1285"/>
        <n x="1336"/>
        <n x="1337" s="1"/>
      </t>
    </mdx>
    <mdx n="33" f="v">
      <t c="6" si="10">
        <n x="15"/>
        <n x="1337" s="1"/>
        <n x="42"/>
        <n x="32"/>
        <n x="21"/>
        <n x="1"/>
      </t>
    </mdx>
    <mdx n="33" f="v">
      <t c="6">
        <n x="15"/>
        <n x="1337" s="1"/>
        <n x="43"/>
        <n x="7"/>
        <n x="28"/>
        <n x="2"/>
      </t>
    </mdx>
    <mdx n="33" f="v">
      <t c="6" si="10">
        <n x="15"/>
        <n x="1337" s="1"/>
        <n x="44"/>
        <n x="32"/>
        <n x="16"/>
        <n x="3"/>
      </t>
    </mdx>
    <mdx n="33" f="v">
      <t c="3">
        <n x="1307"/>
        <n x="1336"/>
        <n x="1337" s="1"/>
      </t>
    </mdx>
    <mdx n="33" f="v">
      <t c="3">
        <n x="1288"/>
        <n x="1336"/>
        <n x="1337" s="1"/>
      </t>
    </mdx>
    <mdx n="33" f="v">
      <t c="6">
        <n x="15"/>
        <n x="1337" s="1"/>
        <n x="40"/>
        <n x="32"/>
        <n x="21"/>
        <n x="3"/>
      </t>
    </mdx>
    <mdx n="33" f="v">
      <t c="4" si="10">
        <n x="1225"/>
        <n x="1"/>
        <n x="32"/>
        <n x="1337" s="1"/>
      </t>
    </mdx>
    <mdx n="33" f="v">
      <t c="6" si="9">
        <n x="15"/>
        <n x="1337" s="1"/>
        <n x="42"/>
        <n x="7"/>
        <n x="27"/>
        <n x="0"/>
      </t>
    </mdx>
    <mdx n="33" f="v">
      <t c="6" si="10">
        <n x="15"/>
        <n x="1337" s="1"/>
        <n x="38"/>
        <n x="32"/>
        <n x="27"/>
        <n x="0"/>
      </t>
    </mdx>
    <mdx n="33" f="v">
      <t c="4" si="10">
        <n x="1322"/>
        <n x="1"/>
        <n x="32"/>
        <n x="1337" s="1"/>
      </t>
    </mdx>
    <mdx n="33" f="v">
      <t c="6" si="10">
        <n x="15"/>
        <n x="1337" s="1"/>
        <n x="37"/>
        <n x="32"/>
        <n x="25"/>
        <n x="2"/>
      </t>
    </mdx>
    <mdx n="33" f="v">
      <t c="6">
        <n x="15"/>
        <n x="1337" s="1"/>
        <n x="42"/>
        <n x="7"/>
        <n x="24"/>
        <n x="2"/>
      </t>
    </mdx>
    <mdx n="33" f="v">
      <t c="3">
        <n x="1284"/>
        <n x="1336"/>
        <n x="1337" s="1"/>
      </t>
    </mdx>
    <mdx n="33" f="v">
      <t c="6" si="9">
        <n x="15"/>
        <n x="1337" s="1"/>
        <n x="46"/>
        <n x="7"/>
        <n x="26"/>
        <n x="12"/>
      </t>
    </mdx>
    <mdx n="33" f="v">
      <t c="4" si="10">
        <n x="1307"/>
        <n x="1"/>
        <n x="32"/>
        <n x="1337" s="1"/>
      </t>
    </mdx>
    <mdx n="33" f="v">
      <t c="6" si="9">
        <n x="15"/>
        <n x="1337" s="1"/>
        <n x="39"/>
        <n x="7"/>
        <n x="26"/>
        <n x="3"/>
      </t>
    </mdx>
    <mdx n="33" f="v">
      <t c="6">
        <n x="15"/>
        <n x="1337" s="1"/>
        <n x="39"/>
        <n x="32"/>
        <n x="22"/>
        <n x="2"/>
      </t>
    </mdx>
    <mdx n="33" f="v">
      <t c="6" si="9">
        <n x="15"/>
        <n x="1337" s="1"/>
        <n x="37"/>
        <n x="7"/>
        <n x="23"/>
        <n x="2"/>
      </t>
    </mdx>
    <mdx n="33" f="v">
      <t c="4">
        <n x="1208"/>
        <n x="14"/>
        <n x="32"/>
        <n x="1337" s="1"/>
      </t>
    </mdx>
    <mdx n="33" f="v">
      <t c="6" si="9">
        <n x="15"/>
        <n x="1337" s="1"/>
        <n x="43"/>
        <n x="7"/>
        <n x="17"/>
        <n x="1"/>
      </t>
    </mdx>
    <mdx n="33" f="v">
      <t c="6" si="10">
        <n x="15"/>
        <n x="1337" s="1"/>
        <n x="44"/>
        <n x="32"/>
        <n x="6"/>
        <n x="2"/>
      </t>
    </mdx>
    <mdx n="33" f="v">
      <t c="4">
        <n x="84"/>
        <n x="1"/>
        <n x="7"/>
        <n x="1337" s="1"/>
      </t>
    </mdx>
    <mdx n="33" f="v">
      <t c="5" si="9">
        <n x="15"/>
        <n x="1337" s="1"/>
        <n x="13"/>
        <n x="7"/>
        <n x="26"/>
      </t>
    </mdx>
    <mdx n="33" f="v">
      <t c="6" si="9">
        <n x="15"/>
        <n x="1337" s="1"/>
        <n x="42"/>
        <n x="7"/>
        <n x="28"/>
        <n x="0"/>
      </t>
    </mdx>
    <mdx n="33" f="v">
      <t c="3">
        <n x="1295"/>
        <n x="1336"/>
        <n x="1337" s="1"/>
      </t>
    </mdx>
    <mdx n="33" f="v">
      <t c="4">
        <n x="1226"/>
        <n x="11"/>
        <n x="32"/>
        <n x="1337" s="1"/>
      </t>
    </mdx>
    <mdx n="33" f="v">
      <t c="3">
        <n x="1184"/>
        <n x="1336"/>
        <n x="1337" s="1"/>
      </t>
    </mdx>
    <mdx n="33" f="v">
      <t c="4" si="10">
        <n x="1315"/>
        <n x="1"/>
        <n x="32"/>
        <n x="1337" s="1"/>
      </t>
    </mdx>
    <mdx n="33" f="v">
      <t c="4">
        <n x="1192"/>
        <n x="1"/>
        <n x="32"/>
        <n x="1337" s="1"/>
      </t>
    </mdx>
    <mdx n="33" f="v">
      <t c="6" si="10">
        <n x="15"/>
        <n x="1337" s="1"/>
        <n x="40"/>
        <n x="32"/>
        <n x="21"/>
        <n x="0"/>
      </t>
    </mdx>
    <mdx n="33" f="v">
      <t c="4" si="10">
        <n x="1209"/>
        <n x="1"/>
        <n x="32"/>
        <n x="1337" s="1"/>
      </t>
    </mdx>
    <mdx n="33" f="v">
      <t c="6">
        <n x="15"/>
        <n x="1337" s="1"/>
        <n x="41"/>
        <n x="7"/>
        <n x="21"/>
        <n x="2"/>
      </t>
    </mdx>
    <mdx n="33" f="v">
      <t c="3">
        <n x="1264"/>
        <n x="1336"/>
        <n x="1337" s="1"/>
      </t>
    </mdx>
    <mdx n="33" f="v">
      <t c="6" si="9">
        <n x="15"/>
        <n x="1337" s="1"/>
        <n x="40"/>
        <n x="7"/>
        <n x="29"/>
        <n x="1"/>
      </t>
    </mdx>
    <mdx n="33" f="v">
      <t c="6" si="9">
        <n x="15"/>
        <n x="1337" s="1"/>
        <n x="36"/>
        <n x="7"/>
        <n x="28"/>
        <n x="0"/>
      </t>
    </mdx>
    <mdx n="33" f="v">
      <t c="4" si="10">
        <n x="1274"/>
        <n x="1"/>
        <n x="32"/>
        <n x="1337" s="1"/>
      </t>
    </mdx>
    <mdx n="33" f="v">
      <t c="6" si="10">
        <n x="15"/>
        <n x="1337" s="1"/>
        <n x="42"/>
        <n x="32"/>
        <n x="28"/>
        <n x="1"/>
      </t>
    </mdx>
    <mdx n="33" f="v">
      <t c="6" si="10">
        <n x="15"/>
        <n x="1337" s="1"/>
        <n x="41"/>
        <n x="32"/>
        <n x="31"/>
        <n x="0"/>
      </t>
    </mdx>
    <mdx n="33" f="v">
      <t c="6">
        <n x="15"/>
        <n x="1337" s="1"/>
        <n x="37"/>
        <n x="7"/>
        <n x="21"/>
        <n x="3"/>
      </t>
    </mdx>
    <mdx n="33" f="v">
      <t c="6" si="10">
        <n x="15"/>
        <n x="1337" s="1"/>
        <n x="37"/>
        <n x="32"/>
        <n x="25"/>
        <n x="1"/>
      </t>
    </mdx>
    <mdx n="33" f="v">
      <t c="6" si="10">
        <n x="15"/>
        <n x="1337" s="1"/>
        <n x="42"/>
        <n x="32"/>
        <n x="26"/>
        <n x="0"/>
      </t>
    </mdx>
    <mdx n="33" f="v">
      <t c="3">
        <n x="1193"/>
        <n x="1336"/>
        <n x="1337" s="1"/>
      </t>
    </mdx>
    <mdx n="33" f="v">
      <t c="6">
        <n x="15"/>
        <n x="1337" s="1"/>
        <n x="39"/>
        <n x="7"/>
        <n x="22"/>
        <n x="3"/>
      </t>
    </mdx>
    <mdx n="33" f="v">
      <t c="6" si="9">
        <n x="15"/>
        <n x="1337" s="1"/>
        <n x="42"/>
        <n x="7"/>
        <n x="24"/>
        <n x="1"/>
      </t>
    </mdx>
    <mdx n="33" f="v">
      <t c="4">
        <n x="1181"/>
        <n x="1"/>
        <n x="32"/>
        <n x="1337" s="1"/>
      </t>
    </mdx>
    <mdx n="33" f="v">
      <t c="6" si="9">
        <n x="15"/>
        <n x="1337" s="1"/>
        <n x="42"/>
        <n x="7"/>
        <n x="30"/>
        <n x="0"/>
      </t>
    </mdx>
    <mdx n="33" f="v">
      <t c="4" si="10">
        <n x="1266"/>
        <n x="1"/>
        <n x="32"/>
        <n x="1337" s="1"/>
      </t>
    </mdx>
    <mdx n="33" f="v">
      <t c="6" si="9">
        <n x="15"/>
        <n x="1337" s="1"/>
        <n x="40"/>
        <n x="7"/>
        <n x="22"/>
        <n x="0"/>
      </t>
    </mdx>
    <mdx n="33" f="v">
      <t c="6" si="9">
        <n x="15"/>
        <n x="1337" s="1"/>
        <n x="37"/>
        <n x="7"/>
        <n x="21"/>
        <n x="0"/>
      </t>
    </mdx>
    <mdx n="33" f="v">
      <t c="6">
        <n x="15"/>
        <n x="1337" s="1"/>
        <n x="42"/>
        <n x="7"/>
        <n x="22"/>
        <n x="2"/>
      </t>
    </mdx>
    <mdx n="33" f="v">
      <t c="6" si="9">
        <n x="15"/>
        <n x="1337" s="1"/>
        <n x="36"/>
        <n x="7"/>
        <n x="27"/>
        <n x="1"/>
      </t>
    </mdx>
    <mdx n="33" f="v">
      <t c="6" si="10">
        <n x="15"/>
        <n x="1337" s="1"/>
        <n x="37"/>
        <n x="32"/>
        <n x="26"/>
        <n x="0"/>
      </t>
    </mdx>
    <mdx n="33" f="v">
      <t c="3">
        <n x="1161"/>
        <n x="1336"/>
        <n x="1337" s="1"/>
      </t>
    </mdx>
    <mdx n="33" f="v">
      <t c="6">
        <n x="15"/>
        <n x="1337" s="1"/>
        <n x="42"/>
        <n x="7"/>
        <n x="30"/>
        <n x="2"/>
      </t>
    </mdx>
    <mdx n="33" f="v">
      <t c="6" si="10">
        <n x="15"/>
        <n x="1337" s="1"/>
        <n x="41"/>
        <n x="32"/>
        <n x="27"/>
        <n x="1"/>
      </t>
    </mdx>
    <mdx n="33" f="v">
      <t c="4">
        <n x="1194"/>
        <n x="1"/>
        <n x="32"/>
        <n x="1337" s="1"/>
      </t>
    </mdx>
    <mdx n="33" f="v">
      <t c="6" si="9">
        <n x="15"/>
        <n x="1337" s="1"/>
        <n x="44"/>
        <n x="7"/>
        <n x="21"/>
        <n x="0"/>
      </t>
    </mdx>
    <mdx n="33" f="v">
      <t c="4">
        <n x="1268"/>
        <n x="1"/>
        <n x="32"/>
        <n x="1337" s="1"/>
      </t>
    </mdx>
    <mdx n="33" f="v">
      <t c="6">
        <n x="15"/>
        <n x="1337" s="1"/>
        <n x="41"/>
        <n x="7"/>
        <n x="31"/>
        <n x="1"/>
      </t>
    </mdx>
    <mdx n="33" f="v">
      <t c="5" si="9">
        <n x="15"/>
        <n x="1337" s="1"/>
        <n x="14"/>
        <n x="7"/>
        <n x="21"/>
      </t>
    </mdx>
    <mdx n="33" f="v">
      <t c="6" si="10">
        <n x="15"/>
        <n x="1337" s="1"/>
        <n x="36"/>
        <n x="32"/>
        <n x="31"/>
        <n x="0"/>
      </t>
    </mdx>
    <mdx n="33" f="v">
      <t c="6" si="10">
        <n x="15"/>
        <n x="1337" s="1"/>
        <n x="36"/>
        <n x="32"/>
        <n x="25"/>
        <n x="2"/>
      </t>
    </mdx>
    <mdx n="33" f="v">
      <t c="6" si="10">
        <n x="15"/>
        <n x="1337" s="1"/>
        <n x="43"/>
        <n x="32"/>
        <n x="20"/>
        <n x="0"/>
      </t>
    </mdx>
    <mdx n="33" f="v">
      <t c="6" si="10">
        <n x="15"/>
        <n x="1337" s="1"/>
        <n x="36"/>
        <n x="32"/>
        <n x="22"/>
        <n x="1"/>
      </t>
    </mdx>
    <mdx n="33" f="v">
      <t c="6" si="9">
        <n x="15"/>
        <n x="1337" s="1"/>
        <n x="42"/>
        <n x="7"/>
        <n x="24"/>
        <n x="0"/>
      </t>
    </mdx>
    <mdx n="33" f="v">
      <t c="6" si="10">
        <n x="15"/>
        <n x="1337" s="1"/>
        <n x="34"/>
        <n x="32"/>
        <n x="24"/>
        <n x="12"/>
      </t>
    </mdx>
    <mdx n="33" f="v">
      <t c="4" si="10">
        <n x="1164"/>
        <n x="1"/>
        <n x="32"/>
        <n x="1337" s="1"/>
      </t>
    </mdx>
    <mdx n="33" f="v">
      <t c="6">
        <n x="15"/>
        <n x="1337" s="1"/>
        <n x="41"/>
        <n x="7"/>
        <n x="21"/>
        <n x="3"/>
      </t>
    </mdx>
    <mdx n="33" f="v">
      <t c="6">
        <n x="15"/>
        <n x="1337" s="1"/>
        <n x="38"/>
        <n x="7"/>
        <n x="26"/>
        <n x="1"/>
      </t>
    </mdx>
    <mdx n="33" f="v">
      <t c="4">
        <n x="1184"/>
        <n x="1"/>
        <n x="32"/>
        <n x="1337" s="1"/>
      </t>
    </mdx>
    <mdx n="33" f="v">
      <t c="4">
        <n x="1268"/>
        <n x="11"/>
        <n x="32"/>
        <n x="1337" s="1"/>
      </t>
    </mdx>
    <mdx n="33" f="v">
      <t c="3">
        <n x="1266"/>
        <n x="1336"/>
        <n x="1337" s="1"/>
      </t>
    </mdx>
    <mdx n="33" f="v">
      <t c="6" si="10">
        <n x="15"/>
        <n x="1337" s="1"/>
        <n x="43"/>
        <n x="32"/>
        <n x="26"/>
        <n x="3"/>
      </t>
    </mdx>
    <mdx n="33" f="v">
      <t c="6" si="10">
        <n x="15"/>
        <n x="1337" s="1"/>
        <n x="38"/>
        <n x="32"/>
        <n x="30"/>
        <n x="1"/>
      </t>
    </mdx>
    <mdx n="33" f="v">
      <t c="6" si="9">
        <n x="15"/>
        <n x="1337" s="1"/>
        <n x="36"/>
        <n x="7"/>
        <n x="26"/>
        <n x="2"/>
      </t>
    </mdx>
    <mdx n="33" f="v">
      <t c="6" si="10">
        <n x="15"/>
        <n x="1337" s="1"/>
        <n x="36"/>
        <n x="32"/>
        <n x="18"/>
        <n x="2"/>
      </t>
    </mdx>
    <mdx n="33" f="v">
      <t c="6">
        <n x="15"/>
        <n x="1337" s="1"/>
        <n x="41"/>
        <n x="7"/>
        <n x="29"/>
        <n x="2"/>
      </t>
    </mdx>
    <mdx n="33" f="v">
      <t c="6">
        <n x="15"/>
        <n x="1337" s="1"/>
        <n x="37"/>
        <n x="7"/>
        <n x="17"/>
        <n x="3"/>
      </t>
    </mdx>
    <mdx n="33" f="v">
      <t c="4" si="10">
        <n x="1242"/>
        <n x="14"/>
        <n x="32"/>
        <n x="1337" s="1"/>
      </t>
    </mdx>
    <mdx n="33" f="v">
      <t c="4">
        <n x="1174"/>
        <n x="11"/>
        <n x="7"/>
        <n x="1337" s="1"/>
      </t>
    </mdx>
    <mdx n="33" f="v">
      <t c="4" si="10">
        <n x="1287"/>
        <n x="14"/>
        <n x="32"/>
        <n x="1337" s="1"/>
      </t>
    </mdx>
    <mdx n="33" f="v">
      <t c="6">
        <n x="15"/>
        <n x="1337" s="1"/>
        <n x="41"/>
        <n x="7"/>
        <n x="22"/>
        <n x="2"/>
      </t>
    </mdx>
    <mdx n="33" f="v">
      <t c="6" si="9">
        <n x="15"/>
        <n x="1337" s="1"/>
        <n x="42"/>
        <n x="7"/>
        <n x="31"/>
        <n x="1"/>
      </t>
    </mdx>
    <mdx n="33" f="v">
      <t c="4" si="10">
        <n x="1318"/>
        <n x="1"/>
        <n x="32"/>
        <n x="1337" s="1"/>
      </t>
    </mdx>
    <mdx n="33" f="v">
      <t c="4">
        <n x="1152"/>
        <n x="1"/>
        <n x="32"/>
        <n x="1337" s="1"/>
      </t>
    </mdx>
    <mdx n="33" f="v">
      <t c="4">
        <n x="1198"/>
        <n x="11"/>
        <n x="7"/>
        <n x="1337" s="1"/>
      </t>
    </mdx>
    <mdx n="33" f="v">
      <t c="4">
        <n x="1236"/>
        <n x="1"/>
        <n x="32"/>
        <n x="1337" s="1"/>
      </t>
    </mdx>
    <mdx n="33" f="v">
      <t c="6" si="10">
        <n x="15"/>
        <n x="1337" s="1"/>
        <n x="35"/>
        <n x="32"/>
        <n x="30"/>
        <n x="12"/>
      </t>
    </mdx>
    <mdx n="33" f="v">
      <t c="6" si="10">
        <n x="15"/>
        <n x="1337" s="1"/>
        <n x="40"/>
        <n x="32"/>
        <n x="30"/>
        <n x="0"/>
      </t>
    </mdx>
    <mdx n="33" f="v">
      <t c="6" si="9">
        <n x="15"/>
        <n x="1337" s="1"/>
        <n x="44"/>
        <n x="7"/>
        <n x="29"/>
        <n x="1"/>
      </t>
    </mdx>
    <mdx n="33" f="v">
      <t c="6" si="10">
        <n x="15"/>
        <n x="1337" s="1"/>
        <n x="47"/>
        <n x="32"/>
        <n x="28"/>
        <n x="12"/>
      </t>
    </mdx>
    <mdx n="33" f="v">
      <t c="6">
        <n x="15"/>
        <n x="1337" s="1"/>
        <n x="39"/>
        <n x="7"/>
        <n x="21"/>
        <n x="3"/>
      </t>
    </mdx>
    <mdx n="33" f="v">
      <t c="6">
        <n x="15"/>
        <n x="1337" s="1"/>
        <n x="38"/>
        <n x="7"/>
        <n x="24"/>
        <n x="1"/>
      </t>
    </mdx>
    <mdx n="33" f="v">
      <t c="3">
        <n x="1249"/>
        <n x="1336"/>
        <n x="1337" s="1"/>
      </t>
    </mdx>
    <mdx n="33" f="v">
      <t c="6" si="9">
        <n x="15"/>
        <n x="1337" s="1"/>
        <n x="45"/>
        <n x="7"/>
        <n x="26"/>
        <n x="12"/>
      </t>
    </mdx>
    <mdx n="33" f="v">
      <t c="4">
        <n x="1238"/>
        <n x="11"/>
        <n x="32"/>
        <n x="1337" s="1"/>
      </t>
    </mdx>
    <mdx n="33" f="v">
      <t c="6" si="10">
        <n x="15"/>
        <n x="1337" s="1"/>
        <n x="44"/>
        <n x="32"/>
        <n x="21"/>
        <n x="0"/>
      </t>
    </mdx>
    <mdx n="33" f="v">
      <t c="6" si="10">
        <n x="15"/>
        <n x="1337" s="1"/>
        <n x="37"/>
        <n x="32"/>
        <n x="27"/>
        <n x="3"/>
      </t>
    </mdx>
    <mdx n="33" f="v">
      <t c="6" si="10">
        <n x="15"/>
        <n x="1337" s="1"/>
        <n x="42"/>
        <n x="32"/>
        <n x="22"/>
        <n x="1"/>
      </t>
    </mdx>
    <mdx n="33" f="v">
      <t c="6">
        <n x="15"/>
        <n x="1337" s="1"/>
        <n x="38"/>
        <n x="7"/>
        <n x="23"/>
        <n x="3"/>
      </t>
    </mdx>
    <mdx n="33" f="v">
      <t c="6">
        <n x="15"/>
        <n x="1337" s="1"/>
        <n x="41"/>
        <n x="32"/>
        <n x="17"/>
        <n x="2"/>
      </t>
    </mdx>
    <mdx n="33" f="v">
      <t c="6" si="10">
        <n x="15"/>
        <n x="1337" s="1"/>
        <n x="39"/>
        <n x="32"/>
        <n x="16"/>
        <n x="2"/>
      </t>
    </mdx>
    <mdx n="33" f="v">
      <t c="6" si="10">
        <n x="15"/>
        <n x="1337" s="1"/>
        <n x="42"/>
        <n x="32"/>
        <n x="6"/>
        <n x="2"/>
      </t>
    </mdx>
    <mdx n="33" f="v">
      <t c="4">
        <n x="81"/>
        <n x="14"/>
        <n x="32"/>
        <n x="1337" s="1"/>
      </t>
    </mdx>
    <mdx n="33" f="v">
      <t c="6" si="10">
        <n x="15"/>
        <n x="1337" s="1"/>
        <n x="38"/>
        <n x="32"/>
        <n x="31"/>
        <n x="0"/>
      </t>
    </mdx>
    <mdx n="33" f="v">
      <t c="5" si="10">
        <n x="15"/>
        <n x="1337" s="1"/>
        <n x="35"/>
        <n x="32"/>
        <n x="12"/>
      </t>
    </mdx>
    <mdx n="33" f="v">
      <t c="6" si="9">
        <n x="15"/>
        <n x="1337" s="1"/>
        <n x="40"/>
        <n x="7"/>
        <n x="25"/>
        <n x="0"/>
      </t>
    </mdx>
    <mdx n="33" f="v">
      <t c="4">
        <n x="1253"/>
        <n x="11"/>
        <n x="32"/>
        <n x="1337" s="1"/>
      </t>
    </mdx>
    <mdx n="33" f="v">
      <t c="6" si="10">
        <n x="15"/>
        <n x="1337" s="1"/>
        <n x="38"/>
        <n x="32"/>
        <n x="28"/>
        <n x="0"/>
      </t>
    </mdx>
    <mdx n="33" f="v">
      <t c="6" si="10">
        <n x="15"/>
        <n x="1337" s="1"/>
        <n x="39"/>
        <n x="32"/>
        <n x="26"/>
        <n x="3"/>
      </t>
    </mdx>
    <mdx n="33" f="v">
      <t c="6" si="10">
        <n x="15"/>
        <n x="1337" s="1"/>
        <n x="39"/>
        <n x="32"/>
        <n x="27"/>
        <n x="2"/>
      </t>
    </mdx>
    <mdx n="33" f="v">
      <t c="6" si="10">
        <n x="15"/>
        <n x="1337" s="1"/>
        <n x="44"/>
        <n x="32"/>
        <n x="17"/>
        <n x="0"/>
      </t>
    </mdx>
    <mdx n="33" f="v">
      <t c="6">
        <n x="15"/>
        <n x="1337" s="1"/>
        <n x="41"/>
        <n x="32"/>
        <n x="29"/>
        <n x="3"/>
      </t>
    </mdx>
    <mdx n="33" f="v">
      <t c="6" si="9">
        <n x="15"/>
        <n x="1337" s="1"/>
        <n x="40"/>
        <n x="7"/>
        <n x="23"/>
        <n x="2"/>
      </t>
    </mdx>
    <mdx n="33" f="v">
      <t c="6" si="10">
        <n x="15"/>
        <n x="1337" s="1"/>
        <n x="36"/>
        <n x="32"/>
        <n x="16"/>
        <n x="1"/>
      </t>
    </mdx>
    <mdx n="33" f="v">
      <t c="6" si="9">
        <n x="15"/>
        <n x="1337" s="1"/>
        <n x="44"/>
        <n x="7"/>
        <n x="25"/>
        <n x="2"/>
      </t>
    </mdx>
    <mdx n="33" f="v">
      <t c="6" si="10">
        <n x="15"/>
        <n x="1337" s="1"/>
        <n x="36"/>
        <n x="32"/>
        <n x="4"/>
        <n x="0"/>
      </t>
    </mdx>
    <mdx n="33" f="v">
      <t c="4">
        <n x="60"/>
        <n x="0"/>
        <n x="32"/>
        <n x="1337" s="1"/>
      </t>
    </mdx>
    <mdx n="33" f="v">
      <t c="4">
        <n x="141"/>
        <n x="12"/>
        <n x="7"/>
        <n x="1337" s="1"/>
      </t>
    </mdx>
    <mdx n="33" f="v">
      <t c="6" si="10">
        <n x="15"/>
        <n x="1337" s="1"/>
        <n x="45"/>
        <n x="32"/>
        <n x="18"/>
        <n x="12"/>
      </t>
    </mdx>
    <mdx n="33" f="v">
      <t c="5" si="9">
        <n x="15"/>
        <n x="1337" s="1"/>
        <n x="41"/>
        <n x="7"/>
        <n x="0"/>
      </t>
    </mdx>
    <mdx n="33" f="v">
      <t c="6" si="9">
        <n x="15"/>
        <n x="1337" s="1"/>
        <n x="36"/>
        <n x="7"/>
        <n x="25"/>
        <n x="2"/>
      </t>
    </mdx>
    <mdx n="33" f="v">
      <t c="4" si="9">
        <n x="1311"/>
        <n x="14"/>
        <n x="7"/>
        <n x="1337" s="1"/>
      </t>
    </mdx>
    <mdx n="33" f="v">
      <t c="4">
        <n x="1273"/>
        <n x="11"/>
        <n x="32"/>
        <n x="1337" s="1"/>
      </t>
    </mdx>
    <mdx n="33" f="v">
      <t c="4" si="10">
        <n x="1292"/>
        <n x="14"/>
        <n x="32"/>
        <n x="1337" s="1"/>
      </t>
    </mdx>
    <mdx n="33" f="v">
      <t c="3">
        <n x="1224"/>
        <n x="1336"/>
        <n x="1337" s="1"/>
      </t>
    </mdx>
    <mdx n="33" f="v">
      <t c="4">
        <n x="1218"/>
        <n x="1"/>
        <n x="7"/>
        <n x="1337" s="1"/>
      </t>
    </mdx>
    <mdx n="33" f="v">
      <t c="3">
        <n x="1265"/>
        <n x="1336"/>
        <n x="1337" s="1"/>
      </t>
    </mdx>
    <mdx n="33" f="v">
      <t c="4">
        <n x="1288"/>
        <n x="11"/>
        <n x="32"/>
        <n x="1337" s="1"/>
      </t>
    </mdx>
    <mdx n="33" f="v">
      <t c="6" si="10">
        <n x="15"/>
        <n x="1337" s="1"/>
        <n x="38"/>
        <n x="32"/>
        <n x="31"/>
        <n x="3"/>
      </t>
    </mdx>
    <mdx n="33" f="v">
      <t c="4">
        <n x="1206"/>
        <n x="11"/>
        <n x="7"/>
        <n x="1337" s="1"/>
      </t>
    </mdx>
    <mdx n="33" f="v">
      <t c="6">
        <n x="15"/>
        <n x="1337" s="1"/>
        <n x="46"/>
        <n x="7"/>
        <n x="22"/>
        <n x="12"/>
      </t>
    </mdx>
    <mdx n="33" f="v">
      <t c="6" si="10">
        <n x="15"/>
        <n x="1337" s="1"/>
        <n x="40"/>
        <n x="32"/>
        <n x="23"/>
        <n x="3"/>
      </t>
    </mdx>
    <mdx n="33" f="v">
      <t c="3">
        <n x="1230"/>
        <n x="1336"/>
        <n x="1337" s="1"/>
      </t>
    </mdx>
    <mdx n="33" f="v">
      <t c="6" si="10">
        <n x="15"/>
        <n x="1337" s="1"/>
        <n x="37"/>
        <n x="32"/>
        <n x="30"/>
        <n x="1"/>
      </t>
    </mdx>
    <mdx n="33" f="v">
      <t c="6" si="10">
        <n x="15"/>
        <n x="1337" s="1"/>
        <n x="43"/>
        <n x="32"/>
        <n x="17"/>
        <n x="1"/>
      </t>
    </mdx>
    <mdx n="33" f="v">
      <t c="6" si="10">
        <n x="15"/>
        <n x="1337" s="1"/>
        <n x="44"/>
        <n x="32"/>
        <n x="26"/>
        <n x="2"/>
      </t>
    </mdx>
    <mdx n="33" f="v">
      <t c="6" si="9">
        <n x="15"/>
        <n x="1337" s="1"/>
        <n x="37"/>
        <n x="7"/>
        <n x="29"/>
        <n x="1"/>
      </t>
    </mdx>
    <mdx n="33" f="v">
      <t c="6" si="9">
        <n x="15"/>
        <n x="1337" s="1"/>
        <n x="36"/>
        <n x="7"/>
        <n x="26"/>
        <n x="1"/>
      </t>
    </mdx>
    <mdx n="33" f="v">
      <t c="6">
        <n x="15"/>
        <n x="1337" s="1"/>
        <n x="39"/>
        <n x="7"/>
        <n x="29"/>
        <n x="2"/>
      </t>
    </mdx>
    <mdx n="33" f="v">
      <t c="6" si="10">
        <n x="15"/>
        <n x="1337" s="1"/>
        <n x="46"/>
        <n x="32"/>
        <n x="18"/>
        <n x="12"/>
      </t>
    </mdx>
    <mdx n="33" f="v">
      <t c="5" si="9">
        <n x="15"/>
        <n x="1337" s="1"/>
        <n x="14"/>
        <n x="7"/>
        <n x="16"/>
      </t>
    </mdx>
    <mdx n="33" f="v">
      <t c="6" si="10">
        <n x="15"/>
        <n x="1337" s="1"/>
        <n x="42"/>
        <n x="32"/>
        <n x="30"/>
        <n x="2"/>
      </t>
    </mdx>
    <mdx n="33" f="v">
      <t c="6" si="9">
        <n x="15"/>
        <n x="1337" s="1"/>
        <n x="40"/>
        <n x="7"/>
        <n x="26"/>
        <n x="3"/>
      </t>
    </mdx>
    <mdx n="33" f="v">
      <t c="6" si="10">
        <n x="15"/>
        <n x="1337" s="1"/>
        <n x="41"/>
        <n x="32"/>
        <n x="22"/>
        <n x="0"/>
      </t>
    </mdx>
    <mdx n="33" f="v">
      <t c="6" si="9">
        <n x="15"/>
        <n x="1337" s="1"/>
        <n x="39"/>
        <n x="7"/>
        <n x="18"/>
        <n x="1"/>
      </t>
    </mdx>
    <mdx n="33" f="v">
      <t c="6" si="9">
        <n x="15"/>
        <n x="1337" s="1"/>
        <n x="36"/>
        <n x="7"/>
        <n x="6"/>
        <n x="1"/>
      </t>
    </mdx>
    <mdx n="33" f="v">
      <t c="4">
        <n x="108"/>
        <n x="0"/>
        <n x="32"/>
        <n x="1337" s="1"/>
      </t>
    </mdx>
    <mdx n="33" f="v">
      <t c="4">
        <n x="1134"/>
        <n x="11"/>
        <n x="7"/>
        <n x="1337" s="1"/>
      </t>
    </mdx>
    <mdx n="33" f="v">
      <t c="6">
        <n x="15"/>
        <n x="1337" s="1"/>
        <n x="41"/>
        <n x="32"/>
        <n x="28"/>
        <n x="2"/>
      </t>
    </mdx>
    <mdx n="33" f="v">
      <t c="4">
        <n x="1246"/>
        <n x="11"/>
        <n x="7"/>
        <n x="1337" s="1"/>
      </t>
    </mdx>
    <mdx n="33" f="v">
      <t c="3">
        <n x="1238"/>
        <n x="1336"/>
        <n x="1337" s="1"/>
      </t>
    </mdx>
    <mdx n="33" f="v">
      <t c="6" si="9">
        <n x="15"/>
        <n x="1337" s="1"/>
        <n x="39"/>
        <n x="7"/>
        <n x="22"/>
        <n x="0"/>
      </t>
    </mdx>
    <mdx n="33" f="v">
      <t c="4">
        <n x="1256"/>
        <n x="1"/>
        <n x="32"/>
        <n x="1337" s="1"/>
      </t>
    </mdx>
    <mdx n="33" f="v">
      <t c="6" si="9">
        <n x="15"/>
        <n x="1337" s="1"/>
        <n x="46"/>
        <n x="7"/>
        <n x="21"/>
        <n x="12"/>
      </t>
    </mdx>
    <mdx n="33" f="v">
      <t c="4" si="10">
        <n x="1302"/>
        <n x="1"/>
        <n x="32"/>
        <n x="1337" s="1"/>
      </t>
    </mdx>
    <mdx n="33" f="v">
      <t c="6" si="9">
        <n x="15"/>
        <n x="1337" s="1"/>
        <n x="42"/>
        <n x="7"/>
        <n x="28"/>
        <n x="1"/>
      </t>
    </mdx>
    <mdx n="33" f="v">
      <t c="4">
        <n x="1241"/>
        <n x="1"/>
        <n x="7"/>
        <n x="1337" s="1"/>
      </t>
    </mdx>
    <mdx n="33" f="v">
      <t c="3">
        <n x="1275"/>
        <n x="1336"/>
        <n x="1337" s="1"/>
      </t>
    </mdx>
    <mdx n="33" f="v">
      <t c="4">
        <n x="1262"/>
        <n x="1"/>
        <n x="7"/>
        <n x="1337" s="1"/>
      </t>
    </mdx>
    <mdx n="33" f="v">
      <t c="4" si="10">
        <n x="1316"/>
        <n x="1"/>
        <n x="32"/>
        <n x="1337" s="1"/>
      </t>
    </mdx>
    <mdx n="33" f="v">
      <t c="6">
        <n x="15"/>
        <n x="1337" s="1"/>
        <n x="44"/>
        <n x="7"/>
        <n x="28"/>
        <n x="0"/>
      </t>
    </mdx>
    <mdx n="33" f="v">
      <t c="4" si="10">
        <n x="1244"/>
        <n x="1"/>
        <n x="32"/>
        <n x="1337" s="1"/>
      </t>
    </mdx>
    <mdx n="33" f="v">
      <t c="6" si="10">
        <n x="15"/>
        <n x="1337" s="1"/>
        <n x="41"/>
        <n x="32"/>
        <n x="31"/>
        <n x="1"/>
      </t>
    </mdx>
    <mdx n="33" f="v">
      <t c="6">
        <n x="15"/>
        <n x="1337" s="1"/>
        <n x="41"/>
        <n x="32"/>
        <n x="25"/>
        <n x="2"/>
      </t>
    </mdx>
    <mdx n="33" f="v">
      <t c="6" si="10">
        <n x="15"/>
        <n x="1337" s="1"/>
        <n x="42"/>
        <n x="32"/>
        <n x="18"/>
        <n x="1"/>
      </t>
    </mdx>
    <mdx n="33" f="v">
      <t c="5" si="9">
        <n x="15"/>
        <n x="1337" s="1"/>
        <n x="39"/>
        <n x="7"/>
        <n x="0"/>
      </t>
    </mdx>
    <mdx n="33" f="v">
      <t c="6" si="10">
        <n x="15"/>
        <n x="1337" s="1"/>
        <n x="38"/>
        <n x="32"/>
        <n x="30"/>
        <n x="3"/>
      </t>
    </mdx>
    <mdx n="33" f="v">
      <t c="4" si="10">
        <n x="1155"/>
        <n x="11"/>
        <n x="32"/>
        <n x="1337" s="1"/>
      </t>
    </mdx>
    <mdx n="33" f="v">
      <t c="6" si="10">
        <n x="15"/>
        <n x="1337" s="1"/>
        <n x="43"/>
        <n x="32"/>
        <n x="24"/>
        <n x="1"/>
      </t>
    </mdx>
    <mdx n="33" f="v">
      <t c="4">
        <n x="1235"/>
        <n x="1"/>
        <n x="7"/>
        <n x="1337" s="1"/>
      </t>
    </mdx>
    <mdx n="33" f="v">
      <t c="4" si="10">
        <n x="1308"/>
        <n x="1"/>
        <n x="32"/>
        <n x="1337" s="1"/>
      </t>
    </mdx>
    <mdx n="33" f="v">
      <t c="6" si="10">
        <n x="15"/>
        <n x="1337" s="1"/>
        <n x="46"/>
        <n x="32"/>
        <n x="31"/>
        <n x="12"/>
      </t>
    </mdx>
    <mdx n="33" f="v">
      <t c="3">
        <n x="1201"/>
        <n x="1336"/>
        <n x="1337" s="1"/>
      </t>
    </mdx>
    <mdx n="33" f="v">
      <t c="6" si="10">
        <n x="15"/>
        <n x="1337" s="1"/>
        <n x="44"/>
        <n x="32"/>
        <n x="31"/>
        <n x="1"/>
      </t>
    </mdx>
    <mdx n="33" f="v">
      <t c="6" si="9">
        <n x="15"/>
        <n x="1337" s="1"/>
        <n x="40"/>
        <n x="7"/>
        <n x="27"/>
        <n x="1"/>
      </t>
    </mdx>
    <mdx n="33" f="v">
      <t c="6" si="10">
        <n x="15"/>
        <n x="1337" s="1"/>
        <n x="40"/>
        <n x="32"/>
        <n x="18"/>
        <n x="0"/>
      </t>
    </mdx>
    <mdx n="33" f="v">
      <t c="3">
        <n x="1314"/>
        <n x="1336"/>
        <n x="1337" s="1"/>
      </t>
    </mdx>
    <mdx n="33" f="v">
      <t c="5" si="10">
        <n x="15"/>
        <n x="1337" s="1"/>
        <n x="11"/>
        <n x="32"/>
        <n x="31"/>
      </t>
    </mdx>
    <mdx n="33" f="v">
      <t c="4" si="10">
        <n x="1183"/>
        <n x="11"/>
        <n x="32"/>
        <n x="1337" s="1"/>
      </t>
    </mdx>
    <mdx n="33" f="v">
      <t c="6" si="10">
        <n x="15"/>
        <n x="1337" s="1"/>
        <n x="36"/>
        <n x="32"/>
        <n x="24"/>
        <n x="2"/>
      </t>
    </mdx>
    <mdx n="33" f="v">
      <t c="4">
        <n x="1242"/>
        <n x="1"/>
        <n x="7"/>
        <n x="1337" s="1"/>
      </t>
    </mdx>
    <mdx n="33" f="v">
      <t c="4" si="10">
        <n x="1312"/>
        <n x="1"/>
        <n x="32"/>
        <n x="1337" s="1"/>
      </t>
    </mdx>
    <mdx n="33" f="v">
      <t c="6" si="10">
        <n x="15"/>
        <n x="1337" s="1"/>
        <n x="42"/>
        <n x="32"/>
        <n x="30"/>
        <n x="0"/>
      </t>
    </mdx>
    <mdx n="33" f="v">
      <t c="4" si="10">
        <n x="1212"/>
        <n x="1"/>
        <n x="32"/>
        <n x="1337" s="1"/>
      </t>
    </mdx>
    <mdx n="33" f="v">
      <t c="5" si="9">
        <n x="15"/>
        <n x="1337" s="1"/>
        <n x="14"/>
        <n x="7"/>
        <n x="24"/>
      </t>
    </mdx>
    <mdx n="33" f="v">
      <t c="6" si="10">
        <n x="15"/>
        <n x="1337" s="1"/>
        <n x="40"/>
        <n x="32"/>
        <n x="25"/>
        <n x="2"/>
      </t>
    </mdx>
    <mdx n="33" f="v">
      <t c="4">
        <n x="1172"/>
        <n x="1"/>
        <n x="32"/>
        <n x="1337" s="1"/>
      </t>
    </mdx>
    <mdx n="33" f="v">
      <t c="6">
        <n x="15"/>
        <n x="1337" s="1"/>
        <n x="37"/>
        <n x="7"/>
        <n x="22"/>
        <n x="3"/>
      </t>
    </mdx>
    <mdx n="33" f="v">
      <t c="6" si="9">
        <n x="15"/>
        <n x="1337" s="1"/>
        <n x="37"/>
        <n x="7"/>
        <n x="24"/>
        <n x="1"/>
      </t>
    </mdx>
    <mdx n="33" f="v">
      <t c="6" si="10">
        <n x="15"/>
        <n x="1337" s="1"/>
        <n x="39"/>
        <n x="32"/>
        <n x="26"/>
        <n x="1"/>
      </t>
    </mdx>
    <mdx n="33" f="v">
      <t c="3">
        <n x="1316"/>
        <n x="1336"/>
        <n x="1337" s="1"/>
      </t>
    </mdx>
    <mdx n="33" f="v">
      <t c="6">
        <n x="15"/>
        <n x="1337" s="1"/>
        <n x="38"/>
        <n x="32"/>
        <n x="22"/>
        <n x="3"/>
      </t>
    </mdx>
    <mdx n="33" f="v">
      <t c="6" si="9">
        <n x="15"/>
        <n x="1337" s="1"/>
        <n x="42"/>
        <n x="7"/>
        <n x="26"/>
        <n x="2"/>
      </t>
    </mdx>
    <mdx n="33" f="v">
      <t c="4" si="10">
        <n x="1126"/>
        <n x="11"/>
        <n x="32"/>
        <n x="1337" s="1"/>
      </t>
    </mdx>
    <mdx n="33" f="v">
      <t c="6" si="9">
        <n x="15"/>
        <n x="1337" s="1"/>
        <n x="41"/>
        <n x="7"/>
        <n x="29"/>
        <n x="0"/>
      </t>
    </mdx>
    <mdx n="33" f="v">
      <t c="6" si="9">
        <n x="15"/>
        <n x="1337" s="1"/>
        <n x="41"/>
        <n x="7"/>
        <n x="21"/>
        <n x="0"/>
      </t>
    </mdx>
    <mdx n="33" f="v">
      <t c="6" si="10">
        <n x="15"/>
        <n x="1337" s="1"/>
        <n x="37"/>
        <n x="32"/>
        <n x="17"/>
        <n x="1"/>
      </t>
    </mdx>
    <mdx n="33" f="v">
      <t c="6" si="10">
        <n x="15"/>
        <n x="1337" s="1"/>
        <n x="40"/>
        <n x="32"/>
        <n x="31"/>
        <n x="0"/>
      </t>
    </mdx>
    <mdx n="33" f="v">
      <t c="6">
        <n x="15"/>
        <n x="1337" s="1"/>
        <n x="41"/>
        <n x="7"/>
        <n x="23"/>
        <n x="3"/>
      </t>
    </mdx>
    <mdx n="33" f="v">
      <t c="6" si="10">
        <n x="15"/>
        <n x="1337" s="1"/>
        <n x="47"/>
        <n x="32"/>
        <n x="18"/>
        <n x="12"/>
      </t>
    </mdx>
    <mdx n="33" f="v">
      <t c="6" si="9">
        <n x="15"/>
        <n x="1337" s="1"/>
        <n x="46"/>
        <n x="7"/>
        <n x="25"/>
        <n x="12"/>
      </t>
    </mdx>
    <mdx n="33" f="v">
      <t c="6">
        <n x="15"/>
        <n x="1337" s="1"/>
        <n x="37"/>
        <n x="7"/>
        <n x="20"/>
        <n x="0"/>
      </t>
    </mdx>
    <mdx n="33" f="v">
      <t c="4">
        <n x="1275"/>
        <n x="11"/>
        <n x="7"/>
        <n x="1337" s="1"/>
      </t>
    </mdx>
    <mdx n="33" f="v">
      <t c="4">
        <n x="1280"/>
        <n x="11"/>
        <n x="7"/>
        <n x="1337" s="1"/>
      </t>
    </mdx>
    <mdx n="33" f="v">
      <t c="4" si="10">
        <n x="1162"/>
        <n x="11"/>
        <n x="32"/>
        <n x="1337" s="1"/>
      </t>
    </mdx>
    <mdx n="33" f="v">
      <t c="4">
        <n x="1206"/>
        <n x="1"/>
        <n x="7"/>
        <n x="1337" s="1"/>
      </t>
    </mdx>
    <mdx n="33" f="v">
      <t c="4">
        <n x="1263"/>
        <n x="11"/>
        <n x="32"/>
        <n x="1337" s="1"/>
      </t>
    </mdx>
    <mdx n="33" f="v">
      <t c="3">
        <n x="1213"/>
        <n x="1336"/>
        <n x="1337" s="1"/>
      </t>
    </mdx>
    <mdx n="33" f="v">
      <t c="6" si="9">
        <n x="15"/>
        <n x="1337" s="1"/>
        <n x="46"/>
        <n x="7"/>
        <n x="28"/>
        <n x="12"/>
      </t>
    </mdx>
    <mdx n="33" f="v">
      <t c="6">
        <n x="15"/>
        <n x="1337" s="1"/>
        <n x="42"/>
        <n x="7"/>
        <n x="21"/>
        <n x="3"/>
      </t>
    </mdx>
    <mdx n="33" f="v">
      <t c="6">
        <n x="15"/>
        <n x="1337" s="1"/>
        <n x="38"/>
        <n x="7"/>
        <n x="21"/>
        <n x="2"/>
      </t>
    </mdx>
    <mdx n="33" f="v">
      <t c="4">
        <n x="1169"/>
        <n x="1"/>
        <n x="32"/>
        <n x="1337" s="1"/>
      </t>
    </mdx>
    <mdx n="33" f="v">
      <t c="6" si="9">
        <n x="15"/>
        <n x="1337" s="1"/>
        <n x="45"/>
        <n x="7"/>
        <n x="27"/>
        <n x="12"/>
      </t>
    </mdx>
    <mdx n="33" f="v">
      <t c="6" si="10">
        <n x="15"/>
        <n x="1337" s="1"/>
        <n x="34"/>
        <n x="32"/>
        <n x="27"/>
        <n x="12"/>
      </t>
    </mdx>
    <mdx n="33" f="v">
      <t c="4" si="10">
        <n x="1280"/>
        <n x="1"/>
        <n x="32"/>
        <n x="1337" s="1"/>
      </t>
    </mdx>
    <mdx n="33" f="v">
      <t c="6" si="10">
        <n x="15"/>
        <n x="1337" s="1"/>
        <n x="42"/>
        <n x="32"/>
        <n x="25"/>
        <n x="1"/>
      </t>
    </mdx>
    <mdx n="33" f="v">
      <t c="5" si="9">
        <n x="15"/>
        <n x="1337" s="1"/>
        <n x="11"/>
        <n x="7"/>
        <n x="25"/>
      </t>
    </mdx>
    <mdx n="33" f="v">
      <t c="6" si="10">
        <n x="15"/>
        <n x="1337" s="1"/>
        <n x="36"/>
        <n x="32"/>
        <n x="30"/>
        <n x="0"/>
      </t>
    </mdx>
    <mdx n="33" f="v">
      <t c="6" si="9">
        <n x="15"/>
        <n x="1337" s="1"/>
        <n x="44"/>
        <n x="7"/>
        <n x="26"/>
        <n x="0"/>
      </t>
    </mdx>
    <mdx n="33" f="v">
      <t c="5" si="9">
        <n x="15"/>
        <n x="1337" s="1"/>
        <n x="11"/>
        <n x="7"/>
        <n x="31"/>
      </t>
    </mdx>
    <mdx n="33" f="v">
      <t c="6" si="9">
        <n x="15"/>
        <n x="1337" s="1"/>
        <n x="39"/>
        <n x="7"/>
        <n x="27"/>
        <n x="0"/>
      </t>
    </mdx>
    <mdx n="33" f="v">
      <t c="6" si="10">
        <n x="15"/>
        <n x="1337" s="1"/>
        <n x="38"/>
        <n x="32"/>
        <n x="26"/>
        <n x="3"/>
      </t>
    </mdx>
    <mdx n="33" f="v">
      <t c="6">
        <n x="15"/>
        <n x="1337" s="1"/>
        <n x="38"/>
        <n x="32"/>
        <n x="28"/>
        <n x="3"/>
      </t>
    </mdx>
    <mdx n="33" f="v">
      <t c="6" si="10">
        <n x="15"/>
        <n x="1337" s="1"/>
        <n x="41"/>
        <n x="32"/>
        <n x="26"/>
        <n x="1"/>
      </t>
    </mdx>
    <mdx n="33" f="v">
      <t c="6" si="9">
        <n x="15"/>
        <n x="1337" s="1"/>
        <n x="44"/>
        <n x="7"/>
        <n x="17"/>
        <n x="1"/>
      </t>
    </mdx>
    <mdx n="33" f="v">
      <t c="6">
        <n x="15"/>
        <n x="1337" s="1"/>
        <n x="40"/>
        <n x="7"/>
        <n x="17"/>
        <n x="3"/>
      </t>
    </mdx>
    <mdx n="33" f="v">
      <t c="6" si="9">
        <n x="15"/>
        <n x="1337" s="1"/>
        <n x="43"/>
        <n x="7"/>
        <n x="6"/>
        <n x="3"/>
      </t>
    </mdx>
    <mdx n="33" f="v">
      <t c="4">
        <n x="100"/>
        <n x="0"/>
        <n x="32"/>
        <n x="1337" s="1"/>
      </t>
    </mdx>
    <mdx n="33" f="v">
      <t c="6" si="10">
        <n x="15"/>
        <n x="1337" s="1"/>
        <n x="36"/>
        <n x="32"/>
        <n x="23"/>
        <n x="2"/>
      </t>
    </mdx>
    <mdx n="33" f="v">
      <t c="6" si="10">
        <n x="15"/>
        <n x="1337" s="1"/>
        <n x="41"/>
        <n x="32"/>
        <n x="6"/>
        <n x="1"/>
      </t>
    </mdx>
    <mdx n="33" f="v">
      <t c="6" si="10">
        <n x="15"/>
        <n x="1337" s="1"/>
        <n x="40"/>
        <n x="32"/>
        <n x="26"/>
        <n x="3"/>
      </t>
    </mdx>
    <mdx n="33" f="v">
      <t c="6">
        <n x="15"/>
        <n x="1337" s="1"/>
        <n x="42"/>
        <n x="7"/>
        <n x="22"/>
        <n x="3"/>
      </t>
    </mdx>
    <mdx n="33" f="v">
      <t c="6" si="9">
        <n x="15"/>
        <n x="1337" s="1"/>
        <n x="42"/>
        <n x="7"/>
        <n x="21"/>
        <n x="1"/>
      </t>
    </mdx>
    <mdx n="33" f="v">
      <t c="4" si="10">
        <n x="1316"/>
        <n x="11"/>
        <n x="32"/>
        <n x="1337" s="1"/>
      </t>
    </mdx>
    <mdx n="33" f="v">
      <t c="5" si="9">
        <n x="15"/>
        <n x="1337" s="1"/>
        <n x="13"/>
        <n x="7"/>
        <n x="25"/>
      </t>
    </mdx>
    <mdx n="33" f="v">
      <t c="4" si="10">
        <n x="1228"/>
        <n x="1"/>
        <n x="32"/>
        <n x="1337" s="1"/>
      </t>
    </mdx>
    <mdx n="33" f="v">
      <t c="5" si="10">
        <n x="15"/>
        <n x="1337" s="1"/>
        <n x="14"/>
        <n x="32"/>
        <n x="23"/>
      </t>
    </mdx>
    <mdx n="33" f="v">
      <t c="5" si="10">
        <n x="15"/>
        <n x="1337" s="1"/>
        <n x="13"/>
        <n x="32"/>
        <n x="23"/>
      </t>
    </mdx>
    <mdx n="33" f="v">
      <t c="6" si="9">
        <n x="15"/>
        <n x="1337" s="1"/>
        <n x="40"/>
        <n x="7"/>
        <n x="17"/>
        <n x="0"/>
      </t>
    </mdx>
    <mdx n="33" f="v">
      <t c="6">
        <n x="15"/>
        <n x="1337" s="1"/>
        <n x="44"/>
        <n x="7"/>
        <n x="17"/>
        <n x="2"/>
      </t>
    </mdx>
    <mdx n="33" f="v">
      <t c="6" si="10">
        <n x="15"/>
        <n x="1337" s="1"/>
        <n x="38"/>
        <n x="32"/>
        <n x="6"/>
        <n x="1"/>
      </t>
    </mdx>
    <mdx n="33" f="v">
      <t c="4">
        <n x="72"/>
        <n x="1"/>
        <n x="7"/>
        <n x="1337" s="1"/>
      </t>
    </mdx>
    <mdx n="33" f="v">
      <t c="6" si="10">
        <n x="15"/>
        <n x="1337" s="1"/>
        <n x="42"/>
        <n x="32"/>
        <n x="30"/>
        <n x="1"/>
      </t>
    </mdx>
    <mdx n="33" f="v">
      <t c="6" si="9">
        <n x="15"/>
        <n x="1337" s="1"/>
        <n x="36"/>
        <n x="7"/>
        <n x="20"/>
        <n x="3"/>
      </t>
    </mdx>
    <mdx n="33" f="v">
      <t c="6" si="10">
        <n x="15"/>
        <n x="1337" s="1"/>
        <n x="43"/>
        <n x="32"/>
        <n x="6"/>
        <n x="1"/>
      </t>
    </mdx>
    <mdx n="33" f="v">
      <t c="5" si="9">
        <n x="15"/>
        <n x="1337" s="1"/>
        <n x="39"/>
        <n x="7"/>
        <n x="2"/>
      </t>
    </mdx>
    <mdx n="33" f="v">
      <t c="4">
        <n x="1295"/>
        <n x="11"/>
        <n x="7"/>
        <n x="1337" s="1"/>
      </t>
    </mdx>
    <mdx n="33" f="v">
      <t c="4" si="10">
        <n x="1274"/>
        <n x="14"/>
        <n x="32"/>
        <n x="1337" s="1"/>
      </t>
    </mdx>
    <mdx n="33" f="v">
      <t c="6">
        <n x="15"/>
        <n x="1337" s="1"/>
        <n x="38"/>
        <n x="7"/>
        <n x="31"/>
        <n x="0"/>
      </t>
    </mdx>
    <mdx n="33" f="v">
      <t c="6">
        <n x="15"/>
        <n x="1337" s="1"/>
        <n x="43"/>
        <n x="7"/>
        <n x="29"/>
        <n x="2"/>
      </t>
    </mdx>
    <mdx n="33" f="v">
      <t c="3">
        <n x="1196"/>
        <n x="1336"/>
        <n x="1337" s="1"/>
      </t>
    </mdx>
    <mdx n="33" f="v">
      <t c="6" si="9">
        <n x="15"/>
        <n x="1337" s="1"/>
        <n x="43"/>
        <n x="7"/>
        <n x="29"/>
        <n x="1"/>
      </t>
    </mdx>
    <mdx n="33" f="v">
      <t c="4" si="10">
        <n x="1311"/>
        <n x="14"/>
        <n x="32"/>
        <n x="1337" s="1"/>
      </t>
    </mdx>
    <mdx n="33" f="v">
      <t c="4">
        <n x="1328"/>
        <n x="1"/>
        <n x="32"/>
        <n x="1337" s="1"/>
      </t>
    </mdx>
    <mdx n="33" f="v">
      <t c="6" si="10">
        <n x="15"/>
        <n x="1337" s="1"/>
        <n x="42"/>
        <n x="32"/>
        <n x="25"/>
        <n x="2"/>
      </t>
    </mdx>
    <mdx n="33" f="v">
      <t c="6">
        <n x="15"/>
        <n x="1337" s="1"/>
        <n x="37"/>
        <n x="7"/>
        <n x="21"/>
        <n x="2"/>
      </t>
    </mdx>
    <mdx n="33" f="v">
      <t c="6" si="10">
        <n x="15"/>
        <n x="1337" s="1"/>
        <n x="38"/>
        <n x="32"/>
        <n x="29"/>
        <n x="1"/>
      </t>
    </mdx>
    <mdx n="33" f="v">
      <t c="6" si="9">
        <n x="15"/>
        <n x="1337" s="1"/>
        <n x="36"/>
        <n x="7"/>
        <n x="16"/>
        <n x="1"/>
      </t>
    </mdx>
    <mdx n="33" f="v">
      <t c="3">
        <n x="1291"/>
        <n x="1336"/>
        <n x="1337" s="1"/>
      </t>
    </mdx>
    <mdx n="33" f="v">
      <t c="3">
        <n x="1272"/>
        <n x="1336"/>
        <n x="1337" s="1"/>
      </t>
    </mdx>
    <mdx n="33" f="v">
      <t c="5" si="10">
        <n x="15"/>
        <n x="1337" s="1"/>
        <n x="8"/>
        <n x="32"/>
        <n x="17"/>
      </t>
    </mdx>
    <mdx n="33" f="v">
      <t c="6" si="10">
        <n x="15"/>
        <n x="1337" s="1"/>
        <n x="39"/>
        <n x="32"/>
        <n x="16"/>
        <n x="0"/>
      </t>
    </mdx>
    <mdx n="33" f="v">
      <t c="6" si="10">
        <n x="15"/>
        <n x="1337" s="1"/>
        <n x="43"/>
        <n x="32"/>
        <n x="28"/>
        <n x="0"/>
      </t>
    </mdx>
    <mdx n="33" f="v">
      <t c="6">
        <n x="15"/>
        <n x="1337" s="1"/>
        <n x="41"/>
        <n x="7"/>
        <n x="26"/>
        <n x="2"/>
      </t>
    </mdx>
    <mdx n="33" f="v">
      <t c="5" si="10">
        <n x="15"/>
        <n x="1337" s="1"/>
        <n x="14"/>
        <n x="32"/>
        <n x="4"/>
      </t>
    </mdx>
    <mdx n="33" f="v">
      <t c="6">
        <n x="15"/>
        <n x="1337" s="1"/>
        <n x="38"/>
        <n x="7"/>
        <n x="29"/>
        <n x="1"/>
      </t>
    </mdx>
    <mdx n="33" f="v">
      <t c="6" si="10">
        <n x="15"/>
        <n x="1337" s="1"/>
        <n x="47"/>
        <n x="32"/>
        <n x="16"/>
        <n x="12"/>
      </t>
    </mdx>
    <mdx n="33" f="v">
      <t c="6">
        <n x="15"/>
        <n x="1337" s="1"/>
        <n x="43"/>
        <n x="7"/>
        <n x="30"/>
        <n x="3"/>
      </t>
    </mdx>
    <mdx n="33" f="v">
      <t c="6" si="10">
        <n x="15"/>
        <n x="1337" s="1"/>
        <n x="45"/>
        <n x="32"/>
        <n x="26"/>
        <n x="12"/>
      </t>
    </mdx>
    <mdx n="33" f="v">
      <t c="6" si="9">
        <n x="15"/>
        <n x="1337" s="1"/>
        <n x="43"/>
        <n x="7"/>
        <n x="25"/>
        <n x="2"/>
      </t>
    </mdx>
    <mdx n="33" f="v">
      <t c="6" si="10">
        <n x="15"/>
        <n x="1337" s="1"/>
        <n x="36"/>
        <n x="32"/>
        <n x="6"/>
        <n x="0"/>
      </t>
    </mdx>
    <mdx n="33" f="v">
      <t c="4">
        <n x="59"/>
        <n x="12"/>
        <n x="7"/>
        <n x="1337" s="1"/>
      </t>
    </mdx>
    <mdx n="33" f="v">
      <t c="4">
        <n x="139"/>
        <n x="12"/>
        <n x="7"/>
        <n x="1337" s="1"/>
      </t>
    </mdx>
    <mdx n="33" f="v">
      <t c="6" si="10">
        <n x="15"/>
        <n x="1337" s="1"/>
        <n x="39"/>
        <n x="32"/>
        <n x="20"/>
        <n x="3"/>
      </t>
    </mdx>
    <mdx n="33" f="v">
      <t c="6" si="9">
        <n x="15"/>
        <n x="1337" s="1"/>
        <n x="41"/>
        <n x="7"/>
        <n x="4"/>
        <n x="0"/>
      </t>
    </mdx>
    <mdx n="33" f="v">
      <t c="6" si="9">
        <n x="15"/>
        <n x="1337" s="1"/>
        <n x="44"/>
        <n x="7"/>
        <n x="25"/>
        <n x="1"/>
      </t>
    </mdx>
    <mdx n="33" f="v">
      <t c="3">
        <n x="1156"/>
        <n x="1336"/>
        <n x="1337" s="1"/>
      </t>
    </mdx>
    <mdx n="33" f="v">
      <t c="6" si="10">
        <n x="15"/>
        <n x="1337" s="1"/>
        <n x="45"/>
        <n x="32"/>
        <n x="22"/>
        <n x="12"/>
      </t>
    </mdx>
    <mdx n="33" f="v">
      <t c="3">
        <n x="1298"/>
        <n x="1336"/>
        <n x="1337" s="1"/>
      </t>
    </mdx>
    <mdx n="33" f="v">
      <t c="6" si="10">
        <n x="15"/>
        <n x="1337" s="1"/>
        <n x="43"/>
        <n x="32"/>
        <n x="23"/>
        <n x="3"/>
      </t>
    </mdx>
    <mdx n="33" f="v">
      <t c="3">
        <n x="1276"/>
        <n x="1336"/>
        <n x="1337" s="1"/>
      </t>
    </mdx>
    <mdx n="33" f="v">
      <t c="6" si="9">
        <n x="15"/>
        <n x="1337" s="1"/>
        <n x="47"/>
        <n x="7"/>
        <n x="23"/>
        <n x="12"/>
      </t>
    </mdx>
    <mdx n="33" f="v">
      <t c="6" si="10">
        <n x="15"/>
        <n x="1337" s="1"/>
        <n x="43"/>
        <n x="32"/>
        <n x="25"/>
        <n x="3"/>
      </t>
    </mdx>
    <mdx n="33" f="v">
      <t c="5" si="10">
        <n x="15"/>
        <n x="1337" s="1"/>
        <n x="8"/>
        <n x="32"/>
        <n x="30"/>
      </t>
    </mdx>
    <mdx n="33" f="v">
      <t c="6" si="9">
        <n x="15"/>
        <n x="1337" s="1"/>
        <n x="39"/>
        <n x="7"/>
        <n x="20"/>
        <n x="3"/>
      </t>
    </mdx>
    <mdx n="33" f="v">
      <t c="4">
        <n x="1273"/>
        <n x="14"/>
        <n x="7"/>
        <n x="1337" s="1"/>
      </t>
    </mdx>
    <mdx n="33" f="v">
      <t c="4" si="10">
        <n x="1277"/>
        <n x="14"/>
        <n x="32"/>
        <n x="1337" s="1"/>
      </t>
    </mdx>
    <mdx n="33" f="v">
      <t c="4">
        <n x="1296"/>
        <n x="1"/>
        <n x="7"/>
        <n x="1337" s="1"/>
      </t>
    </mdx>
    <mdx n="33" f="v">
      <t c="4" si="10">
        <n x="1133"/>
        <n x="14"/>
        <n x="32"/>
        <n x="1337" s="1"/>
      </t>
    </mdx>
    <mdx n="33" f="v">
      <t c="4">
        <n x="1205"/>
        <n x="1"/>
        <n x="7"/>
        <n x="1337" s="1"/>
      </t>
    </mdx>
    <mdx n="33" f="v">
      <t c="4" si="10">
        <n x="1148"/>
        <n x="1"/>
        <n x="32"/>
        <n x="1337" s="1"/>
      </t>
    </mdx>
    <mdx n="33" f="v">
      <t c="6" si="9">
        <n x="15"/>
        <n x="1337" s="1"/>
        <n x="43"/>
        <n x="7"/>
        <n x="31"/>
        <n x="1"/>
      </t>
    </mdx>
    <mdx n="33" f="v">
      <t c="6">
        <n x="15"/>
        <n x="1337" s="1"/>
        <n x="41"/>
        <n x="32"/>
        <n x="22"/>
        <n x="2"/>
      </t>
    </mdx>
    <mdx n="33" f="v">
      <t c="6" si="10">
        <n x="15"/>
        <n x="1337" s="1"/>
        <n x="37"/>
        <n x="32"/>
        <n x="22"/>
        <n x="0"/>
      </t>
    </mdx>
    <mdx n="33" f="v">
      <t c="6" si="10">
        <n x="15"/>
        <n x="1337" s="1"/>
        <n x="40"/>
        <n x="32"/>
        <n x="23"/>
        <n x="2"/>
      </t>
    </mdx>
    <mdx n="33" f="v">
      <t c="5" si="10">
        <n x="15"/>
        <n x="1337" s="1"/>
        <n x="38"/>
        <n x="32"/>
        <n x="1"/>
      </t>
    </mdx>
    <mdx n="33" f="v">
      <t c="6" si="9">
        <n x="15"/>
        <n x="1337" s="1"/>
        <n x="41"/>
        <n x="7"/>
        <n x="17"/>
        <n x="1"/>
      </t>
    </mdx>
    <mdx n="33" f="v">
      <t c="4" si="10">
        <n x="1304"/>
        <n x="1"/>
        <n x="32"/>
        <n x="1337" s="1"/>
      </t>
    </mdx>
    <mdx n="33" f="v">
      <t c="6">
        <n x="15"/>
        <n x="1337" s="1"/>
        <n x="41"/>
        <n x="7"/>
        <n x="31"/>
        <n x="2"/>
      </t>
    </mdx>
    <mdx n="33" f="v">
      <t c="6">
        <n x="15"/>
        <n x="1337" s="1"/>
        <n x="34"/>
        <n x="7"/>
        <n x="20"/>
        <n x="12"/>
      </t>
    </mdx>
    <mdx n="33" f="v">
      <t c="6" si="10">
        <n x="15"/>
        <n x="1337" s="1"/>
        <n x="37"/>
        <n x="32"/>
        <n x="31"/>
        <n x="2"/>
      </t>
    </mdx>
    <mdx n="33" f="v">
      <t c="6" si="10">
        <n x="15"/>
        <n x="1337" s="1"/>
        <n x="35"/>
        <n x="32"/>
        <n x="18"/>
        <n x="12"/>
      </t>
    </mdx>
    <mdx n="33" f="v">
      <t c="5" si="9">
        <n x="15"/>
        <n x="1337" s="1"/>
        <n x="8"/>
        <n x="7"/>
        <n x="24"/>
      </t>
    </mdx>
    <mdx n="33" f="v">
      <t c="4">
        <n x="1259"/>
        <n x="14"/>
        <n x="7"/>
        <n x="1337" s="1"/>
      </t>
    </mdx>
    <mdx n="33" f="v">
      <t c="4" si="10">
        <n x="1130"/>
        <n x="14"/>
        <n x="32"/>
        <n x="1337" s="1"/>
      </t>
    </mdx>
    <mdx n="33" f="v">
      <t c="4">
        <n x="1284"/>
        <n x="11"/>
        <n x="7"/>
        <n x="1337" s="1"/>
      </t>
    </mdx>
    <mdx n="33" f="v">
      <t c="6">
        <n x="15"/>
        <n x="1337" s="1"/>
        <n x="36"/>
        <n x="7"/>
        <n x="16"/>
        <n x="3"/>
      </t>
    </mdx>
    <mdx n="33" f="v">
      <t c="6">
        <n x="15"/>
        <n x="1337" s="1"/>
        <n x="39"/>
        <n x="7"/>
        <n x="17"/>
        <n x="3"/>
      </t>
    </mdx>
    <mdx n="33" f="v">
      <t c="4">
        <n x="1270"/>
        <n x="14"/>
        <n x="32"/>
        <n x="1337" s="1"/>
      </t>
    </mdx>
    <mdx n="33" f="v">
      <t c="6" si="9">
        <n x="15"/>
        <n x="1337" s="1"/>
        <n x="42"/>
        <n x="7"/>
        <n x="31"/>
        <n x="2"/>
      </t>
    </mdx>
    <mdx n="33" f="v">
      <t c="6" si="10">
        <n x="15"/>
        <n x="1337" s="1"/>
        <n x="40"/>
        <n x="32"/>
        <n x="28"/>
        <n x="1"/>
      </t>
    </mdx>
    <mdx n="33" f="v">
      <t c="4" si="10">
        <n x="1267"/>
        <n x="14"/>
        <n x="32"/>
        <n x="1337" s="1"/>
      </t>
    </mdx>
    <mdx n="33" f="v">
      <t c="5" si="10">
        <n x="15"/>
        <n x="1337" s="1"/>
        <n x="14"/>
        <n x="32"/>
        <n x="31"/>
      </t>
    </mdx>
    <mdx n="33" f="v">
      <t c="4">
        <n x="1186"/>
        <n x="11"/>
        <n x="32"/>
        <n x="1337" s="1"/>
      </t>
    </mdx>
    <mdx n="33" f="v">
      <t c="6" si="9">
        <n x="15"/>
        <n x="1337" s="1"/>
        <n x="44"/>
        <n x="7"/>
        <n x="31"/>
        <n x="0"/>
      </t>
    </mdx>
    <mdx n="33" f="v">
      <t c="5" si="9">
        <n x="15"/>
        <n x="1337" s="1"/>
        <n x="11"/>
        <n x="7"/>
        <n x="26"/>
      </t>
    </mdx>
    <mdx n="33" f="v">
      <t c="6" si="10">
        <n x="15"/>
        <n x="1337" s="1"/>
        <n x="44"/>
        <n x="32"/>
        <n x="25"/>
        <n x="3"/>
      </t>
    </mdx>
    <mdx n="33" f="v">
      <t c="6" si="10">
        <n x="15"/>
        <n x="1337" s="1"/>
        <n x="38"/>
        <n x="32"/>
        <n x="24"/>
        <n x="1"/>
      </t>
    </mdx>
    <mdx n="33" f="v">
      <t c="6" si="9">
        <n x="15"/>
        <n x="1337" s="1"/>
        <n x="42"/>
        <n x="7"/>
        <n x="26"/>
        <n x="0"/>
      </t>
    </mdx>
    <mdx n="33" f="v">
      <t c="3">
        <n x="1331"/>
        <n x="1336"/>
        <n x="1337" s="1"/>
      </t>
    </mdx>
    <mdx n="33" f="v">
      <t c="6" si="9">
        <n x="15"/>
        <n x="1337" s="1"/>
        <n x="35"/>
        <n x="7"/>
        <n x="27"/>
        <n x="12"/>
      </t>
    </mdx>
    <mdx n="33" f="v">
      <t c="6" si="9">
        <n x="15"/>
        <n x="1337" s="1"/>
        <n x="39"/>
        <n x="7"/>
        <n x="24"/>
        <n x="2"/>
      </t>
    </mdx>
    <mdx n="33" f="v">
      <t c="3">
        <n x="1308"/>
        <n x="1336"/>
        <n x="1337" s="1"/>
      </t>
    </mdx>
    <mdx n="33" f="v">
      <t c="6" si="9">
        <n x="15"/>
        <n x="1337" s="1"/>
        <n x="42"/>
        <n x="7"/>
        <n x="23"/>
        <n x="1"/>
      </t>
    </mdx>
    <mdx n="33" f="v">
      <t c="6" si="9">
        <n x="15"/>
        <n x="1337" s="1"/>
        <n x="40"/>
        <n x="7"/>
        <n x="18"/>
        <n x="3"/>
      </t>
    </mdx>
    <mdx n="33" f="v">
      <t c="6" si="10">
        <n x="15"/>
        <n x="1337" s="1"/>
        <n x="43"/>
        <n x="32"/>
        <n x="20"/>
        <n x="2"/>
      </t>
    </mdx>
    <mdx n="33" f="v">
      <t c="6" si="10">
        <n x="15"/>
        <n x="1337" s="1"/>
        <n x="36"/>
        <n x="32"/>
        <n x="6"/>
        <n x="2"/>
      </t>
    </mdx>
    <mdx n="33" f="v">
      <t c="4">
        <n x="78"/>
        <n x="11"/>
        <n x="32"/>
        <n x="1337" s="1"/>
      </t>
    </mdx>
    <mdx n="33" f="v">
      <t c="6" si="10">
        <n x="15"/>
        <n x="1337" s="1"/>
        <n x="42"/>
        <n x="32"/>
        <n x="28"/>
        <n x="2"/>
      </t>
    </mdx>
    <mdx n="33" f="v">
      <t c="5" si="9">
        <n x="15"/>
        <n x="1337" s="1"/>
        <n x="8"/>
        <n x="7"/>
        <n x="17"/>
      </t>
    </mdx>
    <mdx n="33" f="v">
      <t c="6">
        <n x="15"/>
        <n x="1337" s="1"/>
        <n x="41"/>
        <n x="32"/>
        <n x="6"/>
        <n x="2"/>
      </t>
    </mdx>
    <mdx n="33" f="v">
      <t c="6" si="9">
        <n x="15"/>
        <n x="1337" s="1"/>
        <n x="42"/>
        <n x="7"/>
        <n x="20"/>
        <n x="0"/>
      </t>
    </mdx>
    <mdx n="33" f="v">
      <t c="4" si="9">
        <n x="15"/>
        <n x="1337" s="1"/>
        <n x="8"/>
        <n x="7"/>
      </t>
    </mdx>
    <mdx n="33" f="v">
      <t c="6" si="10">
        <n x="15"/>
        <n x="1337" s="1"/>
        <n x="35"/>
        <n x="32"/>
        <n x="22"/>
        <n x="12"/>
      </t>
    </mdx>
    <mdx n="33" f="v">
      <t c="6" si="9">
        <n x="15"/>
        <n x="1337" s="1"/>
        <n x="42"/>
        <n x="7"/>
        <n x="17"/>
        <n x="0"/>
      </t>
    </mdx>
    <mdx n="33" f="v">
      <t c="6" si="9">
        <n x="15"/>
        <n x="1337" s="1"/>
        <n x="39"/>
        <n x="7"/>
        <n x="23"/>
        <n x="3"/>
      </t>
    </mdx>
    <mdx n="33" f="v">
      <t c="6" si="10">
        <n x="15"/>
        <n x="1337" s="1"/>
        <n x="36"/>
        <n x="32"/>
        <n x="28"/>
        <n x="1"/>
      </t>
    </mdx>
    <mdx n="33" f="v">
      <t c="6" si="9">
        <n x="15"/>
        <n x="1337" s="1"/>
        <n x="38"/>
        <n x="7"/>
        <n x="23"/>
        <n x="1"/>
      </t>
    </mdx>
    <mdx n="33" f="v">
      <t c="6" si="10">
        <n x="15"/>
        <n x="1337" s="1"/>
        <n x="40"/>
        <n x="32"/>
        <n x="17"/>
        <n x="0"/>
      </t>
    </mdx>
    <mdx n="33" f="v">
      <t c="5" si="10">
        <n x="15"/>
        <n x="1337" s="1"/>
        <n x="8"/>
        <n x="32"/>
        <n x="16"/>
      </t>
    </mdx>
    <mdx n="33" f="v">
      <t c="6" si="10">
        <n x="15"/>
        <n x="1337" s="1"/>
        <n x="40"/>
        <n x="32"/>
        <n x="16"/>
        <n x="0"/>
      </t>
    </mdx>
    <mdx n="33" f="v">
      <t c="6" si="10">
        <n x="15"/>
        <n x="1337" s="1"/>
        <n x="38"/>
        <n x="32"/>
        <n x="6"/>
        <n x="2"/>
      </t>
    </mdx>
    <mdx n="33" f="v">
      <t c="4">
        <n x="82"/>
        <n x="11"/>
        <n x="32"/>
        <n x="1337" s="1"/>
      </t>
    </mdx>
    <mdx n="33" f="v">
      <t c="6" si="9">
        <n x="15"/>
        <n x="1337" s="1"/>
        <n x="38"/>
        <n x="7"/>
        <n x="31"/>
        <n x="3"/>
      </t>
    </mdx>
    <mdx n="33" f="v">
      <t c="6" si="9">
        <n x="15"/>
        <n x="1337" s="1"/>
        <n x="43"/>
        <n x="7"/>
        <n x="18"/>
        <n x="3"/>
      </t>
    </mdx>
    <mdx n="33" f="v">
      <t c="4">
        <n x="1263"/>
        <n x="14"/>
        <n x="32"/>
        <n x="1337" s="1"/>
      </t>
    </mdx>
    <mdx n="33" f="v">
      <t c="6" si="10">
        <n x="15"/>
        <n x="1337" s="1"/>
        <n x="39"/>
        <n x="32"/>
        <n x="20"/>
        <n x="1"/>
      </t>
    </mdx>
    <mdx n="33" f="v">
      <t c="5" si="10">
        <n x="15"/>
        <n x="1337" s="1"/>
        <n x="8"/>
        <n x="32"/>
        <n x="21"/>
      </t>
    </mdx>
    <mdx n="33" f="v">
      <t c="6">
        <n x="15"/>
        <n x="1337" s="1"/>
        <n x="37"/>
        <n x="7"/>
        <n x="29"/>
        <n x="3"/>
      </t>
    </mdx>
    <mdx n="33" f="v">
      <t c="6">
        <n x="15"/>
        <n x="1337" s="1"/>
        <n x="37"/>
        <n x="7"/>
        <n x="30"/>
        <n x="3"/>
      </t>
    </mdx>
    <mdx n="33" f="v">
      <t c="6">
        <n x="15"/>
        <n x="1337" s="1"/>
        <n x="41"/>
        <n x="32"/>
        <n x="20"/>
        <n x="3"/>
      </t>
    </mdx>
    <mdx n="33" f="v">
      <t c="6" si="9">
        <n x="15"/>
        <n x="1337" s="1"/>
        <n x="40"/>
        <n x="7"/>
        <n x="21"/>
        <n x="1"/>
      </t>
    </mdx>
    <mdx n="33" f="v">
      <t c="6" si="9">
        <n x="15"/>
        <n x="1337" s="1"/>
        <n x="44"/>
        <n x="7"/>
        <n x="23"/>
        <n x="1"/>
      </t>
    </mdx>
    <mdx n="33" f="v">
      <t c="6" si="9">
        <n x="15"/>
        <n x="1337" s="1"/>
        <n x="45"/>
        <n x="7"/>
        <n x="18"/>
        <n x="12"/>
      </t>
    </mdx>
    <mdx n="33" f="v">
      <t c="6" si="9">
        <n x="15"/>
        <n x="1337" s="1"/>
        <n x="45"/>
        <n x="7"/>
        <n x="25"/>
        <n x="12"/>
      </t>
    </mdx>
    <mdx n="33" f="v">
      <t c="6" si="9">
        <n x="15"/>
        <n x="1337" s="1"/>
        <n x="41"/>
        <n x="7"/>
        <n x="6"/>
        <n x="0"/>
      </t>
    </mdx>
    <mdx n="33" f="v">
      <t c="4">
        <n x="60"/>
        <n x="1"/>
        <n x="7"/>
        <n x="1337" s="1"/>
      </t>
    </mdx>
    <mdx n="33" f="v">
      <t c="4">
        <n x="143"/>
        <n x="12"/>
        <n x="7"/>
        <n x="1337" s="1"/>
      </t>
    </mdx>
    <mdx n="33" f="v">
      <t c="6" si="10">
        <n x="15"/>
        <n x="1337" s="1"/>
        <n x="36"/>
        <n x="32"/>
        <n x="17"/>
        <n x="3"/>
      </t>
    </mdx>
    <mdx n="33" f="v">
      <t c="6" si="9">
        <n x="15"/>
        <n x="1337" s="1"/>
        <n x="39"/>
        <n x="7"/>
        <n x="4"/>
        <n x="1"/>
      </t>
    </mdx>
    <mdx n="33" f="v">
      <t c="6" si="10">
        <n x="15"/>
        <n x="1337" s="1"/>
        <n x="44"/>
        <n x="32"/>
        <n x="16"/>
        <n x="1"/>
      </t>
    </mdx>
    <mdx n="33" f="v">
      <t c="4">
        <n x="1302"/>
        <n x="11"/>
        <n x="7"/>
        <n x="1337" s="1"/>
      </t>
    </mdx>
    <mdx n="33" f="v">
      <t c="6" si="9">
        <n x="15"/>
        <n x="1337" s="1"/>
        <n x="37"/>
        <n x="7"/>
        <n x="30"/>
        <n x="1"/>
      </t>
    </mdx>
    <mdx n="33" f="v">
      <t c="4">
        <n x="1168"/>
        <n x="1"/>
        <n x="7"/>
        <n x="1337" s="1"/>
      </t>
    </mdx>
    <mdx n="33" f="v">
      <t c="6" si="9">
        <n x="15"/>
        <n x="1337" s="1"/>
        <n x="34"/>
        <n x="7"/>
        <n x="28"/>
        <n x="12"/>
      </t>
    </mdx>
    <mdx n="33" f="v">
      <t c="6" si="9">
        <n x="15"/>
        <n x="1337" s="1"/>
        <n x="41"/>
        <n x="7"/>
        <n x="26"/>
        <n x="0"/>
      </t>
    </mdx>
    <mdx n="33" f="v">
      <t c="3">
        <n x="1217"/>
        <n x="1336"/>
        <n x="1337" s="1"/>
      </t>
    </mdx>
    <mdx n="33" f="v">
      <t c="6">
        <n x="15"/>
        <n x="1337" s="1"/>
        <n x="41"/>
        <n x="7"/>
        <n x="18"/>
        <n x="3"/>
      </t>
    </mdx>
    <mdx n="33" f="v">
      <t c="6" si="9">
        <n x="15"/>
        <n x="1337" s="1"/>
        <n x="37"/>
        <n x="7"/>
        <n x="18"/>
        <n x="0"/>
      </t>
    </mdx>
    <mdx n="33" f="v">
      <t c="6" si="10">
        <n x="15"/>
        <n x="1337" s="1"/>
        <n x="44"/>
        <n x="32"/>
        <n x="30"/>
        <n x="2"/>
      </t>
    </mdx>
    <mdx n="33" f="v">
      <t c="6" si="9">
        <n x="15"/>
        <n x="1337" s="1"/>
        <n x="41"/>
        <n x="7"/>
        <n x="23"/>
        <n x="1"/>
      </t>
    </mdx>
    <mdx n="33" f="v">
      <t c="6" si="9">
        <n x="15"/>
        <n x="1337" s="1"/>
        <n x="45"/>
        <n x="7"/>
        <n x="6"/>
        <n x="12"/>
      </t>
    </mdx>
    <mdx n="33" f="v">
      <t c="4">
        <n x="125"/>
        <n x="12"/>
        <n x="7"/>
        <n x="1337" s="1"/>
      </t>
    </mdx>
    <mdx n="33" f="v">
      <t c="5" si="10">
        <n x="15"/>
        <n x="1337" s="1"/>
        <n x="34"/>
        <n x="32"/>
        <n x="12"/>
      </t>
    </mdx>
    <mdx n="33" f="v">
      <t c="6">
        <n x="15"/>
        <n x="1337" s="1"/>
        <n x="38"/>
        <n x="7"/>
        <n x="16"/>
        <n x="3"/>
      </t>
    </mdx>
    <mdx n="33" f="v">
      <t c="4" si="10">
        <n x="1314"/>
        <n x="1"/>
        <n x="32"/>
        <n x="1337" s="1"/>
      </t>
    </mdx>
    <mdx n="33" f="v">
      <t c="6" si="10">
        <n x="15"/>
        <n x="1337" s="1"/>
        <n x="34"/>
        <n x="32"/>
        <n x="16"/>
        <n x="12"/>
      </t>
    </mdx>
    <mdx n="33" f="v">
      <t c="5" si="9">
        <n x="15"/>
        <n x="1337" s="1"/>
        <n x="11"/>
        <n x="7"/>
        <n x="17"/>
      </t>
    </mdx>
    <mdx n="33" f="v">
      <t c="6" si="9">
        <n x="15"/>
        <n x="1337" s="1"/>
        <n x="43"/>
        <n x="7"/>
        <n x="29"/>
        <n x="0"/>
      </t>
    </mdx>
    <mdx n="33" f="v">
      <t c="6" si="9">
        <n x="15"/>
        <n x="1337" s="1"/>
        <n x="39"/>
        <n x="7"/>
        <n x="25"/>
        <n x="3"/>
      </t>
    </mdx>
    <mdx n="33" f="v">
      <t c="6" si="10">
        <n x="15"/>
        <n x="1337" s="1"/>
        <n x="42"/>
        <n x="32"/>
        <n x="20"/>
        <n x="2"/>
      </t>
    </mdx>
    <mdx n="33" f="v">
      <t c="6" si="9">
        <n x="15"/>
        <n x="1337" s="1"/>
        <n x="36"/>
        <n x="7"/>
        <n x="19"/>
        <n x="1"/>
      </t>
    </mdx>
    <mdx n="33" f="v">
      <t c="6">
        <n x="15"/>
        <n x="1337" s="1"/>
        <n x="41"/>
        <n x="32"/>
        <n x="4"/>
        <n x="2"/>
      </t>
    </mdx>
    <mdx n="33" f="v">
      <t c="4">
        <n x="104"/>
        <n x="0"/>
        <n x="32"/>
        <n x="1337" s="1"/>
      </t>
    </mdx>
    <mdx n="33" f="v">
      <t c="6" si="9">
        <n x="15"/>
        <n x="1337" s="1"/>
        <n x="38"/>
        <n x="7"/>
        <n x="16"/>
        <n x="1"/>
      </t>
    </mdx>
    <mdx n="33" f="v">
      <t c="6" si="10">
        <n x="15"/>
        <n x="1337" s="1"/>
        <n x="37"/>
        <n x="32"/>
        <n x="4"/>
        <n x="2"/>
      </t>
    </mdx>
    <mdx n="33" f="v">
      <t c="6" si="10">
        <n x="15"/>
        <n x="1337" s="1"/>
        <n x="39"/>
        <n x="32"/>
        <n x="17"/>
        <n x="3"/>
      </t>
    </mdx>
    <mdx n="33" f="v">
      <t c="6" si="10">
        <n x="15"/>
        <n x="1337" s="1"/>
        <n x="37"/>
        <n x="32"/>
        <n x="6"/>
        <n x="2"/>
      </t>
    </mdx>
    <mdx n="33" f="v">
      <t c="4">
        <n x="80"/>
        <n x="11"/>
        <n x="32"/>
        <n x="1337" s="1"/>
      </t>
    </mdx>
    <mdx n="33" f="v">
      <t c="6" si="10">
        <n x="15"/>
        <n x="1337" s="1"/>
        <n x="44"/>
        <n x="32"/>
        <n x="17"/>
        <n x="2"/>
      </t>
    </mdx>
    <mdx n="33" f="v">
      <t c="4">
        <n x="123"/>
        <n x="0"/>
        <n x="32"/>
        <n x="1337" s="1"/>
      </t>
    </mdx>
    <mdx n="33" f="v">
      <t c="6" si="10">
        <n x="15"/>
        <n x="1337" s="1"/>
        <n x="43"/>
        <n x="32"/>
        <n x="19"/>
        <n x="1"/>
      </t>
    </mdx>
    <mdx n="33" f="v">
      <t c="6" si="9">
        <n x="15"/>
        <n x="1337" s="1"/>
        <n x="40"/>
        <n x="7"/>
        <n x="19"/>
        <n x="3"/>
      </t>
    </mdx>
    <mdx n="33" f="v">
      <t c="4">
        <n x="129"/>
        <n x="12"/>
        <n x="7"/>
        <n x="1337" s="1"/>
      </t>
    </mdx>
    <mdx n="33" f="v">
      <t c="6" si="9">
        <n x="15"/>
        <n x="1337" s="1"/>
        <n x="44"/>
        <n x="7"/>
        <n x="16"/>
        <n x="1"/>
      </t>
    </mdx>
    <mdx n="33" f="v">
      <t c="4">
        <n x="62"/>
        <n x="1"/>
        <n x="7"/>
        <n x="1337" s="1"/>
      </t>
    </mdx>
    <mdx n="33" f="v">
      <t c="6">
        <n x="15"/>
        <n x="1337" s="1"/>
        <n x="42"/>
        <n x="7"/>
        <n x="17"/>
        <n x="2"/>
      </t>
    </mdx>
    <mdx n="33" f="v">
      <t c="4">
        <n x="162"/>
        <n x="12"/>
        <n x="7"/>
        <n x="1337" s="1"/>
      </t>
    </mdx>
    <mdx n="33" f="v">
      <t c="3">
        <n x="213"/>
        <n x="1336"/>
        <n x="1337" s="1"/>
      </t>
    </mdx>
    <mdx n="33" f="v">
      <t c="3">
        <n x="247"/>
        <n x="1336"/>
        <n x="1337" s="1"/>
      </t>
    </mdx>
    <mdx n="33" f="v">
      <t c="3">
        <n x="279"/>
        <n x="1336"/>
        <n x="1337" s="1"/>
      </t>
    </mdx>
    <mdx n="33" f="v">
      <t c="4">
        <n x="343"/>
        <n x="0"/>
        <n x="32"/>
        <n x="1337" s="1"/>
      </t>
    </mdx>
    <mdx n="33" f="v">
      <t c="4">
        <n x="393"/>
        <n x="0"/>
        <n x="32"/>
        <n x="1337" s="1"/>
      </t>
    </mdx>
    <mdx n="33" f="v">
      <t c="4">
        <n x="444"/>
        <n x="12"/>
        <n x="7"/>
        <n x="1337" s="1"/>
      </t>
    </mdx>
    <mdx n="33" f="v">
      <t c="4">
        <n x="73"/>
        <n x="1"/>
        <n x="7"/>
        <n x="1337" s="1"/>
      </t>
    </mdx>
    <mdx n="33" f="v">
      <t c="4">
        <n x="184"/>
        <n x="0"/>
        <n x="7"/>
        <n x="1337" s="1"/>
      </t>
    </mdx>
    <mdx n="33" f="v">
      <t c="4">
        <n x="229"/>
        <n x="1"/>
        <n x="32"/>
        <n x="1337" s="1"/>
      </t>
    </mdx>
    <mdx n="33" f="v">
      <t c="6">
        <n x="15"/>
        <n x="1337" s="1"/>
        <n x="41"/>
        <n x="32"/>
        <n x="24"/>
        <n x="3"/>
      </t>
    </mdx>
    <mdx n="33" f="v">
      <t c="6" si="10">
        <n x="15"/>
        <n x="1337" s="1"/>
        <n x="44"/>
        <n x="32"/>
        <n x="16"/>
        <n x="0"/>
      </t>
    </mdx>
    <mdx n="33" f="v">
      <t c="4">
        <n x="84"/>
        <n x="0"/>
        <n x="32"/>
        <n x="1337" s="1"/>
      </t>
    </mdx>
    <mdx n="33" f="v">
      <t c="6">
        <n x="15"/>
        <n x="1337" s="1"/>
        <n x="41"/>
        <n x="7"/>
        <n x="19"/>
        <n x="2"/>
      </t>
    </mdx>
    <mdx n="33" f="v">
      <t c="4">
        <n x="55"/>
        <n x="14"/>
        <n x="32"/>
        <n x="1337" s="1"/>
      </t>
    </mdx>
    <mdx n="33" f="v">
      <t c="6" si="10">
        <n x="15"/>
        <n x="1337" s="1"/>
        <n x="37"/>
        <n x="32"/>
        <n x="23"/>
        <n x="1"/>
      </t>
    </mdx>
    <mdx n="33" f="v">
      <t c="4">
        <n x="156"/>
        <n x="1"/>
        <n x="7"/>
        <n x="1337" s="1"/>
      </t>
    </mdx>
    <mdx n="33" f="v">
      <t c="4">
        <n x="207"/>
        <n x="0"/>
        <n x="7"/>
        <n x="1337" s="1"/>
      </t>
    </mdx>
    <mdx n="33" f="v">
      <t c="4">
        <n x="243"/>
        <n x="14"/>
        <n x="32"/>
        <n x="1337" s="1"/>
      </t>
    </mdx>
    <mdx n="33" f="v">
      <t c="4">
        <n x="275"/>
        <n x="14"/>
        <n x="32"/>
        <n x="1337" s="1"/>
      </t>
    </mdx>
    <mdx n="33" f="v">
      <t c="3">
        <n x="337"/>
        <n x="1336"/>
        <n x="1337" s="1"/>
      </t>
    </mdx>
    <mdx n="33" f="v">
      <t c="3">
        <n x="387"/>
        <n x="1336"/>
        <n x="1337" s="1"/>
      </t>
    </mdx>
    <mdx n="33" f="v">
      <t c="4">
        <n x="438"/>
        <n x="1"/>
        <n x="32"/>
        <n x="1337" s="1"/>
      </t>
    </mdx>
    <mdx n="33" f="v">
      <t c="4">
        <n x="62"/>
        <n x="14"/>
        <n x="32"/>
        <n x="1337" s="1"/>
      </t>
    </mdx>
    <mdx n="33" f="v">
      <t c="4">
        <n x="179"/>
        <n x="12"/>
        <n x="7"/>
        <n x="1337" s="1"/>
      </t>
    </mdx>
    <mdx n="33" f="v">
      <t c="4">
        <n x="225"/>
        <n x="1"/>
        <n x="7"/>
        <n x="1337" s="1"/>
      </t>
    </mdx>
    <mdx n="33" f="v">
      <t c="6" si="10">
        <n x="15"/>
        <n x="1337" s="1"/>
        <n x="37"/>
        <n x="32"/>
        <n x="16"/>
        <n x="0"/>
      </t>
    </mdx>
    <mdx n="33" f="v">
      <t c="6" si="9">
        <n x="15"/>
        <n x="1337" s="1"/>
        <n x="36"/>
        <n x="7"/>
        <n x="19"/>
        <n x="3"/>
      </t>
    </mdx>
    <mdx n="33" f="v">
      <t c="4">
        <n x="113"/>
        <n x="12"/>
        <n x="7"/>
        <n x="1337" s="1"/>
      </t>
    </mdx>
    <mdx n="33" f="v">
      <t c="6" si="10">
        <n x="15"/>
        <n x="1337" s="1"/>
        <n x="43"/>
        <n x="32"/>
        <n x="16"/>
        <n x="3"/>
      </t>
    </mdx>
    <mdx n="33" f="v">
      <t c="4">
        <n x="60"/>
        <n x="11"/>
        <n x="32"/>
        <n x="1337" s="1"/>
      </t>
    </mdx>
    <mdx n="33" f="v">
      <t c="6" si="10">
        <n x="15"/>
        <n x="1337" s="1"/>
        <n x="44"/>
        <n x="32"/>
        <n x="18"/>
        <n x="0"/>
      </t>
    </mdx>
    <mdx n="33" f="v">
      <t c="4">
        <n x="160"/>
        <n x="1"/>
        <n x="32"/>
        <n x="1337" s="1"/>
      </t>
    </mdx>
    <mdx n="33" f="v">
      <t c="4">
        <n x="211"/>
        <n x="0"/>
        <n x="7"/>
        <n x="1337" s="1"/>
      </t>
    </mdx>
    <mdx n="33" f="v">
      <t c="3">
        <n x="246"/>
        <n x="1336"/>
        <n x="1337" s="1"/>
      </t>
    </mdx>
    <mdx n="33" f="v">
      <t c="3">
        <n x="278"/>
        <n x="1336"/>
        <n x="1337" s="1"/>
      </t>
    </mdx>
    <mdx n="33" f="v">
      <t c="3">
        <n x="341"/>
        <n x="1336"/>
        <n x="1337" s="1"/>
      </t>
    </mdx>
    <mdx n="33" f="v">
      <t c="3">
        <n x="391"/>
        <n x="1336"/>
        <n x="1337" s="1"/>
      </t>
    </mdx>
    <mdx n="33" f="v">
      <t c="4">
        <n x="442"/>
        <n x="1"/>
        <n x="32"/>
        <n x="1337" s="1"/>
      </t>
    </mdx>
    <mdx n="33" f="v">
      <t c="4">
        <n x="70"/>
        <n x="14"/>
        <n x="32"/>
        <n x="1337" s="1"/>
      </t>
    </mdx>
    <mdx n="33" f="v">
      <t c="4">
        <n x="183"/>
        <n x="12"/>
        <n x="7"/>
        <n x="1337" s="1"/>
      </t>
    </mdx>
    <mdx n="33" f="v">
      <t c="4">
        <n x="228"/>
        <n x="1"/>
        <n x="32"/>
        <n x="1337" s="1"/>
      </t>
    </mdx>
    <mdx n="33" f="v">
      <t c="4">
        <n x="260"/>
        <n x="1"/>
        <n x="32"/>
        <n x="1337" s="1"/>
      </t>
    </mdx>
    <mdx n="33" f="v">
      <t c="4">
        <n x="312"/>
        <n x="0"/>
        <n x="7"/>
        <n x="1337" s="1"/>
      </t>
    </mdx>
    <mdx n="33" f="v">
      <t c="4">
        <n x="364"/>
        <n x="0"/>
        <n x="32"/>
        <n x="1337" s="1"/>
      </t>
    </mdx>
    <mdx n="33" f="v">
      <t c="6" si="10">
        <n x="15"/>
        <n x="1337" s="1"/>
        <n x="36"/>
        <n x="32"/>
        <n x="17"/>
        <n x="0"/>
      </t>
    </mdx>
    <mdx n="33" f="v">
      <t c="4">
        <n x="146"/>
        <n x="12"/>
        <n x="7"/>
        <n x="1337" s="1"/>
      </t>
    </mdx>
    <mdx n="33" f="v">
      <t c="4">
        <n x="270"/>
        <n x="14"/>
        <n x="32"/>
        <n x="1337" s="1"/>
      </t>
    </mdx>
    <mdx n="33" f="v">
      <t c="6" si="9">
        <n x="15"/>
        <n x="1337" s="1"/>
        <n x="44"/>
        <n x="7"/>
        <n x="6"/>
        <n x="0"/>
      </t>
    </mdx>
    <mdx n="33" f="v">
      <t c="4">
        <n x="249"/>
        <n x="1"/>
        <n x="32"/>
        <n x="1337" s="1"/>
      </t>
    </mdx>
    <mdx n="33" f="v">
      <t c="4">
        <n x="312"/>
        <n x="0"/>
        <n x="32"/>
        <n x="1337" s="1"/>
      </t>
    </mdx>
    <mdx n="33" f="v">
      <t c="4">
        <n x="380"/>
        <n x="0"/>
        <n x="7"/>
        <n x="1337" s="1"/>
      </t>
    </mdx>
    <mdx n="33" f="v">
      <t c="4">
        <n x="434"/>
        <n x="0"/>
        <n x="32"/>
        <n x="1337" s="1"/>
      </t>
    </mdx>
    <mdx n="33" f="v">
      <t c="4">
        <n x="55"/>
        <n x="0"/>
        <n x="32"/>
        <n x="1337" s="1"/>
      </t>
    </mdx>
    <mdx n="33" f="v">
      <t c="3">
        <n x="175"/>
        <n x="1336"/>
        <n x="1337" s="1"/>
      </t>
    </mdx>
    <mdx n="33" f="v">
      <t c="4">
        <n x="223"/>
        <n x="0"/>
        <n x="7"/>
        <n x="1337" s="1"/>
      </t>
    </mdx>
    <mdx n="33" f="v">
      <t c="4">
        <n x="255"/>
        <n x="0"/>
        <n x="7"/>
        <n x="1337" s="1"/>
      </t>
    </mdx>
    <mdx n="33" f="v">
      <t c="4">
        <n x="305"/>
        <n x="0"/>
        <n x="32"/>
        <n x="1337" s="1"/>
      </t>
    </mdx>
    <mdx n="33" f="v">
      <t c="4">
        <n x="356"/>
        <n x="12"/>
        <n x="7"/>
        <n x="1337" s="1"/>
      </t>
    </mdx>
    <mdx n="33" f="v">
      <t c="4">
        <n x="406"/>
        <n x="12"/>
        <n x="7"/>
        <n x="1337" s="1"/>
      </t>
    </mdx>
    <mdx n="33" f="v">
      <t c="3">
        <n x="457"/>
        <n x="1336"/>
        <n x="1337" s="1"/>
      </t>
    </mdx>
    <mdx n="33" f="v">
      <t c="4">
        <n x="237"/>
        <n x="11"/>
        <n x="32"/>
        <n x="1337" s="1"/>
      </t>
    </mdx>
    <mdx n="33" f="v">
      <t c="4">
        <n x="428"/>
        <n x="0"/>
        <n x="7"/>
        <n x="1337" s="1"/>
      </t>
    </mdx>
    <mdx n="33" f="v">
      <t c="4">
        <n x="496"/>
        <n x="0"/>
        <n x="7"/>
        <n x="1337" s="1"/>
      </t>
    </mdx>
    <mdx n="33" f="v">
      <t c="4" si="10">
        <n x="548"/>
        <n x="0"/>
        <n x="32"/>
        <n x="1337" s="1"/>
      </t>
    </mdx>
    <mdx n="33" f="v">
      <t c="4">
        <n x="599"/>
        <n x="12"/>
        <n x="7"/>
        <n x="1337" s="1"/>
      </t>
    </mdx>
    <mdx n="33" f="v">
      <t c="4">
        <n x="633"/>
        <n x="11"/>
        <n x="7"/>
        <n x="1337" s="1"/>
      </t>
    </mdx>
    <mdx n="33" f="v">
      <t c="4">
        <n x="657"/>
        <n x="12"/>
        <n x="7"/>
        <n x="1337" s="1"/>
      </t>
    </mdx>
    <mdx n="33" f="v">
      <t c="4">
        <n x="680"/>
        <n x="0"/>
        <n x="7"/>
        <n x="1337" s="1"/>
      </t>
    </mdx>
    <mdx n="33" f="v">
      <t c="4">
        <n x="240"/>
        <n x="12"/>
        <n x="7"/>
        <n x="1337" s="1"/>
      </t>
    </mdx>
    <mdx n="33" f="v">
      <t c="4">
        <n x="432"/>
        <n x="0"/>
        <n x="7"/>
        <n x="1337" s="1"/>
      </t>
    </mdx>
    <mdx n="33" f="v">
      <t c="4">
        <n x="497"/>
        <n x="0"/>
        <n x="7"/>
        <n x="1337" s="1"/>
      </t>
    </mdx>
    <mdx n="33" f="v">
      <t c="4" si="10">
        <n x="549"/>
        <n x="0"/>
        <n x="32"/>
        <n x="1337" s="1"/>
      </t>
    </mdx>
    <mdx n="33" f="v">
      <t c="4">
        <n x="600"/>
        <n x="12"/>
        <n x="7"/>
        <n x="1337" s="1"/>
      </t>
    </mdx>
    <mdx n="33" f="v">
      <t c="4" si="10">
        <n x="634"/>
        <n x="1"/>
        <n x="32"/>
        <n x="1337" s="1"/>
      </t>
    </mdx>
    <mdx n="33" f="v">
      <t c="6">
        <n x="15"/>
        <n x="1337" s="1"/>
        <n x="37"/>
        <n x="7"/>
        <n x="26"/>
        <n x="2"/>
      </t>
    </mdx>
    <mdx n="33" f="v">
      <t c="4">
        <n x="114"/>
        <n x="12"/>
        <n x="7"/>
        <n x="1337" s="1"/>
      </t>
    </mdx>
    <mdx n="33" f="v">
      <t c="4">
        <n x="264"/>
        <n x="14"/>
        <n x="32"/>
        <n x="1337" s="1"/>
      </t>
    </mdx>
    <mdx n="33" f="v">
      <t c="6" si="9">
        <n x="15"/>
        <n x="1337" s="1"/>
        <n x="43"/>
        <n x="7"/>
        <n x="6"/>
        <n x="1"/>
      </t>
    </mdx>
    <mdx n="33" f="v">
      <t c="4">
        <n x="1226"/>
        <n x="11"/>
        <n x="7"/>
        <n x="1337" s="1"/>
      </t>
    </mdx>
    <mdx n="33" f="v">
      <t c="3">
        <n x="1219"/>
        <n x="1336"/>
        <n x="1337" s="1"/>
      </t>
    </mdx>
    <mdx n="33" f="v">
      <t c="4">
        <n x="1282"/>
        <n x="1"/>
        <n x="7"/>
        <n x="1337" s="1"/>
      </t>
    </mdx>
    <mdx n="33" f="v">
      <t c="6" si="10">
        <n x="15"/>
        <n x="1337" s="1"/>
        <n x="43"/>
        <n x="32"/>
        <n x="21"/>
        <n x="1"/>
      </t>
    </mdx>
    <mdx n="33" f="v">
      <t c="6" si="9">
        <n x="15"/>
        <n x="1337" s="1"/>
        <n x="37"/>
        <n x="7"/>
        <n x="26"/>
        <n x="1"/>
      </t>
    </mdx>
    <mdx n="33" f="v">
      <t c="6" si="9">
        <n x="15"/>
        <n x="1337" s="1"/>
        <n x="39"/>
        <n x="7"/>
        <n x="30"/>
        <n x="1"/>
      </t>
    </mdx>
    <mdx n="33" f="v">
      <t c="6" si="9">
        <n x="15"/>
        <n x="1337" s="1"/>
        <n x="42"/>
        <n x="7"/>
        <n x="4"/>
        <n x="0"/>
      </t>
    </mdx>
    <mdx n="33" f="v">
      <t c="6" si="10">
        <n x="15"/>
        <n x="1337" s="1"/>
        <n x="42"/>
        <n x="32"/>
        <n x="4"/>
        <n x="0"/>
      </t>
    </mdx>
    <mdx n="33" f="v">
      <t c="6" si="9">
        <n x="15"/>
        <n x="1337" s="1"/>
        <n x="39"/>
        <n x="7"/>
        <n x="27"/>
        <n x="2"/>
      </t>
    </mdx>
    <mdx n="33" f="v">
      <t c="6">
        <n x="15"/>
        <n x="1337" s="1"/>
        <n x="42"/>
        <n x="7"/>
        <n x="23"/>
        <n x="2"/>
      </t>
    </mdx>
    <mdx n="33" f="v">
      <t c="5" si="9">
        <n x="15"/>
        <n x="1337" s="1"/>
        <n x="42"/>
        <n x="7"/>
        <n x="0"/>
      </t>
    </mdx>
    <mdx n="33" f="v">
      <t c="4">
        <n x="149"/>
        <n x="12"/>
        <n x="7"/>
        <n x="1337" s="1"/>
      </t>
    </mdx>
    <mdx n="33" f="v">
      <t c="5" si="9">
        <n x="15"/>
        <n x="1337" s="1"/>
        <n x="38"/>
        <n x="7"/>
        <n x="0"/>
      </t>
    </mdx>
    <mdx n="33" f="v">
      <t c="6" si="9">
        <n x="15"/>
        <n x="1337" s="1"/>
        <n x="35"/>
        <n x="7"/>
        <n x="17"/>
        <n x="12"/>
      </t>
    </mdx>
    <mdx n="33" f="v">
      <t c="6" si="9">
        <n x="15"/>
        <n x="1337" s="1"/>
        <n x="37"/>
        <n x="7"/>
        <n x="20"/>
        <n x="3"/>
      </t>
    </mdx>
    <mdx n="33" f="v">
      <t c="6" si="9">
        <n x="15"/>
        <n x="1337" s="1"/>
        <n x="44"/>
        <n x="7"/>
        <n x="16"/>
        <n x="0"/>
      </t>
    </mdx>
    <mdx n="33" f="v">
      <t c="6" si="10">
        <n x="15"/>
        <n x="1337" s="1"/>
        <n x="39"/>
        <n x="32"/>
        <n x="19"/>
        <n x="0"/>
      </t>
    </mdx>
    <mdx n="33" f="v">
      <t c="6">
        <n x="15"/>
        <n x="1337" s="1"/>
        <n x="37"/>
        <n x="32"/>
        <n x="22"/>
        <n x="3"/>
      </t>
    </mdx>
    <mdx n="33" f="v">
      <t c="6" si="10">
        <n x="15"/>
        <n x="1337" s="1"/>
        <n x="40"/>
        <n x="32"/>
        <n x="24"/>
        <n x="0"/>
      </t>
    </mdx>
    <mdx n="33" f="v">
      <t c="6" si="10">
        <n x="15"/>
        <n x="1337" s="1"/>
        <n x="37"/>
        <n x="32"/>
        <n x="18"/>
        <n x="3"/>
      </t>
    </mdx>
    <mdx n="33" f="v">
      <t c="6" si="9">
        <n x="15"/>
        <n x="1337" s="1"/>
        <n x="40"/>
        <n x="7"/>
        <n x="19"/>
        <n x="1"/>
      </t>
    </mdx>
    <mdx n="33" f="v">
      <t c="6" si="10">
        <n x="15"/>
        <n x="1337" s="1"/>
        <n x="43"/>
        <n x="32"/>
        <n x="6"/>
        <n x="2"/>
      </t>
    </mdx>
    <mdx n="33" f="v">
      <t c="4">
        <n x="119"/>
        <n x="12"/>
        <n x="7"/>
        <n x="1337" s="1"/>
      </t>
    </mdx>
    <mdx n="33" f="v">
      <t c="6" si="10">
        <n x="15"/>
        <n x="1337" s="1"/>
        <n x="40"/>
        <n x="32"/>
        <n x="17"/>
        <n x="1"/>
      </t>
    </mdx>
    <mdx n="33" f="v">
      <t c="4">
        <n x="1167"/>
        <n x="1"/>
        <n x="32"/>
        <n x="1337" s="1"/>
      </t>
    </mdx>
    <mdx n="33" f="v">
      <t c="6">
        <n x="15"/>
        <n x="1337" s="1"/>
        <n x="43"/>
        <n x="7"/>
        <n x="16"/>
        <n x="3"/>
      </t>
    </mdx>
    <mdx n="33" f="v">
      <t c="6" si="10">
        <n x="15"/>
        <n x="1337" s="1"/>
        <n x="43"/>
        <n x="32"/>
        <n x="4"/>
        <n x="2"/>
      </t>
    </mdx>
    <mdx n="33" f="v">
      <t c="4">
        <n x="83"/>
        <n x="14"/>
        <n x="32"/>
        <n x="1337" s="1"/>
      </t>
    </mdx>
    <mdx n="33" f="v">
      <t c="6">
        <n x="15"/>
        <n x="1337" s="1"/>
        <n x="37"/>
        <n x="7"/>
        <n x="20"/>
        <n x="2"/>
      </t>
    </mdx>
    <mdx n="33" f="v">
      <t c="4">
        <n x="139"/>
        <n x="0"/>
        <n x="32"/>
        <n x="1337" s="1"/>
      </t>
    </mdx>
    <mdx n="33" f="v">
      <t c="6" si="9">
        <n x="15"/>
        <n x="1337" s="1"/>
        <n x="41"/>
        <n x="7"/>
        <n x="16"/>
        <n x="0"/>
      </t>
    </mdx>
    <mdx n="33" f="v">
      <t c="4">
        <n x="1188"/>
        <n x="1"/>
        <n x="32"/>
        <n x="1337" s="1"/>
      </t>
    </mdx>
    <mdx n="33" f="v">
      <t c="3">
        <n x="1241"/>
        <n x="1336"/>
        <n x="1337" s="1"/>
      </t>
    </mdx>
    <mdx n="33" f="v">
      <t c="6" si="9">
        <n x="15"/>
        <n x="1337" s="1"/>
        <n x="44"/>
        <n x="7"/>
        <n x="18"/>
        <n x="1"/>
      </t>
    </mdx>
    <mdx n="33" f="v">
      <t c="4">
        <n x="66"/>
        <n x="1"/>
        <n x="7"/>
        <n x="1337" s="1"/>
      </t>
    </mdx>
    <mdx n="33" f="v">
      <t c="6">
        <n x="15"/>
        <n x="1337" s="1"/>
        <n x="39"/>
        <n x="7"/>
        <n x="16"/>
        <n x="3"/>
      </t>
    </mdx>
    <mdx n="33" f="v">
      <t c="3">
        <n x="165"/>
        <n x="1336"/>
        <n x="1337" s="1"/>
      </t>
    </mdx>
    <mdx n="33" f="v">
      <t c="4">
        <n x="216"/>
        <n x="1"/>
        <n x="32"/>
        <n x="1337" s="1"/>
      </t>
    </mdx>
    <mdx n="33" f="v">
      <t c="3">
        <n x="249"/>
        <n x="1336"/>
        <n x="1337" s="1"/>
      </t>
    </mdx>
    <mdx n="33" f="v">
      <t c="4">
        <n x="281"/>
        <n x="1"/>
        <n x="7"/>
        <n x="1337" s="1"/>
      </t>
    </mdx>
    <mdx n="33" f="v">
      <t c="4">
        <n x="346"/>
        <n x="12"/>
        <n x="7"/>
        <n x="1337" s="1"/>
      </t>
    </mdx>
    <mdx n="33" f="v">
      <t c="4">
        <n x="396"/>
        <n x="12"/>
        <n x="7"/>
        <n x="1337" s="1"/>
      </t>
    </mdx>
    <mdx n="33" f="v">
      <t c="6" si="10">
        <n x="15"/>
        <n x="1337" s="1"/>
        <n x="39"/>
        <n x="32"/>
        <n x="22"/>
        <n x="0"/>
      </t>
    </mdx>
    <mdx n="33" f="v">
      <t c="4">
        <n x="80"/>
        <n x="12"/>
        <n x="7"/>
        <n x="1337" s="1"/>
      </t>
    </mdx>
    <mdx n="33" f="v">
      <t c="4">
        <n x="188"/>
        <n x="0"/>
        <n x="32"/>
        <n x="1337" s="1"/>
      </t>
    </mdx>
    <mdx n="33" f="v">
      <t c="4">
        <n x="231"/>
        <n x="1"/>
        <n x="32"/>
        <n x="1337" s="1"/>
      </t>
    </mdx>
    <mdx n="33" f="v">
      <t c="5" si="10">
        <n x="15"/>
        <n x="1337" s="1"/>
        <n x="13"/>
        <n x="32"/>
        <n x="16"/>
      </t>
    </mdx>
    <mdx n="33" f="v">
      <t c="6">
        <n x="15"/>
        <n x="1337" s="1"/>
        <n x="43"/>
        <n x="7"/>
        <n x="16"/>
        <n x="2"/>
      </t>
    </mdx>
    <mdx n="33" f="v">
      <t c="4">
        <n x="106"/>
        <n x="0"/>
        <n x="32"/>
        <n x="1337" s="1"/>
      </t>
    </mdx>
    <mdx n="33" f="v">
      <t c="6">
        <n x="15"/>
        <n x="1337" s="1"/>
        <n x="37"/>
        <n x="7"/>
        <n x="17"/>
        <n x="2"/>
      </t>
    </mdx>
    <mdx n="33" f="v">
      <t c="4">
        <n x="59"/>
        <n x="14"/>
        <n x="32"/>
        <n x="1337" s="1"/>
      </t>
    </mdx>
    <mdx n="33" f="v">
      <t c="6" si="10">
        <n x="15"/>
        <n x="1337" s="1"/>
        <n x="42"/>
        <n x="32"/>
        <n x="16"/>
        <n x="1"/>
      </t>
    </mdx>
    <mdx n="33" f="v">
      <t c="4">
        <n x="159"/>
        <n x="0"/>
        <n x="7"/>
        <n x="1337" s="1"/>
      </t>
    </mdx>
    <mdx n="33" f="v">
      <t c="4">
        <n x="211"/>
        <n x="0"/>
        <n x="32"/>
        <n x="1337" s="1"/>
      </t>
    </mdx>
    <mdx n="33" f="v">
      <t c="4">
        <n x="245"/>
        <n x="14"/>
        <n x="32"/>
        <n x="1337" s="1"/>
      </t>
    </mdx>
    <mdx n="33" f="v">
      <t c="4">
        <n x="277"/>
        <n x="14"/>
        <n x="32"/>
        <n x="1337" s="1"/>
      </t>
    </mdx>
    <mdx n="33" f="v">
      <t c="4">
        <n x="340"/>
        <n x="1"/>
        <n x="32"/>
        <n x="1337" s="1"/>
      </t>
    </mdx>
    <mdx n="33" f="v">
      <t c="4">
        <n x="390"/>
        <n x="1"/>
        <n x="32"/>
        <n x="1337" s="1"/>
      </t>
    </mdx>
    <mdx n="33" f="v">
      <t c="4">
        <n x="441"/>
        <n x="0"/>
        <n x="7"/>
        <n x="1337" s="1"/>
      </t>
    </mdx>
    <mdx n="33" f="v">
      <t c="4">
        <n x="69"/>
        <n x="0"/>
        <n x="32"/>
        <n x="1337" s="1"/>
      </t>
    </mdx>
    <mdx n="33" f="v">
      <t c="3">
        <n x="182"/>
        <n x="1336"/>
        <n x="1337" s="1"/>
      </t>
    </mdx>
    <mdx n="33" f="v">
      <t c="4">
        <n x="227"/>
        <n x="1"/>
        <n x="7"/>
        <n x="1337" s="1"/>
      </t>
    </mdx>
    <mdx n="33" f="v">
      <t c="6" si="10">
        <n x="15"/>
        <n x="1337" s="1"/>
        <n x="39"/>
        <n x="32"/>
        <n x="16"/>
        <n x="3"/>
      </t>
    </mdx>
    <mdx n="33" f="v">
      <t c="5" si="10">
        <n x="15"/>
        <n x="1337" s="1"/>
        <n x="11"/>
        <n x="32"/>
        <n x="17"/>
      </t>
    </mdx>
    <mdx n="33" f="v">
      <t c="4">
        <n x="145"/>
        <n x="12"/>
        <n x="7"/>
        <n x="1337" s="1"/>
      </t>
    </mdx>
    <mdx n="33" f="v">
      <t c="6">
        <n x="15"/>
        <n x="1337" s="1"/>
        <n x="41"/>
        <n x="7"/>
        <n x="18"/>
        <n x="2"/>
      </t>
    </mdx>
    <mdx n="33" f="v">
      <t c="4">
        <n x="65"/>
        <n x="12"/>
        <n x="7"/>
        <n x="1337" s="1"/>
      </t>
    </mdx>
    <mdx n="33" f="v">
      <t c="5" si="10">
        <n x="15"/>
        <n x="1337" s="1"/>
        <n x="8"/>
        <n x="32"/>
        <n x="18"/>
      </t>
    </mdx>
    <mdx n="33" f="v">
      <t c="4">
        <n x="163"/>
        <n x="0"/>
        <n x="7"/>
        <n x="1337" s="1"/>
      </t>
    </mdx>
    <mdx n="33" f="v">
      <t c="4">
        <n x="215"/>
        <n x="0"/>
        <n x="32"/>
        <n x="1337" s="1"/>
      </t>
    </mdx>
    <mdx n="33" f="v">
      <t c="3">
        <n x="248"/>
        <n x="1336"/>
        <n x="1337" s="1"/>
      </t>
    </mdx>
    <mdx n="33" f="v">
      <t c="4">
        <n x="280"/>
        <n x="0"/>
        <n x="7"/>
        <n x="1337" s="1"/>
      </t>
    </mdx>
    <mdx n="33" f="v">
      <t c="4">
        <n x="344"/>
        <n x="1"/>
        <n x="32"/>
        <n x="1337" s="1"/>
      </t>
    </mdx>
    <mdx n="33" f="v">
      <t c="6" si="10">
        <n x="15"/>
        <n x="1337" s="1"/>
        <n x="44"/>
        <n x="32"/>
        <n x="16"/>
        <n x="2"/>
      </t>
    </mdx>
    <mdx n="33" f="v">
      <t c="4" si="10">
        <n x="1252"/>
        <n x="1"/>
        <n x="32"/>
        <n x="1337" s="1"/>
      </t>
    </mdx>
    <mdx n="33" f="v">
      <t c="6" si="10">
        <n x="15"/>
        <n x="1337" s="1"/>
        <n x="42"/>
        <n x="32"/>
        <n x="18"/>
        <n x="3"/>
      </t>
    </mdx>
    <mdx n="33" f="v">
      <t c="3">
        <n x="1169"/>
        <n x="1336"/>
        <n x="1337" s="1"/>
      </t>
    </mdx>
    <mdx n="33" f="v">
      <t c="6" si="10">
        <n x="15"/>
        <n x="1337" s="1"/>
        <n x="44"/>
        <n x="32"/>
        <n x="27"/>
        <n x="1"/>
      </t>
    </mdx>
    <mdx n="33" f="v">
      <t c="6" si="9">
        <n x="15"/>
        <n x="1337" s="1"/>
        <n x="40"/>
        <n x="7"/>
        <n x="26"/>
        <n x="0"/>
      </t>
    </mdx>
    <mdx n="33" f="v">
      <t c="6" si="10">
        <n x="15"/>
        <n x="1337" s="1"/>
        <n x="38"/>
        <n x="32"/>
        <n x="16"/>
        <n x="1"/>
      </t>
    </mdx>
    <mdx n="33" f="v">
      <t c="6" si="9">
        <n x="15"/>
        <n x="1337" s="1"/>
        <n x="43"/>
        <n x="7"/>
        <n x="16"/>
        <n x="0"/>
      </t>
    </mdx>
    <mdx n="33" f="v">
      <t c="4">
        <n x="1278"/>
        <n x="11"/>
        <n x="32"/>
        <n x="1337" s="1"/>
      </t>
    </mdx>
    <mdx n="33" f="v">
      <t c="5" si="10">
        <n x="15"/>
        <n x="1337" s="1"/>
        <n x="13"/>
        <n x="32"/>
        <n x="28"/>
      </t>
    </mdx>
    <mdx n="33" f="v">
      <t c="4">
        <n x="1267"/>
        <n x="1"/>
        <n x="7"/>
        <n x="1337" s="1"/>
      </t>
    </mdx>
    <mdx n="33" f="v">
      <t c="6" si="9">
        <n x="15"/>
        <n x="1337" s="1"/>
        <n x="44"/>
        <n x="7"/>
        <n x="28"/>
        <n x="1"/>
      </t>
    </mdx>
    <mdx n="33" f="v">
      <t c="6" si="9">
        <n x="15"/>
        <n x="1337" s="1"/>
        <n x="43"/>
        <n x="7"/>
        <n x="22"/>
        <n x="1"/>
      </t>
    </mdx>
    <mdx n="33" f="v">
      <t c="6" si="10">
        <n x="15"/>
        <n x="1337" s="1"/>
        <n x="43"/>
        <n x="32"/>
        <n x="25"/>
        <n x="0"/>
      </t>
    </mdx>
    <mdx n="33" f="v">
      <t c="6" si="9">
        <n x="15"/>
        <n x="1337" s="1"/>
        <n x="39"/>
        <n x="7"/>
        <n x="24"/>
        <n x="0"/>
      </t>
    </mdx>
    <mdx n="33" f="v">
      <t c="4" si="10">
        <n x="1320"/>
        <n x="1"/>
        <n x="32"/>
        <n x="1337" s="1"/>
      </t>
    </mdx>
    <mdx n="33" f="v">
      <t c="6">
        <n x="15"/>
        <n x="1337" s="1"/>
        <n x="41"/>
        <n x="7"/>
        <n x="27"/>
        <n x="2"/>
      </t>
    </mdx>
    <mdx n="33" f="v">
      <t c="6" si="9">
        <n x="15"/>
        <n x="1337" s="1"/>
        <n x="36"/>
        <n x="7"/>
        <n x="31"/>
        <n x="0"/>
      </t>
    </mdx>
    <mdx n="33" f="v">
      <t c="6" si="9">
        <n x="15"/>
        <n x="1337" s="1"/>
        <n x="43"/>
        <n x="7"/>
        <n x="22"/>
        <n x="0"/>
      </t>
    </mdx>
    <mdx n="33" f="v">
      <t c="6" si="10">
        <n x="15"/>
        <n x="1337" s="1"/>
        <n x="36"/>
        <n x="32"/>
        <n x="20"/>
        <n x="1"/>
      </t>
    </mdx>
    <mdx n="33" f="v">
      <t c="6">
        <n x="15"/>
        <n x="1337" s="1"/>
        <n x="38"/>
        <n x="32"/>
        <n x="16"/>
        <n x="2"/>
      </t>
    </mdx>
    <mdx n="33" f="v">
      <t c="6" si="10">
        <n x="15"/>
        <n x="1337" s="1"/>
        <n x="36"/>
        <n x="32"/>
        <n x="29"/>
        <n x="1"/>
      </t>
    </mdx>
    <mdx n="33" f="v">
      <t c="6" si="9">
        <n x="15"/>
        <n x="1337" s="1"/>
        <n x="39"/>
        <n x="7"/>
        <n x="26"/>
        <n x="1"/>
      </t>
    </mdx>
    <mdx n="33" f="v">
      <t c="4">
        <n x="1190"/>
        <n x="1"/>
        <n x="32"/>
        <n x="1337" s="1"/>
      </t>
    </mdx>
    <mdx n="33" f="v">
      <t c="6" si="10">
        <n x="15"/>
        <n x="1337" s="1"/>
        <n x="37"/>
        <n x="32"/>
        <n x="26"/>
        <n x="3"/>
      </t>
    </mdx>
    <mdx n="33" f="v">
      <t c="6" si="10">
        <n x="15"/>
        <n x="1337" s="1"/>
        <n x="44"/>
        <n x="32"/>
        <n x="26"/>
        <n x="3"/>
      </t>
    </mdx>
    <mdx n="33" f="v">
      <t c="6" si="9">
        <n x="15"/>
        <n x="1337" s="1"/>
        <n x="47"/>
        <n x="7"/>
        <n x="31"/>
        <n x="12"/>
      </t>
    </mdx>
    <mdx n="33" f="v">
      <t c="6" si="9">
        <n x="15"/>
        <n x="1337" s="1"/>
        <n x="40"/>
        <n x="7"/>
        <n x="26"/>
        <n x="2"/>
      </t>
    </mdx>
    <mdx n="33" f="v">
      <t c="6" si="10">
        <n x="15"/>
        <n x="1337" s="1"/>
        <n x="38"/>
        <n x="32"/>
        <n x="24"/>
        <n x="2"/>
      </t>
    </mdx>
    <mdx n="33" f="v">
      <t c="6" si="9">
        <n x="15"/>
        <n x="1337" s="1"/>
        <n x="42"/>
        <n x="7"/>
        <n x="16"/>
        <n x="1"/>
      </t>
    </mdx>
    <mdx n="33" f="v">
      <t c="6" si="10">
        <n x="15"/>
        <n x="1337" s="1"/>
        <n x="39"/>
        <n x="32"/>
        <n x="6"/>
        <n x="3"/>
      </t>
    </mdx>
    <mdx n="33" f="v">
      <t c="4">
        <n x="92"/>
        <n x="0"/>
        <n x="32"/>
        <n x="1337" s="1"/>
      </t>
    </mdx>
    <mdx n="33" f="v">
      <t c="6" si="10">
        <n x="15"/>
        <n x="1337" s="1"/>
        <n x="41"/>
        <n x="32"/>
        <n x="23"/>
        <n x="1"/>
      </t>
    </mdx>
    <mdx n="33" f="v">
      <t c="6" si="9">
        <n x="15"/>
        <n x="1337" s="1"/>
        <n x="37"/>
        <n x="7"/>
        <n x="16"/>
        <n x="0"/>
      </t>
    </mdx>
    <mdx n="33" f="v">
      <t c="6">
        <n x="15"/>
        <n x="1337" s="1"/>
        <n x="36"/>
        <n x="32"/>
        <n x="22"/>
        <n x="3"/>
      </t>
    </mdx>
    <mdx n="33" f="v">
      <t c="6" si="10">
        <n x="15"/>
        <n x="1337" s="1"/>
        <n x="37"/>
        <n x="32"/>
        <n x="20"/>
        <n x="3"/>
      </t>
    </mdx>
    <mdx n="33" f="v">
      <t c="6" si="10">
        <n x="15"/>
        <n x="1337" s="1"/>
        <n x="46"/>
        <n x="32"/>
        <n x="29"/>
        <n x="12"/>
      </t>
    </mdx>
    <mdx n="33" f="v">
      <t c="6">
        <n x="15"/>
        <n x="1337" s="1"/>
        <n x="41"/>
        <n x="7"/>
        <n x="29"/>
        <n x="3"/>
      </t>
    </mdx>
    <mdx n="33" f="v">
      <t c="6">
        <n x="15"/>
        <n x="1337" s="1"/>
        <n x="44"/>
        <n x="32"/>
        <n x="21"/>
        <n x="3"/>
      </t>
    </mdx>
    <mdx n="33" f="v">
      <t c="6" si="10">
        <n x="15"/>
        <n x="1337" s="1"/>
        <n x="46"/>
        <n x="32"/>
        <n x="26"/>
        <n x="12"/>
      </t>
    </mdx>
    <mdx n="33" f="v">
      <t c="6" si="9">
        <n x="15"/>
        <n x="1337" s="1"/>
        <n x="44"/>
        <n x="7"/>
        <n x="21"/>
        <n x="1"/>
      </t>
    </mdx>
    <mdx n="33" f="v">
      <t c="6" si="9">
        <n x="15"/>
        <n x="1337" s="1"/>
        <n x="39"/>
        <n x="7"/>
        <n x="26"/>
        <n x="2"/>
      </t>
    </mdx>
    <mdx n="33" f="v">
      <t c="6" si="10">
        <n x="15"/>
        <n x="1337" s="1"/>
        <n x="39"/>
        <n x="32"/>
        <n x="18"/>
        <n x="3"/>
      </t>
    </mdx>
    <mdx n="33" f="v">
      <t c="3">
        <n x="1270"/>
        <n x="1336"/>
        <n x="1337" s="1"/>
      </t>
    </mdx>
    <mdx n="33" f="v">
      <t c="6" si="9">
        <n x="15"/>
        <n x="1337" s="1"/>
        <n x="38"/>
        <n x="7"/>
        <n x="17"/>
        <n x="0"/>
      </t>
    </mdx>
    <mdx n="33" f="v">
      <t c="6" si="9">
        <n x="15"/>
        <n x="1337" s="1"/>
        <n x="40"/>
        <n x="7"/>
        <n x="6"/>
        <n x="3"/>
      </t>
    </mdx>
    <mdx n="33" f="v">
      <t c="4">
        <n x="102"/>
        <n x="0"/>
        <n x="32"/>
        <n x="1337" s="1"/>
      </t>
    </mdx>
    <mdx n="33" f="v">
      <t c="6" si="10">
        <n x="15"/>
        <n x="1337" s="1"/>
        <n x="37"/>
        <n x="32"/>
        <n x="23"/>
        <n x="2"/>
      </t>
    </mdx>
    <mdx n="33" f="v">
      <t c="6" si="9">
        <n x="15"/>
        <n x="1337" s="1"/>
        <n x="37"/>
        <n x="7"/>
        <n x="18"/>
        <n x="3"/>
      </t>
    </mdx>
    <mdx n="33" f="v">
      <t c="6" si="10">
        <n x="15"/>
        <n x="1337" s="1"/>
        <n x="42"/>
        <n x="32"/>
        <n x="31"/>
        <n x="2"/>
      </t>
    </mdx>
    <mdx n="33" f="v">
      <t c="6" si="9">
        <n x="15"/>
        <n x="1337" s="1"/>
        <n x="36"/>
        <n x="7"/>
        <n x="16"/>
        <n x="0"/>
      </t>
    </mdx>
    <mdx n="33" f="v">
      <t c="4" si="10">
        <n x="1272"/>
        <n x="1"/>
        <n x="32"/>
        <n x="1337" s="1"/>
      </t>
    </mdx>
    <mdx n="33" f="v">
      <t c="6">
        <n x="15"/>
        <n x="1337" s="1"/>
        <n x="41"/>
        <n x="7"/>
        <n x="27"/>
        <n x="1"/>
      </t>
    </mdx>
    <mdx n="33" f="v">
      <t c="6" si="10">
        <n x="15"/>
        <n x="1337" s="1"/>
        <n x="37"/>
        <n x="32"/>
        <n x="27"/>
        <n x="1"/>
      </t>
    </mdx>
    <mdx n="33" f="v">
      <t c="6" si="9">
        <n x="15"/>
        <n x="1337" s="1"/>
        <n x="36"/>
        <n x="7"/>
        <n x="17"/>
        <n x="1"/>
      </t>
    </mdx>
    <mdx n="33" f="v">
      <t c="6" si="9">
        <n x="15"/>
        <n x="1337" s="1"/>
        <n x="36"/>
        <n x="7"/>
        <n x="23"/>
        <n x="3"/>
      </t>
    </mdx>
    <mdx n="33" f="v">
      <t c="6" si="10">
        <n x="15"/>
        <n x="1337" s="1"/>
        <n x="44"/>
        <n x="32"/>
        <n x="18"/>
        <n x="2"/>
      </t>
    </mdx>
    <mdx n="33" f="v">
      <t c="6" si="9">
        <n x="15"/>
        <n x="1337" s="1"/>
        <n x="36"/>
        <n x="7"/>
        <n x="25"/>
        <n x="3"/>
      </t>
    </mdx>
    <mdx n="33" f="v">
      <t c="6" si="9">
        <n x="15"/>
        <n x="1337" s="1"/>
        <n x="43"/>
        <n x="7"/>
        <n x="4"/>
        <n x="1"/>
      </t>
    </mdx>
    <mdx n="33" f="v">
      <t c="4">
        <n x="73"/>
        <n x="14"/>
        <n x="32"/>
        <n x="1337" s="1"/>
      </t>
    </mdx>
    <mdx n="33" f="v">
      <t c="6" si="10">
        <n x="15"/>
        <n x="1337" s="1"/>
        <n x="46"/>
        <n x="32"/>
        <n x="21"/>
        <n x="12"/>
      </t>
    </mdx>
    <mdx n="33" f="v">
      <t c="6" si="9">
        <n x="15"/>
        <n x="1337" s="1"/>
        <n x="40"/>
        <n x="7"/>
        <n x="20"/>
        <n x="0"/>
      </t>
    </mdx>
    <mdx n="33" f="v">
      <t c="3">
        <n x="1318"/>
        <n x="1336"/>
        <n x="1337" s="1"/>
      </t>
    </mdx>
    <mdx n="33" f="v">
      <t c="6" si="10">
        <n x="15"/>
        <n x="1337" s="1"/>
        <n x="42"/>
        <n x="32"/>
        <n x="17"/>
        <n x="2"/>
      </t>
    </mdx>
    <mdx n="33" f="v">
      <t c="4" si="10">
        <n x="1185"/>
        <n x="14"/>
        <n x="32"/>
        <n x="1337" s="1"/>
      </t>
    </mdx>
    <mdx n="33" f="v">
      <t c="3">
        <n x="1296"/>
        <n x="1336"/>
        <n x="1337" s="1"/>
      </t>
    </mdx>
    <mdx n="33" f="v">
      <t c="6" si="9">
        <n x="15"/>
        <n x="1337" s="1"/>
        <n x="44"/>
        <n x="7"/>
        <n x="22"/>
        <n x="1"/>
      </t>
    </mdx>
    <mdx n="33" f="v">
      <t c="6" si="10">
        <n x="15"/>
        <n x="1337" s="1"/>
        <n x="45"/>
        <n x="32"/>
        <n x="20"/>
        <n x="12"/>
      </t>
    </mdx>
    <mdx n="33" f="v">
      <t c="6" si="10">
        <n x="15"/>
        <n x="1337" s="1"/>
        <n x="46"/>
        <n x="32"/>
        <n x="30"/>
        <n x="12"/>
      </t>
    </mdx>
    <mdx n="33" f="v">
      <t c="6" si="9">
        <n x="15"/>
        <n x="1337" s="1"/>
        <n x="41"/>
        <n x="7"/>
        <n x="26"/>
        <n x="1"/>
      </t>
    </mdx>
    <mdx n="33" f="v">
      <t c="4">
        <n x="49"/>
        <n x="14"/>
        <n x="32"/>
        <n x="1337" s="1"/>
      </t>
    </mdx>
    <mdx n="33" f="v">
      <t c="5">
        <n x="15"/>
        <n x="1337" s="1"/>
        <n x="13"/>
        <n x="7"/>
        <n x="30"/>
      </t>
    </mdx>
    <mdx n="33" f="v">
      <t c="6" si="9">
        <n x="15"/>
        <n x="1337" s="1"/>
        <n x="39"/>
        <n x="7"/>
        <n x="30"/>
        <n x="0"/>
      </t>
    </mdx>
    <mdx n="33" f="v">
      <t c="6">
        <n x="15"/>
        <n x="1337" s="1"/>
        <n x="38"/>
        <n x="7"/>
        <n x="19"/>
        <n x="0"/>
      </t>
    </mdx>
    <mdx n="33" f="v">
      <t c="6">
        <n x="15"/>
        <n x="1337" s="1"/>
        <n x="41"/>
        <n x="7"/>
        <n x="6"/>
        <n x="2"/>
      </t>
    </mdx>
    <mdx n="33" f="v">
      <t c="6" si="10">
        <n x="15"/>
        <n x="1337" s="1"/>
        <n x="39"/>
        <n x="32"/>
        <n x="30"/>
        <n x="3"/>
      </t>
    </mdx>
    <mdx n="33" f="v">
      <t c="6" si="9">
        <n x="15"/>
        <n x="1337" s="1"/>
        <n x="37"/>
        <n x="7"/>
        <n x="4"/>
        <n x="2"/>
      </t>
    </mdx>
    <mdx n="33" f="v">
      <t c="6" si="9">
        <n x="15"/>
        <n x="1337" s="1"/>
        <n x="38"/>
        <n x="7"/>
        <n x="18"/>
        <n x="2"/>
      </t>
    </mdx>
    <mdx n="33" f="v">
      <t c="6">
        <n x="15"/>
        <n x="1337" s="1"/>
        <n x="44"/>
        <n x="7"/>
        <n x="31"/>
        <n x="3"/>
      </t>
    </mdx>
    <mdx n="33" f="v">
      <t c="6">
        <n x="15"/>
        <n x="1337" s="1"/>
        <n x="41"/>
        <n x="32"/>
        <n x="22"/>
        <n x="3"/>
      </t>
    </mdx>
    <mdx n="33" f="v">
      <t c="6" si="9">
        <n x="15"/>
        <n x="1337" s="1"/>
        <n x="45"/>
        <n x="7"/>
        <n x="19"/>
        <n x="12"/>
      </t>
    </mdx>
    <mdx n="33" f="v">
      <t c="6" si="10">
        <n x="15"/>
        <n x="1337" s="1"/>
        <n x="40"/>
        <n x="32"/>
        <n x="28"/>
        <n x="3"/>
      </t>
    </mdx>
    <mdx n="33" f="v">
      <t c="6" si="10">
        <n x="15"/>
        <n x="1337" s="1"/>
        <n x="36"/>
        <n x="32"/>
        <n x="26"/>
        <n x="3"/>
      </t>
    </mdx>
    <mdx n="33" f="v">
      <t c="6" si="10">
        <n x="15"/>
        <n x="1337" s="1"/>
        <n x="40"/>
        <n x="32"/>
        <n x="17"/>
        <n x="3"/>
      </t>
    </mdx>
    <mdx n="33" f="v">
      <t c="5" si="9">
        <n x="15"/>
        <n x="1337" s="1"/>
        <n x="8"/>
        <n x="7"/>
        <n x="16"/>
      </t>
    </mdx>
    <mdx n="33" f="v">
      <t c="6" si="9">
        <n x="15"/>
        <n x="1337" s="1"/>
        <n x="36"/>
        <n x="7"/>
        <n x="6"/>
        <n x="3"/>
      </t>
    </mdx>
    <mdx n="33" f="v">
      <t c="4">
        <n x="151"/>
        <n x="12"/>
        <n x="7"/>
        <n x="1337" s="1"/>
      </t>
    </mdx>
    <mdx n="33" f="v">
      <t c="6">
        <n x="15"/>
        <n x="1337" s="1"/>
        <n x="38"/>
        <n x="7"/>
        <n x="17"/>
        <n x="2"/>
      </t>
    </mdx>
    <mdx n="33" f="v">
      <t c="6" si="10">
        <n x="15"/>
        <n x="1337" s="1"/>
        <n x="39"/>
        <n x="32"/>
        <n x="29"/>
        <n x="3"/>
      </t>
    </mdx>
    <mdx n="33" f="v">
      <t c="5" si="9">
        <n x="15"/>
        <n x="1337" s="1"/>
        <n x="11"/>
        <n x="7"/>
        <n x="16"/>
      </t>
    </mdx>
    <mdx n="33" f="v">
      <t c="6" si="10">
        <n x="15"/>
        <n x="1337" s="1"/>
        <n x="40"/>
        <n x="32"/>
        <n x="4"/>
        <n x="3"/>
      </t>
    </mdx>
    <mdx n="33" f="v">
      <t c="4">
        <n x="97"/>
        <n x="0"/>
        <n x="32"/>
        <n x="1337" s="1"/>
      </t>
    </mdx>
    <mdx n="33" f="v">
      <t c="6" si="10">
        <n x="15"/>
        <n x="1337" s="1"/>
        <n x="38"/>
        <n x="32"/>
        <n x="4"/>
        <n x="1"/>
      </t>
    </mdx>
    <mdx n="33" f="v">
      <t c="4">
        <n x="1174"/>
        <n x="1"/>
        <n x="32"/>
        <n x="1337" s="1"/>
      </t>
    </mdx>
    <mdx n="33" f="v">
      <t c="5" si="9">
        <n x="15"/>
        <n x="1337" s="1"/>
        <n x="8"/>
        <n x="7"/>
        <n x="29"/>
      </t>
    </mdx>
    <mdx n="33" f="v">
      <t c="5" si="9">
        <n x="15"/>
        <n x="1337" s="1"/>
        <n x="14"/>
        <n x="7"/>
        <n x="20"/>
      </t>
    </mdx>
    <mdx n="33" f="v">
      <t c="6" si="10">
        <n x="15"/>
        <n x="1337" s="1"/>
        <n x="38"/>
        <n x="32"/>
        <n x="16"/>
        <n x="0"/>
      </t>
    </mdx>
    <mdx n="33" f="v">
      <t c="5" si="10">
        <n x="15"/>
        <n x="1337" s="1"/>
        <n x="42"/>
        <n x="32"/>
        <n x="0"/>
      </t>
    </mdx>
    <mdx n="33" f="v">
      <t c="4">
        <n x="79"/>
        <n x="14"/>
        <n x="32"/>
        <n x="1337" s="1"/>
      </t>
    </mdx>
    <mdx n="33" f="v">
      <t c="6" si="9">
        <n x="15"/>
        <n x="1337" s="1"/>
        <n x="36"/>
        <n x="7"/>
        <n x="4"/>
        <n x="3"/>
      </t>
    </mdx>
    <mdx n="33" f="v">
      <t c="4">
        <n x="175"/>
        <n x="0"/>
        <n x="32"/>
        <n x="1337" s="1"/>
      </t>
    </mdx>
    <mdx n="33" f="v">
      <t c="3">
        <n x="223"/>
        <n x="1336"/>
        <n x="1337" s="1"/>
      </t>
    </mdx>
    <mdx n="33" f="v">
      <t c="3">
        <n x="255"/>
        <n x="1336"/>
        <n x="1337" s="1"/>
      </t>
    </mdx>
    <mdx n="33" f="v">
      <t c="4">
        <n x="304"/>
        <n x="1"/>
        <n x="32"/>
        <n x="1337" s="1"/>
      </t>
    </mdx>
    <mdx n="33" f="v">
      <t c="4">
        <n x="355"/>
        <n x="0"/>
        <n x="7"/>
        <n x="1337" s="1"/>
      </t>
    </mdx>
    <mdx n="33" f="v">
      <t c="4">
        <n x="405"/>
        <n x="0"/>
        <n x="7"/>
        <n x="1337" s="1"/>
      </t>
    </mdx>
    <mdx n="33" f="v">
      <t c="6" si="10">
        <n x="15"/>
        <n x="1337" s="1"/>
        <n x="37"/>
        <n x="32"/>
        <n x="18"/>
        <n x="1"/>
      </t>
    </mdx>
    <mdx n="33" f="v">
      <t c="4">
        <n x="112"/>
        <n x="0"/>
        <n x="32"/>
        <n x="1337" s="1"/>
      </t>
    </mdx>
    <mdx n="33" f="v">
      <t c="4">
        <n x="197"/>
        <n x="1"/>
        <n x="32"/>
        <n x="1337" s="1"/>
      </t>
    </mdx>
    <mdx n="33" f="v">
      <t c="6" si="10">
        <n x="15"/>
        <n x="1337" s="1"/>
        <n x="39"/>
        <n x="32"/>
        <n x="28"/>
        <n x="0"/>
      </t>
    </mdx>
    <mdx n="33" f="v">
      <t c="4">
        <n x="1196"/>
        <n x="1"/>
        <n x="32"/>
        <n x="1337" s="1"/>
      </t>
    </mdx>
    <mdx n="33" f="v">
      <t c="6" si="9">
        <n x="15"/>
        <n x="1337" s="1"/>
        <n x="40"/>
        <n x="7"/>
        <n x="31"/>
        <n x="3"/>
      </t>
    </mdx>
    <mdx n="33" f="v">
      <t c="6" si="9">
        <n x="15"/>
        <n x="1337" s="1"/>
        <n x="36"/>
        <n x="7"/>
        <n x="30"/>
        <n x="0"/>
      </t>
    </mdx>
    <mdx n="33" f="v">
      <t c="6" si="10">
        <n x="15"/>
        <n x="1337" s="1"/>
        <n x="47"/>
        <n x="32"/>
        <n x="6"/>
        <n x="12"/>
      </t>
    </mdx>
    <mdx n="33" f="v">
      <t c="4">
        <n x="72"/>
        <n x="11"/>
        <n x="32"/>
        <n x="1337" s="1"/>
      </t>
    </mdx>
    <mdx n="33" f="v">
      <t c="5" si="9">
        <n x="15"/>
        <n x="1337" s="1"/>
        <n x="35"/>
        <n x="7"/>
        <n x="12"/>
      </t>
    </mdx>
    <mdx n="33" f="v">
      <t c="3">
        <n x="169"/>
        <n x="1336"/>
        <n x="1337" s="1"/>
      </t>
    </mdx>
    <mdx n="33" f="v">
      <t c="4">
        <n x="219"/>
        <n x="14"/>
        <n x="32"/>
        <n x="1337" s="1"/>
      </t>
    </mdx>
    <mdx n="33" f="v">
      <t c="4">
        <n x="251"/>
        <n x="14"/>
        <n x="32"/>
        <n x="1337" s="1"/>
      </t>
    </mdx>
    <mdx n="33" f="v">
      <t c="4">
        <n x="291"/>
        <n x="12"/>
        <n x="7"/>
        <n x="1337" s="1"/>
      </t>
    </mdx>
    <mdx n="33" f="v">
      <t c="4">
        <n x="350"/>
        <n x="12"/>
        <n x="7"/>
        <n x="1337" s="1"/>
      </t>
    </mdx>
    <mdx n="33" f="v">
      <t c="4">
        <n x="400"/>
        <n x="12"/>
        <n x="7"/>
        <n x="1337" s="1"/>
      </t>
    </mdx>
    <mdx n="33" f="v">
      <t c="6" si="10">
        <n x="15"/>
        <n x="1337" s="1"/>
        <n x="38"/>
        <n x="32"/>
        <n x="23"/>
        <n x="1"/>
      </t>
    </mdx>
    <mdx n="33" f="v">
      <t c="4">
        <n x="88"/>
        <n x="12"/>
        <n x="7"/>
        <n x="1337" s="1"/>
      </t>
    </mdx>
    <mdx n="33" f="v">
      <t c="4">
        <n x="192"/>
        <n x="0"/>
        <n x="32"/>
        <n x="1337" s="1"/>
      </t>
    </mdx>
    <mdx n="33" f="v">
      <t c="6" si="9">
        <n x="15"/>
        <n x="1337" s="1"/>
        <n x="36"/>
        <n x="7"/>
        <n x="22"/>
        <n x="1"/>
      </t>
    </mdx>
    <mdx n="33" f="v">
      <t c="6" si="9">
        <n x="15"/>
        <n x="1337" s="1"/>
        <n x="42"/>
        <n x="7"/>
        <n x="29"/>
        <n x="1"/>
      </t>
    </mdx>
    <mdx n="33" f="v">
      <t c="6" si="9">
        <n x="15"/>
        <n x="1337" s="1"/>
        <n x="37"/>
        <n x="7"/>
        <n x="25"/>
        <n x="3"/>
      </t>
    </mdx>
    <mdx n="33" f="v">
      <t c="6" si="10">
        <n x="15"/>
        <n x="1337" s="1"/>
        <n x="39"/>
        <n x="32"/>
        <n x="25"/>
        <n x="3"/>
      </t>
    </mdx>
    <mdx n="33" f="v">
      <t c="6" si="10">
        <n x="15"/>
        <n x="1337" s="1"/>
        <n x="41"/>
        <n x="32"/>
        <n x="6"/>
        <n x="0"/>
      </t>
    </mdx>
    <mdx n="33" f="v">
      <t c="4">
        <n x="78"/>
        <n x="0"/>
        <n x="32"/>
        <n x="1337" s="1"/>
      </t>
    </mdx>
    <mdx n="33" f="v">
      <t c="5">
        <n x="15"/>
        <n x="1337" s="1"/>
        <n x="41"/>
        <n x="7"/>
        <n x="2"/>
      </t>
    </mdx>
    <mdx n="33" f="v">
      <t c="3">
        <n x="173"/>
        <n x="1336"/>
        <n x="1337" s="1"/>
      </t>
    </mdx>
    <mdx n="33" f="v">
      <t c="3">
        <n x="222"/>
        <n x="1336"/>
        <n x="1337" s="1"/>
      </t>
    </mdx>
    <mdx n="33" f="v">
      <t c="3">
        <n x="254"/>
        <n x="1336"/>
        <n x="1337" s="1"/>
      </t>
    </mdx>
    <mdx n="33" f="v">
      <t c="4">
        <n x="301"/>
        <n x="12"/>
        <n x="7"/>
        <n x="1337" s="1"/>
      </t>
    </mdx>
    <mdx n="33" f="v">
      <t c="4">
        <n x="354"/>
        <n x="12"/>
        <n x="7"/>
        <n x="1337" s="1"/>
      </t>
    </mdx>
    <mdx n="33" f="v">
      <t c="4">
        <n x="404"/>
        <n x="12"/>
        <n x="7"/>
        <n x="1337" s="1"/>
      </t>
    </mdx>
    <mdx n="33" f="v">
      <t c="6" si="10">
        <n x="15"/>
        <n x="1337" s="1"/>
        <n x="44"/>
        <n x="32"/>
        <n x="19"/>
        <n x="1"/>
      </t>
    </mdx>
    <mdx n="33" f="v">
      <t c="4">
        <n x="104"/>
        <n x="12"/>
        <n x="7"/>
        <n x="1337" s="1"/>
      </t>
    </mdx>
    <mdx n="33" f="v">
      <t c="4">
        <n x="196"/>
        <n x="0"/>
        <n x="32"/>
        <n x="1337" s="1"/>
      </t>
    </mdx>
    <mdx n="33" f="v">
      <t c="4">
        <n x="236"/>
        <n x="1"/>
        <n x="32"/>
        <n x="1337" s="1"/>
      </t>
    </mdx>
    <mdx n="33" f="v">
      <t c="4">
        <n x="268"/>
        <n x="1"/>
        <n x="32"/>
        <n x="1337" s="1"/>
      </t>
    </mdx>
    <mdx n="33" f="v">
      <t c="4">
        <n x="325"/>
        <n x="1"/>
        <n x="32"/>
        <n x="1337" s="1"/>
      </t>
    </mdx>
    <mdx n="33" f="v">
      <t c="4">
        <n x="376"/>
        <n x="0"/>
        <n x="7"/>
        <n x="1337" s="1"/>
      </t>
    </mdx>
    <mdx n="33" f="v">
      <t c="4">
        <n x="52"/>
        <n x="0"/>
        <n x="32"/>
        <n x="1337" s="1"/>
      </t>
    </mdx>
    <mdx n="33" f="v">
      <t c="4">
        <n x="115"/>
        <n x="0"/>
        <n x="32"/>
        <n x="1337" s="1"/>
      </t>
    </mdx>
    <mdx n="33" f="v">
      <t c="3">
        <n x="329"/>
        <n x="1336"/>
        <n x="1337" s="1"/>
      </t>
    </mdx>
    <mdx n="33" f="v">
      <t c="4">
        <n x="171"/>
        <n x="12"/>
        <n x="7"/>
        <n x="1337" s="1"/>
      </t>
    </mdx>
    <mdx n="33" f="v">
      <t c="4">
        <n x="259"/>
        <n x="1"/>
        <n x="7"/>
        <n x="1337" s="1"/>
      </t>
    </mdx>
    <mdx n="33" f="v">
      <t c="4">
        <n x="329"/>
        <n x="1"/>
        <n x="32"/>
        <n x="1337" s="1"/>
      </t>
    </mdx>
    <mdx n="33" f="v">
      <t c="4">
        <n x="395"/>
        <n x="1"/>
        <n x="32"/>
        <n x="1337" s="1"/>
      </t>
    </mdx>
    <mdx n="33" f="v">
      <t c="6">
        <n x="15"/>
        <n x="1337" s="1"/>
        <n x="40"/>
        <n x="32"/>
        <n x="21"/>
        <n x="2"/>
      </t>
    </mdx>
    <mdx n="33" f="v">
      <t c="4">
        <n x="80"/>
        <n x="14"/>
        <n x="32"/>
        <n x="1337" s="1"/>
      </t>
    </mdx>
    <mdx n="33" f="v">
      <t c="4">
        <n x="188"/>
        <n x="12"/>
        <n x="7"/>
        <n x="1337" s="1"/>
      </t>
    </mdx>
    <mdx n="33" f="v">
      <t c="4">
        <n x="231"/>
        <n x="0"/>
        <n x="7"/>
        <n x="1337" s="1"/>
      </t>
    </mdx>
    <mdx n="33" f="v">
      <t c="4">
        <n x="263"/>
        <n x="0"/>
        <n x="7"/>
        <n x="1337" s="1"/>
      </t>
    </mdx>
    <mdx n="33" f="v">
      <t c="4">
        <n x="317"/>
        <n x="0"/>
        <n x="7"/>
        <n x="1337" s="1"/>
      </t>
    </mdx>
    <mdx n="33" f="v">
      <t c="4">
        <n x="369"/>
        <n x="0"/>
        <n x="32"/>
        <n x="1337" s="1"/>
      </t>
    </mdx>
    <mdx n="33" f="v">
      <t c="4">
        <n x="419"/>
        <n x="0"/>
        <n x="32"/>
        <n x="1337" s="1"/>
      </t>
    </mdx>
    <mdx n="33" f="v">
      <t c="6" si="9">
        <n x="15"/>
        <n x="1337" s="1"/>
        <n x="39"/>
        <n x="7"/>
        <n x="20"/>
        <n x="1"/>
      </t>
    </mdx>
    <mdx n="33" f="v">
      <t c="4">
        <n x="269"/>
        <n x="11"/>
        <n x="32"/>
        <n x="1337" s="1"/>
      </t>
    </mdx>
    <mdx n="33" f="v">
      <t c="3">
        <n x="456"/>
        <n x="1336"/>
        <n x="1337" s="1"/>
      </t>
    </mdx>
    <mdx n="33" f="v">
      <t c="4">
        <n x="509"/>
        <n x="1"/>
        <n x="32"/>
        <n x="1337" s="1"/>
      </t>
    </mdx>
    <mdx n="33" f="v">
      <t c="4" si="9">
        <n x="560"/>
        <n x="0"/>
        <n x="7"/>
        <n x="1337" s="1"/>
      </t>
    </mdx>
    <mdx n="33" f="v">
      <t c="4" si="10">
        <n x="612"/>
        <n x="0"/>
        <n x="32"/>
        <n x="1337" s="1"/>
      </t>
    </mdx>
    <mdx n="33" f="v">
      <t c="4">
        <n x="639"/>
        <n x="1"/>
        <n x="7"/>
        <n x="1337" s="1"/>
      </t>
    </mdx>
    <mdx n="33" f="v">
      <t c="4" si="9">
        <n x="662"/>
        <n x="14"/>
        <n x="7"/>
        <n x="1337" s="1"/>
      </t>
    </mdx>
    <mdx n="33" f="v">
      <t c="6" si="9">
        <n x="15"/>
        <n x="1337" s="1"/>
        <n x="39"/>
        <n x="7"/>
        <n x="17"/>
        <n x="0"/>
      </t>
    </mdx>
    <mdx n="33" f="v">
      <t c="4">
        <n x="272"/>
        <n x="12"/>
        <n x="7"/>
        <n x="1337" s="1"/>
      </t>
    </mdx>
    <mdx n="33" f="v">
      <t c="4">
        <n x="457"/>
        <n x="0"/>
        <n x="7"/>
        <n x="1337" s="1"/>
      </t>
    </mdx>
    <mdx n="33" f="v">
      <t c="4">
        <n x="510"/>
        <n x="1"/>
        <n x="32"/>
        <n x="1337" s="1"/>
      </t>
    </mdx>
    <mdx n="33" f="v">
      <t c="4">
        <n x="561"/>
        <n x="0"/>
        <n x="7"/>
        <n x="1337" s="1"/>
      </t>
    </mdx>
    <mdx n="33" f="v">
      <t c="4" si="10">
        <n x="613"/>
        <n x="0"/>
        <n x="32"/>
        <n x="1337" s="1"/>
      </t>
    </mdx>
    <mdx n="33" f="v">
      <t c="4">
        <n x="640"/>
        <n x="12"/>
        <n x="7"/>
        <n x="1337" s="1"/>
      </t>
    </mdx>
    <mdx n="33" f="v">
      <t c="6" si="10">
        <n x="15"/>
        <n x="1337" s="1"/>
        <n x="43"/>
        <n x="32"/>
        <n x="6"/>
        <n x="0"/>
      </t>
    </mdx>
    <mdx n="33" f="v">
      <t c="4">
        <n x="75"/>
        <n x="0"/>
        <n x="32"/>
        <n x="1337" s="1"/>
      </t>
    </mdx>
    <mdx n="33" f="v">
      <t c="4">
        <n x="319"/>
        <n x="0"/>
        <n x="7"/>
        <n x="1337" s="1"/>
      </t>
    </mdx>
    <mdx n="33" f="v">
      <t c="4">
        <n x="161"/>
        <n x="1"/>
        <n x="32"/>
        <n x="1337" s="1"/>
      </t>
    </mdx>
    <mdx n="33" f="v">
      <t c="3">
        <n x="1239"/>
        <n x="1336"/>
        <n x="1337" s="1"/>
      </t>
    </mdx>
    <mdx n="33" f="v">
      <t c="4">
        <n x="1275"/>
        <n x="1"/>
        <n x="32"/>
        <n x="1337" s="1"/>
      </t>
    </mdx>
    <mdx n="33" f="v">
      <t c="6">
        <n x="15"/>
        <n x="1337" s="1"/>
        <n x="43"/>
        <n x="7"/>
        <n x="28"/>
        <n x="3"/>
      </t>
    </mdx>
    <mdx n="33" f="v">
      <t c="6" si="10">
        <n x="15"/>
        <n x="1337" s="1"/>
        <n x="37"/>
        <n x="32"/>
        <n x="30"/>
        <n x="2"/>
      </t>
    </mdx>
    <mdx n="33" f="v">
      <t c="4">
        <n x="1310"/>
        <n x="1"/>
        <n x="7"/>
        <n x="1337" s="1"/>
      </t>
    </mdx>
    <mdx n="33" f="v">
      <t c="6" si="9">
        <n x="15"/>
        <n x="1337" s="1"/>
        <n x="43"/>
        <n x="7"/>
        <n x="23"/>
        <n x="2"/>
      </t>
    </mdx>
    <mdx n="33" f="v">
      <t c="4">
        <n x="62"/>
        <n x="11"/>
        <n x="32"/>
        <n x="1337" s="1"/>
      </t>
    </mdx>
    <mdx n="33" f="v">
      <t c="6" si="9">
        <n x="15"/>
        <n x="1337" s="1"/>
        <n x="39"/>
        <n x="7"/>
        <n x="25"/>
        <n x="2"/>
      </t>
    </mdx>
    <mdx n="33" f="v">
      <t c="6">
        <n x="15"/>
        <n x="1337" s="1"/>
        <n x="41"/>
        <n x="32"/>
        <n x="27"/>
        <n x="2"/>
      </t>
    </mdx>
    <mdx n="33" f="v">
      <t c="6" si="10">
        <n x="15"/>
        <n x="1337" s="1"/>
        <n x="39"/>
        <n x="32"/>
        <n x="17"/>
        <n x="2"/>
      </t>
    </mdx>
    <mdx n="33" f="v">
      <t c="6" si="10">
        <n x="15"/>
        <n x="1337" s="1"/>
        <n x="42"/>
        <n x="32"/>
        <n x="6"/>
        <n x="3"/>
      </t>
    </mdx>
    <mdx n="33" f="v">
      <t c="6" si="10">
        <n x="15"/>
        <n x="1337" s="1"/>
        <n x="38"/>
        <n x="32"/>
        <n x="23"/>
        <n x="0"/>
      </t>
    </mdx>
    <mdx n="33" f="v">
      <t c="6" si="10">
        <n x="15"/>
        <n x="1337" s="1"/>
        <n x="34"/>
        <n x="32"/>
        <n x="30"/>
        <n x="12"/>
      </t>
    </mdx>
    <mdx n="33" f="v">
      <t c="6" si="9">
        <n x="15"/>
        <n x="1337" s="1"/>
        <n x="42"/>
        <n x="7"/>
        <n x="18"/>
        <n x="0"/>
      </t>
    </mdx>
    <mdx n="33" f="v">
      <t c="6" si="10">
        <n x="15"/>
        <n x="1337" s="1"/>
        <n x="40"/>
        <n x="32"/>
        <n x="28"/>
        <n x="2"/>
      </t>
    </mdx>
    <mdx n="33" f="v">
      <t c="6" si="10">
        <n x="15"/>
        <n x="1337" s="1"/>
        <n x="39"/>
        <n x="32"/>
        <n x="31"/>
        <n x="0"/>
      </t>
    </mdx>
    <mdx n="33" f="v">
      <t c="6">
        <n x="15"/>
        <n x="1337" s="1"/>
        <n x="46"/>
        <n x="7"/>
        <n x="20"/>
        <n x="12"/>
      </t>
    </mdx>
    <mdx n="33" f="v">
      <t c="6">
        <n x="15"/>
        <n x="1337" s="1"/>
        <n x="34"/>
        <n x="7"/>
        <n x="30"/>
        <n x="12"/>
      </t>
    </mdx>
    <mdx n="33" f="v">
      <t c="6" si="9">
        <n x="15"/>
        <n x="1337" s="1"/>
        <n x="36"/>
        <n x="7"/>
        <n x="19"/>
        <n x="0"/>
      </t>
    </mdx>
    <mdx n="33" f="v">
      <t c="4" si="10">
        <n x="1137"/>
        <n x="1"/>
        <n x="32"/>
        <n x="1337" s="1"/>
      </t>
    </mdx>
    <mdx n="33" f="v">
      <t c="5" si="10">
        <n x="15"/>
        <n x="1337" s="1"/>
        <n x="13"/>
        <n x="32"/>
        <n x="17"/>
      </t>
    </mdx>
    <mdx n="33" f="v">
      <t c="4">
        <n x="51"/>
        <n x="12"/>
        <n x="7"/>
        <n x="1337" s="1"/>
      </t>
    </mdx>
    <mdx n="33" f="v">
      <t c="4" si="10">
        <n x="1199"/>
        <n x="1"/>
        <n x="32"/>
        <n x="1337" s="1"/>
      </t>
    </mdx>
    <mdx n="33" f="v">
      <t c="6">
        <n x="15"/>
        <n x="1337" s="1"/>
        <n x="43"/>
        <n x="7"/>
        <n x="20"/>
        <n x="3"/>
      </t>
    </mdx>
    <mdx n="33" f="v">
      <t c="6" si="9">
        <n x="15"/>
        <n x="1337" s="1"/>
        <n x="34"/>
        <n x="7"/>
        <n x="25"/>
        <n x="12"/>
      </t>
    </mdx>
    <mdx n="33" f="v">
      <t c="6" si="9">
        <n x="15"/>
        <n x="1337" s="1"/>
        <n x="36"/>
        <n x="7"/>
        <n x="18"/>
        <n x="3"/>
      </t>
    </mdx>
    <mdx n="33" f="v">
      <t c="6" si="9">
        <n x="15"/>
        <n x="1337" s="1"/>
        <n x="43"/>
        <n x="7"/>
        <n x="6"/>
        <n x="2"/>
      </t>
    </mdx>
    <mdx n="33" f="v">
      <t c="4">
        <n x="105"/>
        <n x="0"/>
        <n x="32"/>
        <n x="1337" s="1"/>
      </t>
    </mdx>
    <mdx n="33" f="v">
      <t c="6" si="9">
        <n x="15"/>
        <n x="1337" s="1"/>
        <n x="44"/>
        <n x="7"/>
        <n x="4"/>
        <n x="2"/>
      </t>
    </mdx>
    <mdx n="33" f="v">
      <t c="6" si="10">
        <n x="15"/>
        <n x="1337" s="1"/>
        <n x="35"/>
        <n x="32"/>
        <n x="24"/>
        <n x="12"/>
      </t>
    </mdx>
    <mdx n="33" f="v">
      <t c="6" si="10">
        <n x="15"/>
        <n x="1337" s="1"/>
        <n x="39"/>
        <n x="32"/>
        <n x="28"/>
        <n x="3"/>
      </t>
    </mdx>
    <mdx n="33" f="v">
      <t c="6" si="10">
        <n x="15"/>
        <n x="1337" s="1"/>
        <n x="40"/>
        <n x="32"/>
        <n x="20"/>
        <n x="1"/>
      </t>
    </mdx>
    <mdx n="33" f="v">
      <t c="6">
        <n x="15"/>
        <n x="1337" s="1"/>
        <n x="41"/>
        <n x="32"/>
        <n x="16"/>
        <n x="2"/>
      </t>
    </mdx>
    <mdx n="33" f="v">
      <t c="6" si="10">
        <n x="15"/>
        <n x="1337" s="1"/>
        <n x="44"/>
        <n x="32"/>
        <n x="6"/>
        <n x="0"/>
      </t>
    </mdx>
    <mdx n="33" f="v">
      <t c="4">
        <n x="84"/>
        <n x="11"/>
        <n x="32"/>
        <n x="1337" s="1"/>
      </t>
    </mdx>
    <mdx n="33" f="v">
      <t c="5" si="9">
        <n x="15"/>
        <n x="1337" s="1"/>
        <n x="8"/>
        <n x="7"/>
        <n x="6"/>
      </t>
    </mdx>
    <mdx n="33" f="v">
      <t c="4">
        <n x="178"/>
        <n x="12"/>
        <n x="7"/>
        <n x="1337" s="1"/>
      </t>
    </mdx>
    <mdx n="33" f="v">
      <t c="3">
        <n x="225"/>
        <n x="1336"/>
        <n x="1337" s="1"/>
      </t>
    </mdx>
    <mdx n="33" f="v">
      <t c="3">
        <n x="257"/>
        <n x="1336"/>
        <n x="1337" s="1"/>
      </t>
    </mdx>
    <mdx n="33" f="v">
      <t c="4">
        <n x="307"/>
        <n x="0"/>
        <n x="7"/>
        <n x="1337" s="1"/>
      </t>
    </mdx>
    <mdx n="33" f="v">
      <t c="4">
        <n x="359"/>
        <n x="0"/>
        <n x="32"/>
        <n x="1337" s="1"/>
      </t>
    </mdx>
    <mdx n="33" f="v">
      <t c="4">
        <n x="409"/>
        <n x="0"/>
        <n x="32"/>
        <n x="1337" s="1"/>
      </t>
    </mdx>
    <mdx n="33" f="v">
      <t c="6">
        <n x="15"/>
        <n x="1337" s="1"/>
        <n x="44"/>
        <n x="7"/>
        <n x="20"/>
        <n x="3"/>
      </t>
    </mdx>
    <mdx n="33" f="v">
      <t c="4">
        <n x="128"/>
        <n x="0"/>
        <n x="32"/>
        <n x="1337" s="1"/>
      </t>
    </mdx>
    <mdx n="33" f="v">
      <t c="4">
        <n x="200"/>
        <n x="0"/>
        <n x="7"/>
        <n x="1337" s="1"/>
      </t>
    </mdx>
    <mdx n="33" f="v">
      <t c="6" si="10">
        <n x="15"/>
        <n x="1337" s="1"/>
        <n x="39"/>
        <n x="32"/>
        <n x="29"/>
        <n x="1"/>
      </t>
    </mdx>
    <mdx n="33" f="v">
      <t c="6" si="10">
        <n x="15"/>
        <n x="1337" s="1"/>
        <n x="43"/>
        <n x="32"/>
        <n x="28"/>
        <n x="2"/>
      </t>
    </mdx>
    <mdx n="33" f="v">
      <t c="6" si="9">
        <n x="15"/>
        <n x="1337" s="1"/>
        <n x="42"/>
        <n x="7"/>
        <n x="25"/>
        <n x="2"/>
      </t>
    </mdx>
    <mdx n="33" f="v">
      <t c="6" si="10">
        <n x="15"/>
        <n x="1337" s="1"/>
        <n x="39"/>
        <n x="32"/>
        <n x="23"/>
        <n x="2"/>
      </t>
    </mdx>
    <mdx n="33" f="v">
      <t c="6" si="9">
        <n x="15"/>
        <n x="1337" s="1"/>
        <n x="36"/>
        <n x="7"/>
        <n x="6"/>
        <n x="0"/>
      </t>
    </mdx>
    <mdx n="33" f="v">
      <t c="4">
        <n x="76"/>
        <n x="11"/>
        <n x="32"/>
        <n x="1337" s="1"/>
      </t>
    </mdx>
    <mdx n="33" f="v">
      <t c="6" si="10">
        <n x="15"/>
        <n x="1337" s="1"/>
        <n x="44"/>
        <n x="32"/>
        <n x="4"/>
        <n x="1"/>
      </t>
    </mdx>
    <mdx n="33" f="v">
      <t c="4">
        <n x="172"/>
        <n x="1"/>
        <n x="32"/>
        <n x="1337" s="1"/>
      </t>
    </mdx>
    <mdx n="33" f="v">
      <t c="4">
        <n x="221"/>
        <n x="14"/>
        <n x="32"/>
        <n x="1337" s="1"/>
      </t>
    </mdx>
    <mdx n="33" f="v">
      <t c="4">
        <n x="253"/>
        <n x="14"/>
        <n x="32"/>
        <n x="1337" s="1"/>
      </t>
    </mdx>
    <mdx n="33" f="v">
      <t c="4">
        <n x="299"/>
        <n x="12"/>
        <n x="7"/>
        <n x="1337" s="1"/>
      </t>
    </mdx>
    <mdx n="33" f="v">
      <t c="3">
        <n x="353"/>
        <n x="1336"/>
        <n x="1337" s="1"/>
      </t>
    </mdx>
    <mdx n="33" f="v">
      <t c="3">
        <n x="403"/>
        <n x="1336"/>
        <n x="1337" s="1"/>
      </t>
    </mdx>
    <mdx n="33" f="v">
      <t c="5" si="10">
        <n x="15"/>
        <n x="1337" s="1"/>
        <n x="14"/>
        <n x="32"/>
        <n x="18"/>
      </t>
    </mdx>
    <mdx n="33" f="v">
      <t c="4">
        <n x="100"/>
        <n x="12"/>
        <n x="7"/>
        <n x="1337" s="1"/>
      </t>
    </mdx>
    <mdx n="33" f="v">
      <t c="4">
        <n x="195"/>
        <n x="12"/>
        <n x="7"/>
        <n x="1337" s="1"/>
      </t>
    </mdx>
    <mdx n="33" f="v">
      <t c="4">
        <n x="1282"/>
        <n x="1"/>
        <n x="32"/>
        <n x="1337" s="1"/>
      </t>
    </mdx>
    <mdx n="33" f="v">
      <t c="6">
        <n x="15"/>
        <n x="1337" s="1"/>
        <n x="40"/>
        <n x="7"/>
        <n x="28"/>
        <n x="2"/>
      </t>
    </mdx>
    <mdx n="33" f="v">
      <t c="6" si="10">
        <n x="15"/>
        <n x="1337" s="1"/>
        <n x="47"/>
        <n x="32"/>
        <n x="20"/>
        <n x="12"/>
      </t>
    </mdx>
    <mdx n="33" f="v">
      <t c="6" si="10">
        <n x="15"/>
        <n x="1337" s="1"/>
        <n x="41"/>
        <n x="32"/>
        <n x="17"/>
        <n x="0"/>
      </t>
    </mdx>
    <mdx n="33" f="v">
      <t c="5" si="9">
        <n x="15"/>
        <n x="1337" s="1"/>
        <n x="43"/>
        <n x="7"/>
        <n x="0"/>
      </t>
    </mdx>
    <mdx n="33" f="v">
      <t c="4">
        <n x="82"/>
        <n x="0"/>
        <n x="32"/>
        <n x="1337" s="1"/>
      </t>
    </mdx>
    <mdx n="33" f="v">
      <t c="6">
        <n x="15"/>
        <n x="1337" s="1"/>
        <n x="38"/>
        <n x="7"/>
        <n x="4"/>
        <n x="3"/>
      </t>
    </mdx>
    <mdx n="33" f="v">
      <t c="4">
        <n x="176"/>
        <n x="1"/>
        <n x="32"/>
        <n x="1337" s="1"/>
      </t>
    </mdx>
    <mdx n="33" f="v">
      <t c="3">
        <n x="224"/>
        <n x="1336"/>
        <n x="1337" s="1"/>
      </t>
    </mdx>
    <mdx n="33" f="v">
      <t c="3">
        <n x="256"/>
        <n x="1336"/>
        <n x="1337" s="1"/>
      </t>
    </mdx>
    <mdx n="33" f="v">
      <t c="4">
        <n x="306"/>
        <n x="12"/>
        <n x="7"/>
        <n x="1337" s="1"/>
      </t>
    </mdx>
    <mdx n="33" f="v">
      <t c="3">
        <n x="357"/>
        <n x="1336"/>
        <n x="1337" s="1"/>
      </t>
    </mdx>
    <mdx n="33" f="v">
      <t c="6" si="9">
        <n x="15"/>
        <n x="1337" s="1"/>
        <n x="39"/>
        <n x="7"/>
        <n x="20"/>
        <n x="2"/>
      </t>
    </mdx>
    <mdx n="33" f="v">
      <t c="6">
        <n x="15"/>
        <n x="1337" s="1"/>
        <n x="41"/>
        <n x="32"/>
        <n x="31"/>
        <n x="3"/>
      </t>
    </mdx>
    <mdx n="33" f="v">
      <t c="4" si="10">
        <n x="1227"/>
        <n x="1"/>
        <n x="32"/>
        <n x="1337" s="1"/>
      </t>
    </mdx>
    <mdx n="33" f="v">
      <t c="6" si="9">
        <n x="15"/>
        <n x="1337" s="1"/>
        <n x="39"/>
        <n x="7"/>
        <n x="31"/>
        <n x="1"/>
      </t>
    </mdx>
    <mdx n="33" f="v">
      <t c="6" si="10">
        <n x="15"/>
        <n x="1337" s="1"/>
        <n x="36"/>
        <n x="32"/>
        <n x="27"/>
        <n x="3"/>
      </t>
    </mdx>
    <mdx n="33" f="v">
      <t c="5" si="10">
        <n x="15"/>
        <n x="1337" s="1"/>
        <n x="14"/>
        <n x="32"/>
        <n x="29"/>
      </t>
    </mdx>
    <mdx n="33" f="v">
      <t c="6" si="9">
        <n x="15"/>
        <n x="1337" s="1"/>
        <n x="36"/>
        <n x="7"/>
        <n x="23"/>
        <n x="2"/>
      </t>
    </mdx>
    <mdx n="33" f="v">
      <t c="6" si="10">
        <n x="15"/>
        <n x="1337" s="1"/>
        <n x="43"/>
        <n x="32"/>
        <n x="18"/>
        <n x="3"/>
      </t>
    </mdx>
    <mdx n="33" f="v">
      <t c="6" si="9">
        <n x="15"/>
        <n x="1337" s="1"/>
        <n x="39"/>
        <n x="7"/>
        <n x="18"/>
        <n x="0"/>
      </t>
    </mdx>
    <mdx n="33" f="v">
      <t c="4" si="10">
        <n x="1154"/>
        <n x="14"/>
        <n x="32"/>
        <n x="1337" s="1"/>
      </t>
    </mdx>
    <mdx n="33" f="v">
      <t c="4">
        <n x="1153"/>
        <n x="1"/>
        <n x="7"/>
        <n x="1337" s="1"/>
      </t>
    </mdx>
    <mdx n="33" f="v">
      <t c="6" si="10">
        <n x="15"/>
        <n x="1337" s="1"/>
        <n x="37"/>
        <n x="32"/>
        <n x="29"/>
        <n x="0"/>
      </t>
    </mdx>
    <mdx n="33" f="v">
      <t c="4">
        <n x="1318"/>
        <n x="1"/>
        <n x="7"/>
        <n x="1337" s="1"/>
      </t>
    </mdx>
    <mdx n="33" f="v">
      <t c="4">
        <n x="1270"/>
        <n x="1"/>
        <n x="32"/>
        <n x="1337" s="1"/>
      </t>
    </mdx>
    <mdx n="33" f="v">
      <t c="3">
        <n x="1235"/>
        <n x="1336"/>
        <n x="1337" s="1"/>
      </t>
    </mdx>
    <mdx n="33" f="v">
      <t c="5" si="10">
        <n x="15"/>
        <n x="1337" s="1"/>
        <n x="11"/>
        <n x="32"/>
        <n x="26"/>
      </t>
    </mdx>
    <mdx n="33" f="v">
      <t c="3">
        <n x="1220"/>
        <n x="1336"/>
        <n x="1337" s="1"/>
      </t>
    </mdx>
    <mdx n="33" f="v">
      <t c="6" si="10">
        <n x="15"/>
        <n x="1337" s="1"/>
        <n x="44"/>
        <n x="32"/>
        <n x="31"/>
        <n x="0"/>
      </t>
    </mdx>
    <mdx n="33" f="v">
      <t c="5" si="9">
        <n x="15"/>
        <n x="1337" s="1"/>
        <n x="37"/>
        <n x="7"/>
        <n x="3"/>
      </t>
    </mdx>
    <mdx n="33" f="v">
      <t c="6" si="9">
        <n x="15"/>
        <n x="1337" s="1"/>
        <n x="39"/>
        <n x="7"/>
        <n x="21"/>
        <n x="1"/>
      </t>
    </mdx>
    <mdx n="33" f="v">
      <t c="5" si="10">
        <n x="15"/>
        <n x="1337" s="1"/>
        <n x="11"/>
        <n x="32"/>
        <n x="22"/>
      </t>
    </mdx>
    <mdx n="33" f="v">
      <t c="6">
        <n x="15"/>
        <n x="1337" s="1"/>
        <n x="36"/>
        <n x="32"/>
        <n x="22"/>
        <n x="2"/>
      </t>
    </mdx>
    <mdx n="33" f="v">
      <t c="6" si="10">
        <n x="15"/>
        <n x="1337" s="1"/>
        <n x="42"/>
        <n x="32"/>
        <n x="16"/>
        <n x="0"/>
      </t>
    </mdx>
    <mdx n="33" f="v">
      <t c="6" si="9">
        <n x="15"/>
        <n x="1337" s="1"/>
        <n x="41"/>
        <n x="7"/>
        <n x="22"/>
        <n x="0"/>
      </t>
    </mdx>
    <mdx n="33" f="v">
      <t c="6" si="9">
        <n x="15"/>
        <n x="1337" s="1"/>
        <n x="44"/>
        <n x="7"/>
        <n x="26"/>
        <n x="2"/>
      </t>
    </mdx>
    <mdx n="33" f="v">
      <t c="6" si="10">
        <n x="15"/>
        <n x="1337" s="1"/>
        <n x="34"/>
        <n x="32"/>
        <n x="28"/>
        <n x="12"/>
      </t>
    </mdx>
    <mdx n="33" f="v">
      <t c="5" si="9">
        <n x="15"/>
        <n x="1337" s="1"/>
        <n x="8"/>
        <n x="7"/>
        <n x="25"/>
      </t>
    </mdx>
    <mdx n="33" f="v">
      <t c="6">
        <n x="15"/>
        <n x="1337" s="1"/>
        <n x="36"/>
        <n x="32"/>
        <n x="16"/>
        <n x="2"/>
      </t>
    </mdx>
    <mdx n="33" f="v">
      <t c="6" si="9">
        <n x="15"/>
        <n x="1337" s="1"/>
        <n x="41"/>
        <n x="7"/>
        <n x="30"/>
        <n x="0"/>
      </t>
    </mdx>
    <mdx n="33" f="v">
      <t c="6" si="10">
        <n x="15"/>
        <n x="1337" s="1"/>
        <n x="43"/>
        <n x="32"/>
        <n x="26"/>
        <n x="0"/>
      </t>
    </mdx>
    <mdx n="33" f="v">
      <t c="6" si="9">
        <n x="15"/>
        <n x="1337" s="1"/>
        <n x="44"/>
        <n x="7"/>
        <n x="25"/>
        <n x="0"/>
      </t>
    </mdx>
    <mdx n="33" f="v">
      <t c="4">
        <n x="52"/>
        <n x="1"/>
        <n x="7"/>
        <n x="1337" s="1"/>
      </t>
    </mdx>
    <mdx n="33" f="v">
      <t c="4">
        <n x="123"/>
        <n x="12"/>
        <n x="7"/>
        <n x="1337" s="1"/>
      </t>
    </mdx>
    <mdx n="33" f="v">
      <t c="6" si="10">
        <n x="15"/>
        <n x="1337" s="1"/>
        <n x="39"/>
        <n x="32"/>
        <n x="26"/>
        <n x="2"/>
      </t>
    </mdx>
    <mdx n="33" f="v">
      <t c="5" si="9">
        <n x="15"/>
        <n x="1337" s="1"/>
        <n x="45"/>
        <n x="7"/>
        <n x="12"/>
      </t>
    </mdx>
    <mdx n="33" f="v">
      <t c="6" si="9">
        <n x="15"/>
        <n x="1337" s="1"/>
        <n x="36"/>
        <n x="7"/>
        <n x="25"/>
        <n x="0"/>
      </t>
    </mdx>
    <mdx n="33" f="v">
      <t c="6">
        <n x="15"/>
        <n x="1337" s="1"/>
        <n x="35"/>
        <n x="7"/>
        <n x="20"/>
        <n x="12"/>
      </t>
    </mdx>
    <mdx n="33" f="v">
      <t c="3">
        <n x="1203"/>
        <n x="1336"/>
        <n x="1337" s="1"/>
      </t>
    </mdx>
    <mdx n="33" f="v">
      <t c="6" si="9">
        <n x="15"/>
        <n x="1337" s="1"/>
        <n x="36"/>
        <n x="7"/>
        <n x="27"/>
        <n x="0"/>
      </t>
    </mdx>
    <mdx n="33" f="v">
      <t c="6" si="10">
        <n x="15"/>
        <n x="1337" s="1"/>
        <n x="41"/>
        <n x="32"/>
        <n x="27"/>
        <n x="0"/>
      </t>
    </mdx>
    <mdx n="33" f="v">
      <t c="4" si="10">
        <n x="1175"/>
        <n x="1"/>
        <n x="32"/>
        <n x="1337" s="1"/>
      </t>
    </mdx>
    <mdx n="33" f="v">
      <t c="6">
        <n x="15"/>
        <n x="1337" s="1"/>
        <n x="40"/>
        <n x="7"/>
        <n x="30"/>
        <n x="2"/>
      </t>
    </mdx>
    <mdx n="33" f="v">
      <t c="6" si="10">
        <n x="15"/>
        <n x="1337" s="1"/>
        <n x="39"/>
        <n x="32"/>
        <n x="24"/>
        <n x="2"/>
      </t>
    </mdx>
    <mdx n="33" f="v">
      <t c="6" si="10">
        <n x="15"/>
        <n x="1337" s="1"/>
        <n x="43"/>
        <n x="32"/>
        <n x="16"/>
        <n x="0"/>
      </t>
    </mdx>
    <mdx n="33" f="v">
      <t c="6" si="9">
        <n x="15"/>
        <n x="1337" s="1"/>
        <n x="45"/>
        <n x="7"/>
        <n x="31"/>
        <n x="12"/>
      </t>
    </mdx>
    <mdx n="33" f="v">
      <t c="6" si="10">
        <n x="15"/>
        <n x="1337" s="1"/>
        <n x="35"/>
        <n x="32"/>
        <n x="6"/>
        <n x="12"/>
      </t>
    </mdx>
    <mdx n="33" f="v">
      <t c="4">
        <n x="56"/>
        <n x="1"/>
        <n x="7"/>
        <n x="1337" s="1"/>
      </t>
    </mdx>
    <mdx n="33" f="v">
      <t c="4">
        <n x="133"/>
        <n x="12"/>
        <n x="7"/>
        <n x="1337" s="1"/>
      </t>
    </mdx>
    <mdx n="33" f="v">
      <t c="6" si="10">
        <n x="15"/>
        <n x="1337" s="1"/>
        <n x="43"/>
        <n x="32"/>
        <n x="20"/>
        <n x="1"/>
      </t>
    </mdx>
    <mdx n="33" f="v">
      <t c="6" si="9">
        <n x="15"/>
        <n x="1337" s="1"/>
        <n x="46"/>
        <n x="7"/>
        <n x="4"/>
        <n x="12"/>
      </t>
    </mdx>
    <mdx n="33" f="v">
      <t c="6" si="9">
        <n x="15"/>
        <n x="1337" s="1"/>
        <n x="41"/>
        <n x="7"/>
        <n x="25"/>
        <n x="1"/>
      </t>
    </mdx>
    <mdx n="33" f="v">
      <t c="4" si="10">
        <n x="1136"/>
        <n x="1"/>
        <n x="32"/>
        <n x="1337" s="1"/>
      </t>
    </mdx>
    <mdx n="33" f="v">
      <t c="6" si="9">
        <n x="15"/>
        <n x="1337" s="1"/>
        <n x="42"/>
        <n x="7"/>
        <n x="22"/>
        <n x="1"/>
      </t>
    </mdx>
    <mdx n="33" f="v">
      <t c="6">
        <n x="15"/>
        <n x="1337" s="1"/>
        <n x="41"/>
        <n x="32"/>
        <n x="26"/>
        <n x="2"/>
      </t>
    </mdx>
    <mdx n="33" f="v">
      <t c="6" si="10">
        <n x="15"/>
        <n x="1337" s="1"/>
        <n x="44"/>
        <n x="32"/>
        <n x="27"/>
        <n x="2"/>
      </t>
    </mdx>
    <mdx n="33" f="v">
      <t c="4">
        <n x="1239"/>
        <n x="1"/>
        <n x="32"/>
        <n x="1337" s="1"/>
      </t>
    </mdx>
    <mdx n="33" f="v">
      <t c="6" si="9">
        <n x="15"/>
        <n x="1337" s="1"/>
        <n x="45"/>
        <n x="7"/>
        <n x="23"/>
        <n x="12"/>
      </t>
    </mdx>
    <mdx n="33" f="v">
      <t c="5" si="10">
        <n x="15"/>
        <n x="1337" s="1"/>
        <n x="11"/>
        <n x="32"/>
        <n x="25"/>
      </t>
    </mdx>
    <mdx n="33" f="v">
      <t c="6" si="9">
        <n x="15"/>
        <n x="1337" s="1"/>
        <n x="36"/>
        <n x="7"/>
        <n x="17"/>
        <n x="0"/>
      </t>
    </mdx>
    <mdx n="33" f="v">
      <t c="6" si="9">
        <n x="15"/>
        <n x="1337" s="1"/>
        <n x="36"/>
        <n x="7"/>
        <n x="20"/>
        <n x="2"/>
      </t>
    </mdx>
    <mdx n="33" f="v">
      <t c="6" si="10">
        <n x="15"/>
        <n x="1337" s="1"/>
        <n x="36"/>
        <n x="32"/>
        <n x="6"/>
        <n x="3"/>
      </t>
    </mdx>
    <mdx n="33" f="v">
      <t c="4">
        <n x="86"/>
        <n x="11"/>
        <n x="32"/>
        <n x="1337" s="1"/>
      </t>
    </mdx>
    <mdx n="33" f="v">
      <t c="6" si="10">
        <n x="15"/>
        <n x="1337" s="1"/>
        <n x="35"/>
        <n x="32"/>
        <n x="23"/>
        <n x="12"/>
      </t>
    </mdx>
    <mdx n="33" f="v">
      <t c="6" si="9">
        <n x="15"/>
        <n x="1337" s="1"/>
        <n x="42"/>
        <n x="7"/>
        <n x="18"/>
        <n x="1"/>
      </t>
    </mdx>
    <mdx n="33" f="v">
      <t c="6">
        <n x="15"/>
        <n x="1337" s="1"/>
        <n x="38"/>
        <n x="7"/>
        <n x="21"/>
        <n x="3"/>
      </t>
    </mdx>
    <mdx n="33" f="v">
      <t c="4">
        <n x="1164"/>
        <n x="1"/>
        <n x="7"/>
        <n x="1337" s="1"/>
      </t>
    </mdx>
    <mdx n="33" f="v">
      <t c="6" si="10">
        <n x="15"/>
        <n x="1337" s="1"/>
        <n x="41"/>
        <n x="32"/>
        <n x="24"/>
        <n x="1"/>
      </t>
    </mdx>
    <mdx n="33" f="v">
      <t c="5" si="10">
        <n x="15"/>
        <n x="1337" s="1"/>
        <n x="13"/>
        <n x="32"/>
        <n x="26"/>
      </t>
    </mdx>
    <mdx n="33" f="v">
      <t c="6" si="10">
        <n x="15"/>
        <n x="1337" s="1"/>
        <n x="42"/>
        <n x="32"/>
        <n x="26"/>
        <n x="3"/>
      </t>
    </mdx>
    <mdx n="33" f="v">
      <t c="6" si="10">
        <n x="15"/>
        <n x="1337" s="1"/>
        <n x="40"/>
        <n x="32"/>
        <n x="31"/>
        <n x="3"/>
      </t>
    </mdx>
    <mdx n="33" f="v">
      <t c="6">
        <n x="15"/>
        <n x="1337" s="1"/>
        <n x="41"/>
        <n x="32"/>
        <n x="17"/>
        <n x="3"/>
      </t>
    </mdx>
    <mdx n="33" f="v">
      <t c="4">
        <n x="115"/>
        <n x="12"/>
        <n x="7"/>
        <n x="1337" s="1"/>
      </t>
    </mdx>
    <mdx n="33" f="v">
      <t c="6" si="10">
        <n x="15"/>
        <n x="1337" s="1"/>
        <n x="40"/>
        <n x="32"/>
        <n x="19"/>
        <n x="3"/>
      </t>
    </mdx>
    <mdx n="33" f="v">
      <t c="6" si="10">
        <n x="15"/>
        <n x="1337" s="1"/>
        <n x="42"/>
        <n x="32"/>
        <n x="20"/>
        <n x="1"/>
      </t>
    </mdx>
    <mdx n="33" f="v">
      <t c="6">
        <n x="15"/>
        <n x="1337" s="1"/>
        <n x="44"/>
        <n x="7"/>
        <n x="17"/>
        <n x="3"/>
      </t>
    </mdx>
    <mdx n="33" f="v">
      <t c="4">
        <n x="53"/>
        <n x="14"/>
        <n x="32"/>
        <n x="1337" s="1"/>
      </t>
    </mdx>
    <mdx n="33" f="v">
      <t c="5" si="9">
        <n x="15"/>
        <n x="1337" s="1"/>
        <n x="13"/>
        <n x="7"/>
        <n x="17"/>
      </t>
    </mdx>
    <mdx n="33" f="v">
      <t c="6" si="9">
        <n x="15"/>
        <n x="1337" s="1"/>
        <n x="37"/>
        <n x="7"/>
        <n x="25"/>
        <n x="0"/>
      </t>
    </mdx>
    <mdx n="33" f="v">
      <t c="3">
        <n x="1207"/>
        <n x="1336"/>
        <n x="1337" s="1"/>
      </t>
    </mdx>
    <mdx n="33" f="v">
      <t c="6" si="9">
        <n x="15"/>
        <n x="1337" s="1"/>
        <n x="36"/>
        <n x="7"/>
        <n x="30"/>
        <n x="1"/>
      </t>
    </mdx>
    <mdx n="33" f="v">
      <t c="6" si="10">
        <n x="15"/>
        <n x="1337" s="1"/>
        <n x="40"/>
        <n x="32"/>
        <n x="27"/>
        <n x="1"/>
      </t>
    </mdx>
    <mdx n="33" f="v">
      <t c="4">
        <n x="1322"/>
        <n x="1"/>
        <n x="7"/>
        <n x="1337" s="1"/>
      </t>
    </mdx>
    <mdx n="33" f="v">
      <t c="6" si="9">
        <n x="15"/>
        <n x="1337" s="1"/>
        <n x="42"/>
        <n x="7"/>
        <n x="23"/>
        <n x="0"/>
      </t>
    </mdx>
    <mdx n="33" f="v">
      <t c="6" si="10">
        <n x="15"/>
        <n x="1337" s="1"/>
        <n x="37"/>
        <n x="32"/>
        <n x="17"/>
        <n x="2"/>
      </t>
    </mdx>
    <mdx n="33" f="v">
      <t c="6" si="10">
        <n x="15"/>
        <n x="1337" s="1"/>
        <n x="37"/>
        <n x="32"/>
        <n x="29"/>
        <n x="3"/>
      </t>
    </mdx>
    <mdx n="33" f="v">
      <t c="6" si="9">
        <n x="15"/>
        <n x="1337" s="1"/>
        <n x="36"/>
        <n x="7"/>
        <n x="18"/>
        <n x="2"/>
      </t>
    </mdx>
    <mdx n="33" f="v">
      <t c="4">
        <n x="64"/>
        <n x="0"/>
        <n x="32"/>
        <n x="1337" s="1"/>
      </t>
    </mdx>
    <mdx n="33" f="v">
      <t c="6" si="9">
        <n x="15"/>
        <n x="1337" s="1"/>
        <n x="41"/>
        <n x="7"/>
        <n x="21"/>
        <n x="1"/>
      </t>
    </mdx>
    <mdx n="33" f="v">
      <t c="6" si="9">
        <n x="15"/>
        <n x="1337" s="1"/>
        <n x="42"/>
        <n x="7"/>
        <n x="18"/>
        <n x="2"/>
      </t>
    </mdx>
    <mdx n="33" f="v">
      <t c="6">
        <n x="15"/>
        <n x="1337" s="1"/>
        <n x="41"/>
        <n x="7"/>
        <n x="25"/>
        <n x="3"/>
      </t>
    </mdx>
    <mdx n="33" f="v">
      <t c="6" si="9">
        <n x="15"/>
        <n x="1337" s="1"/>
        <n x="34"/>
        <n x="7"/>
        <n x="6"/>
        <n x="12"/>
      </t>
    </mdx>
    <mdx n="33" f="v">
      <t c="4">
        <n x="54"/>
        <n x="1"/>
        <n x="7"/>
        <n x="1337" s="1"/>
      </t>
    </mdx>
    <mdx n="33" f="v">
      <t c="4">
        <n x="128"/>
        <n x="12"/>
        <n x="7"/>
        <n x="1337" s="1"/>
      </t>
    </mdx>
    <mdx n="33" f="v">
      <t c="4">
        <n x="52"/>
        <n x="14"/>
        <n x="32"/>
        <n x="1337" s="1"/>
      </t>
    </mdx>
    <mdx n="33" f="v">
      <t c="6" si="9">
        <n x="15"/>
        <n x="1337" s="1"/>
        <n x="34"/>
        <n x="7"/>
        <n x="27"/>
        <n x="12"/>
      </t>
    </mdx>
    <mdx n="33" f="v">
      <t c="6" si="9">
        <n x="15"/>
        <n x="1337" s="1"/>
        <n x="42"/>
        <n x="7"/>
        <n x="26"/>
        <n x="1"/>
      </t>
    </mdx>
    <mdx n="33" f="v">
      <t c="6" si="10">
        <n x="15"/>
        <n x="1337" s="1"/>
        <n x="34"/>
        <n x="32"/>
        <n x="4"/>
        <n x="12"/>
      </t>
    </mdx>
    <mdx n="33" f="v">
      <t c="5" si="9">
        <n x="15"/>
        <n x="1337" s="1"/>
        <n x="47"/>
        <n x="7"/>
        <n x="12"/>
      </t>
    </mdx>
    <mdx n="33" f="v">
      <t c="5">
        <n x="15"/>
        <n x="1337" s="1"/>
        <n x="41"/>
        <n x="32"/>
        <n x="2"/>
      </t>
    </mdx>
    <mdx n="33" f="v">
      <t c="4">
        <n x="107"/>
        <n x="0"/>
        <n x="32"/>
        <n x="1337" s="1"/>
      </t>
    </mdx>
    <mdx n="33" f="v">
      <t c="4">
        <n x="68"/>
        <n x="14"/>
        <n x="32"/>
        <n x="1337" s="1"/>
      </t>
    </mdx>
    <mdx n="33" f="v">
      <t c="4">
        <n x="187"/>
        <n x="0"/>
        <n x="7"/>
        <n x="1337" s="1"/>
      </t>
    </mdx>
    <mdx n="33" f="v">
      <t c="3">
        <n x="231"/>
        <n x="1336"/>
        <n x="1337" s="1"/>
      </t>
    </mdx>
    <mdx n="33" f="v">
      <t c="3">
        <n x="263"/>
        <n x="1336"/>
        <n x="1337" s="1"/>
      </t>
    </mdx>
    <mdx n="33" f="v">
      <t c="3">
        <n x="317"/>
        <n x="1336"/>
        <n x="1337" s="1"/>
      </t>
    </mdx>
    <mdx n="33" f="v">
      <t c="4">
        <n x="368"/>
        <n x="1"/>
        <n x="32"/>
        <n x="1337" s="1"/>
      </t>
    </mdx>
    <mdx n="33" f="v">
      <t c="4">
        <n x="418"/>
        <n x="1"/>
        <n x="32"/>
        <n x="1337" s="1"/>
      </t>
    </mdx>
    <mdx n="33" f="v">
      <t c="6" si="9">
        <n x="15"/>
        <n x="1337" s="1"/>
        <n x="43"/>
        <n x="7"/>
        <n x="4"/>
        <n x="0"/>
      </t>
    </mdx>
    <mdx n="33" f="v">
      <t c="4">
        <n x="159"/>
        <n x="12"/>
        <n x="7"/>
        <n x="1337" s="1"/>
      </t>
    </mdx>
    <mdx n="33" f="v">
      <t c="3">
        <n x="210"/>
        <n x="1336"/>
        <n x="1337" s="1"/>
      </t>
    </mdx>
    <mdx n="33" f="v">
      <t c="6" si="9">
        <n x="15"/>
        <n x="1337" s="1"/>
        <n x="43"/>
        <n x="7"/>
        <n x="21"/>
        <n x="0"/>
      </t>
    </mdx>
    <mdx n="33" f="v">
      <t c="6" si="9">
        <n x="15"/>
        <n x="1337" s="1"/>
        <n x="37"/>
        <n x="7"/>
        <n x="30"/>
        <n x="0"/>
      </t>
    </mdx>
    <mdx n="33" f="v">
      <t c="6">
        <n x="15"/>
        <n x="1337" s="1"/>
        <n x="43"/>
        <n x="7"/>
        <n x="17"/>
        <n x="3"/>
      </t>
    </mdx>
    <mdx n="33" f="v">
      <t c="6">
        <n x="15"/>
        <n x="1337" s="1"/>
        <n x="44"/>
        <n x="7"/>
        <n x="19"/>
        <n x="3"/>
      </t>
    </mdx>
    <mdx n="33" f="v">
      <t c="6" si="10">
        <n x="15"/>
        <n x="1337" s="1"/>
        <n x="42"/>
        <n x="32"/>
        <n x="4"/>
        <n x="1"/>
      </t>
    </mdx>
    <mdx n="33" f="v">
      <t c="4">
        <n x="89"/>
        <n x="12"/>
        <n x="7"/>
        <n x="1337" s="1"/>
      </t>
    </mdx>
    <mdx n="33" f="v">
      <t c="4">
        <n x="54"/>
        <n x="12"/>
        <n x="7"/>
        <n x="1337" s="1"/>
      </t>
    </mdx>
    <mdx n="33" f="v">
      <t c="4">
        <n x="182"/>
        <n x="12"/>
        <n x="7"/>
        <n x="1337" s="1"/>
      </t>
    </mdx>
    <mdx n="33" f="v">
      <t c="4">
        <n x="227"/>
        <n x="14"/>
        <n x="32"/>
        <n x="1337" s="1"/>
      </t>
    </mdx>
    <mdx n="33" f="v">
      <t c="4">
        <n x="259"/>
        <n x="14"/>
        <n x="32"/>
        <n x="1337" s="1"/>
      </t>
    </mdx>
    <mdx n="33" f="v">
      <t c="4">
        <n x="311"/>
        <n x="0"/>
        <n x="7"/>
        <n x="1337" s="1"/>
      </t>
    </mdx>
    <mdx n="33" f="v">
      <t c="4">
        <n x="363"/>
        <n x="0"/>
        <n x="32"/>
        <n x="1337" s="1"/>
      </t>
    </mdx>
    <mdx n="33" f="v">
      <t c="4">
        <n x="413"/>
        <n x="0"/>
        <n x="32"/>
        <n x="1337" s="1"/>
      </t>
    </mdx>
    <mdx n="33" f="v">
      <t c="6" si="10">
        <n x="15"/>
        <n x="1337" s="1"/>
        <n x="42"/>
        <n x="32"/>
        <n x="17"/>
        <n x="3"/>
      </t>
    </mdx>
    <mdx n="33" f="v">
      <t c="4">
        <n x="148"/>
        <n x="0"/>
        <n x="32"/>
        <n x="1337" s="1"/>
      </t>
    </mdx>
    <mdx n="33" f="v">
      <t c="4">
        <n x="204"/>
        <n x="0"/>
        <n x="7"/>
        <n x="1337" s="1"/>
      </t>
    </mdx>
    <mdx n="33" f="v">
      <t c="6" si="10">
        <n x="15"/>
        <n x="1337" s="1"/>
        <n x="39"/>
        <n x="32"/>
        <n x="31"/>
        <n x="3"/>
      </t>
    </mdx>
    <mdx n="33" f="v">
      <t c="6" si="9">
        <n x="15"/>
        <n x="1337" s="1"/>
        <n x="39"/>
        <n x="7"/>
        <n x="23"/>
        <n x="0"/>
      </t>
    </mdx>
    <mdx n="33" f="v">
      <t c="6" si="9">
        <n x="15"/>
        <n x="1337" s="1"/>
        <n x="43"/>
        <n x="7"/>
        <n x="18"/>
        <n x="1"/>
      </t>
    </mdx>
    <mdx n="33" f="v">
      <t c="6" si="9">
        <n x="15"/>
        <n x="1337" s="1"/>
        <n x="40"/>
        <n x="7"/>
        <n x="18"/>
        <n x="2"/>
      </t>
    </mdx>
    <mdx n="33" f="v">
      <t c="6" si="9">
        <n x="15"/>
        <n x="1337" s="1"/>
        <n x="36"/>
        <n x="7"/>
        <n x="4"/>
        <n x="2"/>
      </t>
    </mdx>
    <mdx n="33" f="v">
      <t c="4">
        <n x="101"/>
        <n x="0"/>
        <n x="32"/>
        <n x="1337" s="1"/>
      </t>
    </mdx>
    <mdx n="33" f="v">
      <t c="4">
        <n x="63"/>
        <n x="1"/>
        <n x="7"/>
        <n x="1337" s="1"/>
      </t>
    </mdx>
    <mdx n="33" f="v">
      <t c="4">
        <n x="186"/>
        <n x="12"/>
        <n x="7"/>
        <n x="1337" s="1"/>
      </t>
    </mdx>
    <mdx n="33" f="v">
      <t c="3">
        <n x="230"/>
        <n x="1336"/>
        <n x="1337" s="1"/>
      </t>
    </mdx>
    <mdx n="33" f="v">
      <t c="3">
        <n x="262"/>
        <n x="1336"/>
        <n x="1337" s="1"/>
      </t>
    </mdx>
    <mdx n="33" f="v">
      <t c="4">
        <n x="315"/>
        <n x="0"/>
        <n x="7"/>
        <n x="1337" s="1"/>
      </t>
    </mdx>
    <mdx n="33" f="v">
      <t c="4">
        <n x="367"/>
        <n x="0"/>
        <n x="32"/>
        <n x="1337" s="1"/>
      </t>
    </mdx>
    <mdx n="33" f="v">
      <t c="4">
        <n x="417"/>
        <n x="0"/>
        <n x="32"/>
        <n x="1337" s="1"/>
      </t>
    </mdx>
    <mdx n="33" f="v">
      <t c="5" si="10">
        <n x="15"/>
        <n x="1337" s="1"/>
        <n x="46"/>
        <n x="32"/>
        <n x="12"/>
      </t>
    </mdx>
    <mdx n="33" f="v">
      <t c="4">
        <n x="157"/>
        <n x="1"/>
        <n x="32"/>
        <n x="1337" s="1"/>
      </t>
    </mdx>
    <mdx n="33" f="v">
      <t c="4">
        <n x="208"/>
        <n x="0"/>
        <n x="7"/>
        <n x="1337" s="1"/>
      </t>
    </mdx>
    <mdx n="33" f="v">
      <t c="4">
        <n x="244"/>
        <n x="1"/>
        <n x="32"/>
        <n x="1337" s="1"/>
      </t>
    </mdx>
    <mdx n="33" f="v">
      <t c="4">
        <n x="276"/>
        <n x="1"/>
        <n x="32"/>
        <n x="1337" s="1"/>
      </t>
    </mdx>
    <mdx n="33" f="v">
      <t c="3">
        <n x="338"/>
        <n x="1336"/>
        <n x="1337" s="1"/>
      </t>
    </mdx>
    <mdx n="33" f="v">
      <t c="3">
        <n x="388"/>
        <n x="1336"/>
        <n x="1337" s="1"/>
      </t>
    </mdx>
    <mdx n="33" f="v">
      <t c="6" si="9">
        <n x="15"/>
        <n x="1337" s="1"/>
        <n x="35"/>
        <n x="7"/>
        <n x="25"/>
        <n x="12"/>
      </t>
    </mdx>
    <mdx n="33" f="v">
      <t c="4">
        <n x="199"/>
        <n x="0"/>
        <n x="7"/>
        <n x="1337" s="1"/>
      </t>
    </mdx>
    <mdx n="33" f="v">
      <t c="4">
        <n x="380"/>
        <n x="1"/>
        <n x="32"/>
        <n x="1337" s="1"/>
      </t>
    </mdx>
    <mdx n="33" f="v">
      <t c="4">
        <n x="220"/>
        <n x="1"/>
        <n x="7"/>
        <n x="1337" s="1"/>
      </t>
    </mdx>
    <mdx n="33" f="v">
      <t c="4">
        <n x="270"/>
        <n x="1"/>
        <n x="7"/>
        <n x="1337" s="1"/>
      </t>
    </mdx>
    <mdx n="33" f="v">
      <t c="3">
        <n x="346"/>
        <n x="1336"/>
        <n x="1337" s="1"/>
      </t>
    </mdx>
    <mdx n="33" f="v">
      <t c="3">
        <n x="408"/>
        <n x="1336"/>
        <n x="1337" s="1"/>
      </t>
    </mdx>
    <mdx n="33" f="v">
      <t c="6" si="10">
        <n x="15"/>
        <n x="1337" s="1"/>
        <n x="44"/>
        <n x="32"/>
        <n x="20"/>
        <n x="3"/>
      </t>
    </mdx>
    <mdx n="33" f="v">
      <t c="4">
        <n x="129"/>
        <n x="0"/>
        <n x="32"/>
        <n x="1337" s="1"/>
      </t>
    </mdx>
    <mdx n="33" f="v">
      <t c="4">
        <n x="201"/>
        <n x="0"/>
        <n x="32"/>
        <n x="1337" s="1"/>
      </t>
    </mdx>
    <mdx n="33" f="v">
      <t c="4">
        <n x="239"/>
        <n x="0"/>
        <n x="7"/>
        <n x="1337" s="1"/>
      </t>
    </mdx>
    <mdx n="33" f="v">
      <t c="4">
        <n x="271"/>
        <n x="0"/>
        <n x="7"/>
        <n x="1337" s="1"/>
      </t>
    </mdx>
    <mdx n="33" f="v">
      <t c="4">
        <n x="330"/>
        <n x="1"/>
        <n x="32"/>
        <n x="1337" s="1"/>
      </t>
    </mdx>
    <mdx n="33" f="v">
      <t c="4">
        <n x="381"/>
        <n x="0"/>
        <n x="7"/>
        <n x="1337" s="1"/>
      </t>
    </mdx>
    <mdx n="33" f="v">
      <t c="4">
        <n x="431"/>
        <n x="0"/>
        <n x="7"/>
        <n x="1337" s="1"/>
      </t>
    </mdx>
    <mdx n="33" f="v">
      <t c="4">
        <n x="114"/>
        <n x="0"/>
        <n x="32"/>
        <n x="1337" s="1"/>
      </t>
    </mdx>
    <mdx n="33" f="v">
      <t c="4">
        <n x="327"/>
        <n x="1"/>
        <n x="32"/>
        <n x="1337" s="1"/>
      </t>
    </mdx>
    <mdx n="33" f="v">
      <t c="4" si="10">
        <n x="471"/>
        <n x="0"/>
        <n x="32"/>
        <n x="1337" s="1"/>
      </t>
    </mdx>
    <mdx n="33" f="v">
      <t c="3" fi="0">
        <n x="522"/>
        <n x="1336"/>
        <n x="1337" s="1"/>
      </t>
    </mdx>
    <mdx n="33" f="v">
      <t c="4">
        <n x="573"/>
        <n x="1"/>
        <n x="32"/>
        <n x="1337" s="1"/>
      </t>
    </mdx>
    <mdx n="33" f="v">
      <t c="3">
        <n x="622"/>
        <n x="1336"/>
        <n x="1337" s="1"/>
      </t>
    </mdx>
    <mdx n="33" f="v">
      <t c="4" si="10">
        <n x="645"/>
        <n x="11"/>
        <n x="32"/>
        <n x="1337" s="1"/>
      </t>
    </mdx>
    <mdx n="33" f="v">
      <t c="4" si="10">
        <n x="668"/>
        <n x="12"/>
        <n x="32"/>
        <n x="1337" s="1"/>
      </t>
    </mdx>
    <mdx n="33" f="v">
      <t c="4">
        <n x="134"/>
        <n x="0"/>
        <n x="32"/>
        <n x="1337" s="1"/>
      </t>
    </mdx>
    <mdx n="33" f="v">
      <t c="4">
        <n x="331"/>
        <n x="1"/>
        <n x="32"/>
        <n x="1337" s="1"/>
      </t>
    </mdx>
    <mdx n="33" f="v">
      <t c="4" si="9">
        <n x="472"/>
        <n x="12"/>
        <n x="7"/>
        <n x="1337" s="1"/>
      </t>
    </mdx>
    <mdx n="33" f="v">
      <t c="3" fi="0">
        <n x="523"/>
        <n x="1336"/>
        <n x="1337" s="1"/>
      </t>
    </mdx>
    <mdx n="33" f="v">
      <t c="4" si="10">
        <n x="574"/>
        <n x="1"/>
        <n x="32"/>
        <n x="1337" s="1"/>
      </t>
    </mdx>
    <mdx n="33" f="v">
      <t c="4">
        <n x="622"/>
        <n x="1"/>
        <n x="7"/>
        <n x="1337" s="1"/>
      </t>
    </mdx>
    <mdx n="33" f="v">
      <t c="4">
        <n x="645"/>
        <n x="14"/>
        <n x="7"/>
        <n x="1337" s="1"/>
      </t>
    </mdx>
    <mdx n="33" f="v">
      <t c="6" si="10">
        <n x="15"/>
        <n x="1337" s="1"/>
        <n x="39"/>
        <n x="32"/>
        <n x="6"/>
        <n x="0"/>
      </t>
    </mdx>
    <mdx n="33" f="v">
      <t c="4">
        <n x="190"/>
        <n x="12"/>
        <n x="7"/>
        <n x="1337" s="1"/>
      </t>
    </mdx>
    <mdx n="33" f="v">
      <t c="4">
        <n x="371"/>
        <n x="0"/>
        <n x="32"/>
        <n x="1337" s="1"/>
      </t>
    </mdx>
    <mdx n="33" f="v">
      <t c="3">
        <n x="1303"/>
        <n x="1336"/>
        <n x="1337" s="1"/>
      </t>
    </mdx>
    <mdx n="33" f="v">
      <t c="6" si="9">
        <n x="15"/>
        <n x="1337" s="1"/>
        <n x="47"/>
        <n x="7"/>
        <n x="21"/>
        <n x="12"/>
      </t>
    </mdx>
    <mdx n="33" f="v">
      <t c="4">
        <n x="1204"/>
        <n x="1"/>
        <n x="32"/>
        <n x="1337" s="1"/>
      </t>
    </mdx>
    <mdx n="33" f="v">
      <t c="6" si="10">
        <n x="15"/>
        <n x="1337" s="1"/>
        <n x="44"/>
        <n x="32"/>
        <n x="20"/>
        <n x="1"/>
      </t>
    </mdx>
    <mdx n="33" f="v">
      <t c="6">
        <n x="15"/>
        <n x="1337" s="1"/>
        <n x="42"/>
        <n x="7"/>
        <n x="27"/>
        <n x="3"/>
      </t>
    </mdx>
    <mdx n="33" f="v">
      <t c="6" si="10">
        <n x="15"/>
        <n x="1337" s="1"/>
        <n x="44"/>
        <n x="32"/>
        <n x="19"/>
        <n x="0"/>
      </t>
    </mdx>
    <mdx n="33" f="v">
      <t c="4">
        <n x="147"/>
        <n x="12"/>
        <n x="7"/>
        <n x="1337" s="1"/>
      </t>
    </mdx>
    <mdx n="33" f="v">
      <t c="6" si="9">
        <n x="15"/>
        <n x="1337" s="1"/>
        <n x="37"/>
        <n x="7"/>
        <n x="18"/>
        <n x="1"/>
      </t>
    </mdx>
    <mdx n="33" f="v">
      <t c="6" si="10">
        <n x="15"/>
        <n x="1337" s="1"/>
        <n x="47"/>
        <n x="32"/>
        <n x="17"/>
        <n x="12"/>
      </t>
    </mdx>
    <mdx n="33" f="v">
      <t c="4">
        <n x="1306"/>
        <n x="1"/>
        <n x="7"/>
        <n x="1337" s="1"/>
      </t>
    </mdx>
    <mdx n="33" f="v">
      <t c="4">
        <n x="63"/>
        <n x="12"/>
        <n x="7"/>
        <n x="1337" s="1"/>
      </t>
    </mdx>
    <mdx n="33" f="v">
      <t c="6" si="10">
        <n x="15"/>
        <n x="1337" s="1"/>
        <n x="36"/>
        <n x="32"/>
        <n x="18"/>
        <n x="1"/>
      </t>
    </mdx>
    <mdx n="33" f="v">
      <t c="6" si="9">
        <n x="15"/>
        <n x="1337" s="1"/>
        <n x="40"/>
        <n x="7"/>
        <n x="25"/>
        <n x="2"/>
      </t>
    </mdx>
    <mdx n="33" f="v">
      <t c="6" si="9">
        <n x="15"/>
        <n x="1337" s="1"/>
        <n x="35"/>
        <n x="7"/>
        <n x="28"/>
        <n x="12"/>
      </t>
    </mdx>
    <mdx n="33" f="v">
      <t c="5" si="10">
        <n x="15"/>
        <n x="1337" s="1"/>
        <n x="13"/>
        <n x="32"/>
        <n x="31"/>
      </t>
    </mdx>
    <mdx n="33" f="v">
      <t c="6" si="9">
        <n x="15"/>
        <n x="1337" s="1"/>
        <n x="37"/>
        <n x="7"/>
        <n x="24"/>
        <n x="2"/>
      </t>
    </mdx>
    <mdx n="33" f="v">
      <t c="3">
        <n x="1185"/>
        <n x="1336"/>
        <n x="1337" s="1"/>
      </t>
    </mdx>
    <mdx n="33" f="v">
      <t c="6" si="9">
        <n x="15"/>
        <n x="1337" s="1"/>
        <n x="40"/>
        <n x="7"/>
        <n x="23"/>
        <n x="0"/>
      </t>
    </mdx>
    <mdx n="33" f="v">
      <t c="6" si="10">
        <n x="15"/>
        <n x="1337" s="1"/>
        <n x="40"/>
        <n x="32"/>
        <n x="18"/>
        <n x="2"/>
      </t>
    </mdx>
    <mdx n="33" f="v">
      <t c="6" si="10">
        <n x="15"/>
        <n x="1337" s="1"/>
        <n x="35"/>
        <n x="32"/>
        <n x="31"/>
        <n x="12"/>
      </t>
    </mdx>
    <mdx n="33" f="v">
      <t c="5" si="9">
        <n x="15"/>
        <n x="1337" s="1"/>
        <n x="11"/>
        <n x="7"/>
        <n x="18"/>
      </t>
    </mdx>
    <mdx n="33" f="v">
      <t c="4">
        <n x="67"/>
        <n x="12"/>
        <n x="7"/>
        <n x="1337" s="1"/>
      </t>
    </mdx>
    <mdx n="33" f="v">
      <t c="6">
        <n x="15"/>
        <n x="1337" s="1"/>
        <n x="40"/>
        <n x="7"/>
        <n x="21"/>
        <n x="3"/>
      </t>
    </mdx>
    <mdx n="33" f="v">
      <t c="5" si="10">
        <n x="15"/>
        <n x="1337" s="1"/>
        <n x="14"/>
        <n x="32"/>
        <n x="6"/>
      </t>
    </mdx>
    <mdx n="33" f="v">
      <t c="5" si="10">
        <n x="15"/>
        <n x="1337" s="1"/>
        <n x="11"/>
        <n x="32"/>
        <n x="27"/>
      </t>
    </mdx>
    <mdx n="33" f="v">
      <t c="6" si="10">
        <n x="15"/>
        <n x="1337" s="1"/>
        <n x="46"/>
        <n x="32"/>
        <n x="6"/>
        <n x="12"/>
      </t>
    </mdx>
    <mdx n="33" f="v">
      <t c="4">
        <n x="58"/>
        <n x="0"/>
        <n x="32"/>
        <n x="1337" s="1"/>
      </t>
    </mdx>
    <mdx n="33" f="v">
      <t c="4">
        <n x="136"/>
        <n x="12"/>
        <n x="7"/>
        <n x="1337" s="1"/>
      </t>
    </mdx>
    <mdx n="33" f="v">
      <t c="4">
        <n x="59"/>
        <n x="0"/>
        <n x="32"/>
        <n x="1337" s="1"/>
      </t>
    </mdx>
    <mdx n="33" f="v">
      <t c="6">
        <n x="15"/>
        <n x="1337" s="1"/>
        <n x="41"/>
        <n x="7"/>
        <n x="27"/>
        <n x="3"/>
      </t>
    </mdx>
    <mdx n="33" f="v">
      <t c="6">
        <n x="15"/>
        <n x="1337" s="1"/>
        <n x="38"/>
        <n x="7"/>
        <n x="23"/>
        <n x="2"/>
      </t>
    </mdx>
    <mdx n="33" f="v">
      <t c="5" si="10">
        <n x="15"/>
        <n x="1337" s="1"/>
        <n x="40"/>
        <n x="32"/>
        <n x="0"/>
      </t>
    </mdx>
    <mdx n="33" f="v">
      <t c="5" si="10">
        <n x="15"/>
        <n x="1337" s="1"/>
        <n x="36"/>
        <n x="32"/>
        <n x="1"/>
      </t>
    </mdx>
    <mdx n="33" f="v">
      <t c="6" si="10">
        <n x="15"/>
        <n x="1337" s="1"/>
        <n x="39"/>
        <n x="32"/>
        <n x="4"/>
        <n x="2"/>
      </t>
    </mdx>
    <mdx n="33" f="v">
      <t c="4">
        <n x="116"/>
        <n x="12"/>
        <n x="7"/>
        <n x="1337" s="1"/>
      </t>
    </mdx>
    <mdx n="33" f="v">
      <t c="4">
        <n x="76"/>
        <n x="14"/>
        <n x="32"/>
        <n x="1337" s="1"/>
      </t>
    </mdx>
    <mdx n="33" f="v">
      <t c="4">
        <n x="191"/>
        <n x="0"/>
        <n x="32"/>
        <n x="1337" s="1"/>
      </t>
    </mdx>
    <mdx n="33" f="v">
      <t c="3">
        <n x="233"/>
        <n x="1336"/>
        <n x="1337" s="1"/>
      </t>
    </mdx>
    <mdx n="33" f="v">
      <t c="3">
        <n x="265"/>
        <n x="1336"/>
        <n x="1337" s="1"/>
      </t>
    </mdx>
    <mdx n="33" f="v">
      <t c="4">
        <n x="320"/>
        <n x="1"/>
        <n x="32"/>
        <n x="1337" s="1"/>
      </t>
    </mdx>
    <mdx n="33" f="v">
      <t c="4">
        <n x="371"/>
        <n x="0"/>
        <n x="7"/>
        <n x="1337" s="1"/>
      </t>
    </mdx>
    <mdx n="33" f="v">
      <t c="4">
        <n x="421"/>
        <n x="0"/>
        <n x="7"/>
        <n x="1337" s="1"/>
      </t>
    </mdx>
    <mdx n="33" f="v">
      <t c="5" si="10">
        <n x="15"/>
        <n x="1337" s="1"/>
        <n x="40"/>
        <n x="32"/>
        <n x="1"/>
      </t>
    </mdx>
    <mdx n="33" f="v">
      <t c="3">
        <n x="162"/>
        <n x="1336"/>
        <n x="1337" s="1"/>
      </t>
    </mdx>
    <mdx n="33" f="v">
      <t c="4">
        <n x="213"/>
        <n x="1"/>
        <n x="32"/>
        <n x="1337" s="1"/>
      </t>
    </mdx>
    <mdx n="33" f="v">
      <t c="6">
        <n x="15"/>
        <n x="1337" s="1"/>
        <n x="38"/>
        <n x="32"/>
        <n x="22"/>
        <n x="2"/>
      </t>
    </mdx>
    <mdx n="33" f="v">
      <t c="6">
        <n x="15"/>
        <n x="1337" s="1"/>
        <n x="38"/>
        <n x="7"/>
        <n x="26"/>
        <n x="0"/>
      </t>
    </mdx>
    <mdx n="33" f="v">
      <t c="6" si="9">
        <n x="15"/>
        <n x="1337" s="1"/>
        <n x="43"/>
        <n x="7"/>
        <n x="18"/>
        <n x="2"/>
      </t>
    </mdx>
    <mdx n="33" f="v">
      <t c="6">
        <n x="15"/>
        <n x="1337" s="1"/>
        <n x="38"/>
        <n x="7"/>
        <n x="18"/>
        <n x="1"/>
      </t>
    </mdx>
    <mdx n="33" f="v">
      <t c="6" si="9">
        <n x="15"/>
        <n x="1337" s="1"/>
        <n x="44"/>
        <n x="7"/>
        <n x="6"/>
        <n x="1"/>
      </t>
    </mdx>
    <mdx n="33" f="v">
      <t c="4">
        <n x="99"/>
        <n x="0"/>
        <n x="32"/>
        <n x="1337" s="1"/>
      </t>
    </mdx>
    <mdx n="33" f="v">
      <t c="4">
        <n x="62"/>
        <n x="12"/>
        <n x="7"/>
        <n x="1337" s="1"/>
      </t>
    </mdx>
    <mdx n="33" f="v">
      <t c="3">
        <n x="185"/>
        <n x="1336"/>
        <n x="1337" s="1"/>
      </t>
    </mdx>
    <mdx n="33" f="v">
      <t c="4">
        <n x="229"/>
        <n x="14"/>
        <n x="32"/>
        <n x="1337" s="1"/>
      </t>
    </mdx>
    <mdx n="33" f="v">
      <t c="4">
        <n x="261"/>
        <n x="14"/>
        <n x="32"/>
        <n x="1337" s="1"/>
      </t>
    </mdx>
    <mdx n="33" f="v">
      <t c="4">
        <n x="315"/>
        <n x="0"/>
        <n x="32"/>
        <n x="1337" s="1"/>
      </t>
    </mdx>
    <mdx n="33" f="v">
      <t c="4">
        <n x="366"/>
        <n x="12"/>
        <n x="7"/>
        <n x="1337" s="1"/>
      </t>
    </mdx>
    <mdx n="33" f="v">
      <t c="4">
        <n x="416"/>
        <n x="12"/>
        <n x="7"/>
        <n x="1337" s="1"/>
      </t>
    </mdx>
    <mdx n="33" f="v">
      <t c="5" si="9">
        <n x="15"/>
        <n x="1337" s="1"/>
        <n x="34"/>
        <n x="7"/>
        <n x="12"/>
      </t>
    </mdx>
    <mdx n="33" f="v">
      <t c="4">
        <n x="156"/>
        <n x="12"/>
        <n x="7"/>
        <n x="1337" s="1"/>
      </t>
    </mdx>
    <mdx n="33" f="v">
      <t c="4">
        <n x="208"/>
        <n x="0"/>
        <n x="32"/>
        <n x="1337" s="1"/>
      </t>
    </mdx>
    <mdx n="33" f="v">
      <t c="6">
        <n x="15"/>
        <n x="1337" s="1"/>
        <n x="42"/>
        <n x="7"/>
        <n x="27"/>
        <n x="1"/>
      </t>
    </mdx>
    <mdx n="33" f="v">
      <t c="6" si="9">
        <n x="15"/>
        <n x="1337" s="1"/>
        <n x="40"/>
        <n x="7"/>
        <n x="23"/>
        <n x="1"/>
      </t>
    </mdx>
    <mdx n="33" f="v">
      <t c="6" si="10">
        <n x="15"/>
        <n x="1337" s="1"/>
        <n x="37"/>
        <n x="32"/>
        <n x="6"/>
        <n x="0"/>
      </t>
    </mdx>
    <mdx n="33" f="v">
      <t c="6" si="10">
        <n x="15"/>
        <n x="1337" s="1"/>
        <n x="42"/>
        <n x="32"/>
        <n x="6"/>
        <n x="0"/>
      </t>
    </mdx>
    <mdx n="33" f="v">
      <t c="6" si="10">
        <n x="15"/>
        <n x="1337" s="1"/>
        <n x="42"/>
        <n x="32"/>
        <n x="4"/>
        <n x="2"/>
      </t>
    </mdx>
    <mdx n="33" f="v">
      <t c="4">
        <n x="111"/>
        <n x="0"/>
        <n x="32"/>
        <n x="1337" s="1"/>
      </t>
    </mdx>
    <mdx n="33" f="v">
      <t c="4">
        <n x="73"/>
        <n x="11"/>
        <n x="32"/>
        <n x="1337" s="1"/>
      </t>
    </mdx>
    <mdx n="33" f="v">
      <t c="3">
        <n x="189"/>
        <n x="1336"/>
        <n x="1337" s="1"/>
      </t>
    </mdx>
    <mdx n="33" f="v">
      <t c="3">
        <n x="232"/>
        <n x="1336"/>
        <n x="1337" s="1"/>
      </t>
    </mdx>
    <mdx n="33" f="v">
      <t c="3">
        <n x="264"/>
        <n x="1336"/>
        <n x="1337" s="1"/>
      </t>
    </mdx>
    <mdx n="33" f="v">
      <t c="4">
        <n x="319"/>
        <n x="0"/>
        <n x="32"/>
        <n x="1337" s="1"/>
      </t>
    </mdx>
    <mdx n="33" f="v">
      <t c="4">
        <n x="370"/>
        <n x="12"/>
        <n x="7"/>
        <n x="1337" s="1"/>
      </t>
    </mdx>
    <mdx n="33" f="v">
      <t c="6" si="9">
        <n x="15"/>
        <n x="1337" s="1"/>
        <n x="43"/>
        <n x="7"/>
        <n x="18"/>
        <n x="0"/>
      </t>
    </mdx>
    <mdx n="33" f="v">
      <t c="6">
        <n x="15"/>
        <n x="1337" s="1"/>
        <n x="41"/>
        <n x="32"/>
        <n x="18"/>
        <n x="2"/>
      </t>
    </mdx>
    <mdx n="33" f="v">
      <t c="4" si="10">
        <n x="1213"/>
        <n x="11"/>
        <n x="32"/>
        <n x="1337" s="1"/>
      </t>
    </mdx>
    <mdx n="33" f="v">
      <t c="6" si="9">
        <n x="15"/>
        <n x="1337" s="1"/>
        <n x="44"/>
        <n x="7"/>
        <n x="27"/>
        <n x="1"/>
      </t>
    </mdx>
    <mdx n="33" f="v">
      <t c="6" si="10">
        <n x="15"/>
        <n x="1337" s="1"/>
        <n x="38"/>
        <n x="32"/>
        <n x="20"/>
        <n x="0"/>
      </t>
    </mdx>
    <mdx n="33" f="v">
      <t c="6">
        <n x="15"/>
        <n x="1337" s="1"/>
        <n x="38"/>
        <n x="7"/>
        <n x="28"/>
        <n x="1"/>
      </t>
    </mdx>
    <mdx n="33" f="v">
      <t c="6">
        <n x="15"/>
        <n x="1337" s="1"/>
        <n x="37"/>
        <n x="7"/>
        <n x="23"/>
        <n x="3"/>
      </t>
    </mdx>
    <mdx n="33" f="v">
      <t c="6" si="9">
        <n x="15"/>
        <n x="1337" s="1"/>
        <n x="41"/>
        <n x="7"/>
        <n x="25"/>
        <n x="0"/>
      </t>
    </mdx>
    <mdx n="33" f="v">
      <t c="4">
        <n x="1129"/>
        <n x="1"/>
        <n x="7"/>
        <n x="1337" s="1"/>
      </t>
    </mdx>
    <mdx n="33" f="v">
      <t c="4" si="10">
        <n x="1139"/>
        <n x="1"/>
        <n x="32"/>
        <n x="1337" s="1"/>
      </t>
    </mdx>
    <mdx n="33" f="v">
      <t c="4" si="10">
        <n x="1141"/>
        <n x="1"/>
        <n x="32"/>
        <n x="1337" s="1"/>
      </t>
    </mdx>
    <mdx n="33" f="v">
      <t c="6" si="10">
        <n x="15"/>
        <n x="1337" s="1"/>
        <n x="36"/>
        <n x="32"/>
        <n x="29"/>
        <n x="2"/>
      </t>
    </mdx>
    <mdx n="33" f="v">
      <t c="6" si="9">
        <n x="15"/>
        <n x="1337" s="1"/>
        <n x="38"/>
        <n x="7"/>
        <n x="21"/>
        <n x="1"/>
      </t>
    </mdx>
    <mdx n="33" f="v">
      <t c="6">
        <n x="15"/>
        <n x="1337" s="1"/>
        <n x="44"/>
        <n x="7"/>
        <n x="21"/>
        <n x="3"/>
      </t>
    </mdx>
    <mdx n="33" f="v">
      <t c="6" si="10">
        <n x="15"/>
        <n x="1337" s="1"/>
        <n x="37"/>
        <n x="32"/>
        <n x="20"/>
        <n x="1"/>
      </t>
    </mdx>
    <mdx n="33" f="v">
      <t c="3">
        <n x="1283"/>
        <n x="1336"/>
        <n x="1337" s="1"/>
      </t>
    </mdx>
    <mdx n="33" f="v">
      <t c="4">
        <n x="1255"/>
        <n x="1"/>
        <n x="32"/>
        <n x="1337" s="1"/>
      </t>
    </mdx>
    <mdx n="33" f="v">
      <t c="6">
        <n x="15"/>
        <n x="1337" s="1"/>
        <n x="38"/>
        <n x="32"/>
        <n x="21"/>
        <n x="3"/>
      </t>
    </mdx>
    <mdx n="33" f="v">
      <t c="3">
        <n x="1227"/>
        <n x="1336"/>
        <n x="1337" s="1"/>
      </t>
    </mdx>
    <mdx n="33" f="v">
      <t c="6" si="10">
        <n x="15"/>
        <n x="1337" s="1"/>
        <n x="38"/>
        <n x="32"/>
        <n x="25"/>
        <n x="0"/>
      </t>
    </mdx>
    <mdx n="33" f="v">
      <t c="6" si="9">
        <n x="15"/>
        <n x="1337" s="1"/>
        <n x="43"/>
        <n x="7"/>
        <n x="24"/>
        <n x="0"/>
      </t>
    </mdx>
    <mdx n="33" f="v">
      <t c="4">
        <n x="1207"/>
        <n x="1"/>
        <n x="32"/>
        <n x="1337" s="1"/>
      </t>
    </mdx>
    <mdx n="33" f="v">
      <t c="6">
        <n x="15"/>
        <n x="1337" s="1"/>
        <n x="36"/>
        <n x="7"/>
        <n x="30"/>
        <n x="2"/>
      </t>
    </mdx>
    <mdx n="33" f="v">
      <t c="3">
        <n x="1139"/>
        <n x="1336"/>
        <n x="1337" s="1"/>
      </t>
    </mdx>
    <mdx n="33" f="v">
      <t c="3">
        <n x="1320"/>
        <n x="1336"/>
        <n x="1337" s="1"/>
      </t>
    </mdx>
    <mdx n="33" f="v">
      <t c="6" si="10">
        <n x="15"/>
        <n x="1337" s="1"/>
        <n x="46"/>
        <n x="32"/>
        <n x="27"/>
        <n x="12"/>
      </t>
    </mdx>
    <mdx n="33" f="v">
      <t c="6" si="10">
        <n x="15"/>
        <n x="1337" s="1"/>
        <n x="43"/>
        <n x="32"/>
        <n x="17"/>
        <n x="0"/>
      </t>
    </mdx>
    <mdx n="33" f="v">
      <t c="6">
        <n x="15"/>
        <n x="1337" s="1"/>
        <n x="46"/>
        <n x="7"/>
        <n x="23"/>
        <n x="12"/>
      </t>
    </mdx>
    <mdx n="33" f="v">
      <t c="6" si="10">
        <n x="15"/>
        <n x="1337" s="1"/>
        <n x="34"/>
        <n x="32"/>
        <n x="17"/>
        <n x="12"/>
      </t>
    </mdx>
    <mdx n="33" f="v">
      <t c="6" si="10">
        <n x="15"/>
        <n x="1337" s="1"/>
        <n x="37"/>
        <n x="32"/>
        <n x="20"/>
        <n x="0"/>
      </t>
    </mdx>
    <mdx n="33" f="v">
      <t c="6" si="9">
        <n x="15"/>
        <n x="1337" s="1"/>
        <n x="39"/>
        <n x="7"/>
        <n x="4"/>
        <n x="0"/>
      </t>
    </mdx>
    <mdx n="33" f="v">
      <t c="4">
        <n x="65"/>
        <n x="14"/>
        <n x="32"/>
        <n x="1337" s="1"/>
      </t>
    </mdx>
    <mdx n="33" f="v">
      <t c="4">
        <n x="1327"/>
        <n x="14"/>
        <n x="32"/>
        <n x="1337" s="1"/>
      </t>
    </mdx>
    <mdx n="33" f="v">
      <t c="6" si="10">
        <n x="15"/>
        <n x="1337" s="1"/>
        <n x="39"/>
        <n x="32"/>
        <n x="18"/>
        <n x="1"/>
      </t>
    </mdx>
    <mdx n="33" f="v">
      <t c="6" si="9">
        <n x="15"/>
        <n x="1337" s="1"/>
        <n x="44"/>
        <n x="7"/>
        <n x="4"/>
        <n x="0"/>
      </t>
    </mdx>
    <mdx n="33" f="v">
      <t c="6" si="9">
        <n x="15"/>
        <n x="1337" s="1"/>
        <n x="39"/>
        <n x="7"/>
        <n x="27"/>
        <n x="3"/>
      </t>
    </mdx>
    <mdx n="33" f="v">
      <t c="4">
        <n x="1266"/>
        <n x="14"/>
        <n x="7"/>
        <n x="1337" s="1"/>
      </t>
    </mdx>
    <mdx n="33" f="v">
      <t c="6" si="10">
        <n x="15"/>
        <n x="1337" s="1"/>
        <n x="45"/>
        <n x="32"/>
        <n x="28"/>
        <n x="12"/>
      </t>
    </mdx>
    <mdx n="33" f="v">
      <t c="6">
        <n x="15"/>
        <n x="1337" s="1"/>
        <n x="44"/>
        <n x="7"/>
        <n x="24"/>
        <n x="3"/>
      </t>
    </mdx>
    <mdx n="33" f="v">
      <t c="6">
        <n x="15"/>
        <n x="1337" s="1"/>
        <n x="38"/>
        <n x="7"/>
        <n x="24"/>
        <n x="2"/>
      </t>
    </mdx>
    <mdx n="33" f="v">
      <t c="6" si="10">
        <n x="15"/>
        <n x="1337" s="1"/>
        <n x="47"/>
        <n x="32"/>
        <n x="24"/>
        <n x="12"/>
      </t>
    </mdx>
    <mdx n="33" f="v">
      <t c="6" si="9">
        <n x="15"/>
        <n x="1337" s="1"/>
        <n x="37"/>
        <n x="7"/>
        <n x="23"/>
        <n x="0"/>
      </t>
    </mdx>
    <mdx n="33" f="v">
      <t c="6">
        <n x="15"/>
        <n x="1337" s="1"/>
        <n x="41"/>
        <n x="32"/>
        <n x="26"/>
        <n x="3"/>
      </t>
    </mdx>
    <mdx n="33" f="v">
      <t c="6">
        <n x="15"/>
        <n x="1337" s="1"/>
        <n x="42"/>
        <n x="7"/>
        <n x="20"/>
        <n x="2"/>
      </t>
    </mdx>
    <mdx n="33" f="v">
      <t c="6" si="9">
        <n x="15"/>
        <n x="1337" s="1"/>
        <n x="40"/>
        <n x="7"/>
        <n x="25"/>
        <n x="1"/>
      </t>
    </mdx>
    <mdx n="33" f="v">
      <t c="6" si="9">
        <n x="15"/>
        <n x="1337" s="1"/>
        <n x="41"/>
        <n x="7"/>
        <n x="4"/>
        <n x="1"/>
      </t>
    </mdx>
    <mdx n="33" f="v">
      <t c="4">
        <n x="69"/>
        <n x="14"/>
        <n x="32"/>
        <n x="1337" s="1"/>
      </t>
    </mdx>
    <mdx n="33" f="v">
      <t c="3">
        <n x="1310"/>
        <n x="1336"/>
        <n x="1337" s="1"/>
      </t>
    </mdx>
    <mdx n="33" f="v">
      <t c="6" si="10">
        <n x="15"/>
        <n x="1337" s="1"/>
        <n x="42"/>
        <n x="32"/>
        <n x="18"/>
        <n x="2"/>
      </t>
    </mdx>
    <mdx n="33" f="v">
      <t c="6" si="9">
        <n x="15"/>
        <n x="1337" s="1"/>
        <n x="37"/>
        <n x="7"/>
        <n x="4"/>
        <n x="1"/>
      </t>
    </mdx>
    <mdx n="33" f="v">
      <t c="6" si="10">
        <n x="15"/>
        <n x="1337" s="1"/>
        <n x="43"/>
        <n x="32"/>
        <n x="26"/>
        <n x="2"/>
      </t>
    </mdx>
    <mdx n="33" f="v">
      <t c="4">
        <n x="1212"/>
        <n x="1"/>
        <n x="7"/>
        <n x="1337" s="1"/>
      </t>
    </mdx>
    <mdx n="33" f="v">
      <t c="6" si="9">
        <n x="15"/>
        <n x="1337" s="1"/>
        <n x="41"/>
        <n x="7"/>
        <n x="31"/>
        <n x="0"/>
      </t>
    </mdx>
    <mdx n="33" f="v">
      <t c="4" si="10">
        <n x="1183"/>
        <n x="1"/>
        <n x="32"/>
        <n x="1337" s="1"/>
      </t>
    </mdx>
    <mdx n="33" f="v">
      <t c="6" si="10">
        <n x="15"/>
        <n x="1337" s="1"/>
        <n x="44"/>
        <n x="32"/>
        <n x="23"/>
        <n x="3"/>
      </t>
    </mdx>
    <mdx n="33" f="v">
      <t c="6" si="10">
        <n x="15"/>
        <n x="1337" s="1"/>
        <n x="39"/>
        <n x="32"/>
        <n x="21"/>
        <n x="0"/>
      </t>
    </mdx>
    <mdx n="33" f="v">
      <t c="6" si="9">
        <n x="15"/>
        <n x="1337" s="1"/>
        <n x="39"/>
        <n x="7"/>
        <n x="26"/>
        <n x="0"/>
      </t>
    </mdx>
    <mdx n="33" f="v">
      <t c="5" si="10">
        <n x="15"/>
        <n x="1337" s="1"/>
        <n x="13"/>
        <n x="32"/>
        <n x="18"/>
      </t>
    </mdx>
    <mdx n="33" f="v">
      <t c="6" si="9">
        <n x="15"/>
        <n x="1337" s="1"/>
        <n x="40"/>
        <n x="7"/>
        <n x="29"/>
        <n x="0"/>
      </t>
    </mdx>
    <mdx n="33" f="v">
      <t c="6" si="9">
        <n x="15"/>
        <n x="1337" s="1"/>
        <n x="46"/>
        <n x="7"/>
        <n x="18"/>
        <n x="12"/>
      </t>
    </mdx>
    <mdx n="33" f="v">
      <t c="4">
        <n x="48"/>
        <n x="0"/>
        <n x="32"/>
        <n x="1337" s="1"/>
      </t>
    </mdx>
    <mdx n="33" f="v">
      <t c="4">
        <n x="111"/>
        <n x="12"/>
        <n x="7"/>
        <n x="1337" s="1"/>
      </t>
    </mdx>
    <mdx n="33" f="v">
      <t c="6" si="10">
        <n x="15"/>
        <n x="1337" s="1"/>
        <n x="42"/>
        <n x="32"/>
        <n x="23"/>
        <n x="3"/>
      </t>
    </mdx>
    <mdx n="33" f="v">
      <t c="5" si="10">
        <n x="15"/>
        <n x="1337" s="1"/>
        <n x="37"/>
        <n x="32"/>
        <n x="0"/>
      </t>
    </mdx>
    <mdx n="33" f="v">
      <t c="6" si="9">
        <n x="15"/>
        <n x="1337" s="1"/>
        <n x="37"/>
        <n x="7"/>
        <n x="25"/>
        <n x="2"/>
      </t>
    </mdx>
    <mdx n="33" f="v">
      <t c="4">
        <n x="1124"/>
        <n x="11"/>
        <n x="7"/>
        <n x="1337" s="1"/>
      </t>
    </mdx>
    <mdx n="33" f="v">
      <t c="3">
        <n x="1248"/>
        <n x="1336"/>
        <n x="1337" s="1"/>
      </t>
    </mdx>
    <mdx n="33" f="v">
      <t c="6" si="10">
        <n x="15"/>
        <n x="1337" s="1"/>
        <n x="37"/>
        <n x="32"/>
        <n x="25"/>
        <n x="3"/>
      </t>
    </mdx>
    <mdx n="33" f="v">
      <t c="4">
        <n x="1250"/>
        <n x="1"/>
        <n x="32"/>
        <n x="1337" s="1"/>
      </t>
    </mdx>
    <mdx n="33" f="v">
      <t c="5" si="9">
        <n x="15"/>
        <n x="1337" s="1"/>
        <n x="36"/>
        <n x="7"/>
        <n x="2"/>
      </t>
    </mdx>
    <mdx n="33" f="v">
      <t c="6" si="10">
        <n x="15"/>
        <n x="1337" s="1"/>
        <n x="42"/>
        <n x="32"/>
        <n x="27"/>
        <n x="2"/>
      </t>
    </mdx>
    <mdx n="33" f="v">
      <t c="6">
        <n x="15"/>
        <n x="1337" s="1"/>
        <n x="39"/>
        <n x="7"/>
        <n x="30"/>
        <n x="2"/>
      </t>
    </mdx>
    <mdx n="33" f="v">
      <t c="6" si="10">
        <n x="15"/>
        <n x="1337" s="1"/>
        <n x="37"/>
        <n x="32"/>
        <n x="24"/>
        <n x="2"/>
      </t>
    </mdx>
    <mdx n="33" f="v">
      <t c="4">
        <n x="1143"/>
        <n x="1"/>
        <n x="32"/>
        <n x="1337" s="1"/>
      </t>
    </mdx>
    <mdx n="33" f="v">
      <t c="6">
        <n x="15"/>
        <n x="1337" s="1"/>
        <n x="43"/>
        <n x="7"/>
        <n x="21"/>
        <n x="2"/>
      </t>
    </mdx>
    <mdx n="33" f="v">
      <t c="6" si="10">
        <n x="15"/>
        <n x="1337" s="1"/>
        <n x="39"/>
        <n x="32"/>
        <n x="26"/>
        <n x="0"/>
      </t>
    </mdx>
    <mdx n="33" f="v">
      <t c="4">
        <n x="79"/>
        <n x="12"/>
        <n x="7"/>
        <n x="1337" s="1"/>
      </t>
    </mdx>
    <mdx n="33" f="v">
      <t c="5" si="9">
        <n x="15"/>
        <n x="1337" s="1"/>
        <n x="8"/>
        <n x="7"/>
        <n x="18"/>
      </t>
    </mdx>
    <mdx n="33" f="v">
      <t c="6" si="9">
        <n x="15"/>
        <n x="1337" s="1"/>
        <n x="34"/>
        <n x="7"/>
        <n x="17"/>
        <n x="12"/>
      </t>
    </mdx>
    <mdx n="33" f="v">
      <t c="6" si="10">
        <n x="15"/>
        <n x="1337" s="1"/>
        <n x="44"/>
        <n x="32"/>
        <n x="29"/>
        <n x="0"/>
      </t>
    </mdx>
    <mdx n="33" f="v">
      <t c="6" si="9">
        <n x="15"/>
        <n x="1337" s="1"/>
        <n x="36"/>
        <n x="7"/>
        <n x="27"/>
        <n x="2"/>
      </t>
    </mdx>
    <mdx n="33" f="v">
      <t c="6" si="10">
        <n x="15"/>
        <n x="1337" s="1"/>
        <n x="42"/>
        <n x="32"/>
        <n x="27"/>
        <n x="3"/>
      </t>
    </mdx>
    <mdx n="33" f="v">
      <t c="6" si="10">
        <n x="15"/>
        <n x="1337" s="1"/>
        <n x="38"/>
        <n x="32"/>
        <n x="24"/>
        <n x="3"/>
      </t>
    </mdx>
    <mdx n="33" f="v">
      <t c="6">
        <n x="15"/>
        <n x="1337" s="1"/>
        <n x="41"/>
        <n x="7"/>
        <n x="23"/>
        <n x="2"/>
      </t>
    </mdx>
    <mdx n="33" f="v">
      <t c="6" si="9">
        <n x="15"/>
        <n x="1337" s="1"/>
        <n x="42"/>
        <n x="7"/>
        <n x="16"/>
        <n x="0"/>
      </t>
    </mdx>
    <mdx n="33" f="v">
      <t c="6">
        <n x="15"/>
        <n x="1337" s="1"/>
        <n x="41"/>
        <n x="7"/>
        <n x="25"/>
        <n x="2"/>
      </t>
    </mdx>
    <mdx n="33" f="v">
      <t c="5" si="10">
        <n x="15"/>
        <n x="1337" s="1"/>
        <n x="38"/>
        <n x="32"/>
        <n x="0"/>
      </t>
    </mdx>
    <mdx n="33" f="v">
      <t c="4">
        <n x="80"/>
        <n x="0"/>
        <n x="32"/>
        <n x="1337" s="1"/>
      </t>
    </mdx>
    <mdx n="33" f="v">
      <t c="6" si="10">
        <n x="15"/>
        <n x="1337" s="1"/>
        <n x="38"/>
        <n x="32"/>
        <n x="23"/>
        <n x="2"/>
      </t>
    </mdx>
    <mdx n="33" f="v">
      <t c="5" si="10">
        <n x="15"/>
        <n x="1337" s="1"/>
        <n x="43"/>
        <n x="32"/>
        <n x="0"/>
      </t>
    </mdx>
    <mdx n="33" f="v">
      <t c="6" si="9">
        <n x="15"/>
        <n x="1337" s="1"/>
        <n x="37"/>
        <n x="7"/>
        <n x="19"/>
        <n x="1"/>
      </t>
    </mdx>
    <mdx n="33" f="v">
      <t c="6" si="9">
        <n x="15"/>
        <n x="1337" s="1"/>
        <n x="40"/>
        <n x="7"/>
        <n x="4"/>
        <n x="0"/>
      </t>
    </mdx>
    <mdx n="33" f="v">
      <t c="4">
        <n x="67"/>
        <n x="14"/>
        <n x="32"/>
        <n x="1337" s="1"/>
      </t>
    </mdx>
    <mdx n="33" f="v">
      <t c="6" si="10">
        <n x="15"/>
        <n x="1337" s="1"/>
        <n x="37"/>
        <n x="32"/>
        <n x="21"/>
        <n x="0"/>
      </t>
    </mdx>
    <mdx n="33" f="v">
      <t c="4">
        <n x="78"/>
        <n x="12"/>
        <n x="7"/>
        <n x="1337" s="1"/>
      </t>
    </mdx>
    <mdx n="33" f="v">
      <t c="6" si="10">
        <n x="15"/>
        <n x="1337" s="1"/>
        <n x="47"/>
        <n x="32"/>
        <n x="27"/>
        <n x="12"/>
      </t>
    </mdx>
    <mdx n="33" f="v">
      <t c="6" si="10">
        <n x="15"/>
        <n x="1337" s="1"/>
        <n x="39"/>
        <n x="32"/>
        <n x="18"/>
        <n x="0"/>
      </t>
    </mdx>
    <mdx n="33" f="v">
      <t c="4">
        <n x="55"/>
        <n x="12"/>
        <n x="7"/>
        <n x="1337" s="1"/>
      </t>
    </mdx>
    <mdx n="33" f="v">
      <t c="6" si="9">
        <n x="15"/>
        <n x="1337" s="1"/>
        <n x="39"/>
        <n x="7"/>
        <n x="25"/>
        <n x="0"/>
      </t>
    </mdx>
    <mdx n="33" f="v">
      <t c="6" si="9">
        <n x="15"/>
        <n x="1337" s="1"/>
        <n x="37"/>
        <n x="7"/>
        <n x="6"/>
        <n x="1"/>
      </t>
    </mdx>
    <mdx n="33" f="v">
      <t c="4">
        <n x="148"/>
        <n x="12"/>
        <n x="7"/>
        <n x="1337" s="1"/>
      </t>
    </mdx>
    <mdx n="33" f="v">
      <t c="4">
        <n x="119"/>
        <n x="0"/>
        <n x="32"/>
        <n x="1337" s="1"/>
      </t>
    </mdx>
    <mdx n="33" f="v">
      <t c="4">
        <n x="200"/>
        <n x="1"/>
        <n x="32"/>
        <n x="1337" s="1"/>
      </t>
    </mdx>
    <mdx n="33" f="v">
      <t c="3">
        <n x="239"/>
        <n x="1336"/>
        <n x="1337" s="1"/>
      </t>
    </mdx>
    <mdx n="33" f="v">
      <t c="3">
        <n x="271"/>
        <n x="1336"/>
        <n x="1337" s="1"/>
      </t>
    </mdx>
    <mdx n="33" f="v">
      <t c="4">
        <n x="330"/>
        <n x="12"/>
        <n x="7"/>
        <n x="1337" s="1"/>
      </t>
    </mdx>
    <mdx n="33" f="v">
      <t c="3">
        <n x="381"/>
        <n x="1336"/>
        <n x="1337" s="1"/>
      </t>
    </mdx>
    <mdx n="33" f="v">
      <t c="3">
        <n x="431"/>
        <n x="1336"/>
        <n x="1337" s="1"/>
      </t>
    </mdx>
    <mdx n="33" f="v">
      <t c="4">
        <n x="48"/>
        <n x="12"/>
        <n x="7"/>
        <n x="1337" s="1"/>
      </t>
    </mdx>
    <mdx n="33" f="v">
      <t c="4">
        <n x="172"/>
        <n x="0"/>
        <n x="32"/>
        <n x="1337" s="1"/>
      </t>
    </mdx>
    <mdx n="33" f="v">
      <t c="4">
        <n x="221"/>
        <n x="1"/>
        <n x="32"/>
        <n x="1337" s="1"/>
      </t>
    </mdx>
    <mdx n="33" f="v">
      <t c="6" si="9">
        <n x="15"/>
        <n x="1337" s="1"/>
        <n x="37"/>
        <n x="7"/>
        <n x="16"/>
        <n x="1"/>
      </t>
    </mdx>
    <mdx n="33" f="v">
      <t c="5" si="10">
        <n x="15"/>
        <n x="1337" s="1"/>
        <n x="14"/>
        <n x="32"/>
        <n x="24"/>
      </t>
    </mdx>
    <mdx n="33" f="v">
      <t c="6" si="10">
        <n x="15"/>
        <n x="1337" s="1"/>
        <n x="39"/>
        <n x="32"/>
        <n x="6"/>
        <n x="2"/>
      </t>
    </mdx>
    <mdx n="33" f="v">
      <t c="3">
        <n x="1209"/>
        <n x="1336"/>
        <n x="1337" s="1"/>
      </t>
    </mdx>
    <mdx n="33" f="v">
      <t c="6" si="10">
        <n x="15"/>
        <n x="1337" s="1"/>
        <n x="42"/>
        <n x="32"/>
        <n x="4"/>
        <n x="3"/>
      </t>
    </mdx>
    <mdx n="33" f="v">
      <t c="4">
        <n x="130"/>
        <n x="12"/>
        <n x="7"/>
        <n x="1337" s="1"/>
      </t>
    </mdx>
    <mdx n="33" f="v">
      <t c="4">
        <n x="87"/>
        <n x="1"/>
        <n x="7"/>
        <n x="1337" s="1"/>
      </t>
    </mdx>
    <mdx n="33" f="v">
      <t c="4">
        <n x="195"/>
        <n x="0"/>
        <n x="32"/>
        <n x="1337" s="1"/>
      </t>
    </mdx>
    <mdx n="33" f="v">
      <t c="4">
        <n x="235"/>
        <n x="14"/>
        <n x="32"/>
        <n x="1337" s="1"/>
      </t>
    </mdx>
    <mdx n="33" f="v">
      <t c="4">
        <n x="267"/>
        <n x="14"/>
        <n x="32"/>
        <n x="1337" s="1"/>
      </t>
    </mdx>
    <mdx n="33" f="v">
      <t c="4">
        <n x="324"/>
        <n x="1"/>
        <n x="32"/>
        <n x="1337" s="1"/>
      </t>
    </mdx>
    <mdx n="33" f="v">
      <t c="4">
        <n x="375"/>
        <n x="0"/>
        <n x="7"/>
        <n x="1337" s="1"/>
      </t>
    </mdx>
    <mdx n="33" f="v">
      <t c="4">
        <n x="425"/>
        <n x="0"/>
        <n x="7"/>
        <n x="1337" s="1"/>
      </t>
    </mdx>
    <mdx n="33" f="v">
      <t c="5" si="10">
        <n x="15"/>
        <n x="1337" s="1"/>
        <n x="37"/>
        <n x="32"/>
        <n x="3"/>
      </t>
    </mdx>
    <mdx n="33" f="v">
      <t c="3">
        <n x="166"/>
        <n x="1336"/>
        <n x="1337" s="1"/>
      </t>
    </mdx>
    <mdx n="33" f="v">
      <t c="4">
        <n x="217"/>
        <n x="0"/>
        <n x="7"/>
        <n x="1337" s="1"/>
      </t>
    </mdx>
    <mdx n="33" f="v">
      <t c="6" si="9">
        <n x="15"/>
        <n x="1337" s="1"/>
        <n x="38"/>
        <n x="7"/>
        <n x="21"/>
        <n x="0"/>
      </t>
    </mdx>
    <mdx n="33" f="v">
      <t c="5" si="10">
        <n x="15"/>
        <n x="1337" s="1"/>
        <n x="14"/>
        <n x="32"/>
        <n x="16"/>
      </t>
    </mdx>
    <mdx n="33" f="v">
      <t c="4">
        <n x="48"/>
        <n x="1"/>
        <n x="7"/>
        <n x="1337" s="1"/>
      </t>
    </mdx>
    <mdx n="33" f="v">
      <t c="6" si="10">
        <n x="15"/>
        <n x="1337" s="1"/>
        <n x="40"/>
        <n x="32"/>
        <n x="29"/>
        <n x="3"/>
      </t>
    </mdx>
    <mdx n="33" f="v">
      <t c="6" si="9">
        <n x="15"/>
        <n x="1337" s="1"/>
        <n x="39"/>
        <n x="7"/>
        <n x="6"/>
        <n x="2"/>
      </t>
    </mdx>
    <mdx n="33" f="v">
      <t c="4">
        <n x="142"/>
        <n x="12"/>
        <n x="7"/>
        <n x="1337" s="1"/>
      </t>
    </mdx>
    <mdx n="33" f="v">
      <t c="4">
        <n x="111"/>
        <n x="0"/>
        <n x="7"/>
        <n x="1337" s="1"/>
      </t>
    </mdx>
    <mdx n="33" f="v">
      <t c="4">
        <n x="199"/>
        <n x="0"/>
        <n x="32"/>
        <n x="1337" s="1"/>
      </t>
    </mdx>
    <mdx n="33" f="v">
      <t c="3">
        <n x="238"/>
        <n x="1336"/>
        <n x="1337" s="1"/>
      </t>
    </mdx>
    <mdx n="33" f="v">
      <t c="3">
        <n x="270"/>
        <n x="1336"/>
        <n x="1337" s="1"/>
      </t>
    </mdx>
    <mdx n="33" f="v">
      <t c="4">
        <n x="328"/>
        <n x="1"/>
        <n x="32"/>
        <n x="1337" s="1"/>
      </t>
    </mdx>
    <mdx n="33" f="v">
      <t c="4">
        <n x="379"/>
        <n x="0"/>
        <n x="7"/>
        <n x="1337" s="1"/>
      </t>
    </mdx>
    <mdx n="33" f="v">
      <t c="4">
        <n x="429"/>
        <n x="0"/>
        <n x="7"/>
        <n x="1337" s="1"/>
      </t>
    </mdx>
    <mdx n="33" f="v">
      <t c="6" si="9">
        <n x="15"/>
        <n x="1337" s="1"/>
        <n x="44"/>
        <n x="7"/>
        <n x="6"/>
        <n x="2"/>
      </t>
    </mdx>
    <mdx n="33" f="v">
      <t c="3">
        <n x="170"/>
        <n x="1336"/>
        <n x="1337" s="1"/>
      </t>
    </mdx>
    <mdx n="33" f="v">
      <t c="4">
        <n x="220"/>
        <n x="1"/>
        <n x="32"/>
        <n x="1337" s="1"/>
      </t>
    </mdx>
    <mdx n="33" f="v">
      <t c="4">
        <n x="252"/>
        <n x="1"/>
        <n x="32"/>
        <n x="1337" s="1"/>
      </t>
    </mdx>
    <mdx n="33" f="v">
      <t c="4" si="10">
        <n x="294"/>
        <n x="0"/>
        <n x="32"/>
        <n x="1337" s="1"/>
      </t>
    </mdx>
    <mdx n="33" f="v">
      <t c="4">
        <n x="351"/>
        <n x="12"/>
        <n x="7"/>
        <n x="1337" s="1"/>
      </t>
    </mdx>
    <mdx n="33" f="v">
      <t c="6" si="10">
        <n x="15"/>
        <n x="1337" s="1"/>
        <n x="40"/>
        <n x="32"/>
        <n x="30"/>
        <n x="3"/>
      </t>
    </mdx>
    <mdx n="33" f="v">
      <t c="6" si="9">
        <n x="15"/>
        <n x="1337" s="1"/>
        <n x="38"/>
        <n x="7"/>
        <n x="6"/>
        <n x="3"/>
      </t>
    </mdx>
    <mdx n="33" f="v">
      <t c="4">
        <n x="238"/>
        <n x="14"/>
        <n x="32"/>
        <n x="1337" s="1"/>
      </t>
    </mdx>
    <mdx n="33" f="v">
      <t c="4">
        <n x="430"/>
        <n x="1"/>
        <n x="32"/>
        <n x="1337" s="1"/>
      </t>
    </mdx>
    <mdx n="33" f="v">
      <t c="4">
        <n x="238"/>
        <n x="1"/>
        <n x="7"/>
        <n x="1337" s="1"/>
      </t>
    </mdx>
    <mdx n="33" f="v">
      <t c="4">
        <n x="282"/>
        <n x="0"/>
        <n x="32"/>
        <n x="1337" s="1"/>
      </t>
    </mdx>
    <mdx n="33" f="v">
      <t c="4">
        <n x="363"/>
        <n x="12"/>
        <n x="7"/>
        <n x="1337" s="1"/>
      </t>
    </mdx>
    <mdx n="33" f="v">
      <t c="4">
        <n x="421"/>
        <n x="12"/>
        <n x="7"/>
        <n x="1337" s="1"/>
      </t>
    </mdx>
    <mdx n="33" f="v">
      <t c="6" si="9">
        <n x="15"/>
        <n x="1337" s="1"/>
        <n x="36"/>
        <n x="7"/>
        <n x="6"/>
        <n x="2"/>
      </t>
    </mdx>
    <mdx n="33" f="v">
      <t c="4">
        <n x="162"/>
        <n x="1"/>
        <n x="32"/>
        <n x="1337" s="1"/>
      </t>
    </mdx>
    <mdx n="33" f="v">
      <t c="4">
        <n x="213"/>
        <n x="0"/>
        <n x="7"/>
        <n x="1337" s="1"/>
      </t>
    </mdx>
    <mdx n="33" f="v">
      <t c="4">
        <n x="247"/>
        <n x="0"/>
        <n x="7"/>
        <n x="1337" s="1"/>
      </t>
    </mdx>
    <mdx n="33" f="v">
      <t c="4">
        <n x="279"/>
        <n x="0"/>
        <n x="7"/>
        <n x="1337" s="1"/>
      </t>
    </mdx>
    <mdx n="33" f="v">
      <t c="3">
        <n x="343"/>
        <n x="1336"/>
        <n x="1337" s="1"/>
      </t>
    </mdx>
    <mdx n="33" f="v">
      <t c="3">
        <n x="393"/>
        <n x="1336"/>
        <n x="1337" s="1"/>
      </t>
    </mdx>
    <mdx n="33" f="v">
      <t c="4">
        <n x="444"/>
        <n x="1"/>
        <n x="32"/>
        <n x="1337" s="1"/>
      </t>
    </mdx>
    <mdx n="33" f="v">
      <t c="4">
        <n x="198"/>
        <n x="0"/>
        <n x="32"/>
        <n x="1337" s="1"/>
      </t>
    </mdx>
    <mdx n="33" f="v">
      <t c="4">
        <n x="378"/>
        <n x="0"/>
        <n x="7"/>
        <n x="1337" s="1"/>
      </t>
    </mdx>
    <mdx n="33" f="v">
      <t c="4" si="10">
        <n x="484"/>
        <n x="0"/>
        <n x="32"/>
        <n x="1337" s="1"/>
      </t>
    </mdx>
    <mdx n="33" f="v">
      <t c="4">
        <n x="535"/>
        <n x="12"/>
        <n x="7"/>
        <n x="1337" s="1"/>
      </t>
    </mdx>
    <mdx n="33" f="v">
      <t c="3" fi="0">
        <n x="586"/>
        <n x="1336"/>
        <n x="1337" s="1"/>
      </t>
    </mdx>
    <mdx n="33" f="v">
      <t c="4">
        <n x="628"/>
        <n x="0"/>
        <n x="32"/>
        <n x="1337" s="1"/>
      </t>
    </mdx>
    <mdx n="33" f="v">
      <t c="4">
        <n x="651"/>
        <n x="1"/>
        <n x="32"/>
        <n x="1337" s="1"/>
      </t>
    </mdx>
    <mdx n="33" f="v">
      <t c="4" si="10">
        <n x="674"/>
        <n x="14"/>
        <n x="32"/>
        <n x="1337" s="1"/>
      </t>
    </mdx>
    <mdx n="33" f="v">
      <t c="4">
        <n x="202"/>
        <n x="0"/>
        <n x="32"/>
        <n x="1337" s="1"/>
      </t>
    </mdx>
    <mdx n="33" f="v">
      <t c="4">
        <n x="382"/>
        <n x="0"/>
        <n x="7"/>
        <n x="1337" s="1"/>
      </t>
    </mdx>
    <mdx n="33" f="v">
      <t c="4" si="10">
        <n x="485"/>
        <n x="0"/>
        <n x="32"/>
        <n x="1337" s="1"/>
      </t>
    </mdx>
    <mdx n="33" f="v">
      <t c="4">
        <n x="536"/>
        <n x="12"/>
        <n x="7"/>
        <n x="1337" s="1"/>
      </t>
    </mdx>
    <mdx n="33" f="v">
      <t c="3" fi="0">
        <n x="587"/>
        <n x="1336"/>
        <n x="1337" s="1"/>
      </t>
    </mdx>
    <mdx n="33" f="v">
      <t c="4">
        <n x="628"/>
        <n x="11"/>
        <n x="32"/>
        <n x="1337" s="1"/>
      </t>
    </mdx>
    <mdx n="33" f="v">
      <t c="6">
        <n x="15"/>
        <n x="1337" s="1"/>
        <n x="37"/>
        <n x="7"/>
        <n x="27"/>
        <n x="2"/>
      </t>
    </mdx>
    <mdx n="33" f="v">
      <t c="6" si="10">
        <n x="15"/>
        <n x="1337" s="1"/>
        <n x="38"/>
        <n x="32"/>
        <n x="4"/>
        <n x="2"/>
      </t>
    </mdx>
    <mdx n="33" f="v">
      <t c="4">
        <n x="232"/>
        <n x="14"/>
        <n x="32"/>
        <n x="1337" s="1"/>
      </t>
    </mdx>
    <mdx n="33" f="v">
      <t c="4">
        <n x="421"/>
        <n x="0"/>
        <n x="32"/>
        <n x="1337" s="1"/>
      </t>
    </mdx>
    <mdx n="33" f="v">
      <t c="4" si="10">
        <n x="15"/>
        <n x="1337" s="1"/>
        <n x="11"/>
        <n x="32"/>
      </t>
    </mdx>
    <mdx n="33" f="v">
      <t c="6" si="9">
        <n x="15"/>
        <n x="1337" s="1"/>
        <n x="47"/>
        <n x="7"/>
        <n x="17"/>
        <n x="12"/>
      </t>
    </mdx>
    <mdx n="33" f="v">
      <t c="6" si="10">
        <n x="15"/>
        <n x="1337" s="1"/>
        <n x="38"/>
        <n x="32"/>
        <n x="21"/>
        <n x="0"/>
      </t>
    </mdx>
    <mdx n="33" f="v">
      <t c="6">
        <n x="15"/>
        <n x="1337" s="1"/>
        <n x="42"/>
        <n x="32"/>
        <n x="21"/>
        <n x="3"/>
      </t>
    </mdx>
    <mdx n="33" f="v">
      <t c="6" si="10">
        <n x="15"/>
        <n x="1337" s="1"/>
        <n x="42"/>
        <n x="32"/>
        <n x="24"/>
        <n x="1"/>
      </t>
    </mdx>
    <mdx n="33" f="v">
      <t c="6" si="10">
        <n x="15"/>
        <n x="1337" s="1"/>
        <n x="41"/>
        <n x="32"/>
        <n x="26"/>
        <n x="0"/>
      </t>
    </mdx>
    <mdx n="33" f="v">
      <t c="6" si="10">
        <n x="15"/>
        <n x="1337" s="1"/>
        <n x="43"/>
        <n x="32"/>
        <n x="18"/>
        <n x="0"/>
      </t>
    </mdx>
    <mdx n="33" f="v">
      <t c="5" si="9">
        <n x="15"/>
        <n x="1337" s="1"/>
        <n x="40"/>
        <n x="7"/>
        <n x="3"/>
      </t>
    </mdx>
    <mdx n="33" f="v">
      <t c="6">
        <n x="15"/>
        <n x="1337" s="1"/>
        <n x="42"/>
        <n x="32"/>
        <n x="22"/>
        <n x="2"/>
      </t>
    </mdx>
    <mdx n="33" f="v">
      <t c="6" si="9">
        <n x="15"/>
        <n x="1337" s="1"/>
        <n x="39"/>
        <n x="7"/>
        <n x="17"/>
        <n x="1"/>
      </t>
    </mdx>
    <mdx n="33" f="v">
      <t c="4">
        <n x="88"/>
        <n x="1"/>
        <n x="7"/>
        <n x="1337" s="1"/>
      </t>
    </mdx>
    <mdx n="33" f="v">
      <t c="6">
        <n x="15"/>
        <n x="1337" s="1"/>
        <n x="40"/>
        <n x="7"/>
        <n x="16"/>
        <n x="2"/>
      </t>
    </mdx>
    <mdx n="33" f="v">
      <t c="6" si="9">
        <n x="15"/>
        <n x="1337" s="1"/>
        <n x="44"/>
        <n x="7"/>
        <n x="19"/>
        <n x="0"/>
      </t>
    </mdx>
    <mdx n="33" f="v">
      <t c="4">
        <n x="1256"/>
        <n x="14"/>
        <n x="32"/>
        <n x="1337" s="1"/>
      </t>
    </mdx>
    <mdx n="33" f="v">
      <t c="6" si="9">
        <n x="15"/>
        <n x="1337" s="1"/>
        <n x="40"/>
        <n x="7"/>
        <n x="27"/>
        <n x="2"/>
      </t>
    </mdx>
    <mdx n="33" f="v">
      <t c="6" si="9">
        <n x="15"/>
        <n x="1337" s="1"/>
        <n x="40"/>
        <n x="7"/>
        <n x="24"/>
        <n x="3"/>
      </t>
    </mdx>
    <mdx n="33" f="v">
      <t c="6" si="10">
        <n x="15"/>
        <n x="1337" s="1"/>
        <n x="45"/>
        <n x="32"/>
        <n x="29"/>
        <n x="12"/>
      </t>
    </mdx>
    <mdx n="33" f="v">
      <t c="6" si="9">
        <n x="15"/>
        <n x="1337" s="1"/>
        <n x="38"/>
        <n x="7"/>
        <n x="26"/>
        <n x="2"/>
      </t>
    </mdx>
    <mdx n="33" f="v">
      <t c="6" si="10">
        <n x="15"/>
        <n x="1337" s="1"/>
        <n x="43"/>
        <n x="32"/>
        <n x="19"/>
        <n x="0"/>
      </t>
    </mdx>
    <mdx n="33" f="v">
      <t c="5" si="10">
        <n x="15"/>
        <n x="1337" s="1"/>
        <n x="8"/>
        <n x="32"/>
        <n x="23"/>
      </t>
    </mdx>
    <mdx n="33" f="v">
      <t c="5" si="9">
        <n x="15"/>
        <n x="1337" s="1"/>
        <n x="44"/>
        <n x="7"/>
        <n x="0"/>
      </t>
    </mdx>
    <mdx n="33" f="v">
      <t c="4">
        <n x="83"/>
        <n x="12"/>
        <n x="7"/>
        <n x="1337" s="1"/>
      </t>
    </mdx>
    <mdx n="33" f="v">
      <t c="6" si="10">
        <n x="15"/>
        <n x="1337" s="1"/>
        <n x="43"/>
        <n x="32"/>
        <n x="27"/>
        <n x="3"/>
      </t>
    </mdx>
    <mdx n="33" f="v">
      <t c="6" si="9">
        <n x="15"/>
        <n x="1337" s="1"/>
        <n x="40"/>
        <n x="7"/>
        <n x="6"/>
        <n x="0"/>
      </t>
    </mdx>
    <mdx n="33" f="v">
      <t c="6" si="9">
        <n x="15"/>
        <n x="1337" s="1"/>
        <n x="40"/>
        <n x="7"/>
        <n x="17"/>
        <n x="1"/>
      </t>
    </mdx>
    <mdx n="33" f="v">
      <t c="6" si="10">
        <n x="15"/>
        <n x="1337" s="1"/>
        <n x="37"/>
        <n x="32"/>
        <n x="6"/>
        <n x="1"/>
      </t>
    </mdx>
    <mdx n="33" f="v">
      <t c="4">
        <n x="70"/>
        <n x="1"/>
        <n x="7"/>
        <n x="1337" s="1"/>
      </t>
    </mdx>
    <mdx n="33" f="v">
      <t c="6" si="10">
        <n x="15"/>
        <n x="1337" s="1"/>
        <n x="45"/>
        <n x="32"/>
        <n x="23"/>
        <n x="12"/>
      </t>
    </mdx>
    <mdx n="33" f="v">
      <t c="4">
        <n x="84"/>
        <n x="14"/>
        <n x="32"/>
        <n x="1337" s="1"/>
      </t>
    </mdx>
    <mdx n="33" f="v">
      <t c="6" si="10">
        <n x="15"/>
        <n x="1337" s="1"/>
        <n x="37"/>
        <n x="32"/>
        <n x="27"/>
        <n x="2"/>
      </t>
    </mdx>
    <mdx n="33" f="v">
      <t c="6">
        <n x="15"/>
        <n x="1337" s="1"/>
        <n x="41"/>
        <n x="7"/>
        <n x="19"/>
        <n x="3"/>
      </t>
    </mdx>
    <mdx n="33" f="v">
      <t c="4">
        <n x="68"/>
        <n x="0"/>
        <n x="32"/>
        <n x="1337" s="1"/>
      </t>
    </mdx>
    <mdx n="33" f="v">
      <t c="6">
        <n x="15"/>
        <n x="1337" s="1"/>
        <n x="44"/>
        <n x="7"/>
        <n x="26"/>
        <n x="3"/>
      </t>
    </mdx>
    <mdx n="33" f="v">
      <t c="4">
        <n x="50"/>
        <n x="0"/>
        <n x="32"/>
        <n x="1337" s="1"/>
      </t>
    </mdx>
    <mdx n="33" f="v">
      <t c="3">
        <n x="1326"/>
        <n x="1336"/>
        <n x="1337" s="1"/>
      </t>
    </mdx>
    <mdx n="33" f="v">
      <t c="4">
        <n x="143"/>
        <n x="0"/>
        <n x="32"/>
        <n x="1337" s="1"/>
      </t>
    </mdx>
    <mdx n="33" f="v">
      <t c="4">
        <n x="203"/>
        <n x="0"/>
        <n x="7"/>
        <n x="1337" s="1"/>
      </t>
    </mdx>
    <mdx n="33" f="v">
      <t c="3">
        <n x="241"/>
        <n x="1336"/>
        <n x="1337" s="1"/>
      </t>
    </mdx>
    <mdx n="33" f="v">
      <t c="3">
        <n x="273"/>
        <n x="1336"/>
        <n x="1337" s="1"/>
      </t>
    </mdx>
    <mdx n="33" f="v">
      <t c="3">
        <n x="333"/>
        <n x="1336"/>
        <n x="1337" s="1"/>
      </t>
    </mdx>
    <mdx n="33" f="v">
      <t c="4">
        <n x="384"/>
        <n x="1"/>
        <n x="32"/>
        <n x="1337" s="1"/>
      </t>
    </mdx>
    <mdx n="33" f="v">
      <t c="4">
        <n x="434"/>
        <n x="1"/>
        <n x="32"/>
        <n x="1337" s="1"/>
      </t>
    </mdx>
    <mdx n="33" f="v">
      <t c="4">
        <n x="54"/>
        <n x="14"/>
        <n x="32"/>
        <n x="1337" s="1"/>
      </t>
    </mdx>
    <mdx n="33" f="v">
      <t c="4">
        <n x="175"/>
        <n x="12"/>
        <n x="7"/>
        <n x="1337" s="1"/>
      </t>
    </mdx>
    <mdx n="33" f="v">
      <t c="4">
        <n x="223"/>
        <n x="1"/>
        <n x="32"/>
        <n x="1337" s="1"/>
      </t>
    </mdx>
    <mdx n="33" f="v">
      <t c="5" si="10">
        <n x="15"/>
        <n x="1337" s="1"/>
        <n x="14"/>
        <n x="32"/>
        <n x="22"/>
      </t>
    </mdx>
    <mdx n="33" f="v">
      <t c="6" si="10">
        <n x="15"/>
        <n x="1337" s="1"/>
        <n x="37"/>
        <n x="32"/>
        <n x="26"/>
        <n x="1"/>
      </t>
    </mdx>
    <mdx n="33" f="v">
      <t c="6">
        <n x="15"/>
        <n x="1337" s="1"/>
        <n x="38"/>
        <n x="7"/>
        <n x="6"/>
        <n x="1"/>
      </t>
    </mdx>
    <mdx n="33" f="v">
      <t c="6">
        <n x="15"/>
        <n x="1337" s="1"/>
        <n x="44"/>
        <n x="7"/>
        <n x="21"/>
        <n x="2"/>
      </t>
    </mdx>
    <mdx n="33" f="v">
      <t c="5" si="10">
        <n x="15"/>
        <n x="1337" s="1"/>
        <n x="8"/>
        <n x="32"/>
        <n x="4"/>
      </t>
    </mdx>
    <mdx n="33" f="v">
      <t c="4">
        <n x="140"/>
        <n x="12"/>
        <n x="7"/>
        <n x="1337" s="1"/>
      </t>
    </mdx>
    <mdx n="33" f="v">
      <t c="4">
        <n x="103"/>
        <n x="12"/>
        <n x="7"/>
        <n x="1337" s="1"/>
      </t>
    </mdx>
    <mdx n="33" f="v">
      <t c="4">
        <n x="198"/>
        <n x="12"/>
        <n x="7"/>
        <n x="1337" s="1"/>
      </t>
    </mdx>
    <mdx n="33" f="v">
      <t c="4">
        <n x="237"/>
        <n x="14"/>
        <n x="32"/>
        <n x="1337" s="1"/>
      </t>
    </mdx>
    <mdx n="33" f="v">
      <t c="4">
        <n x="269"/>
        <n x="14"/>
        <n x="32"/>
        <n x="1337" s="1"/>
      </t>
    </mdx>
    <mdx n="33" f="v">
      <t c="4">
        <n x="327"/>
        <n x="0"/>
        <n x="7"/>
        <n x="1337" s="1"/>
      </t>
    </mdx>
    <mdx n="33" f="v">
      <t c="4">
        <n x="379"/>
        <n x="0"/>
        <n x="32"/>
        <n x="1337" s="1"/>
      </t>
    </mdx>
    <mdx n="33" f="v">
      <t c="4">
        <n x="429"/>
        <n x="0"/>
        <n x="32"/>
        <n x="1337" s="1"/>
      </t>
    </mdx>
    <mdx n="33" f="v">
      <t c="6">
        <n x="15"/>
        <n x="1337" s="1"/>
        <n x="41"/>
        <n x="7"/>
        <n x="6"/>
        <n x="3"/>
      </t>
    </mdx>
    <mdx n="33" f="v">
      <t c="4">
        <n x="169"/>
        <n x="1"/>
        <n x="32"/>
        <n x="1337" s="1"/>
      </t>
    </mdx>
    <mdx n="33" f="v">
      <t c="4">
        <n x="219"/>
        <n x="1"/>
        <n x="7"/>
        <n x="1337" s="1"/>
      </t>
    </mdx>
    <mdx n="33" f="v">
      <t c="6" si="10">
        <n x="15"/>
        <n x="1337" s="1"/>
        <n x="38"/>
        <n x="32"/>
        <n x="27"/>
        <n x="1"/>
      </t>
    </mdx>
    <mdx n="33" f="v">
      <t c="6" si="10">
        <n x="15"/>
        <n x="1337" s="1"/>
        <n x="44"/>
        <n x="32"/>
        <n x="17"/>
        <n x="1"/>
      </t>
    </mdx>
    <mdx n="33" f="v">
      <t c="4">
        <n x="61"/>
        <n x="14"/>
        <n x="32"/>
        <n x="1337" s="1"/>
      </t>
    </mdx>
    <mdx n="33" f="v">
      <t c="6" si="9">
        <n x="15"/>
        <n x="1337" s="1"/>
        <n x="38"/>
        <n x="7"/>
        <n x="25"/>
        <n x="2"/>
      </t>
    </mdx>
    <mdx n="33" f="v">
      <t c="5" si="9">
        <n x="15"/>
        <n x="1337" s="1"/>
        <n x="13"/>
        <n x="7"/>
        <n x="6"/>
      </t>
    </mdx>
    <mdx n="33" f="v">
      <t c="4">
        <n x="1132"/>
        <n x="1"/>
        <n x="7"/>
        <n x="1337" s="1"/>
      </t>
    </mdx>
    <mdx n="33" f="v">
      <t c="4">
        <n x="131"/>
        <n x="0"/>
        <n x="32"/>
        <n x="1337" s="1"/>
      </t>
    </mdx>
    <mdx n="33" f="v">
      <t c="4">
        <n x="202"/>
        <n x="12"/>
        <n x="7"/>
        <n x="1337" s="1"/>
      </t>
    </mdx>
    <mdx n="33" f="v">
      <t c="3">
        <n x="240"/>
        <n x="1336"/>
        <n x="1337" s="1"/>
      </t>
    </mdx>
    <mdx n="33" f="v">
      <t c="3">
        <n x="272"/>
        <n x="1336"/>
        <n x="1337" s="1"/>
      </t>
    </mdx>
    <mdx n="33" f="v">
      <t c="4">
        <n x="331"/>
        <n x="0"/>
        <n x="7"/>
        <n x="1337" s="1"/>
      </t>
    </mdx>
    <mdx n="33" f="v">
      <t c="4">
        <n x="383"/>
        <n x="0"/>
        <n x="32"/>
        <n x="1337" s="1"/>
      </t>
    </mdx>
    <mdx n="33" f="v">
      <t c="4">
        <n x="433"/>
        <n x="0"/>
        <n x="32"/>
        <n x="1337" s="1"/>
      </t>
    </mdx>
    <mdx n="33" f="v">
      <t c="4">
        <n x="394"/>
        <n x="1"/>
        <n x="32"/>
        <n x="1337" s="1"/>
      </t>
    </mdx>
    <mdx n="33" f="v">
      <t c="6" si="10">
        <n x="15"/>
        <n x="1337" s="1"/>
        <n x="42"/>
        <n x="32"/>
        <n x="19"/>
        <n x="2"/>
      </t>
    </mdx>
    <mdx n="33" f="v">
      <t c="4">
        <n x="120"/>
        <n x="0"/>
        <n x="32"/>
        <n x="1337" s="1"/>
      </t>
    </mdx>
    <mdx n="33" f="v">
      <t c="4">
        <n x="199"/>
        <n x="12"/>
        <n x="7"/>
        <n x="1337" s="1"/>
      </t>
    </mdx>
    <mdx n="33" f="v">
      <t c="4">
        <n x="238"/>
        <n x="1"/>
        <n x="32"/>
        <n x="1337" s="1"/>
      </t>
    </mdx>
    <mdx n="33" f="v">
      <t c="4">
        <n x="270"/>
        <n x="1"/>
        <n x="32"/>
        <n x="1337" s="1"/>
      </t>
    </mdx>
    <mdx n="33" f="v">
      <t c="4">
        <n x="328"/>
        <n x="0"/>
        <n x="7"/>
        <n x="1337" s="1"/>
      </t>
    </mdx>
    <mdx n="33" f="v">
      <t c="4">
        <n x="380"/>
        <n x="0"/>
        <n x="32"/>
        <n x="1337" s="1"/>
      </t>
    </mdx>
    <mdx n="33" f="v">
      <t c="4">
        <n x="121"/>
        <n x="12"/>
        <n x="7"/>
        <n x="1337" s="1"/>
      </t>
    </mdx>
    <mdx n="33" f="v">
      <t c="3">
        <n x="161"/>
        <n x="1336"/>
        <n x="1337" s="1"/>
      </t>
    </mdx>
    <mdx n="33" f="v">
      <t c="4">
        <n x="342"/>
        <n x="12"/>
        <n x="7"/>
        <n x="1337" s="1"/>
      </t>
    </mdx>
    <mdx n="33" f="v">
      <t c="4">
        <n x="184"/>
        <n x="0"/>
        <n x="32"/>
        <n x="1337" s="1"/>
      </t>
    </mdx>
    <mdx n="33" f="v">
      <t c="4">
        <n x="262"/>
        <n x="1"/>
        <n x="7"/>
        <n x="1337" s="1"/>
      </t>
    </mdx>
    <mdx n="33" f="v">
      <t c="4">
        <n x="333"/>
        <n x="1"/>
        <n x="32"/>
        <n x="1337" s="1"/>
      </t>
    </mdx>
    <mdx n="33" f="v">
      <t c="4">
        <n x="398"/>
        <n x="0"/>
        <n x="7"/>
        <n x="1337" s="1"/>
      </t>
    </mdx>
    <mdx n="33" f="v">
      <t c="6" si="10">
        <n x="15"/>
        <n x="1337" s="1"/>
        <n x="44"/>
        <n x="32"/>
        <n x="23"/>
        <n x="0"/>
      </t>
    </mdx>
    <mdx n="33" f="v">
      <t c="4">
        <n x="87"/>
        <n x="0"/>
        <n x="32"/>
        <n x="1337" s="1"/>
      </t>
    </mdx>
    <mdx n="33" f="v">
      <t c="3">
        <n x="191"/>
        <n x="1336"/>
        <n x="1337" s="1"/>
      </t>
    </mdx>
    <mdx n="33" f="v">
      <t c="4">
        <n x="233"/>
        <n x="0"/>
        <n x="7"/>
        <n x="1337" s="1"/>
      </t>
    </mdx>
    <mdx n="33" f="v">
      <t c="4">
        <n x="265"/>
        <n x="0"/>
        <n x="7"/>
        <n x="1337" s="1"/>
      </t>
    </mdx>
    <mdx n="33" f="v">
      <t c="4">
        <n x="321"/>
        <n x="0"/>
        <n x="32"/>
        <n x="1337" s="1"/>
      </t>
    </mdx>
    <mdx n="33" f="v">
      <t c="4">
        <n x="372"/>
        <n x="12"/>
        <n x="7"/>
        <n x="1337" s="1"/>
      </t>
    </mdx>
    <mdx n="33" f="v">
      <t c="4">
        <n x="422"/>
        <n x="12"/>
        <n x="7"/>
        <n x="1337" s="1"/>
      </t>
    </mdx>
    <mdx n="33" f="v">
      <t c="6" si="9">
        <n x="15"/>
        <n x="1337" s="1"/>
        <n x="39"/>
        <n x="7"/>
        <n x="6"/>
        <n x="0"/>
      </t>
    </mdx>
    <mdx n="33" f="v">
      <t c="4">
        <n x="277"/>
        <n x="11"/>
        <n x="32"/>
        <n x="1337" s="1"/>
      </t>
    </mdx>
    <mdx n="33" f="v">
      <t c="4" si="9">
        <n x="460"/>
        <n x="0"/>
        <n x="7"/>
        <n x="1337" s="1"/>
      </t>
    </mdx>
    <mdx n="33" f="v">
      <t c="4" si="9">
        <n x="512"/>
        <n x="0"/>
        <n x="7"/>
        <n x="1337" s="1"/>
      </t>
    </mdx>
    <mdx n="33" f="v">
      <t c="4" si="10">
        <n x="564"/>
        <n x="0"/>
        <n x="32"/>
        <n x="1337" s="1"/>
      </t>
    </mdx>
    <mdx n="33" f="v">
      <t c="4">
        <n x="615"/>
        <n x="12"/>
        <n x="7"/>
        <n x="1337" s="1"/>
      </t>
    </mdx>
    <mdx n="33" f="v">
      <t c="4">
        <n x="641"/>
        <n x="12"/>
        <n x="7"/>
        <n x="1337" s="1"/>
      </t>
    </mdx>
    <mdx n="33" f="v">
      <t c="4">
        <n x="664"/>
        <n x="0"/>
        <n x="7"/>
        <n x="1337" s="1"/>
      </t>
    </mdx>
    <mdx n="33" f="v">
      <t c="6" si="9">
        <n x="15"/>
        <n x="1337" s="1"/>
        <n x="38"/>
        <n x="7"/>
        <n x="4"/>
        <n x="2"/>
      </t>
    </mdx>
    <mdx n="33" f="v">
      <t c="4">
        <n x="280"/>
        <n x="12"/>
        <n x="7"/>
        <n x="1337" s="1"/>
      </t>
    </mdx>
    <mdx n="33" f="v">
      <t c="4">
        <n x="462"/>
        <n x="0"/>
        <n x="32"/>
        <n x="1337" s="1"/>
      </t>
    </mdx>
    <mdx n="33" f="v">
      <t c="4" si="9">
        <n x="513"/>
        <n x="0"/>
        <n x="7"/>
        <n x="1337" s="1"/>
      </t>
    </mdx>
    <mdx n="33" f="v">
      <t c="4">
        <n x="565"/>
        <n x="0"/>
        <n x="32"/>
        <n x="1337" s="1"/>
      </t>
    </mdx>
    <mdx n="33" f="v">
      <t c="4" si="9">
        <n x="616"/>
        <n x="12"/>
        <n x="7"/>
        <n x="1337" s="1"/>
      </t>
    </mdx>
    <mdx n="33" f="v">
      <t c="4" si="10">
        <n x="641"/>
        <n x="14"/>
        <n x="32"/>
        <n x="1337" s="1"/>
      </t>
    </mdx>
    <mdx n="33" f="v">
      <t c="4">
        <n x="64"/>
        <n x="1"/>
        <n x="7"/>
        <n x="1337" s="1"/>
      </t>
    </mdx>
    <mdx n="33" f="v">
      <t c="4">
        <n x="135"/>
        <n x="0"/>
        <n x="32"/>
        <n x="1337" s="1"/>
      </t>
    </mdx>
    <mdx n="33" f="v">
      <t c="4">
        <n x="332"/>
        <n x="1"/>
        <n x="32"/>
        <n x="1337" s="1"/>
      </t>
    </mdx>
    <mdx n="33" f="v">
      <t c="3">
        <n x="174"/>
        <n x="1336"/>
        <n x="1337" s="1"/>
      </t>
    </mdx>
    <mdx n="33" f="v">
      <t c="4" si="10">
        <n x="1245"/>
        <n x="1"/>
        <n x="32"/>
        <n x="1337" s="1"/>
      </t>
    </mdx>
    <mdx n="33" f="v">
      <t c="3">
        <n x="1179"/>
        <n x="1336"/>
        <n x="1337" s="1"/>
      </t>
    </mdx>
    <mdx n="33" f="v">
      <t c="6" si="9">
        <n x="15"/>
        <n x="1337" s="1"/>
        <n x="37"/>
        <n x="7"/>
        <n x="27"/>
        <n x="1"/>
      </t>
    </mdx>
    <mdx n="33" f="v">
      <t c="6">
        <n x="15"/>
        <n x="1337" s="1"/>
        <n x="37"/>
        <n x="7"/>
        <n x="24"/>
        <n x="3"/>
      </t>
    </mdx>
    <mdx n="33" f="v">
      <t c="6">
        <n x="15"/>
        <n x="1337" s="1"/>
        <n x="37"/>
        <n x="7"/>
        <n x="28"/>
        <n x="3"/>
      </t>
    </mdx>
    <mdx n="33" f="v">
      <t c="6" si="10">
        <n x="15"/>
        <n x="1337" s="1"/>
        <n x="37"/>
        <n x="32"/>
        <n x="18"/>
        <n x="0"/>
      </t>
    </mdx>
    <mdx n="33" f="v">
      <t c="4">
        <n x="88"/>
        <n x="0"/>
        <n x="32"/>
        <n x="1337" s="1"/>
      </t>
    </mdx>
    <mdx n="33" f="v">
      <t c="6" si="10">
        <n x="15"/>
        <n x="1337" s="1"/>
        <n x="34"/>
        <n x="32"/>
        <n x="26"/>
        <n x="12"/>
      </t>
    </mdx>
    <mdx n="33" f="v">
      <t c="6" si="10">
        <n x="15"/>
        <n x="1337" s="1"/>
        <n x="40"/>
        <n x="32"/>
        <n x="16"/>
        <n x="1"/>
      </t>
    </mdx>
    <mdx n="33" f="v">
      <t c="4">
        <n x="50"/>
        <n x="11"/>
        <n x="32"/>
        <n x="1337" s="1"/>
      </t>
    </mdx>
    <mdx n="33" f="v">
      <t c="5" si="9">
        <n x="15"/>
        <n x="1337" s="1"/>
        <n x="13"/>
        <n x="7"/>
        <n x="23"/>
      </t>
    </mdx>
    <mdx n="33" f="v">
      <t c="5" si="10">
        <n x="15"/>
        <n x="1337" s="1"/>
        <n x="14"/>
        <n x="32"/>
        <n x="25"/>
      </t>
    </mdx>
    <mdx n="33" f="v">
      <t c="3">
        <n x="1198"/>
        <n x="1336"/>
        <n x="1337" s="1"/>
      </t>
    </mdx>
    <mdx n="33" f="v">
      <t c="6" si="10">
        <n x="15"/>
        <n x="1337" s="1"/>
        <n x="35"/>
        <n x="32"/>
        <n x="21"/>
        <n x="12"/>
      </t>
    </mdx>
    <mdx n="33" f="v">
      <t c="6" si="10">
        <n x="15"/>
        <n x="1337" s="1"/>
        <n x="42"/>
        <n x="32"/>
        <n x="27"/>
        <n x="0"/>
      </t>
    </mdx>
    <mdx n="33" f="v">
      <t c="4">
        <n x="1306"/>
        <n x="11"/>
        <n x="7"/>
        <n x="1337" s="1"/>
      </t>
    </mdx>
    <mdx n="33" f="v">
      <t c="6" si="9">
        <n x="15"/>
        <n x="1337" s="1"/>
        <n x="36"/>
        <n x="7"/>
        <n x="23"/>
        <n x="0"/>
      </t>
    </mdx>
    <mdx n="33" f="v">
      <t c="6" si="10">
        <n x="15"/>
        <n x="1337" s="1"/>
        <n x="41"/>
        <n x="32"/>
        <n x="18"/>
        <n x="1"/>
      </t>
    </mdx>
    <mdx n="33" f="v">
      <t c="6" si="9">
        <n x="15"/>
        <n x="1337" s="1"/>
        <n x="45"/>
        <n x="7"/>
        <n x="22"/>
        <n x="12"/>
      </t>
    </mdx>
    <mdx n="33" f="v">
      <t c="5" si="10">
        <n x="15"/>
        <n x="1337" s="1"/>
        <n x="11"/>
        <n x="32"/>
        <n x="16"/>
      </t>
    </mdx>
    <mdx n="33" f="v">
      <t c="4">
        <n x="57"/>
        <n x="14"/>
        <n x="32"/>
        <n x="1337" s="1"/>
      </t>
    </mdx>
    <mdx n="33" f="v">
      <t c="6" si="9">
        <n x="15"/>
        <n x="1337" s="1"/>
        <n x="40"/>
        <n x="7"/>
        <n x="30"/>
        <n x="1"/>
      </t>
    </mdx>
    <mdx n="33" f="v">
      <t c="6">
        <n x="15"/>
        <n x="1337" s="1"/>
        <n x="42"/>
        <n x="7"/>
        <n x="17"/>
        <n x="3"/>
      </t>
    </mdx>
    <mdx n="33" f="v">
      <t c="6" si="9">
        <n x="15"/>
        <n x="1337" s="1"/>
        <n x="42"/>
        <n x="7"/>
        <n x="25"/>
        <n x="1"/>
      </t>
    </mdx>
    <mdx n="33" f="v">
      <t c="5" si="10">
        <n x="15"/>
        <n x="1337" s="1"/>
        <n x="13"/>
        <n x="32"/>
        <n x="6"/>
      </t>
    </mdx>
    <mdx n="33" f="v">
      <t c="4">
        <n x="51"/>
        <n x="14"/>
        <n x="32"/>
        <n x="1337" s="1"/>
      </t>
    </mdx>
    <mdx n="33" f="v">
      <t c="4">
        <n x="120"/>
        <n x="12"/>
        <n x="7"/>
        <n x="1337" s="1"/>
      </t>
    </mdx>
    <mdx n="33" f="v">
      <t c="6" si="9">
        <n x="15"/>
        <n x="1337" s="1"/>
        <n x="41"/>
        <n x="7"/>
        <n x="6"/>
        <n x="1"/>
      </t>
    </mdx>
    <mdx n="33" f="v">
      <t c="6">
        <n x="15"/>
        <n x="1337" s="1"/>
        <n x="37"/>
        <n x="7"/>
        <n x="29"/>
        <n x="2"/>
      </t>
    </mdx>
    <mdx n="33" f="v">
      <t c="6" si="9">
        <n x="15"/>
        <n x="1337" s="1"/>
        <n x="41"/>
        <n x="7"/>
        <n x="23"/>
        <n x="0"/>
      </t>
    </mdx>
    <mdx n="33" f="v">
      <t c="6">
        <n x="15"/>
        <n x="1337" s="1"/>
        <n x="42"/>
        <n x="7"/>
        <n x="20"/>
        <n x="3"/>
      </t>
    </mdx>
    <mdx n="33" f="v">
      <t c="6" si="10">
        <n x="15"/>
        <n x="1337" s="1"/>
        <n x="42"/>
        <n x="32"/>
        <n x="16"/>
        <n x="3"/>
      </t>
    </mdx>
    <mdx n="33" f="v">
      <t c="6" si="10">
        <n x="15"/>
        <n x="1337" s="1"/>
        <n x="39"/>
        <n x="32"/>
        <n x="4"/>
        <n x="1"/>
      </t>
    </mdx>
    <mdx n="33" f="v">
      <t c="4">
        <n x="95"/>
        <n x="0"/>
        <n x="32"/>
        <n x="1337" s="1"/>
      </t>
    </mdx>
    <mdx n="33" f="v">
      <t c="4">
        <n x="60"/>
        <n x="14"/>
        <n x="32"/>
        <n x="1337" s="1"/>
      </t>
    </mdx>
    <mdx n="33" f="v">
      <t c="4">
        <n x="184"/>
        <n x="1"/>
        <n x="32"/>
        <n x="1337" s="1"/>
      </t>
    </mdx>
    <mdx n="33" f="v">
      <t c="3">
        <n x="229"/>
        <n x="1336"/>
        <n x="1337" s="1"/>
      </t>
    </mdx>
    <mdx n="33" f="v">
      <t c="3">
        <n x="261"/>
        <n x="1336"/>
        <n x="1337" s="1"/>
      </t>
    </mdx>
    <mdx n="33" f="v">
      <t c="4">
        <n x="314"/>
        <n x="12"/>
        <n x="7"/>
        <n x="1337" s="1"/>
      </t>
    </mdx>
    <mdx n="33" f="v">
      <t c="3">
        <n x="365"/>
        <n x="1336"/>
        <n x="1337" s="1"/>
      </t>
    </mdx>
    <mdx n="33" f="v">
      <t c="3">
        <n x="415"/>
        <n x="1336"/>
        <n x="1337" s="1"/>
      </t>
    </mdx>
    <mdx n="33" f="v">
      <t c="4" si="10">
        <n x="15"/>
        <n x="1337" s="1"/>
        <n x="13"/>
        <n x="32"/>
      </t>
    </mdx>
    <mdx n="33" f="v">
      <t c="4">
        <n x="156"/>
        <n x="0"/>
        <n x="7"/>
        <n x="1337" s="1"/>
      </t>
    </mdx>
    <mdx n="33" f="v">
      <t c="4">
        <n x="207"/>
        <n x="12"/>
        <n x="7"/>
        <n x="1337" s="1"/>
      </t>
    </mdx>
    <mdx n="33" f="v">
      <t c="6">
        <n x="15"/>
        <n x="1337" s="1"/>
        <n x="36"/>
        <n x="7"/>
        <n x="21"/>
        <n x="3"/>
      </t>
    </mdx>
    <mdx n="33" f="v">
      <t c="5" si="10">
        <n x="15"/>
        <n x="1337" s="1"/>
        <n x="14"/>
        <n x="32"/>
        <n x="21"/>
      </t>
    </mdx>
    <mdx n="33" f="v">
      <t c="6" si="9">
        <n x="15"/>
        <n x="1337" s="1"/>
        <n x="43"/>
        <n x="7"/>
        <n x="19"/>
        <n x="2"/>
      </t>
    </mdx>
    <mdx n="33" f="v">
      <t c="6" si="10">
        <n x="15"/>
        <n x="1337" s="1"/>
        <n x="40"/>
        <n x="32"/>
        <n x="4"/>
        <n x="0"/>
      </t>
    </mdx>
    <mdx n="33" f="v">
      <t c="4">
        <n x="85"/>
        <n x="12"/>
        <n x="7"/>
        <n x="1337" s="1"/>
      </t>
    </mdx>
    <mdx n="33" f="v">
      <t c="6">
        <n x="15"/>
        <n x="1337" s="1"/>
        <n x="37"/>
        <n x="7"/>
        <n x="6"/>
        <n x="3"/>
      </t>
    </mdx>
    <mdx n="33" f="v">
      <t c="4">
        <n x="179"/>
        <n x="0"/>
        <n x="32"/>
        <n x="1337" s="1"/>
      </t>
    </mdx>
    <mdx n="33" f="v">
      <t c="4">
        <n x="225"/>
        <n x="14"/>
        <n x="32"/>
        <n x="1337" s="1"/>
      </t>
    </mdx>
    <mdx n="33" f="v">
      <t c="4">
        <n x="257"/>
        <n x="14"/>
        <n x="32"/>
        <n x="1337" s="1"/>
      </t>
    </mdx>
    <mdx n="33" f="v">
      <t c="4">
        <n x="308"/>
        <n x="1"/>
        <n x="32"/>
        <n x="1337" s="1"/>
      </t>
    </mdx>
    <mdx n="33" f="v">
      <t c="4">
        <n x="359"/>
        <n x="0"/>
        <n x="7"/>
        <n x="1337" s="1"/>
      </t>
    </mdx>
    <mdx n="33" f="v">
      <t c="4">
        <n x="409"/>
        <n x="0"/>
        <n x="7"/>
        <n x="1337" s="1"/>
      </t>
    </mdx>
    <mdx n="33" f="v">
      <t c="6">
        <n x="15"/>
        <n x="1337" s="1"/>
        <n x="41"/>
        <n x="7"/>
        <n x="17"/>
        <n x="3"/>
      </t>
    </mdx>
    <mdx n="33" f="v">
      <t c="4">
        <n x="132"/>
        <n x="0"/>
        <n x="32"/>
        <n x="1337" s="1"/>
      </t>
    </mdx>
    <mdx n="33" f="v">
      <t c="4">
        <n x="201"/>
        <n x="1"/>
        <n x="32"/>
        <n x="1337" s="1"/>
      </t>
    </mdx>
    <mdx n="33" f="v">
      <t c="6" si="9">
        <n x="15"/>
        <n x="1337" s="1"/>
        <n x="34"/>
        <n x="7"/>
        <n x="26"/>
        <n x="12"/>
      </t>
    </mdx>
    <mdx n="33" f="v">
      <t c="6">
        <n x="15"/>
        <n x="1337" s="1"/>
        <n x="41"/>
        <n x="7"/>
        <n x="20"/>
        <n x="1"/>
      </t>
    </mdx>
    <mdx n="33" f="v">
      <t c="6" si="9">
        <n x="15"/>
        <n x="1337" s="1"/>
        <n x="36"/>
        <n x="7"/>
        <n x="20"/>
        <n x="0"/>
      </t>
    </mdx>
    <mdx n="33" f="v">
      <t c="5" si="9">
        <n x="15"/>
        <n x="1337" s="1"/>
        <n x="38"/>
        <n x="7"/>
        <n x="1"/>
      </t>
    </mdx>
    <mdx n="33" f="v">
      <t c="4">
        <n x="91"/>
        <n x="0"/>
        <n x="32"/>
        <n x="1337" s="1"/>
      </t>
    </mdx>
    <mdx n="33" f="v">
      <t c="4">
        <n x="55"/>
        <n x="1"/>
        <n x="7"/>
        <n x="1337" s="1"/>
      </t>
    </mdx>
    <mdx n="33" f="v">
      <t c="4">
        <n x="183"/>
        <n x="0"/>
        <n x="32"/>
        <n x="1337" s="1"/>
      </t>
    </mdx>
    <mdx n="33" f="v">
      <t c="3">
        <n x="228"/>
        <n x="1336"/>
        <n x="1337" s="1"/>
      </t>
    </mdx>
    <mdx n="33" f="v">
      <t c="3">
        <n x="260"/>
        <n x="1336"/>
        <n x="1337" s="1"/>
      </t>
    </mdx>
    <mdx n="33" f="v">
      <t c="4">
        <n x="312"/>
        <n x="1"/>
        <n x="32"/>
        <n x="1337" s="1"/>
      </t>
    </mdx>
    <mdx n="33" f="v">
      <t c="4">
        <n x="363"/>
        <n x="0"/>
        <n x="7"/>
        <n x="1337" s="1"/>
      </t>
    </mdx>
    <mdx n="33" f="v">
      <t c="4">
        <n x="413"/>
        <n x="0"/>
        <n x="7"/>
        <n x="1337" s="1"/>
      </t>
    </mdx>
    <mdx n="33" f="v">
      <t c="6" si="9">
        <n x="15"/>
        <n x="1337" s="1"/>
        <n x="44"/>
        <n x="7"/>
        <n x="18"/>
        <n x="2"/>
      </t>
    </mdx>
    <mdx n="33" f="v">
      <t c="4">
        <n x="152"/>
        <n x="0"/>
        <n x="32"/>
        <n x="1337" s="1"/>
      </t>
    </mdx>
    <mdx n="33" f="v">
      <t c="4">
        <n x="205"/>
        <n x="1"/>
        <n x="32"/>
        <n x="1337" s="1"/>
      </t>
    </mdx>
    <mdx n="33" f="v">
      <t c="4">
        <n x="242"/>
        <n x="1"/>
        <n x="32"/>
        <n x="1337" s="1"/>
      </t>
    </mdx>
    <mdx n="33" f="v">
      <t c="4">
        <n x="274"/>
        <n x="1"/>
        <n x="32"/>
        <n x="1337" s="1"/>
      </t>
    </mdx>
    <mdx n="33" f="v">
      <t c="4">
        <n x="335"/>
        <n x="12"/>
        <n x="7"/>
        <n x="1337" s="1"/>
      </t>
    </mdx>
    <mdx n="33" f="v">
      <t c="4" si="10">
        <n x="386"/>
        <n x="14"/>
        <n x="32"/>
        <n x="1337" s="1"/>
      </t>
    </mdx>
    <mdx n="33" f="v">
      <t c="6" si="9">
        <n x="15"/>
        <n x="1337" s="1"/>
        <n x="45"/>
        <n x="7"/>
        <n x="4"/>
        <n x="12"/>
      </t>
    </mdx>
    <mdx n="33" f="v">
      <t c="4">
        <n x="187"/>
        <n x="0"/>
        <n x="32"/>
        <n x="1337" s="1"/>
      </t>
    </mdx>
    <mdx n="33" f="v">
      <t c="4">
        <n x="367"/>
        <n x="0"/>
        <n x="7"/>
        <n x="1337" s="1"/>
      </t>
    </mdx>
    <mdx n="33" f="v">
      <t c="4">
        <n x="209"/>
        <n x="1"/>
        <n x="32"/>
        <n x="1337" s="1"/>
      </t>
    </mdx>
    <mdx n="33" f="v">
      <t c="4">
        <n x="267"/>
        <n x="1"/>
        <n x="7"/>
        <n x="1337" s="1"/>
      </t>
    </mdx>
    <mdx n="33" f="v">
      <t c="3">
        <n x="342"/>
        <n x="1336"/>
        <n x="1337" s="1"/>
      </t>
    </mdx>
    <mdx n="33" f="v">
      <t c="4">
        <n x="405"/>
        <n x="12"/>
        <n x="7"/>
        <n x="1337" s="1"/>
      </t>
    </mdx>
    <mdx n="33" f="v">
      <t c="6" si="10">
        <n x="15"/>
        <n x="1337" s="1"/>
        <n x="38"/>
        <n x="32"/>
        <n x="18"/>
        <n x="1"/>
      </t>
    </mdx>
    <mdx n="33" f="v">
      <t c="4">
        <n x="113"/>
        <n x="0"/>
        <n x="32"/>
        <n x="1337" s="1"/>
      </t>
    </mdx>
    <mdx n="33" f="v">
      <t c="4">
        <n x="197"/>
        <n x="0"/>
        <n x="7"/>
        <n x="1337" s="1"/>
      </t>
    </mdx>
    <mdx n="33" f="v">
      <t c="4">
        <n x="237"/>
        <n x="0"/>
        <n x="7"/>
        <n x="1337" s="1"/>
      </t>
    </mdx>
    <mdx n="33" f="v">
      <t c="4">
        <n x="269"/>
        <n x="0"/>
        <n x="7"/>
        <n x="1337" s="1"/>
      </t>
    </mdx>
    <mdx n="33" f="v">
      <t c="3">
        <n x="327"/>
        <n x="1336"/>
        <n x="1337" s="1"/>
      </t>
    </mdx>
    <mdx n="33" f="v">
      <t c="4">
        <n x="378"/>
        <n x="1"/>
        <n x="32"/>
        <n x="1337" s="1"/>
      </t>
    </mdx>
    <mdx n="33" f="v">
      <t c="4">
        <n x="428"/>
        <n x="1"/>
        <n x="32"/>
        <n x="1337" s="1"/>
      </t>
    </mdx>
    <mdx n="33" f="v">
      <t c="4">
        <n x="74"/>
        <n x="14"/>
        <n x="32"/>
        <n x="1337" s="1"/>
      </t>
    </mdx>
    <mdx n="33" f="v">
      <t c="4">
        <n x="314"/>
        <n x="0"/>
        <n x="7"/>
        <n x="1337" s="1"/>
      </t>
    </mdx>
    <mdx n="33" f="v">
      <t c="4">
        <n x="468"/>
        <n x="0"/>
        <n x="7"/>
        <n x="1337" s="1"/>
      </t>
    </mdx>
    <mdx n="33" f="v">
      <t c="4" si="9">
        <n x="519"/>
        <n x="12"/>
        <n x="7"/>
        <n x="1337" s="1"/>
      </t>
    </mdx>
    <mdx n="33" f="v">
      <t c="3" fi="0">
        <n x="570"/>
        <n x="1336"/>
        <n x="1337" s="1"/>
      </t>
    </mdx>
    <mdx n="33" f="v">
      <t c="4">
        <n x="620"/>
        <n x="12"/>
        <n x="7"/>
        <n x="1337" s="1"/>
      </t>
    </mdx>
    <mdx n="33" f="v">
      <t c="4" si="10">
        <n x="644"/>
        <n x="0"/>
        <n x="32"/>
        <n x="1337" s="1"/>
      </t>
    </mdx>
    <mdx n="33" f="v">
      <t c="4" si="10">
        <n x="667"/>
        <n x="1"/>
        <n x="32"/>
        <n x="1337" s="1"/>
      </t>
    </mdx>
    <mdx n="33" f="v">
      <t c="4">
        <n x="82"/>
        <n x="14"/>
        <n x="32"/>
        <n x="1337" s="1"/>
      </t>
    </mdx>
    <mdx n="33" f="v">
      <t c="4">
        <n x="318"/>
        <n x="0"/>
        <n x="7"/>
        <n x="1337" s="1"/>
      </t>
    </mdx>
    <mdx n="33" f="v">
      <t c="4">
        <n x="469"/>
        <n x="0"/>
        <n x="7"/>
        <n x="1337" s="1"/>
      </t>
    </mdx>
    <mdx n="33" f="v">
      <t c="4" si="9">
        <n x="520"/>
        <n x="12"/>
        <n x="7"/>
        <n x="1337" s="1"/>
      </t>
    </mdx>
    <mdx n="33" f="v">
      <t c="3" fi="0">
        <n x="571"/>
        <n x="1336"/>
        <n x="1337" s="1"/>
      </t>
    </mdx>
    <mdx n="33" f="v">
      <t c="3">
        <n x="621"/>
        <n x="1336"/>
        <n x="1337" s="1"/>
      </t>
    </mdx>
    <mdx n="33" f="v">
      <t c="4">
        <n x="644"/>
        <n x="11"/>
        <n x="32"/>
        <n x="1337" s="1"/>
      </t>
    </mdx>
    <mdx n="33" f="v">
      <t c="6" si="10">
        <n x="15"/>
        <n x="1337" s="1"/>
        <n x="38"/>
        <n x="32"/>
        <n x="17"/>
        <n x="1"/>
      </t>
    </mdx>
    <mdx n="33" f="v">
      <t c="3">
        <n x="177"/>
        <n x="1336"/>
        <n x="1337" s="1"/>
      </t>
    </mdx>
    <mdx n="33" f="v">
      <t c="4">
        <n x="358"/>
        <n x="12"/>
        <n x="7"/>
        <n x="1337" s="1"/>
      </t>
    </mdx>
    <mdx n="33" f="v">
      <t c="4">
        <n x="200"/>
        <n x="0"/>
        <n x="32"/>
        <n x="1337" s="1"/>
      </t>
    </mdx>
    <mdx n="33" f="v">
      <t c="4">
        <n x="265"/>
        <n x="1"/>
        <n x="7"/>
        <n x="1337" s="1"/>
      </t>
    </mdx>
    <mdx n="33" f="v">
      <t c="4">
        <n x="339"/>
        <n x="12"/>
        <n x="7"/>
        <n x="1337" s="1"/>
      </t>
    </mdx>
    <mdx n="33" f="v">
      <t c="4">
        <n x="402"/>
        <n x="0"/>
        <n x="7"/>
        <n x="1337" s="1"/>
      </t>
    </mdx>
    <mdx n="33" f="v">
      <t c="6" si="10">
        <n x="15"/>
        <n x="1337" s="1"/>
        <n x="36"/>
        <n x="32"/>
        <n x="19"/>
        <n x="0"/>
      </t>
    </mdx>
    <mdx n="33" f="v">
      <t c="4">
        <n x="101"/>
        <n x="12"/>
        <n x="7"/>
        <n x="1337" s="1"/>
      </t>
    </mdx>
    <mdx n="33" f="v">
      <t c="3">
        <n x="195"/>
        <n x="1336"/>
        <n x="1337" s="1"/>
      </t>
    </mdx>
    <mdx n="33" f="v">
      <t c="4">
        <n x="236"/>
        <n x="0"/>
        <n x="32"/>
        <n x="1337" s="1"/>
      </t>
    </mdx>
    <mdx n="33" f="v">
      <t c="4">
        <n x="268"/>
        <n x="0"/>
        <n x="32"/>
        <n x="1337" s="1"/>
      </t>
    </mdx>
    <mdx n="33" f="v">
      <t c="4">
        <n x="325"/>
        <n x="0"/>
        <n x="32"/>
        <n x="1337" s="1"/>
      </t>
    </mdx>
    <mdx n="33" f="v">
      <t c="4">
        <n x="376"/>
        <n x="12"/>
        <n x="7"/>
        <n x="1337" s="1"/>
      </t>
    </mdx>
    <mdx n="33" f="v">
      <t c="4">
        <n x="426"/>
        <n x="12"/>
        <n x="7"/>
        <n x="1337" s="1"/>
      </t>
    </mdx>
    <mdx n="33" f="v">
      <t c="4">
        <n x="55"/>
        <n x="11"/>
        <n x="32"/>
        <n x="1337" s="1"/>
      </t>
    </mdx>
    <mdx n="33" f="v">
      <t c="6" si="10">
        <n x="15"/>
        <n x="1337" s="1"/>
        <n x="46"/>
        <n x="32"/>
        <n x="20"/>
        <n x="12"/>
      </t>
    </mdx>
    <mdx n="33" f="v">
      <t c="4" si="10">
        <n x="1151"/>
        <n x="1"/>
        <n x="32"/>
        <n x="1337" s="1"/>
      </t>
    </mdx>
    <mdx n="33" f="v">
      <t c="6" si="9">
        <n x="15"/>
        <n x="1337" s="1"/>
        <n x="40"/>
        <n x="7"/>
        <n x="16"/>
        <n x="1"/>
      </t>
    </mdx>
    <mdx n="33" f="v">
      <t c="6" si="10">
        <n x="15"/>
        <n x="1337" s="1"/>
        <n x="38"/>
        <n x="32"/>
        <n x="27"/>
        <n x="2"/>
      </t>
    </mdx>
    <mdx n="33" f="v">
      <t c="6" si="9">
        <n x="15"/>
        <n x="1337" s="1"/>
        <n x="42"/>
        <n x="7"/>
        <n x="25"/>
        <n x="0"/>
      </t>
    </mdx>
    <mdx n="33" f="v">
      <t c="6" si="9">
        <n x="15"/>
        <n x="1337" s="1"/>
        <n x="47"/>
        <n x="7"/>
        <n x="4"/>
        <n x="12"/>
      </t>
    </mdx>
    <mdx n="33" f="v">
      <t c="4">
        <n x="144"/>
        <n x="12"/>
        <n x="7"/>
        <n x="1337" s="1"/>
      </t>
    </mdx>
    <mdx n="33" f="v">
      <t c="6" si="9">
        <n x="15"/>
        <n x="1337" s="1"/>
        <n x="37"/>
        <n x="7"/>
        <n x="6"/>
        <n x="2"/>
      </t>
    </mdx>
    <mdx n="33" f="v">
      <t c="4">
        <n x="86"/>
        <n x="12"/>
        <n x="7"/>
        <n x="1337" s="1"/>
      </t>
    </mdx>
    <mdx n="33" f="v">
      <t c="4">
        <n x="323"/>
        <n x="0"/>
        <n x="7"/>
        <n x="1337" s="1"/>
      </t>
    </mdx>
    <mdx n="33" f="v">
      <t c="4">
        <n x="165"/>
        <n x="1"/>
        <n x="32"/>
        <n x="1337" s="1"/>
      </t>
    </mdx>
    <mdx n="33" f="v">
      <t c="6" si="9">
        <n x="15"/>
        <n x="1337" s="1"/>
        <n x="46"/>
        <n x="7"/>
        <n x="6"/>
        <n x="12"/>
      </t>
    </mdx>
    <mdx n="33" f="v">
      <t c="4">
        <n x="70"/>
        <n x="12"/>
        <n x="7"/>
        <n x="1337" s="1"/>
      </t>
    </mdx>
    <mdx n="33" f="v">
      <t c="4">
        <n x="318"/>
        <n x="12"/>
        <n x="7"/>
        <n x="1337" s="1"/>
      </t>
    </mdx>
    <mdx n="33" f="v">
      <t c="4">
        <n x="160"/>
        <n x="0"/>
        <n x="32"/>
        <n x="1337" s="1"/>
      </t>
    </mdx>
    <mdx n="33" f="v">
      <t c="6" si="10">
        <n x="15"/>
        <n x="1337" s="1"/>
        <n x="43"/>
        <n x="32"/>
        <n x="4"/>
        <n x="1"/>
      </t>
    </mdx>
    <mdx n="33" f="v">
      <t c="4">
        <n x="81"/>
        <n x="11"/>
        <n x="32"/>
        <n x="1337" s="1"/>
      </t>
    </mdx>
    <mdx n="33" f="v">
      <t c="4">
        <n x="322"/>
        <n x="12"/>
        <n x="7"/>
        <n x="1337" s="1"/>
      </t>
    </mdx>
    <mdx n="33" f="v">
      <t c="4">
        <n x="164"/>
        <n x="0"/>
        <n x="32"/>
        <n x="1337" s="1"/>
      </t>
    </mdx>
    <mdx n="33" f="v">
      <t c="4">
        <n x="344"/>
        <n x="0"/>
        <n x="7"/>
        <n x="1337" s="1"/>
      </t>
    </mdx>
    <mdx n="33" f="v">
      <t c="4">
        <n x="405"/>
        <n x="0"/>
        <n x="32"/>
        <n x="1337" s="1"/>
      </t>
    </mdx>
    <mdx n="33" f="v">
      <t c="4">
        <n x="414"/>
        <n x="0"/>
        <n x="7"/>
        <n x="1337" s="1"/>
      </t>
    </mdx>
    <mdx n="33" f="v">
      <t c="4">
        <n x="243"/>
        <n x="0"/>
        <n x="7"/>
        <n x="1337" s="1"/>
      </t>
    </mdx>
    <mdx n="33" f="v">
      <t c="4">
        <n x="438"/>
        <n x="12"/>
        <n x="7"/>
        <n x="1337" s="1"/>
      </t>
    </mdx>
    <mdx n="33" f="v">
      <t c="4" si="9">
        <n x="528"/>
        <n x="0"/>
        <n x="7"/>
        <n x="1337" s="1"/>
      </t>
    </mdx>
    <mdx n="33" f="v">
      <t c="4" si="9">
        <n x="671"/>
        <n x="1"/>
        <n x="7"/>
        <n x="1337" s="1"/>
      </t>
    </mdx>
    <mdx n="33" f="v">
      <t c="4" si="9">
        <n x="529"/>
        <n x="0"/>
        <n x="7"/>
        <n x="1337" s="1"/>
      </t>
    </mdx>
    <mdx n="33" f="v">
      <t c="6">
        <n x="15"/>
        <n x="1337" s="1"/>
        <n x="41"/>
        <n x="7"/>
        <n x="18"/>
        <n x="1"/>
      </t>
    </mdx>
    <mdx n="33" f="v">
      <t c="4">
        <n x="239"/>
        <n x="1"/>
        <n x="32"/>
        <n x="1337" s="1"/>
      </t>
    </mdx>
    <mdx n="33" f="v">
      <t c="4">
        <n x="317"/>
        <n x="1"/>
        <n x="32"/>
        <n x="1337" s="1"/>
      </t>
    </mdx>
    <mdx n="33" f="v">
      <t c="4">
        <n x="406"/>
        <n x="0"/>
        <n x="32"/>
        <n x="1337" s="1"/>
      </t>
    </mdx>
    <mdx n="33" f="v">
      <t c="5" si="9">
        <n x="15"/>
        <n x="1337" s="1"/>
        <n x="42"/>
        <n x="7"/>
        <n x="2"/>
      </t>
    </mdx>
    <mdx n="33" f="v">
      <t c="3">
        <n x="179"/>
        <n x="1336"/>
        <n x="1337" s="1"/>
      </t>
    </mdx>
    <mdx n="33" f="v">
      <t c="4">
        <n x="238"/>
        <n x="0"/>
        <n x="32"/>
        <n x="1337" s="1"/>
      </t>
    </mdx>
    <mdx n="33" f="v">
      <t c="4">
        <n x="280"/>
        <n x="0"/>
        <n x="32"/>
        <n x="1337" s="1"/>
      </t>
    </mdx>
    <mdx n="33" f="v">
      <t c="4">
        <n x="360"/>
        <n x="12"/>
        <n x="7"/>
        <n x="1337" s="1"/>
      </t>
    </mdx>
    <mdx n="33" f="v">
      <t c="3">
        <n x="429"/>
        <n x="1336"/>
        <n x="1337" s="1"/>
      </t>
    </mdx>
    <mdx n="33" f="v">
      <t c="4">
        <n x="201"/>
        <n x="12"/>
        <n x="7"/>
        <n x="1337" s="1"/>
      </t>
    </mdx>
    <mdx n="33" f="v">
      <t c="3">
        <n x="406"/>
        <n x="1336"/>
        <n x="1337" s="1"/>
      </t>
    </mdx>
    <mdx n="33" f="v">
      <t c="4" si="9">
        <n x="491"/>
        <n x="12"/>
        <n x="7"/>
        <n x="1337" s="1"/>
      </t>
    </mdx>
    <mdx n="33" f="v">
      <t c="3" fi="0">
        <n x="542"/>
        <n x="1336"/>
        <n x="1337" s="1"/>
      </t>
    </mdx>
    <mdx n="33" f="v">
      <t c="4">
        <n x="593"/>
        <n x="1"/>
        <n x="32"/>
        <n x="1337" s="1"/>
      </t>
    </mdx>
    <mdx n="33" f="v">
      <t c="4" si="10">
        <n x="631"/>
        <n x="1"/>
        <n x="32"/>
        <n x="1337" s="1"/>
      </t>
    </mdx>
    <mdx n="33" f="v">
      <t c="4" si="10">
        <n x="654"/>
        <n x="14"/>
        <n x="32"/>
        <n x="1337" s="1"/>
      </t>
    </mdx>
    <mdx n="33" f="v">
      <t c="4">
        <n x="677"/>
        <n x="11"/>
        <n x="7"/>
        <n x="1337" s="1"/>
      </t>
    </mdx>
    <mdx n="33" f="v">
      <t c="4">
        <n x="226"/>
        <n x="12"/>
        <n x="7"/>
        <n x="1337" s="1"/>
      </t>
    </mdx>
    <mdx n="33" f="v">
      <t c="3">
        <n x="410"/>
        <n x="1336"/>
        <n x="1337" s="1"/>
      </t>
    </mdx>
    <mdx n="33" f="v">
      <t c="4" si="9">
        <n x="492"/>
        <n x="12"/>
        <n x="7"/>
        <n x="1337" s="1"/>
      </t>
    </mdx>
    <mdx n="33" f="v">
      <t c="3" fi="0">
        <n x="543"/>
        <n x="1336"/>
        <n x="1337" s="1"/>
      </t>
    </mdx>
    <mdx n="33" f="v">
      <t c="4">
        <n x="594"/>
        <n x="1"/>
        <n x="32"/>
        <n x="1337" s="1"/>
      </t>
    </mdx>
    <mdx n="33" f="v">
      <t c="4" si="10">
        <n x="631"/>
        <n x="12"/>
        <n x="32"/>
        <n x="1337" s="1"/>
      </t>
    </mdx>
    <mdx n="33" f="v">
      <t c="6" si="10">
        <n x="15"/>
        <n x="1337" s="1"/>
        <n x="44"/>
        <n x="32"/>
        <n x="18"/>
        <n x="1"/>
      </t>
    </mdx>
    <mdx n="33" f="v">
      <t c="6">
        <n x="15"/>
        <n x="1337" s="1"/>
        <n x="41"/>
        <n x="32"/>
        <n x="4"/>
        <n x="3"/>
      </t>
    </mdx>
    <mdx n="33" f="v">
      <t c="4">
        <n x="234"/>
        <n x="14"/>
        <n x="32"/>
        <n x="1337" s="1"/>
      </t>
    </mdx>
    <mdx n="33" f="v">
      <t c="4">
        <n x="424"/>
        <n x="12"/>
        <n x="7"/>
        <n x="1337" s="1"/>
      </t>
    </mdx>
    <mdx n="33" f="v">
      <t c="4">
        <n x="237"/>
        <n x="1"/>
        <n x="32"/>
        <n x="1337" s="1"/>
      </t>
    </mdx>
    <mdx n="33" f="v">
      <t c="4">
        <n x="279"/>
        <n x="1"/>
        <n x="7"/>
        <n x="1337" s="1"/>
      </t>
    </mdx>
    <mdx n="33" f="v">
      <t c="4">
        <n x="361"/>
        <n x="1"/>
        <n x="32"/>
        <n x="1337" s="1"/>
      </t>
    </mdx>
    <mdx n="33" f="v">
      <t c="4">
        <n x="419"/>
        <n x="1"/>
        <n x="32"/>
        <n x="1337" s="1"/>
      </t>
    </mdx>
    <mdx n="33" f="v">
      <t c="5" si="9">
        <n x="15"/>
        <n x="1337" s="1"/>
        <n x="42"/>
        <n x="7"/>
        <n x="1"/>
      </t>
    </mdx>
    <mdx n="33" f="v">
      <t c="4">
        <n x="161"/>
        <n x="0"/>
        <n x="32"/>
        <n x="1337" s="1"/>
      </t>
    </mdx>
    <mdx n="33" f="v">
      <t c="4">
        <n x="212"/>
        <n x="12"/>
        <n x="7"/>
        <n x="1337" s="1"/>
      </t>
    </mdx>
    <mdx n="33" f="v">
      <t c="4">
        <n x="246"/>
        <n x="0"/>
        <n x="7"/>
        <n x="1337" s="1"/>
      </t>
    </mdx>
    <mdx n="33" f="v">
      <t c="4">
        <n x="278"/>
        <n x="0"/>
        <n x="7"/>
        <n x="1337" s="1"/>
      </t>
    </mdx>
    <mdx n="33" f="v">
      <t c="4">
        <n x="341"/>
        <n x="0"/>
        <n x="7"/>
        <n x="1337" s="1"/>
      </t>
    </mdx>
    <mdx n="33" f="v">
      <t c="4">
        <n x="391"/>
        <n x="0"/>
        <n x="7"/>
        <n x="1337" s="1"/>
      </t>
    </mdx>
    <mdx n="33" f="v">
      <t c="4">
        <n x="443"/>
        <n x="0"/>
        <n x="32"/>
        <n x="1337" s="1"/>
      </t>
    </mdx>
    <mdx n="33" f="v">
      <t c="4">
        <n x="191"/>
        <n x="1"/>
        <n x="32"/>
        <n x="1337" s="1"/>
      </t>
    </mdx>
    <mdx n="33" f="v">
      <t c="3">
        <n x="372"/>
        <n x="1336"/>
        <n x="1337" s="1"/>
      </t>
    </mdx>
    <mdx n="33" f="v">
      <t c="3">
        <n x="482"/>
        <n x="1336"/>
        <n x="1337" s="1"/>
      </t>
    </mdx>
    <mdx n="33" f="v">
      <t c="4" si="10">
        <n x="533"/>
        <n x="1"/>
        <n x="32"/>
        <n x="1337" s="1"/>
      </t>
    </mdx>
    <mdx n="33" f="v">
      <t c="4" si="9">
        <n x="584"/>
        <n x="0"/>
        <n x="7"/>
        <n x="1337" s="1"/>
      </t>
    </mdx>
    <mdx n="33" f="v">
      <t c="4" si="10">
        <n x="627"/>
        <n x="1"/>
        <n x="32"/>
        <n x="1337" s="1"/>
      </t>
    </mdx>
    <mdx n="33" f="v">
      <t c="4">
        <n x="650"/>
        <n x="14"/>
        <n x="32"/>
        <n x="1337" s="1"/>
      </t>
    </mdx>
    <mdx n="33" f="v">
      <t c="4">
        <n x="673"/>
        <n x="11"/>
        <n x="7"/>
        <n x="1337" s="1"/>
      </t>
    </mdx>
    <mdx n="33" f="v">
      <t c="4">
        <n x="195"/>
        <n x="1"/>
        <n x="32"/>
        <n x="1337" s="1"/>
      </t>
    </mdx>
    <mdx n="33" f="v">
      <t c="3">
        <n x="376"/>
        <n x="1336"/>
        <n x="1337" s="1"/>
      </t>
    </mdx>
    <mdx n="33" f="v">
      <t c="3">
        <n x="483"/>
        <n x="1336"/>
        <n x="1337" s="1"/>
      </t>
    </mdx>
    <mdx n="33" f="v">
      <t c="4">
        <n x="534"/>
        <n x="1"/>
        <n x="32"/>
        <n x="1337" s="1"/>
      </t>
    </mdx>
    <mdx n="33" f="v">
      <t c="4">
        <n x="585"/>
        <n x="0"/>
        <n x="7"/>
        <n x="1337" s="1"/>
      </t>
    </mdx>
    <mdx n="33" f="v">
      <t c="4">
        <n x="627"/>
        <n x="12"/>
        <n x="32"/>
        <n x="1337" s="1"/>
      </t>
    </mdx>
    <mdx n="33" f="v">
      <t c="4" si="10">
        <n x="651"/>
        <n x="0"/>
        <n x="32"/>
        <n x="1337" s="1"/>
      </t>
    </mdx>
    <mdx n="33" f="v">
      <t c="4">
        <n x="58"/>
        <n x="14"/>
        <n x="32"/>
        <n x="1337" s="1"/>
      </t>
    </mdx>
    <mdx n="33" f="v">
      <t c="3">
        <n x="407"/>
        <n x="1336"/>
        <n x="1337" s="1"/>
      </t>
    </mdx>
    <mdx n="33" f="v">
      <t c="5" si="10">
        <n x="15"/>
        <n x="1337" s="1"/>
        <n x="37"/>
        <n x="32"/>
        <n x="1"/>
      </t>
    </mdx>
    <mdx n="33" f="v">
      <t c="4">
        <n x="160"/>
        <n x="0"/>
        <n x="7"/>
        <n x="1337" s="1"/>
      </t>
    </mdx>
    <mdx n="33" f="v">
      <t c="4">
        <n x="212"/>
        <n x="0"/>
        <n x="32"/>
        <n x="1337" s="1"/>
      </t>
    </mdx>
    <mdx n="33" f="v">
      <t c="4">
        <n x="246"/>
        <n x="1"/>
        <n x="32"/>
        <n x="1337" s="1"/>
      </t>
    </mdx>
    <mdx n="33" f="v">
      <t c="4">
        <n x="278"/>
        <n x="1"/>
        <n x="32"/>
        <n x="1337" s="1"/>
      </t>
    </mdx>
    <mdx n="33" f="v">
      <t c="4">
        <n x="341"/>
        <n x="1"/>
        <n x="32"/>
        <n x="1337" s="1"/>
      </t>
    </mdx>
    <mdx n="33" f="v">
      <t c="4">
        <n x="391"/>
        <n x="1"/>
        <n x="32"/>
        <n x="1337" s="1"/>
      </t>
    </mdx>
    <mdx n="33" f="v">
      <t c="6" si="9">
        <n x="15"/>
        <n x="1337" s="1"/>
        <n x="39"/>
        <n x="7"/>
        <n x="20"/>
        <n x="0"/>
      </t>
    </mdx>
    <mdx n="33" f="v">
      <t c="4">
        <n x="212"/>
        <n x="1"/>
        <n x="32"/>
        <n x="1337" s="1"/>
      </t>
    </mdx>
    <mdx n="33" f="v">
      <t c="4">
        <n x="392"/>
        <n x="12"/>
        <n x="7"/>
        <n x="1337" s="1"/>
      </t>
    </mdx>
    <mdx n="33" f="v">
      <t c="4">
        <n x="228"/>
        <n x="1"/>
        <n x="7"/>
        <n x="1337" s="1"/>
      </t>
    </mdx>
    <mdx n="33" f="v">
      <t c="4">
        <n x="273"/>
        <n x="1"/>
        <n x="32"/>
        <n x="1337" s="1"/>
      </t>
    </mdx>
    <mdx n="33" f="v">
      <t c="3">
        <n x="350"/>
        <n x="1336"/>
        <n x="1337" s="1"/>
      </t>
    </mdx>
    <mdx n="33" f="v">
      <t c="4">
        <n x="411"/>
        <n x="1"/>
        <n x="32"/>
        <n x="1337" s="1"/>
      </t>
    </mdx>
    <mdx n="33" f="v">
      <t c="6" si="9">
        <n x="15"/>
        <n x="1337" s="1"/>
        <n x="43"/>
        <n x="7"/>
        <n x="16"/>
        <n x="1"/>
      </t>
    </mdx>
    <mdx n="33" f="v">
      <t c="4">
        <n x="145"/>
        <n x="0"/>
        <n x="32"/>
        <n x="1337" s="1"/>
      </t>
    </mdx>
    <mdx n="33" f="v">
      <t c="4">
        <n x="204"/>
        <n x="12"/>
        <n x="7"/>
        <n x="1337" s="1"/>
      </t>
    </mdx>
    <mdx n="33" f="v">
      <t c="4">
        <n x="241"/>
        <n x="0"/>
        <n x="7"/>
        <n x="1337" s="1"/>
      </t>
    </mdx>
    <mdx n="33" f="v">
      <t c="4">
        <n x="273"/>
        <n x="0"/>
        <n x="7"/>
        <n x="1337" s="1"/>
      </t>
    </mdx>
    <mdx n="33" f="v">
      <t c="4">
        <n x="333"/>
        <n x="0"/>
        <n x="7"/>
        <n x="1337" s="1"/>
      </t>
    </mdx>
    <mdx n="33" f="v">
      <t c="4" si="10">
        <n x="385"/>
        <n x="0"/>
        <n x="32"/>
        <n x="1337" s="1"/>
      </t>
    </mdx>
    <mdx n="33" f="v">
      <t c="4">
        <n x="435"/>
        <n x="0"/>
        <n x="32"/>
        <n x="1337" s="1"/>
      </t>
    </mdx>
    <mdx n="33" f="v">
      <t c="4">
        <n x="159"/>
        <n x="1"/>
        <n x="32"/>
        <n x="1337" s="1"/>
      </t>
    </mdx>
    <mdx n="33" f="v">
      <t c="3">
        <n x="340"/>
        <n x="1336"/>
        <n x="1337" s="1"/>
      </t>
    </mdx>
    <mdx n="33" f="v">
      <t c="3">
        <n x="474"/>
        <n x="1336"/>
        <n x="1337" s="1"/>
      </t>
    </mdx>
    <mdx n="33" f="v">
      <t c="4">
        <n x="525"/>
        <n x="1"/>
        <n x="32"/>
        <n x="1337" s="1"/>
      </t>
    </mdx>
    <mdx n="33" f="v">
      <t c="4" si="9">
        <n x="576"/>
        <n x="0"/>
        <n x="7"/>
        <n x="1337" s="1"/>
      </t>
    </mdx>
    <mdx n="33" f="v">
      <t c="4">
        <n x="623"/>
        <n x="1"/>
        <n x="7"/>
        <n x="1337" s="1"/>
      </t>
    </mdx>
    <mdx n="33" f="v">
      <t c="4">
        <n x="646"/>
        <n x="14"/>
        <n x="7"/>
        <n x="1337" s="1"/>
      </t>
    </mdx>
    <mdx n="33" f="v">
      <t c="3">
        <n x="670"/>
        <n x="1336"/>
        <n x="1337" s="1"/>
      </t>
    </mdx>
    <mdx n="33" f="v">
      <t c="4">
        <n x="163"/>
        <n x="1"/>
        <n x="32"/>
        <n x="1337" s="1"/>
      </t>
    </mdx>
    <mdx n="33" f="v">
      <t c="3">
        <n x="344"/>
        <n x="1336"/>
        <n x="1337" s="1"/>
      </t>
    </mdx>
    <mdx n="33" f="v">
      <t c="3">
        <n x="475"/>
        <n x="1336"/>
        <n x="1337" s="1"/>
      </t>
    </mdx>
    <mdx n="33" f="v">
      <t c="4" si="10">
        <n x="526"/>
        <n x="1"/>
        <n x="32"/>
        <n x="1337" s="1"/>
      </t>
    </mdx>
    <mdx n="33" f="v">
      <t c="4">
        <n x="577"/>
        <n x="0"/>
        <n x="7"/>
        <n x="1337" s="1"/>
      </t>
    </mdx>
    <mdx n="33" f="v">
      <t c="4" si="9">
        <n x="624"/>
        <n x="12"/>
        <n x="7"/>
        <n x="1337" s="1"/>
      </t>
    </mdx>
    <mdx n="33" f="v">
      <t c="4" si="9">
        <n x="647"/>
        <n x="0"/>
        <n x="7"/>
        <n x="1337" s="1"/>
      </t>
    </mdx>
    <mdx n="33" f="v">
      <t c="6" si="9">
        <n x="15"/>
        <n x="1337" s="1"/>
        <n x="42"/>
        <n x="7"/>
        <n x="25"/>
        <n x="3"/>
      </t>
    </mdx>
    <mdx n="33" f="v">
      <t c="4">
        <n x="203"/>
        <n x="0"/>
        <n x="32"/>
        <n x="1337" s="1"/>
      </t>
    </mdx>
    <mdx n="33" f="v">
      <t c="4">
        <n x="383"/>
        <n x="0"/>
        <n x="7"/>
        <n x="1337" s="1"/>
      </t>
    </mdx>
    <mdx n="33" f="v">
      <t c="4">
        <n x="1152"/>
        <n x="11"/>
        <n x="32"/>
        <n x="1337" s="1"/>
      </t>
    </mdx>
    <mdx n="33" f="v">
      <t c="4" si="10">
        <n x="1128"/>
        <n x="1"/>
        <n x="32"/>
        <n x="1337" s="1"/>
      </t>
    </mdx>
    <mdx n="33" f="v">
      <t c="6" si="10">
        <n x="15"/>
        <n x="1337" s="1"/>
        <n x="47"/>
        <n x="32"/>
        <n x="25"/>
        <n x="12"/>
      </t>
    </mdx>
    <mdx n="33" f="v">
      <t c="6" si="10">
        <n x="15"/>
        <n x="1337" s="1"/>
        <n x="42"/>
        <n x="32"/>
        <n x="27"/>
        <n x="1"/>
      </t>
    </mdx>
    <mdx n="33" f="v">
      <t c="4" si="10">
        <n x="1300"/>
        <n x="11"/>
        <n x="32"/>
        <n x="1337" s="1"/>
      </t>
    </mdx>
    <mdx n="33" f="v">
      <t c="5" si="9">
        <n x="15"/>
        <n x="1337" s="1"/>
        <n x="8"/>
        <n x="7"/>
        <n x="30"/>
      </t>
    </mdx>
    <mdx n="33" f="v">
      <t c="4" si="10">
        <n x="1231"/>
        <n x="1"/>
        <n x="32"/>
        <n x="1337" s="1"/>
      </t>
    </mdx>
    <mdx n="33" f="v">
      <t c="6" si="10">
        <n x="15"/>
        <n x="1337" s="1"/>
        <n x="37"/>
        <n x="32"/>
        <n x="23"/>
        <n x="0"/>
      </t>
    </mdx>
    <mdx n="33" f="v">
      <t c="6" si="10">
        <n x="15"/>
        <n x="1337" s="1"/>
        <n x="44"/>
        <n x="32"/>
        <n x="24"/>
        <n x="0"/>
      </t>
    </mdx>
    <mdx n="33" f="v">
      <t c="3">
        <n x="1324"/>
        <n x="1336"/>
        <n x="1337" s="1"/>
      </t>
    </mdx>
    <mdx n="33" f="v">
      <t c="6" si="9">
        <n x="15"/>
        <n x="1337" s="1"/>
        <n x="36"/>
        <n x="7"/>
        <n x="25"/>
        <n x="1"/>
      </t>
    </mdx>
    <mdx n="33" f="v">
      <t c="4">
        <n x="76"/>
        <n x="0"/>
        <n x="32"/>
        <n x="1337" s="1"/>
      </t>
    </mdx>
    <mdx n="33" f="v">
      <t c="6" si="10">
        <n x="15"/>
        <n x="1337" s="1"/>
        <n x="38"/>
        <n x="32"/>
        <n x="18"/>
        <n x="3"/>
      </t>
    </mdx>
    <mdx n="33" f="v">
      <t c="6" si="10">
        <n x="15"/>
        <n x="1337" s="1"/>
        <n x="41"/>
        <n x="32"/>
        <n x="20"/>
        <n x="1"/>
      </t>
    </mdx>
    <mdx n="33" f="v">
      <t c="6" si="9">
        <n x="15"/>
        <n x="1337" s="1"/>
        <n x="37"/>
        <n x="7"/>
        <n x="28"/>
        <n x="0"/>
      </t>
    </mdx>
    <mdx n="33" f="v">
      <t c="6" si="9">
        <n x="15"/>
        <n x="1337" s="1"/>
        <n x="37"/>
        <n x="7"/>
        <n x="27"/>
        <n x="0"/>
      </t>
    </mdx>
    <mdx n="33" f="v">
      <t c="6">
        <n x="15"/>
        <n x="1337" s="1"/>
        <n x="41"/>
        <n x="7"/>
        <n x="24"/>
        <n x="3"/>
      </t>
    </mdx>
    <mdx n="33" f="v">
      <t c="4">
        <n x="1334"/>
        <n x="1"/>
        <n x="32"/>
        <n x="1337" s="1"/>
      </t>
    </mdx>
    <mdx n="33" f="v">
      <t c="6" si="9">
        <n x="15"/>
        <n x="1337" s="1"/>
        <n x="43"/>
        <n x="7"/>
        <n x="26"/>
        <n x="1"/>
      </t>
    </mdx>
    <mdx n="33" f="v">
      <t c="6" si="9">
        <n x="15"/>
        <n x="1337" s="1"/>
        <n x="46"/>
        <n x="7"/>
        <n x="17"/>
        <n x="12"/>
      </t>
    </mdx>
    <mdx n="33" f="v">
      <t c="6">
        <n x="15"/>
        <n x="1337" s="1"/>
        <n x="37"/>
        <n x="7"/>
        <n x="25"/>
        <n x="1"/>
      </t>
    </mdx>
    <mdx n="33" f="v">
      <t c="6" si="10">
        <n x="15"/>
        <n x="1337" s="1"/>
        <n x="35"/>
        <n x="32"/>
        <n x="4"/>
        <n x="12"/>
      </t>
    </mdx>
    <mdx n="33" f="v">
      <t c="4">
        <n x="76"/>
        <n x="1"/>
        <n x="7"/>
        <n x="1337" s="1"/>
      </t>
    </mdx>
    <mdx n="33" f="v">
      <t c="6" si="10">
        <n x="15"/>
        <n x="1337" s="1"/>
        <n x="43"/>
        <n x="32"/>
        <n x="23"/>
        <n x="1"/>
      </t>
    </mdx>
    <mdx n="33" f="v">
      <t c="5" si="9">
        <n x="15"/>
        <n x="1337" s="1"/>
        <n x="46"/>
        <n x="7"/>
        <n x="12"/>
      </t>
    </mdx>
    <mdx n="33" f="v">
      <t c="6" si="9">
        <n x="15"/>
        <n x="1337" s="1"/>
        <n x="45"/>
        <n x="7"/>
        <n x="20"/>
        <n x="12"/>
      </t>
    </mdx>
    <mdx n="33" f="v">
      <t c="6" si="10">
        <n x="15"/>
        <n x="1337" s="1"/>
        <n x="38"/>
        <n x="32"/>
        <n x="4"/>
        <n x="0"/>
      </t>
    </mdx>
    <mdx n="33" f="v">
      <t c="4">
        <n x="64"/>
        <n x="11"/>
        <n x="32"/>
        <n x="1337" s="1"/>
      </t>
    </mdx>
    <mdx n="33" f="v">
      <t c="4">
        <n x="152"/>
        <n x="12"/>
        <n x="7"/>
        <n x="1337" s="1"/>
      </t>
    </mdx>
    <mdx n="33" f="v">
      <t c="4">
        <n x="71"/>
        <n x="1"/>
        <n x="7"/>
        <n x="1337" s="1"/>
      </t>
    </mdx>
    <mdx n="33" f="v">
      <t c="6" si="10">
        <n x="15"/>
        <n x="1337" s="1"/>
        <n x="38"/>
        <n x="32"/>
        <n x="29"/>
        <n x="0"/>
      </t>
    </mdx>
    <mdx n="33" f="v">
      <t c="6" si="10">
        <n x="15"/>
        <n x="1337" s="1"/>
        <n x="40"/>
        <n x="32"/>
        <n x="26"/>
        <n x="2"/>
      </t>
    </mdx>
    <mdx n="33" f="v">
      <t c="5" si="10">
        <n x="15"/>
        <n x="1337" s="1"/>
        <n x="8"/>
        <n x="32"/>
        <n x="6"/>
      </t>
    </mdx>
    <mdx n="33" f="v">
      <t c="6">
        <n x="15"/>
        <n x="1337" s="1"/>
        <n x="40"/>
        <n x="7"/>
        <n x="21"/>
        <n x="2"/>
      </t>
    </mdx>
    <mdx n="33" f="v">
      <t c="6" si="10">
        <n x="15"/>
        <n x="1337" s="1"/>
        <n x="44"/>
        <n x="32"/>
        <n x="4"/>
        <n x="3"/>
      </t>
    </mdx>
    <mdx n="33" f="v">
      <t c="4">
        <n x="138"/>
        <n x="12"/>
        <n x="7"/>
        <n x="1337" s="1"/>
      </t>
    </mdx>
    <mdx n="33" f="v">
      <t c="4">
        <n x="99"/>
        <n x="12"/>
        <n x="7"/>
        <n x="1337" s="1"/>
      </t>
    </mdx>
    <mdx n="33" f="v">
      <t c="3">
        <n x="197"/>
        <n x="1336"/>
        <n x="1337" s="1"/>
      </t>
    </mdx>
    <mdx n="33" f="v">
      <t c="3">
        <n x="237"/>
        <n x="1336"/>
        <n x="1337" s="1"/>
      </t>
    </mdx>
    <mdx n="33" f="v">
      <t c="3">
        <n x="269"/>
        <n x="1336"/>
        <n x="1337" s="1"/>
      </t>
    </mdx>
    <mdx n="33" f="v">
      <t c="4">
        <n x="327"/>
        <n x="0"/>
        <n x="32"/>
        <n x="1337" s="1"/>
      </t>
    </mdx>
    <mdx n="33" f="v">
      <t c="4">
        <n x="378"/>
        <n x="12"/>
        <n x="7"/>
        <n x="1337" s="1"/>
      </t>
    </mdx>
    <mdx n="33" f="v">
      <t c="4">
        <n x="428"/>
        <n x="12"/>
        <n x="7"/>
        <n x="1337" s="1"/>
      </t>
    </mdx>
    <mdx n="33" f="v">
      <t c="5" si="10">
        <n x="15"/>
        <n x="1337" s="1"/>
        <n x="40"/>
        <n x="32"/>
        <n x="3"/>
      </t>
    </mdx>
    <mdx n="33" f="v">
      <t c="4">
        <n x="168"/>
        <n x="0"/>
        <n x="7"/>
        <n x="1337" s="1"/>
      </t>
    </mdx>
    <mdx n="33" f="v">
      <t c="4">
        <n x="219"/>
        <n x="1"/>
        <n x="32"/>
        <n x="1337" s="1"/>
      </t>
    </mdx>
    <mdx n="33" f="v">
      <t c="5" si="9">
        <n x="15"/>
        <n x="1337" s="1"/>
        <n x="11"/>
        <n x="7"/>
        <n x="23"/>
      </t>
    </mdx>
    <mdx n="33" f="v">
      <t c="6" si="9">
        <n x="15"/>
        <n x="1337" s="1"/>
        <n x="44"/>
        <n x="7"/>
        <n x="23"/>
        <n x="2"/>
      </t>
    </mdx>
    <mdx n="33" f="v">
      <t c="5" si="9">
        <n x="15"/>
        <n x="1337" s="1"/>
        <n x="37"/>
        <n x="7"/>
        <n x="1"/>
      </t>
    </mdx>
    <mdx n="33" f="v">
      <t c="5" si="10">
        <n x="15"/>
        <n x="1337" s="1"/>
        <n x="42"/>
        <n x="32"/>
        <n x="1"/>
      </t>
    </mdx>
    <mdx n="33" f="v">
      <t c="6" si="10">
        <n x="15"/>
        <n x="1337" s="1"/>
        <n x="44"/>
        <n x="32"/>
        <n x="4"/>
        <n x="2"/>
      </t>
    </mdx>
    <mdx n="33" f="v">
      <t c="4">
        <n x="118"/>
        <n x="12"/>
        <n x="7"/>
        <n x="1337" s="1"/>
      </t>
    </mdx>
    <mdx n="33" f="v">
      <t c="4">
        <n x="79"/>
        <n x="1"/>
        <n x="7"/>
        <n x="1337" s="1"/>
      </t>
    </mdx>
    <mdx n="33" f="v">
      <t c="4">
        <n x="191"/>
        <n x="0"/>
        <n x="7"/>
        <n x="1337" s="1"/>
      </t>
    </mdx>
    <mdx n="33" f="v">
      <t c="4">
        <n x="233"/>
        <n x="14"/>
        <n x="32"/>
        <n x="1337" s="1"/>
      </t>
    </mdx>
    <mdx n="33" f="v">
      <t c="4">
        <n x="265"/>
        <n x="14"/>
        <n x="32"/>
        <n x="1337" s="1"/>
      </t>
    </mdx>
    <mdx n="33" f="v">
      <t c="3">
        <n x="321"/>
        <n x="1336"/>
        <n x="1337" s="1"/>
      </t>
    </mdx>
    <mdx n="33" f="v">
      <t c="4">
        <n x="372"/>
        <n x="1"/>
        <n x="32"/>
        <n x="1337" s="1"/>
      </t>
    </mdx>
    <mdx n="33" f="v">
      <t c="4">
        <n x="422"/>
        <n x="1"/>
        <n x="32"/>
        <n x="1337" s="1"/>
      </t>
    </mdx>
    <mdx n="33" f="v">
      <t c="5" si="10">
        <n x="15"/>
        <n x="1337" s="1"/>
        <n x="37"/>
        <n x="32"/>
        <n x="2"/>
      </t>
    </mdx>
    <mdx n="33" f="v">
      <t c="4">
        <n x="163"/>
        <n x="12"/>
        <n x="7"/>
        <n x="1337" s="1"/>
      </t>
    </mdx>
    <mdx n="33" f="v">
      <t c="3">
        <n x="214"/>
        <n x="1336"/>
        <n x="1337" s="1"/>
      </t>
    </mdx>
    <mdx n="33" f="v">
      <t c="3">
        <n x="1225"/>
        <n x="1336"/>
        <n x="1337" s="1"/>
      </t>
    </mdx>
    <mdx n="33" f="v">
      <t c="5" si="9">
        <n x="15"/>
        <n x="1337" s="1"/>
        <n x="11"/>
        <n x="7"/>
        <n x="27"/>
      </t>
    </mdx>
    <mdx n="33" f="v">
      <t c="6">
        <n x="15"/>
        <n x="1337" s="1"/>
        <n x="41"/>
        <n x="32"/>
        <n x="6"/>
        <n x="3"/>
      </t>
    </mdx>
    <mdx n="33" f="v">
      <t c="6" si="10">
        <n x="15"/>
        <n x="1337" s="1"/>
        <n x="36"/>
        <n x="32"/>
        <n x="26"/>
        <n x="0"/>
      </t>
    </mdx>
    <mdx n="33" f="v">
      <t c="6" si="10">
        <n x="15"/>
        <n x="1337" s="1"/>
        <n x="43"/>
        <n x="32"/>
        <n x="4"/>
        <n x="3"/>
      </t>
    </mdx>
    <mdx n="33" f="v">
      <t c="4">
        <n x="132"/>
        <n x="12"/>
        <n x="7"/>
        <n x="1337" s="1"/>
      </t>
    </mdx>
    <mdx n="33" f="v">
      <t c="4">
        <n x="89"/>
        <n x="11"/>
        <n x="32"/>
        <n x="1337" s="1"/>
      </t>
    </mdx>
    <mdx n="33" f="v">
      <t c="4">
        <n x="195"/>
        <n x="0"/>
        <n x="7"/>
        <n x="1337" s="1"/>
      </t>
    </mdx>
    <mdx n="33" f="v">
      <t c="3">
        <n x="236"/>
        <n x="1336"/>
        <n x="1337" s="1"/>
      </t>
    </mdx>
    <mdx n="33" f="v">
      <t c="3">
        <n x="268"/>
        <n x="1336"/>
        <n x="1337" s="1"/>
      </t>
    </mdx>
    <mdx n="33" f="v">
      <t c="3">
        <n x="325"/>
        <n x="1336"/>
        <n x="1337" s="1"/>
      </t>
    </mdx>
    <mdx n="33" f="v">
      <t c="4">
        <n x="376"/>
        <n x="1"/>
        <n x="32"/>
        <n x="1337" s="1"/>
      </t>
    </mdx>
    <mdx n="33" f="v">
      <t c="4">
        <n x="426"/>
        <n x="1"/>
        <n x="32"/>
        <n x="1337" s="1"/>
      </t>
    </mdx>
    <mdx n="33" f="v">
      <t c="5" si="10">
        <n x="15"/>
        <n x="1337" s="1"/>
        <n x="38"/>
        <n x="32"/>
        <n x="3"/>
      </t>
    </mdx>
    <mdx n="33" f="v">
      <t c="4">
        <n x="167"/>
        <n x="12"/>
        <n x="7"/>
        <n x="1337" s="1"/>
      </t>
    </mdx>
    <mdx n="33" f="v">
      <t c="4">
        <n x="218"/>
        <n x="1"/>
        <n x="32"/>
        <n x="1337" s="1"/>
      </t>
    </mdx>
    <mdx n="33" f="v">
      <t c="4">
        <n x="250"/>
        <n x="1"/>
        <n x="32"/>
        <n x="1337" s="1"/>
      </t>
    </mdx>
    <mdx n="33" f="v">
      <t c="4">
        <n x="286"/>
        <n x="0"/>
        <n x="32"/>
        <n x="1337" s="1"/>
      </t>
    </mdx>
    <mdx n="33" f="v">
      <t c="4">
        <n x="348"/>
        <n x="0"/>
        <n x="32"/>
        <n x="1337" s="1"/>
      </t>
    </mdx>
    <mdx n="33" f="v">
      <t c="6">
        <n x="15"/>
        <n x="1337" s="1"/>
        <n x="38"/>
        <n x="7"/>
        <n x="28"/>
        <n x="3"/>
      </t>
    </mdx>
    <mdx n="33" f="v">
      <t c="6" si="10">
        <n x="15"/>
        <n x="1337" s="1"/>
        <n x="36"/>
        <n x="32"/>
        <n x="4"/>
        <n x="2"/>
      </t>
    </mdx>
    <mdx n="33" f="v">
      <t c="4">
        <n x="230"/>
        <n x="14"/>
        <n x="32"/>
        <n x="1337" s="1"/>
      </t>
    </mdx>
    <mdx n="33" f="v">
      <t c="4">
        <n x="417"/>
        <n x="0"/>
        <n x="7"/>
        <n x="1337" s="1"/>
      </t>
    </mdx>
    <mdx n="33" f="v">
      <t c="4">
        <n x="235"/>
        <n x="1"/>
        <n x="7"/>
        <n x="1337" s="1"/>
      </t>
    </mdx>
    <mdx n="33" f="v">
      <t c="4">
        <n x="278"/>
        <n x="1"/>
        <n x="7"/>
        <n x="1337" s="1"/>
      </t>
    </mdx>
    <mdx n="33" f="v">
      <t c="4">
        <n x="359"/>
        <n x="12"/>
        <n x="7"/>
        <n x="1337" s="1"/>
      </t>
    </mdx>
    <mdx n="33" f="v">
      <t c="4">
        <n x="418"/>
        <n x="0"/>
        <n x="32"/>
        <n x="1337" s="1"/>
      </t>
    </mdx>
    <mdx n="33" f="v">
      <t c="6" si="10">
        <n x="15"/>
        <n x="1337" s="1"/>
        <n x="43"/>
        <n x="32"/>
        <n x="4"/>
        <n x="0"/>
      </t>
    </mdx>
    <mdx n="33" f="v">
      <t c="3">
        <n x="159"/>
        <n x="1336"/>
        <n x="1337" s="1"/>
      </t>
    </mdx>
    <mdx n="33" f="v">
      <t c="4">
        <n x="210"/>
        <n x="1"/>
        <n x="32"/>
        <n x="1337" s="1"/>
      </t>
    </mdx>
    <mdx n="33" f="v">
      <t c="4">
        <n x="245"/>
        <n x="0"/>
        <n x="7"/>
        <n x="1337" s="1"/>
      </t>
    </mdx>
    <mdx n="33" f="v">
      <t c="4">
        <n x="277"/>
        <n x="0"/>
        <n x="7"/>
        <n x="1337" s="1"/>
      </t>
    </mdx>
    <mdx n="33" f="v">
      <t c="4">
        <n x="340"/>
        <n x="12"/>
        <n x="7"/>
        <n x="1337" s="1"/>
      </t>
    </mdx>
    <mdx n="33" f="v">
      <t c="4">
        <n x="390"/>
        <n x="12"/>
        <n x="7"/>
        <n x="1337" s="1"/>
      </t>
    </mdx>
    <mdx n="33" f="v">
      <t c="3">
        <n x="441"/>
        <n x="1336"/>
        <n x="1337" s="1"/>
      </t>
    </mdx>
    <mdx n="33" f="v">
      <t c="4">
        <n x="185"/>
        <n x="12"/>
        <n x="7"/>
        <n x="1337" s="1"/>
      </t>
    </mdx>
    <mdx n="33" f="v">
      <t c="4">
        <n x="366"/>
        <n x="0"/>
        <n x="32"/>
        <n x="1337" s="1"/>
      </t>
    </mdx>
    <mdx n="33" f="v">
      <t c="4" si="9">
        <n x="480"/>
        <n x="0"/>
        <n x="7"/>
        <n x="1337" s="1"/>
      </t>
    </mdx>
    <mdx n="33" f="v">
      <t c="4" si="10">
        <n x="532"/>
        <n x="0"/>
        <n x="32"/>
        <n x="1337" s="1"/>
      </t>
    </mdx>
    <mdx n="33" f="v">
      <t c="4" si="9">
        <n x="583"/>
        <n x="12"/>
        <n x="7"/>
        <n x="1337" s="1"/>
      </t>
    </mdx>
    <mdx n="33" f="v">
      <t c="4">
        <n x="626"/>
        <n x="14"/>
        <n x="32"/>
        <n x="1337" s="1"/>
      </t>
    </mdx>
    <mdx n="33" f="v">
      <t c="4">
        <n x="649"/>
        <n x="11"/>
        <n x="7"/>
        <n x="1337" s="1"/>
      </t>
    </mdx>
    <mdx n="33" f="v">
      <t c="4" si="9">
        <n x="673"/>
        <n x="12"/>
        <n x="7"/>
        <n x="1337" s="1"/>
      </t>
    </mdx>
    <mdx n="33" f="v">
      <t c="4">
        <n x="189"/>
        <n x="12"/>
        <n x="7"/>
        <n x="1337" s="1"/>
      </t>
    </mdx>
    <mdx n="33" f="v">
      <t c="4">
        <n x="370"/>
        <n x="0"/>
        <n x="32"/>
        <n x="1337" s="1"/>
      </t>
    </mdx>
    <mdx n="33" f="v">
      <t c="4" si="9">
        <n x="481"/>
        <n x="0"/>
        <n x="7"/>
        <n x="1337" s="1"/>
      </t>
    </mdx>
    <mdx n="33" f="v">
      <t c="4" si="10">
        <n x="533"/>
        <n x="0"/>
        <n x="32"/>
        <n x="1337" s="1"/>
      </t>
    </mdx>
    <mdx n="33" f="v">
      <t c="4" si="9">
        <n x="584"/>
        <n x="12"/>
        <n x="7"/>
        <n x="1337" s="1"/>
      </t>
    </mdx>
    <mdx n="33" f="v">
      <t c="4" si="10">
        <n x="627"/>
        <n x="0"/>
        <n x="32"/>
        <n x="1337" s="1"/>
      </t>
    </mdx>
    <mdx n="33" f="v">
      <t c="4" si="10">
        <n x="1324"/>
        <n x="1"/>
        <n x="32"/>
        <n x="1337" s="1"/>
      </t>
    </mdx>
    <mdx n="33" f="v">
      <t c="5" si="10">
        <n x="15"/>
        <n x="1337" s="1"/>
        <n x="39"/>
        <n x="32"/>
        <n x="0"/>
      </t>
    </mdx>
    <mdx n="33" f="v">
      <t c="4">
        <n x="224"/>
        <n x="14"/>
        <n x="32"/>
        <n x="1337" s="1"/>
      </t>
    </mdx>
    <mdx n="33" f="v">
      <t c="4">
        <n x="408"/>
        <n x="12"/>
        <n x="7"/>
        <n x="1337" s="1"/>
      </t>
    </mdx>
    <mdx n="33" f="v">
      <t c="4">
        <n x="233"/>
        <n x="1"/>
        <n x="7"/>
        <n x="1337" s="1"/>
      </t>
    </mdx>
    <mdx n="33" f="v">
      <t c="4">
        <n x="276"/>
        <n x="1"/>
        <n x="7"/>
        <n x="1337" s="1"/>
      </t>
    </mdx>
    <mdx n="33" f="v">
      <t c="4">
        <n x="356"/>
        <n x="0"/>
        <n x="32"/>
        <n x="1337" s="1"/>
      </t>
    </mdx>
    <mdx n="33" f="v">
      <t c="4" si="10">
        <n x="415"/>
        <n x="1"/>
        <n x="32"/>
        <n x="1337" s="1"/>
      </t>
    </mdx>
    <mdx n="33" f="v">
      <t c="5" si="10">
        <n x="15"/>
        <n x="1337" s="1"/>
        <n x="47"/>
        <n x="32"/>
        <n x="12"/>
      </t>
    </mdx>
    <mdx n="33" f="v">
      <t c="4">
        <n x="157"/>
        <n x="0"/>
        <n x="32"/>
        <n x="1337" s="1"/>
      </t>
    </mdx>
    <mdx n="33" f="v">
      <t c="4">
        <n x="208"/>
        <n x="12"/>
        <n x="7"/>
        <n x="1337" s="1"/>
      </t>
    </mdx>
    <mdx n="33" f="v">
      <t c="4">
        <n x="244"/>
        <n x="0"/>
        <n x="32"/>
        <n x="1337" s="1"/>
      </t>
    </mdx>
    <mdx n="33" f="v">
      <t c="4">
        <n x="276"/>
        <n x="0"/>
        <n x="32"/>
        <n x="1337" s="1"/>
      </t>
    </mdx>
    <mdx n="33" f="v">
      <t c="4">
        <n x="337"/>
        <n x="0"/>
        <n x="7"/>
        <n x="1337" s="1"/>
      </t>
    </mdx>
    <mdx n="33" f="v">
      <t c="4">
        <n x="387"/>
        <n x="0"/>
        <n x="7"/>
        <n x="1337" s="1"/>
      </t>
    </mdx>
    <mdx n="33" f="v">
      <t c="4">
        <n x="439"/>
        <n x="0"/>
        <n x="32"/>
        <n x="1337" s="1"/>
      </t>
    </mdx>
    <mdx n="33" f="v">
      <t c="4">
        <n x="175"/>
        <n x="1"/>
        <n x="32"/>
        <n x="1337" s="1"/>
      </t>
    </mdx>
    <mdx n="33" f="v">
      <t c="4" si="10">
        <n x="1139"/>
        <n x="14"/>
        <n x="32"/>
        <n x="1337" s="1"/>
      </t>
    </mdx>
    <mdx n="33" f="v">
      <t c="4">
        <n x="1222"/>
        <n x="11"/>
        <n x="32"/>
        <n x="1337" s="1"/>
      </t>
    </mdx>
    <mdx n="33" f="v">
      <t c="4" si="10">
        <n x="1279"/>
        <n x="14"/>
        <n x="32"/>
        <n x="1337" s="1"/>
      </t>
    </mdx>
    <mdx n="33" f="v">
      <t c="6" si="10">
        <n x="15"/>
        <n x="1337" s="1"/>
        <n x="38"/>
        <n x="32"/>
        <n x="24"/>
        <n x="0"/>
      </t>
    </mdx>
    <mdx n="33" f="v">
      <t c="3">
        <n x="1292"/>
        <n x="1336"/>
        <n x="1337" s="1"/>
      </t>
    </mdx>
    <mdx n="33" f="v">
      <t c="6" si="10">
        <n x="15"/>
        <n x="1337" s="1"/>
        <n x="34"/>
        <n x="32"/>
        <n x="6"/>
        <n x="12"/>
      </t>
    </mdx>
    <mdx n="33" f="v">
      <t c="5" si="10">
        <n x="15"/>
        <n x="1337" s="1"/>
        <n x="13"/>
        <n x="32"/>
        <n x="20"/>
      </t>
    </mdx>
    <mdx n="33" f="v">
      <t c="4">
        <n x="65"/>
        <n x="11"/>
        <n x="32"/>
        <n x="1337" s="1"/>
      </t>
    </mdx>
    <mdx n="33" f="v">
      <t c="5" si="10">
        <n x="15"/>
        <n x="1337" s="1"/>
        <n x="42"/>
        <n x="32"/>
        <n x="2"/>
      </t>
    </mdx>
    <mdx n="33" f="v">
      <t c="4">
        <n x="194"/>
        <n x="12"/>
        <n x="7"/>
        <n x="1337" s="1"/>
      </t>
    </mdx>
    <mdx n="33" f="v">
      <t c="4">
        <n x="375"/>
        <n x="0"/>
        <n x="32"/>
        <n x="1337" s="1"/>
      </t>
    </mdx>
    <mdx n="33" f="v">
      <t c="4">
        <n x="216"/>
        <n x="0"/>
        <n x="7"/>
        <n x="1337" s="1"/>
      </t>
    </mdx>
    <mdx n="33" f="v">
      <t c="5" si="10">
        <n x="15"/>
        <n x="1337" s="1"/>
        <n x="36"/>
        <n x="32"/>
        <n x="0"/>
      </t>
    </mdx>
    <mdx n="33" f="v">
      <t c="4">
        <n x="188"/>
        <n x="1"/>
        <n x="32"/>
        <n x="1337" s="1"/>
      </t>
    </mdx>
    <mdx n="33" f="v">
      <t c="3">
        <n x="369"/>
        <n x="1336"/>
        <n x="1337" s="1"/>
      </t>
    </mdx>
    <mdx n="33" f="v">
      <t c="4">
        <n x="211"/>
        <n x="12"/>
        <n x="7"/>
        <n x="1337" s="1"/>
      </t>
    </mdx>
    <mdx n="33" f="v">
      <t c="6" si="9">
        <n x="15"/>
        <n x="1337" s="1"/>
        <n x="39"/>
        <n x="7"/>
        <n x="6"/>
        <n x="1"/>
      </t>
    </mdx>
    <mdx n="33" f="v">
      <t c="4">
        <n x="192"/>
        <n x="1"/>
        <n x="32"/>
        <n x="1337" s="1"/>
      </t>
    </mdx>
    <mdx n="33" f="v">
      <t c="3">
        <n x="373"/>
        <n x="1336"/>
        <n x="1337" s="1"/>
      </t>
    </mdx>
    <mdx n="33" f="v">
      <t c="4">
        <n x="215"/>
        <n x="12"/>
        <n x="7"/>
        <n x="1337" s="1"/>
      </t>
    </mdx>
    <mdx n="33" f="v">
      <t c="4" si="10">
        <n x="1283"/>
        <n x="14"/>
        <n x="32"/>
        <n x="1337" s="1"/>
      </t>
    </mdx>
    <mdx n="33" f="v">
      <t c="4">
        <n x="232"/>
        <n x="1"/>
        <n x="7"/>
        <n x="1337" s="1"/>
      </t>
    </mdx>
    <mdx n="33" f="v">
      <t c="5" si="9">
        <n x="15"/>
        <n x="1337" s="1"/>
        <n x="14"/>
        <n x="7"/>
        <n x="6"/>
      </t>
    </mdx>
    <mdx n="33" f="v">
      <t c="4">
        <n x="275"/>
        <n x="0"/>
        <n x="7"/>
        <n x="1337" s="1"/>
      </t>
    </mdx>
    <mdx n="33" f="v">
      <t c="3">
        <n x="172"/>
        <n x="1336"/>
        <n x="1337" s="1"/>
      </t>
    </mdx>
    <mdx n="33" f="v">
      <t c="4" si="10">
        <n x="580"/>
        <n x="0"/>
        <n x="32"/>
        <n x="1337" s="1"/>
      </t>
    </mdx>
    <mdx n="33" f="v">
      <t c="3">
        <n x="176"/>
        <n x="1336"/>
        <n x="1337" s="1"/>
      </t>
    </mdx>
    <mdx n="33" f="v">
      <t c="4" si="10">
        <n x="581"/>
        <n x="0"/>
        <n x="32"/>
        <n x="1337" s="1"/>
      </t>
    </mdx>
    <mdx n="33" f="v">
      <t c="4">
        <n x="215"/>
        <n x="0"/>
        <n x="7"/>
        <n x="1337" s="1"/>
      </t>
    </mdx>
    <mdx n="33" f="v">
      <t c="4">
        <n x="252"/>
        <n x="1"/>
        <n x="7"/>
        <n x="1337" s="1"/>
      </t>
    </mdx>
    <mdx n="33" f="v">
      <t c="4">
        <n x="343"/>
        <n x="12"/>
        <n x="7"/>
        <n x="1337" s="1"/>
      </t>
    </mdx>
    <mdx n="33" f="v">
      <t c="4">
        <n x="422"/>
        <n x="0"/>
        <n x="32"/>
        <n x="1337" s="1"/>
      </t>
    </mdx>
    <mdx n="33" f="v">
      <t c="4">
        <n x="63"/>
        <n x="0"/>
        <n x="32"/>
        <n x="1337" s="1"/>
      </t>
    </mdx>
    <mdx n="33" f="v">
      <t c="4">
        <n x="198"/>
        <n x="1"/>
        <n x="32"/>
        <n x="1337" s="1"/>
      </t>
    </mdx>
    <mdx n="33" f="v">
      <t c="4">
        <n x="248"/>
        <n x="0"/>
        <n x="32"/>
        <n x="1337" s="1"/>
      </t>
    </mdx>
    <mdx n="33" f="v">
      <t c="4">
        <n x="309"/>
        <n x="0"/>
        <n x="32"/>
        <n x="1337" s="1"/>
      </t>
    </mdx>
    <mdx n="33" f="v">
      <t c="3">
        <n x="379"/>
        <n x="1336"/>
        <n x="1337" s="1"/>
      </t>
    </mdx>
    <mdx n="33" f="v">
      <t c="3">
        <n x="445"/>
        <n x="1336"/>
        <n x="1337" s="1"/>
      </t>
    </mdx>
    <mdx n="33" f="v">
      <t c="4">
        <n x="247"/>
        <n x="11"/>
        <n x="32"/>
        <n x="1337" s="1"/>
      </t>
    </mdx>
    <mdx n="33" f="v">
      <t c="4" si="10">
        <n x="449"/>
        <n x="0"/>
        <n x="32"/>
        <n x="1337" s="1"/>
      </t>
    </mdx>
    <mdx n="33" f="v">
      <t c="4">
        <n x="504"/>
        <n x="0"/>
        <n x="32"/>
        <n x="1337" s="1"/>
      </t>
    </mdx>
    <mdx n="33" f="v">
      <t c="4">
        <n x="555"/>
        <n x="12"/>
        <n x="7"/>
        <n x="1337" s="1"/>
      </t>
    </mdx>
    <mdx n="33" f="v">
      <t c="3">
        <n x="606"/>
        <n x="1336"/>
        <n x="1337" s="1"/>
      </t>
    </mdx>
    <mdx n="33" f="v">
      <t c="4">
        <n x="637"/>
        <n x="12"/>
        <n x="7"/>
        <n x="1337" s="1"/>
      </t>
    </mdx>
    <mdx n="33" f="v">
      <t c="4">
        <n x="660"/>
        <n x="0"/>
        <n x="7"/>
        <n x="1337" s="1"/>
      </t>
    </mdx>
    <mdx n="33" f="v">
      <t c="4">
        <n x="683"/>
        <n x="1"/>
        <n x="7"/>
        <n x="1337" s="1"/>
      </t>
    </mdx>
    <mdx n="33" f="v">
      <t c="4">
        <n x="258"/>
        <n x="12"/>
        <n x="7"/>
        <n x="1337" s="1"/>
      </t>
    </mdx>
    <mdx n="33" f="v">
      <t c="3">
        <n x="450"/>
        <n x="1336"/>
        <n x="1337" s="1"/>
      </t>
    </mdx>
    <mdx n="33" f="v">
      <t c="4" si="10">
        <n x="505"/>
        <n x="0"/>
        <n x="32"/>
        <n x="1337" s="1"/>
      </t>
    </mdx>
    <mdx n="33" f="v">
      <t c="4">
        <n x="556"/>
        <n x="12"/>
        <n x="7"/>
        <n x="1337" s="1"/>
      </t>
    </mdx>
    <mdx n="33" f="v">
      <t c="3">
        <n x="607"/>
        <n x="1336"/>
        <n x="1337" s="1"/>
      </t>
    </mdx>
    <mdx n="33" f="v">
      <t c="4" si="10">
        <n x="637"/>
        <n x="14"/>
        <n x="32"/>
        <n x="1337" s="1"/>
      </t>
    </mdx>
    <mdx n="33" f="v">
      <t c="6" si="9">
        <n x="15"/>
        <n x="1337" s="1"/>
        <n x="42"/>
        <n x="7"/>
        <n x="23"/>
        <n x="3"/>
      </t>
    </mdx>
    <mdx n="33" f="v">
      <t c="4">
        <n x="124"/>
        <n x="12"/>
        <n x="7"/>
        <n x="1337" s="1"/>
      </t>
    </mdx>
    <mdx n="33" f="v">
      <t c="4">
        <n x="266"/>
        <n x="14"/>
        <n x="32"/>
        <n x="1337" s="1"/>
      </t>
    </mdx>
    <mdx n="33" f="v">
      <t c="5" si="10">
        <n x="15"/>
        <n x="1337" s="1"/>
        <n x="44"/>
        <n x="32"/>
        <n x="2"/>
      </t>
    </mdx>
    <mdx n="33" f="v">
      <t c="4">
        <n x="247"/>
        <n x="1"/>
        <n x="7"/>
        <n x="1337" s="1"/>
      </t>
    </mdx>
    <mdx n="33" f="v">
      <t c="3">
        <n x="310"/>
        <n x="1336"/>
        <n x="1337" s="1"/>
      </t>
    </mdx>
    <mdx n="33" f="v">
      <t c="3">
        <n x="378"/>
        <n x="1336"/>
        <n x="1337" s="1"/>
      </t>
    </mdx>
    <mdx n="33" f="v">
      <t c="3">
        <n x="432"/>
        <n x="1336"/>
        <n x="1337" s="1"/>
      </t>
    </mdx>
    <mdx n="33" f="v">
      <t c="4">
        <n x="51"/>
        <n x="1"/>
        <n x="7"/>
        <n x="1337" s="1"/>
      </t>
    </mdx>
    <mdx n="33" f="v">
      <t c="4">
        <n x="173"/>
        <n x="0"/>
        <n x="7"/>
        <n x="1337" s="1"/>
      </t>
    </mdx>
    <mdx n="33" f="v">
      <t c="4">
        <n x="222"/>
        <n x="0"/>
        <n x="7"/>
        <n x="1337" s="1"/>
      </t>
    </mdx>
    <mdx n="33" f="v">
      <t c="4">
        <n x="254"/>
        <n x="0"/>
        <n x="7"/>
        <n x="1337" s="1"/>
      </t>
    </mdx>
    <mdx n="33" f="v">
      <t c="4">
        <n x="302"/>
        <n x="12"/>
        <n x="7"/>
        <n x="1337" s="1"/>
      </t>
    </mdx>
    <mdx n="33" f="v">
      <t c="4">
        <n x="354"/>
        <n x="1"/>
        <n x="32"/>
        <n x="1337" s="1"/>
      </t>
    </mdx>
    <mdx n="33" f="v">
      <t c="4">
        <n x="404"/>
        <n x="1"/>
        <n x="32"/>
        <n x="1337" s="1"/>
      </t>
    </mdx>
    <mdx n="33" f="v">
      <t c="4">
        <n x="455"/>
        <n x="0"/>
        <n x="7"/>
        <n x="1337" s="1"/>
      </t>
    </mdx>
    <mdx n="33" f="v">
      <t c="4">
        <n x="233"/>
        <n x="11"/>
        <n x="32"/>
        <n x="1337" s="1"/>
      </t>
    </mdx>
    <mdx n="33" f="v">
      <t c="3">
        <n x="422"/>
        <n x="1336"/>
        <n x="1337" s="1"/>
      </t>
    </mdx>
    <mdx n="33" f="v">
      <t c="4" si="9">
        <n x="495"/>
        <n x="12"/>
        <n x="7"/>
        <n x="1337" s="1"/>
      </t>
    </mdx>
    <mdx n="33" f="v">
      <t c="3" fi="0">
        <n x="546"/>
        <n x="1336"/>
        <n x="1337" s="1"/>
      </t>
    </mdx>
    <mdx n="33" f="v">
      <t c="4" si="10">
        <n x="597"/>
        <n x="1"/>
        <n x="32"/>
        <n x="1337" s="1"/>
      </t>
    </mdx>
    <mdx n="33" f="v">
      <t c="4">
        <n x="633"/>
        <n x="12"/>
        <n x="7"/>
        <n x="1337" s="1"/>
      </t>
    </mdx>
    <mdx n="33" f="v">
      <t c="4">
        <n x="656"/>
        <n x="0"/>
        <n x="7"/>
        <n x="1337" s="1"/>
      </t>
    </mdx>
    <mdx n="33" f="v">
      <t c="4">
        <n x="679"/>
        <n x="1"/>
        <n x="7"/>
        <n x="1337" s="1"/>
      </t>
    </mdx>
    <mdx n="33" f="v">
      <t c="4">
        <n x="236"/>
        <n x="12"/>
        <n x="7"/>
        <n x="1337" s="1"/>
      </t>
    </mdx>
    <mdx n="33" f="v">
      <t c="3">
        <n x="426"/>
        <n x="1336"/>
        <n x="1337" s="1"/>
      </t>
    </mdx>
    <mdx n="33" f="v">
      <t c="4">
        <n x="496"/>
        <n x="12"/>
        <n x="7"/>
        <n x="1337" s="1"/>
      </t>
    </mdx>
    <mdx n="33" f="v">
      <t c="3" fi="0">
        <n x="547"/>
        <n x="1336"/>
        <n x="1337" s="1"/>
      </t>
    </mdx>
    <mdx n="33" f="v">
      <t c="4">
        <n x="420"/>
        <n x="12"/>
        <n x="7"/>
        <n x="1337" s="1"/>
      </t>
    </mdx>
    <mdx n="33" f="v">
      <t c="4">
        <n x="51"/>
        <n x="11"/>
        <n x="32"/>
        <n x="1337" s="1"/>
      </t>
    </mdx>
    <mdx n="33" f="v">
      <t c="4">
        <n x="173"/>
        <n x="1"/>
        <n x="32"/>
        <n x="1337" s="1"/>
      </t>
    </mdx>
    <mdx n="33" f="v">
      <t c="4">
        <n x="222"/>
        <n x="1"/>
        <n x="32"/>
        <n x="1337" s="1"/>
      </t>
    </mdx>
    <mdx n="33" f="v">
      <t c="4">
        <n x="254"/>
        <n x="1"/>
        <n x="32"/>
        <n x="1337" s="1"/>
      </t>
    </mdx>
    <mdx n="33" f="v">
      <t c="4">
        <n x="302"/>
        <n x="0"/>
        <n x="32"/>
        <n x="1337" s="1"/>
      </t>
    </mdx>
    <mdx n="33" f="v">
      <t c="3">
        <n x="354"/>
        <n x="1336"/>
        <n x="1337" s="1"/>
      </t>
    </mdx>
    <mdx n="33" f="v">
      <t c="6" si="10">
        <n x="15"/>
        <n x="1337" s="1"/>
        <n x="40"/>
        <n x="32"/>
        <n x="20"/>
        <n x="0"/>
      </t>
    </mdx>
    <mdx n="33" f="v">
      <t c="4">
        <n x="62"/>
        <n x="0"/>
        <n x="32"/>
        <n x="1337" s="1"/>
      </t>
    </mdx>
    <mdx n="33" f="v">
      <t c="4">
        <n x="246"/>
        <n x="14"/>
        <n x="32"/>
        <n x="1337" s="1"/>
      </t>
    </mdx>
    <mdx n="33" f="v">
      <t c="3">
        <n x="443"/>
        <n x="1336"/>
        <n x="1337" s="1"/>
      </t>
    </mdx>
    <mdx n="33" f="v">
      <t c="4">
        <n x="241"/>
        <n x="1"/>
        <n x="32"/>
        <n x="1337" s="1"/>
      </t>
    </mdx>
    <mdx n="33" f="v">
      <t c="4">
        <n x="292"/>
        <n x="0"/>
        <n x="32"/>
        <n x="1337" s="1"/>
      </t>
    </mdx>
    <mdx n="33" f="v">
      <t c="4">
        <n x="368"/>
        <n x="0"/>
        <n x="32"/>
        <n x="1337" s="1"/>
      </t>
    </mdx>
    <mdx n="33" f="v">
      <t c="3">
        <n x="424"/>
        <n x="1336"/>
        <n x="1337" s="1"/>
      </t>
    </mdx>
    <mdx n="33" f="v">
      <t c="6">
        <n x="15"/>
        <n x="1337" s="1"/>
        <n x="41"/>
        <n x="7"/>
        <n x="4"/>
        <n x="3"/>
      </t>
    </mdx>
    <mdx n="33" f="v">
      <t c="4">
        <n x="165"/>
        <n x="0"/>
        <n x="7"/>
        <n x="1337" s="1"/>
      </t>
    </mdx>
    <mdx n="33" f="v">
      <t c="4">
        <n x="217"/>
        <n x="0"/>
        <n x="32"/>
        <n x="1337" s="1"/>
      </t>
    </mdx>
    <mdx n="33" f="v">
      <t c="4">
        <n x="249"/>
        <n x="0"/>
        <n x="7"/>
        <n x="1337" s="1"/>
      </t>
    </mdx>
    <mdx n="33" f="v">
      <t c="4">
        <n x="282"/>
        <n x="12"/>
        <n x="7"/>
        <n x="1337" s="1"/>
      </t>
    </mdx>
    <mdx n="33" f="v">
      <t c="4">
        <n x="346"/>
        <n x="1"/>
        <n x="32"/>
        <n x="1337" s="1"/>
      </t>
    </mdx>
    <mdx n="33" f="v">
      <t c="4">
        <n x="396"/>
        <n x="1"/>
        <n x="32"/>
        <n x="1337" s="1"/>
      </t>
    </mdx>
    <mdx n="33" f="v">
      <t c="4">
        <n x="447"/>
        <n x="0"/>
        <n x="7"/>
        <n x="1337" s="1"/>
      </t>
    </mdx>
    <mdx n="33" f="v">
      <t c="4">
        <n x="210"/>
        <n x="0"/>
        <n x="7"/>
        <n x="1337" s="1"/>
      </t>
    </mdx>
    <mdx n="33" f="v">
      <t c="3">
        <n x="390"/>
        <n x="1336"/>
        <n x="1337" s="1"/>
      </t>
    </mdx>
    <mdx n="33" f="v">
      <t c="4" si="9">
        <n x="487"/>
        <n x="12"/>
        <n x="7"/>
        <n x="1337" s="1"/>
      </t>
    </mdx>
    <mdx n="33" f="v">
      <t c="3" fi="0">
        <n x="538"/>
        <n x="1336"/>
        <n x="1337" s="1"/>
      </t>
    </mdx>
    <mdx n="33" f="v">
      <t c="4" si="10">
        <n x="589"/>
        <n x="1"/>
        <n x="32"/>
        <n x="1337" s="1"/>
      </t>
    </mdx>
    <mdx n="33" f="v">
      <t c="4">
        <n x="629"/>
        <n x="11"/>
        <n x="32"/>
        <n x="1337" s="1"/>
      </t>
    </mdx>
    <mdx n="33" f="v">
      <t c="4">
        <n x="652"/>
        <n x="12"/>
        <n x="32"/>
        <n x="1337" s="1"/>
      </t>
    </mdx>
    <mdx n="33" f="v">
      <t c="4" si="10">
        <n x="676"/>
        <n x="0"/>
        <n x="32"/>
        <n x="1337" s="1"/>
      </t>
    </mdx>
    <mdx n="33" f="v">
      <t c="4">
        <n x="214"/>
        <n x="0"/>
        <n x="7"/>
        <n x="1337" s="1"/>
      </t>
    </mdx>
    <mdx n="33" f="v">
      <t c="3">
        <n x="394"/>
        <n x="1336"/>
        <n x="1337" s="1"/>
      </t>
    </mdx>
    <mdx n="33" f="v">
      <t c="4" si="9">
        <n x="488"/>
        <n x="12"/>
        <n x="7"/>
        <n x="1337" s="1"/>
      </t>
    </mdx>
    <mdx n="33" f="v">
      <t c="3" fi="0">
        <n x="539"/>
        <n x="1336"/>
        <n x="1337" s="1"/>
      </t>
    </mdx>
    <mdx n="33" f="v">
      <t c="4" si="10">
        <n x="590"/>
        <n x="1"/>
        <n x="32"/>
        <n x="1337" s="1"/>
      </t>
    </mdx>
    <mdx n="33" f="v">
      <t c="4">
        <n x="629"/>
        <n x="14"/>
        <n x="7"/>
        <n x="1337" s="1"/>
      </t>
    </mdx>
    <mdx n="33" f="v">
      <t c="6">
        <n x="15"/>
        <n x="1337" s="1"/>
        <n x="36"/>
        <n x="7"/>
        <n x="24"/>
        <n x="2"/>
      </t>
    </mdx>
    <mdx n="33" f="v">
      <t c="4">
        <n x="49"/>
        <n x="12"/>
        <n x="7"/>
        <n x="1337" s="1"/>
      </t>
    </mdx>
    <mdx n="33" f="v">
      <t c="4">
        <n x="240"/>
        <n x="14"/>
        <n x="32"/>
        <n x="1337" s="1"/>
      </t>
    </mdx>
    <mdx n="33" f="v">
      <t c="4">
        <n x="433"/>
        <n x="0"/>
        <n x="7"/>
        <n x="1337" s="1"/>
      </t>
    </mdx>
    <mdx n="33" f="v">
      <t c="4">
        <n x="1152"/>
        <n x="11"/>
        <n x="7"/>
        <n x="1337" s="1"/>
      </t>
    </mdx>
    <mdx n="33" f="v">
      <t c="3">
        <n x="1305"/>
        <n x="1336"/>
        <n x="1337" s="1"/>
      </t>
    </mdx>
    <mdx n="33" f="v">
      <t c="6" si="9">
        <n x="15"/>
        <n x="1337" s="1"/>
        <n x="35"/>
        <n x="7"/>
        <n x="24"/>
        <n x="12"/>
      </t>
    </mdx>
    <mdx n="33" f="v">
      <t c="6" si="10">
        <n x="15"/>
        <n x="1337" s="1"/>
        <n x="40"/>
        <n x="32"/>
        <n x="24"/>
        <n x="1"/>
      </t>
    </mdx>
    <mdx n="33" f="v">
      <t c="6" si="9">
        <n x="15"/>
        <n x="1337" s="1"/>
        <n x="44"/>
        <n x="7"/>
        <n x="30"/>
        <n x="1"/>
      </t>
    </mdx>
    <mdx n="33" f="v">
      <t c="6" si="10">
        <n x="15"/>
        <n x="1337" s="1"/>
        <n x="41"/>
        <n x="32"/>
        <n x="18"/>
        <n x="0"/>
      </t>
    </mdx>
    <mdx n="33" f="v">
      <t c="6" si="10">
        <n x="15"/>
        <n x="1337" s="1"/>
        <n x="44"/>
        <n x="32"/>
        <n x="17"/>
        <n x="3"/>
      </t>
    </mdx>
    <mdx n="33" f="v">
      <t c="5" si="10">
        <n x="15"/>
        <n x="1337" s="1"/>
        <n x="11"/>
        <n x="32"/>
        <n x="20"/>
      </t>
    </mdx>
    <mdx n="33" f="v">
      <t c="6" si="10">
        <n x="15"/>
        <n x="1337" s="1"/>
        <n x="37"/>
        <n x="32"/>
        <n x="24"/>
        <n x="1"/>
      </t>
    </mdx>
    <mdx n="33" f="v">
      <t c="6" si="9">
        <n x="15"/>
        <n x="1337" s="1"/>
        <n x="36"/>
        <n x="7"/>
        <n x="26"/>
        <n x="0"/>
      </t>
    </mdx>
    <mdx n="33" f="v">
      <t c="6" si="9">
        <n x="15"/>
        <n x="1337" s="1"/>
        <n x="38"/>
        <n x="7"/>
        <n x="16"/>
        <n x="0"/>
      </t>
    </mdx>
    <mdx n="33" f="v">
      <t c="4">
        <n x="117"/>
        <n x="12"/>
        <n x="7"/>
        <n x="1337" s="1"/>
      </t>
    </mdx>
    <mdx n="33" f="v">
      <t c="5" si="9">
        <n x="15"/>
        <n x="1337" s="1"/>
        <n x="13"/>
        <n x="7"/>
        <n x="4"/>
      </t>
    </mdx>
    <mdx n="33" f="v">
      <t c="6" si="10">
        <n x="15"/>
        <n x="1337" s="1"/>
        <n x="44"/>
        <n x="32"/>
        <n x="20"/>
        <n x="2"/>
      </t>
    </mdx>
    <mdx n="33" f="v">
      <t c="4" si="10">
        <n x="1217"/>
        <n x="1"/>
        <n x="32"/>
        <n x="1337" s="1"/>
      </t>
    </mdx>
    <mdx n="33" f="v">
      <t c="6" si="10">
        <n x="15"/>
        <n x="1337" s="1"/>
        <n x="41"/>
        <n x="32"/>
        <n x="17"/>
        <n x="1"/>
      </t>
    </mdx>
    <mdx n="33" f="v">
      <t c="6" si="10">
        <n x="15"/>
        <n x="1337" s="1"/>
        <n x="43"/>
        <n x="32"/>
        <n x="26"/>
        <n x="1"/>
      </t>
    </mdx>
    <mdx n="33" f="v">
      <t c="6" si="9">
        <n x="15"/>
        <n x="1337" s="1"/>
        <n x="44"/>
        <n x="7"/>
        <n x="22"/>
        <n x="0"/>
      </t>
    </mdx>
    <mdx n="33" f="v">
      <t c="6">
        <n x="15"/>
        <n x="1337" s="1"/>
        <n x="42"/>
        <n x="7"/>
        <n x="26"/>
        <n x="3"/>
      </t>
    </mdx>
    <mdx n="33" f="v">
      <t c="6" si="10">
        <n x="15"/>
        <n x="1337" s="1"/>
        <n x="40"/>
        <n x="32"/>
        <n x="19"/>
        <n x="1"/>
      </t>
    </mdx>
    <mdx n="33" f="v">
      <t c="6" si="10">
        <n x="15"/>
        <n x="1337" s="1"/>
        <n x="42"/>
        <n x="32"/>
        <n x="19"/>
        <n x="1"/>
      </t>
    </mdx>
    <mdx n="33" f="v">
      <t c="6" si="9">
        <n x="15"/>
        <n x="1337" s="1"/>
        <n x="40"/>
        <n x="7"/>
        <n x="4"/>
        <n x="1"/>
      </t>
    </mdx>
    <mdx n="33" f="v">
      <t c="4">
        <n x="96"/>
        <n x="0"/>
        <n x="32"/>
        <n x="1337" s="1"/>
      </t>
    </mdx>
    <mdx n="33" f="v">
      <t c="6" si="10">
        <n x="15"/>
        <n x="1337" s="1"/>
        <n x="37"/>
        <n x="32"/>
        <n x="16"/>
        <n x="2"/>
      </t>
    </mdx>
    <mdx n="33" f="v">
      <t c="6" si="10">
        <n x="15"/>
        <n x="1337" s="1"/>
        <n x="40"/>
        <n x="32"/>
        <n x="4"/>
        <n x="1"/>
      </t>
    </mdx>
    <mdx n="33" f="v">
      <t c="6" si="10">
        <n x="15"/>
        <n x="1337" s="1"/>
        <n x="38"/>
        <n x="32"/>
        <n x="20"/>
        <n x="3"/>
      </t>
    </mdx>
    <mdx n="33" f="v">
      <t c="6" si="10">
        <n x="15"/>
        <n x="1337" s="1"/>
        <n x="40"/>
        <n x="32"/>
        <n x="6"/>
        <n x="1"/>
      </t>
    </mdx>
    <mdx n="33" f="v">
      <t c="4">
        <n x="77"/>
        <n x="12"/>
        <n x="7"/>
        <n x="1337" s="1"/>
      </t>
    </mdx>
    <mdx n="33" f="v">
      <t c="6" si="9">
        <n x="15"/>
        <n x="1337" s="1"/>
        <n x="34"/>
        <n x="7"/>
        <n x="16"/>
        <n x="12"/>
      </t>
    </mdx>
    <mdx n="33" f="v">
      <t c="4">
        <n x="107"/>
        <n x="12"/>
        <n x="7"/>
        <n x="1337" s="1"/>
      </t>
    </mdx>
    <mdx n="33" f="v">
      <t c="6" si="10">
        <n x="15"/>
        <n x="1337" s="1"/>
        <n x="35"/>
        <n x="32"/>
        <n x="26"/>
        <n x="12"/>
      </t>
    </mdx>
    <mdx n="33" f="v">
      <t c="6">
        <n x="15"/>
        <n x="1337" s="1"/>
        <n x="41"/>
        <n x="7"/>
        <n x="17"/>
        <n x="2"/>
      </t>
    </mdx>
    <mdx n="33" f="v">
      <t c="4">
        <n x="98"/>
        <n x="0"/>
        <n x="32"/>
        <n x="1337" s="1"/>
      </t>
    </mdx>
    <mdx n="33" f="v">
      <t c="6" si="10">
        <n x="15"/>
        <n x="1337" s="1"/>
        <n x="44"/>
        <n x="32"/>
        <n x="18"/>
        <n x="3"/>
      </t>
    </mdx>
    <mdx n="33" f="v">
      <t c="4">
        <n x="58"/>
        <n x="1"/>
        <n x="7"/>
        <n x="1337" s="1"/>
      </t>
    </mdx>
    <mdx n="33" f="v">
      <t c="6" si="10">
        <n x="15"/>
        <n x="1337" s="1"/>
        <n x="44"/>
        <n x="32"/>
        <n x="26"/>
        <n x="0"/>
      </t>
    </mdx>
    <mdx n="33" f="v">
      <t c="4">
        <n x="159"/>
        <n x="0"/>
        <n x="32"/>
        <n x="1337" s="1"/>
      </t>
    </mdx>
    <mdx n="33" f="v">
      <t c="4">
        <n x="210"/>
        <n x="12"/>
        <n x="7"/>
        <n x="1337" s="1"/>
      </t>
    </mdx>
    <mdx n="33" f="v">
      <t c="3">
        <n x="245"/>
        <n x="1336"/>
        <n x="1337" s="1"/>
      </t>
    </mdx>
    <mdx n="33" f="v">
      <t c="3">
        <n x="277"/>
        <n x="1336"/>
        <n x="1337" s="1"/>
      </t>
    </mdx>
    <mdx n="33" f="v">
      <t c="4">
        <n x="339"/>
        <n x="0"/>
        <n x="7"/>
        <n x="1337" s="1"/>
      </t>
    </mdx>
    <mdx n="33" f="v">
      <t c="4">
        <n x="389"/>
        <n x="0"/>
        <n x="7"/>
        <n x="1337" s="1"/>
      </t>
    </mdx>
    <mdx n="33" f="v">
      <t c="4">
        <n x="441"/>
        <n x="0"/>
        <n x="32"/>
        <n x="1337" s="1"/>
      </t>
    </mdx>
    <mdx n="33" f="v">
      <t c="4">
        <n x="67"/>
        <n x="11"/>
        <n x="32"/>
        <n x="1337" s="1"/>
      </t>
    </mdx>
    <mdx n="33" f="v">
      <t c="4">
        <n x="181"/>
        <n x="1"/>
        <n x="32"/>
        <n x="1337" s="1"/>
      </t>
    </mdx>
    <mdx n="33" f="v">
      <t c="4">
        <n x="227"/>
        <n x="1"/>
        <n x="32"/>
        <n x="1337" s="1"/>
      </t>
    </mdx>
    <mdx n="33" f="v">
      <t c="6" si="10">
        <n x="15"/>
        <n x="1337" s="1"/>
        <n x="43"/>
        <n x="32"/>
        <n x="27"/>
        <n x="2"/>
      </t>
    </mdx>
    <mdx n="33" f="v">
      <t c="6">
        <n x="15"/>
        <n x="1337" s="1"/>
        <n x="34"/>
        <n x="32"/>
        <n x="20"/>
        <n x="12"/>
      </t>
    </mdx>
    <mdx n="33" f="v">
      <t c="4">
        <n x="71"/>
        <n x="12"/>
        <n x="7"/>
        <n x="1337" s="1"/>
      </t>
    </mdx>
    <mdx n="33" f="v">
      <t c="6" si="10">
        <n x="15"/>
        <n x="1337" s="1"/>
        <n x="36"/>
        <n x="32"/>
        <n x="16"/>
        <n x="0"/>
      </t>
    </mdx>
    <mdx n="33" f="v">
      <t c="4">
        <n x="50"/>
        <n x="1"/>
        <n x="7"/>
        <n x="1337" s="1"/>
      </t>
    </mdx>
    <mdx n="33" f="v">
      <t c="5" si="10">
        <n x="15"/>
        <n x="1337" s="1"/>
        <n x="8"/>
        <n x="32"/>
        <n x="22"/>
      </t>
    </mdx>
    <mdx n="33" f="v">
      <t c="4">
        <n x="147"/>
        <n x="0"/>
        <n x="32"/>
        <n x="1337" s="1"/>
      </t>
    </mdx>
    <mdx n="33" f="v">
      <t c="4" si="10">
        <n x="204"/>
        <n x="1"/>
        <n x="32"/>
        <n x="1337" s="1"/>
      </t>
    </mdx>
    <mdx n="33" f="v">
      <t c="4">
        <n x="241"/>
        <n x="14"/>
        <n x="32"/>
        <n x="1337" s="1"/>
      </t>
    </mdx>
    <mdx n="33" f="v">
      <t c="4">
        <n x="273"/>
        <n x="14"/>
        <n x="32"/>
        <n x="1337" s="1"/>
      </t>
    </mdx>
    <mdx n="33" f="v">
      <t c="4">
        <n x="334"/>
        <n x="12"/>
        <n x="7"/>
        <n x="1337" s="1"/>
      </t>
    </mdx>
    <mdx n="33" f="v">
      <t c="3">
        <n x="385"/>
        <n x="1336"/>
        <n x="1337" s="1"/>
      </t>
    </mdx>
    <mdx n="33" f="v">
      <t c="3">
        <n x="435"/>
        <n x="1336"/>
        <n x="1337" s="1"/>
      </t>
    </mdx>
    <mdx n="33" f="v">
      <t c="4">
        <n x="56"/>
        <n x="12"/>
        <n x="7"/>
        <n x="1337" s="1"/>
      </t>
    </mdx>
    <mdx n="33" f="v">
      <t c="4">
        <n x="176"/>
        <n x="0"/>
        <n x="32"/>
        <n x="1337" s="1"/>
      </t>
    </mdx>
    <mdx n="33" f="v">
      <t c="4">
        <n x="223"/>
        <n x="1"/>
        <n x="7"/>
        <n x="1337" s="1"/>
      </t>
    </mdx>
    <mdx n="33" f="v">
      <t c="5" si="10">
        <n x="15"/>
        <n x="1337" s="1"/>
        <n x="11"/>
        <n x="32"/>
        <n x="23"/>
      </t>
    </mdx>
    <mdx n="33" f="v">
      <t c="6" si="10">
        <n x="15"/>
        <n x="1337" s="1"/>
        <n x="37"/>
        <n x="32"/>
        <n x="16"/>
        <n x="1"/>
      </t>
    </mdx>
    <mdx n="33" f="v">
      <t c="4">
        <n x="87"/>
        <n x="12"/>
        <n x="7"/>
        <n x="1337" s="1"/>
      </t>
    </mdx>
    <mdx n="33" f="v">
      <t c="6">
        <n x="15"/>
        <n x="1337" s="1"/>
        <n x="43"/>
        <n x="7"/>
        <n x="17"/>
        <n x="2"/>
      </t>
    </mdx>
    <mdx n="33" f="v">
      <t c="4">
        <n x="56"/>
        <n x="11"/>
        <n x="32"/>
        <n x="1337" s="1"/>
      </t>
    </mdx>
    <mdx n="33" f="v">
      <t c="6">
        <n x="15"/>
        <n x="1337" s="1"/>
        <n x="41"/>
        <n x="32"/>
        <n x="23"/>
        <n x="2"/>
      </t>
    </mdx>
    <mdx n="33" f="v">
      <t c="3">
        <n x="157"/>
        <n x="1336"/>
        <n x="1337" s="1"/>
      </t>
    </mdx>
    <mdx n="33" f="v">
      <t c="4">
        <n x="208"/>
        <n x="1"/>
        <n x="32"/>
        <n x="1337" s="1"/>
      </t>
    </mdx>
    <mdx n="33" f="v">
      <t c="3">
        <n x="244"/>
        <n x="1336"/>
        <n x="1337" s="1"/>
      </t>
    </mdx>
    <mdx n="33" f="v">
      <t c="3">
        <n x="276"/>
        <n x="1336"/>
        <n x="1337" s="1"/>
      </t>
    </mdx>
    <mdx n="33" f="v">
      <t c="4">
        <n x="338"/>
        <n x="12"/>
        <n x="7"/>
        <n x="1337" s="1"/>
      </t>
    </mdx>
    <mdx n="33" f="v">
      <t c="4">
        <n x="388"/>
        <n x="12"/>
        <n x="7"/>
        <n x="1337" s="1"/>
      </t>
    </mdx>
    <mdx n="33" f="v">
      <t c="3">
        <n x="439"/>
        <n x="1336"/>
        <n x="1337" s="1"/>
      </t>
    </mdx>
    <mdx n="33" f="v">
      <t c="4">
        <n x="64"/>
        <n x="12"/>
        <n x="7"/>
        <n x="1337" s="1"/>
      </t>
    </mdx>
    <mdx n="33" f="v">
      <t c="4">
        <n x="180"/>
        <n x="0"/>
        <n x="32"/>
        <n x="1337" s="1"/>
      </t>
    </mdx>
    <mdx n="33" f="v">
      <t c="4">
        <n x="226"/>
        <n x="1"/>
        <n x="32"/>
        <n x="1337" s="1"/>
      </t>
    </mdx>
    <mdx n="33" f="v">
      <t c="4">
        <n x="258"/>
        <n x="1"/>
        <n x="32"/>
        <n x="1337" s="1"/>
      </t>
    </mdx>
    <mdx n="33" f="v">
      <t c="4">
        <n x="309"/>
        <n x="1"/>
        <n x="32"/>
        <n x="1337" s="1"/>
      </t>
    </mdx>
    <mdx n="33" f="v">
      <t c="4">
        <n x="360"/>
        <n x="0"/>
        <n x="7"/>
        <n x="1337" s="1"/>
      </t>
    </mdx>
    <mdx n="33" f="v">
      <t c="6" si="9">
        <n x="15"/>
        <n x="1337" s="1"/>
        <n x="36"/>
        <n x="7"/>
        <n x="23"/>
        <n x="1"/>
      </t>
    </mdx>
    <mdx n="33" f="v">
      <t c="4">
        <n x="103"/>
        <n x="0"/>
        <n x="32"/>
        <n x="1337" s="1"/>
      </t>
    </mdx>
    <mdx n="33" f="v">
      <t c="4">
        <n x="262"/>
        <n x="14"/>
        <n x="32"/>
        <n x="1337" s="1"/>
      </t>
    </mdx>
    <mdx n="33" f="v">
      <t c="6" si="9">
        <n x="15"/>
        <n x="1337" s="1"/>
        <n x="37"/>
        <n x="7"/>
        <n x="4"/>
        <n x="0"/>
      </t>
    </mdx>
    <mdx n="33" f="v">
      <t c="4">
        <n x="246"/>
        <n x="1"/>
        <n x="7"/>
        <n x="1337" s="1"/>
      </t>
    </mdx>
    <mdx n="33" f="v">
      <t c="4">
        <n x="308"/>
        <n x="0"/>
        <n x="32"/>
        <n x="1337" s="1"/>
      </t>
    </mdx>
    <mdx n="33" f="v">
      <t c="4">
        <n x="376"/>
        <n x="0"/>
        <n x="32"/>
        <n x="1337" s="1"/>
      </t>
    </mdx>
    <mdx n="33" f="v">
      <t c="4">
        <n x="430"/>
        <n x="0"/>
        <n x="7"/>
        <n x="1337" s="1"/>
      </t>
    </mdx>
    <mdx n="33" f="v">
      <t c="4">
        <n x="48"/>
        <n x="14"/>
        <n x="32"/>
        <n x="1337" s="1"/>
      </t>
    </mdx>
    <mdx n="33" f="v">
      <t c="4">
        <n x="172"/>
        <n x="12"/>
        <n x="7"/>
        <n x="1337" s="1"/>
      </t>
    </mdx>
    <mdx n="33" f="v">
      <t c="4">
        <n x="221"/>
        <n x="0"/>
        <n x="7"/>
        <n x="1337" s="1"/>
      </t>
    </mdx>
    <mdx n="33" f="v">
      <t c="4">
        <n x="253"/>
        <n x="0"/>
        <n x="7"/>
        <n x="1337" s="1"/>
      </t>
    </mdx>
    <mdx n="33" f="v">
      <t c="4">
        <n x="298"/>
        <n x="12"/>
        <n x="7"/>
        <n x="1337" s="1"/>
      </t>
    </mdx>
    <mdx n="33" f="v">
      <t c="4">
        <n x="353"/>
        <n x="0"/>
        <n x="32"/>
        <n x="1337" s="1"/>
      </t>
    </mdx>
    <mdx n="33" f="v">
      <t c="4">
        <n x="403"/>
        <n x="0"/>
        <n x="32"/>
        <n x="1337" s="1"/>
      </t>
    </mdx>
    <mdx n="33" f="v">
      <t c="4">
        <n x="454"/>
        <n x="12"/>
        <n x="7"/>
        <n x="1337" s="1"/>
      </t>
    </mdx>
    <mdx n="33" f="v">
      <t c="4">
        <n x="229"/>
        <n x="11"/>
        <n x="32"/>
        <n x="1337" s="1"/>
      </t>
    </mdx>
    <mdx n="33" f="v">
      <t c="4" si="10">
        <n x="416"/>
        <n x="0"/>
        <n x="32"/>
        <n x="1337" s="1"/>
      </t>
    </mdx>
    <mdx n="33" f="v">
      <t c="4" si="10">
        <n x="493"/>
        <n x="1"/>
        <n x="32"/>
        <n x="1337" s="1"/>
      </t>
    </mdx>
    <mdx n="33" f="v">
      <t c="4" si="9">
        <n x="544"/>
        <n x="0"/>
        <n x="7"/>
        <n x="1337" s="1"/>
      </t>
    </mdx>
    <mdx n="33" f="v">
      <t c="4" si="10">
        <n x="596"/>
        <n x="0"/>
        <n x="32"/>
        <n x="1337" s="1"/>
      </t>
    </mdx>
    <mdx n="33" f="v">
      <t c="4">
        <n x="632"/>
        <n x="0"/>
        <n x="7"/>
        <n x="1337" s="1"/>
      </t>
    </mdx>
    <mdx n="33" f="v">
      <t c="4">
        <n x="655"/>
        <n x="1"/>
        <n x="7"/>
        <n x="1337" s="1"/>
      </t>
    </mdx>
    <mdx n="33" f="v">
      <t c="4">
        <n x="678"/>
        <n x="14"/>
        <n x="7"/>
        <n x="1337" s="1"/>
      </t>
    </mdx>
    <mdx n="33" f="v">
      <t c="4">
        <n x="232"/>
        <n x="12"/>
        <n x="7"/>
        <n x="1337" s="1"/>
      </t>
    </mdx>
    <mdx n="33" f="v">
      <t c="4">
        <n x="420"/>
        <n x="0"/>
        <n x="32"/>
        <n x="1337" s="1"/>
      </t>
    </mdx>
    <mdx n="33" f="v">
      <t c="4" si="10">
        <n x="494"/>
        <n x="1"/>
        <n x="32"/>
        <n x="1337" s="1"/>
      </t>
    </mdx>
    <mdx n="33" f="v">
      <t c="4">
        <n x="545"/>
        <n x="0"/>
        <n x="7"/>
        <n x="1337" s="1"/>
      </t>
    </mdx>
    <mdx n="33" f="v">
      <t c="4" si="10">
        <n x="597"/>
        <n x="0"/>
        <n x="32"/>
        <n x="1337" s="1"/>
      </t>
    </mdx>
    <mdx n="33" f="v">
      <t c="4">
        <n x="632"/>
        <n x="11"/>
        <n x="7"/>
        <n x="1337" s="1"/>
      </t>
    </mdx>
    <mdx n="33" f="v">
      <t c="6" si="10">
        <n x="15"/>
        <n x="1337" s="1"/>
        <n x="43"/>
        <n x="32"/>
        <n x="31"/>
        <n x="0"/>
      </t>
    </mdx>
    <mdx n="33" f="v">
      <t c="4">
        <n x="82"/>
        <n x="1"/>
        <n x="7"/>
        <n x="1337" s="1"/>
      </t>
    </mdx>
    <mdx n="33" f="v">
      <t c="4">
        <n x="256"/>
        <n x="14"/>
        <n x="32"/>
        <n x="1337" s="1"/>
      </t>
    </mdx>
    <mdx n="33" f="v">
      <t c="6" si="10">
        <n x="15"/>
        <n x="1337" s="1"/>
        <n x="36"/>
        <n x="32"/>
        <n x="16"/>
        <n x="3"/>
      </t>
    </mdx>
    <mdx n="33" f="v">
      <t c="4">
        <n x="244"/>
        <n x="1"/>
        <n x="7"/>
        <n x="1337" s="1"/>
      </t>
    </mdx>
    <mdx n="33" f="v">
      <t c="4">
        <n x="304"/>
        <n x="0"/>
        <n x="7"/>
        <n x="1337" s="1"/>
      </t>
    </mdx>
    <mdx n="33" f="v">
      <t c="4">
        <n x="372"/>
        <n x="0"/>
        <n x="7"/>
        <n x="1337" s="1"/>
      </t>
    </mdx>
    <mdx n="33" f="v">
      <t c="3">
        <n x="428"/>
        <n x="1336"/>
        <n x="1337" s="1"/>
      </t>
    </mdx>
    <mdx n="33" f="v">
      <t c="6">
        <n x="15"/>
        <n x="1337" s="1"/>
        <n x="38"/>
        <n x="7"/>
        <n x="6"/>
        <n x="2"/>
      </t>
    </mdx>
    <mdx n="33" f="v">
      <t c="4">
        <n x="169"/>
        <n x="0"/>
        <n x="7"/>
        <n x="1337" s="1"/>
      </t>
    </mdx>
    <mdx n="33" f="v">
      <t c="4">
        <n x="220"/>
        <n x="0"/>
        <n x="32"/>
        <n x="1337" s="1"/>
      </t>
    </mdx>
    <mdx n="33" f="v">
      <t c="4">
        <n x="252"/>
        <n x="0"/>
        <n x="32"/>
        <n x="1337" s="1"/>
      </t>
    </mdx>
    <mdx n="33" f="v">
      <t c="4">
        <n x="292"/>
        <n x="12"/>
        <n x="7"/>
        <n x="1337" s="1"/>
      </t>
    </mdx>
    <mdx n="33" f="v">
      <t c="4">
        <n x="350"/>
        <n x="1"/>
        <n x="32"/>
        <n x="1337" s="1"/>
      </t>
    </mdx>
    <mdx n="33" f="v">
      <t c="4">
        <n x="400"/>
        <n x="1"/>
        <n x="32"/>
        <n x="1337" s="1"/>
      </t>
    </mdx>
    <mdx n="33" f="v">
      <t c="4">
        <n x="451"/>
        <n x="0"/>
        <n x="7"/>
        <n x="1337" s="1"/>
      </t>
    </mdx>
    <mdx n="33" f="v">
      <t c="4">
        <n x="223"/>
        <n x="11"/>
        <n x="32"/>
        <n x="1337" s="1"/>
      </t>
    </mdx>
    <mdx n="33" f="v">
      <t c="6" si="10">
        <n x="15"/>
        <n x="1337" s="1"/>
        <n x="37"/>
        <n x="32"/>
        <n x="29"/>
        <n x="2"/>
      </t>
    </mdx>
    <mdx n="33" f="v">
      <t c="6">
        <n x="15"/>
        <n x="1337" s="1"/>
        <n x="38"/>
        <n x="7"/>
        <n x="19"/>
        <n x="3"/>
      </t>
    </mdx>
    <mdx n="33" f="v">
      <t c="6">
        <n x="15"/>
        <n x="1337" s="1"/>
        <n x="42"/>
        <n x="7"/>
        <n x="29"/>
        <n x="2"/>
      </t>
    </mdx>
    <mdx n="33" f="v">
      <t c="3">
        <n x="1267"/>
        <n x="1336"/>
        <n x="1337" s="1"/>
      </t>
    </mdx>
    <mdx n="33" f="v">
      <t c="6" si="9">
        <n x="15"/>
        <n x="1337" s="1"/>
        <n x="37"/>
        <n x="7"/>
        <n x="23"/>
        <n x="1"/>
      </t>
    </mdx>
    <mdx n="33" f="v">
      <t c="4">
        <n x="70"/>
        <n x="11"/>
        <n x="32"/>
        <n x="1337" s="1"/>
      </t>
    </mdx>
    <mdx n="33" f="v">
      <t c="6" si="10">
        <n x="15"/>
        <n x="1337" s="1"/>
        <n x="41"/>
        <n x="32"/>
        <n x="4"/>
        <n x="0"/>
      </t>
    </mdx>
    <mdx n="33" f="v">
      <t c="6" si="10">
        <n x="15"/>
        <n x="1337" s="1"/>
        <n x="45"/>
        <n x="32"/>
        <n x="17"/>
        <n x="12"/>
      </t>
    </mdx>
    <mdx n="33" f="v">
      <t c="6" si="10">
        <n x="15"/>
        <n x="1337" s="1"/>
        <n x="37"/>
        <n x="32"/>
        <n x="4"/>
        <n x="3"/>
      </t>
    </mdx>
    <mdx n="33" f="v">
      <t c="3">
        <n x="235"/>
        <n x="1336"/>
        <n x="1337" s="1"/>
      </t>
    </mdx>
    <mdx n="33" f="v">
      <t c="4">
        <n x="425"/>
        <n x="0"/>
        <n x="32"/>
        <n x="1337" s="1"/>
      </t>
    </mdx>
    <mdx n="33" f="v">
      <t c="6" si="9">
        <n x="15"/>
        <n x="1337" s="1"/>
        <n x="38"/>
        <n x="7"/>
        <n x="27"/>
        <n x="0"/>
      </t>
    </mdx>
    <mdx n="33" f="v">
      <t c="6" si="9">
        <n x="15"/>
        <n x="1337" s="1"/>
        <n x="42"/>
        <n x="7"/>
        <n x="4"/>
        <n x="2"/>
      </t>
    </mdx>
    <mdx n="33" f="v">
      <t c="4">
        <n x="231"/>
        <n x="14"/>
        <n x="32"/>
        <n x="1337" s="1"/>
      </t>
    </mdx>
    <mdx n="33" f="v">
      <t c="3">
        <n x="419"/>
        <n x="1336"/>
        <n x="1337" s="1"/>
      </t>
    </mdx>
    <mdx n="33" f="v">
      <t c="5" si="9">
        <n x="15"/>
        <n x="1337" s="1"/>
        <n x="14"/>
        <n x="7"/>
        <n x="17"/>
      </t>
    </mdx>
    <mdx n="33" f="v">
      <t c="6" si="10">
        <n x="15"/>
        <n x="1337" s="1"/>
        <n x="40"/>
        <n x="32"/>
        <n x="4"/>
        <n x="2"/>
      </t>
    </mdx>
    <mdx n="33" f="v">
      <t c="3">
        <n x="234"/>
        <n x="1336"/>
        <n x="1337" s="1"/>
      </t>
    </mdx>
    <mdx n="33" f="v">
      <t c="3">
        <n x="423"/>
        <n x="1336"/>
        <n x="1337" s="1"/>
      </t>
    </mdx>
    <mdx n="33" f="v">
      <t c="4">
        <n x="248"/>
        <n x="1"/>
        <n x="32"/>
        <n x="1337" s="1"/>
      </t>
    </mdx>
    <mdx n="33" f="v">
      <t c="5" si="9">
        <n x="15"/>
        <n x="1337" s="1"/>
        <n x="37"/>
        <n x="7"/>
        <n x="0"/>
      </t>
    </mdx>
    <mdx n="33" f="v">
      <t c="4">
        <n x="275"/>
        <n x="1"/>
        <n x="7"/>
        <n x="1337" s="1"/>
      </t>
    </mdx>
    <mdx n="33" f="v">
      <t c="3">
        <n x="156"/>
        <n x="1336"/>
        <n x="1337" s="1"/>
      </t>
    </mdx>
    <mdx n="33" f="v">
      <t c="4">
        <n x="337"/>
        <n x="0"/>
        <n x="32"/>
        <n x="1337" s="1"/>
      </t>
    </mdx>
    <mdx n="33" f="v">
      <t c="4">
        <n x="353"/>
        <n x="12"/>
        <n x="7"/>
        <n x="1337" s="1"/>
      </t>
    </mdx>
    <mdx n="33" f="v">
      <t c="4">
        <n x="625"/>
        <n x="12"/>
        <n x="7"/>
        <n x="1337" s="1"/>
      </t>
    </mdx>
    <mdx n="33" f="v">
      <t c="4">
        <n x="357"/>
        <n x="12"/>
        <n x="7"/>
        <n x="1337" s="1"/>
      </t>
    </mdx>
    <mdx n="33" f="v">
      <t c="4" si="10">
        <n x="625"/>
        <n x="14"/>
        <n x="32"/>
        <n x="1337" s="1"/>
      </t>
    </mdx>
    <mdx n="33" f="v">
      <t c="3">
        <n x="395"/>
        <n x="1336"/>
        <n x="1337" s="1"/>
      </t>
    </mdx>
    <mdx n="33" f="v">
      <t c="4">
        <n x="268"/>
        <n x="1"/>
        <n x="7"/>
        <n x="1337" s="1"/>
      </t>
    </mdx>
    <mdx n="33" f="v">
      <t c="4">
        <n x="364"/>
        <n x="0"/>
        <n x="7"/>
        <n x="1337" s="1"/>
      </t>
    </mdx>
    <mdx n="33" f="v">
      <t c="4">
        <n x="438"/>
        <n x="0"/>
        <n x="32"/>
        <n x="1337" s="1"/>
      </t>
    </mdx>
    <mdx n="33" f="v">
      <t c="4">
        <n x="117"/>
        <n x="0"/>
        <n x="32"/>
        <n x="1337" s="1"/>
      </t>
    </mdx>
    <mdx n="33" f="v">
      <t c="4">
        <n x="214"/>
        <n x="1"/>
        <n x="32"/>
        <n x="1337" s="1"/>
      </t>
    </mdx>
    <mdx n="33" f="v">
      <t c="4">
        <n x="258"/>
        <n x="0"/>
        <n x="32"/>
        <n x="1337" s="1"/>
      </t>
    </mdx>
    <mdx n="33" f="v">
      <t c="4">
        <n x="328"/>
        <n x="12"/>
        <n x="7"/>
        <n x="1337" s="1"/>
      </t>
    </mdx>
    <mdx n="33" f="v">
      <t c="4">
        <n x="394"/>
        <n x="12"/>
        <n x="7"/>
        <n x="1337" s="1"/>
      </t>
    </mdx>
    <mdx n="33" f="v">
      <t c="3">
        <n x="461"/>
        <n x="1336"/>
        <n x="1337" s="1"/>
      </t>
    </mdx>
    <mdx n="33" f="v">
      <t c="4">
        <n x="305"/>
        <n x="12"/>
        <n x="7"/>
        <n x="1337" s="1"/>
      </t>
    </mdx>
    <mdx n="33" f="v">
      <t c="4" si="10">
        <n x="466"/>
        <n x="0"/>
        <n x="32"/>
        <n x="1337" s="1"/>
      </t>
    </mdx>
    <mdx n="33" f="v">
      <t c="4">
        <n x="516"/>
        <n x="0"/>
        <n x="7"/>
        <n x="1337" s="1"/>
      </t>
    </mdx>
    <mdx n="33" f="v">
      <t c="4" si="10">
        <n x="568"/>
        <n x="0"/>
        <n x="32"/>
        <n x="1337" s="1"/>
      </t>
    </mdx>
    <mdx n="33" f="v">
      <t c="4">
        <n x="619"/>
        <n x="12"/>
        <n x="7"/>
        <n x="1337" s="1"/>
      </t>
    </mdx>
    <mdx n="33" f="v">
      <t c="4">
        <n x="642"/>
        <n x="14"/>
        <n x="7"/>
        <n x="1337" s="1"/>
      </t>
    </mdx>
    <mdx n="33" f="v">
      <t c="3">
        <n x="666"/>
        <n x="1336"/>
        <n x="1337" s="1"/>
      </t>
    </mdx>
    <mdx n="33" f="v">
      <t c="4">
        <n x="63"/>
        <n x="11"/>
        <n x="32"/>
        <n x="1337" s="1"/>
      </t>
    </mdx>
    <mdx n="33" f="v">
      <t c="4">
        <n x="309"/>
        <n x="12"/>
        <n x="7"/>
        <n x="1337" s="1"/>
      </t>
    </mdx>
    <mdx n="33" f="v">
      <t c="3">
        <n x="467"/>
        <n x="1336"/>
        <n x="1337" s="1"/>
      </t>
    </mdx>
    <mdx n="33" f="v">
      <t c="4">
        <n x="517"/>
        <n x="0"/>
        <n x="7"/>
        <n x="1337" s="1"/>
      </t>
    </mdx>
    <mdx n="33" f="v">
      <t c="4" si="10">
        <n x="569"/>
        <n x="0"/>
        <n x="32"/>
        <n x="1337" s="1"/>
      </t>
    </mdx>
    <mdx n="33" f="v">
      <t c="4">
        <n x="620"/>
        <n x="11"/>
        <n x="32"/>
        <n x="1337" s="1"/>
      </t>
    </mdx>
    <mdx n="33" f="v">
      <t c="4">
        <n x="643"/>
        <n x="0"/>
        <n x="7"/>
        <n x="1337" s="1"/>
      </t>
    </mdx>
    <mdx n="33" f="v">
      <t c="6" si="9">
        <n x="15"/>
        <n x="1337" s="1"/>
        <n x="40"/>
        <n x="7"/>
        <n x="6"/>
        <n x="1"/>
      </t>
    </mdx>
    <mdx n="33" f="v">
      <t c="4">
        <n x="83"/>
        <n x="0"/>
        <n x="32"/>
        <n x="1337" s="1"/>
      </t>
    </mdx>
    <mdx n="33" f="v">
      <t c="4">
        <n x="323"/>
        <n x="0"/>
        <n x="32"/>
        <n x="1337" s="1"/>
      </t>
    </mdx>
    <mdx n="33" f="v">
      <t c="4">
        <n x="164"/>
        <n x="0"/>
        <n x="7"/>
        <n x="1337" s="1"/>
      </t>
    </mdx>
    <mdx n="33" f="v">
      <t c="4">
        <n x="258"/>
        <n x="1"/>
        <n x="7"/>
        <n x="1337" s="1"/>
      </t>
    </mdx>
    <mdx n="33" f="v">
      <t c="4">
        <n x="327"/>
        <n x="12"/>
        <n x="7"/>
        <n x="1337" s="1"/>
      </t>
    </mdx>
    <mdx n="33" f="v">
      <t c="4">
        <n x="394"/>
        <n x="0"/>
        <n x="32"/>
        <n x="1337" s="1"/>
      </t>
    </mdx>
    <mdx n="33" f="v">
      <t c="3">
        <n x="1262"/>
        <n x="1336"/>
        <n x="1337" s="1"/>
      </t>
    </mdx>
    <mdx n="33" f="v">
      <t c="4">
        <n x="77"/>
        <n x="11"/>
        <n x="32"/>
        <n x="1337" s="1"/>
      </t>
    </mdx>
    <mdx n="33" f="v">
      <t c="4">
        <n x="186"/>
        <n x="1"/>
        <n x="32"/>
        <n x="1337" s="1"/>
      </t>
    </mdx>
    <mdx n="33" f="v">
      <t c="4">
        <n x="230"/>
        <n x="0"/>
        <n x="7"/>
        <n x="1337" s="1"/>
      </t>
    </mdx>
    <mdx n="33" f="v">
      <t c="4">
        <n x="262"/>
        <n x="0"/>
        <n x="7"/>
        <n x="1337" s="1"/>
      </t>
    </mdx>
    <mdx n="33" f="v">
      <t c="4">
        <n x="316"/>
        <n x="12"/>
        <n x="7"/>
        <n x="1337" s="1"/>
      </t>
    </mdx>
    <mdx n="33" f="v">
      <t c="3">
        <n x="367"/>
        <n x="1336"/>
        <n x="1337" s="1"/>
      </t>
    </mdx>
    <mdx n="33" f="v">
      <t c="3">
        <n x="417"/>
        <n x="1336"/>
        <n x="1337" s="1"/>
      </t>
    </mdx>
    <mdx n="33" f="v">
      <t c="6" si="10">
        <n x="15"/>
        <n x="1337" s="1"/>
        <n x="36"/>
        <n x="32"/>
        <n x="23"/>
        <n x="1"/>
      </t>
    </mdx>
    <mdx n="33" f="v">
      <t c="4">
        <n x="265"/>
        <n x="11"/>
        <n x="32"/>
        <n x="1337" s="1"/>
      </t>
    </mdx>
    <mdx n="33" f="v">
      <t c="3">
        <n x="454"/>
        <n x="1336"/>
        <n x="1337" s="1"/>
      </t>
    </mdx>
    <mdx n="33" f="v">
      <t c="4" si="10">
        <n x="508"/>
        <n x="0"/>
        <n x="32"/>
        <n x="1337" s="1"/>
      </t>
    </mdx>
    <mdx n="33" f="v">
      <t c="4">
        <n x="559"/>
        <n x="12"/>
        <n x="7"/>
        <n x="1337" s="1"/>
      </t>
    </mdx>
    <mdx n="33" f="v">
      <t c="3">
        <n x="610"/>
        <n x="1336"/>
        <n x="1337" s="1"/>
      </t>
    </mdx>
    <mdx n="33" f="v">
      <t c="4">
        <n x="638"/>
        <n x="14"/>
        <n x="7"/>
        <n x="1337" s="1"/>
      </t>
    </mdx>
    <mdx n="33" f="v">
      <t c="3">
        <n x="662"/>
        <n x="1336"/>
        <n x="1337" s="1"/>
      </t>
    </mdx>
    <mdx n="33" f="v">
      <t c="6" si="10">
        <n x="15"/>
        <n x="1337" s="1"/>
        <n x="39"/>
        <n x="32"/>
        <n x="20"/>
        <n x="0"/>
      </t>
    </mdx>
    <mdx n="33" f="v">
      <t c="4">
        <n x="268"/>
        <n x="12"/>
        <n x="7"/>
        <n x="1337" s="1"/>
      </t>
    </mdx>
    <mdx n="33" f="v">
      <t c="4">
        <n x="455"/>
        <n x="1"/>
        <n x="32"/>
        <n x="1337" s="1"/>
      </t>
    </mdx>
    <mdx n="33" f="v">
      <t c="4">
        <n x="509"/>
        <n x="0"/>
        <n x="32"/>
        <n x="1337" s="1"/>
      </t>
    </mdx>
    <mdx n="33" f="v">
      <t c="4">
        <n x="560"/>
        <n x="12"/>
        <n x="7"/>
        <n x="1337" s="1"/>
      </t>
    </mdx>
    <mdx n="33" f="v">
      <t c="3">
        <n x="611"/>
        <n x="1336"/>
        <n x="1337" s="1"/>
      </t>
    </mdx>
    <mdx n="33" f="v">
      <t c="4">
        <n x="639"/>
        <n x="0"/>
        <n x="7"/>
        <n x="1337" s="1"/>
      </t>
    </mdx>
    <mdx n="33" f="v">
      <t c="4">
        <n x="662"/>
        <n x="1"/>
        <n x="7"/>
        <n x="1337" s="1"/>
      </t>
    </mdx>
    <mdx n="33" f="v">
      <t c="4">
        <n x="224"/>
        <n x="11"/>
        <n x="32"/>
        <n x="1337" s="1"/>
      </t>
    </mdx>
    <mdx n="33" f="v">
      <t c="4" si="10">
        <n x="1220"/>
        <n x="1"/>
        <n x="32"/>
        <n x="1337" s="1"/>
      </t>
    </mdx>
    <mdx n="33" f="v">
      <t c="4">
        <n x="77"/>
        <n x="0"/>
        <n x="32"/>
        <n x="1337" s="1"/>
      </t>
    </mdx>
    <mdx n="33" f="v">
      <t c="3">
        <n x="186"/>
        <n x="1336"/>
        <n x="1337" s="1"/>
      </t>
    </mdx>
    <mdx n="33" f="v">
      <t c="4">
        <n x="230"/>
        <n x="1"/>
        <n x="32"/>
        <n x="1337" s="1"/>
      </t>
    </mdx>
    <mdx n="33" f="v">
      <t c="4">
        <n x="262"/>
        <n x="1"/>
        <n x="32"/>
        <n x="1337" s="1"/>
      </t>
    </mdx>
    <mdx n="33" f="v">
      <t c="4">
        <n x="316"/>
        <n x="0"/>
        <n x="32"/>
        <n x="1337" s="1"/>
      </t>
    </mdx>
    <mdx n="33" f="v">
      <t c="4">
        <n x="367"/>
        <n x="12"/>
        <n x="7"/>
        <n x="1337" s="1"/>
      </t>
    </mdx>
    <mdx n="33" f="v">
      <t c="6" si="9">
        <n x="15"/>
        <n x="1337" s="1"/>
        <n x="38"/>
        <n x="7"/>
        <n x="18"/>
        <n x="3"/>
      </t>
    </mdx>
    <mdx n="33" f="v">
      <t c="6" si="10">
        <n x="15"/>
        <n x="1337" s="1"/>
        <n x="39"/>
        <n x="32"/>
        <n x="17"/>
        <n x="1"/>
      </t>
    </mdx>
    <mdx n="33" f="v">
      <t c="4">
        <n x="278"/>
        <n x="14"/>
        <n x="32"/>
        <n x="1337" s="1"/>
      </t>
    </mdx>
    <mdx n="33" f="v">
      <t c="4">
        <n x="72"/>
        <n x="12"/>
        <n x="7"/>
        <n x="1337" s="1"/>
      </t>
    </mdx>
    <mdx n="33" f="v">
      <t c="4">
        <n x="251"/>
        <n x="1"/>
        <n x="7"/>
        <n x="1337" s="1"/>
      </t>
    </mdx>
    <mdx n="33" f="v">
      <t c="4">
        <n x="316"/>
        <n x="0"/>
        <n x="7"/>
        <n x="1337" s="1"/>
      </t>
    </mdx>
    <mdx n="33" f="v">
      <t c="4">
        <n x="384"/>
        <n x="0"/>
        <n x="7"/>
        <n x="1337" s="1"/>
      </t>
    </mdx>
    <mdx n="33" f="v">
      <t c="4">
        <n x="437"/>
        <n x="12"/>
        <n x="7"/>
        <n x="1337" s="1"/>
      </t>
    </mdx>
    <mdx n="33" f="v">
      <t c="4">
        <n x="61"/>
        <n x="11"/>
        <n x="32"/>
        <n x="1337" s="1"/>
      </t>
    </mdx>
    <mdx n="33" f="v">
      <t c="4">
        <n x="178"/>
        <n x="1"/>
        <n x="32"/>
        <n x="1337" s="1"/>
      </t>
    </mdx>
    <mdx n="33" f="v">
      <t c="4">
        <n x="225"/>
        <n x="0"/>
        <n x="7"/>
        <n x="1337" s="1"/>
      </t>
    </mdx>
    <mdx n="33" f="v">
      <t c="4">
        <n x="257"/>
        <n x="0"/>
        <n x="7"/>
        <n x="1337" s="1"/>
      </t>
    </mdx>
    <mdx n="33" f="v">
      <t c="4">
        <n x="308"/>
        <n x="12"/>
        <n x="7"/>
        <n x="1337" s="1"/>
      </t>
    </mdx>
    <mdx n="33" f="v">
      <t c="3">
        <n x="359"/>
        <n x="1336"/>
        <n x="1337" s="1"/>
      </t>
    </mdx>
    <mdx n="33" f="v">
      <t c="3">
        <n x="409"/>
        <n x="1336"/>
        <n x="1337" s="1"/>
      </t>
    </mdx>
    <mdx n="33" f="v">
      <t c="4" si="10">
        <n x="460"/>
        <n x="1"/>
        <n x="32"/>
        <n x="1337" s="1"/>
      </t>
    </mdx>
    <mdx n="33" f="v">
      <t c="4">
        <n x="245"/>
        <n x="11"/>
        <n x="32"/>
        <n x="1337" s="1"/>
      </t>
    </mdx>
    <mdx n="33" f="v">
      <t c="4">
        <n x="441"/>
        <n x="1"/>
        <n x="32"/>
        <n x="1337" s="1"/>
      </t>
    </mdx>
    <mdx n="33" f="v">
      <t c="4" si="10">
        <n x="500"/>
        <n x="0"/>
        <n x="32"/>
        <n x="1337" s="1"/>
      </t>
    </mdx>
    <mdx n="33" f="v">
      <t c="4">
        <n x="551"/>
        <n x="12"/>
        <n x="7"/>
        <n x="1337" s="1"/>
      </t>
    </mdx>
    <mdx n="33" f="v">
      <t c="3">
        <n x="602"/>
        <n x="1336"/>
        <n x="1337" s="1"/>
      </t>
    </mdx>
    <mdx n="33" f="v">
      <t c="4">
        <n x="635"/>
        <n x="1"/>
        <n x="32"/>
        <n x="1337" s="1"/>
      </t>
    </mdx>
    <mdx n="33" f="v">
      <t c="4" si="10">
        <n x="658"/>
        <n x="14"/>
        <n x="32"/>
        <n x="1337" s="1"/>
      </t>
    </mdx>
    <mdx n="33" f="v">
      <t c="4">
        <n x="681"/>
        <n x="11"/>
        <n x="7"/>
        <n x="1337" s="1"/>
      </t>
    </mdx>
    <mdx n="33" f="v">
      <t c="4">
        <n x="248"/>
        <n x="12"/>
        <n x="7"/>
        <n x="1337" s="1"/>
      </t>
    </mdx>
    <mdx n="33" f="v">
      <t c="4">
        <n x="445"/>
        <n x="0"/>
        <n x="32"/>
        <n x="1337" s="1"/>
      </t>
    </mdx>
    <mdx n="33" f="v">
      <t c="4" si="10">
        <n x="501"/>
        <n x="0"/>
        <n x="32"/>
        <n x="1337" s="1"/>
      </t>
    </mdx>
    <mdx n="33" f="v">
      <t c="4">
        <n x="552"/>
        <n x="12"/>
        <n x="7"/>
        <n x="1337" s="1"/>
      </t>
    </mdx>
    <mdx n="33" f="v">
      <t c="3">
        <n x="603"/>
        <n x="1336"/>
        <n x="1337" s="1"/>
      </t>
    </mdx>
    <mdx n="33" f="v">
      <t c="4">
        <n x="635"/>
        <n x="12"/>
        <n x="32"/>
        <n x="1337" s="1"/>
      </t>
    </mdx>
    <mdx n="33" f="v">
      <t c="6" si="10">
        <n x="15"/>
        <n x="1337" s="1"/>
        <n x="38"/>
        <n x="32"/>
        <n x="18"/>
        <n x="2"/>
      </t>
    </mdx>
    <mdx n="33" f="v">
      <t c="3">
        <n x="1177"/>
        <n x="1336"/>
        <n x="1337" s="1"/>
      </t>
    </mdx>
    <mdx n="33" f="v">
      <t c="4">
        <n x="272"/>
        <n x="14"/>
        <n x="32"/>
        <n x="1337" s="1"/>
      </t>
    </mdx>
    <mdx n="33" f="v">
      <t c="4">
        <n x="53"/>
        <n x="0"/>
        <n x="32"/>
        <n x="1337" s="1"/>
      </t>
    </mdx>
    <mdx n="33" f="v">
      <t c="3">
        <n x="1194"/>
        <n x="1336"/>
        <n x="1337" s="1"/>
      </t>
    </mdx>
    <mdx n="33" f="v">
      <t c="6" si="10">
        <n x="15"/>
        <n x="1337" s="1"/>
        <n x="47"/>
        <n x="32"/>
        <n x="29"/>
        <n x="12"/>
      </t>
    </mdx>
    <mdx n="33" f="v">
      <t c="4" si="10">
        <n x="1276"/>
        <n x="1"/>
        <n x="32"/>
        <n x="1337" s="1"/>
      </t>
    </mdx>
    <mdx n="33" f="v">
      <t c="6">
        <n x="15"/>
        <n x="1337" s="1"/>
        <n x="41"/>
        <n x="32"/>
        <n x="25"/>
        <n x="3"/>
      </t>
    </mdx>
    <mdx n="33" f="v">
      <t c="4">
        <n x="1224"/>
        <n x="14"/>
        <n x="7"/>
        <n x="1337" s="1"/>
      </t>
    </mdx>
    <mdx n="33" f="v">
      <t c="5">
        <n x="15"/>
        <n x="1337" s="1"/>
        <n x="13"/>
        <n x="7"/>
        <n x="24"/>
      </t>
    </mdx>
    <mdx n="33" f="v">
      <t c="6" si="10">
        <n x="15"/>
        <n x="1337" s="1"/>
        <n x="37"/>
        <n x="32"/>
        <n x="6"/>
        <n x="3"/>
      </t>
    </mdx>
    <mdx n="33" f="v">
      <t c="6" si="9">
        <n x="15"/>
        <n x="1337" s="1"/>
        <n x="37"/>
        <n x="7"/>
        <n x="22"/>
        <n x="1"/>
      </t>
    </mdx>
    <mdx n="33" f="v">
      <t c="6">
        <n x="15"/>
        <n x="1337" s="1"/>
        <n x="40"/>
        <n x="7"/>
        <n x="22"/>
        <n x="2"/>
      </t>
    </mdx>
    <mdx n="33" f="v">
      <t c="6" si="10">
        <n x="15"/>
        <n x="1337" s="1"/>
        <n x="42"/>
        <n x="32"/>
        <n x="26"/>
        <n x="1"/>
      </t>
    </mdx>
    <mdx n="33" f="v">
      <t c="6" si="10">
        <n x="15"/>
        <n x="1337" s="1"/>
        <n x="44"/>
        <n x="32"/>
        <n x="6"/>
        <n x="1"/>
      </t>
    </mdx>
    <mdx n="33" f="v">
      <t c="5" si="10">
        <n x="15"/>
        <n x="1337" s="1"/>
        <n x="13"/>
        <n x="32"/>
        <n x="22"/>
      </t>
    </mdx>
    <mdx n="33" f="v">
      <t c="5" si="9">
        <n x="15"/>
        <n x="1337" s="1"/>
        <n x="40"/>
        <n x="7"/>
        <n x="1"/>
      </t>
    </mdx>
    <mdx n="33" f="v">
      <t c="5" si="9">
        <n x="15"/>
        <n x="1337" s="1"/>
        <n x="11"/>
        <n x="7"/>
        <n x="20"/>
      </t>
    </mdx>
    <mdx n="33" f="v">
      <t c="6" si="10">
        <n x="15"/>
        <n x="1337" s="1"/>
        <n x="42"/>
        <n x="32"/>
        <n x="22"/>
        <n x="0"/>
      </t>
    </mdx>
    <mdx n="33" f="v">
      <t c="6" si="10">
        <n x="15"/>
        <n x="1337" s="1"/>
        <n x="38"/>
        <n x="32"/>
        <n x="30"/>
        <n x="0"/>
      </t>
    </mdx>
    <mdx n="33" f="v">
      <t c="6" si="10">
        <n x="15"/>
        <n x="1337" s="1"/>
        <n x="37"/>
        <n x="32"/>
        <n x="20"/>
        <n x="2"/>
      </t>
    </mdx>
    <mdx n="33" f="v">
      <t c="6" si="10">
        <n x="15"/>
        <n x="1337" s="1"/>
        <n x="37"/>
        <n x="32"/>
        <n x="31"/>
        <n x="0"/>
      </t>
    </mdx>
    <mdx n="33" f="v">
      <t c="5" si="10">
        <n x="15"/>
        <n x="1337" s="1"/>
        <n x="8"/>
        <n x="32"/>
        <n x="26"/>
      </t>
    </mdx>
    <mdx n="33" f="v">
      <t c="5">
        <n x="15"/>
        <n x="1337" s="1"/>
        <n x="8"/>
        <n x="7"/>
        <n x="20"/>
      </t>
    </mdx>
    <mdx n="33" f="v">
      <t c="6">
        <n x="15"/>
        <n x="1337" s="1"/>
        <n x="38"/>
        <n x="32"/>
        <n x="16"/>
        <n x="3"/>
      </t>
    </mdx>
    <mdx n="33" f="v">
      <t c="6" si="10">
        <n x="15"/>
        <n x="1337" s="1"/>
        <n x="40"/>
        <n x="32"/>
        <n x="6"/>
        <n x="3"/>
      </t>
    </mdx>
    <mdx n="33" f="v">
      <t c="4">
        <n x="135"/>
        <n x="12"/>
        <n x="7"/>
        <n x="1337" s="1"/>
      </t>
    </mdx>
    <mdx n="33" f="v">
      <t c="6">
        <n x="15"/>
        <n x="1337" s="1"/>
        <n x="44"/>
        <n x="7"/>
        <n x="16"/>
        <n x="3"/>
      </t>
    </mdx>
    <mdx n="33" f="v">
      <t c="6" si="10">
        <n x="15"/>
        <n x="1337" s="1"/>
        <n x="36"/>
        <n x="32"/>
        <n x="22"/>
        <n x="0"/>
      </t>
    </mdx>
    <mdx n="33" f="v">
      <t c="6">
        <n x="15"/>
        <n x="1337" s="1"/>
        <n x="39"/>
        <n x="7"/>
        <n x="16"/>
        <n x="2"/>
      </t>
    </mdx>
    <mdx n="33" f="v">
      <t c="6" si="10">
        <n x="15"/>
        <n x="1337" s="1"/>
        <n x="38"/>
        <n x="32"/>
        <n x="4"/>
        <n x="3"/>
      </t>
    </mdx>
    <mdx n="33" f="v">
      <t c="4">
        <n x="90"/>
        <n x="0"/>
        <n x="32"/>
        <n x="1337" s="1"/>
      </t>
    </mdx>
    <mdx n="33" f="v">
      <t c="5" si="10">
        <n x="15"/>
        <n x="1337" s="1"/>
        <n x="41"/>
        <n x="32"/>
        <n x="0"/>
      </t>
    </mdx>
    <mdx n="33" f="v">
      <t c="6" si="9">
        <n x="15"/>
        <n x="1337" s="1"/>
        <n x="41"/>
        <n x="7"/>
        <n x="29"/>
        <n x="1"/>
      </t>
    </mdx>
    <mdx n="33" f="v">
      <t c="4" si="9">
        <n x="15"/>
        <n x="1337" s="1"/>
        <n x="13"/>
        <n x="7"/>
      </t>
    </mdx>
    <mdx n="33" f="v">
      <t c="6">
        <n x="15"/>
        <n x="1337" s="1"/>
        <n x="38"/>
        <n x="7"/>
        <n x="25"/>
        <n x="1"/>
      </t>
    </mdx>
    <mdx n="33" f="v">
      <t c="6" si="10">
        <n x="15"/>
        <n x="1337" s="1"/>
        <n x="44"/>
        <n x="32"/>
        <n x="23"/>
        <n x="1"/>
      </t>
    </mdx>
    <mdx n="33" f="v">
      <t c="6" si="10">
        <n x="15"/>
        <n x="1337" s="1"/>
        <n x="46"/>
        <n x="32"/>
        <n x="4"/>
        <n x="12"/>
      </t>
    </mdx>
    <mdx n="33" f="v">
      <t c="4">
        <n x="75"/>
        <n x="14"/>
        <n x="32"/>
        <n x="1337" s="1"/>
      </t>
    </mdx>
    <mdx n="33" f="v">
      <t c="5" si="9">
        <n x="15"/>
        <n x="1337" s="1"/>
        <n x="41"/>
        <n x="7"/>
        <n x="1"/>
      </t>
    </mdx>
    <mdx n="33" f="v">
      <t c="4">
        <n x="171"/>
        <n x="0"/>
        <n x="7"/>
        <n x="1337" s="1"/>
      </t>
    </mdx>
    <mdx n="33" f="v">
      <t c="3">
        <n x="221"/>
        <n x="1336"/>
        <n x="1337" s="1"/>
      </t>
    </mdx>
    <mdx n="33" f="v">
      <t c="3">
        <n x="253"/>
        <n x="1336"/>
        <n x="1337" s="1"/>
      </t>
    </mdx>
    <mdx n="33" f="v">
      <t c="4">
        <n x="297"/>
        <n x="12"/>
        <n x="7"/>
        <n x="1337" s="1"/>
      </t>
    </mdx>
    <mdx n="33" f="v">
      <t c="4">
        <n x="352"/>
        <n x="1"/>
        <n x="32"/>
        <n x="1337" s="1"/>
      </t>
    </mdx>
    <mdx n="33" f="v">
      <t c="4">
        <n x="402"/>
        <n x="1"/>
        <n x="32"/>
        <n x="1337" s="1"/>
      </t>
    </mdx>
    <mdx n="33" f="v">
      <t c="5" si="10">
        <n x="15"/>
        <n x="1337" s="1"/>
        <n x="11"/>
        <n x="32"/>
        <n x="24"/>
      </t>
    </mdx>
    <mdx n="33" f="v">
      <t c="4">
        <n x="96"/>
        <n x="12"/>
        <n x="7"/>
        <n x="1337" s="1"/>
      </t>
    </mdx>
    <mdx n="33" f="v">
      <t c="3">
        <n x="194"/>
        <n x="1336"/>
        <n x="1337" s="1"/>
      </t>
    </mdx>
    <mdx n="33" f="v">
      <t c="4">
        <n x="1237"/>
        <n x="14"/>
        <n x="32"/>
        <n x="1337" s="1"/>
      </t>
    </mdx>
    <mdx n="33" f="v">
      <t c="6" si="9">
        <n x="15"/>
        <n x="1337" s="1"/>
        <n x="43"/>
        <n x="7"/>
        <n x="17"/>
        <n x="0"/>
      </t>
    </mdx>
    <mdx n="33" f="v">
      <t c="5" si="10">
        <n x="15"/>
        <n x="1337" s="1"/>
        <n x="13"/>
        <n x="32"/>
        <n x="27"/>
      </t>
    </mdx>
    <mdx n="33" f="v">
      <t c="6">
        <n x="15"/>
        <n x="1337" s="1"/>
        <n x="44"/>
        <n x="32"/>
        <n x="22"/>
        <n x="3"/>
      </t>
    </mdx>
    <mdx n="33" f="v">
      <t c="6" si="9">
        <n x="15"/>
        <n x="1337" s="1"/>
        <n x="36"/>
        <n x="7"/>
        <n x="18"/>
        <n x="0"/>
      </t>
    </mdx>
    <mdx n="33" f="v">
      <t c="4">
        <n x="68"/>
        <n x="11"/>
        <n x="32"/>
        <n x="1337" s="1"/>
      </t>
    </mdx>
    <mdx n="33" f="v">
      <t c="6" si="9">
        <n x="15"/>
        <n x="1337" s="1"/>
        <n x="35"/>
        <n x="7"/>
        <n x="16"/>
        <n x="12"/>
      </t>
    </mdx>
    <mdx n="33" f="v">
      <t c="4">
        <n x="166"/>
        <n x="12"/>
        <n x="7"/>
        <n x="1337" s="1"/>
      </t>
    </mdx>
    <mdx n="33" f="v">
      <t c="4">
        <n x="217"/>
        <n x="1"/>
        <n x="32"/>
        <n x="1337" s="1"/>
      </t>
    </mdx>
    <mdx n="33" f="v">
      <t c="4">
        <n x="249"/>
        <n x="14"/>
        <n x="32"/>
        <n x="1337" s="1"/>
      </t>
    </mdx>
    <mdx n="33" f="v">
      <t c="4">
        <n x="283"/>
        <n x="12"/>
        <n x="7"/>
        <n x="1337" s="1"/>
      </t>
    </mdx>
    <mdx n="33" f="v">
      <t c="4">
        <n x="347"/>
        <n x="0"/>
        <n x="32"/>
        <n x="1337" s="1"/>
      </t>
    </mdx>
    <mdx n="33" f="v">
      <t c="4">
        <n x="397"/>
        <n x="0"/>
        <n x="32"/>
        <n x="1337" s="1"/>
      </t>
    </mdx>
    <mdx n="33" f="v">
      <t c="6">
        <n x="15"/>
        <n x="1337" s="1"/>
        <n x="44"/>
        <n x="32"/>
        <n x="21"/>
        <n x="2"/>
      </t>
    </mdx>
    <mdx n="33" f="v">
      <t c="4">
        <n x="81"/>
        <n x="1"/>
        <n x="7"/>
        <n x="1337" s="1"/>
      </t>
    </mdx>
    <mdx n="33" f="v">
      <t c="4">
        <n x="188"/>
        <n x="0"/>
        <n x="7"/>
        <n x="1337" s="1"/>
      </t>
    </mdx>
    <mdx n="33" f="v">
      <t c="4" si="10">
        <n x="1125"/>
        <n x="1"/>
        <n x="32"/>
        <n x="1337" s="1"/>
      </t>
    </mdx>
    <mdx n="33" f="v">
      <t c="4">
        <n x="1260"/>
        <n x="1"/>
        <n x="32"/>
        <n x="1337" s="1"/>
      </t>
    </mdx>
    <mdx n="33" f="v">
      <t c="6" si="9">
        <n x="15"/>
        <n x="1337" s="1"/>
        <n x="47"/>
        <n x="7"/>
        <n x="25"/>
        <n x="12"/>
      </t>
    </mdx>
    <mdx n="33" f="v">
      <t c="6" si="10">
        <n x="15"/>
        <n x="1337" s="1"/>
        <n x="36"/>
        <n x="32"/>
        <n x="23"/>
        <n x="0"/>
      </t>
    </mdx>
    <mdx n="33" f="v">
      <t c="6" si="10">
        <n x="15"/>
        <n x="1337" s="1"/>
        <n x="47"/>
        <n x="32"/>
        <n x="4"/>
        <n x="12"/>
      </t>
    </mdx>
    <mdx n="33" f="v">
      <t c="4">
        <n x="73"/>
        <n x="12"/>
        <n x="7"/>
        <n x="1337" s="1"/>
      </t>
    </mdx>
    <mdx n="33" f="v">
      <t c="6" si="10">
        <n x="15"/>
        <n x="1337" s="1"/>
        <n x="38"/>
        <n x="32"/>
        <n x="6"/>
        <n x="0"/>
      </t>
    </mdx>
    <mdx n="33" f="v">
      <t c="4">
        <n x="170"/>
        <n x="12"/>
        <n x="7"/>
        <n x="1337" s="1"/>
      </t>
    </mdx>
    <mdx n="33" f="v">
      <t c="3">
        <n x="220"/>
        <n x="1336"/>
        <n x="1337" s="1"/>
      </t>
    </mdx>
    <mdx n="33" f="v">
      <t c="3">
        <n x="252"/>
        <n x="1336"/>
        <n x="1337" s="1"/>
      </t>
    </mdx>
    <mdx n="33" f="v">
      <t c="4">
        <n x="293"/>
        <n x="12"/>
        <n x="7"/>
        <n x="1337" s="1"/>
      </t>
    </mdx>
    <mdx n="33" f="v">
      <t c="4">
        <n x="351"/>
        <n x="0"/>
        <n x="32"/>
        <n x="1337" s="1"/>
      </t>
    </mdx>
    <mdx n="33" f="v">
      <t c="4" si="10">
        <n x="401"/>
        <n x="0"/>
        <n x="32"/>
        <n x="1337" s="1"/>
      </t>
    </mdx>
    <mdx n="33" f="v">
      <t c="6" si="10">
        <n x="15"/>
        <n x="1337" s="1"/>
        <n x="42"/>
        <n x="32"/>
        <n x="23"/>
        <n x="2"/>
      </t>
    </mdx>
    <mdx n="33" f="v">
      <t c="4">
        <n x="89"/>
        <n x="1"/>
        <n x="7"/>
        <n x="1337" s="1"/>
      </t>
    </mdx>
    <mdx n="33" f="v">
      <t c="4">
        <n x="192"/>
        <n x="0"/>
        <n x="7"/>
        <n x="1337" s="1"/>
      </t>
    </mdx>
    <mdx n="33" f="v">
      <t c="4">
        <n x="234"/>
        <n x="1"/>
        <n x="32"/>
        <n x="1337" s="1"/>
      </t>
    </mdx>
    <mdx n="33" f="v">
      <t c="4">
        <n x="266"/>
        <n x="1"/>
        <n x="32"/>
        <n x="1337" s="1"/>
      </t>
    </mdx>
    <mdx n="33" f="v">
      <t c="3">
        <n x="322"/>
        <n x="1336"/>
        <n x="1337" s="1"/>
      </t>
    </mdx>
    <mdx n="33" f="v">
      <t c="4">
        <n x="373"/>
        <n x="1"/>
        <n x="32"/>
        <n x="1337" s="1"/>
      </t>
    </mdx>
    <mdx n="33" f="v">
      <t c="5" si="9">
        <n x="15"/>
        <n x="1337" s="1"/>
        <n x="14"/>
        <n x="7"/>
        <n x="4"/>
      </t>
    </mdx>
    <mdx n="33" f="v">
      <t c="4">
        <n x="67"/>
        <n x="0"/>
        <n x="32"/>
        <n x="1337" s="1"/>
      </t>
    </mdx>
    <mdx n="33" f="v">
      <t c="4">
        <n x="316"/>
        <n x="1"/>
        <n x="32"/>
        <n x="1337" s="1"/>
      </t>
    </mdx>
    <mdx n="33" f="v">
      <t c="3">
        <n x="158"/>
        <n x="1336"/>
        <n x="1337" s="1"/>
      </t>
    </mdx>
    <mdx n="33" f="v">
      <t c="4">
        <n x="257"/>
        <n x="1"/>
        <n x="32"/>
        <n x="1337" s="1"/>
      </t>
    </mdx>
    <mdx n="33" f="v">
      <t c="4">
        <n x="324"/>
        <n x="0"/>
        <n x="7"/>
        <n x="1337" s="1"/>
      </t>
    </mdx>
    <mdx n="33" f="v">
      <t c="3">
        <n x="392"/>
        <n x="1336"/>
        <n x="1337" s="1"/>
      </t>
    </mdx>
    <mdx n="33" f="v">
      <t c="4">
        <n x="443"/>
        <n x="1"/>
        <n x="32"/>
        <n x="1337" s="1"/>
      </t>
    </mdx>
    <mdx n="33" f="v">
      <t c="4">
        <n x="74"/>
        <n x="12"/>
        <n x="7"/>
        <n x="1337" s="1"/>
      </t>
    </mdx>
    <mdx n="33" f="v">
      <t c="4">
        <n x="185"/>
        <n x="0"/>
        <n x="32"/>
        <n x="1337" s="1"/>
      </t>
    </mdx>
    <mdx n="33" f="v">
      <t c="4">
        <n x="229"/>
        <n x="0"/>
        <n x="7"/>
        <n x="1337" s="1"/>
      </t>
    </mdx>
    <mdx n="33" f="v">
      <t c="4">
        <n x="261"/>
        <n x="0"/>
        <n x="7"/>
        <n x="1337" s="1"/>
      </t>
    </mdx>
    <mdx n="33" f="v">
      <t c="4">
        <n x="314"/>
        <n x="1"/>
        <n x="32"/>
        <n x="1337" s="1"/>
      </t>
    </mdx>
    <mdx n="33" f="v">
      <t c="4">
        <n x="365"/>
        <n x="0"/>
        <n x="7"/>
        <n x="1337" s="1"/>
      </t>
    </mdx>
    <mdx n="33" f="v">
      <t c="4">
        <n x="415"/>
        <n x="0"/>
        <n x="7"/>
        <n x="1337" s="1"/>
      </t>
    </mdx>
    <mdx n="33" f="v">
      <t c="4" si="10">
        <n x="467"/>
        <n x="0"/>
        <n x="32"/>
        <n x="1337" s="1"/>
      </t>
    </mdx>
    <mdx n="33" f="v">
      <t c="4">
        <n x="261"/>
        <n x="11"/>
        <n x="32"/>
        <n x="1337" s="1"/>
      </t>
    </mdx>
    <mdx n="33" f="v">
      <t c="4">
        <n x="452"/>
        <n x="12"/>
        <n x="7"/>
        <n x="1337" s="1"/>
      </t>
    </mdx>
    <mdx n="33" f="v">
      <t c="3">
        <n x="506"/>
        <n x="1336"/>
        <n x="1337" s="1"/>
      </t>
    </mdx>
    <mdx n="33" f="v">
      <t c="4" si="10">
        <n x="557"/>
        <n x="1"/>
        <n x="32"/>
        <n x="1337" s="1"/>
      </t>
    </mdx>
    <mdx n="33" f="v">
      <t c="4">
        <n x="608"/>
        <n x="0"/>
        <n x="7"/>
        <n x="1337" s="1"/>
      </t>
    </mdx>
    <mdx n="33" f="v">
      <t c="3">
        <n x="638"/>
        <n x="1336"/>
        <n x="1337" s="1"/>
      </t>
    </mdx>
    <mdx n="33" f="v">
      <t c="4" si="10">
        <n x="661"/>
        <n x="11"/>
        <n x="32"/>
        <n x="1337" s="1"/>
      </t>
    </mdx>
    <mdx n="33" f="v">
      <t c="6" si="10">
        <n x="15"/>
        <n x="1337" s="1"/>
        <n x="43"/>
        <n x="32"/>
        <n x="31"/>
        <n x="3"/>
      </t>
    </mdx>
    <mdx n="33" f="v">
      <t c="4">
        <n x="264"/>
        <n x="12"/>
        <n x="7"/>
        <n x="1337" s="1"/>
      </t>
    </mdx>
    <mdx n="33" f="v">
      <t c="4" si="10">
        <n x="453"/>
        <n x="1"/>
        <n x="32"/>
        <n x="1337" s="1"/>
      </t>
    </mdx>
    <mdx n="33" f="v">
      <t c="3">
        <n x="507"/>
        <n x="1336"/>
        <n x="1337" s="1"/>
      </t>
    </mdx>
    <mdx n="33" f="v">
      <t c="4">
        <n x="558"/>
        <n x="1"/>
        <n x="32"/>
        <n x="1337" s="1"/>
      </t>
    </mdx>
    <mdx n="33" f="v">
      <t c="4" si="9">
        <n x="609"/>
        <n x="0"/>
        <n x="7"/>
        <n x="1337" s="1"/>
      </t>
    </mdx>
    <mdx n="33" f="v">
      <t c="4">
        <n x="638"/>
        <n x="1"/>
        <n x="7"/>
        <n x="1337" s="1"/>
      </t>
    </mdx>
    <mdx n="33" f="v">
      <t c="6">
        <n x="15"/>
        <n x="1337" s="1"/>
        <n x="38"/>
        <n x="7"/>
        <n x="19"/>
        <n x="1"/>
      </t>
    </mdx>
    <mdx n="33" f="v">
      <t c="6" si="9">
        <n x="15"/>
        <n x="1337" s="1"/>
        <n x="40"/>
        <n x="7"/>
        <n x="4"/>
        <n x="3"/>
      </t>
    </mdx>
    <mdx n="33" f="v">
      <t c="4">
        <n x="307"/>
        <n x="0"/>
        <n x="32"/>
        <n x="1337" s="1"/>
      </t>
    </mdx>
    <mdx n="33" f="v">
      <t c="4">
        <n x="124"/>
        <n x="0"/>
        <n x="32"/>
        <n x="1337" s="1"/>
      </t>
    </mdx>
    <mdx n="33" f="v">
      <t c="4">
        <n x="255"/>
        <n x="1"/>
        <n x="32"/>
        <n x="1337" s="1"/>
      </t>
    </mdx>
    <mdx n="33" f="v">
      <t c="4">
        <n x="321"/>
        <n x="1"/>
        <n x="32"/>
        <n x="1337" s="1"/>
      </t>
    </mdx>
    <mdx n="33" f="v">
      <t c="4">
        <n x="389"/>
        <n x="12"/>
        <n x="7"/>
        <n x="1337" s="1"/>
      </t>
    </mdx>
    <mdx n="33" f="v">
      <t c="4">
        <n x="441"/>
        <n x="12"/>
        <n x="7"/>
        <n x="1337" s="1"/>
      </t>
    </mdx>
    <mdx n="33" f="v">
      <t c="4">
        <n x="69"/>
        <n x="11"/>
        <n x="32"/>
        <n x="1337" s="1"/>
      </t>
    </mdx>
    <mdx n="33" f="v">
      <t c="4">
        <n x="182"/>
        <n x="1"/>
        <n x="32"/>
        <n x="1337" s="1"/>
      </t>
    </mdx>
    <mdx n="33" f="v">
      <t c="4">
        <n x="228"/>
        <n x="0"/>
        <n x="32"/>
        <n x="1337" s="1"/>
      </t>
    </mdx>
    <mdx n="33" f="v">
      <t c="4">
        <n x="260"/>
        <n x="0"/>
        <n x="32"/>
        <n x="1337" s="1"/>
      </t>
    </mdx>
    <mdx n="33" f="v">
      <t c="4">
        <n x="312"/>
        <n x="12"/>
        <n x="7"/>
        <n x="1337" s="1"/>
      </t>
    </mdx>
    <mdx n="33" f="v">
      <t c="3">
        <n x="363"/>
        <n x="1336"/>
        <n x="1337" s="1"/>
      </t>
    </mdx>
    <mdx n="33" f="v">
      <t c="3">
        <n x="413"/>
        <n x="1336"/>
        <n x="1337" s="1"/>
      </t>
    </mdx>
    <mdx n="33" f="v">
      <t c="4">
        <n x="464"/>
        <n x="1"/>
        <n x="32"/>
        <n x="1337" s="1"/>
      </t>
    </mdx>
    <mdx n="33" f="v">
      <t c="4">
        <n x="255"/>
        <n x="11"/>
        <n x="32"/>
        <n x="1337" s="1"/>
      </t>
    </mdx>
    <mdx n="33" f="v">
      <t c="6">
        <n x="15"/>
        <n x="1337" s="1"/>
        <n x="39"/>
        <n x="7"/>
        <n x="28"/>
        <n x="3"/>
      </t>
    </mdx>
    <mdx n="33" f="v">
      <t c="6" si="9">
        <n x="15"/>
        <n x="1337" s="1"/>
        <n x="47"/>
        <n x="7"/>
        <n x="28"/>
        <n x="12"/>
      </t>
    </mdx>
    <mdx n="33" f="v">
      <t c="4">
        <n x="66"/>
        <n x="11"/>
        <n x="32"/>
        <n x="1337" s="1"/>
      </t>
    </mdx>
    <mdx n="33" f="v">
      <t c="5" si="10">
        <n x="15"/>
        <n x="1337" s="1"/>
        <n x="14"/>
        <n x="32"/>
        <n x="27"/>
      </t>
    </mdx>
    <mdx n="33" f="v">
      <t c="5" si="10">
        <n x="15"/>
        <n x="1337" s="1"/>
        <n x="11"/>
        <n x="32"/>
        <n x="19"/>
      </t>
    </mdx>
    <mdx n="33" f="v">
      <t c="6" si="10">
        <n x="15"/>
        <n x="1337" s="1"/>
        <n x="39"/>
        <n x="32"/>
        <n x="23"/>
        <n x="0"/>
      </t>
    </mdx>
    <mdx n="33" f="v">
      <t c="4">
        <n x="61"/>
        <n x="12"/>
        <n x="7"/>
        <n x="1337" s="1"/>
      </t>
    </mdx>
    <mdx n="33" f="v">
      <t c="6" si="10">
        <n x="15"/>
        <n x="1337" s="1"/>
        <n x="44"/>
        <n x="32"/>
        <n x="27"/>
        <n x="3"/>
      </t>
    </mdx>
    <mdx n="33" f="v">
      <t c="4">
        <n x="126"/>
        <n x="12"/>
        <n x="7"/>
        <n x="1337" s="1"/>
      </t>
    </mdx>
    <mdx n="33" f="v">
      <t c="3">
        <n x="267"/>
        <n x="1336"/>
        <n x="1337" s="1"/>
      </t>
    </mdx>
    <mdx n="33" f="v">
      <t c="5" si="10">
        <n x="15"/>
        <n x="1337" s="1"/>
        <n x="36"/>
        <n x="32"/>
        <n x="3"/>
      </t>
    </mdx>
    <mdx n="33" f="v">
      <t c="6" si="9">
        <n x="15"/>
        <n x="1337" s="1"/>
        <n x="43"/>
        <n x="7"/>
        <n x="23"/>
        <n x="1"/>
      </t>
    </mdx>
    <mdx n="33" f="v">
      <t c="4" si="10">
        <n x="109"/>
        <n x="0"/>
        <n x="32"/>
        <n x="1337" s="1"/>
      </t>
    </mdx>
    <mdx n="33" f="v">
      <t c="4">
        <n x="263"/>
        <n x="14"/>
        <n x="32"/>
        <n x="1337" s="1"/>
      </t>
    </mdx>
    <mdx n="33" f="v">
      <t c="6" si="10">
        <n x="15"/>
        <n x="1337" s="1"/>
        <n x="40"/>
        <n x="32"/>
        <n x="6"/>
        <n x="0"/>
      </t>
    </mdx>
    <mdx n="33" f="v">
      <t c="6">
        <n x="15"/>
        <n x="1337" s="1"/>
        <n x="41"/>
        <n x="7"/>
        <n x="26"/>
        <n x="3"/>
      </t>
    </mdx>
    <mdx n="33" f="v">
      <t c="4">
        <n x="122"/>
        <n x="12"/>
        <n x="7"/>
        <n x="1337" s="1"/>
      </t>
    </mdx>
    <mdx n="33" f="v">
      <t c="3">
        <n x="266"/>
        <n x="1336"/>
        <n x="1337" s="1"/>
      </t>
    </mdx>
    <mdx n="33" f="v">
      <t c="5" si="10">
        <n x="15"/>
        <n x="1337" s="1"/>
        <n x="43"/>
        <n x="32"/>
        <n x="2"/>
      </t>
    </mdx>
    <mdx n="33" f="v">
      <t c="4">
        <n x="280"/>
        <n x="11"/>
        <n x="32"/>
        <n x="1337" s="1"/>
      </t>
    </mdx>
    <mdx n="33" f="v">
      <t c="4">
        <n x="222"/>
        <n x="14"/>
        <n x="32"/>
        <n x="1337" s="1"/>
      </t>
    </mdx>
    <mdx n="33" f="v">
      <t c="4">
        <n x="355"/>
        <n x="12"/>
        <n x="7"/>
        <n x="1337" s="1"/>
      </t>
    </mdx>
    <mdx n="33" f="v">
      <t c="3">
        <n x="207"/>
        <n x="1336"/>
        <n x="1337" s="1"/>
      </t>
    </mdx>
    <mdx n="33" f="v">
      <t c="4">
        <n x="387"/>
        <n x="0"/>
        <n x="32"/>
        <n x="1337" s="1"/>
      </t>
    </mdx>
    <mdx n="33" f="v">
      <t c="4" si="10">
        <n x="477"/>
        <n x="1"/>
        <n x="32"/>
        <n x="1337" s="1"/>
      </t>
    </mdx>
    <mdx n="33" f="v">
      <t c="4">
        <n x="648"/>
        <n x="0"/>
        <n x="7"/>
        <n x="1337" s="1"/>
      </t>
    </mdx>
    <mdx n="33" f="v">
      <t c="4" si="10">
        <n x="478"/>
        <n x="1"/>
        <n x="32"/>
        <n x="1337" s="1"/>
      </t>
    </mdx>
    <mdx n="33" f="v">
      <t c="4">
        <n x="648"/>
        <n x="11"/>
        <n x="7"/>
        <n x="1337" s="1"/>
      </t>
    </mdx>
    <mdx n="33" f="v">
      <t c="4">
        <n x="212"/>
        <n x="0"/>
        <n x="7"/>
        <n x="1337" s="1"/>
      </t>
    </mdx>
    <mdx n="33" f="v">
      <t c="4">
        <n x="284"/>
        <n x="0"/>
        <n x="32"/>
        <n x="1337" s="1"/>
      </t>
    </mdx>
    <mdx n="33" f="v">
      <t c="4" si="10">
        <n x="385"/>
        <n x="1"/>
        <n x="32"/>
        <n x="1337" s="1"/>
      </t>
    </mdx>
    <mdx n="33" f="v">
      <t c="6">
        <n x="15"/>
        <n x="1337" s="1"/>
        <n x="41"/>
        <n x="7"/>
        <n x="16"/>
        <n x="2"/>
      </t>
    </mdx>
    <mdx n="33" f="v">
      <t c="3">
        <n x="163"/>
        <n x="1336"/>
        <n x="1337" s="1"/>
      </t>
    </mdx>
    <mdx n="33" f="v">
      <t c="4">
        <n x="226"/>
        <n x="0"/>
        <n x="32"/>
        <n x="1337" s="1"/>
      </t>
    </mdx>
    <mdx n="33" f="v">
      <t c="4">
        <n x="270"/>
        <n x="0"/>
        <n x="32"/>
        <n x="1337" s="1"/>
      </t>
    </mdx>
    <mdx n="33" f="v">
      <t c="4">
        <n x="344"/>
        <n x="12"/>
        <n x="7"/>
        <n x="1337" s="1"/>
      </t>
    </mdx>
    <mdx n="33" f="v">
      <t c="4">
        <n x="410"/>
        <n x="12"/>
        <n x="7"/>
        <n x="1337" s="1"/>
      </t>
    </mdx>
    <mdx n="33" f="v">
      <t c="4">
        <n x="81"/>
        <n x="0"/>
        <n x="32"/>
        <n x="1337" s="1"/>
      </t>
    </mdx>
    <mdx n="33" f="v">
      <t c="3">
        <n x="356"/>
        <n x="1336"/>
        <n x="1337" s="1"/>
      </t>
    </mdx>
    <mdx n="33" f="v">
      <t c="3">
        <n x="478"/>
        <n x="1336"/>
        <n x="1337" s="1"/>
      </t>
    </mdx>
    <mdx n="33" f="v">
      <t c="4" si="10">
        <n x="529"/>
        <n x="1"/>
        <n x="32"/>
        <n x="1337" s="1"/>
      </t>
    </mdx>
    <mdx n="33" f="v">
      <t c="4">
        <n x="580"/>
        <n x="0"/>
        <n x="7"/>
        <n x="1337" s="1"/>
      </t>
    </mdx>
    <mdx n="33" f="v">
      <t c="4">
        <n x="625"/>
        <n x="11"/>
        <n x="32"/>
        <n x="1337" s="1"/>
      </t>
    </mdx>
    <mdx n="33" f="v">
      <t c="4" si="10">
        <n x="648"/>
        <n x="12"/>
        <n x="32"/>
        <n x="1337" s="1"/>
      </t>
    </mdx>
    <mdx n="33" f="v">
      <t c="4" si="10">
        <n x="672"/>
        <n x="0"/>
        <n x="32"/>
        <n x="1337" s="1"/>
      </t>
    </mdx>
    <mdx n="33" f="v">
      <t c="4">
        <n x="179"/>
        <n x="1"/>
        <n x="32"/>
        <n x="1337" s="1"/>
      </t>
    </mdx>
    <mdx n="33" f="v">
      <t c="3">
        <n x="360"/>
        <n x="1336"/>
        <n x="1337" s="1"/>
      </t>
    </mdx>
    <mdx n="33" f="v">
      <t c="3">
        <n x="479"/>
        <n x="1336"/>
        <n x="1337" s="1"/>
      </t>
    </mdx>
    <mdx n="33" f="v">
      <t c="4">
        <n x="530"/>
        <n x="1"/>
        <n x="32"/>
        <n x="1337" s="1"/>
      </t>
    </mdx>
    <mdx n="33" f="v">
      <t c="4" si="9">
        <n x="581"/>
        <n x="0"/>
        <n x="7"/>
        <n x="1337" s="1"/>
      </t>
    </mdx>
    <mdx n="33" f="v">
      <t c="4">
        <n x="625"/>
        <n x="14"/>
        <n x="7"/>
        <n x="1337" s="1"/>
      </t>
    </mdx>
    <mdx n="33" f="v">
      <t c="3">
        <n x="649"/>
        <n x="1336"/>
        <n x="1337" s="1"/>
      </t>
    </mdx>
    <mdx n="33" f="v">
      <t c="5" si="10">
        <n x="15"/>
        <n x="1337" s="1"/>
        <n x="36"/>
        <n x="32"/>
        <n x="2"/>
      </t>
    </mdx>
    <mdx n="33" f="v">
      <t c="3">
        <n x="193"/>
        <n x="1336"/>
        <n x="1337" s="1"/>
      </t>
    </mdx>
    <mdx n="33" f="v">
      <t c="4">
        <n x="374"/>
        <n x="12"/>
        <n x="7"/>
        <n x="1337" s="1"/>
      </t>
    </mdx>
    <mdx n="33" f="v">
      <t c="4">
        <n x="216"/>
        <n x="0"/>
        <n x="32"/>
        <n x="1337" s="1"/>
      </t>
    </mdx>
    <mdx n="33" f="v">
      <t c="4">
        <n x="269"/>
        <n x="1"/>
        <n x="32"/>
        <n x="1337" s="1"/>
      </t>
    </mdx>
    <mdx n="33" f="v">
      <t c="4">
        <n x="344"/>
        <n x="0"/>
        <n x="32"/>
        <n x="1337" s="1"/>
      </t>
    </mdx>
    <mdx n="33" f="v">
      <t c="4">
        <n x="406"/>
        <n x="0"/>
        <n x="7"/>
        <n x="1337" s="1"/>
      </t>
    </mdx>
    <mdx n="33" f="v">
      <t c="6" si="10">
        <n x="15"/>
        <n x="1337" s="1"/>
        <n x="43"/>
        <n x="32"/>
        <n x="16"/>
        <n x="2"/>
      </t>
    </mdx>
    <mdx n="33" f="v">
      <t c="4">
        <n x="121"/>
        <n x="0"/>
        <n x="32"/>
        <n x="1337" s="1"/>
      </t>
    </mdx>
    <mdx n="33" f="v">
      <t c="3">
        <n x="199"/>
        <n x="1336"/>
        <n x="1337" s="1"/>
      </t>
    </mdx>
    <mdx n="33" f="v">
      <t c="4">
        <n x="238"/>
        <n x="0"/>
        <n x="7"/>
        <n x="1337" s="1"/>
      </t>
    </mdx>
    <mdx n="33" f="v">
      <t c="4">
        <n x="270"/>
        <n x="0"/>
        <n x="7"/>
        <n x="1337" s="1"/>
      </t>
    </mdx>
    <mdx n="33" f="v">
      <t c="4">
        <n x="329"/>
        <n x="0"/>
        <n x="32"/>
        <n x="1337" s="1"/>
      </t>
    </mdx>
    <mdx n="33" f="v">
      <t c="4">
        <n x="380"/>
        <n x="12"/>
        <n x="7"/>
        <n x="1337" s="1"/>
      </t>
    </mdx>
    <mdx n="33" f="v">
      <t c="4">
        <n x="430"/>
        <n x="12"/>
        <n x="7"/>
        <n x="1337" s="1"/>
      </t>
    </mdx>
    <mdx n="33" f="v">
      <t c="4">
        <n x="87"/>
        <n x="11"/>
        <n x="32"/>
        <n x="1337" s="1"/>
      </t>
    </mdx>
    <mdx n="33" f="v">
      <t c="4">
        <n x="321"/>
        <n x="12"/>
        <n x="7"/>
        <n x="1337" s="1"/>
      </t>
    </mdx>
    <mdx n="33" f="v">
      <t c="3">
        <n x="470"/>
        <n x="1336"/>
        <n x="1337" s="1"/>
      </t>
    </mdx>
    <mdx n="33" f="v">
      <t c="4" si="9">
        <n x="520"/>
        <n x="0"/>
        <n x="7"/>
        <n x="1337" s="1"/>
      </t>
    </mdx>
    <mdx n="33" f="v">
      <t c="4">
        <n x="572"/>
        <n x="0"/>
        <n x="32"/>
        <n x="1337" s="1"/>
      </t>
    </mdx>
    <mdx n="33" f="v">
      <t c="4">
        <n x="621"/>
        <n x="11"/>
        <n x="32"/>
        <n x="1337" s="1"/>
      </t>
    </mdx>
    <mdx n="33" f="v">
      <t c="4" si="10">
        <n x="644"/>
        <n x="12"/>
        <n x="32"/>
        <n x="1337" s="1"/>
      </t>
    </mdx>
    <mdx n="33" f="v">
      <t c="4" si="10">
        <n x="668"/>
        <n x="0"/>
        <n x="32"/>
        <n x="1337" s="1"/>
      </t>
    </mdx>
    <mdx n="33" f="v">
      <t c="4">
        <n x="102"/>
        <n x="12"/>
        <n x="7"/>
        <n x="1337" s="1"/>
      </t>
    </mdx>
    <mdx n="33" f="v">
      <t c="4">
        <n x="325"/>
        <n x="12"/>
        <n x="7"/>
        <n x="1337" s="1"/>
      </t>
    </mdx>
    <mdx n="33" f="v">
      <t c="4" si="9">
        <n x="471"/>
        <n x="14"/>
        <n x="7"/>
        <n x="1337" s="1"/>
      </t>
    </mdx>
    <mdx n="33" f="v">
      <t c="4" si="9">
        <n x="521"/>
        <n x="0"/>
        <n x="7"/>
        <n x="1337" s="1"/>
      </t>
    </mdx>
    <mdx n="33" f="v">
      <t c="4" si="10">
        <n x="573"/>
        <n x="0"/>
        <n x="32"/>
        <n x="1337" s="1"/>
      </t>
    </mdx>
    <mdx n="33" f="v">
      <t c="4">
        <n x="621"/>
        <n x="14"/>
        <n x="7"/>
        <n x="1337" s="1"/>
      </t>
    </mdx>
    <mdx n="33" f="v">
      <t c="3">
        <n x="645"/>
        <n x="1336"/>
        <n x="1337" s="1"/>
      </t>
    </mdx>
    <mdx n="33" f="v">
      <t c="4" si="10">
        <n x="668"/>
        <n x="11"/>
        <n x="32"/>
        <n x="1337" s="1"/>
      </t>
    </mdx>
    <mdx n="33" f="v">
      <t c="4">
        <n x="256"/>
        <n x="11"/>
        <n x="32"/>
        <n x="1337" s="1"/>
      </t>
    </mdx>
    <mdx n="33" f="v">
      <t c="3">
        <n x="206"/>
        <n x="1336"/>
        <n x="1337" s="1"/>
      </t>
    </mdx>
    <mdx n="33" f="v">
      <t c="6" si="10">
        <n x="15"/>
        <n x="1337" s="1"/>
        <n x="46"/>
        <n x="32"/>
        <n x="19"/>
        <n x="12"/>
      </t>
    </mdx>
    <mdx n="33" f="v">
      <t c="4">
        <n x="598"/>
        <n x="1"/>
        <n x="32"/>
        <n x="1337" s="1"/>
      </t>
    </mdx>
    <mdx n="33" f="v">
      <t c="6" si="9">
        <n x="15"/>
        <n x="1337" s="1"/>
        <n x="41"/>
        <n x="7"/>
        <n x="16"/>
        <n x="1"/>
      </t>
    </mdx>
    <mdx n="33" f="v">
      <t c="4">
        <n x="340"/>
        <n x="0"/>
        <n x="7"/>
        <n x="1337" s="1"/>
      </t>
    </mdx>
    <mdx n="33" f="v">
      <t c="4">
        <n x="237"/>
        <n x="0"/>
        <n x="32"/>
        <n x="1337" s="1"/>
      </t>
    </mdx>
    <mdx n="33" f="v">
      <t c="4">
        <n x="427"/>
        <n x="0"/>
        <n x="7"/>
        <n x="1337" s="1"/>
      </t>
    </mdx>
    <mdx n="33" f="v">
      <t c="3" fi="0">
        <n x="518"/>
        <n x="1336"/>
        <n x="1337" s="1"/>
      </t>
    </mdx>
    <mdx n="33" f="v">
      <t c="4" si="9">
        <n x="666"/>
        <n x="14"/>
        <n x="7"/>
        <n x="1337" s="1"/>
      </t>
    </mdx>
    <mdx n="33" f="v">
      <t c="3" fi="0">
        <n x="519"/>
        <n x="1336"/>
        <n x="1337" s="1"/>
      </t>
    </mdx>
    <mdx n="33" f="v">
      <t c="4">
        <n x="656"/>
        <n x="12"/>
        <n x="7"/>
        <n x="1337" s="1"/>
      </t>
    </mdx>
    <mdx n="33" f="v">
      <t c="4">
        <n x="230"/>
        <n x="11"/>
        <n x="32"/>
        <n x="1337" s="1"/>
      </t>
    </mdx>
    <mdx n="33" f="v">
      <t c="3">
        <n x="430"/>
        <n x="1336"/>
        <n x="1337" s="1"/>
      </t>
    </mdx>
    <mdx n="33" f="v">
      <t c="4">
        <n x="497"/>
        <n x="12"/>
        <n x="7"/>
        <n x="1337" s="1"/>
      </t>
    </mdx>
    <mdx n="33" f="v">
      <t c="3" fi="0">
        <n x="548"/>
        <n x="1336"/>
        <n x="1337" s="1"/>
      </t>
    </mdx>
    <mdx n="33" f="v">
      <t c="4" si="10">
        <n x="599"/>
        <n x="1"/>
        <n x="32"/>
        <n x="1337" s="1"/>
      </t>
    </mdx>
    <mdx n="33" f="v">
      <t c="4" si="10">
        <n x="634"/>
        <n x="0"/>
        <n x="32"/>
        <n x="1337" s="1"/>
      </t>
    </mdx>
    <mdx n="33" f="v">
      <t c="4" si="10">
        <n x="657"/>
        <n x="1"/>
        <n x="32"/>
        <n x="1337" s="1"/>
      </t>
    </mdx>
    <mdx n="33" f="v">
      <t c="4" si="10">
        <n x="680"/>
        <n x="14"/>
        <n x="32"/>
        <n x="1337" s="1"/>
      </t>
    </mdx>
    <mdx n="33" f="v">
      <t c="4">
        <n x="297"/>
        <n x="0"/>
        <n x="32"/>
        <n x="1337" s="1"/>
      </t>
    </mdx>
    <mdx n="33" f="v">
      <t c="4">
        <n x="618"/>
        <n x="12"/>
        <n x="7"/>
        <n x="1337" s="1"/>
      </t>
    </mdx>
    <mdx n="33" f="v">
      <t c="4" si="10">
        <n x="688"/>
        <n x="11"/>
        <n x="32"/>
        <n x="1337" s="1"/>
      </t>
    </mdx>
    <mdx n="33" f="v">
      <t c="4">
        <n x="713"/>
        <n x="11"/>
        <n x="7"/>
        <n x="1337" s="1"/>
      </t>
    </mdx>
    <mdx n="33" f="v">
      <t c="4">
        <n x="737"/>
        <n x="12"/>
        <n x="7"/>
        <n x="1337" s="1"/>
      </t>
    </mdx>
    <mdx n="33" f="v">
      <t c="4" si="9">
        <n x="760"/>
        <n x="0"/>
        <n x="7"/>
        <n x="1337" s="1"/>
      </t>
    </mdx>
    <mdx n="33" f="v">
      <t c="4">
        <n x="789"/>
        <n x="1"/>
        <n x="7"/>
        <n x="1337" s="1"/>
      </t>
    </mdx>
    <mdx n="33" f="v">
      <t c="3">
        <n x="813"/>
        <n x="1336"/>
        <n x="1337" s="1"/>
      </t>
    </mdx>
    <mdx n="33" f="v">
      <t c="4">
        <n x="255"/>
        <n x="12"/>
        <n x="7"/>
        <n x="1337" s="1"/>
      </t>
    </mdx>
    <mdx n="33" f="v">
      <t c="4">
        <n x="606"/>
        <n x="12"/>
        <n x="7"/>
        <n x="1337" s="1"/>
      </t>
    </mdx>
    <mdx n="33" f="v">
      <t c="4">
        <n x="686"/>
        <n x="1"/>
        <n x="7"/>
        <n x="1337" s="1"/>
      </t>
    </mdx>
    <mdx n="33" f="v">
      <t c="4">
        <n x="712"/>
        <n x="11"/>
        <n x="32"/>
        <n x="1337" s="1"/>
      </t>
    </mdx>
    <mdx n="33" f="v">
      <t c="4" si="10">
        <n x="735"/>
        <n x="12"/>
        <n x="32"/>
        <n x="1337" s="1"/>
      </t>
    </mdx>
    <mdx n="33" f="v">
      <t c="4" si="10">
        <n x="759"/>
        <n x="0"/>
        <n x="32"/>
        <n x="1337" s="1"/>
      </t>
    </mdx>
    <mdx n="33" f="v">
      <t c="4" si="10">
        <n x="787"/>
        <n x="12"/>
        <n x="32"/>
        <n x="1337" s="1"/>
      </t>
    </mdx>
    <mdx n="33" f="v">
      <t c="4">
        <n x="811"/>
        <n x="11"/>
        <n x="7"/>
        <n x="1337" s="1"/>
      </t>
    </mdx>
    <mdx n="33" f="v">
      <t c="3">
        <n x="427"/>
        <n x="1336"/>
        <n x="1337" s="1"/>
      </t>
    </mdx>
    <mdx n="33" f="v">
      <t c="3">
        <n x="420"/>
        <n x="1336"/>
        <n x="1337" s="1"/>
      </t>
    </mdx>
    <mdx n="33" f="v">
      <t c="4">
        <n x="247"/>
        <n x="0"/>
        <n x="32"/>
        <n x="1337" s="1"/>
      </t>
    </mdx>
    <mdx n="33" f="v">
      <t c="4">
        <n x="443"/>
        <n x="0"/>
        <n x="7"/>
        <n x="1337" s="1"/>
      </t>
    </mdx>
    <mdx n="33" f="v">
      <t c="3" fi="0">
        <n x="534"/>
        <n x="1336"/>
        <n x="1337" s="1"/>
      </t>
    </mdx>
    <mdx n="33" f="v">
      <t c="3">
        <n x="674"/>
        <n x="1336"/>
        <n x="1337" s="1"/>
      </t>
    </mdx>
    <mdx n="33" f="v">
      <t c="3" fi="0">
        <n x="535"/>
        <n x="1336"/>
        <n x="1337" s="1"/>
      </t>
    </mdx>
    <mdx n="33" f="v">
      <t c="4">
        <n x="658"/>
        <n x="1"/>
        <n x="7"/>
        <n x="1337" s="1"/>
      </t>
    </mdx>
    <mdx n="33" f="v">
      <t c="4">
        <n x="244"/>
        <n x="11"/>
        <n x="32"/>
        <n x="1337" s="1"/>
      </t>
    </mdx>
    <mdx n="33" f="v">
      <t c="4">
        <n x="445"/>
        <n x="12"/>
        <n x="7"/>
        <n x="1337" s="1"/>
      </t>
    </mdx>
    <mdx n="33" f="v">
      <t c="4" si="9">
        <n x="501"/>
        <n x="12"/>
        <n x="7"/>
        <n x="1337" s="1"/>
      </t>
    </mdx>
    <mdx n="33" f="v">
      <t c="3" fi="0">
        <n x="552"/>
        <n x="1336"/>
        <n x="1337" s="1"/>
      </t>
    </mdx>
    <mdx n="33" f="v">
      <t c="3">
        <n x="1171"/>
        <n x="1336"/>
        <n x="1337" s="1"/>
      </t>
    </mdx>
    <mdx n="33" f="v">
      <t c="6" si="10">
        <n x="15"/>
        <n x="1337" s="1"/>
        <n x="38"/>
        <n x="32"/>
        <n x="19"/>
        <n x="3"/>
      </t>
    </mdx>
    <mdx n="33" f="v">
      <t c="4">
        <n x="94"/>
        <n x="0"/>
        <n x="32"/>
        <n x="1337" s="1"/>
      </t>
    </mdx>
    <mdx n="33" f="v">
      <t c="6" si="10">
        <n x="15"/>
        <n x="1337" s="1"/>
        <n x="36"/>
        <n x="32"/>
        <n x="24"/>
        <n x="0"/>
      </t>
    </mdx>
    <mdx n="33" f="v">
      <t c="6" si="10">
        <n x="15"/>
        <n x="1337" s="1"/>
        <n x="38"/>
        <n x="32"/>
        <n x="19"/>
        <n x="1"/>
      </t>
    </mdx>
    <mdx n="33" f="v">
      <t c="6" si="10">
        <n x="15"/>
        <n x="1337" s="1"/>
        <n x="35"/>
        <n x="32"/>
        <n x="20"/>
        <n x="12"/>
      </t>
    </mdx>
    <mdx n="33" f="v">
      <t c="4">
        <n x="74"/>
        <n x="0"/>
        <n x="32"/>
        <n x="1337" s="1"/>
      </t>
    </mdx>
    <mdx n="33" f="v">
      <t c="6" si="10">
        <n x="15"/>
        <n x="1337" s="1"/>
        <n x="42"/>
        <n x="32"/>
        <n x="18"/>
        <n x="0"/>
      </t>
    </mdx>
    <mdx n="33" f="v">
      <t c="6" si="10">
        <n x="15"/>
        <n x="1337" s="1"/>
        <n x="42"/>
        <n x="32"/>
        <n x="23"/>
        <n x="0"/>
      </t>
    </mdx>
    <mdx n="33" f="v">
      <t c="3">
        <n x="275"/>
        <n x="1336"/>
        <n x="1337" s="1"/>
      </t>
    </mdx>
    <mdx n="33" f="v">
      <t c="4">
        <n x="61"/>
        <n x="0"/>
        <n x="32"/>
        <n x="1337" s="1"/>
      </t>
    </mdx>
    <mdx n="33" f="v">
      <t c="6">
        <n x="15"/>
        <n x="1337" s="1"/>
        <n x="42"/>
        <n x="7"/>
        <n x="19"/>
        <n x="1"/>
      </t>
    </mdx>
    <mdx n="33" f="v">
      <t c="4">
        <n x="150"/>
        <n x="12"/>
        <n x="7"/>
        <n x="1337" s="1"/>
      </t>
    </mdx>
    <mdx n="33" f="v">
      <t c="4">
        <n x="271"/>
        <n x="14"/>
        <n x="32"/>
        <n x="1337" s="1"/>
      </t>
    </mdx>
    <mdx n="33" f="v">
      <t c="4">
        <n x="49"/>
        <n x="1"/>
        <n x="7"/>
        <n x="1337" s="1"/>
      </t>
    </mdx>
    <mdx n="33" f="v">
      <t c="6">
        <n x="15"/>
        <n x="1337" s="1"/>
        <n x="47"/>
        <n x="7"/>
        <n x="19"/>
        <n x="12"/>
      </t>
    </mdx>
    <mdx n="33" f="v">
      <t c="6" si="10">
        <n x="15"/>
        <n x="1337" s="1"/>
        <n x="37"/>
        <n x="32"/>
        <n x="30"/>
        <n x="3"/>
      </t>
    </mdx>
    <mdx n="33" f="v">
      <t c="3">
        <n x="274"/>
        <n x="1336"/>
        <n x="1337" s="1"/>
      </t>
    </mdx>
    <mdx n="33" f="v">
      <t c="4">
        <n x="57"/>
        <n x="1"/>
        <n x="7"/>
        <n x="1337" s="1"/>
      </t>
    </mdx>
    <mdx n="33" f="v">
      <t c="3">
        <n x="306"/>
        <n x="1336"/>
        <n x="1337" s="1"/>
      </t>
    </mdx>
    <mdx n="33" f="v">
      <t c="4">
        <n x="254"/>
        <n x="14"/>
        <n x="32"/>
        <n x="1337" s="1"/>
      </t>
    </mdx>
    <mdx n="33" f="v">
      <t c="4">
        <n x="372"/>
        <n x="0"/>
        <n x="32"/>
        <n x="1337" s="1"/>
      </t>
    </mdx>
    <mdx n="33" f="v">
      <t c="4">
        <n x="219"/>
        <n x="0"/>
        <n x="7"/>
        <n x="1337" s="1"/>
      </t>
    </mdx>
    <mdx n="33" f="v">
      <t c="4">
        <n x="399"/>
        <n x="0"/>
        <n x="7"/>
        <n x="1337" s="1"/>
      </t>
    </mdx>
    <mdx n="33" f="v">
      <t c="3">
        <n x="490"/>
        <n x="1336"/>
        <n x="1337" s="1"/>
      </t>
    </mdx>
    <mdx n="33" f="v">
      <t c="3">
        <n x="654"/>
        <n x="1336"/>
        <n x="1337" s="1"/>
      </t>
    </mdx>
    <mdx n="33" f="v">
      <t c="3">
        <n x="491"/>
        <n x="1336"/>
        <n x="1337" s="1"/>
      </t>
    </mdx>
    <mdx n="33" f="v">
      <t c="6" si="9">
        <n x="15"/>
        <n x="1337" s="1"/>
        <n x="45"/>
        <n x="7"/>
        <n x="16"/>
        <n x="12"/>
      </t>
    </mdx>
    <mdx n="33" f="v">
      <t c="4">
        <n x="222"/>
        <n x="1"/>
        <n x="7"/>
        <n x="1337" s="1"/>
      </t>
    </mdx>
    <mdx n="33" f="v">
      <t c="4">
        <n x="296"/>
        <n x="0"/>
        <n x="32"/>
        <n x="1337" s="1"/>
      </t>
    </mdx>
    <mdx n="33" f="v">
      <t c="4">
        <n x="393"/>
        <n x="12"/>
        <n x="7"/>
        <n x="1337" s="1"/>
      </t>
    </mdx>
    <mdx n="33" f="v">
      <t c="6">
        <n x="15"/>
        <n x="1337" s="1"/>
        <n x="36"/>
        <n x="7"/>
        <n x="17"/>
        <n x="2"/>
      </t>
    </mdx>
    <mdx n="33" f="v">
      <t c="4">
        <n x="166"/>
        <n x="1"/>
        <n x="32"/>
        <n x="1337" s="1"/>
      </t>
    </mdx>
    <mdx n="33" f="v">
      <t c="4">
        <n x="230"/>
        <n x="0"/>
        <n x="32"/>
        <n x="1337" s="1"/>
      </t>
    </mdx>
    <mdx n="33" f="v">
      <t c="4">
        <n x="272"/>
        <n x="0"/>
        <n x="32"/>
        <n x="1337" s="1"/>
      </t>
    </mdx>
    <mdx n="33" f="v">
      <t c="3">
        <n x="347"/>
        <n x="1336"/>
        <n x="1337" s="1"/>
      </t>
    </mdx>
    <mdx n="33" f="v">
      <t c="4">
        <n x="416"/>
        <n x="1"/>
        <n x="32"/>
        <n x="1337" s="1"/>
      </t>
    </mdx>
    <mdx n="33" f="v">
      <t c="4">
        <n x="130"/>
        <n x="0"/>
        <n x="32"/>
        <n x="1337" s="1"/>
      </t>
    </mdx>
    <mdx n="33" f="v">
      <t c="4">
        <n x="369"/>
        <n x="12"/>
        <n x="7"/>
        <n x="1337" s="1"/>
      </t>
    </mdx>
    <mdx n="33" f="v">
      <t c="4" si="10">
        <n x="481"/>
        <n x="1"/>
        <n x="32"/>
        <n x="1337" s="1"/>
      </t>
    </mdx>
    <mdx n="33" f="v">
      <t c="4" si="9">
        <n x="532"/>
        <n x="0"/>
        <n x="7"/>
        <n x="1337" s="1"/>
      </t>
    </mdx>
    <mdx n="33" f="v">
      <t c="4" si="10">
        <n x="584"/>
        <n x="0"/>
        <n x="32"/>
        <n x="1337" s="1"/>
      </t>
    </mdx>
    <mdx n="33" f="v">
      <t c="4">
        <n x="626"/>
        <n x="14"/>
        <n x="7"/>
        <n x="1337" s="1"/>
      </t>
    </mdx>
    <mdx n="33" f="v">
      <t c="3">
        <n x="650"/>
        <n x="1336"/>
        <n x="1337" s="1"/>
      </t>
    </mdx>
    <mdx n="33" f="v">
      <t c="4" si="10">
        <n x="673"/>
        <n x="11"/>
        <n x="32"/>
        <n x="1337" s="1"/>
      </t>
    </mdx>
    <mdx n="33" f="v">
      <t c="3">
        <n x="192"/>
        <n x="1336"/>
        <n x="1337" s="1"/>
      </t>
    </mdx>
    <mdx n="33" f="v">
      <t c="4">
        <n x="373"/>
        <n x="12"/>
        <n x="7"/>
        <n x="1337" s="1"/>
      </t>
    </mdx>
    <mdx n="33" f="v">
      <t c="4">
        <n x="482"/>
        <n x="1"/>
        <n x="32"/>
        <n x="1337" s="1"/>
      </t>
    </mdx>
    <mdx n="33" f="v">
      <t c="4" si="9">
        <n x="533"/>
        <n x="0"/>
        <n x="7"/>
        <n x="1337" s="1"/>
      </t>
    </mdx>
    <mdx n="33" f="v">
      <t c="4" si="10">
        <n x="585"/>
        <n x="0"/>
        <n x="32"/>
        <n x="1337" s="1"/>
      </t>
    </mdx>
    <mdx n="33" f="v">
      <t c="4">
        <n x="627"/>
        <n x="0"/>
        <n x="7"/>
        <n x="1337" s="1"/>
      </t>
    </mdx>
    <mdx n="33" f="v">
      <t c="4">
        <n x="650"/>
        <n x="1"/>
        <n x="7"/>
        <n x="1337" s="1"/>
      </t>
    </mdx>
    <mdx n="33" f="v">
      <t c="6" si="10">
        <n x="15"/>
        <n x="1337" s="1"/>
        <n x="46"/>
        <n x="32"/>
        <n x="16"/>
        <n x="12"/>
      </t>
    </mdx>
    <mdx n="33" f="v">
      <t c="4">
        <n x="206"/>
        <n x="12"/>
        <n x="7"/>
        <n x="1337" s="1"/>
      </t>
    </mdx>
    <mdx n="33" f="v">
      <t c="4">
        <n x="386"/>
        <n x="11"/>
        <n x="7"/>
        <n x="1337" s="1"/>
      </t>
    </mdx>
    <mdx n="33" f="v">
      <t c="4">
        <n x="224"/>
        <n x="1"/>
        <n x="7"/>
        <n x="1337" s="1"/>
      </t>
    </mdx>
    <mdx n="33" f="v">
      <t c="4">
        <n x="271"/>
        <n x="1"/>
        <n x="7"/>
        <n x="1337" s="1"/>
      </t>
    </mdx>
    <mdx n="33" f="v">
      <t c="4">
        <n x="348"/>
        <n x="0"/>
        <n x="7"/>
        <n x="1337" s="1"/>
      </t>
    </mdx>
    <mdx n="33" f="v">
      <t c="4">
        <n x="410"/>
        <n x="0"/>
        <n x="32"/>
        <n x="1337" s="1"/>
      </t>
    </mdx>
    <mdx n="33" f="v">
      <t c="6" si="10">
        <n x="15"/>
        <n x="1337" s="1"/>
        <n x="43"/>
        <n x="32"/>
        <n x="20"/>
        <n x="3"/>
      </t>
    </mdx>
    <mdx n="33" f="v">
      <t c="4">
        <n x="137"/>
        <n x="0"/>
        <n x="32"/>
        <n x="1337" s="1"/>
      </t>
    </mdx>
    <mdx n="33" f="v">
      <t c="4">
        <n x="202"/>
        <n x="1"/>
        <n x="32"/>
        <n x="1337" s="1"/>
      </t>
    </mdx>
    <mdx n="33" f="v">
      <t c="4">
        <n x="240"/>
        <n x="0"/>
        <n x="7"/>
        <n x="1337" s="1"/>
      </t>
    </mdx>
    <mdx n="33" f="v">
      <t c="4">
        <n x="272"/>
        <n x="0"/>
        <n x="7"/>
        <n x="1337" s="1"/>
      </t>
    </mdx>
    <mdx n="33" f="v">
      <t c="4">
        <n x="332"/>
        <n x="12"/>
        <n x="7"/>
        <n x="1337" s="1"/>
      </t>
    </mdx>
    <mdx n="33" f="v">
      <t c="3">
        <n x="383"/>
        <n x="1336"/>
        <n x="1337" s="1"/>
      </t>
    </mdx>
    <mdx n="33" f="v">
      <t c="3">
        <n x="433"/>
        <n x="1336"/>
        <n x="1337" s="1"/>
      </t>
    </mdx>
    <mdx n="33" f="v">
      <t c="4">
        <n x="146"/>
        <n x="0"/>
        <n x="32"/>
        <n x="1337" s="1"/>
      </t>
    </mdx>
    <mdx n="33" f="v">
      <t c="4" si="10">
        <n x="334"/>
        <n x="0"/>
        <n x="32"/>
        <n x="1337" s="1"/>
      </t>
    </mdx>
    <mdx n="33" f="v">
      <t c="4" si="9">
        <n x="472"/>
        <n x="0"/>
        <n x="7"/>
        <n x="1337" s="1"/>
      </t>
    </mdx>
    <mdx n="33" f="v">
      <t c="4" si="10">
        <n x="524"/>
        <n x="0"/>
        <n x="32"/>
        <n x="1337" s="1"/>
      </t>
    </mdx>
    <mdx n="33" f="v">
      <t c="4" si="9">
        <n x="575"/>
        <n x="12"/>
        <n x="7"/>
        <n x="1337" s="1"/>
      </t>
    </mdx>
    <mdx n="33" f="v">
      <t c="4">
        <n x="622"/>
        <n x="14"/>
        <n x="7"/>
        <n x="1337" s="1"/>
      </t>
    </mdx>
    <mdx n="33" f="v">
      <t c="3">
        <n x="646"/>
        <n x="1336"/>
        <n x="1337" s="1"/>
      </t>
    </mdx>
    <mdx n="33" f="v">
      <t c="4" si="10">
        <n x="669"/>
        <n x="11"/>
        <n x="32"/>
        <n x="1337" s="1"/>
      </t>
    </mdx>
    <mdx n="33" f="v">
      <t c="4">
        <n x="157"/>
        <n x="12"/>
        <n x="7"/>
        <n x="1337" s="1"/>
      </t>
    </mdx>
    <mdx n="33" f="v">
      <t c="4">
        <n x="338"/>
        <n x="0"/>
        <n x="32"/>
        <n x="1337" s="1"/>
      </t>
    </mdx>
    <mdx n="33" f="v">
      <t c="4" si="9">
        <n x="473"/>
        <n x="0"/>
        <n x="7"/>
        <n x="1337" s="1"/>
      </t>
    </mdx>
    <mdx n="33" f="v">
      <t c="4" si="10">
        <n x="525"/>
        <n x="0"/>
        <n x="32"/>
        <n x="1337" s="1"/>
      </t>
    </mdx>
    <mdx n="33" f="v">
      <t c="4" si="9">
        <n x="576"/>
        <n x="12"/>
        <n x="7"/>
        <n x="1337" s="1"/>
      </t>
    </mdx>
    <mdx n="33" f="v">
      <t c="4" si="9">
        <n x="623"/>
        <n x="0"/>
        <n x="7"/>
        <n x="1337" s="1"/>
      </t>
    </mdx>
    <mdx n="33" f="v">
      <t c="4">
        <n x="646"/>
        <n x="1"/>
        <n x="7"/>
        <n x="1337" s="1"/>
      </t>
    </mdx>
    <mdx n="33" f="v">
      <t c="6" si="9">
        <n x="15"/>
        <n x="1337" s="1"/>
        <n x="43"/>
        <n x="7"/>
        <n x="30"/>
        <n x="1"/>
      </t>
    </mdx>
    <mdx n="33" f="v">
      <t c="3">
        <n x="1280"/>
        <n x="1336"/>
        <n x="1337" s="1"/>
      </t>
    </mdx>
    <mdx n="33" f="v">
      <t c="4">
        <n x="235"/>
        <n x="1"/>
        <n x="32"/>
        <n x="1337" s="1"/>
      </t>
    </mdx>
    <mdx n="33" f="v">
      <t c="6" si="10">
        <n x="15"/>
        <n x="1337" s="1"/>
        <n x="37"/>
        <n x="32"/>
        <n x="4"/>
        <n x="0"/>
      </t>
    </mdx>
    <mdx n="33" f="v">
      <t c="4">
        <n x="277"/>
        <n x="0"/>
        <n x="32"/>
        <n x="1337" s="1"/>
      </t>
    </mdx>
    <mdx n="33" f="v">
      <t c="4">
        <n x="182"/>
        <n x="0"/>
        <n x="32"/>
        <n x="1337" s="1"/>
      </t>
    </mdx>
    <mdx n="33" f="v">
      <t c="3" fi="0">
        <n x="582"/>
        <n x="1336"/>
        <n x="1337" s="1"/>
      </t>
    </mdx>
    <mdx n="33" f="v">
      <t c="4">
        <n x="186"/>
        <n x="0"/>
        <n x="32"/>
        <n x="1337" s="1"/>
      </t>
    </mdx>
    <mdx n="33" f="v">
      <t c="3" fi="0">
        <n x="583"/>
        <n x="1336"/>
        <n x="1337" s="1"/>
      </t>
    </mdx>
    <mdx n="33" f="v">
      <t c="4" si="9">
        <n x="665"/>
        <n x="14"/>
        <n x="7"/>
        <n x="1337" s="1"/>
      </t>
    </mdx>
    <mdx n="33" f="v">
      <t c="4">
        <n x="278"/>
        <n x="11"/>
        <n x="32"/>
        <n x="1337" s="1"/>
      </t>
    </mdx>
    <mdx n="33" f="v">
      <t c="4">
        <n x="461"/>
        <n x="12"/>
        <n x="7"/>
        <n x="1337" s="1"/>
      </t>
    </mdx>
    <mdx n="33" f="v">
      <t c="4" si="9">
        <n x="513"/>
        <n x="12"/>
        <n x="7"/>
        <n x="1337" s="1"/>
      </t>
    </mdx>
    <mdx n="33" f="v">
      <t c="3" fi="0">
        <n x="564"/>
        <n x="1336"/>
        <n x="1337" s="1"/>
      </t>
    </mdx>
    <mdx n="33" f="v">
      <t c="4">
        <n x="615"/>
        <n x="1"/>
        <n x="32"/>
        <n x="1337" s="1"/>
      </t>
    </mdx>
    <mdx n="33" f="v">
      <t c="4" si="10">
        <n x="641"/>
        <n x="1"/>
        <n x="32"/>
        <n x="1337" s="1"/>
      </t>
    </mdx>
    <mdx n="33" f="v">
      <t c="4" si="10">
        <n x="664"/>
        <n x="14"/>
        <n x="32"/>
        <n x="1337" s="1"/>
      </t>
    </mdx>
    <mdx n="33" f="v">
      <t c="4">
        <n x="687"/>
        <n x="11"/>
        <n x="7"/>
        <n x="1337" s="1"/>
      </t>
    </mdx>
    <mdx n="33" f="v">
      <t c="3">
        <n x="477"/>
        <n x="1336"/>
        <n x="1337" s="1"/>
      </t>
    </mdx>
    <mdx n="33" f="v">
      <t c="4" si="10">
        <n x="648"/>
        <n x="1"/>
        <n x="32"/>
        <n x="1337" s="1"/>
      </t>
    </mdx>
    <mdx n="33" f="v">
      <t c="4">
        <n x="697"/>
        <n x="11"/>
        <n x="7"/>
        <n x="1337" s="1"/>
      </t>
    </mdx>
    <mdx n="33" f="v">
      <t c="4">
        <n x="721"/>
        <n x="12"/>
        <n x="7"/>
        <n x="1337" s="1"/>
      </t>
    </mdx>
    <mdx n="33" f="v">
      <t c="4">
        <n x="744"/>
        <n x="0"/>
        <n x="7"/>
        <n x="1337" s="1"/>
      </t>
    </mdx>
    <mdx n="33" f="v">
      <t c="4">
        <n x="767"/>
        <n x="1"/>
        <n x="7"/>
        <n x="1337" s="1"/>
      </t>
    </mdx>
    <mdx n="33" f="v">
      <t c="3">
        <n x="797"/>
        <n x="1336"/>
        <n x="1337" s="1"/>
      </t>
    </mdx>
    <mdx n="33" f="v">
      <t c="4">
        <n x="820"/>
        <n x="11"/>
        <n x="32"/>
        <n x="1337" s="1"/>
      </t>
    </mdx>
    <mdx n="33" f="v">
      <t c="4" si="9">
        <n x="465"/>
        <n x="0"/>
        <n x="7"/>
        <n x="1337" s="1"/>
      </t>
    </mdx>
    <mdx n="33" f="v">
      <t c="4">
        <n x="642"/>
        <n x="11"/>
        <n x="7"/>
        <n x="1337" s="1"/>
      </t>
    </mdx>
    <mdx n="33" f="v">
      <t c="4">
        <n x="696"/>
        <n x="0"/>
        <n x="7"/>
        <n x="1337" s="1"/>
      </t>
    </mdx>
    <mdx n="33" f="v">
      <t c="4">
        <n x="719"/>
        <n x="12"/>
        <n x="32"/>
        <n x="1337" s="1"/>
      </t>
    </mdx>
    <mdx n="33" f="v">
      <t c="4">
        <n x="743"/>
        <n x="0"/>
        <n x="32"/>
        <n x="1337" s="1"/>
      </t>
    </mdx>
    <mdx n="33" f="v">
      <t c="4" si="10">
        <n x="766"/>
        <n x="1"/>
        <n x="32"/>
        <n x="1337" s="1"/>
      </t>
    </mdx>
    <mdx n="33" f="v">
      <t c="4">
        <n x="795"/>
        <n x="11"/>
        <n x="7"/>
        <n x="1337" s="1"/>
      </t>
    </mdx>
    <mdx n="33" f="v">
      <t c="6" si="10">
        <n x="15"/>
        <n x="1337" s="1"/>
        <n x="42"/>
        <n x="32"/>
        <n x="26"/>
        <n x="2"/>
      </t>
    </mdx>
    <mdx n="33" f="v">
      <t c="4">
        <n x="248"/>
        <n x="1"/>
        <n x="7"/>
        <n x="1337" s="1"/>
      </t>
    </mdx>
    <mdx n="33" f="v">
      <t c="4">
        <n x="53"/>
        <n x="11"/>
        <n x="32"/>
        <n x="1337" s="1"/>
      </t>
    </mdx>
    <mdx n="33" f="v">
      <t c="4">
        <n x="304"/>
        <n x="12"/>
        <n x="7"/>
        <n x="1337" s="1"/>
      </t>
    </mdx>
    <mdx n="33" f="v">
      <t c="4">
        <n x="235"/>
        <n x="11"/>
        <n x="32"/>
        <n x="1337" s="1"/>
      </t>
    </mdx>
    <mdx n="33" f="v">
      <t c="3" fi="0">
        <n x="598"/>
        <n x="1336"/>
        <n x="1337" s="1"/>
      </t>
    </mdx>
    <mdx n="33" f="v">
      <t c="4">
        <n x="238"/>
        <n x="12"/>
        <n x="7"/>
        <n x="1337" s="1"/>
      </t>
    </mdx>
    <mdx n="33" f="v">
      <t c="3" fi="0">
        <n x="599"/>
        <n x="1336"/>
        <n x="1337" s="1"/>
      </t>
    </mdx>
    <mdx n="33" f="v">
      <t c="4">
        <n x="668"/>
        <n x="12"/>
        <n x="7"/>
        <n x="1337" s="1"/>
      </t>
    </mdx>
    <mdx n="33" f="v">
      <t c="4">
        <n x="306"/>
        <n x="0"/>
        <n x="7"/>
        <n x="1337" s="1"/>
      </t>
    </mdx>
    <mdx n="33" f="v">
      <t c="4">
        <n x="466"/>
        <n x="1"/>
        <n x="32"/>
        <n x="1337" s="1"/>
      </t>
    </mdx>
    <mdx n="33" f="v">
      <t c="4" si="9">
        <n x="517"/>
        <n x="12"/>
        <n x="7"/>
        <n x="1337" s="1"/>
      </t>
    </mdx>
    <mdx n="33" f="v">
      <t c="6" si="10">
        <n x="15"/>
        <n x="1337" s="1"/>
        <n x="36"/>
        <n x="32"/>
        <n x="21"/>
        <n x="0"/>
      </t>
    </mdx>
    <mdx n="33" f="v">
      <t c="5" si="9">
        <n x="15"/>
        <n x="1337" s="1"/>
        <n x="8"/>
        <n x="7"/>
        <n x="27"/>
      </t>
    </mdx>
    <mdx n="33" f="v">
      <t c="6" si="9">
        <n x="15"/>
        <n x="1337" s="1"/>
        <n x="42"/>
        <n x="7"/>
        <n x="24"/>
        <n x="3"/>
      </t>
    </mdx>
    <mdx n="33" f="v">
      <t c="6" si="9">
        <n x="15"/>
        <n x="1337" s="1"/>
        <n x="36"/>
        <n x="7"/>
        <n x="21"/>
        <n x="1"/>
      </t>
    </mdx>
    <mdx n="33" f="v">
      <t c="6" si="10">
        <n x="15"/>
        <n x="1337" s="1"/>
        <n x="42"/>
        <n x="32"/>
        <n x="19"/>
        <n x="0"/>
      </t>
    </mdx>
    <mdx n="33" f="v">
      <t c="6">
        <n x="15"/>
        <n x="1337" s="1"/>
        <n x="41"/>
        <n x="7"/>
        <n x="16"/>
        <n x="3"/>
      </t>
    </mdx>
    <mdx n="33" f="v">
      <t c="6">
        <n x="15"/>
        <n x="1337" s="1"/>
        <n x="38"/>
        <n x="7"/>
        <n x="25"/>
        <n x="0"/>
      </t>
    </mdx>
    <mdx n="33" f="v">
      <t c="6" si="9">
        <n x="15"/>
        <n x="1337" s="1"/>
        <n x="39"/>
        <n x="7"/>
        <n x="4"/>
        <n x="3"/>
      </t>
    </mdx>
    <mdx n="33" f="v">
      <t c="6" si="9">
        <n x="15"/>
        <n x="1337" s="1"/>
        <n x="42"/>
        <n x="7"/>
        <n x="17"/>
        <n x="1"/>
      </t>
    </mdx>
    <mdx n="33" f="v">
      <t c="3">
        <n x="181"/>
        <n x="1336"/>
        <n x="1337" s="1"/>
      </t>
    </mdx>
    <mdx n="33" f="v">
      <t c="4">
        <n x="362"/>
        <n x="12"/>
        <n x="7"/>
        <n x="1337" s="1"/>
      </t>
    </mdx>
    <mdx n="33" f="v">
      <t c="4">
        <n x="204"/>
        <n x="0"/>
        <n x="32"/>
        <n x="1337" s="1"/>
      </t>
    </mdx>
    <mdx n="33" f="v">
      <t c="6" si="10">
        <n x="15"/>
        <n x="1337" s="1"/>
        <n x="39"/>
        <n x="32"/>
        <n x="19"/>
        <n x="2"/>
      </t>
    </mdx>
    <mdx n="33" f="v">
      <t c="4">
        <n x="175"/>
        <n x="0"/>
        <n x="7"/>
        <n x="1337" s="1"/>
      </t>
    </mdx>
    <mdx n="33" f="v">
      <t c="4">
        <n x="356"/>
        <n x="1"/>
        <n x="32"/>
        <n x="1337" s="1"/>
      </t>
    </mdx>
    <mdx n="33" f="v">
      <t c="3">
        <n x="198"/>
        <n x="1336"/>
        <n x="1337" s="1"/>
      </t>
    </mdx>
    <mdx n="33" f="v">
      <t c="6" si="10">
        <n x="15"/>
        <n x="1337" s="1"/>
        <n x="37"/>
        <n x="32"/>
        <n x="16"/>
        <n x="3"/>
      </t>
    </mdx>
    <mdx n="33" f="v">
      <t c="4">
        <n x="179"/>
        <n x="0"/>
        <n x="7"/>
        <n x="1337" s="1"/>
      </t>
    </mdx>
    <mdx n="33" f="v">
      <t c="4">
        <n x="360"/>
        <n x="1"/>
        <n x="32"/>
        <n x="1337" s="1"/>
      </t>
    </mdx>
    <mdx n="33" f="v">
      <t c="3">
        <n x="202"/>
        <n x="1336"/>
        <n x="1337" s="1"/>
      </t>
    </mdx>
    <mdx n="33" f="v">
      <t c="4">
        <n x="383"/>
        <n x="12"/>
        <n x="7"/>
        <n x="1337" s="1"/>
      </t>
    </mdx>
    <mdx n="33" f="v">
      <t c="4">
        <n x="196"/>
        <n x="0"/>
        <n x="7"/>
        <n x="1337" s="1"/>
      </t>
    </mdx>
    <mdx n="33" f="v">
      <t c="6" si="10">
        <n x="15"/>
        <n x="1337" s="1"/>
        <n x="40"/>
        <n x="32"/>
        <n x="26"/>
        <n x="1"/>
      </t>
    </mdx>
    <mdx n="33" f="v">
      <t c="4">
        <n x="267"/>
        <n x="0"/>
        <n x="7"/>
        <n x="1337" s="1"/>
      </t>
    </mdx>
    <mdx n="33" f="v">
      <t c="4">
        <n x="49"/>
        <n x="0"/>
        <n x="32"/>
        <n x="1337" s="1"/>
      </t>
    </mdx>
    <mdx n="33" f="v">
      <t c="4" si="9">
        <n x="567"/>
        <n x="12"/>
        <n x="7"/>
        <n x="1337" s="1"/>
      </t>
    </mdx>
    <mdx n="33" f="v">
      <t c="4">
        <n x="57"/>
        <n x="0"/>
        <n x="32"/>
        <n x="1337" s="1"/>
      </t>
    </mdx>
    <mdx n="33" f="v">
      <t c="4" si="9">
        <n x="568"/>
        <n x="12"/>
        <n x="7"/>
        <n x="1337" s="1"/>
      </t>
    </mdx>
    <mdx n="33" f="v">
      <t c="4">
        <n x="164"/>
        <n x="1"/>
        <n x="32"/>
        <n x="1337" s="1"/>
      </t>
    </mdx>
    <mdx n="33" f="v">
      <t c="4">
        <n x="249"/>
        <n x="1"/>
        <n x="7"/>
        <n x="1337" s="1"/>
      </t>
    </mdx>
    <mdx n="33" f="v">
      <t c="3">
        <n x="334"/>
        <n x="1336"/>
        <n x="1337" s="1"/>
      </t>
    </mdx>
    <mdx n="33" f="v">
      <t c="4">
        <n x="418"/>
        <n x="0"/>
        <n x="7"/>
        <n x="1337" s="1"/>
      </t>
    </mdx>
    <mdx n="33" f="v">
      <t c="4">
        <n x="56"/>
        <n x="14"/>
        <n x="32"/>
        <n x="1337" s="1"/>
      </t>
    </mdx>
    <mdx n="33" f="v">
      <t c="4">
        <n x="192"/>
        <n x="12"/>
        <n x="7"/>
        <n x="1337" s="1"/>
      </t>
    </mdx>
    <mdx n="33" f="v">
      <t c="4">
        <n x="246"/>
        <n x="0"/>
        <n x="32"/>
        <n x="1337" s="1"/>
      </t>
    </mdx>
    <mdx n="33" f="v">
      <t c="4">
        <n x="305"/>
        <n x="0"/>
        <n x="7"/>
        <n x="1337" s="1"/>
      </t>
    </mdx>
    <mdx n="33" f="v">
      <t c="4">
        <n x="373"/>
        <n x="0"/>
        <n x="32"/>
        <n x="1337" s="1"/>
      </t>
    </mdx>
    <mdx n="33" f="v">
      <t c="4">
        <n x="442"/>
        <n x="12"/>
        <n x="7"/>
        <n x="1337" s="1"/>
      </t>
    </mdx>
    <mdx n="33" f="v">
      <t c="4">
        <n x="239"/>
        <n x="11"/>
        <n x="32"/>
        <n x="1337" s="1"/>
      </t>
    </mdx>
    <mdx n="33" f="v">
      <t c="4">
        <n x="444"/>
        <n x="0"/>
        <n x="7"/>
        <n x="1337" s="1"/>
      </t>
    </mdx>
    <mdx n="33" f="v">
      <t c="4" si="9">
        <n x="500"/>
        <n x="0"/>
        <n x="7"/>
        <n x="1337" s="1"/>
      </t>
    </mdx>
    <mdx n="33" f="v">
      <t c="4">
        <n x="552"/>
        <n x="0"/>
        <n x="32"/>
        <n x="1337" s="1"/>
      </t>
    </mdx>
    <mdx n="33" f="v">
      <t c="4">
        <n x="603"/>
        <n x="12"/>
        <n x="7"/>
        <n x="1337" s="1"/>
      </t>
    </mdx>
    <mdx n="33" f="v">
      <t c="4">
        <n x="635"/>
        <n x="1"/>
        <n x="7"/>
        <n x="1337" s="1"/>
      </t>
    </mdx>
    <mdx n="33" f="v">
      <t c="4">
        <n x="658"/>
        <n x="14"/>
        <n x="7"/>
        <n x="1337" s="1"/>
      </t>
    </mdx>
    <mdx n="33" f="v">
      <t c="3">
        <n x="682"/>
        <n x="1336"/>
        <n x="1337" s="1"/>
      </t>
    </mdx>
    <mdx n="33" f="v">
      <t c="4">
        <n x="250"/>
        <n x="12"/>
        <n x="7"/>
        <n x="1337" s="1"/>
      </t>
    </mdx>
    <mdx n="33" f="v">
      <t c="4" si="10">
        <n x="446"/>
        <n x="0"/>
        <n x="32"/>
        <n x="1337" s="1"/>
      </t>
    </mdx>
    <mdx n="33" f="v">
      <t c="4" si="9">
        <n x="501"/>
        <n x="0"/>
        <n x="7"/>
        <n x="1337" s="1"/>
      </t>
    </mdx>
    <mdx n="33" f="v">
      <t c="4" si="10">
        <n x="553"/>
        <n x="0"/>
        <n x="32"/>
        <n x="1337" s="1"/>
      </t>
    </mdx>
    <mdx n="33" f="v">
      <t c="4">
        <n x="604"/>
        <n x="12"/>
        <n x="7"/>
        <n x="1337" s="1"/>
      </t>
    </mdx>
    <mdx n="33" f="v">
      <t c="4">
        <n x="636"/>
        <n x="12"/>
        <n x="7"/>
        <n x="1337" s="1"/>
      </t>
    </mdx>
    <mdx n="33" f="v">
      <t c="6">
        <n x="15"/>
        <n x="1337" s="1"/>
        <n x="38"/>
        <n x="7"/>
        <n x="22"/>
        <n x="3"/>
      </t>
    </mdx>
    <mdx n="33" f="v">
      <t c="4">
        <n x="87"/>
        <n x="14"/>
        <n x="32"/>
        <n x="1337" s="1"/>
      </t>
    </mdx>
    <mdx n="33" f="v">
      <t c="4">
        <n x="258"/>
        <n x="14"/>
        <n x="32"/>
        <n x="1337" s="1"/>
      </t>
    </mdx>
    <mdx n="33" f="v">
      <t c="6">
        <n x="15"/>
        <n x="1337" s="1"/>
        <n x="42"/>
        <n x="7"/>
        <n x="20"/>
        <n x="1"/>
      </t>
    </mdx>
    <mdx n="33" f="v">
      <t c="4">
        <n x="245"/>
        <n x="1"/>
        <n x="32"/>
        <n x="1337" s="1"/>
      </t>
    </mdx>
    <mdx n="33" f="v">
      <t c="4">
        <n x="305"/>
        <n x="1"/>
        <n x="32"/>
        <n x="1337" s="1"/>
      </t>
    </mdx>
    <mdx n="33" f="v">
      <t c="3">
        <n x="374"/>
        <n x="1336"/>
        <n x="1337" s="1"/>
      </t>
    </mdx>
    <mdx n="33" f="v">
      <t c="4">
        <n x="429"/>
        <n x="12"/>
        <n x="7"/>
        <n x="1337" s="1"/>
      </t>
    </mdx>
    <mdx n="33" f="v">
      <t c="6" si="9">
        <n x="15"/>
        <n x="1337" s="1"/>
        <n x="42"/>
        <n x="7"/>
        <n x="6"/>
        <n x="2"/>
      </t>
    </mdx>
    <mdx n="33" f="v">
      <t c="4">
        <n x="170"/>
        <n x="1"/>
        <n x="32"/>
        <n x="1337" s="1"/>
      </t>
    </mdx>
    <mdx n="33" f="v">
      <t c="4">
        <n x="220"/>
        <n x="0"/>
        <n x="7"/>
        <n x="1337" s="1"/>
      </t>
    </mdx>
    <mdx n="33" f="v">
      <t c="4">
        <n x="252"/>
        <n x="0"/>
        <n x="7"/>
        <n x="1337" s="1"/>
      </t>
    </mdx>
    <mdx n="33" f="v">
      <t c="4">
        <n x="294"/>
        <n x="12"/>
        <n x="7"/>
        <n x="1337" s="1"/>
      </t>
    </mdx>
    <mdx n="33" f="v">
      <t c="3">
        <n x="351"/>
        <n x="1336"/>
        <n x="1337" s="1"/>
      </t>
    </mdx>
    <mdx n="33" f="v">
      <t c="3">
        <n x="401"/>
        <n x="1336"/>
        <n x="1337" s="1"/>
      </t>
    </mdx>
    <mdx n="33" f="v">
      <t c="4">
        <n x="452"/>
        <n x="1"/>
        <n x="32"/>
        <n x="1337" s="1"/>
      </t>
    </mdx>
    <mdx n="33" f="v">
      <t c="4">
        <n x="225"/>
        <n x="11"/>
        <n x="32"/>
        <n x="1337" s="1"/>
      </t>
    </mdx>
    <mdx n="33" f="v">
      <t c="4">
        <n x="409"/>
        <n x="1"/>
        <n x="32"/>
        <n x="1337" s="1"/>
      </t>
    </mdx>
    <mdx n="33" f="v">
      <t c="4" si="10">
        <n x="492"/>
        <n x="0"/>
        <n x="32"/>
        <n x="1337" s="1"/>
      </t>
    </mdx>
    <mdx n="33" f="v">
      <t c="4">
        <n x="543"/>
        <n x="12"/>
        <n x="7"/>
        <n x="1337" s="1"/>
      </t>
    </mdx>
    <mdx n="33" f="v">
      <t c="3" fi="0">
        <n x="594"/>
        <n x="1336"/>
        <n x="1337" s="1"/>
      </t>
    </mdx>
    <mdx n="33" f="v">
      <t c="4">
        <n x="631"/>
        <n x="1"/>
        <n x="7"/>
        <n x="1337" s="1"/>
      </t>
    </mdx>
    <mdx n="33" f="v">
      <t c="4">
        <n x="654"/>
        <n x="14"/>
        <n x="7"/>
        <n x="1337" s="1"/>
      </t>
    </mdx>
    <mdx n="33" f="v">
      <t c="3">
        <n x="678"/>
        <n x="1336"/>
        <n x="1337" s="1"/>
      </t>
    </mdx>
    <mdx n="33" f="v">
      <t c="4">
        <n x="228"/>
        <n x="12"/>
        <n x="7"/>
        <n x="1337" s="1"/>
      </t>
    </mdx>
    <mdx n="33" f="v">
      <t c="4">
        <n x="413"/>
        <n x="1"/>
        <n x="32"/>
        <n x="1337" s="1"/>
      </t>
    </mdx>
    <mdx n="33" f="v">
      <t c="4" si="10">
        <n x="493"/>
        <n x="0"/>
        <n x="32"/>
        <n x="1337" s="1"/>
      </t>
    </mdx>
    <mdx n="33" f="v">
      <t c="4">
        <n x="544"/>
        <n x="12"/>
        <n x="7"/>
        <n x="1337" s="1"/>
      </t>
    </mdx>
    <mdx n="33" f="v">
      <t c="3" fi="0">
        <n x="595"/>
        <n x="1336"/>
        <n x="1337" s="1"/>
      </t>
    </mdx>
    <mdx n="33" f="v">
      <t c="4">
        <n x="632"/>
        <n x="12"/>
        <n x="7"/>
        <n x="1337" s="1"/>
      </t>
    </mdx>
    <mdx n="33" f="v">
      <t c="4">
        <n x="655"/>
        <n x="0"/>
        <n x="7"/>
        <n x="1337" s="1"/>
      </t>
    </mdx>
    <mdx n="33" f="v">
      <t c="4">
        <n x="633"/>
        <n x="14"/>
        <n x="32"/>
        <n x="1337" s="1"/>
      </t>
    </mdx>
    <mdx n="33" f="v">
      <t c="4">
        <n x="183"/>
        <n x="0"/>
        <n x="7"/>
        <n x="1337" s="1"/>
      </t>
    </mdx>
    <mdx n="33" f="v">
      <t c="3">
        <n x="404"/>
        <n x="1336"/>
        <n x="1337" s="1"/>
      </t>
    </mdx>
    <mdx n="33" f="v">
      <t c="4">
        <n x="269"/>
        <n x="0"/>
        <n x="32"/>
        <n x="1337" s="1"/>
      </t>
    </mdx>
    <mdx n="33" f="v">
      <t c="4">
        <n x="68"/>
        <n x="12"/>
        <n x="7"/>
        <n x="1337" s="1"/>
      </t>
    </mdx>
    <mdx n="33" f="v">
      <t c="4" si="10">
        <n x="569"/>
        <n x="1"/>
        <n x="32"/>
        <n x="1337" s="1"/>
      </t>
    </mdx>
    <mdx n="33" f="v">
      <t c="4">
        <n x="76"/>
        <n x="12"/>
        <n x="7"/>
        <n x="1337" s="1"/>
      </t>
    </mdx>
    <mdx n="33" f="v">
      <t c="4" si="10">
        <n x="570"/>
        <n x="1"/>
        <n x="32"/>
        <n x="1337" s="1"/>
      </t>
    </mdx>
    <mdx n="33" f="v">
      <t c="4">
        <n x="663"/>
        <n x="12"/>
        <n x="32"/>
        <n x="1337" s="1"/>
      </t>
    </mdx>
    <mdx n="33" f="v">
      <t c="4">
        <n x="270"/>
        <n x="11"/>
        <n x="32"/>
        <n x="1337" s="1"/>
      </t>
    </mdx>
    <mdx n="33" f="v">
      <t c="4" si="10">
        <n x="457"/>
        <n x="0"/>
        <n x="32"/>
        <n x="1337" s="1"/>
      </t>
    </mdx>
    <mdx n="33" f="v">
      <t c="4">
        <n x="510"/>
        <n x="0"/>
        <n x="32"/>
        <n x="1337" s="1"/>
      </t>
    </mdx>
    <mdx n="33" f="v">
      <t c="4" si="9">
        <n x="561"/>
        <n x="12"/>
        <n x="7"/>
        <n x="1337" s="1"/>
      </t>
    </mdx>
    <mdx n="33" f="v">
      <t c="3">
        <n x="612"/>
        <n x="1336"/>
        <n x="1337" s="1"/>
      </t>
    </mdx>
    <mdx n="33" f="v">
      <t c="4">
        <n x="639"/>
        <n x="11"/>
        <n x="7"/>
        <n x="1337" s="1"/>
      </t>
    </mdx>
    <mdx n="33" f="v">
      <t c="4">
        <n x="663"/>
        <n x="12"/>
        <n x="7"/>
        <n x="1337" s="1"/>
      </t>
    </mdx>
    <mdx n="33" f="v">
      <t c="4">
        <n x="686"/>
        <n x="0"/>
        <n x="7"/>
        <n x="1337" s="1"/>
      </t>
    </mdx>
    <mdx n="33" f="v">
      <t c="4" si="9">
        <n x="464"/>
        <n x="0"/>
        <n x="7"/>
        <n x="1337" s="1"/>
      </t>
    </mdx>
    <mdx n="33" f="v">
      <t c="4">
        <n x="642"/>
        <n x="11"/>
        <n x="32"/>
        <n x="1337" s="1"/>
      </t>
    </mdx>
    <mdx n="33" f="v">
      <t c="4" si="10">
        <n x="696"/>
        <n x="1"/>
        <n x="32"/>
        <n x="1337" s="1"/>
      </t>
    </mdx>
    <mdx n="33" f="v">
      <t c="4">
        <n x="719"/>
        <n x="1"/>
        <n x="7"/>
        <n x="1337" s="1"/>
      </t>
    </mdx>
    <mdx n="33" f="v">
      <t c="4">
        <n x="742"/>
        <n x="14"/>
        <n x="7"/>
        <n x="1337" s="1"/>
      </t>
    </mdx>
    <mdx n="33" f="v">
      <t c="3">
        <n x="766"/>
        <n x="1336"/>
        <n x="1337" s="1"/>
      </t>
    </mdx>
    <mdx n="33" f="v">
      <t c="4" si="10">
        <n x="795"/>
        <n x="12"/>
        <n x="32"/>
        <n x="1337" s="1"/>
      </t>
    </mdx>
    <mdx n="33" f="v">
      <t c="4" si="10">
        <n x="819"/>
        <n x="0"/>
        <n x="32"/>
        <n x="1337" s="1"/>
      </t>
    </mdx>
    <mdx n="33" f="v">
      <t c="4">
        <n x="448"/>
        <n x="0"/>
        <n x="7"/>
        <n x="1337" s="1"/>
      </t>
    </mdx>
    <mdx n="33" f="v">
      <t c="4" si="10">
        <n x="637"/>
        <n x="0"/>
        <n x="32"/>
        <n x="1337" s="1"/>
      </t>
    </mdx>
    <mdx n="33" f="v">
      <t c="4">
        <n x="694"/>
        <n x="11"/>
        <n x="32"/>
        <n x="1337" s="1"/>
      </t>
    </mdx>
    <mdx n="33" f="v">
      <t c="4" si="10">
        <n x="718"/>
        <n x="1"/>
        <n x="32"/>
        <n x="1337" s="1"/>
      </t>
    </mdx>
    <mdx n="33" f="v">
      <t c="4">
        <n x="741"/>
        <n x="14"/>
        <n x="32"/>
        <n x="1337" s="1"/>
      </t>
    </mdx>
    <mdx n="33" f="v">
      <t c="4">
        <n x="764"/>
        <n x="11"/>
        <n x="7"/>
        <n x="1337" s="1"/>
      </t>
    </mdx>
    <mdx n="33" f="v">
      <t c="4">
        <n x="794"/>
        <n x="0"/>
        <n x="7"/>
        <n x="1337" s="1"/>
      </t>
    </mdx>
    <mdx n="33" f="v">
      <t c="6">
        <n x="15"/>
        <n x="1337" s="1"/>
        <n x="40"/>
        <n x="7"/>
        <n x="20"/>
        <n x="1"/>
      </t>
    </mdx>
    <mdx n="33" f="v">
      <t c="4">
        <n x="237"/>
        <n x="1"/>
        <n x="7"/>
        <n x="1337" s="1"/>
      </t>
    </mdx>
    <mdx n="33" f="v">
      <t c="6" si="10">
        <n x="15"/>
        <n x="1337" s="1"/>
        <n x="39"/>
        <n x="32"/>
        <n x="6"/>
        <n x="1"/>
      </t>
    </mdx>
    <mdx n="33" f="v">
      <t c="4">
        <n x="279"/>
        <n x="0"/>
        <n x="32"/>
        <n x="1337" s="1"/>
      </t>
    </mdx>
    <mdx n="33" f="v">
      <t c="4">
        <n x="194"/>
        <n x="0"/>
        <n x="7"/>
        <n x="1337" s="1"/>
      </t>
    </mdx>
    <mdx n="33" f="v">
      <t c="4" si="10">
        <n x="585"/>
        <n x="1"/>
        <n x="32"/>
        <n x="1337" s="1"/>
      </t>
    </mdx>
    <mdx n="33" f="v">
      <t c="4">
        <n x="198"/>
        <n x="0"/>
        <n x="7"/>
        <n x="1337" s="1"/>
      </t>
    </mdx>
    <mdx n="33" f="v">
      <t c="4">
        <n x="586"/>
        <n x="1"/>
        <n x="32"/>
        <n x="1337" s="1"/>
      </t>
    </mdx>
    <mdx n="33" f="v">
      <t c="4" si="10">
        <n x="666"/>
        <n x="1"/>
        <n x="32"/>
        <n x="1337" s="1"/>
      </t>
    </mdx>
    <mdx n="33" f="v">
      <t c="4">
        <n x="280"/>
        <n x="1"/>
        <n x="7"/>
        <n x="1337" s="1"/>
      </t>
    </mdx>
    <mdx n="33" f="v">
      <t c="3">
        <n x="462"/>
        <n x="1336"/>
        <n x="1337" s="1"/>
      </t>
    </mdx>
    <mdx n="33" f="v">
      <t c="4" si="10">
        <n x="514"/>
        <n x="0"/>
        <n x="32"/>
        <n x="1337" s="1"/>
      </t>
    </mdx>
    <mdx n="33" f="v">
      <t c="4">
        <n x="1294"/>
        <n x="11"/>
        <n x="7"/>
        <n x="1337" s="1"/>
      </t>
    </mdx>
    <mdx n="33" f="v">
      <t c="6">
        <n x="15"/>
        <n x="1337" s="1"/>
        <n x="37"/>
        <n x="32"/>
        <n x="21"/>
        <n x="3"/>
      </t>
    </mdx>
    <mdx n="33" f="v">
      <t c="6" si="9">
        <n x="15"/>
        <n x="1337" s="1"/>
        <n x="36"/>
        <n x="7"/>
        <n x="31"/>
        <n x="3"/>
      </t>
    </mdx>
    <mdx n="33" f="v">
      <t c="5" si="9">
        <n x="15"/>
        <n x="1337" s="1"/>
        <n x="13"/>
        <n x="7"/>
        <n x="16"/>
      </t>
    </mdx>
    <mdx n="33" f="v">
      <t c="6">
        <n x="15"/>
        <n x="1337" s="1"/>
        <n x="43"/>
        <n x="7"/>
        <n x="25"/>
        <n x="3"/>
      </t>
    </mdx>
    <mdx n="33" f="v">
      <t c="5" si="10">
        <n x="15"/>
        <n x="1337" s="1"/>
        <n x="14"/>
        <n x="32"/>
        <n x="26"/>
      </t>
    </mdx>
    <mdx n="33" f="v">
      <t c="6" si="10">
        <n x="15"/>
        <n x="1337" s="1"/>
        <n x="37"/>
        <n x="32"/>
        <n x="4"/>
        <n x="1"/>
      </t>
    </mdx>
    <mdx n="33" f="v">
      <t c="6" si="10">
        <n x="15"/>
        <n x="1337" s="1"/>
        <n x="36"/>
        <n x="32"/>
        <n x="23"/>
        <n x="3"/>
      </t>
    </mdx>
    <mdx n="33" f="v">
      <t c="4">
        <n x="80"/>
        <n x="1"/>
        <n x="7"/>
        <n x="1337" s="1"/>
      </t>
    </mdx>
    <mdx n="33" f="v">
      <t c="4">
        <n x="156"/>
        <n x="0"/>
        <n x="32"/>
        <n x="1337" s="1"/>
      </t>
    </mdx>
    <mdx n="33" f="v">
      <t c="4">
        <n x="336"/>
        <n x="1"/>
        <n x="32"/>
        <n x="1337" s="1"/>
      </t>
    </mdx>
    <mdx n="33" f="v">
      <t c="3">
        <n x="178"/>
        <n x="1336"/>
        <n x="1337" s="1"/>
      </t>
    </mdx>
    <mdx n="33" f="v">
      <t c="4">
        <n x="58"/>
        <n x="11"/>
        <n x="32"/>
        <n x="1337" s="1"/>
      </t>
    </mdx>
    <mdx n="33" f="v">
      <t c="4">
        <n x="127"/>
        <n x="0"/>
        <n x="32"/>
        <n x="1337" s="1"/>
      </t>
    </mdx>
    <mdx n="33" f="v">
      <t c="4">
        <n x="331"/>
        <n x="0"/>
        <n x="32"/>
        <n x="1337" s="1"/>
      </t>
    </mdx>
    <mdx n="33" f="v">
      <t c="4">
        <n x="172"/>
        <n x="0"/>
        <n x="7"/>
        <n x="1337" s="1"/>
      </t>
    </mdx>
    <mdx n="33" f="v">
      <t c="4">
        <n x="74"/>
        <n x="11"/>
        <n x="32"/>
        <n x="1337" s="1"/>
      </t>
    </mdx>
    <mdx n="33" f="v">
      <t c="4">
        <n x="151"/>
        <n x="0"/>
        <n x="32"/>
        <n x="1337" s="1"/>
      </t>
    </mdx>
    <mdx n="33" f="v">
      <t c="4">
        <n x="335"/>
        <n x="0"/>
        <n x="32"/>
        <n x="1337" s="1"/>
      </t>
    </mdx>
    <mdx n="33" f="v">
      <t c="4">
        <n x="176"/>
        <n x="0"/>
        <n x="7"/>
        <n x="1337" s="1"/>
      </t>
    </mdx>
    <mdx n="33" f="v">
      <t c="4">
        <n x="357"/>
        <n x="1"/>
        <n x="32"/>
        <n x="1337" s="1"/>
      </t>
    </mdx>
    <mdx n="33" f="v">
      <t c="6" si="9">
        <n x="15"/>
        <n x="1337" s="1"/>
        <n x="47"/>
        <n x="7"/>
        <n x="16"/>
        <n x="12"/>
      </t>
    </mdx>
    <mdx n="33" f="v">
      <t c="4">
        <n x="427"/>
        <n x="1"/>
        <n x="32"/>
        <n x="1337" s="1"/>
      </t>
    </mdx>
    <mdx n="33" f="v">
      <t c="4">
        <n x="251"/>
        <n x="0"/>
        <n x="7"/>
        <n x="1337" s="1"/>
      </t>
    </mdx>
    <mdx n="33" f="v">
      <t c="4" si="10">
        <n x="451"/>
        <n x="0"/>
        <n x="32"/>
        <n x="1337" s="1"/>
      </t>
    </mdx>
    <mdx n="33" f="v">
      <t c="4" si="10">
        <n x="541"/>
        <n x="1"/>
        <n x="32"/>
        <n x="1337" s="1"/>
      </t>
    </mdx>
    <mdx n="33" f="v">
      <t c="4">
        <n x="677"/>
        <n x="11"/>
        <n x="32"/>
        <n x="1337" s="1"/>
      </t>
    </mdx>
    <mdx n="33" f="v">
      <t c="4">
        <n x="542"/>
        <n x="1"/>
        <n x="32"/>
        <n x="1337" s="1"/>
      </t>
    </mdx>
    <mdx n="33" f="v">
      <t c="4">
        <n x="66"/>
        <n x="0"/>
        <n x="32"/>
        <n x="1337" s="1"/>
      </t>
    </mdx>
    <mdx n="33" f="v">
      <t c="4">
        <n x="241"/>
        <n x="1"/>
        <n x="7"/>
        <n x="1337" s="1"/>
      </t>
    </mdx>
    <mdx n="33" f="v">
      <t c="3">
        <n x="326"/>
        <n x="1336"/>
        <n x="1337" s="1"/>
      </t>
    </mdx>
    <mdx n="33" f="v">
      <t c="4">
        <n x="409"/>
        <n x="12"/>
        <n x="7"/>
        <n x="1337" s="1"/>
      </t>
    </mdx>
    <mdx n="33" f="v">
      <t c="6" si="9">
        <n x="15"/>
        <n x="1337" s="1"/>
        <n x="42"/>
        <n x="7"/>
        <n x="4"/>
        <n x="3"/>
      </t>
    </mdx>
    <mdx n="33" f="v">
      <t c="4">
        <n x="185"/>
        <n x="0"/>
        <n x="7"/>
        <n x="1337" s="1"/>
      </t>
    </mdx>
    <mdx n="33" f="v">
      <t c="4">
        <n x="240"/>
        <n x="0"/>
        <n x="32"/>
        <n x="1337" s="1"/>
      </t>
    </mdx>
    <mdx n="33" f="v">
      <t c="4">
        <n x="284"/>
        <n x="12"/>
        <n x="7"/>
        <n x="1337" s="1"/>
      </t>
    </mdx>
    <mdx n="33" f="v">
      <t c="4">
        <n x="366"/>
        <n x="1"/>
        <n x="32"/>
        <n x="1337" s="1"/>
      </t>
    </mdx>
    <mdx n="33" f="v">
      <t c="4">
        <n x="432"/>
        <n x="1"/>
        <n x="32"/>
        <n x="1337" s="1"/>
      </t>
    </mdx>
    <mdx n="33" f="v">
      <t c="4">
        <n x="214"/>
        <n x="0"/>
        <n x="32"/>
        <n x="1337" s="1"/>
      </t>
    </mdx>
    <mdx n="33" f="v">
      <t c="4">
        <n x="419"/>
        <n x="12"/>
        <n x="7"/>
        <n x="1337" s="1"/>
      </t>
    </mdx>
    <mdx n="33" f="v">
      <t c="3">
        <n x="494"/>
        <n x="1336"/>
        <n x="1337" s="1"/>
      </t>
    </mdx>
    <mdx n="33" f="v">
      <t c="4">
        <n x="545"/>
        <n x="1"/>
        <n x="32"/>
        <n x="1337" s="1"/>
      </t>
    </mdx>
    <mdx n="33" f="v">
      <t c="4">
        <n x="596"/>
        <n x="0"/>
        <n x="7"/>
        <n x="1337" s="1"/>
      </t>
    </mdx>
    <mdx n="33" f="v">
      <t c="4">
        <n x="632"/>
        <n x="12"/>
        <n x="32"/>
        <n x="1337" s="1"/>
      </t>
    </mdx>
    <mdx n="33" f="v">
      <t c="4">
        <n x="656"/>
        <n x="0"/>
        <n x="32"/>
        <n x="1337" s="1"/>
      </t>
    </mdx>
    <mdx n="33" f="v">
      <t c="4" si="10">
        <n x="679"/>
        <n x="1"/>
        <n x="32"/>
        <n x="1337" s="1"/>
      </t>
    </mdx>
    <mdx n="33" f="v">
      <t c="4">
        <n x="234"/>
        <n x="12"/>
        <n x="7"/>
        <n x="1337" s="1"/>
      </t>
    </mdx>
    <mdx n="33" f="v">
      <t c="4">
        <n x="423"/>
        <n x="12"/>
        <n x="7"/>
        <n x="1337" s="1"/>
      </t>
    </mdx>
    <mdx n="33" f="v">
      <t c="3">
        <n x="495"/>
        <n x="1336"/>
        <n x="1337" s="1"/>
      </t>
    </mdx>
    <mdx n="33" f="v">
      <t c="4">
        <n x="546"/>
        <n x="1"/>
        <n x="32"/>
        <n x="1337" s="1"/>
      </t>
    </mdx>
    <mdx n="33" f="v">
      <t c="4">
        <n x="597"/>
        <n x="0"/>
        <n x="7"/>
        <n x="1337" s="1"/>
      </t>
    </mdx>
    <mdx n="33" f="v">
      <t c="3">
        <n x="633"/>
        <n x="1336"/>
        <n x="1337" s="1"/>
      </t>
    </mdx>
    <mdx n="33" f="v">
      <t c="6">
        <n x="15"/>
        <n x="1337" s="1"/>
        <n x="41"/>
        <n x="32"/>
        <n x="27"/>
        <n x="3"/>
      </t>
    </mdx>
    <mdx n="33" f="v">
      <t c="4">
        <n x="53"/>
        <n x="12"/>
        <n x="7"/>
        <n x="1337" s="1"/>
      </t>
    </mdx>
    <mdx n="33" f="v">
      <t c="4">
        <n x="242"/>
        <n x="14"/>
        <n x="32"/>
        <n x="1337" s="1"/>
      </t>
    </mdx>
    <mdx n="33" f="v">
      <t c="4">
        <n x="437"/>
        <n x="0"/>
        <n x="32"/>
        <n x="1337" s="1"/>
      </t>
    </mdx>
    <mdx n="33" f="v">
      <t c="4">
        <n x="239"/>
        <n x="1"/>
        <n x="7"/>
        <n x="1337" s="1"/>
      </t>
    </mdx>
    <mdx n="33" f="v">
      <t c="4">
        <n x="288"/>
        <n x="0"/>
        <n x="32"/>
        <n x="1337" s="1"/>
      </t>
    </mdx>
    <mdx n="33" f="v">
      <t c="4">
        <n x="365"/>
        <n x="1"/>
        <n x="32"/>
        <n x="1337" s="1"/>
      </t>
    </mdx>
    <mdx n="33" f="v">
      <t c="4">
        <n x="422"/>
        <n x="0"/>
        <n x="7"/>
        <n x="1337" s="1"/>
      </t>
    </mdx>
    <mdx n="33" f="v">
      <t c="6" si="9">
        <n x="15"/>
        <n x="1337" s="1"/>
        <n x="39"/>
        <n x="7"/>
        <n x="4"/>
        <n x="2"/>
      </t>
    </mdx>
    <mdx n="33" f="v">
      <t c="4">
        <n x="164"/>
        <n x="12"/>
        <n x="7"/>
        <n x="1337" s="1"/>
      </t>
    </mdx>
    <mdx n="33" f="v">
      <t c="3">
        <n x="215"/>
        <n x="1336"/>
        <n x="1337" s="1"/>
      </t>
    </mdx>
    <mdx n="33" f="v">
      <t c="4">
        <n x="248"/>
        <n x="0"/>
        <n x="7"/>
        <n x="1337" s="1"/>
      </t>
    </mdx>
    <mdx n="33" f="v">
      <t c="4">
        <n x="280"/>
        <n x="14"/>
        <n x="32"/>
        <n x="1337" s="1"/>
      </t>
    </mdx>
    <mdx n="33" f="v">
      <t c="4">
        <n x="345"/>
        <n x="0"/>
        <n x="32"/>
        <n x="1337" s="1"/>
      </t>
    </mdx>
    <mdx n="33" f="v">
      <t c="4">
        <n x="395"/>
        <n x="0"/>
        <n x="32"/>
        <n x="1337" s="1"/>
      </t>
    </mdx>
    <mdx n="33" f="v">
      <t c="4">
        <n x="446"/>
        <n x="12"/>
        <n x="7"/>
        <n x="1337" s="1"/>
      </t>
    </mdx>
    <mdx n="33" f="v">
      <t c="3">
        <n x="204"/>
        <n x="1336"/>
        <n x="1337" s="1"/>
      </t>
    </mdx>
    <mdx n="33" f="v">
      <t c="4">
        <n x="385"/>
        <n x="12"/>
        <n x="7"/>
        <n x="1337" s="1"/>
      </t>
    </mdx>
    <mdx n="33" f="v">
      <t c="4" si="10">
        <n x="485"/>
        <n x="1"/>
        <n x="32"/>
        <n x="1337" s="1"/>
      </t>
    </mdx>
    <mdx n="33" f="v">
      <t c="4" si="9">
        <n x="536"/>
        <n x="0"/>
        <n x="7"/>
        <n x="1337" s="1"/>
      </t>
    </mdx>
    <mdx n="33" f="v">
      <t c="4" si="10">
        <n x="588"/>
        <n x="0"/>
        <n x="32"/>
        <n x="1337" s="1"/>
      </t>
    </mdx>
    <mdx n="33" f="v">
      <t c="4">
        <n x="628"/>
        <n x="12"/>
        <n x="32"/>
        <n x="1337" s="1"/>
      </t>
    </mdx>
    <mdx n="33" f="v">
      <t c="4" si="10">
        <n x="652"/>
        <n x="0"/>
        <n x="32"/>
        <n x="1337" s="1"/>
      </t>
    </mdx>
    <mdx n="33" f="v">
      <t c="4">
        <n x="675"/>
        <n x="1"/>
        <n x="32"/>
        <n x="1337" s="1"/>
      </t>
    </mdx>
    <mdx n="33" f="v">
      <t c="3">
        <n x="208"/>
        <n x="1336"/>
        <n x="1337" s="1"/>
      </t>
    </mdx>
    <mdx n="33" f="v">
      <t c="4">
        <n x="388"/>
        <n x="0"/>
        <n x="32"/>
        <n x="1337" s="1"/>
      </t>
    </mdx>
    <mdx n="33" f="v">
      <t c="4" si="10">
        <n x="486"/>
        <n x="1"/>
        <n x="32"/>
        <n x="1337" s="1"/>
      </t>
    </mdx>
    <mdx n="33" f="v">
      <t c="4">
        <n x="537"/>
        <n x="0"/>
        <n x="7"/>
        <n x="1337" s="1"/>
      </t>
    </mdx>
    <mdx n="33" f="v">
      <t c="4" si="10">
        <n x="589"/>
        <n x="0"/>
        <n x="32"/>
        <n x="1337" s="1"/>
      </t>
    </mdx>
    <mdx n="33" f="v">
      <t c="3">
        <n x="629"/>
        <n x="1336"/>
        <n x="1337" s="1"/>
      </t>
    </mdx>
    <mdx n="33" f="v">
      <t c="4" si="10">
        <n x="652"/>
        <n x="11"/>
        <n x="32"/>
        <n x="1337" s="1"/>
      </t>
    </mdx>
    <mdx n="33" f="v">
      <t c="4">
        <n x="84"/>
        <n x="12"/>
        <n x="7"/>
        <n x="1337" s="1"/>
      </t>
    </mdx>
    <mdx n="33" f="v">
      <t c="5" si="9">
        <n x="15"/>
        <n x="1337" s="1"/>
        <n x="39"/>
        <n x="7"/>
        <n x="1"/>
      </t>
    </mdx>
    <mdx n="33" f="v">
      <t c="4">
        <n x="277"/>
        <n x="1"/>
        <n x="7"/>
        <n x="1337" s="1"/>
      </t>
    </mdx>
    <mdx n="33" f="v">
      <t c="4">
        <n x="158"/>
        <n x="1"/>
        <n x="32"/>
        <n x="1337" s="1"/>
      </t>
    </mdx>
    <mdx n="33" f="v">
      <t c="3">
        <n x="339"/>
        <n x="1336"/>
        <n x="1337" s="1"/>
      </t>
    </mdx>
    <mdx n="33" f="v">
      <t c="4">
        <n x="362"/>
        <n x="0"/>
        <n x="7"/>
        <n x="1337" s="1"/>
      </t>
    </mdx>
    <mdx n="33" f="v">
      <t c="3">
        <n x="626"/>
        <n x="1336"/>
        <n x="1337" s="1"/>
      </t>
    </mdx>
    <mdx n="33" f="v">
      <t c="4">
        <n x="366"/>
        <n x="0"/>
        <n x="7"/>
        <n x="1337" s="1"/>
      </t>
    </mdx>
    <mdx n="33" f="v">
      <t c="4">
        <n x="626"/>
        <n x="1"/>
        <n x="7"/>
        <n x="1337" s="1"/>
      </t>
    </mdx>
    <mdx n="33" f="v">
      <t c="6" si="9">
        <n x="15"/>
        <n x="1337" s="1"/>
        <n x="42"/>
        <n x="7"/>
        <n x="6"/>
        <n x="1"/>
      </t>
    </mdx>
    <mdx n="33" f="v">
      <t c="4">
        <n x="342"/>
        <n x="0"/>
        <n x="32"/>
        <n x="1337" s="1"/>
      </t>
    </mdx>
    <mdx n="33" f="v">
      <t c="4" si="9">
        <n x="474"/>
        <n x="0"/>
        <n x="7"/>
        <n x="1337" s="1"/>
      </t>
    </mdx>
    <mdx n="33" f="v">
      <t c="4" si="10">
        <n x="526"/>
        <n x="0"/>
        <n x="32"/>
        <n x="1337" s="1"/>
      </t>
    </mdx>
    <mdx n="33" f="v">
      <t c="4" si="9">
        <n x="577"/>
        <n x="12"/>
        <n x="7"/>
        <n x="1337" s="1"/>
      </t>
    </mdx>
    <mdx n="33" f="v">
      <t c="4">
        <n x="623"/>
        <n x="11"/>
        <n x="7"/>
        <n x="1337" s="1"/>
      </t>
    </mdx>
    <mdx n="33" f="v">
      <t c="4">
        <n x="647"/>
        <n x="12"/>
        <n x="7"/>
        <n x="1337" s="1"/>
      </t>
    </mdx>
    <mdx n="33" f="v">
      <t c="4">
        <n x="670"/>
        <n x="0"/>
        <n x="7"/>
        <n x="1337" s="1"/>
      </t>
    </mdx>
    <mdx n="33" f="v">
      <t c="4" si="9">
        <n x="693"/>
        <n x="1"/>
        <n x="7"/>
        <n x="1337" s="1"/>
      </t>
    </mdx>
    <mdx n="33" f="v">
      <t c="4" si="10">
        <n x="528"/>
        <n x="1"/>
        <n x="32"/>
        <n x="1337" s="1"/>
      </t>
    </mdx>
    <mdx n="33" f="v">
      <t c="4">
        <n x="670"/>
        <n x="12"/>
        <n x="7"/>
        <n x="1337" s="1"/>
      </t>
    </mdx>
    <mdx n="33" f="v">
      <t c="4" si="9">
        <n x="703"/>
        <n x="1"/>
        <n x="7"/>
        <n x="1337" s="1"/>
      </t>
    </mdx>
    <mdx n="33" f="v">
      <t c="4">
        <n x="726"/>
        <n x="14"/>
        <n x="7"/>
        <n x="1337" s="1"/>
      </t>
    </mdx>
    <mdx n="33" f="v">
      <t c="3">
        <n x="750"/>
        <n x="1336"/>
        <n x="1337" s="1"/>
      </t>
    </mdx>
    <mdx n="33" f="v">
      <t c="4">
        <n x="775"/>
        <n x="1"/>
        <n x="7"/>
        <n x="1337" s="1"/>
      </t>
    </mdx>
    <mdx n="33" f="v">
      <t c="4">
        <n x="803"/>
        <n x="0"/>
        <n x="32"/>
        <n x="1337" s="1"/>
      </t>
    </mdx>
    <mdx n="33" f="v">
      <t c="4">
        <n x="826"/>
        <n x="1"/>
        <n x="32"/>
        <n x="1337" s="1"/>
      </t>
    </mdx>
    <mdx n="33" f="v">
      <t c="4">
        <n x="516"/>
        <n x="1"/>
        <n x="32"/>
        <n x="1337" s="1"/>
      </t>
    </mdx>
    <mdx n="33" f="v">
      <t c="4">
        <n x="666"/>
        <n x="12"/>
        <n x="7"/>
        <n x="1337" s="1"/>
      </t>
    </mdx>
    <mdx n="33" f="v">
      <t c="4" si="10">
        <n x="702"/>
        <n x="1"/>
        <n x="32"/>
        <n x="1337" s="1"/>
      </t>
    </mdx>
    <mdx n="33" f="v">
      <t c="4">
        <n x="725"/>
        <n x="14"/>
        <n x="32"/>
        <n x="1337" s="1"/>
      </t>
    </mdx>
    <mdx n="33" f="v">
      <t c="4">
        <n x="748"/>
        <n x="11"/>
        <n x="7"/>
        <n x="1337" s="1"/>
      </t>
    </mdx>
    <mdx n="33" f="v">
      <t c="4" si="10">
        <n x="773"/>
        <n x="12"/>
        <n x="32"/>
        <n x="1337" s="1"/>
      </t>
    </mdx>
    <mdx n="33" f="v">
      <t c="4" si="9">
        <n x="801"/>
        <n x="1"/>
        <n x="7"/>
        <n x="1337" s="1"/>
      </t>
    </mdx>
    <mdx n="33" f="v">
      <t c="4">
        <n x="134"/>
        <n x="12"/>
        <n x="7"/>
        <n x="1337" s="1"/>
      </t>
    </mdx>
    <mdx n="33" f="v">
      <t c="4">
        <n x="311"/>
        <n x="12"/>
        <n x="7"/>
        <n x="1337" s="1"/>
      </t>
    </mdx>
    <mdx n="33" f="v">
      <t c="4">
        <n x="174"/>
        <n x="1"/>
        <n x="32"/>
        <n x="1337" s="1"/>
      </t>
    </mdx>
    <mdx n="33" f="v">
      <t c="3">
        <n x="355"/>
        <n x="1336"/>
        <n x="1337" s="1"/>
      </t>
    </mdx>
    <mdx n="33" f="v">
      <t c="4">
        <n x="425"/>
        <n x="1"/>
        <n x="32"/>
        <n x="1337" s="1"/>
      </t>
    </mdx>
    <mdx n="33" f="v">
      <t c="4">
        <n x="633"/>
        <n x="11"/>
        <n x="32"/>
        <n x="1337" s="1"/>
      </t>
    </mdx>
    <mdx n="33" f="v">
      <t c="4">
        <n x="429"/>
        <n x="1"/>
        <n x="32"/>
        <n x="1337" s="1"/>
      </t>
    </mdx>
    <mdx n="33" f="v">
      <t c="4">
        <n x="633"/>
        <n x="14"/>
        <n x="7"/>
        <n x="1337" s="1"/>
      </t>
    </mdx>
    <mdx n="33" f="v">
      <t c="4">
        <n x="90"/>
        <n x="1"/>
        <n x="7"/>
        <n x="1337" s="1"/>
      </t>
    </mdx>
    <mdx n="33" f="v">
      <t c="4" si="10">
        <n x="358"/>
        <n x="0"/>
        <n x="32"/>
        <n x="1337" s="1"/>
      </t>
    </mdx>
    <mdx n="33" f="v">
      <t c="4" si="9">
        <n x="478"/>
        <n x="0"/>
        <n x="7"/>
        <n x="1337" s="1"/>
      </t>
    </mdx>
    <mdx n="33" f="v">
      <t c="4">
        <n x="530"/>
        <n x="0"/>
        <n x="32"/>
        <n x="1337" s="1"/>
      </t>
    </mdx>
    <mdx n="33" f="v">
      <t c="6" si="10">
        <n x="15"/>
        <n x="1337" s="1"/>
        <n x="43"/>
        <n x="32"/>
        <n x="30"/>
        <n x="1"/>
      </t>
    </mdx>
    <mdx n="33" f="v">
      <t c="5" si="9">
        <n x="15"/>
        <n x="1337" s="1"/>
        <n x="14"/>
        <n x="7"/>
        <n x="23"/>
      </t>
    </mdx>
    <mdx n="33" f="v">
      <t c="6">
        <n x="15"/>
        <n x="1337" s="1"/>
        <n x="41"/>
        <n x="32"/>
        <n x="20"/>
        <n x="0"/>
      </t>
    </mdx>
    <mdx n="33" f="v">
      <t c="4">
        <n x="1211"/>
        <n x="11"/>
        <n x="32"/>
        <n x="1337" s="1"/>
      </t>
    </mdx>
    <mdx n="33" f="v">
      <t c="6" si="9">
        <n x="15"/>
        <n x="1337" s="1"/>
        <n x="35"/>
        <n x="7"/>
        <n x="26"/>
        <n x="12"/>
      </t>
    </mdx>
    <mdx n="33" f="v">
      <t c="4">
        <n x="54"/>
        <n x="11"/>
        <n x="32"/>
        <n x="1337" s="1"/>
      </t>
    </mdx>
    <mdx n="33" f="v">
      <t c="5" si="9">
        <n x="15"/>
        <n x="1337" s="1"/>
        <n x="13"/>
        <n x="7"/>
        <n x="18"/>
      </t>
    </mdx>
    <mdx n="33" f="v">
      <t c="6" si="9">
        <n x="15"/>
        <n x="1337" s="1"/>
        <n x="47"/>
        <n x="7"/>
        <n x="22"/>
        <n x="12"/>
      </t>
    </mdx>
    <mdx n="33" f="v">
      <t c="6" si="9">
        <n x="15"/>
        <n x="1337" s="1"/>
        <n x="42"/>
        <n x="7"/>
        <n x="4"/>
        <n x="1"/>
      </t>
    </mdx>
    <mdx n="33" f="v">
      <t c="3">
        <n x="227"/>
        <n x="1336"/>
        <n x="1337" s="1"/>
      </t>
    </mdx>
    <mdx n="33" f="v">
      <t c="4">
        <n x="412"/>
        <n x="12"/>
        <n x="7"/>
        <n x="1337" s="1"/>
      </t>
    </mdx>
    <mdx n="33" f="v">
      <t c="4">
        <n x="1233"/>
        <n x="1"/>
        <n x="32"/>
        <n x="1337" s="1"/>
      </t>
    </mdx>
    <mdx n="33" f="v">
      <t c="6" si="9">
        <n x="15"/>
        <n x="1337" s="1"/>
        <n x="38"/>
        <n x="7"/>
        <n x="4"/>
        <n x="0"/>
      </t>
    </mdx>
    <mdx n="33" f="v">
      <t c="4">
        <n x="223"/>
        <n x="14"/>
        <n x="32"/>
        <n x="1337" s="1"/>
      </t>
    </mdx>
    <mdx n="33" f="v">
      <t c="4">
        <n x="406"/>
        <n x="1"/>
        <n x="32"/>
        <n x="1337" s="1"/>
      </t>
    </mdx>
    <mdx n="33" f="v">
      <t c="6" si="9">
        <n x="15"/>
        <n x="1337" s="1"/>
        <n x="36"/>
        <n x="7"/>
        <n x="31"/>
        <n x="2"/>
      </t>
    </mdx>
    <mdx n="33" f="v">
      <t c="5" si="9">
        <n x="15"/>
        <n x="1337" s="1"/>
        <n x="36"/>
        <n x="7"/>
        <n x="1"/>
      </t>
    </mdx>
    <mdx n="33" f="v">
      <t c="3">
        <n x="226"/>
        <n x="1336"/>
        <n x="1337" s="1"/>
      </t>
    </mdx>
    <mdx n="33" f="v">
      <t c="4">
        <n x="410"/>
        <n x="1"/>
        <n x="32"/>
        <n x="1337" s="1"/>
      </t>
    </mdx>
    <mdx n="33" f="v">
      <t c="4">
        <n x="240"/>
        <n x="1"/>
        <n x="32"/>
        <n x="1337" s="1"/>
      </t>
    </mdx>
    <mdx n="33" f="v">
      <t c="6" si="10">
        <n x="15"/>
        <n x="1337" s="1"/>
        <n x="40"/>
        <n x="32"/>
        <n x="26"/>
        <n x="0"/>
      </t>
    </mdx>
    <mdx n="33" f="v">
      <t c="4">
        <n x="265"/>
        <n x="1"/>
        <n x="32"/>
        <n x="1337" s="1"/>
      </t>
    </mdx>
    <mdx n="33" f="v">
      <t c="4">
        <n x="97"/>
        <n x="12"/>
        <n x="7"/>
        <n x="1337" s="1"/>
      </t>
    </mdx>
    <mdx n="33" f="v">
      <t c="4">
        <n x="324"/>
        <n x="12"/>
        <n x="7"/>
        <n x="1337" s="1"/>
      </t>
    </mdx>
    <mdx n="33" f="v">
      <t c="4">
        <n x="299"/>
        <n x="0"/>
        <n x="32"/>
        <n x="1337" s="1"/>
      </t>
    </mdx>
    <mdx n="33" f="v">
      <t c="3">
        <n x="618"/>
        <n x="1336"/>
        <n x="1337" s="1"/>
      </t>
    </mdx>
    <mdx n="33" f="v">
      <t c="4">
        <n x="306"/>
        <n x="0"/>
        <n x="32"/>
        <n x="1337" s="1"/>
      </t>
    </mdx>
    <mdx n="33" f="v">
      <t c="3">
        <n x="619"/>
        <n x="1336"/>
        <n x="1337" s="1"/>
      </t>
    </mdx>
    <mdx n="33" f="v">
      <t c="3">
        <n x="345"/>
        <n x="1336"/>
        <n x="1337" s="1"/>
      </t>
    </mdx>
    <mdx n="33" f="v">
      <t c="4">
        <n x="263"/>
        <n x="1"/>
        <n x="32"/>
        <n x="1337" s="1"/>
      </t>
    </mdx>
    <mdx n="33" f="v">
      <t c="4">
        <n x="360"/>
        <n x="0"/>
        <n x="32"/>
        <n x="1337" s="1"/>
      </t>
    </mdx>
    <mdx n="33" f="v">
      <t c="4">
        <n x="434"/>
        <n x="0"/>
        <n x="7"/>
        <n x="1337" s="1"/>
      </t>
    </mdx>
    <mdx n="33" f="v">
      <t c="4">
        <n x="88"/>
        <n x="14"/>
        <n x="32"/>
        <n x="1337" s="1"/>
      </t>
    </mdx>
    <mdx n="33" f="v">
      <t c="3">
        <n x="211"/>
        <n x="1336"/>
        <n x="1337" s="1"/>
      </t>
    </mdx>
    <mdx n="33" f="v">
      <t c="4">
        <n x="256"/>
        <n x="0"/>
        <n x="32"/>
        <n x="1337" s="1"/>
      </t>
    </mdx>
    <mdx n="33" f="v">
      <t c="4">
        <n x="321"/>
        <n x="0"/>
        <n x="7"/>
        <n x="1337" s="1"/>
      </t>
    </mdx>
    <mdx n="33" f="v">
      <t c="4">
        <n x="391"/>
        <n x="0"/>
        <n x="32"/>
        <n x="1337" s="1"/>
      </t>
    </mdx>
    <mdx n="33" f="v">
      <t c="4">
        <n x="458"/>
        <n x="12"/>
        <n x="7"/>
        <n x="1337" s="1"/>
      </t>
    </mdx>
    <mdx n="33" f="v">
      <t c="4">
        <n x="279"/>
        <n x="11"/>
        <n x="32"/>
        <n x="1337" s="1"/>
      </t>
    </mdx>
    <mdx n="33" f="v">
      <t c="4">
        <n x="461"/>
        <n x="0"/>
        <n x="7"/>
        <n x="1337" s="1"/>
      </t>
    </mdx>
    <mdx n="33" f="v">
      <t c="4" si="10">
        <n x="513"/>
        <n x="1"/>
        <n x="32"/>
        <n x="1337" s="1"/>
      </t>
    </mdx>
    <mdx n="33" f="v">
      <t c="4" si="9">
        <n x="564"/>
        <n x="0"/>
        <n x="7"/>
        <n x="1337" s="1"/>
      </t>
    </mdx>
    <mdx n="33" f="v">
      <t c="4" si="10">
        <n x="616"/>
        <n x="0"/>
        <n x="32"/>
        <n x="1337" s="1"/>
      </t>
    </mdx>
    <mdx n="33" f="v">
      <t c="4">
        <n x="641"/>
        <n x="11"/>
        <n x="32"/>
        <n x="1337" s="1"/>
      </t>
    </mdx>
    <mdx n="33" f="v">
      <t c="4">
        <n x="664"/>
        <n x="12"/>
        <n x="32"/>
        <n x="1337" s="1"/>
      </t>
    </mdx>
    <mdx n="33" f="v">
      <t c="5" si="10">
        <n x="15"/>
        <n x="1337" s="1"/>
        <n x="42"/>
        <n x="32"/>
        <n x="3"/>
      </t>
    </mdx>
    <mdx n="33" f="v">
      <t c="4">
        <n x="285"/>
        <n x="0"/>
        <n x="32"/>
        <n x="1337" s="1"/>
      </t>
    </mdx>
    <mdx n="33" f="v">
      <t c="4" si="9">
        <n x="463"/>
        <n x="12"/>
        <n x="7"/>
        <n x="1337" s="1"/>
      </t>
    </mdx>
    <mdx n="33" f="v">
      <t c="4" si="10">
        <n x="514"/>
        <n x="1"/>
        <n x="32"/>
        <n x="1337" s="1"/>
      </t>
    </mdx>
    <mdx n="33" f="v">
      <t c="4">
        <n x="565"/>
        <n x="0"/>
        <n x="7"/>
        <n x="1337" s="1"/>
      </t>
    </mdx>
    <mdx n="33" f="v">
      <t c="4" si="10">
        <n x="617"/>
        <n x="0"/>
        <n x="32"/>
        <n x="1337" s="1"/>
      </t>
    </mdx>
    <mdx n="33" f="v">
      <t c="4">
        <n x="641"/>
        <n x="14"/>
        <n x="7"/>
        <n x="1337" s="1"/>
      </t>
    </mdx>
    <mdx n="33" f="v">
      <t c="6">
        <n x="15"/>
        <n x="1337" s="1"/>
        <n x="44"/>
        <n x="7"/>
        <n x="18"/>
        <n x="3"/>
      </t>
    </mdx>
    <mdx n="33" f="v">
      <t c="4">
        <n x="49"/>
        <n x="11"/>
        <n x="32"/>
        <n x="1337" s="1"/>
      </t>
    </mdx>
    <mdx n="33" f="v">
      <t c="4">
        <n x="310"/>
        <n x="12"/>
        <n x="7"/>
        <n x="1337" s="1"/>
      </t>
    </mdx>
    <mdx n="33" f="v">
      <t c="4">
        <n x="140"/>
        <n x="0"/>
        <n x="32"/>
        <n x="1337" s="1"/>
      </t>
    </mdx>
    <mdx n="33" f="v">
      <t c="4">
        <n x="255"/>
        <n x="1"/>
        <n x="7"/>
        <n x="1337" s="1"/>
      </t>
    </mdx>
    <mdx n="33" f="v">
      <t c="4">
        <n x="323"/>
        <n x="12"/>
        <n x="7"/>
        <n x="1337" s="1"/>
      </t>
    </mdx>
    <mdx n="33" f="v">
      <t c="4">
        <n x="390"/>
        <n x="0"/>
        <n x="32"/>
        <n x="1337" s="1"/>
      </t>
    </mdx>
    <mdx n="33" f="v">
      <t c="4">
        <n x="442"/>
        <n x="0"/>
        <n x="32"/>
        <n x="1337" s="1"/>
      </t>
    </mdx>
    <mdx n="33" f="v">
      <t c="4">
        <n x="71"/>
        <n x="0"/>
        <n x="32"/>
        <n x="1337" s="1"/>
      </t>
    </mdx>
    <mdx n="33" f="v">
      <t c="3">
        <n x="183"/>
        <n x="1336"/>
        <n x="1337" s="1"/>
      </t>
    </mdx>
    <mdx n="33" f="v">
      <t c="4">
        <n x="228"/>
        <n x="0"/>
        <n x="7"/>
        <n x="1337" s="1"/>
      </t>
    </mdx>
    <mdx n="33" f="v">
      <t c="4">
        <n x="260"/>
        <n x="0"/>
        <n x="7"/>
        <n x="1337" s="1"/>
      </t>
    </mdx>
    <mdx n="33" f="v">
      <t c="4">
        <n x="313"/>
        <n x="0"/>
        <n x="32"/>
        <n x="1337" s="1"/>
      </t>
    </mdx>
    <mdx n="33" f="v">
      <t c="4">
        <n x="364"/>
        <n x="12"/>
        <n x="7"/>
        <n x="1337" s="1"/>
      </t>
    </mdx>
    <mdx n="33" f="v">
      <t c="4">
        <n x="414"/>
        <n x="12"/>
        <n x="7"/>
        <n x="1337" s="1"/>
      </t>
    </mdx>
    <mdx n="33" f="v">
      <t c="3">
        <n x="465"/>
        <n x="1336"/>
        <n x="1337" s="1"/>
      </t>
    </mdx>
    <mdx n="33" f="v">
      <t c="4">
        <n x="257"/>
        <n x="11"/>
        <n x="32"/>
        <n x="1337" s="1"/>
      </t>
    </mdx>
    <mdx n="33" f="v">
      <t c="4" si="10">
        <n x="450"/>
        <n x="0"/>
        <n x="32"/>
        <n x="1337" s="1"/>
      </t>
    </mdx>
    <mdx n="33" f="v">
      <t c="4">
        <n x="504"/>
        <n x="0"/>
        <n x="7"/>
        <n x="1337" s="1"/>
      </t>
    </mdx>
    <mdx n="33" f="v">
      <t c="4" si="10">
        <n x="556"/>
        <n x="0"/>
        <n x="32"/>
        <n x="1337" s="1"/>
      </t>
    </mdx>
    <mdx n="33" f="v">
      <t c="4">
        <n x="607"/>
        <n x="12"/>
        <n x="7"/>
        <n x="1337" s="1"/>
      </t>
    </mdx>
    <mdx n="33" f="v">
      <t c="4">
        <n x="637"/>
        <n x="11"/>
        <n x="32"/>
        <n x="1337" s="1"/>
      </t>
    </mdx>
    <mdx n="33" f="v">
      <t c="4" si="10">
        <n x="660"/>
        <n x="12"/>
        <n x="32"/>
        <n x="1337" s="1"/>
      </t>
    </mdx>
    <mdx n="33" f="v">
      <t c="4">
        <n x="684"/>
        <n x="0"/>
        <n x="32"/>
        <n x="1337" s="1"/>
      </t>
    </mdx>
    <mdx n="33" f="v">
      <t c="4">
        <n x="260"/>
        <n x="12"/>
        <n x="7"/>
        <n x="1337" s="1"/>
      </t>
    </mdx>
    <mdx n="33" f="v">
      <t c="3">
        <n x="451"/>
        <n x="1336"/>
        <n x="1337" s="1"/>
      </t>
    </mdx>
    <mdx n="33" f="v">
      <t c="4" si="9">
        <n x="505"/>
        <n x="0"/>
        <n x="7"/>
        <n x="1337" s="1"/>
      </t>
    </mdx>
    <mdx n="33" f="v">
      <t c="4" si="10">
        <n x="557"/>
        <n x="0"/>
        <n x="32"/>
        <n x="1337" s="1"/>
      </t>
    </mdx>
    <mdx n="33" f="v">
      <t c="4">
        <n x="608"/>
        <n x="12"/>
        <n x="7"/>
        <n x="1337" s="1"/>
      </t>
    </mdx>
    <mdx n="33" f="v">
      <t c="4" si="9">
        <n x="637"/>
        <n x="14"/>
        <n x="7"/>
        <n x="1337" s="1"/>
      </t>
    </mdx>
    <mdx n="33" f="v">
      <t c="4">
        <n x="656"/>
        <n x="11"/>
        <n x="7"/>
        <n x="1337" s="1"/>
      </t>
    </mdx>
    <mdx n="33" f="v">
      <t c="4">
        <n x="364"/>
        <n x="1"/>
        <n x="32"/>
        <n x="1337" s="1"/>
      </t>
    </mdx>
    <mdx n="33" f="v">
      <t c="4">
        <n x="109"/>
        <n x="12"/>
        <n x="7"/>
        <n x="1337" s="1"/>
      </t>
    </mdx>
    <mdx n="33" f="v">
      <t c="4">
        <n x="326"/>
        <n x="1"/>
        <n x="32"/>
        <n x="1337" s="1"/>
      </t>
    </mdx>
    <mdx n="33" f="v">
      <t c="4">
        <n x="311"/>
        <n x="1"/>
        <n x="32"/>
        <n x="1337" s="1"/>
      </t>
    </mdx>
    <mdx n="33" f="v">
      <t c="4">
        <n x="620"/>
        <n x="1"/>
        <n x="7"/>
        <n x="1337" s="1"/>
      </t>
    </mdx>
    <mdx n="33" f="v">
      <t c="4">
        <n x="315"/>
        <n x="1"/>
        <n x="32"/>
        <n x="1337" s="1"/>
      </t>
    </mdx>
    <mdx n="33" f="v">
      <t c="4" si="10">
        <n x="620"/>
        <n x="1"/>
        <n x="32"/>
        <n x="1337" s="1"/>
      </t>
    </mdx>
    <mdx n="33" f="v">
      <t c="6" si="9">
        <n x="15"/>
        <n x="1337" s="1"/>
        <n x="36"/>
        <n x="7"/>
        <n x="18"/>
        <n x="1"/>
      </t>
    </mdx>
    <mdx n="33" f="v">
      <t c="4">
        <n x="329"/>
        <n x="12"/>
        <n x="7"/>
        <n x="1337" s="1"/>
      </t>
    </mdx>
    <mdx n="33" f="v">
      <t c="4" si="10">
        <n x="471"/>
        <n x="1"/>
        <n x="32"/>
        <n x="1337" s="1"/>
      </t>
    </mdx>
    <mdx n="33" f="v">
      <t c="4" si="9">
        <n x="522"/>
        <n x="0"/>
        <n x="7"/>
        <n x="1337" s="1"/>
      </t>
    </mdx>
    <mdx n="33" f="v">
      <t c="4" si="10">
        <n x="574"/>
        <n x="0"/>
        <n x="32"/>
        <n x="1337" s="1"/>
      </t>
    </mdx>
    <mdx n="33" f="v">
      <t c="4">
        <n x="622"/>
        <n x="0"/>
        <n x="7"/>
        <n x="1337" s="1"/>
      </t>
    </mdx>
    <mdx n="33" f="v">
      <t c="4">
        <n x="645"/>
        <n x="1"/>
        <n x="7"/>
        <n x="1337" s="1"/>
      </t>
    </mdx>
    <mdx n="33" f="v">
      <t c="4" si="9">
        <n x="668"/>
        <n x="14"/>
        <n x="7"/>
        <n x="1337" s="1"/>
      </t>
    </mdx>
    <mdx n="33" f="v">
      <t c="3">
        <n x="692"/>
        <n x="1336"/>
        <n x="1337" s="1"/>
      </t>
    </mdx>
    <mdx n="33" f="v">
      <t c="4">
        <n x="515"/>
        <n x="0"/>
        <n x="7"/>
        <n x="1337" s="1"/>
      </t>
    </mdx>
    <mdx n="33" f="v">
      <t c="4" si="10">
        <n x="665"/>
        <n x="12"/>
        <n x="32"/>
        <n x="1337" s="1"/>
      </t>
    </mdx>
    <mdx n="33" f="v">
      <t c="3">
        <n x="702"/>
        <n x="1336"/>
        <n x="1337" s="1"/>
      </t>
    </mdx>
    <mdx n="33" f="v">
      <t c="4">
        <n x="725"/>
        <n x="11"/>
        <n x="32"/>
        <n x="1337" s="1"/>
      </t>
    </mdx>
    <mdx n="33" f="v">
      <t c="4">
        <n x="748"/>
        <n x="12"/>
        <n x="32"/>
        <n x="1337" s="1"/>
      </t>
    </mdx>
    <mdx n="33" f="v">
      <t c="4">
        <n x="773"/>
        <n x="1"/>
        <n x="7"/>
        <n x="1337" s="1"/>
      </t>
    </mdx>
    <mdx n="33" f="v">
      <t c="4" si="10">
        <n x="801"/>
        <n x="14"/>
        <n x="32"/>
        <n x="1337" s="1"/>
      </t>
    </mdx>
    <mdx n="33" f="v">
      <t c="4">
        <n x="824"/>
        <n x="11"/>
        <n x="7"/>
        <n x="1337" s="1"/>
      </t>
    </mdx>
    <mdx n="33" f="v">
      <t c="4">
        <n x="503"/>
        <n x="0"/>
        <n x="7"/>
        <n x="1337" s="1"/>
      </t>
    </mdx>
    <mdx n="33" f="v">
      <t c="4">
        <n x="660"/>
        <n x="1"/>
        <n x="32"/>
        <n x="1337" s="1"/>
      </t>
    </mdx>
    <mdx n="33" f="v">
      <t c="4">
        <n x="700"/>
        <n x="11"/>
        <n x="7"/>
        <n x="1337" s="1"/>
      </t>
    </mdx>
    <mdx n="33" f="v">
      <t c="4">
        <n x="724"/>
        <n x="12"/>
        <n x="7"/>
        <n x="1337" s="1"/>
      </t>
    </mdx>
    <mdx n="33" f="v">
      <t c="4">
        <n x="747"/>
        <n x="0"/>
        <n x="7"/>
        <n x="1337" s="1"/>
      </t>
    </mdx>
    <mdx n="33" f="v">
      <t c="4">
        <n x="771"/>
        <n x="12"/>
        <n x="32"/>
        <n x="1337" s="1"/>
      </t>
    </mdx>
    <mdx n="33" f="v">
      <t c="3">
        <n x="800"/>
        <n x="1336"/>
        <n x="1337" s="1"/>
      </t>
    </mdx>
    <mdx n="33" f="v">
      <t c="6" si="10">
        <n x="15"/>
        <n x="1337" s="1"/>
        <n x="39"/>
        <n x="32"/>
        <n x="4"/>
        <n x="3"/>
      </t>
    </mdx>
    <mdx n="33" f="v">
      <t c="4">
        <n x="281"/>
        <n x="14"/>
        <n x="7"/>
        <n x="1337" s="1"/>
      </t>
    </mdx>
    <mdx n="33" f="v">
      <t c="4">
        <n x="161"/>
        <n x="0"/>
        <n x="7"/>
        <n x="1337" s="1"/>
      </t>
    </mdx>
    <mdx n="33" f="v">
      <t c="4">
        <n x="342"/>
        <n x="1"/>
        <n x="32"/>
        <n x="1337" s="1"/>
      </t>
    </mdx>
    <mdx n="33" f="v">
      <t c="4">
        <n x="375"/>
        <n x="1"/>
        <n x="32"/>
        <n x="1337" s="1"/>
      </t>
    </mdx>
    <mdx n="33" f="v">
      <t c="4">
        <n x="627"/>
        <n x="1"/>
        <n x="7"/>
        <n x="1337" s="1"/>
      </t>
    </mdx>
    <mdx n="33" f="v">
      <t c="4">
        <n x="379"/>
        <n x="1"/>
        <n x="32"/>
        <n x="1337" s="1"/>
      </t>
    </mdx>
    <mdx n="33" f="v">
      <t c="4">
        <n x="628"/>
        <n x="12"/>
        <n x="7"/>
        <n x="1337" s="1"/>
      </t>
    </mdx>
    <mdx n="33" f="v">
      <t c="4">
        <n x="52"/>
        <n x="12"/>
        <n x="7"/>
        <n x="1337" s="1"/>
      </t>
    </mdx>
    <mdx n="33" f="v">
      <t c="4">
        <n x="345"/>
        <n x="12"/>
        <n x="7"/>
        <n x="1337" s="1"/>
      </t>
    </mdx>
    <mdx n="33" f="v">
      <t c="4">
        <n x="475"/>
        <n x="1"/>
        <n x="32"/>
        <n x="1337" s="1"/>
      </t>
    </mdx>
    <mdx n="33" f="v">
      <t c="4" si="9">
        <n x="526"/>
        <n x="0"/>
        <n x="7"/>
        <n x="1337" s="1"/>
      </t>
    </mdx>
    <mdx n="33" f="v">
      <t c="4">
        <n x="1204"/>
        <n x="11"/>
        <n x="32"/>
        <n x="1337" s="1"/>
      </t>
    </mdx>
    <mdx n="33" f="v">
      <t c="6" si="10">
        <n x="15"/>
        <n x="1337" s="1"/>
        <n x="41"/>
        <n x="32"/>
        <n x="16"/>
        <n x="1"/>
      </t>
    </mdx>
    <mdx n="33" f="v">
      <t c="6">
        <n x="15"/>
        <n x="1337" s="1"/>
        <n x="40"/>
        <n x="7"/>
        <n x="22"/>
        <n x="3"/>
      </t>
    </mdx>
    <mdx n="33" f="v">
      <t c="6">
        <n x="15"/>
        <n x="1337" s="1"/>
        <n x="42"/>
        <n x="7"/>
        <n x="16"/>
        <n x="2"/>
      </t>
    </mdx>
    <mdx n="33" f="v">
      <t c="6">
        <n x="15"/>
        <n x="1337" s="1"/>
        <n x="36"/>
        <n x="7"/>
        <n x="30"/>
        <n x="3"/>
      </t>
    </mdx>
    <mdx n="33" f="v">
      <t c="6" si="10">
        <n x="15"/>
        <n x="1337" s="1"/>
        <n x="41"/>
        <n x="32"/>
        <n x="4"/>
        <n x="1"/>
      </t>
    </mdx>
    <mdx n="33" f="v">
      <t c="6">
        <n x="15"/>
        <n x="1337" s="1"/>
        <n x="36"/>
        <n x="7"/>
        <n x="17"/>
        <n x="3"/>
      </t>
    </mdx>
    <mdx n="33" f="v">
      <t c="4">
        <n x="91"/>
        <n x="12"/>
        <n x="7"/>
        <n x="1337" s="1"/>
      </t>
    </mdx>
    <mdx n="33" f="v">
      <t c="6" si="9">
        <n x="15"/>
        <n x="1337" s="1"/>
        <n x="38"/>
        <n x="7"/>
        <n x="17"/>
        <n x="1"/>
      </t>
    </mdx>
    <mdx n="33" f="v">
      <t c="4">
        <n x="207"/>
        <n x="0"/>
        <n x="32"/>
        <n x="1337" s="1"/>
      </t>
    </mdx>
    <mdx n="33" f="v">
      <t c="4" si="10">
        <n x="386"/>
        <n x="1"/>
        <n x="32"/>
        <n x="1337" s="1"/>
      </t>
    </mdx>
    <mdx n="33" f="v">
      <t c="4">
        <n x="225"/>
        <n x="1"/>
        <n x="32"/>
        <n x="1337" s="1"/>
      </t>
    </mdx>
    <mdx n="33" f="v">
      <t c="6" si="9">
        <n x="15"/>
        <n x="1337" s="1"/>
        <n x="43"/>
        <n x="7"/>
        <n x="25"/>
        <n x="1"/>
      </t>
    </mdx>
    <mdx n="33" f="v">
      <t c="3">
        <n x="201"/>
        <n x="1336"/>
        <n x="1337" s="1"/>
      </t>
    </mdx>
    <mdx n="33" f="v">
      <t c="4">
        <n x="382"/>
        <n x="12"/>
        <n x="7"/>
        <n x="1337" s="1"/>
      </t>
    </mdx>
    <mdx n="33" f="v">
      <t c="4">
        <n x="221"/>
        <n x="1"/>
        <n x="7"/>
        <n x="1337" s="1"/>
      </t>
    </mdx>
    <mdx n="33" f="v">
      <t c="6" si="10">
        <n x="15"/>
        <n x="1337" s="1"/>
        <n x="37"/>
        <n x="32"/>
        <n x="19"/>
        <n x="2"/>
      </t>
    </mdx>
    <mdx n="33" f="v">
      <t c="3">
        <n x="205"/>
        <n x="1336"/>
        <n x="1337" s="1"/>
      </t>
    </mdx>
    <mdx n="33" f="v">
      <t c="4" si="10">
        <n x="386"/>
        <n x="11"/>
        <n x="32"/>
        <n x="1337" s="1"/>
      </t>
    </mdx>
    <mdx n="33" f="v">
      <t c="4">
        <n x="224"/>
        <n x="1"/>
        <n x="32"/>
        <n x="1337" s="1"/>
      </t>
    </mdx>
    <mdx n="33" f="v">
      <t c="6" si="9">
        <n x="15"/>
        <n x="1337" s="1"/>
        <n x="42"/>
        <n x="7"/>
        <n x="21"/>
        <n x="0"/>
      </t>
    </mdx>
    <mdx n="33" f="v">
      <t c="4">
        <n x="243"/>
        <n x="1"/>
        <n x="7"/>
        <n x="1337" s="1"/>
      </t>
    </mdx>
    <mdx n="33" f="v">
      <t c="5" si="9">
        <n x="15"/>
        <n x="1337" s="1"/>
        <n x="8"/>
        <n x="7"/>
        <n x="4"/>
      </t>
    </mdx>
    <mdx n="33" f="v">
      <t c="4">
        <n x="290"/>
        <n x="12"/>
        <n x="7"/>
        <n x="1337" s="1"/>
      </t>
    </mdx>
    <mdx n="33" f="v">
      <t c="4">
        <n x="221"/>
        <n x="11"/>
        <n x="32"/>
        <n x="1337" s="1"/>
      </t>
    </mdx>
    <mdx n="33" f="v">
      <t c="4" si="9">
        <n x="592"/>
        <n x="0"/>
        <n x="7"/>
        <n x="1337" s="1"/>
      </t>
    </mdx>
    <mdx n="33" f="v">
      <t c="4">
        <n x="224"/>
        <n x="12"/>
        <n x="7"/>
        <n x="1337" s="1"/>
      </t>
    </mdx>
    <mdx n="33" f="v">
      <t c="4">
        <n x="593"/>
        <n x="0"/>
        <n x="7"/>
        <n x="1337" s="1"/>
      </t>
    </mdx>
    <mdx n="33" f="v">
      <t c="4">
        <n x="248"/>
        <n x="14"/>
        <n x="32"/>
        <n x="1337" s="1"/>
      </t>
    </mdx>
    <mdx n="33" f="v">
      <t c="4">
        <n x="257"/>
        <n x="1"/>
        <n x="7"/>
        <n x="1337" s="1"/>
      </t>
    </mdx>
    <mdx n="33" f="v">
      <t c="4">
        <n x="347"/>
        <n x="12"/>
        <n x="7"/>
        <n x="1337" s="1"/>
      </t>
    </mdx>
    <mdx n="33" f="v">
      <t c="4">
        <n x="425"/>
        <n x="12"/>
        <n x="7"/>
        <n x="1337" s="1"/>
      </t>
    </mdx>
    <mdx n="33" f="v">
      <t c="4">
        <n x="75"/>
        <n x="1"/>
        <n x="7"/>
        <n x="1337" s="1"/>
      </t>
    </mdx>
    <mdx n="33" f="v">
      <t c="4">
        <n x="201"/>
        <n x="0"/>
        <n x="7"/>
        <n x="1337" s="1"/>
      </t>
    </mdx>
    <mdx n="33" f="v">
      <t c="4">
        <n x="250"/>
        <n x="0"/>
        <n x="32"/>
        <n x="1337" s="1"/>
      </t>
    </mdx>
    <mdx n="33" f="v">
      <t c="3">
        <n x="315"/>
        <n x="1336"/>
        <n x="1337" s="1"/>
      </t>
    </mdx>
    <mdx n="33" f="v">
      <t c="4">
        <n x="382"/>
        <n x="1"/>
        <n x="32"/>
        <n x="1337" s="1"/>
      </t>
    </mdx>
    <mdx n="33" f="v">
      <t c="4">
        <n x="448"/>
        <n x="1"/>
        <n x="32"/>
        <n x="1337" s="1"/>
      </t>
    </mdx>
    <mdx n="33" f="v">
      <t c="4">
        <n x="263"/>
        <n x="11"/>
        <n x="32"/>
        <n x="1337" s="1"/>
      </t>
    </mdx>
    <mdx n="33" f="v">
      <t c="4">
        <n x="453"/>
        <n x="12"/>
        <n x="7"/>
        <n x="1337" s="1"/>
      </t>
    </mdx>
    <mdx n="33" f="v">
      <t c="4">
        <n x="507"/>
        <n x="12"/>
        <n x="7"/>
        <n x="1337" s="1"/>
      </t>
    </mdx>
    <mdx n="33" f="v">
      <t c="3" fi="0">
        <n x="558"/>
        <n x="1336"/>
        <n x="1337" s="1"/>
      </t>
    </mdx>
    <mdx n="33" f="v">
      <t c="4">
        <n x="609"/>
        <n x="1"/>
        <n x="32"/>
        <n x="1337" s="1"/>
      </t>
    </mdx>
    <mdx n="33" f="v">
      <t c="4" si="10">
        <n x="638"/>
        <n x="14"/>
        <n x="32"/>
        <n x="1337" s="1"/>
      </t>
    </mdx>
    <mdx n="33" f="v">
      <t c="4">
        <n x="661"/>
        <n x="11"/>
        <n x="7"/>
        <n x="1337" s="1"/>
      </t>
    </mdx>
    <mdx n="33" f="v">
      <t c="6" si="10">
        <n x="15"/>
        <n x="1337" s="1"/>
        <n x="40"/>
        <n x="32"/>
        <n x="23"/>
        <n x="1"/>
      </t>
    </mdx>
    <mdx n="33" f="v">
      <t c="4">
        <n x="266"/>
        <n x="12"/>
        <n x="7"/>
        <n x="1337" s="1"/>
      </t>
    </mdx>
    <mdx n="33" f="v">
      <t c="4">
        <n x="454"/>
        <n x="1"/>
        <n x="32"/>
        <n x="1337" s="1"/>
      </t>
    </mdx>
    <mdx n="33" f="v">
      <t c="4" si="9">
        <n x="508"/>
        <n x="12"/>
        <n x="7"/>
        <n x="1337" s="1"/>
      </t>
    </mdx>
    <mdx n="33" f="v">
      <t c="3" fi="0">
        <n x="559"/>
        <n x="1336"/>
        <n x="1337" s="1"/>
      </t>
    </mdx>
    <mdx n="33" f="v">
      <t c="4">
        <n x="610"/>
        <n x="1"/>
        <n x="32"/>
        <n x="1337" s="1"/>
      </t>
    </mdx>
    <mdx n="33" f="v">
      <t c="4" si="10">
        <n x="639"/>
        <n x="0"/>
        <n x="32"/>
        <n x="1337" s="1"/>
      </t>
    </mdx>
    <mdx n="33" f="v">
      <t c="6" si="10">
        <n x="15"/>
        <n x="1337" s="1"/>
        <n x="46"/>
        <n x="32"/>
        <n x="17"/>
        <n x="12"/>
      </t>
    </mdx>
    <mdx n="33" f="v">
      <t c="6" si="10">
        <n x="15"/>
        <n x="1337" s="1"/>
        <n x="43"/>
        <n x="32"/>
        <n x="31"/>
        <n x="1"/>
      </t>
    </mdx>
    <mdx n="33" f="v">
      <t c="4">
        <n x="274"/>
        <n x="14"/>
        <n x="32"/>
        <n x="1337" s="1"/>
      </t>
    </mdx>
    <mdx n="33" f="v">
      <t c="4">
        <n x="59"/>
        <n x="11"/>
        <n x="32"/>
        <n x="1337" s="1"/>
      </t>
    </mdx>
    <mdx n="33" f="v">
      <t c="4">
        <n x="250"/>
        <n x="1"/>
        <n x="7"/>
        <n x="1337" s="1"/>
      </t>
    </mdx>
    <mdx n="33" f="v">
      <t c="3">
        <n x="314"/>
        <n x="1336"/>
        <n x="1337" s="1"/>
      </t>
    </mdx>
    <mdx n="33" f="v">
      <t c="3">
        <n x="382"/>
        <n x="1336"/>
        <n x="1337" s="1"/>
      </t>
    </mdx>
    <mdx n="33" f="v">
      <t c="4">
        <n x="435"/>
        <n x="1"/>
        <n x="32"/>
        <n x="1337" s="1"/>
      </t>
    </mdx>
    <mdx n="33" f="v">
      <t c="4">
        <n x="58"/>
        <n x="12"/>
        <n x="7"/>
        <n x="1337" s="1"/>
      </t>
    </mdx>
    <mdx n="33" f="v">
      <t c="4">
        <n x="177"/>
        <n x="0"/>
        <n x="32"/>
        <n x="1337" s="1"/>
      </t>
    </mdx>
    <mdx n="33" f="v">
      <t c="4">
        <n x="224"/>
        <n x="0"/>
        <n x="7"/>
        <n x="1337" s="1"/>
      </t>
    </mdx>
    <mdx n="33" f="v">
      <t c="4">
        <n x="256"/>
        <n x="0"/>
        <n x="7"/>
        <n x="1337" s="1"/>
      </t>
    </mdx>
    <mdx n="33" f="v">
      <t c="4">
        <n x="306"/>
        <n x="1"/>
        <n x="32"/>
        <n x="1337" s="1"/>
      </t>
    </mdx>
    <mdx n="33" f="v">
      <t c="4">
        <n x="357"/>
        <n x="0"/>
        <n x="7"/>
        <n x="1337" s="1"/>
      </t>
    </mdx>
    <mdx n="33" f="v">
      <t c="4">
        <n x="407"/>
        <n x="0"/>
        <n x="7"/>
        <n x="1337" s="1"/>
      </t>
    </mdx>
    <mdx n="33" f="v">
      <t c="4">
        <n x="459"/>
        <n x="0"/>
        <n x="32"/>
        <n x="1337" s="1"/>
      </t>
    </mdx>
    <mdx n="33" f="v">
      <t c="4">
        <n x="241"/>
        <n x="11"/>
        <n x="32"/>
        <n x="1337" s="1"/>
      </t>
    </mdx>
    <mdx n="33" f="v">
      <t c="4">
        <n x="435"/>
        <n x="12"/>
        <n x="7"/>
        <n x="1337" s="1"/>
      </t>
    </mdx>
    <mdx n="33" f="v">
      <t c="3">
        <n x="498"/>
        <n x="1336"/>
        <n x="1337" s="1"/>
      </t>
    </mdx>
    <mdx n="33" f="v">
      <t c="4" si="10">
        <n x="549"/>
        <n x="1"/>
        <n x="32"/>
        <n x="1337" s="1"/>
      </t>
    </mdx>
    <mdx n="33" f="v">
      <t c="4">
        <n x="600"/>
        <n x="0"/>
        <n x="7"/>
        <n x="1337" s="1"/>
      </t>
    </mdx>
    <mdx n="33" f="v">
      <t c="4" si="10">
        <n x="634"/>
        <n x="14"/>
        <n x="32"/>
        <n x="1337" s="1"/>
      </t>
    </mdx>
    <mdx n="33" f="v">
      <t c="4">
        <n x="657"/>
        <n x="11"/>
        <n x="7"/>
        <n x="1337" s="1"/>
      </t>
    </mdx>
    <mdx n="33" f="v">
      <t c="4">
        <n x="681"/>
        <n x="12"/>
        <n x="7"/>
        <n x="1337" s="1"/>
      </t>
    </mdx>
    <mdx n="33" f="v">
      <t c="4">
        <n x="244"/>
        <n x="12"/>
        <n x="7"/>
        <n x="1337" s="1"/>
      </t>
    </mdx>
    <mdx n="33" f="v">
      <t c="4">
        <n x="439"/>
        <n x="12"/>
        <n x="7"/>
        <n x="1337" s="1"/>
      </t>
    </mdx>
    <mdx n="33" f="v">
      <t c="3">
        <n x="499"/>
        <n x="1336"/>
        <n x="1337" s="1"/>
      </t>
    </mdx>
    <mdx n="33" f="v">
      <t c="4" si="10">
        <n x="550"/>
        <n x="1"/>
        <n x="32"/>
        <n x="1337" s="1"/>
      </t>
    </mdx>
    <mdx n="33" f="v">
      <t c="4">
        <n x="601"/>
        <n x="0"/>
        <n x="7"/>
        <n x="1337" s="1"/>
      </t>
    </mdx>
    <mdx n="33" f="v">
      <t c="4">
        <n x="635"/>
        <n x="0"/>
        <n x="32"/>
        <n x="1337" s="1"/>
      </t>
    </mdx>
    <mdx n="33" f="v">
      <t c="4">
        <n x="658"/>
        <n x="1"/>
        <n x="32"/>
        <n x="1337" s="1"/>
      </t>
    </mdx>
    <mdx n="33" f="v">
      <t c="4">
        <n x="190"/>
        <n x="0"/>
        <n x="32"/>
        <n x="1337" s="1"/>
      </t>
    </mdx>
    <mdx n="33" f="v">
      <t c="4">
        <n x="228"/>
        <n x="14"/>
        <n x="32"/>
        <n x="1337" s="1"/>
      </t>
    </mdx>
    <mdx n="33" f="v">
      <t c="3">
        <n x="358"/>
        <n x="1336"/>
        <n x="1337" s="1"/>
      </t>
    </mdx>
    <mdx n="33" f="v">
      <t c="4">
        <n x="209"/>
        <n x="0"/>
        <n x="7"/>
        <n x="1337" s="1"/>
      </t>
    </mdx>
    <mdx n="33" f="v">
      <t c="3">
        <n x="389"/>
        <n x="1336"/>
        <n x="1337" s="1"/>
      </t>
    </mdx>
    <mdx n="33" f="v">
      <t c="4" si="10">
        <n x="480"/>
        <n x="0"/>
        <n x="32"/>
        <n x="1337" s="1"/>
      </t>
    </mdx>
    <mdx n="33" f="v">
      <t c="4">
        <n x="649"/>
        <n x="11"/>
        <n x="32"/>
        <n x="1337" s="1"/>
      </t>
    </mdx>
    <mdx n="33" f="v">
      <t c="4" si="10">
        <n x="481"/>
        <n x="0"/>
        <n x="32"/>
        <n x="1337" s="1"/>
      </t>
    </mdx>
    <mdx n="33" f="v">
      <t c="4">
        <n x="649"/>
        <n x="14"/>
        <n x="7"/>
        <n x="1337" s="1"/>
      </t>
    </mdx>
    <mdx n="33" f="v">
      <t c="4">
        <n x="186"/>
        <n x="0"/>
        <n x="7"/>
        <n x="1337" s="1"/>
      </t>
    </mdx>
    <mdx n="33" f="v">
      <t c="4">
        <n x="392"/>
        <n x="0"/>
        <n x="32"/>
        <n x="1337" s="1"/>
      </t>
    </mdx>
    <mdx n="33" f="v">
      <t c="4" si="10">
        <n x="487"/>
        <n x="1"/>
        <n x="32"/>
        <n x="1337" s="1"/>
      </t>
    </mdx>
    <mdx n="33" f="v">
      <t c="4">
        <n x="538"/>
        <n x="0"/>
        <n x="7"/>
        <n x="1337" s="1"/>
      </t>
    </mdx>
    <mdx n="33" f="v">
      <t c="4" si="10">
        <n x="590"/>
        <n x="0"/>
        <n x="32"/>
        <n x="1337" s="1"/>
      </t>
    </mdx>
    <mdx n="33" f="v">
      <t c="4">
        <n x="629"/>
        <n x="1"/>
        <n x="7"/>
        <n x="1337" s="1"/>
      </t>
    </mdx>
    <mdx n="33" f="v">
      <t c="4">
        <n x="652"/>
        <n x="14"/>
        <n x="7"/>
        <n x="1337" s="1"/>
      </t>
    </mdx>
    <mdx n="33" f="v">
      <t c="3">
        <n x="676"/>
        <n x="1336"/>
        <n x="1337" s="1"/>
      </t>
    </mdx>
    <mdx n="33" f="v">
      <t c="4">
        <n x="171"/>
        <n x="1"/>
        <n x="32"/>
        <n x="1337" s="1"/>
      </t>
    </mdx>
    <mdx n="33" f="v">
      <t c="4" si="9">
        <n x="579"/>
        <n x="0"/>
        <n x="7"/>
        <n x="1337" s="1"/>
      </t>
    </mdx>
    <mdx n="33" f="v">
      <t c="4" si="10">
        <n x="681"/>
        <n x="12"/>
        <n x="32"/>
        <n x="1337" s="1"/>
      </t>
    </mdx>
    <mdx n="33" f="v">
      <t c="4">
        <n x="709"/>
        <n x="11"/>
        <n x="32"/>
        <n x="1337" s="1"/>
      </t>
    </mdx>
    <mdx n="33" f="v">
      <t c="4">
        <n x="732"/>
        <n x="12"/>
        <n x="32"/>
        <n x="1337" s="1"/>
      </t>
    </mdx>
    <mdx n="33" f="v">
      <t c="4" si="10">
        <n x="756"/>
        <n x="0"/>
        <n x="32"/>
        <n x="1337" s="1"/>
      </t>
    </mdx>
    <mdx n="33" f="v">
      <t c="4">
        <n x="783"/>
        <n x="1"/>
        <n x="7"/>
        <n x="1337" s="1"/>
      </t>
    </mdx>
    <mdx n="33" f="v">
      <t c="4">
        <n x="808"/>
        <n x="11"/>
        <n x="7"/>
        <n x="1337" s="1"/>
      </t>
    </mdx>
    <mdx n="33" f="v">
      <t c="4">
        <n x="53"/>
        <n x="1"/>
        <n x="7"/>
        <n x="1337" s="1"/>
      </t>
    </mdx>
    <mdx n="33" f="v">
      <t c="4" si="9">
        <n x="567"/>
        <n x="0"/>
        <n x="7"/>
        <n x="1337" s="1"/>
      </t>
    </mdx>
    <mdx n="33" f="v">
      <t c="4" si="10">
        <n x="679"/>
        <n x="0"/>
        <n x="32"/>
        <n x="1337" s="1"/>
      </t>
    </mdx>
    <mdx n="33" f="v">
      <t c="4">
        <n x="708"/>
        <n x="12"/>
        <n x="7"/>
        <n x="1337" s="1"/>
      </t>
    </mdx>
    <mdx n="33" f="v">
      <t c="4">
        <n x="731"/>
        <n x="0"/>
        <n x="7"/>
        <n x="1337" s="1"/>
      </t>
    </mdx>
    <mdx n="33" f="v">
      <t c="4" si="9">
        <n x="754"/>
        <n x="1"/>
        <n x="7"/>
        <n x="1337" s="1"/>
      </t>
    </mdx>
    <mdx n="33" f="v">
      <t c="4" si="10">
        <n x="781"/>
        <n x="12"/>
        <n x="32"/>
        <n x="1337" s="1"/>
      </t>
    </mdx>
    <mdx n="33" f="v">
      <t c="4">
        <n x="807"/>
        <n x="11"/>
        <n x="32"/>
        <n x="1337" s="1"/>
      </t>
    </mdx>
    <mdx n="33" f="v">
      <t c="4">
        <n x="268"/>
        <n x="14"/>
        <n x="32"/>
        <n x="1337" s="1"/>
      </t>
    </mdx>
    <mdx n="33" f="v">
      <t c="4">
        <n x="379"/>
        <n x="12"/>
        <n x="7"/>
        <n x="1337" s="1"/>
      </t>
    </mdx>
    <mdx n="33" f="v">
      <t c="4">
        <n x="223"/>
        <n x="0"/>
        <n x="32"/>
        <n x="1337" s="1"/>
      </t>
    </mdx>
    <mdx n="33" f="v">
      <t c="3">
        <n x="405"/>
        <n x="1336"/>
        <n x="1337" s="1"/>
      </t>
    </mdx>
    <mdx n="33" f="v">
      <t c="4">
        <n x="496"/>
        <n x="0"/>
        <n x="32"/>
        <n x="1337" s="1"/>
      </t>
    </mdx>
    <mdx n="33" f="v">
      <t c="4">
        <n x="656"/>
        <n x="12"/>
        <n x="32"/>
        <n x="1337" s="1"/>
      </t>
    </mdx>
    <mdx n="33" f="v">
      <t c="4">
        <n x="497"/>
        <n x="0"/>
        <n x="32"/>
        <n x="1337" s="1"/>
      </t>
    </mdx>
    <mdx n="33" f="v">
      <t c="4">
        <n x="652"/>
        <n x="11"/>
        <n x="7"/>
        <n x="1337" s="1"/>
      </t>
    </mdx>
    <mdx n="33" f="v">
      <t c="4">
        <n x="209"/>
        <n x="12"/>
        <n x="7"/>
        <n x="1337" s="1"/>
      </t>
    </mdx>
    <mdx n="33" f="v">
      <t c="4">
        <n x="408"/>
        <n x="0"/>
        <n x="32"/>
        <n x="1337" s="1"/>
      </t>
    </mdx>
    <mdx n="33" f="v">
      <t c="4" si="10">
        <n x="491"/>
        <n x="1"/>
        <n x="32"/>
        <n x="1337" s="1"/>
      </t>
    </mdx>
    <mdx n="33" f="v">
      <t c="4" si="9">
        <n x="542"/>
        <n x="0"/>
        <n x="7"/>
        <n x="1337" s="1"/>
      </t>
    </mdx>
    <mdx n="33" f="v">
      <t c="6">
        <n x="15"/>
        <n x="1337" s="1"/>
        <n x="39"/>
        <n x="7"/>
        <n x="29"/>
        <n x="3"/>
      </t>
    </mdx>
    <mdx n="33" f="v">
      <t c="4">
        <n x="75"/>
        <n x="12"/>
        <n x="7"/>
        <n x="1337" s="1"/>
      </t>
    </mdx>
    <mdx n="33" f="v">
      <t c="6" si="10">
        <n x="15"/>
        <n x="1337" s="1"/>
        <n x="44"/>
        <n x="32"/>
        <n x="6"/>
        <n x="3"/>
      </t>
    </mdx>
    <mdx n="33" f="v">
      <t c="3">
        <n x="1233"/>
        <n x="1336"/>
        <n x="1337" s="1"/>
      </t>
    </mdx>
    <mdx n="33" f="v">
      <t c="6" si="10">
        <n x="15"/>
        <n x="1337" s="1"/>
        <n x="38"/>
        <n x="32"/>
        <n x="17"/>
        <n x="0"/>
      </t>
    </mdx>
    <mdx n="33" f="v">
      <t c="5" si="9">
        <n x="15"/>
        <n x="1337" s="1"/>
        <n x="40"/>
        <n x="7"/>
        <n x="2"/>
      </t>
    </mdx>
    <mdx n="33" f="v">
      <t c="4">
        <n x="48"/>
        <n x="11"/>
        <n x="32"/>
        <n x="1337" s="1"/>
      </t>
    </mdx>
    <mdx n="33" f="v">
      <t c="6" si="10">
        <n x="15"/>
        <n x="1337" s="1"/>
        <n x="40"/>
        <n x="32"/>
        <n x="22"/>
        <n x="3"/>
      </t>
    </mdx>
    <mdx n="33" f="v">
      <t c="4">
        <n x="88"/>
        <n x="11"/>
        <n x="32"/>
        <n x="1337" s="1"/>
      </t>
    </mdx>
    <mdx n="33" f="v">
      <t c="3">
        <n x="259"/>
        <n x="1336"/>
        <n x="1337" s="1"/>
      </t>
    </mdx>
    <mdx n="33" f="v">
      <t c="6">
        <n x="15"/>
        <n x="1337" s="1"/>
        <n x="38"/>
        <n x="7"/>
        <n x="16"/>
        <n x="2"/>
      </t>
    </mdx>
    <mdx n="33" f="v">
      <t c="6" si="10">
        <n x="15"/>
        <n x="1337" s="1"/>
        <n x="34"/>
        <n x="32"/>
        <n x="22"/>
        <n x="12"/>
      </t>
    </mdx>
    <mdx n="33" f="v">
      <t c="4">
        <n x="81"/>
        <n x="12"/>
        <n x="7"/>
        <n x="1337" s="1"/>
      </t>
    </mdx>
    <mdx n="33" f="v">
      <t c="4">
        <n x="255"/>
        <n x="14"/>
        <n x="32"/>
        <n x="1337" s="1"/>
      </t>
    </mdx>
    <mdx n="33" f="v">
      <t c="6" si="10">
        <n x="15"/>
        <n x="1337" s="1"/>
        <n x="40"/>
        <n x="32"/>
        <n x="18"/>
        <n x="1"/>
      </t>
    </mdx>
    <mdx n="33" f="v">
      <t c="6" si="9">
        <n x="15"/>
        <n x="1337" s="1"/>
        <n x="42"/>
        <n x="7"/>
        <n x="31"/>
        <n x="0"/>
      </t>
    </mdx>
    <mdx n="33" f="v">
      <t c="4">
        <n x="86"/>
        <n x="0"/>
        <n x="32"/>
        <n x="1337" s="1"/>
      </t>
    </mdx>
    <mdx n="33" f="v">
      <t c="3">
        <n x="258"/>
        <n x="1336"/>
        <n x="1337" s="1"/>
      </t>
    </mdx>
    <mdx n="33" f="v">
      <t c="6" si="10">
        <n x="15"/>
        <n x="1337" s="1"/>
        <n x="43"/>
        <n x="32"/>
        <n x="19"/>
        <n x="3"/>
      </t>
    </mdx>
    <mdx n="33" f="v">
      <t c="4">
        <n x="272"/>
        <n x="1"/>
        <n x="32"/>
        <n x="1337" s="1"/>
      </t>
    </mdx>
    <mdx n="33" f="v">
      <t c="4">
        <n x="174"/>
        <n x="12"/>
        <n x="7"/>
        <n x="1337" s="1"/>
      </t>
    </mdx>
    <mdx n="33" f="v">
      <t c="4">
        <n x="337"/>
        <n x="1"/>
        <n x="32"/>
        <n x="1337" s="1"/>
      </t>
    </mdx>
    <mdx n="33" f="v">
      <t c="4">
        <n x="194"/>
        <n x="1"/>
        <n x="32"/>
        <n x="1337" s="1"/>
      </t>
    </mdx>
    <mdx n="33" f="v">
      <t c="3">
        <n x="375"/>
        <n x="1336"/>
        <n x="1337" s="1"/>
      </t>
    </mdx>
    <mdx n="33" f="v">
      <t c="4" si="10">
        <n x="465"/>
        <n x="0"/>
        <n x="32"/>
        <n x="1337" s="1"/>
      </t>
    </mdx>
    <mdx n="33" f="v">
      <t c="4">
        <n x="642"/>
        <n x="14"/>
        <n x="32"/>
        <n x="1337" s="1"/>
      </t>
    </mdx>
    <mdx n="33" f="v">
      <t c="3">
        <n x="466"/>
        <n x="1336"/>
        <n x="1337" s="1"/>
      </t>
    </mdx>
    <mdx n="33" f="v">
      <t c="4">
        <n x="643"/>
        <n x="0"/>
        <n x="32"/>
        <n x="1337" s="1"/>
      </t>
    </mdx>
    <mdx n="33" f="v">
      <t c="4">
        <n x="187"/>
        <n x="12"/>
        <n x="7"/>
        <n x="1337" s="1"/>
      </t>
    </mdx>
    <mdx n="33" f="v">
      <t c="4">
        <n x="279"/>
        <n x="1"/>
        <n x="32"/>
        <n x="1337" s="1"/>
      </t>
    </mdx>
    <mdx n="33" f="v">
      <t c="4">
        <n x="381"/>
        <n x="1"/>
        <n x="32"/>
        <n x="1337" s="1"/>
      </t>
    </mdx>
    <mdx n="33" f="v">
      <t c="6" si="10">
        <n x="15"/>
        <n x="1337" s="1"/>
        <n x="39"/>
        <n x="32"/>
        <n x="23"/>
        <n x="1"/>
      </t>
    </mdx>
    <mdx n="33" f="v">
      <t c="4">
        <n x="160"/>
        <n x="12"/>
        <n x="7"/>
        <n x="1337" s="1"/>
      </t>
    </mdx>
    <mdx n="33" f="v">
      <t c="4">
        <n x="224"/>
        <n x="0"/>
        <n x="32"/>
        <n x="1337" s="1"/>
      </t>
    </mdx>
    <mdx n="33" f="v">
      <t c="4">
        <n x="266"/>
        <n x="0"/>
        <n x="32"/>
        <n x="1337" s="1"/>
      </t>
    </mdx>
    <mdx n="33" f="v">
      <t c="4">
        <n x="341"/>
        <n x="0"/>
        <n x="32"/>
        <n x="1337" s="1"/>
      </t>
    </mdx>
    <mdx n="33" f="v">
      <t c="4">
        <n x="407"/>
        <n x="0"/>
        <n x="32"/>
        <n x="1337" s="1"/>
      </t>
    </mdx>
    <mdx n="33" f="v">
      <t c="6">
        <n x="15"/>
        <n x="1337" s="1"/>
        <n x="41"/>
        <n x="7"/>
        <n x="4"/>
        <n x="2"/>
      </t>
    </mdx>
    <mdx n="33" f="v">
      <t c="4">
        <n x="343"/>
        <n x="1"/>
        <n x="32"/>
        <n x="1337" s="1"/>
      </t>
    </mdx>
    <mdx n="33" f="v">
      <t c="4">
        <n x="475"/>
        <n x="12"/>
        <n x="7"/>
        <n x="1337" s="1"/>
      </t>
    </mdx>
    <mdx n="33" f="v">
      <t c="3" fi="0">
        <n x="526"/>
        <n x="1336"/>
        <n x="1337" s="1"/>
      </t>
    </mdx>
    <mdx n="33" f="v">
      <t c="4" si="10">
        <n x="577"/>
        <n x="1"/>
        <n x="32"/>
        <n x="1337" s="1"/>
      </t>
    </mdx>
    <mdx n="33" f="v">
      <t c="4" si="10">
        <n x="624"/>
        <n x="0"/>
        <n x="32"/>
        <n x="1337" s="1"/>
      </t>
    </mdx>
    <mdx n="33" f="v">
      <t c="4">
        <n x="647"/>
        <n x="1"/>
        <n x="32"/>
        <n x="1337" s="1"/>
      </t>
    </mdx>
    <mdx n="33" f="v">
      <t c="4">
        <n x="670"/>
        <n x="14"/>
        <n x="32"/>
        <n x="1337" s="1"/>
      </t>
    </mdx>
    <mdx n="33" f="v">
      <t c="4">
        <n x="166"/>
        <n x="0"/>
        <n x="7"/>
        <n x="1337" s="1"/>
      </t>
    </mdx>
    <mdx n="33" f="v">
      <t c="4">
        <n x="347"/>
        <n x="1"/>
        <n x="32"/>
        <n x="1337" s="1"/>
      </t>
    </mdx>
    <mdx n="33" f="v">
      <t c="4">
        <n x="476"/>
        <n x="12"/>
        <n x="7"/>
        <n x="1337" s="1"/>
      </t>
    </mdx>
    <mdx n="33" f="v">
      <t c="3" fi="0">
        <n x="527"/>
        <n x="1336"/>
        <n x="1337" s="1"/>
      </t>
    </mdx>
    <mdx n="33" f="v">
      <t c="4" si="10">
        <n x="578"/>
        <n x="1"/>
        <n x="32"/>
        <n x="1337" s="1"/>
      </t>
    </mdx>
    <mdx n="33" f="v">
      <t c="4">
        <n x="624"/>
        <n x="11"/>
        <n x="32"/>
        <n x="1337" s="1"/>
      </t>
    </mdx>
    <mdx n="33" f="v">
      <t c="4" si="10">
        <n x="647"/>
        <n x="12"/>
        <n x="32"/>
        <n x="1337" s="1"/>
      </t>
    </mdx>
    <mdx n="33" f="v">
      <t c="6" si="10">
        <n x="15"/>
        <n x="1337" s="1"/>
        <n x="40"/>
        <n x="32"/>
        <n x="20"/>
        <n x="3"/>
      </t>
    </mdx>
    <mdx n="33" f="v">
      <t c="4">
        <n x="180"/>
        <n x="1"/>
        <n x="32"/>
        <n x="1337" s="1"/>
      </t>
    </mdx>
    <mdx n="33" f="v">
      <t c="3">
        <n x="361"/>
        <n x="1336"/>
        <n x="1337" s="1"/>
      </t>
    </mdx>
    <mdx n="33" f="v">
      <t c="4">
        <n x="203"/>
        <n x="12"/>
        <n x="7"/>
        <n x="1337" s="1"/>
      </t>
    </mdx>
    <mdx n="33" f="v">
      <t c="4">
        <n x="266"/>
        <n x="1"/>
        <n x="7"/>
        <n x="1337" s="1"/>
      </t>
    </mdx>
    <mdx n="33" f="v">
      <t c="4">
        <n x="340"/>
        <n x="0"/>
        <n x="32"/>
        <n x="1337" s="1"/>
      </t>
    </mdx>
    <mdx n="33" f="v">
      <t c="4">
        <n x="403"/>
        <n x="1"/>
        <n x="32"/>
        <n x="1337" s="1"/>
      </t>
    </mdx>
    <mdx n="33" f="v">
      <t c="6" si="10">
        <n x="15"/>
        <n x="1337" s="1"/>
        <n x="38"/>
        <n x="32"/>
        <n x="20"/>
        <n x="2"/>
      </t>
    </mdx>
    <mdx n="33" f="v">
      <t c="4">
        <n x="105"/>
        <n x="12"/>
        <n x="7"/>
        <n x="1337" s="1"/>
      </t>
    </mdx>
    <mdx n="33" f="v">
      <t c="4">
        <n x="196"/>
        <n x="12"/>
        <n x="7"/>
        <n x="1337" s="1"/>
      </t>
    </mdx>
    <mdx n="33" f="v">
      <t c="4">
        <n x="236"/>
        <n x="0"/>
        <n x="7"/>
        <n x="1337" s="1"/>
      </t>
    </mdx>
    <mdx n="33" f="v">
      <t c="4">
        <n x="268"/>
        <n x="0"/>
        <n x="7"/>
        <n x="1337" s="1"/>
      </t>
    </mdx>
    <mdx n="33" f="v">
      <t c="4">
        <n x="325"/>
        <n x="0"/>
        <n x="7"/>
        <n x="1337" s="1"/>
      </t>
    </mdx>
    <mdx n="33" f="v">
      <t c="4">
        <n x="377"/>
        <n x="0"/>
        <n x="32"/>
        <n x="1337" s="1"/>
      </t>
    </mdx>
    <mdx n="33" f="v">
      <t c="4">
        <n x="427"/>
        <n x="0"/>
        <n x="32"/>
        <n x="1337" s="1"/>
      </t>
    </mdx>
    <mdx n="33" f="v">
      <t c="4">
        <n x="61"/>
        <n x="1"/>
        <n x="7"/>
        <n x="1337" s="1"/>
      </t>
    </mdx>
    <mdx n="33" f="v">
      <t c="3">
        <n x="308"/>
        <n x="1336"/>
        <n x="1337" s="1"/>
      </t>
    </mdx>
    <mdx n="33" f="v">
      <t c="4" si="9">
        <n x="467"/>
        <n x="12"/>
        <n x="7"/>
        <n x="1337" s="1"/>
      </t>
    </mdx>
    <mdx n="33" f="v">
      <t c="4">
        <n x="517"/>
        <n x="1"/>
        <n x="32"/>
        <n x="1337" s="1"/>
      </t>
    </mdx>
    <mdx n="33" f="v">
      <t c="4">
        <n x="568"/>
        <n x="0"/>
        <n x="7"/>
        <n x="1337" s="1"/>
      </t>
    </mdx>
    <mdx n="33" f="v">
      <t c="3">
        <n x="620"/>
        <n x="1336"/>
        <n x="1337" s="1"/>
      </t>
    </mdx>
    <mdx n="33" f="v">
      <t c="4">
        <n x="643"/>
        <n x="1"/>
        <n x="32"/>
        <n x="1337" s="1"/>
      </t>
    </mdx>
    <mdx n="33" f="v">
      <t c="4" si="10">
        <n x="666"/>
        <n x="14"/>
        <n x="32"/>
        <n x="1337" s="1"/>
      </t>
    </mdx>
    <mdx n="33" f="v">
      <t c="4">
        <n x="69"/>
        <n x="1"/>
        <n x="7"/>
        <n x="1337" s="1"/>
      </t>
    </mdx>
    <mdx n="33" f="v">
      <t c="3">
        <n x="312"/>
        <n x="1336"/>
        <n x="1337" s="1"/>
      </t>
    </mdx>
    <mdx n="33" f="v">
      <t c="4">
        <n x="468"/>
        <n x="12"/>
        <n x="7"/>
        <n x="1337" s="1"/>
      </t>
    </mdx>
    <mdx n="33" f="v">
      <t c="4" si="10">
        <n x="518"/>
        <n x="1"/>
        <n x="32"/>
        <n x="1337" s="1"/>
      </t>
    </mdx>
    <mdx n="33" f="v">
      <t c="4" si="9">
        <n x="569"/>
        <n x="0"/>
        <n x="7"/>
        <n x="1337" s="1"/>
      </t>
    </mdx>
    <mdx n="33" f="v">
      <t c="4">
        <n x="620"/>
        <n x="11"/>
        <n x="7"/>
        <n x="1337" s="1"/>
      </t>
    </mdx>
    <mdx n="33" f="v">
      <t c="4">
        <n x="643"/>
        <n x="12"/>
        <n x="32"/>
        <n x="1337" s="1"/>
      </t>
    </mdx>
    <mdx n="33" f="v">
      <t c="4" si="10">
        <n x="667"/>
        <n x="0"/>
        <n x="32"/>
        <n x="1337" s="1"/>
      </t>
    </mdx>
    <mdx n="33" f="v">
      <t c="4">
        <n x="177"/>
        <n x="12"/>
        <n x="7"/>
        <n x="1337" s="1"/>
      </t>
    </mdx>
    <mdx n="33" f="v">
      <t c="4">
        <n x="267"/>
        <n x="1"/>
        <n x="32"/>
        <n x="1337" s="1"/>
      </t>
    </mdx>
    <mdx n="33" f="v">
      <t c="4">
        <n x="197"/>
        <n x="0"/>
        <n x="32"/>
        <n x="1337" s="1"/>
      </t>
    </mdx>
    <mdx n="33" f="v">
      <t c="4">
        <n x="377"/>
        <n x="0"/>
        <n x="7"/>
        <n x="1337" s="1"/>
      </t>
    </mdx>
    <mdx n="33" f="v">
      <t c="4">
        <n x="468"/>
        <n x="0"/>
        <n x="32"/>
        <n x="1337" s="1"/>
      </t>
    </mdx>
    <mdx n="33" f="v">
      <t c="4">
        <n x="643"/>
        <n x="1"/>
        <n x="7"/>
        <n x="1337" s="1"/>
      </t>
    </mdx>
    <mdx n="33" f="v">
      <t c="4">
        <n x="469"/>
        <n x="0"/>
        <n x="32"/>
        <n x="1337" s="1"/>
      </t>
    </mdx>
    <mdx n="33" f="v">
      <t c="4" si="9">
        <n x="644"/>
        <n x="12"/>
        <n x="7"/>
        <n x="1337" s="1"/>
      </t>
    </mdx>
    <mdx n="33" f="v">
      <t c="4">
        <n x="170"/>
        <n x="0"/>
        <n x="7"/>
        <n x="1337" s="1"/>
      </t>
    </mdx>
    <mdx n="33" f="v">
      <t c="3">
        <n x="380"/>
        <n x="1336"/>
        <n x="1337" s="1"/>
      </t>
    </mdx>
    <mdx n="33" f="v">
      <t c="3">
        <n x="484"/>
        <n x="1336"/>
        <n x="1337" s="1"/>
      </t>
    </mdx>
    <mdx n="33" f="v">
      <t c="4">
        <n x="535"/>
        <n x="1"/>
        <n x="32"/>
        <n x="1337" s="1"/>
      </t>
    </mdx>
    <mdx n="33" f="v">
      <t c="4">
        <n x="586"/>
        <n x="0"/>
        <n x="7"/>
        <n x="1337" s="1"/>
      </t>
    </mdx>
    <mdx n="33" f="v">
      <t c="3">
        <n x="628"/>
        <n x="1336"/>
        <n x="1337" s="1"/>
      </t>
    </mdx>
    <mdx n="33" f="v">
      <t c="4">
        <n x="651"/>
        <n x="11"/>
        <n x="32"/>
        <n x="1337" s="1"/>
      </t>
    </mdx>
    <mdx n="33" f="v">
      <t c="4" si="10">
        <n x="674"/>
        <n x="12"/>
        <n x="32"/>
        <n x="1337" s="1"/>
      </t>
    </mdx>
    <mdx n="33" f="v">
      <t c="5" si="10">
        <n x="15"/>
        <n x="1337" s="1"/>
        <n x="11"/>
        <n x="32"/>
        <n x="6"/>
      </t>
    </mdx>
    <mdx n="33" f="v">
      <t c="4" si="10">
        <n x="567"/>
        <n x="0"/>
        <n x="32"/>
        <n x="1337" s="1"/>
      </t>
    </mdx>
    <mdx n="33" f="v">
      <t c="4">
        <n x="678"/>
        <n x="11"/>
        <n x="7"/>
        <n x="1337" s="1"/>
      </t>
    </mdx>
    <mdx n="33" f="v">
      <t c="4" si="10">
        <n x="708"/>
        <n x="0"/>
        <n x="32"/>
        <n x="1337" s="1"/>
      </t>
    </mdx>
    <mdx n="33" f="v">
      <t c="4">
        <n x="731"/>
        <n x="1"/>
        <n x="32"/>
        <n x="1337" s="1"/>
      </t>
    </mdx>
    <mdx n="33" f="v">
      <t c="4" si="10">
        <n x="754"/>
        <n x="14"/>
        <n x="32"/>
        <n x="1337" s="1"/>
      </t>
    </mdx>
    <mdx n="33" f="v">
      <t c="4">
        <n x="781"/>
        <n x="1"/>
        <n x="7"/>
        <n x="1337" s="1"/>
      </t>
    </mdx>
    <mdx n="33" f="v">
      <t c="4" si="9">
        <n x="807"/>
        <n x="0"/>
        <n x="7"/>
        <n x="1337" s="1"/>
      </t>
    </mdx>
    <mdx n="33" f="v">
      <t c="4">
        <n x="830"/>
        <n x="1"/>
        <n x="7"/>
        <n x="1337" s="1"/>
      </t>
    </mdx>
    <mdx n="33" f="v">
      <t c="4" si="10">
        <n x="555"/>
        <n x="0"/>
        <n x="32"/>
        <n x="1337" s="1"/>
      </t>
    </mdx>
    <mdx n="33" f="v">
      <t c="4" si="9">
        <n x="676"/>
        <n x="12"/>
        <n x="7"/>
        <n x="1337" s="1"/>
      </t>
    </mdx>
    <mdx n="33" f="v">
      <t c="4">
        <n x="706"/>
        <n x="1"/>
        <n x="7"/>
        <n x="1337" s="1"/>
      </t>
    </mdx>
    <mdx n="33" f="v">
      <t c="4">
        <n x="729"/>
        <n x="14"/>
        <n x="7"/>
        <n x="1337" s="1"/>
      </t>
    </mdx>
    <mdx n="33" f="v">
      <t c="3">
        <n x="753"/>
        <n x="1336"/>
        <n x="1337" s="1"/>
      </t>
    </mdx>
    <mdx n="33" f="v">
      <t c="4">
        <n x="779"/>
        <n x="12"/>
        <n x="32"/>
        <n x="1337" s="1"/>
      </t>
    </mdx>
    <mdx n="33" f="v">
      <t c="4" si="10">
        <n x="806"/>
        <n x="0"/>
        <n x="32"/>
        <n x="1337" s="1"/>
      </t>
    </mdx>
    <mdx n="33" f="v">
      <t c="4">
        <n x="236"/>
        <n x="14"/>
        <n x="32"/>
        <n x="1337" s="1"/>
      </t>
    </mdx>
    <mdx n="33" f="v">
      <t c="3">
        <n x="362"/>
        <n x="1336"/>
        <n x="1337" s="1"/>
      </t>
    </mdx>
    <mdx n="33" f="v">
      <t c="4">
        <n x="213"/>
        <n x="0"/>
        <n x="32"/>
        <n x="1337" s="1"/>
      </t>
    </mdx>
    <mdx n="33" f="v">
      <t c="4">
        <n x="392"/>
        <n x="1"/>
        <n x="32"/>
        <n x="1337" s="1"/>
      </t>
    </mdx>
    <mdx n="33" f="v">
      <t c="4" si="9">
        <n x="483"/>
        <n x="12"/>
        <n x="7"/>
        <n x="1337" s="1"/>
      </t>
    </mdx>
    <mdx n="33" f="v">
      <t c="4">
        <n x="650"/>
        <n x="14"/>
        <n x="7"/>
        <n x="1337" s="1"/>
      </t>
    </mdx>
    <mdx n="33" f="v">
      <t c="4" si="9">
        <n x="484"/>
        <n x="12"/>
        <n x="7"/>
        <n x="1337" s="1"/>
      </t>
    </mdx>
    <mdx n="33" f="v">
      <t c="4">
        <n x="650"/>
        <n x="1"/>
        <n x="32"/>
        <n x="1337" s="1"/>
      </t>
    </mdx>
    <mdx n="33" f="v">
      <t c="4">
        <n x="193"/>
        <n x="12"/>
        <n x="7"/>
        <n x="1337" s="1"/>
      </t>
    </mdx>
    <mdx n="33" f="v">
      <t c="4">
        <n x="395"/>
        <n x="12"/>
        <n x="7"/>
        <n x="1337" s="1"/>
      </t>
    </mdx>
    <mdx n="33" f="v">
      <t c="3">
        <n x="488"/>
        <n x="1336"/>
        <n x="1337" s="1"/>
      </t>
    </mdx>
    <mdx n="33" f="v">
      <t c="4" si="10">
        <n x="539"/>
        <n x="1"/>
        <n x="32"/>
        <n x="1337" s="1"/>
      </t>
    </mdx>
    <mdx n="33" f="v">
      <t c="6" si="9">
        <n x="15"/>
        <n x="1337" s="1"/>
        <n x="45"/>
        <n x="7"/>
        <n x="21"/>
        <n x="12"/>
      </t>
    </mdx>
    <mdx n="33" f="v">
      <t c="6">
        <n x="15"/>
        <n x="1337" s="1"/>
        <n x="41"/>
        <n x="7"/>
        <n x="20"/>
        <n x="2"/>
      </t>
    </mdx>
    <mdx n="33" f="v">
      <t c="6" si="9">
        <n x="15"/>
        <n x="1337" s="1"/>
        <n x="40"/>
        <n x="7"/>
        <n x="20"/>
        <n x="3"/>
      </t>
    </mdx>
    <mdx n="33" f="v">
      <t c="4" si="10">
        <n x="1161"/>
        <n x="1"/>
        <n x="32"/>
        <n x="1337" s="1"/>
      </t>
    </mdx>
    <mdx n="33" f="v">
      <t c="6" si="9">
        <n x="15"/>
        <n x="1337" s="1"/>
        <n x="39"/>
        <n x="7"/>
        <n x="23"/>
        <n x="2"/>
      </t>
    </mdx>
    <mdx n="33" f="v">
      <t c="4">
        <n x="89"/>
        <n x="14"/>
        <n x="32"/>
        <n x="1337" s="1"/>
      </t>
    </mdx>
    <mdx n="33" f="v">
      <t c="5" si="10">
        <n x="15"/>
        <n x="1337" s="1"/>
        <n x="43"/>
        <n x="32"/>
        <n x="1"/>
      </t>
    </mdx>
    <mdx n="33" f="v">
      <t c="6" si="10">
        <n x="15"/>
        <n x="1337" s="1"/>
        <n x="38"/>
        <n x="32"/>
        <n x="27"/>
        <n x="3"/>
      </t>
    </mdx>
    <mdx n="33" f="v">
      <t c="4">
        <n x="54"/>
        <n x="0"/>
        <n x="32"/>
        <n x="1337" s="1"/>
      </t>
    </mdx>
    <mdx n="33" f="v">
      <t c="3">
        <n x="243"/>
        <n x="1336"/>
        <n x="1337" s="1"/>
      </t>
    </mdx>
    <mdx n="33" f="v">
      <t c="4">
        <n x="437"/>
        <n x="0"/>
        <n x="7"/>
        <n x="1337" s="1"/>
      </t>
    </mdx>
    <mdx n="33" f="v">
      <t c="6" si="10">
        <n x="15"/>
        <n x="1337" s="1"/>
        <n x="43"/>
        <n x="32"/>
        <n x="27"/>
        <n x="0"/>
      </t>
    </mdx>
    <mdx n="33" f="v">
      <t c="6" si="9">
        <n x="15"/>
        <n x="1337" s="1"/>
        <n x="43"/>
        <n x="7"/>
        <n x="6"/>
        <n x="0"/>
      </t>
    </mdx>
    <mdx n="33" f="v">
      <t c="4">
        <n x="239"/>
        <n x="14"/>
        <n x="32"/>
        <n x="1337" s="1"/>
      </t>
    </mdx>
    <mdx n="33" f="v">
      <t c="4">
        <n x="432"/>
        <n x="12"/>
        <n x="7"/>
        <n x="1337" s="1"/>
      </t>
    </mdx>
    <mdx n="33" f="v">
      <t c="6" si="9">
        <n x="15"/>
        <n x="1337" s="1"/>
        <n x="40"/>
        <n x="7"/>
        <n x="24"/>
        <n x="2"/>
      </t>
    </mdx>
    <mdx n="33" f="v">
      <t c="4">
        <n x="52"/>
        <n x="11"/>
        <n x="32"/>
        <n x="1337" s="1"/>
      </t>
    </mdx>
    <mdx n="33" f="v">
      <t c="3">
        <n x="242"/>
        <n x="1336"/>
        <n x="1337" s="1"/>
      </t>
    </mdx>
    <mdx n="33" f="v">
      <t c="4">
        <n x="436"/>
        <n x="12"/>
        <n x="7"/>
        <n x="1337" s="1"/>
      </t>
    </mdx>
    <mdx n="33" f="v">
      <t c="4">
        <n x="256"/>
        <n x="1"/>
        <n x="32"/>
        <n x="1337" s="1"/>
      </t>
    </mdx>
    <mdx n="33" f="v">
      <t c="4">
        <n x="78"/>
        <n x="1"/>
        <n x="7"/>
        <n x="1337" s="1"/>
      </t>
    </mdx>
    <mdx n="33" f="v">
      <t c="4">
        <n x="304"/>
        <n x="0"/>
        <n x="32"/>
        <n x="1337" s="1"/>
      </t>
    </mdx>
    <mdx n="33" f="v">
      <t c="4">
        <n x="169"/>
        <n x="0"/>
        <n x="32"/>
        <n x="1337" s="1"/>
      </t>
    </mdx>
    <mdx n="33" f="v">
      <t c="4">
        <n x="349"/>
        <n x="0"/>
        <n x="7"/>
        <n x="1337" s="1"/>
      </t>
    </mdx>
    <mdx n="33" f="v">
      <t c="4">
        <n x="403"/>
        <n x="12"/>
        <n x="7"/>
        <n x="1337" s="1"/>
      </t>
    </mdx>
    <mdx n="33" f="v">
      <t c="4">
        <n x="630"/>
        <n x="14"/>
        <n x="7"/>
        <n x="1337" s="1"/>
      </t>
    </mdx>
    <mdx n="33" f="v">
      <t c="4">
        <n x="407"/>
        <n x="12"/>
        <n x="7"/>
        <n x="1337" s="1"/>
      </t>
    </mdx>
    <mdx n="33" f="v">
      <t c="4">
        <n x="631"/>
        <n x="0"/>
        <n x="7"/>
        <n x="1337" s="1"/>
      </t>
    </mdx>
    <mdx n="33" f="v">
      <t c="6">
        <n x="15"/>
        <n x="1337" s="1"/>
        <n x="44"/>
        <n x="7"/>
        <n x="30"/>
        <n x="2"/>
      </t>
    </mdx>
    <mdx n="33" f="v">
      <t c="4">
        <n x="271"/>
        <n x="1"/>
        <n x="32"/>
        <n x="1337" s="1"/>
      </t>
    </mdx>
    <mdx n="33" f="v">
      <t c="4">
        <n x="368"/>
        <n x="0"/>
        <n x="7"/>
        <n x="1337" s="1"/>
      </t>
    </mdx>
    <mdx n="33" f="v">
      <t c="3">
        <n x="444"/>
        <n x="1336"/>
        <n x="1337" s="1"/>
      </t>
    </mdx>
    <mdx n="33" f="v">
      <t c="4">
        <n x="133"/>
        <n x="0"/>
        <n x="32"/>
        <n x="1337" s="1"/>
      </t>
    </mdx>
    <mdx n="33" f="v">
      <t c="4">
        <n x="218"/>
        <n x="0"/>
        <n x="32"/>
        <n x="1337" s="1"/>
      </t>
    </mdx>
    <mdx n="33" f="v">
      <t c="4">
        <n x="262"/>
        <n x="0"/>
        <n x="32"/>
        <n x="1337" s="1"/>
      </t>
    </mdx>
    <mdx n="33" f="v">
      <t c="3">
        <n x="331"/>
        <n x="1336"/>
        <n x="1337" s="1"/>
      </t>
    </mdx>
    <mdx n="33" f="v">
      <t c="3">
        <n x="397"/>
        <n x="1336"/>
        <n x="1337" s="1"/>
      </t>
    </mdx>
    <mdx n="33" f="v">
      <t c="6" si="9">
        <n x="15"/>
        <n x="1337" s="1"/>
        <n x="43"/>
        <n x="7"/>
        <n x="28"/>
        <n x="0"/>
      </t>
    </mdx>
    <mdx n="33" f="v">
      <t c="4">
        <n x="318"/>
        <n x="0"/>
        <n x="32"/>
        <n x="1337" s="1"/>
      </t>
    </mdx>
    <mdx n="33" f="v">
      <t c="4">
        <n x="469"/>
        <n x="1"/>
        <n x="32"/>
        <n x="1337" s="1"/>
      </t>
    </mdx>
    <mdx n="33" f="v">
      <t c="4" si="10">
        <n x="520"/>
        <n x="0"/>
        <n x="32"/>
        <n x="1337" s="1"/>
      </t>
    </mdx>
    <mdx n="33" f="v">
      <t c="4" si="9">
        <n x="571"/>
        <n x="12"/>
        <n x="7"/>
        <n x="1337" s="1"/>
      </t>
    </mdx>
    <mdx n="33" f="v">
      <t c="4">
        <n x="621"/>
        <n x="12"/>
        <n x="7"/>
        <n x="1337" s="1"/>
      </t>
    </mdx>
    <mdx n="33" f="v">
      <t c="4">
        <n x="644"/>
        <n x="0"/>
        <n x="7"/>
        <n x="1337" s="1"/>
      </t>
    </mdx>
    <mdx n="33" f="v">
      <t c="4" si="9">
        <n x="667"/>
        <n x="1"/>
        <n x="7"/>
        <n x="1337" s="1"/>
      </t>
    </mdx>
    <mdx n="33" f="v">
      <t c="4">
        <n x="89"/>
        <n x="0"/>
        <n x="32"/>
        <n x="1337" s="1"/>
      </t>
    </mdx>
    <mdx n="33" f="v">
      <t c="4">
        <n x="322"/>
        <n x="0"/>
        <n x="32"/>
        <n x="1337" s="1"/>
      </t>
    </mdx>
    <mdx n="33" f="v">
      <t c="4">
        <n x="470"/>
        <n x="1"/>
        <n x="32"/>
        <n x="1337" s="1"/>
      </t>
    </mdx>
    <mdx n="33" f="v">
      <t c="4" si="10">
        <n x="521"/>
        <n x="0"/>
        <n x="32"/>
        <n x="1337" s="1"/>
      </t>
    </mdx>
    <mdx n="33" f="v">
      <t c="4">
        <n x="572"/>
        <n x="12"/>
        <n x="7"/>
        <n x="1337" s="1"/>
      </t>
    </mdx>
    <mdx n="33" f="v">
      <t c="4">
        <n x="621"/>
        <n x="14"/>
        <n x="32"/>
        <n x="1337" s="1"/>
      </t>
    </mdx>
    <mdx n="33" f="v">
      <t c="4">
        <n x="644"/>
        <n x="11"/>
        <n x="7"/>
        <n x="1337" s="1"/>
      </t>
    </mdx>
    <mdx n="33" f="v">
      <t c="4">
        <n x="77"/>
        <n x="14"/>
        <n x="32"/>
        <n x="1337" s="1"/>
      </t>
    </mdx>
    <mdx n="33" f="v">
      <t c="4">
        <n x="154"/>
        <n x="0"/>
        <n x="32"/>
        <n x="1337" s="1"/>
      </t>
    </mdx>
    <mdx n="33" f="v">
      <t c="4">
        <n x="335"/>
        <n x="0"/>
        <n x="7"/>
        <n x="1337" s="1"/>
      </t>
    </mdx>
    <mdx n="33" f="v">
      <t c="4">
        <n x="177"/>
        <n x="1"/>
        <n x="32"/>
        <n x="1337" s="1"/>
      </t>
    </mdx>
    <mdx n="33" f="v">
      <t c="4">
        <n x="261"/>
        <n x="1"/>
        <n x="32"/>
        <n x="1337" s="1"/>
      </t>
    </mdx>
    <mdx n="33" f="v">
      <t c="4">
        <n x="331"/>
        <n x="12"/>
        <n x="7"/>
        <n x="1337" s="1"/>
      </t>
    </mdx>
    <mdx n="33" f="v">
      <t c="4">
        <n x="397"/>
        <n x="12"/>
        <n x="7"/>
        <n x="1337" s="1"/>
      </t>
    </mdx>
    <mdx n="33" f="v">
      <t c="6">
        <n x="15"/>
        <n x="1337" s="1"/>
        <n x="37"/>
        <n x="7"/>
        <n x="30"/>
        <n x="2"/>
      </t>
    </mdx>
    <mdx n="33" f="v">
      <t c="4">
        <n x="83"/>
        <n x="1"/>
        <n x="7"/>
        <n x="1337" s="1"/>
      </t>
    </mdx>
    <mdx n="33" f="v">
      <t c="4">
        <n x="189"/>
        <n x="0"/>
        <n x="7"/>
        <n x="1337" s="1"/>
      </t>
    </mdx>
    <mdx n="33" f="v">
      <t c="4">
        <n x="232"/>
        <n x="0"/>
        <n x="7"/>
        <n x="1337" s="1"/>
      </t>
    </mdx>
    <mdx n="33" f="v">
      <t c="4">
        <n x="264"/>
        <n x="0"/>
        <n x="7"/>
        <n x="1337" s="1"/>
      </t>
    </mdx>
    <mdx n="33" f="v">
      <t c="3">
        <n x="319"/>
        <n x="1336"/>
        <n x="1337" s="1"/>
      </t>
    </mdx>
    <mdx n="33" f="v">
      <t c="4">
        <n x="370"/>
        <n x="1"/>
        <n x="32"/>
        <n x="1337" s="1"/>
      </t>
    </mdx>
    <mdx n="33" f="v">
      <t c="4">
        <n x="420"/>
        <n x="1"/>
        <n x="32"/>
        <n x="1337" s="1"/>
      </t>
    </mdx>
    <mdx n="33" f="v">
      <t c="6" si="9">
        <n x="15"/>
        <n x="1337" s="1"/>
        <n x="39"/>
        <n x="7"/>
        <n x="16"/>
        <n x="0"/>
      </t>
    </mdx>
    <mdx n="33" f="v">
      <t c="4">
        <n x="273"/>
        <n x="11"/>
        <n x="32"/>
        <n x="1337" s="1"/>
      </t>
    </mdx>
    <mdx n="33" f="v">
      <t c="4" si="10">
        <n x="458"/>
        <n x="1"/>
        <n x="32"/>
        <n x="1337" s="1"/>
      </t>
    </mdx>
    <mdx n="33" f="v">
      <t c="4" si="9">
        <n x="511"/>
        <n x="12"/>
        <n x="7"/>
        <n x="1337" s="1"/>
      </t>
    </mdx>
    <mdx n="33" f="v">
      <t c="3" fi="0">
        <n x="562"/>
        <n x="1336"/>
        <n x="1337" s="1"/>
      </t>
    </mdx>
    <mdx n="33" f="v">
      <t c="4" si="10">
        <n x="613"/>
        <n x="1"/>
        <n x="32"/>
        <n x="1337" s="1"/>
      </t>
    </mdx>
    <mdx n="33" f="v">
      <t c="4">
        <n x="640"/>
        <n x="0"/>
        <n x="7"/>
        <n x="1337" s="1"/>
      </t>
    </mdx>
    <mdx n="33" f="v">
      <t c="4">
        <n x="663"/>
        <n x="1"/>
        <n x="7"/>
        <n x="1337" s="1"/>
      </t>
    </mdx>
    <mdx n="33" f="v">
      <t c="6" si="9">
        <n x="15"/>
        <n x="1337" s="1"/>
        <n x="35"/>
        <n x="7"/>
        <n x="4"/>
        <n x="12"/>
      </t>
    </mdx>
    <mdx n="33" f="v">
      <t c="4">
        <n x="276"/>
        <n x="12"/>
        <n x="7"/>
        <n x="1337" s="1"/>
      </t>
    </mdx>
    <mdx n="33" f="v">
      <t c="4" si="10">
        <n x="460"/>
        <n x="0"/>
        <n x="32"/>
        <n x="1337" s="1"/>
      </t>
    </mdx>
    <mdx n="33" f="v">
      <t c="4" si="9">
        <n x="512"/>
        <n x="12"/>
        <n x="7"/>
        <n x="1337" s="1"/>
      </t>
    </mdx>
    <mdx n="33" f="v">
      <t c="3" fi="0">
        <n x="563"/>
        <n x="1336"/>
        <n x="1337" s="1"/>
      </t>
    </mdx>
    <mdx n="33" f="v">
      <t c="4">
        <n x="614"/>
        <n x="1"/>
        <n x="32"/>
        <n x="1337" s="1"/>
      </t>
    </mdx>
    <mdx n="33" f="v">
      <t c="4">
        <n x="640"/>
        <n x="11"/>
        <n x="7"/>
        <n x="1337" s="1"/>
      </t>
    </mdx>
    <mdx n="33" f="v">
      <t c="4">
        <n x="664"/>
        <n x="12"/>
        <n x="7"/>
        <n x="1337" s="1"/>
      </t>
    </mdx>
    <mdx n="33" f="v">
      <t c="4">
        <n x="232"/>
        <n x="11"/>
        <n x="32"/>
        <n x="1337" s="1"/>
      </t>
    </mdx>
    <mdx n="33" f="v">
      <t c="4" si="10">
        <n x="414"/>
        <n x="1"/>
        <n x="32"/>
        <n x="1337" s="1"/>
      </t>
    </mdx>
    <mdx n="33" f="v">
      <t c="4">
        <n x="417"/>
        <n x="12"/>
        <n x="7"/>
        <n x="1337" s="1"/>
      </t>
    </mdx>
    <mdx n="33" f="v">
      <t c="4">
        <n x="245"/>
        <n x="0"/>
        <n x="32"/>
        <n x="1337" s="1"/>
      </t>
    </mdx>
    <mdx n="33" f="v">
      <t c="4">
        <n x="440"/>
        <n x="1"/>
        <n x="32"/>
        <n x="1337" s="1"/>
      </t>
    </mdx>
    <mdx n="33" f="v">
      <t c="4">
        <n x="531"/>
        <n x="12"/>
        <n x="7"/>
        <n x="1337" s="1"/>
      </t>
    </mdx>
    <mdx n="33" f="v">
      <t c="4" si="10">
        <n x="672"/>
        <n x="12"/>
        <n x="32"/>
        <n x="1337" s="1"/>
      </t>
    </mdx>
    <mdx n="33" f="v">
      <t c="4">
        <n x="532"/>
        <n x="12"/>
        <n x="7"/>
        <n x="1337" s="1"/>
      </t>
    </mdx>
    <mdx n="33" f="v">
      <t c="4">
        <n x="657"/>
        <n x="14"/>
        <n x="7"/>
        <n x="1337" s="1"/>
      </t>
    </mdx>
    <mdx n="33" f="v">
      <t c="4">
        <n x="242"/>
        <n x="11"/>
        <n x="32"/>
        <n x="1337" s="1"/>
      </t>
    </mdx>
    <mdx n="33" f="v">
      <t c="4">
        <n x="443"/>
        <n x="12"/>
        <n x="7"/>
        <n x="1337" s="1"/>
      </t>
    </mdx>
    <mdx n="33" f="v">
      <t c="3">
        <n x="500"/>
        <n x="1336"/>
        <n x="1337" s="1"/>
      </t>
    </mdx>
    <mdx n="33" f="v">
      <t c="4">
        <n x="551"/>
        <n x="1"/>
        <n x="32"/>
        <n x="1337" s="1"/>
      </t>
    </mdx>
    <mdx n="33" f="v">
      <t c="4">
        <n x="602"/>
        <n x="0"/>
        <n x="7"/>
        <n x="1337" s="1"/>
      </t>
    </mdx>
    <mdx n="33" f="v">
      <t c="4">
        <n x="635"/>
        <n x="11"/>
        <n x="32"/>
        <n x="1337" s="1"/>
      </t>
    </mdx>
    <mdx n="33" f="v">
      <t c="4" si="10">
        <n x="658"/>
        <n x="12"/>
        <n x="32"/>
        <n x="1337" s="1"/>
      </t>
    </mdx>
    <mdx n="33" f="v">
      <t c="4" si="10">
        <n x="682"/>
        <n x="0"/>
        <n x="32"/>
        <n x="1337" s="1"/>
      </t>
    </mdx>
    <mdx n="33" f="v">
      <t c="3">
        <n x="352"/>
        <n x="1336"/>
        <n x="1337" s="1"/>
      </t>
    </mdx>
    <mdx n="33" f="v">
      <t c="4" si="10">
        <n x="625"/>
        <n x="0"/>
        <n x="32"/>
        <n x="1337" s="1"/>
      </t>
    </mdx>
    <mdx n="33" f="v">
      <t c="4">
        <n x="690"/>
        <n x="11"/>
        <n x="32"/>
        <n x="1337" s="1"/>
      </t>
    </mdx>
    <mdx n="33" f="v">
      <t c="4" si="10">
        <n x="715"/>
        <n x="1"/>
        <n x="32"/>
        <n x="1337" s="1"/>
      </t>
    </mdx>
    <mdx n="33" f="v">
      <t c="4" si="10">
        <n x="738"/>
        <n x="14"/>
        <n x="32"/>
        <n x="1337" s="1"/>
      </t>
    </mdx>
    <mdx n="33" f="v">
      <t c="4">
        <n x="761"/>
        <n x="11"/>
        <n x="7"/>
        <n x="1337" s="1"/>
      </t>
    </mdx>
    <mdx n="33" f="v">
      <t c="4">
        <n x="791"/>
        <n x="0"/>
        <n x="7"/>
        <n x="1337" s="1"/>
      </t>
    </mdx>
    <mdx n="33" f="v">
      <t c="4">
        <n x="814"/>
        <n x="1"/>
        <n x="7"/>
        <n x="1337" s="1"/>
      </t>
    </mdx>
    <mdx n="33" f="v">
      <t c="3">
        <n x="304"/>
        <n x="1336"/>
        <n x="1337" s="1"/>
      </t>
    </mdx>
    <mdx n="33" f="v">
      <t c="4" si="10">
        <n x="619"/>
        <n x="0"/>
        <n x="32"/>
        <n x="1337" s="1"/>
      </t>
    </mdx>
    <mdx n="33" f="v">
      <t c="4">
        <n x="688"/>
        <n x="1"/>
        <n x="7"/>
        <n x="1337" s="1"/>
      </t>
    </mdx>
    <mdx n="33" f="v">
      <t c="4">
        <n x="713"/>
        <n x="14"/>
        <n x="7"/>
        <n x="1337" s="1"/>
      </t>
    </mdx>
    <mdx n="33" f="v">
      <t c="3">
        <n x="737"/>
        <n x="1336"/>
        <n x="1337" s="1"/>
      </t>
    </mdx>
    <mdx n="33" f="v">
      <t c="4" si="10">
        <n x="760"/>
        <n x="11"/>
        <n x="32"/>
        <n x="1337" s="1"/>
      </t>
    </mdx>
    <mdx n="33" f="v">
      <t c="4">
        <n x="789"/>
        <n x="12"/>
        <n x="32"/>
        <n x="1337" s="1"/>
      </t>
    </mdx>
    <mdx n="33" f="v">
      <t c="4" si="10">
        <n x="813"/>
        <n x="1"/>
        <n x="32"/>
        <n x="1337" s="1"/>
      </t>
    </mdx>
    <mdx n="33" f="v">
      <t c="5" si="10">
        <n x="15"/>
        <n x="1337" s="1"/>
        <n x="39"/>
        <n x="32"/>
        <n x="3"/>
      </t>
    </mdx>
    <mdx n="33" f="v">
      <t c="4">
        <n x="433"/>
        <n x="12"/>
        <n x="7"/>
        <n x="1337" s="1"/>
      </t>
    </mdx>
    <mdx n="33" f="v">
      <t c="4">
        <n x="255"/>
        <n x="0"/>
        <n x="32"/>
        <n x="1337" s="1"/>
      </t>
    </mdx>
    <mdx n="33" f="v">
      <t c="4">
        <n x="456"/>
        <n x="1"/>
        <n x="32"/>
        <n x="1337" s="1"/>
      </t>
    </mdx>
    <mdx n="33" f="v">
      <t c="4">
        <n x="547"/>
        <n x="12"/>
        <n x="7"/>
        <n x="1337" s="1"/>
      </t>
    </mdx>
    <mdx n="33" f="v">
      <t c="4" si="10">
        <n x="680"/>
        <n x="0"/>
        <n x="32"/>
        <n x="1337" s="1"/>
      </t>
    </mdx>
    <mdx n="33" f="v">
      <t c="4">
        <n x="548"/>
        <n x="12"/>
        <n x="7"/>
        <n x="1337" s="1"/>
      </t>
    </mdx>
    <mdx n="33" f="v">
      <t c="4">
        <n x="660"/>
        <n x="11"/>
        <n x="32"/>
        <n x="1337" s="1"/>
      </t>
    </mdx>
    <mdx n="33" f="v">
      <t c="4">
        <n x="254"/>
        <n x="11"/>
        <n x="32"/>
        <n x="1337" s="1"/>
      </t>
    </mdx>
    <mdx n="33" f="v">
      <t c="4">
        <n x="449"/>
        <n x="1"/>
        <n x="32"/>
        <n x="1337" s="1"/>
      </t>
    </mdx>
    <mdx n="33" f="v">
      <t c="3">
        <n x="504"/>
        <n x="1336"/>
        <n x="1337" s="1"/>
      </t>
    </mdx>
    <mdx n="33" f="v">
      <t c="4">
        <n x="555"/>
        <n x="1"/>
        <n x="32"/>
        <n x="1337" s="1"/>
      </t>
    </mdx>
    <mdx n="33" f="v">
      <t c="6" si="9">
        <n x="15"/>
        <n x="1337" s="1"/>
        <n x="47"/>
        <n x="7"/>
        <n x="24"/>
        <n x="12"/>
      </t>
    </mdx>
    <mdx n="33" f="v">
      <t c="6" si="10">
        <n x="15"/>
        <n x="1337" s="1"/>
        <n x="40"/>
        <n x="32"/>
        <n x="20"/>
        <n x="2"/>
      </t>
    </mdx>
    <mdx n="33" f="v">
      <t c="6" si="10">
        <n x="15"/>
        <n x="1337" s="1"/>
        <n x="42"/>
        <n x="32"/>
        <n x="23"/>
        <n x="1"/>
      </t>
    </mdx>
    <mdx n="33" f="v">
      <t c="6" si="10">
        <n x="15"/>
        <n x="1337" s="1"/>
        <n x="45"/>
        <n x="32"/>
        <n x="27"/>
        <n x="12"/>
      </t>
    </mdx>
    <mdx n="33" f="v">
      <t c="3">
        <n x="1302"/>
        <n x="1336"/>
        <n x="1337" s="1"/>
      </t>
    </mdx>
    <mdx n="33" f="v">
      <t c="6">
        <n x="15"/>
        <n x="1337" s="1"/>
        <n x="36"/>
        <n x="7"/>
        <n x="16"/>
        <n x="2"/>
      </t>
    </mdx>
    <mdx n="33" f="v">
      <t c="4">
        <n x="112"/>
        <n x="12"/>
        <n x="7"/>
        <n x="1337" s="1"/>
      </t>
    </mdx>
    <mdx n="33" f="v">
      <t c="6">
        <n x="15"/>
        <n x="1337" s="1"/>
        <n x="40"/>
        <n x="7"/>
        <n x="17"/>
        <n x="2"/>
      </t>
    </mdx>
    <mdx n="33" f="v">
      <t c="4">
        <n x="51"/>
        <n x="0"/>
        <n x="32"/>
        <n x="1337" s="1"/>
      </t>
    </mdx>
    <mdx n="33" f="v">
      <t c="4">
        <n x="311"/>
        <n x="0"/>
        <n x="32"/>
        <n x="1337" s="1"/>
      </t>
    </mdx>
    <mdx n="33" f="v">
      <t c="4">
        <n x="144"/>
        <n x="0"/>
        <n x="32"/>
        <n x="1337" s="1"/>
      </t>
    </mdx>
    <mdx n="33" f="v">
      <t c="6" si="10">
        <n x="15"/>
        <n x="1337" s="1"/>
        <n x="36"/>
        <n x="32"/>
        <n x="20"/>
        <n x="2"/>
      </t>
    </mdx>
    <mdx n="33" f="v">
      <t c="6" si="9">
        <n x="15"/>
        <n x="1337" s="1"/>
        <n x="37"/>
        <n x="7"/>
        <n x="4"/>
        <n x="3"/>
      </t>
    </mdx>
    <mdx n="33" f="v">
      <t c="3">
        <n x="305"/>
        <n x="1336"/>
        <n x="1337" s="1"/>
      </t>
    </mdx>
    <mdx n="33" f="v">
      <t c="4">
        <n x="116"/>
        <n x="0"/>
        <n x="32"/>
        <n x="1337" s="1"/>
      </t>
    </mdx>
    <mdx n="33" f="v">
      <t c="6" si="10">
        <n x="15"/>
        <n x="1337" s="1"/>
        <n x="36"/>
        <n x="32"/>
        <n x="20"/>
        <n x="3"/>
      </t>
    </mdx>
    <mdx n="33" f="v">
      <t c="5" si="9">
        <n x="15"/>
        <n x="1337" s="1"/>
        <n x="11"/>
        <n x="7"/>
        <n x="6"/>
      </t>
    </mdx>
    <mdx n="33" f="v">
      <t c="3">
        <n x="309"/>
        <n x="1336"/>
        <n x="1337" s="1"/>
      </t>
    </mdx>
    <mdx n="33" f="v">
      <t c="4">
        <n x="136"/>
        <n x="0"/>
        <n x="32"/>
        <n x="1337" s="1"/>
      </t>
    </mdx>
    <mdx n="33" f="v">
      <t c="4">
        <n x="332"/>
        <n x="0"/>
        <n x="32"/>
        <n x="1337" s="1"/>
      </t>
    </mdx>
    <mdx n="33" f="v">
      <t c="4" si="10">
        <n x="355"/>
        <n x="0"/>
        <n x="32"/>
        <n x="1337" s="1"/>
      </t>
    </mdx>
    <mdx n="33" f="v">
      <t c="4">
        <n x="402"/>
        <n x="0"/>
        <n x="32"/>
        <n x="1337" s="1"/>
      </t>
    </mdx>
    <mdx n="33" f="v">
      <t c="4">
        <n x="235"/>
        <n x="0"/>
        <n x="7"/>
        <n x="1337" s="1"/>
      </t>
    </mdx>
    <mdx n="33" f="v">
      <t c="3">
        <n x="425"/>
        <n x="1336"/>
        <n x="1337" s="1"/>
      </t>
    </mdx>
    <mdx n="33" f="v">
      <t c="4">
        <n x="516"/>
        <n x="0"/>
        <n x="32"/>
        <n x="1337" s="1"/>
      </t>
    </mdx>
    <mdx n="33" f="v">
      <t c="4">
        <n x="665"/>
        <n x="11"/>
        <n x="7"/>
        <n x="1337" s="1"/>
      </t>
    </mdx>
    <mdx n="33" f="v">
      <t c="4">
        <n x="517"/>
        <n x="0"/>
        <n x="32"/>
        <n x="1337" s="1"/>
      </t>
    </mdx>
    <mdx n="33" f="v">
      <t c="4">
        <n x="1236"/>
        <n x="11"/>
        <n x="32"/>
        <n x="1337" s="1"/>
      </t>
    </mdx>
    <mdx n="33" f="v">
      <t c="4">
        <n x="236"/>
        <n x="1"/>
        <n x="7"/>
        <n x="1337" s="1"/>
      </t>
    </mdx>
    <mdx n="33" f="v">
      <t c="4">
        <n x="313"/>
        <n x="1"/>
        <n x="32"/>
        <n x="1337" s="1"/>
      </t>
    </mdx>
    <mdx n="33" f="v">
      <t c="4">
        <n x="399"/>
        <n x="1"/>
        <n x="32"/>
        <n x="1337" s="1"/>
      </t>
    </mdx>
    <mdx n="33" f="v">
      <t c="6" si="9">
        <n x="15"/>
        <n x="1337" s="1"/>
        <n x="36"/>
        <n x="7"/>
        <n x="4"/>
        <n x="1"/>
      </t>
    </mdx>
    <mdx n="33" f="v">
      <t c="4">
        <n x="176"/>
        <n x="12"/>
        <n x="7"/>
        <n x="1337" s="1"/>
      </t>
    </mdx>
    <mdx n="33" f="v">
      <t c="4">
        <n x="234"/>
        <n x="0"/>
        <n x="32"/>
        <n x="1337" s="1"/>
      </t>
    </mdx>
    <mdx n="33" f="v">
      <t c="4">
        <n x="278"/>
        <n x="0"/>
        <n x="32"/>
        <n x="1337" s="1"/>
      </t>
    </mdx>
    <mdx n="33" f="v">
      <t c="4">
        <n x="357"/>
        <n x="0"/>
        <n x="32"/>
        <n x="1337" s="1"/>
      </t>
    </mdx>
    <mdx n="33" f="v">
      <t c="4">
        <n x="423"/>
        <n x="0"/>
        <n x="32"/>
        <n x="1337" s="1"/>
      </t>
    </mdx>
    <mdx n="33" f="v">
      <t c="3">
        <n x="188"/>
        <n x="1336"/>
        <n x="1337" s="1"/>
      </t>
    </mdx>
    <mdx n="33" f="v">
      <t c="4">
        <n x="393"/>
        <n x="1"/>
        <n x="32"/>
        <n x="1337" s="1"/>
      </t>
    </mdx>
    <mdx n="33" f="v">
      <t c="4" si="10">
        <n x="488"/>
        <n x="0"/>
        <n x="32"/>
        <n x="1337" s="1"/>
      </t>
    </mdx>
    <mdx n="33" f="v">
      <t c="4">
        <n x="539"/>
        <n x="12"/>
        <n x="7"/>
        <n x="1337" s="1"/>
      </t>
    </mdx>
    <mdx n="33" f="v">
      <t c="3" fi="0">
        <n x="590"/>
        <n x="1336"/>
        <n x="1337" s="1"/>
      </t>
    </mdx>
    <mdx n="33" f="v">
      <t c="4">
        <n x="629"/>
        <n x="11"/>
        <n x="7"/>
        <n x="1337" s="1"/>
      </t>
    </mdx>
    <mdx n="33" f="v">
      <t c="4">
        <n x="653"/>
        <n x="12"/>
        <n x="7"/>
        <n x="1337" s="1"/>
      </t>
    </mdx>
    <mdx n="33" f="v">
      <t c="4">
        <n x="676"/>
        <n x="0"/>
        <n x="7"/>
        <n x="1337" s="1"/>
      </t>
    </mdx>
    <mdx n="33" f="v">
      <t c="4">
        <n x="218"/>
        <n x="12"/>
        <n x="7"/>
        <n x="1337" s="1"/>
      </t>
    </mdx>
    <mdx n="33" f="v">
      <t c="4">
        <n x="397"/>
        <n x="1"/>
        <n x="32"/>
        <n x="1337" s="1"/>
      </t>
    </mdx>
    <mdx n="33" f="v">
      <t c="4">
        <n x="489"/>
        <n x="0"/>
        <n x="32"/>
        <n x="1337" s="1"/>
      </t>
    </mdx>
    <mdx n="33" f="v">
      <t c="4">
        <n x="540"/>
        <n x="12"/>
        <n x="7"/>
        <n x="1337" s="1"/>
      </t>
    </mdx>
    <mdx n="33" f="v">
      <t c="3" fi="0">
        <n x="591"/>
        <n x="1336"/>
        <n x="1337" s="1"/>
      </t>
    </mdx>
    <mdx n="33" f="v">
      <t c="4" si="10">
        <n x="630"/>
        <n x="1"/>
        <n x="32"/>
        <n x="1337" s="1"/>
      </t>
    </mdx>
    <mdx n="33" f="v">
      <t c="6" si="10">
        <n x="15"/>
        <n x="1337" s="1"/>
        <n x="39"/>
        <n x="32"/>
        <n x="28"/>
        <n x="1"/>
      </t>
    </mdx>
    <mdx n="33" f="v">
      <t c="5" si="10">
        <n x="15"/>
        <n x="1337" s="1"/>
        <n x="41"/>
        <n x="32"/>
        <n x="1"/>
      </t>
    </mdx>
    <mdx n="33" f="v">
      <t c="4">
        <n x="226"/>
        <n x="14"/>
        <n x="32"/>
        <n x="1337" s="1"/>
      </t>
    </mdx>
    <mdx n="33" f="v">
      <t c="3">
        <n x="411"/>
        <n x="1336"/>
        <n x="1337" s="1"/>
      </t>
    </mdx>
    <mdx n="33" f="v">
      <t c="4">
        <n x="234"/>
        <n x="1"/>
        <n x="7"/>
        <n x="1337" s="1"/>
      </t>
    </mdx>
    <mdx n="33" f="v">
      <t c="4">
        <n x="277"/>
        <n x="1"/>
        <n x="32"/>
        <n x="1337" s="1"/>
      </t>
    </mdx>
    <mdx n="33" f="v">
      <t c="4">
        <n x="356"/>
        <n x="0"/>
        <n x="7"/>
        <n x="1337" s="1"/>
      </t>
    </mdx>
    <mdx n="33" f="v">
      <t c="3">
        <n x="416"/>
        <n x="1336"/>
        <n x="1337" s="1"/>
      </t>
    </mdx>
    <mdx n="33" f="v">
      <t c="6" si="9">
        <n x="15"/>
        <n x="1337" s="1"/>
        <n x="36"/>
        <n x="7"/>
        <n x="4"/>
        <n x="0"/>
      </t>
    </mdx>
    <mdx n="33" f="v">
      <t c="4">
        <n x="157"/>
        <n x="0"/>
        <n x="7"/>
        <n x="1337" s="1"/>
      </t>
    </mdx>
    <mdx n="33" f="v">
      <t c="4">
        <n x="209"/>
        <n x="0"/>
        <n x="32"/>
        <n x="1337" s="1"/>
      </t>
    </mdx>
    <mdx n="33" f="v">
      <t c="4">
        <n x="244"/>
        <n x="0"/>
        <n x="7"/>
        <n x="1337" s="1"/>
      </t>
    </mdx>
    <mdx n="33" f="v">
      <t c="4">
        <n x="276"/>
        <n x="0"/>
        <n x="7"/>
        <n x="1337" s="1"/>
      </t>
    </mdx>
    <mdx n="33" f="v">
      <t c="4">
        <n x="338"/>
        <n x="1"/>
        <n x="32"/>
        <n x="1337" s="1"/>
      </t>
    </mdx>
    <mdx n="33" f="v">
      <t c="4">
        <n x="388"/>
        <n x="1"/>
        <n x="32"/>
        <n x="1337" s="1"/>
      </t>
    </mdx>
    <mdx n="33" f="v">
      <t c="4">
        <n x="439"/>
        <n x="0"/>
        <n x="7"/>
        <n x="1337" s="1"/>
      </t>
    </mdx>
    <mdx n="33" f="v">
      <t c="4">
        <n x="178"/>
        <n x="0"/>
        <n x="7"/>
        <n x="1337" s="1"/>
      </t>
    </mdx>
    <mdx n="33" f="v">
      <t c="4">
        <n x="359"/>
        <n x="1"/>
        <n x="32"/>
        <n x="1337" s="1"/>
      </t>
    </mdx>
    <mdx n="33" f="v">
      <t c="4" si="9">
        <n x="479"/>
        <n x="12"/>
        <n x="7"/>
        <n x="1337" s="1"/>
      </t>
    </mdx>
    <mdx n="33" f="v">
      <t c="3" fi="0">
        <n x="530"/>
        <n x="1336"/>
        <n x="1337" s="1"/>
      </t>
    </mdx>
    <mdx n="33" f="v">
      <t c="4" si="10">
        <n x="581"/>
        <n x="1"/>
        <n x="32"/>
        <n x="1337" s="1"/>
      </t>
    </mdx>
    <mdx n="33" f="v">
      <t c="4">
        <n x="625"/>
        <n x="11"/>
        <n x="7"/>
        <n x="1337" s="1"/>
      </t>
    </mdx>
    <mdx n="33" f="v">
      <t c="4">
        <n x="649"/>
        <n x="12"/>
        <n x="7"/>
        <n x="1337" s="1"/>
      </t>
    </mdx>
    <mdx n="33" f="v">
      <t c="4" si="9">
        <n x="672"/>
        <n x="0"/>
        <n x="7"/>
        <n x="1337" s="1"/>
      </t>
    </mdx>
    <mdx n="33" f="v">
      <t c="4">
        <n x="182"/>
        <n x="0"/>
        <n x="7"/>
        <n x="1337" s="1"/>
      </t>
    </mdx>
    <mdx n="33" f="v">
      <t c="4">
        <n x="363"/>
        <n x="1"/>
        <n x="32"/>
        <n x="1337" s="1"/>
      </t>
    </mdx>
    <mdx n="33" f="v">
      <t c="4" si="9">
        <n x="480"/>
        <n x="12"/>
        <n x="7"/>
        <n x="1337" s="1"/>
      </t>
    </mdx>
    <mdx n="33" f="v">
      <t c="3" fi="0">
        <n x="531"/>
        <n x="1336"/>
        <n x="1337" s="1"/>
      </t>
    </mdx>
    <mdx n="33" f="v">
      <t c="4" si="10">
        <n x="582"/>
        <n x="1"/>
        <n x="32"/>
        <n x="1337" s="1"/>
      </t>
    </mdx>
    <mdx n="33" f="v">
      <t c="4">
        <n x="626"/>
        <n x="1"/>
        <n x="32"/>
        <n x="1337" s="1"/>
      </t>
    </mdx>
    <mdx n="33" f="v">
      <t c="4">
        <n x="649"/>
        <n x="14"/>
        <n x="32"/>
        <n x="1337" s="1"/>
      </t>
    </mdx>
    <mdx n="33" f="v">
      <t c="5" si="10">
        <n x="15"/>
        <n x="1337" s="1"/>
        <n x="39"/>
        <n x="32"/>
        <n x="2"/>
      </t>
    </mdx>
    <mdx n="33" f="v">
      <t c="6">
        <n x="15"/>
        <n x="1337" s="1"/>
        <n x="37"/>
        <n x="7"/>
        <n x="16"/>
        <n x="2"/>
      </t>
    </mdx>
    <mdx n="33" f="v">
      <t c="4">
        <n x="256"/>
        <n x="1"/>
        <n x="7"/>
        <n x="1337" s="1"/>
      </t>
    </mdx>
    <mdx n="33" f="v">
      <t c="3">
        <n x="661"/>
        <n x="1336"/>
        <n x="1337" s="1"/>
      </t>
    </mdx>
    <mdx n="33" f="v">
      <t c="4">
        <n x="57"/>
        <n x="11"/>
        <n x="32"/>
        <n x="1337" s="1"/>
      </t>
    </mdx>
    <mdx n="33" f="v">
      <t c="4">
        <n x="390"/>
        <n x="0"/>
        <n x="7"/>
        <n x="1337" s="1"/>
      </t>
    </mdx>
    <mdx n="33" f="v">
      <t c="4">
        <n x="229"/>
        <n x="0"/>
        <n x="32"/>
        <n x="1337" s="1"/>
      </t>
    </mdx>
    <mdx n="33" f="v">
      <t c="4" si="10">
        <n x="415"/>
        <n x="0"/>
        <n x="32"/>
        <n x="1337" s="1"/>
      </t>
    </mdx>
    <mdx n="33" f="v">
      <t c="4" si="10">
        <n x="505"/>
        <n x="1"/>
        <n x="32"/>
        <n x="1337" s="1"/>
      </t>
    </mdx>
    <mdx n="33" f="v">
      <t c="4" si="9">
        <n x="661"/>
        <n x="12"/>
        <n x="7"/>
        <n x="1337" s="1"/>
      </t>
    </mdx>
    <mdx n="33" f="v">
      <t c="4" si="10">
        <n x="506"/>
        <n x="1"/>
        <n x="32"/>
        <n x="1337" s="1"/>
      </t>
    </mdx>
    <mdx n="33" f="v">
      <t c="4">
        <n x="654"/>
        <n x="1"/>
        <n x="32"/>
        <n x="1337" s="1"/>
      </t>
    </mdx>
    <mdx n="33" f="v">
      <t c="4">
        <n x="220"/>
        <n x="11"/>
        <n x="32"/>
        <n x="1337" s="1"/>
      </t>
    </mdx>
    <mdx n="33" f="v">
      <t c="4">
        <n x="417"/>
        <n x="1"/>
        <n x="32"/>
        <n x="1337" s="1"/>
      </t>
    </mdx>
    <mdx n="33" f="v">
      <t c="4" si="10">
        <n x="494"/>
        <n x="0"/>
        <n x="32"/>
        <n x="1337" s="1"/>
      </t>
    </mdx>
    <mdx n="33" f="v">
      <t c="4">
        <n x="545"/>
        <n x="12"/>
        <n x="7"/>
        <n x="1337" s="1"/>
      </t>
    </mdx>
    <mdx n="33" f="v">
      <t c="3" fi="0">
        <n x="596"/>
        <n x="1336"/>
        <n x="1337" s="1"/>
      </t>
    </mdx>
    <mdx n="33" f="v">
      <t c="4" si="10">
        <n x="632"/>
        <n x="14"/>
        <n x="32"/>
        <n x="1337" s="1"/>
      </t>
    </mdx>
    <mdx n="33" f="v">
      <t c="4">
        <n x="655"/>
        <n x="11"/>
        <n x="7"/>
        <n x="1337" s="1"/>
      </t>
    </mdx>
    <mdx n="33" f="v">
      <t c="4">
        <n x="679"/>
        <n x="12"/>
        <n x="7"/>
        <n x="1337" s="1"/>
      </t>
    </mdx>
    <mdx n="33" f="v">
      <t c="4">
        <n x="253"/>
        <n x="12"/>
        <n x="7"/>
        <n x="1337" s="1"/>
      </t>
    </mdx>
    <mdx n="33" f="v">
      <t c="3">
        <n x="605"/>
        <n x="1336"/>
        <n x="1337" s="1"/>
      </t>
    </mdx>
    <mdx n="33" f="v">
      <t c="4" si="10">
        <n x="686"/>
        <n x="14"/>
        <n x="32"/>
        <n x="1337" s="1"/>
      </t>
    </mdx>
    <mdx n="33" f="v">
      <t c="4">
        <n x="712"/>
        <n x="0"/>
        <n x="7"/>
        <n x="1337" s="1"/>
      </t>
    </mdx>
    <mdx n="33" f="v">
      <t c="4">
        <n x="735"/>
        <n x="1"/>
        <n x="7"/>
        <n x="1337" s="1"/>
      </t>
    </mdx>
    <mdx n="33" f="v">
      <t c="4">
        <n x="758"/>
        <n x="14"/>
        <n x="7"/>
        <n x="1337" s="1"/>
      </t>
    </mdx>
    <mdx n="33" f="v">
      <t c="4">
        <n x="787"/>
        <n x="1"/>
        <n x="7"/>
        <n x="1337" s="1"/>
      </t>
    </mdx>
    <mdx n="33" f="v">
      <t c="4">
        <n x="811"/>
        <n x="12"/>
        <n x="32"/>
        <n x="1337" s="1"/>
      </t>
    </mdx>
    <mdx n="33" f="v">
      <t c="4">
        <n x="223"/>
        <n x="12"/>
        <n x="7"/>
        <n x="1337" s="1"/>
      </t>
    </mdx>
    <mdx n="33" f="v">
      <t c="3" fi="0">
        <n x="593"/>
        <n x="1336"/>
        <n x="1337" s="1"/>
      </t>
    </mdx>
    <mdx n="33" f="v">
      <t c="4">
        <n x="684"/>
        <n x="12"/>
        <n x="32"/>
        <n x="1337" s="1"/>
      </t>
    </mdx>
    <mdx n="33" f="v">
      <t c="4" si="10">
        <n x="711"/>
        <n x="0"/>
        <n x="32"/>
        <n x="1337" s="1"/>
      </t>
    </mdx>
    <mdx n="33" f="v">
      <t c="4">
        <n x="734"/>
        <n x="1"/>
        <n x="32"/>
        <n x="1337" s="1"/>
      </t>
    </mdx>
    <mdx n="33" f="v">
      <t c="4" si="10">
        <n x="757"/>
        <n x="14"/>
        <n x="32"/>
        <n x="1337" s="1"/>
      </t>
    </mdx>
    <mdx n="33" f="v">
      <t c="4" si="10">
        <n x="785"/>
        <n x="12"/>
        <n x="32"/>
        <n x="1337" s="1"/>
      </t>
    </mdx>
    <mdx n="33" f="v">
      <t c="4">
        <n x="810"/>
        <n x="0"/>
        <n x="7"/>
        <n x="1337" s="1"/>
      </t>
    </mdx>
    <mdx n="33" f="v">
      <t c="3">
        <n x="377"/>
        <n x="1336"/>
        <n x="1337" s="1"/>
      </t>
    </mdx>
    <mdx n="33" f="v">
      <t c="4">
        <n x="407"/>
        <n x="1"/>
        <n x="32"/>
        <n x="1337" s="1"/>
      </t>
    </mdx>
    <mdx n="33" f="v">
      <t c="4">
        <n x="239"/>
        <n x="0"/>
        <n x="32"/>
        <n x="1337" s="1"/>
      </t>
    </mdx>
    <mdx n="33" f="v">
      <t c="4">
        <n x="431"/>
        <n x="0"/>
        <n x="32"/>
        <n x="1337" s="1"/>
      </t>
    </mdx>
    <mdx n="33" f="v">
      <t c="4">
        <n x="521"/>
        <n x="1"/>
        <n x="32"/>
        <n x="1337" s="1"/>
      </t>
    </mdx>
    <mdx n="33" f="v">
      <t c="4">
        <n x="668"/>
        <n x="0"/>
        <n x="7"/>
        <n x="1337" s="1"/>
      </t>
    </mdx>
    <mdx n="33" f="v">
      <t c="4" si="10">
        <n x="522"/>
        <n x="1"/>
        <n x="32"/>
        <n x="1337" s="1"/>
      </t>
    </mdx>
    <mdx n="33" f="v">
      <t c="4">
        <n x="656"/>
        <n x="11"/>
        <n x="32"/>
        <n x="1337" s="1"/>
      </t>
    </mdx>
    <mdx n="33" f="v">
      <t c="4">
        <n x="234"/>
        <n x="11"/>
        <n x="32"/>
        <n x="1337" s="1"/>
      </t>
    </mdx>
    <mdx n="33" f="v">
      <t c="4">
        <n x="433"/>
        <n x="1"/>
        <n x="32"/>
        <n x="1337" s="1"/>
      </t>
    </mdx>
    <mdx n="33" f="v">
      <t c="4" si="10">
        <n x="498"/>
        <n x="0"/>
        <n x="32"/>
        <n x="1337" s="1"/>
      </t>
    </mdx>
    <mdx n="33" f="v">
      <t c="4">
        <n x="549"/>
        <n x="12"/>
        <n x="7"/>
        <n x="1337" s="1"/>
      </t>
    </mdx>
    <mdx n="33" f="v">
      <t c="3">
        <n x="600"/>
        <n x="1336"/>
        <n x="1337" s="1"/>
      </t>
    </mdx>
    <mdx n="33" f="v">
      <t c="4">
        <n x="634"/>
        <n x="0"/>
        <n x="7"/>
        <n x="1337" s="1"/>
      </t>
    </mdx>
    <mdx n="33" f="v">
      <t c="4">
        <n x="657"/>
        <n x="1"/>
        <n x="7"/>
        <n x="1337" s="1"/>
      </t>
    </mdx>
    <mdx n="33" f="v">
      <t c="4" si="9">
        <n x="680"/>
        <n x="14"/>
        <n x="7"/>
        <n x="1337" s="1"/>
      </t>
    </mdx>
    <mdx n="33" f="v">
      <t c="4">
        <n x="314"/>
        <n x="0"/>
        <n x="32"/>
        <n x="1337" s="1"/>
      </t>
    </mdx>
    <mdx n="33" f="v">
      <t c="4" si="10">
        <n x="620"/>
        <n x="0"/>
        <n x="32"/>
        <n x="1337" s="1"/>
      </t>
    </mdx>
    <mdx n="33" f="v">
      <t c="4" si="10">
        <n x="689"/>
        <n x="0"/>
        <n x="32"/>
        <n x="1337" s="1"/>
      </t>
    </mdx>
    <mdx n="33" f="v">
      <t c="3">
        <n x="714"/>
        <n x="1336"/>
        <n x="1337" s="1"/>
      </t>
    </mdx>
    <mdx n="33" f="v">
      <t c="4">
        <n x="737"/>
        <n x="11"/>
        <n x="32"/>
        <n x="1337" s="1"/>
      </t>
    </mdx>
    <mdx n="33" f="v">
      <t c="4" si="10">
        <n x="760"/>
        <n x="12"/>
        <n x="32"/>
        <n x="1337" s="1"/>
      </t>
    </mdx>
    <mdx n="33" f="v">
      <t c="4">
        <n x="790"/>
        <n x="0"/>
        <n x="32"/>
        <n x="1337" s="1"/>
      </t>
    </mdx>
    <mdx n="33" f="v">
      <t c="4" si="10">
        <n x="813"/>
        <n x="14"/>
        <n x="32"/>
        <n x="1337" s="1"/>
      </t>
    </mdx>
    <mdx n="33" f="v">
      <t c="4">
        <n x="263"/>
        <n x="12"/>
        <n x="7"/>
        <n x="1337" s="1"/>
      </t>
    </mdx>
    <mdx n="33" f="v">
      <t c="3">
        <n x="609"/>
        <n x="1336"/>
        <n x="1337" s="1"/>
      </t>
    </mdx>
    <mdx n="33" f="v">
      <t c="3">
        <n x="687"/>
        <n x="1336"/>
        <n x="1337" s="1"/>
      </t>
    </mdx>
    <mdx n="33" f="v">
      <t c="4">
        <n x="712"/>
        <n x="11"/>
        <n x="7"/>
        <n x="1337" s="1"/>
      </t>
    </mdx>
    <mdx n="33" f="v">
      <t c="4">
        <n x="736"/>
        <n x="12"/>
        <n x="7"/>
        <n x="1337" s="1"/>
      </t>
    </mdx>
    <mdx n="33" f="v">
      <t c="4" si="9">
        <n x="759"/>
        <n x="0"/>
        <n x="7"/>
        <n x="1337" s="1"/>
      </t>
    </mdx>
    <mdx n="33" f="v">
      <t c="4">
        <n x="788"/>
        <n x="12"/>
        <n x="7"/>
        <n x="1337" s="1"/>
      </t>
    </mdx>
    <mdx n="33" f="v">
      <t c="3">
        <n x="812"/>
        <n x="1336"/>
        <n x="1337" s="1"/>
      </t>
    </mdx>
    <mdx n="33" f="v">
      <t c="4">
        <n x="440"/>
        <n x="12"/>
        <n x="7"/>
        <n x="1337" s="1"/>
      </t>
    </mdx>
    <mdx n="33" f="v">
      <t c="4">
        <n x="423"/>
        <n x="1"/>
        <n x="32"/>
        <n x="1337" s="1"/>
      </t>
    </mdx>
    <mdx n="33" f="v">
      <t c="4">
        <n x="249"/>
        <n x="0"/>
        <n x="32"/>
        <n x="1337" s="1"/>
      </t>
    </mdx>
    <mdx n="33" f="v">
      <t c="4" si="10">
        <n x="447"/>
        <n x="0"/>
        <n x="32"/>
        <n x="1337" s="1"/>
      </t>
    </mdx>
    <mdx n="33" f="v">
      <t c="4">
        <n x="537"/>
        <n x="1"/>
        <n x="32"/>
        <n x="1337" s="1"/>
      </t>
    </mdx>
    <mdx n="33" f="v">
      <t c="4">
        <n x="675"/>
        <n x="1"/>
        <n x="7"/>
        <n x="1337" s="1"/>
      </t>
    </mdx>
    <mdx n="33" f="v">
      <t c="4" si="10">
        <n x="538"/>
        <n x="1"/>
        <n x="32"/>
        <n x="1337" s="1"/>
      </t>
    </mdx>
    <mdx n="33" f="v">
      <t c="6" si="9">
        <n x="15"/>
        <n x="1337" s="1"/>
        <n x="43"/>
        <n x="7"/>
        <n x="26"/>
        <n x="2"/>
      </t>
    </mdx>
    <mdx n="33" f="v">
      <t c="6" si="10">
        <n x="15"/>
        <n x="1337" s="1"/>
        <n x="42"/>
        <n x="32"/>
        <n x="16"/>
        <n x="2"/>
      </t>
    </mdx>
    <mdx n="33" f="v">
      <t c="4">
        <n x="168"/>
        <n x="1"/>
        <n x="32"/>
        <n x="1337" s="1"/>
      </t>
    </mdx>
    <mdx n="33" f="v">
      <t c="4">
        <n x="163"/>
        <n x="0"/>
        <n x="32"/>
        <n x="1337" s="1"/>
      </t>
    </mdx>
    <mdx n="33" f="v">
      <t c="4">
        <n x="167"/>
        <n x="0"/>
        <n x="32"/>
        <n x="1337" s="1"/>
      </t>
    </mdx>
    <mdx n="33" f="v">
      <t c="4">
        <n x="108"/>
        <n x="12"/>
        <n x="7"/>
        <n x="1337" s="1"/>
      </t>
    </mdx>
    <mdx n="33" f="v">
      <t c="3" fi="0">
        <n x="554"/>
        <n x="1336"/>
        <n x="1337" s="1"/>
      </t>
    </mdx>
    <mdx n="33" f="v">
      <t c="4">
        <n x="247"/>
        <n x="1"/>
        <n x="32"/>
        <n x="1337" s="1"/>
      </t>
    </mdx>
    <mdx n="33" f="v">
      <t c="4">
        <n x="189"/>
        <n x="0"/>
        <n x="32"/>
        <n x="1337" s="1"/>
      </t>
    </mdx>
    <mdx n="33" f="v">
      <t c="4">
        <n x="435"/>
        <n x="0"/>
        <n x="7"/>
        <n x="1337" s="1"/>
      </t>
    </mdx>
    <mdx n="33" f="v">
      <t c="4">
        <n x="548"/>
        <n x="0"/>
        <n x="7"/>
        <n x="1337" s="1"/>
      </t>
    </mdx>
    <mdx n="33" f="v">
      <t c="4" si="10">
        <n x="680"/>
        <n x="12"/>
        <n x="32"/>
        <n x="1337" s="1"/>
      </t>
    </mdx>
    <mdx n="33" f="v">
      <t c="4">
        <n x="549"/>
        <n x="0"/>
        <n x="7"/>
        <n x="1337" s="1"/>
      </t>
    </mdx>
    <mdx n="33" f="v">
      <t c="4">
        <n x="70"/>
        <n x="0"/>
        <n x="32"/>
        <n x="1337" s="1"/>
      </t>
    </mdx>
    <mdx n="33" f="v">
      <t c="4">
        <n x="298"/>
        <n x="0"/>
        <n x="32"/>
        <n x="1337" s="1"/>
      </t>
    </mdx>
    <mdx n="33" f="v">
      <t c="3">
        <n x="167"/>
        <n x="1336"/>
        <n x="1337" s="1"/>
      </t>
    </mdx>
    <mdx n="33" f="v">
      <t c="4">
        <n x="348"/>
        <n x="12"/>
        <n x="7"/>
        <n x="1337" s="1"/>
      </t>
    </mdx>
    <mdx n="33" f="v">
      <t c="4">
        <n x="396"/>
        <n x="0"/>
        <n x="7"/>
        <n x="1337" s="1"/>
      </t>
    </mdx>
    <mdx n="33" f="v">
      <t c="3">
        <n x="630"/>
        <n x="1336"/>
        <n x="1337" s="1"/>
      </t>
    </mdx>
    <mdx n="33" f="v">
      <t c="4">
        <n x="400"/>
        <n x="0"/>
        <n x="7"/>
        <n x="1337" s="1"/>
      </t>
    </mdx>
    <mdx n="33" f="v">
      <t c="4">
        <n x="630"/>
        <n x="1"/>
        <n x="7"/>
        <n x="1337" s="1"/>
      </t>
    </mdx>
    <mdx n="33" f="v">
      <t c="4">
        <n x="307"/>
        <n x="12"/>
        <n x="7"/>
        <n x="1337" s="1"/>
      </t>
    </mdx>
    <mdx n="33" f="v">
      <t c="4" si="10">
        <n x="632"/>
        <n x="0"/>
        <n x="32"/>
        <n x="1337" s="1"/>
      </t>
    </mdx>
    <mdx n="33" f="v">
      <t c="4">
        <n x="354"/>
        <n x="0"/>
        <n x="7"/>
        <n x="1337" s="1"/>
      </t>
    </mdx>
    <mdx n="33" f="v">
      <t c="4">
        <n x="625"/>
        <n x="1"/>
        <n x="32"/>
        <n x="1337" s="1"/>
      </t>
    </mdx>
    <mdx n="33" f="v">
      <t c="3" fi="0">
        <n x="541"/>
        <n x="1336"/>
        <n x="1337" s="1"/>
      </t>
    </mdx>
    <mdx n="33" f="v">
      <t c="4">
        <n x="751"/>
        <n x="1"/>
        <n x="7"/>
        <n x="1337" s="1"/>
      </t>
    </mdx>
    <mdx n="33" f="v">
      <t c="3" fi="0">
        <n x="529"/>
        <n x="1336"/>
        <n x="1337" s="1"/>
      </t>
    </mdx>
    <mdx n="33" f="v">
      <t c="4">
        <n x="750"/>
        <n x="1"/>
        <n x="32"/>
        <n x="1337" s="1"/>
      </t>
    </mdx>
    <mdx n="33" f="v">
      <t c="4">
        <n x="328"/>
        <n x="0"/>
        <n x="32"/>
        <n x="1337" s="1"/>
      </t>
    </mdx>
    <mdx n="33" f="v">
      <t c="4">
        <n x="639"/>
        <n x="1"/>
        <n x="32"/>
        <n x="1337" s="1"/>
      </t>
    </mdx>
    <mdx n="33" f="v">
      <t c="4">
        <n x="370"/>
        <n x="0"/>
        <n x="7"/>
        <n x="1337" s="1"/>
      </t>
    </mdx>
    <mdx n="33" f="v">
      <t c="3" fi="0">
        <n x="584"/>
        <n x="1336"/>
        <n x="1337" s="1"/>
      </t>
    </mdx>
    <mdx n="33" f="v">
      <t c="4">
        <n x="635"/>
        <n x="11"/>
        <n x="7"/>
        <n x="1337" s="1"/>
      </t>
    </mdx>
    <mdx n="33" f="v">
      <t c="4" si="9">
        <n x="666"/>
        <n x="0"/>
        <n x="7"/>
        <n x="1337" s="1"/>
      </t>
    </mdx>
    <mdx n="33" f="v">
      <t c="3">
        <n x="1294"/>
        <n x="1336"/>
        <n x="1337" s="1"/>
      </t>
    </mdx>
    <mdx n="33" f="v">
      <t c="4">
        <n x="626"/>
        <n x="11"/>
        <n x="32"/>
        <n x="1337" s="1"/>
      </t>
    </mdx>
    <mdx n="33" f="v">
      <t c="4">
        <n x="699"/>
        <n x="1"/>
        <n x="7"/>
        <n x="1337" s="1"/>
      </t>
    </mdx>
    <mdx n="33" f="v">
      <t c="3">
        <n x="730"/>
        <n x="1336"/>
        <n x="1337" s="1"/>
      </t>
    </mdx>
    <mdx n="33" f="v">
      <t c="3">
        <n x="762"/>
        <n x="1336"/>
        <n x="1337" s="1"/>
      </t>
    </mdx>
    <mdx n="33" f="v">
      <t c="4" si="10">
        <n x="799"/>
        <n x="0"/>
        <n x="32"/>
        <n x="1337" s="1"/>
      </t>
    </mdx>
    <mdx n="33" f="v">
      <t c="4">
        <n x="829"/>
        <n x="14"/>
        <n x="32"/>
        <n x="1337" s="1"/>
      </t>
    </mdx>
    <mdx n="33" f="v">
      <t c="4">
        <n x="621"/>
        <n x="0"/>
        <n x="32"/>
        <n x="1337" s="1"/>
      </t>
    </mdx>
    <mdx n="33" f="v">
      <t c="4">
        <n x="698"/>
        <n x="1"/>
        <n x="32"/>
        <n x="1337" s="1"/>
      </t>
    </mdx>
    <mdx n="33" f="v">
      <t c="4">
        <n x="728"/>
        <n x="11"/>
        <n x="7"/>
        <n x="1337" s="1"/>
      </t>
    </mdx>
    <mdx n="33" f="v">
      <t c="4">
        <n x="760"/>
        <n x="11"/>
        <n x="7"/>
        <n x="1337" s="1"/>
      </t>
    </mdx>
    <mdx n="33" f="v">
      <t c="4">
        <n x="797"/>
        <n x="1"/>
        <n x="7"/>
        <n x="1337" s="1"/>
      </t>
    </mdx>
    <mdx n="33" f="v">
      <t c="3">
        <n x="209"/>
        <n x="1336"/>
        <n x="1337" s="1"/>
      </t>
    </mdx>
    <mdx n="33" f="v">
      <t c="3">
        <n x="436"/>
        <n x="1336"/>
        <n x="1337" s="1"/>
      </t>
    </mdx>
    <mdx n="33" f="v">
      <t c="4">
        <n x="320"/>
        <n x="12"/>
        <n x="7"/>
        <n x="1337" s="1"/>
      </t>
    </mdx>
    <mdx n="33" f="v">
      <t c="4" si="10">
        <n x="473"/>
        <n x="1"/>
        <n x="32"/>
        <n x="1337" s="1"/>
      </t>
    </mdx>
    <mdx n="33" f="v">
      <t c="4">
        <n x="681"/>
        <n x="11"/>
        <n x="32"/>
        <n x="1337" s="1"/>
      </t>
    </mdx>
    <mdx n="33" f="v">
      <t c="3">
        <n x="615"/>
        <n x="1336"/>
        <n x="1337" s="1"/>
      </t>
    </mdx>
    <mdx n="33" f="v">
      <t c="6" si="9">
        <n x="15"/>
        <n x="1337" s="1"/>
        <n x="38"/>
        <n x="7"/>
        <n x="4"/>
        <n x="1"/>
      </t>
    </mdx>
    <mdx n="33" f="v">
      <t c="4">
        <n x="335"/>
        <n x="1"/>
        <n x="32"/>
        <n x="1337" s="1"/>
      </t>
    </mdx>
    <mdx n="33" f="v">
      <t c="4" si="9">
        <n x="473"/>
        <n x="12"/>
        <n x="7"/>
        <n x="1337" s="1"/>
      </t>
    </mdx>
    <mdx n="33" f="v">
      <t c="3" fi="0">
        <n x="524"/>
        <n x="1336"/>
        <n x="1337" s="1"/>
      </t>
    </mdx>
    <mdx n="33" f="v">
      <t c="4" si="10">
        <n x="575"/>
        <n x="1"/>
        <n x="32"/>
        <n x="1337" s="1"/>
      </t>
    </mdx>
    <mdx n="33" f="v">
      <t c="4">
        <n x="623"/>
        <n x="12"/>
        <n x="7"/>
        <n x="1337" s="1"/>
      </t>
    </mdx>
    <mdx n="33" f="v">
      <t c="4">
        <n x="646"/>
        <n x="0"/>
        <n x="7"/>
        <n x="1337" s="1"/>
      </t>
    </mdx>
    <mdx n="33" f="v">
      <t c="4">
        <n x="669"/>
        <n x="1"/>
        <n x="7"/>
        <n x="1337" s="1"/>
      </t>
    </mdx>
    <mdx n="33" f="v">
      <t c="4">
        <n x="692"/>
        <n x="14"/>
        <n x="7"/>
        <n x="1337" s="1"/>
      </t>
    </mdx>
    <mdx n="33" f="v">
      <t c="4" si="9">
        <n x="522"/>
        <n x="12"/>
        <n x="7"/>
        <n x="1337" s="1"/>
      </t>
    </mdx>
    <mdx n="33" f="v">
      <t c="4" si="9">
        <n x="668"/>
        <n x="1"/>
        <n x="7"/>
        <n x="1337" s="1"/>
      </t>
    </mdx>
    <mdx n="33" f="v">
      <t c="4">
        <n x="702"/>
        <n x="14"/>
        <n x="7"/>
        <n x="1337" s="1"/>
      </t>
    </mdx>
    <mdx n="33" f="v">
      <t c="3">
        <n x="726"/>
        <n x="1336"/>
        <n x="1337" s="1"/>
      </t>
    </mdx>
    <mdx n="33" f="v">
      <t c="4" si="10">
        <n x="749"/>
        <n x="11"/>
        <n x="32"/>
        <n x="1337" s="1"/>
      </t>
    </mdx>
    <mdx n="33" f="v">
      <t c="4" si="9">
        <n x="774"/>
        <n x="1"/>
        <n x="7"/>
        <n x="1337" s="1"/>
      </t>
    </mdx>
    <mdx n="33" f="v">
      <t c="4">
        <n x="802"/>
        <n x="1"/>
        <n x="32"/>
        <n x="1337" s="1"/>
      </t>
    </mdx>
    <mdx n="33" f="v">
      <t c="4">
        <n x="825"/>
        <n x="14"/>
        <n x="32"/>
        <n x="1337" s="1"/>
      </t>
    </mdx>
    <mdx n="33" f="v">
      <t c="4">
        <n x="510"/>
        <n x="12"/>
        <n x="7"/>
        <n x="1337" s="1"/>
      </t>
    </mdx>
    <mdx n="33" f="v">
      <t c="3">
        <n x="663"/>
        <n x="1336"/>
        <n x="1337" s="1"/>
      </t>
    </mdx>
    <mdx n="33" f="v">
      <t c="4" si="10">
        <n x="701"/>
        <n x="14"/>
        <n x="32"/>
        <n x="1337" s="1"/>
      </t>
    </mdx>
    <mdx n="33" f="v">
      <t c="4">
        <n x="724"/>
        <n x="11"/>
        <n x="7"/>
        <n x="1337" s="1"/>
      </t>
    </mdx>
    <mdx n="33" f="v">
      <t c="4">
        <n x="748"/>
        <n x="12"/>
        <n x="7"/>
        <n x="1337" s="1"/>
      </t>
    </mdx>
    <mdx n="33" f="v">
      <t c="4" si="10">
        <n x="772"/>
        <n x="12"/>
        <n x="32"/>
        <n x="1337" s="1"/>
      </t>
    </mdx>
    <mdx n="33" f="v">
      <t c="4">
        <n x="800"/>
        <n x="14"/>
        <n x="7"/>
        <n x="1337" s="1"/>
      </t>
    </mdx>
    <mdx n="33" f="v">
      <t c="3">
        <n x="824"/>
        <n x="1336"/>
        <n x="1337" s="1"/>
      </t>
    </mdx>
    <mdx n="33" f="v">
      <t c="4" si="9">
        <n x="514"/>
        <n x="12"/>
        <n x="7"/>
        <n x="1337" s="1"/>
      </t>
    </mdx>
    <mdx n="33" f="v">
      <t c="4" si="10">
        <n x="665"/>
        <n x="0"/>
        <n x="32"/>
        <n x="1337" s="1"/>
      </t>
    </mdx>
    <mdx n="33" f="v">
      <t c="4" si="10">
        <n x="702"/>
        <n x="0"/>
        <n x="32"/>
        <n x="1337" s="1"/>
      </t>
    </mdx>
    <mdx n="33" f="v">
      <t c="4">
        <n x="401"/>
        <n x="0"/>
        <n x="7"/>
        <n x="1337" s="1"/>
      </t>
    </mdx>
    <mdx n="33" f="v">
      <t c="4" si="10">
        <n x="528"/>
        <n x="0"/>
        <n x="32"/>
        <n x="1337" s="1"/>
      </t>
    </mdx>
    <mdx n="33" f="v">
      <t c="4">
        <n x="238"/>
        <n x="11"/>
        <n x="32"/>
        <n x="1337" s="1"/>
      </t>
    </mdx>
    <mdx n="33" f="v">
      <t c="4" si="10">
        <n x="602"/>
        <n x="0"/>
        <n x="32"/>
        <n x="1337" s="1"/>
      </t>
    </mdx>
    <mdx n="33" f="v">
      <t c="4">
        <n x="339"/>
        <n x="1"/>
        <n x="32"/>
        <n x="1337" s="1"/>
      </t>
    </mdx>
    <mdx n="33" f="v">
      <t c="3">
        <n x="738"/>
        <n x="1336"/>
        <n x="1337" s="1"/>
      </t>
    </mdx>
    <mdx n="33" f="v">
      <t c="4">
        <n x="279"/>
        <n x="12"/>
        <n x="7"/>
        <n x="1337" s="1"/>
      </t>
    </mdx>
    <mdx n="33" f="v">
      <t c="4">
        <n x="736"/>
        <n x="11"/>
        <n x="7"/>
        <n x="1337" s="1"/>
      </t>
    </mdx>
    <mdx n="33" f="v">
      <t c="4">
        <n x="823"/>
        <n x="11"/>
        <n x="32"/>
        <n x="1337" s="1"/>
      </t>
    </mdx>
    <mdx n="33" f="v">
      <t c="4" si="10">
        <n x="575"/>
        <n x="0"/>
        <n x="32"/>
        <n x="1337" s="1"/>
      </t>
    </mdx>
    <mdx n="33" f="v">
      <t c="4">
        <n x="692"/>
        <n x="1"/>
        <n x="7"/>
        <n x="1337" s="1"/>
      </t>
    </mdx>
    <mdx n="33" f="v">
      <t c="4">
        <n x="723"/>
        <n x="11"/>
        <n x="32"/>
        <n x="1337" s="1"/>
      </t>
    </mdx>
    <mdx n="33" f="v">
      <t c="4" si="10">
        <n x="746"/>
        <n x="12"/>
        <n x="32"/>
        <n x="1337" s="1"/>
      </t>
    </mdx>
    <mdx n="33" f="v">
      <t c="4">
        <n x="770"/>
        <n x="11"/>
        <n x="7"/>
        <n x="1337" s="1"/>
      </t>
    </mdx>
    <mdx n="33" f="v">
      <t c="4" si="10">
        <n x="799"/>
        <n x="14"/>
        <n x="32"/>
        <n x="1337" s="1"/>
      </t>
    </mdx>
    <mdx n="33" f="v">
      <t c="4">
        <n x="822"/>
        <n x="11"/>
        <n x="7"/>
        <n x="1337" s="1"/>
      </t>
    </mdx>
    <mdx n="33" f="v">
      <t c="4">
        <n x="846"/>
        <n x="12"/>
        <n x="7"/>
        <n x="1337" s="1"/>
      </t>
    </mdx>
    <mdx n="33" f="v">
      <t c="4" si="9">
        <n x="703"/>
        <n x="14"/>
        <n x="7"/>
        <n x="1337" s="1"/>
      </t>
    </mdx>
    <mdx n="33" f="v">
      <t c="4">
        <n x="803"/>
        <n x="1"/>
        <n x="32"/>
        <n x="1337" s="1"/>
      </t>
    </mdx>
    <mdx n="33" f="v">
      <t c="4">
        <n x="852"/>
        <n x="12"/>
        <n x="7"/>
        <n x="1337" s="1"/>
      </t>
    </mdx>
    <mdx n="33" f="v">
      <t c="4" si="10">
        <n x="875"/>
        <n x="14"/>
        <n x="32"/>
        <n x="1337" s="1"/>
      </t>
    </mdx>
    <mdx n="33" f="v">
      <t c="4">
        <n x="898"/>
        <n x="11"/>
        <n x="7"/>
        <n x="1337" s="1"/>
      </t>
    </mdx>
    <mdx n="33" f="v">
      <t c="4">
        <n x="922"/>
        <n x="12"/>
        <n x="7"/>
        <n x="1337" s="1"/>
      </t>
    </mdx>
    <mdx n="33" f="v">
      <t c="4" si="10">
        <n x="947"/>
        <n x="11"/>
        <n x="32"/>
        <n x="1337" s="1"/>
      </t>
    </mdx>
    <mdx n="33" f="v">
      <t c="4" si="10">
        <n x="993"/>
        <n x="0"/>
        <n x="32"/>
        <n x="1337" s="1"/>
      </t>
    </mdx>
    <mdx n="33" f="v">
      <t c="4">
        <n x="1044"/>
        <n x="12"/>
        <n x="7"/>
        <n x="1337" s="1"/>
      </t>
    </mdx>
    <mdx n="33" f="v">
      <t c="3">
        <n x="1095"/>
        <n x="1336"/>
        <n x="1337" s="1"/>
      </t>
    </mdx>
    <mdx n="33" f="v">
      <t c="4">
        <n x="1180"/>
        <n x="12"/>
        <n x="7"/>
        <n x="1337" s="1"/>
      </t>
    </mdx>
    <mdx n="33" f="v">
      <t c="4">
        <n x="1308"/>
        <n x="12"/>
        <n x="7"/>
        <n x="1337" s="1"/>
      </t>
    </mdx>
    <mdx n="33" f="v">
      <t c="4">
        <n x="615"/>
        <n x="14"/>
        <n x="7"/>
        <n x="1337" s="1"/>
      </t>
    </mdx>
    <mdx n="33" f="v">
      <t c="4">
        <n x="336"/>
        <n x="14"/>
        <n x="7"/>
        <n x="1337" s="1"/>
      </t>
    </mdx>
    <mdx n="33" f="v">
      <t c="4">
        <n x="112"/>
        <n x="14"/>
        <n x="7"/>
        <n x="1337" s="1"/>
      </t>
    </mdx>
    <mdx n="33" f="v">
      <t c="6" si="10">
        <n x="15"/>
        <n x="1337" s="1"/>
        <n x="37"/>
        <n x="32"/>
        <n x="23"/>
        <n x="3"/>
      </t>
    </mdx>
    <mdx n="33" f="v">
      <t c="4">
        <n x="540"/>
        <n x="0"/>
        <n x="7"/>
        <n x="1337" s="1"/>
      </t>
    </mdx>
    <mdx n="33" f="v">
      <t c="4">
        <n x="250"/>
        <n x="11"/>
        <n x="32"/>
        <n x="1337" s="1"/>
      </t>
    </mdx>
    <mdx n="33" f="v">
      <t c="4" si="9">
        <n x="605"/>
        <n x="12"/>
        <n x="7"/>
        <n x="1337" s="1"/>
      </t>
    </mdx>
    <mdx n="33" f="v">
      <t c="4">
        <n x="389"/>
        <n x="1"/>
        <n x="32"/>
        <n x="1337" s="1"/>
      </t>
    </mdx>
    <mdx n="33" f="v">
      <t c="4">
        <n x="739"/>
        <n x="1"/>
        <n x="7"/>
        <n x="1337" s="1"/>
      </t>
    </mdx>
    <mdx n="33" f="v">
      <t c="4">
        <n x="342"/>
        <n x="0"/>
        <n x="7"/>
        <n x="1337" s="1"/>
      </t>
    </mdx>
    <mdx n="33" f="v">
      <t c="4" si="10">
        <n x="738"/>
        <n x="1"/>
        <n x="32"/>
        <n x="1337" s="1"/>
      </t>
    </mdx>
    <mdx n="33" f="v">
      <t c="4">
        <n x="823"/>
        <n x="11"/>
        <n x="7"/>
        <n x="1337" s="1"/>
      </t>
    </mdx>
    <mdx n="33" f="v">
      <t c="3" fi="0">
        <n x="581"/>
        <n x="1336"/>
        <n x="1337" s="1"/>
      </t>
    </mdx>
    <mdx n="33" f="v">
      <t c="4">
        <n x="693"/>
        <n x="12"/>
        <n x="7"/>
        <n x="1337" s="1"/>
      </t>
    </mdx>
    <mdx n="33" f="v">
      <t c="4">
        <n x="723"/>
        <n x="11"/>
        <n x="7"/>
        <n x="1337" s="1"/>
      </t>
    </mdx>
    <mdx n="33" f="v">
      <t c="4">
        <n x="747"/>
        <n x="12"/>
        <n x="7"/>
        <n x="1337" s="1"/>
      </t>
    </mdx>
    <mdx n="33" f="v">
      <t c="4">
        <n x="771"/>
        <n x="11"/>
        <n x="32"/>
        <n x="1337" s="1"/>
      </t>
    </mdx>
    <mdx n="33" f="v">
      <t c="4">
        <n x="799"/>
        <n x="14"/>
        <n x="7"/>
        <n x="1337" s="1"/>
      </t>
    </mdx>
    <mdx n="33" f="v">
      <t c="6" si="10">
        <n x="15"/>
        <n x="1337" s="1"/>
        <n x="39"/>
        <n x="32"/>
        <n x="23"/>
        <n x="3"/>
      </t>
    </mdx>
    <mdx n="33" f="v">
      <t c="6">
        <n x="15"/>
        <n x="1337" s="1"/>
        <n x="43"/>
        <n x="7"/>
        <n x="20"/>
        <n x="1"/>
      </t>
    </mdx>
    <mdx n="33" f="v">
      <t c="3">
        <n x="399"/>
        <n x="1336"/>
        <n x="1337" s="1"/>
      </t>
    </mdx>
    <mdx n="33" f="v">
      <t c="4">
        <n x="393"/>
        <n x="0"/>
        <n x="7"/>
        <n x="1337" s="1"/>
      </t>
    </mdx>
    <mdx n="33" f="v">
      <t c="4">
        <n x="397"/>
        <n x="0"/>
        <n x="7"/>
        <n x="1337" s="1"/>
      </t>
    </mdx>
    <mdx n="33" f="v">
      <t c="4">
        <n x="67"/>
        <n x="1"/>
        <n x="7"/>
        <n x="1337" s="1"/>
      </t>
    </mdx>
    <mdx n="33" f="v">
      <t c="4">
        <n x="256"/>
        <n x="12"/>
        <n x="7"/>
        <n x="1337" s="1"/>
      </t>
    </mdx>
    <mdx n="33" f="v">
      <t c="4">
        <n x="352"/>
        <n x="0"/>
        <n x="32"/>
        <n x="1337" s="1"/>
      </t>
    </mdx>
    <mdx n="33" f="v">
      <t c="4">
        <n x="254"/>
        <n x="0"/>
        <n x="32"/>
        <n x="1337" s="1"/>
      </t>
    </mdx>
    <mdx n="33" f="v">
      <t c="4">
        <n x="271"/>
        <n x="11"/>
        <n x="32"/>
        <n x="1337" s="1"/>
      </t>
    </mdx>
    <mdx n="33" f="v">
      <t c="4">
        <n x="612"/>
        <n x="0"/>
        <n x="7"/>
        <n x="1337" s="1"/>
      </t>
    </mdx>
    <mdx n="33" f="v">
      <t c="4">
        <n x="274"/>
        <n x="12"/>
        <n x="7"/>
        <n x="1337" s="1"/>
      </t>
    </mdx>
    <mdx n="33" f="v">
      <t c="4">
        <n x="613"/>
        <n x="0"/>
        <n x="7"/>
        <n x="1337" s="1"/>
      </t>
    </mdx>
    <mdx n="33" f="v">
      <t c="4">
        <n x="287"/>
        <n x="12"/>
        <n x="7"/>
        <n x="1337" s="1"/>
      </t>
    </mdx>
    <mdx n="33" f="v">
      <t c="4">
        <n x="386"/>
        <n x="14"/>
        <n x="7"/>
        <n x="1337" s="1"/>
      </t>
    </mdx>
    <mdx n="33" f="v">
      <t c="4">
        <n x="226"/>
        <n x="0"/>
        <n x="7"/>
        <n x="1337" s="1"/>
      </t>
    </mdx>
    <mdx n="33" f="v">
      <t c="4" si="10">
        <n x="411"/>
        <n x="0"/>
        <n x="32"/>
        <n x="1337" s="1"/>
      </t>
    </mdx>
    <mdx n="33" f="v">
      <t c="4" si="10">
        <n x="501"/>
        <n x="1"/>
        <n x="32"/>
        <n x="1337" s="1"/>
      </t>
    </mdx>
    <mdx n="33" f="v">
      <t c="4" si="10">
        <n x="659"/>
        <n x="1"/>
        <n x="32"/>
        <n x="1337" s="1"/>
      </t>
    </mdx>
    <mdx n="33" f="v">
      <t c="4" si="10">
        <n x="502"/>
        <n x="1"/>
        <n x="32"/>
        <n x="1337" s="1"/>
      </t>
    </mdx>
    <mdx n="33" f="v">
      <t c="4" si="10">
        <n x="659"/>
        <n x="12"/>
        <n x="32"/>
        <n x="1337" s="1"/>
      </t>
    </mdx>
    <mdx n="33" f="v">
      <t c="4">
        <n x="221"/>
        <n x="0"/>
        <n x="32"/>
        <n x="1337" s="1"/>
      </t>
    </mdx>
    <mdx n="33" f="v">
      <t c="4" si="9">
        <n x="493"/>
        <n x="0"/>
        <n x="7"/>
        <n x="1337" s="1"/>
      </t>
    </mdx>
    <mdx n="33" f="v">
      <t c="4" si="9">
        <n x="490"/>
        <n x="0"/>
        <n x="7"/>
        <n x="1337" s="1"/>
      </t>
    </mdx>
    <mdx n="33" f="v">
      <t c="4">
        <n x="654"/>
        <n x="0"/>
        <n x="7"/>
        <n x="1337" s="1"/>
      </t>
    </mdx>
    <mdx n="33" f="v">
      <t c="4">
        <n x="684"/>
        <n x="1"/>
        <n x="7"/>
        <n x="1337" s="1"/>
      </t>
    </mdx>
    <mdx n="33" f="v">
      <t c="4">
        <n x="785"/>
        <n x="1"/>
        <n x="7"/>
        <n x="1337" s="1"/>
      </t>
    </mdx>
    <mdx n="33" f="v">
      <t c="4">
        <n x="681"/>
        <n x="14"/>
        <n x="7"/>
        <n x="1337" s="1"/>
      </t>
    </mdx>
    <mdx n="33" f="v">
      <t c="4">
        <n x="783"/>
        <n x="12"/>
        <n x="32"/>
        <n x="1337" s="1"/>
      </t>
    </mdx>
    <mdx n="33" f="v">
      <t c="4">
        <n x="231"/>
        <n x="0"/>
        <n x="32"/>
        <n x="1337" s="1"/>
      </t>
    </mdx>
    <mdx n="33" f="v">
      <t c="4">
        <n x="509"/>
        <n x="0"/>
        <n x="7"/>
        <n x="1337" s="1"/>
      </t>
    </mdx>
    <mdx n="33" f="v">
      <t c="4" si="9">
        <n x="494"/>
        <n x="0"/>
        <n x="7"/>
        <n x="1337" s="1"/>
      </t>
    </mdx>
    <mdx n="33" f="v">
      <t c="4">
        <n x="606"/>
        <n x="0"/>
        <n x="7"/>
        <n x="1337" s="1"/>
      </t>
    </mdx>
    <mdx n="33" f="v">
      <t c="4" si="10">
        <n x="644"/>
        <n x="14"/>
        <n x="32"/>
        <n x="1337" s="1"/>
      </t>
    </mdx>
    <mdx n="33" f="v">
      <t c="4" si="10">
        <n x="676"/>
        <n x="14"/>
        <n x="32"/>
        <n x="1337" s="1"/>
      </t>
    </mdx>
    <mdx n="33" f="v">
      <t c="4">
        <n x="415"/>
        <n x="12"/>
        <n x="7"/>
        <n x="1337" s="1"/>
      </t>
    </mdx>
    <mdx n="33" f="v">
      <t c="4">
        <n x="661"/>
        <n x="0"/>
        <n x="7"/>
        <n x="1337" s="1"/>
      </t>
    </mdx>
    <mdx n="33" f="v">
      <t c="4">
        <n x="709"/>
        <n x="11"/>
        <n x="7"/>
        <n x="1337" s="1"/>
      </t>
    </mdx>
    <mdx n="33" f="v">
      <t c="4">
        <n x="740"/>
        <n x="0"/>
        <n x="7"/>
        <n x="1337" s="1"/>
      </t>
    </mdx>
    <mdx n="33" f="v">
      <t c="4" si="10">
        <n x="772"/>
        <n x="0"/>
        <n x="32"/>
        <n x="1337" s="1"/>
      </t>
    </mdx>
    <mdx n="33" f="v">
      <t c="3">
        <n x="809"/>
        <n x="1336"/>
        <n x="1337" s="1"/>
      </t>
    </mdx>
    <mdx n="33" f="v">
      <t c="3">
        <n x="368"/>
        <n x="1336"/>
        <n x="1337" s="1"/>
      </t>
    </mdx>
    <mdx n="33" f="v">
      <t c="4">
        <n x="655"/>
        <n x="14"/>
        <n x="7"/>
        <n x="1337" s="1"/>
      </t>
    </mdx>
    <mdx n="33" f="v">
      <t c="4">
        <n x="708"/>
        <n x="11"/>
        <n x="32"/>
        <n x="1337" s="1"/>
      </t>
    </mdx>
    <mdx n="33" f="v">
      <t c="4" si="10">
        <n x="739"/>
        <n x="0"/>
        <n x="32"/>
        <n x="1337" s="1"/>
      </t>
    </mdx>
    <mdx n="33" f="v">
      <t c="4">
        <n x="770"/>
        <n x="12"/>
        <n x="7"/>
        <n x="1337" s="1"/>
      </t>
    </mdx>
    <mdx n="33" f="v">
      <t c="4">
        <n x="807"/>
        <n x="11"/>
        <n x="7"/>
        <n x="1337" s="1"/>
      </t>
    </mdx>
    <mdx n="33" f="v">
      <t c="4">
        <n x="180"/>
        <n x="0"/>
        <n x="7"/>
        <n x="1337" s="1"/>
      </t>
    </mdx>
    <mdx n="33" f="v">
      <t c="4">
        <n x="141"/>
        <n x="0"/>
        <n x="32"/>
        <n x="1337" s="1"/>
      </t>
    </mdx>
    <mdx n="33" f="v">
      <t c="4">
        <n x="408"/>
        <n x="1"/>
        <n x="32"/>
        <n x="1337" s="1"/>
      </t>
    </mdx>
    <mdx n="33" f="v">
      <t c="4">
        <n x="563"/>
        <n x="12"/>
        <n x="7"/>
        <n x="1337" s="1"/>
      </t>
    </mdx>
    <mdx n="33" f="v">
      <t c="4">
        <n x="341"/>
        <n x="12"/>
        <n x="7"/>
        <n x="1337" s="1"/>
      </t>
    </mdx>
    <mdx n="33" f="v">
      <t c="4">
        <n x="651"/>
        <n x="0"/>
        <n x="7"/>
        <n x="1337" s="1"/>
      </t>
    </mdx>
    <mdx n="33" f="v">
      <t c="3">
        <n x="196"/>
        <n x="1336"/>
        <n x="1337" s="1"/>
      </t>
    </mdx>
    <mdx n="33" f="v">
      <t c="3">
        <n x="398"/>
        <n x="1336"/>
        <n x="1337" s="1"/>
      </t>
    </mdx>
    <mdx n="33" f="v">
      <t c="4">
        <n x="489"/>
        <n x="12"/>
        <n x="7"/>
        <n x="1337" s="1"/>
      </t>
    </mdx>
    <mdx n="33" f="v">
      <t c="3">
        <n x="164"/>
        <n x="1336"/>
        <n x="1337" s="1"/>
      </t>
    </mdx>
    <mdx n="33" f="v">
      <t c="3">
        <n x="313"/>
        <n x="1336"/>
        <n x="1337" s="1"/>
      </t>
    </mdx>
    <mdx n="33" f="v">
      <t c="4">
        <n x="442"/>
        <n x="0"/>
        <n x="7"/>
        <n x="1337" s="1"/>
      </t>
    </mdx>
    <mdx n="33" f="v">
      <t c="4">
        <n x="261"/>
        <n x="0"/>
        <n x="32"/>
        <n x="1337" s="1"/>
      </t>
    </mdx>
    <mdx n="33" f="v">
      <t c="4" si="9">
        <n x="466"/>
        <n x="12"/>
        <n x="7"/>
        <n x="1337" s="1"/>
      </t>
    </mdx>
    <mdx n="33" f="v">
      <t c="4">
        <n x="556"/>
        <n x="0"/>
        <n x="7"/>
        <n x="1337" s="1"/>
      </t>
    </mdx>
    <mdx n="33" f="v">
      <t c="4">
        <n x="684"/>
        <n x="0"/>
        <n x="7"/>
        <n x="1337" s="1"/>
      </t>
    </mdx>
    <mdx n="33" f="v">
      <t c="4">
        <n x="557"/>
        <n x="0"/>
        <n x="7"/>
        <n x="1337" s="1"/>
      </t>
    </mdx>
    <mdx n="33" f="v">
      <t c="4" si="9">
        <n x="661"/>
        <n x="14"/>
        <n x="7"/>
        <n x="1337" s="1"/>
      </t>
    </mdx>
    <mdx n="33" f="v">
      <t c="4">
        <n x="262"/>
        <n x="11"/>
        <n x="32"/>
        <n x="1337" s="1"/>
      </t>
    </mdx>
    <mdx n="33" f="v">
      <t c="4">
        <n x="452"/>
        <n x="0"/>
        <n x="7"/>
        <n x="1337" s="1"/>
      </t>
    </mdx>
    <mdx n="33" f="v">
      <t c="4" si="9">
        <n x="506"/>
        <n x="0"/>
        <n x="7"/>
        <n x="1337" s="1"/>
      </t>
    </mdx>
    <mdx n="33" f="v">
      <t c="4">
        <n x="558"/>
        <n x="0"/>
        <n x="32"/>
        <n x="1337" s="1"/>
      </t>
    </mdx>
    <mdx n="33" f="v">
      <t c="4">
        <n x="609"/>
        <n x="12"/>
        <n x="7"/>
        <n x="1337" s="1"/>
      </t>
    </mdx>
    <mdx n="33" f="v">
      <t c="4">
        <n x="638"/>
        <n x="0"/>
        <n x="7"/>
        <n x="1337" s="1"/>
      </t>
    </mdx>
    <mdx n="33" f="v">
      <t c="4" si="9">
        <n x="661"/>
        <n x="1"/>
        <n x="7"/>
        <n x="1337" s="1"/>
      </t>
    </mdx>
    <mdx n="33" f="v">
      <t c="4">
        <n x="684"/>
        <n x="14"/>
        <n x="7"/>
        <n x="1337" s="1"/>
      </t>
    </mdx>
    <mdx n="33" f="v">
      <t c="4">
        <n x="447"/>
        <n x="1"/>
        <n x="32"/>
        <n x="1337" s="1"/>
      </t>
    </mdx>
    <mdx n="33" f="v">
      <t c="4">
        <n x="636"/>
        <n x="1"/>
        <n x="7"/>
        <n x="1337" s="1"/>
      </t>
    </mdx>
    <mdx n="33" f="v">
      <t c="4">
        <n x="694"/>
        <n x="1"/>
        <n x="32"/>
        <n x="1337" s="1"/>
      </t>
    </mdx>
    <mdx n="33" f="v">
      <t c="3">
        <n x="718"/>
        <n x="1336"/>
        <n x="1337" s="1"/>
      </t>
    </mdx>
    <mdx n="33" f="v">
      <t c="4">
        <n x="741"/>
        <n x="11"/>
        <n x="32"/>
        <n x="1337" s="1"/>
      </t>
    </mdx>
    <mdx n="33" f="v">
      <t c="4" si="10">
        <n x="764"/>
        <n x="12"/>
        <n x="32"/>
        <n x="1337" s="1"/>
      </t>
    </mdx>
    <mdx n="33" f="v">
      <t c="4">
        <n x="794"/>
        <n x="1"/>
        <n x="32"/>
        <n x="1337" s="1"/>
      </t>
    </mdx>
    <mdx n="33" f="v">
      <t c="4">
        <n x="817"/>
        <n x="14"/>
        <n x="32"/>
        <n x="1337" s="1"/>
      </t>
    </mdx>
    <mdx n="33" f="v">
      <t c="4">
        <n x="405"/>
        <n x="1"/>
        <n x="32"/>
        <n x="1337" s="1"/>
      </t>
    </mdx>
    <mdx n="33" f="v">
      <t c="3">
        <n x="631"/>
        <n x="1336"/>
        <n x="1337" s="1"/>
      </t>
    </mdx>
    <mdx n="33" f="v">
      <t c="4">
        <n x="692"/>
        <n x="11"/>
        <n x="32"/>
        <n x="1337" s="1"/>
      </t>
    </mdx>
    <mdx n="33" f="v">
      <t c="4">
        <n x="716"/>
        <n x="11"/>
        <n x="7"/>
        <n x="1337" s="1"/>
      </t>
    </mdx>
    <mdx n="33" f="v">
      <t c="4">
        <n x="740"/>
        <n x="12"/>
        <n x="7"/>
        <n x="1337" s="1"/>
      </t>
    </mdx>
    <mdx n="33" f="v">
      <t c="4">
        <n x="763"/>
        <n x="0"/>
        <n x="7"/>
        <n x="1337" s="1"/>
      </t>
    </mdx>
    <mdx n="33" f="v">
      <t c="4" si="9">
        <n x="792"/>
        <n x="14"/>
        <n x="7"/>
        <n x="1337" s="1"/>
      </t>
    </mdx>
    <mdx n="33" f="v">
      <t c="3">
        <n x="816"/>
        <n x="1336"/>
        <n x="1337" s="1"/>
      </t>
    </mdx>
    <mdx n="33" f="v">
      <t c="4">
        <n x="218"/>
        <n x="1"/>
        <n x="7"/>
        <n x="1337" s="1"/>
      </t>
    </mdx>
    <mdx n="33" f="v">
      <t c="6">
        <n x="15"/>
        <n x="1337" s="1"/>
        <n x="37"/>
        <n x="7"/>
        <n x="16"/>
        <n x="3"/>
      </t>
    </mdx>
    <mdx n="33" f="v">
      <t c="4">
        <n x="271"/>
        <n x="0"/>
        <n x="32"/>
        <n x="1337" s="1"/>
      </t>
    </mdx>
    <mdx n="33" f="v">
      <t c="4">
        <n x="98"/>
        <n x="12"/>
        <n x="7"/>
        <n x="1337" s="1"/>
      </t>
    </mdx>
    <mdx n="33" f="v">
      <t c="4">
        <n x="572"/>
        <n x="0"/>
        <n x="7"/>
        <n x="1337" s="1"/>
      </t>
    </mdx>
    <mdx n="33" f="v">
      <t c="4">
        <n x="118"/>
        <n x="0"/>
        <n x="32"/>
        <n x="1337" s="1"/>
      </t>
    </mdx>
    <mdx n="33" f="v">
      <t c="4">
        <n x="573"/>
        <n x="0"/>
        <n x="7"/>
        <n x="1337" s="1"/>
      </t>
    </mdx>
    <mdx n="33" f="v">
      <t c="4">
        <n x="664"/>
        <n x="11"/>
        <n x="32"/>
        <n x="1337" s="1"/>
      </t>
    </mdx>
    <mdx n="33" f="v">
      <t c="4">
        <n x="272"/>
        <n x="11"/>
        <n x="32"/>
        <n x="1337" s="1"/>
      </t>
    </mdx>
    <mdx n="33" f="v">
      <t c="4" si="10">
        <n x="458"/>
        <n x="0"/>
        <n x="32"/>
        <n x="1337" s="1"/>
      </t>
    </mdx>
    <mdx n="33" f="v">
      <t c="4">
        <n x="510"/>
        <n x="0"/>
        <n x="7"/>
        <n x="1337" s="1"/>
      </t>
    </mdx>
    <mdx n="33" f="v">
      <t c="4" si="10">
        <n x="562"/>
        <n x="0"/>
        <n x="32"/>
        <n x="1337" s="1"/>
      </t>
    </mdx>
    <mdx n="33" f="v">
      <t c="4">
        <n x="613"/>
        <n x="12"/>
        <n x="7"/>
        <n x="1337" s="1"/>
      </t>
    </mdx>
    <mdx n="33" f="v">
      <t c="3">
        <n x="640"/>
        <n x="1336"/>
        <n x="1337" s="1"/>
      </t>
    </mdx>
    <mdx n="33" f="v">
      <t c="4">
        <n x="663"/>
        <n x="11"/>
        <n x="32"/>
        <n x="1337" s="1"/>
      </t>
    </mdx>
    <mdx n="33" f="v">
      <t c="4">
        <n x="686"/>
        <n x="12"/>
        <n x="32"/>
        <n x="1337" s="1"/>
      </t>
    </mdx>
    <mdx n="33" f="v">
      <t c="4">
        <n x="468"/>
        <n x="1"/>
        <n x="32"/>
        <n x="1337" s="1"/>
      </t>
    </mdx>
    <mdx n="33" f="v">
      <t c="4">
        <n x="643"/>
        <n x="14"/>
        <n x="7"/>
        <n x="1337" s="1"/>
      </t>
    </mdx>
    <mdx n="33" f="v">
      <t c="4" si="10">
        <n x="696"/>
        <n x="12"/>
        <n x="32"/>
        <n x="1337" s="1"/>
      </t>
    </mdx>
    <mdx n="33" f="v">
      <t c="4">
        <n x="720"/>
        <n x="0"/>
        <n x="32"/>
        <n x="1337" s="1"/>
      </t>
    </mdx>
    <mdx n="33" f="v">
      <t c="4" si="10">
        <n x="743"/>
        <n x="1"/>
        <n x="32"/>
        <n x="1337" s="1"/>
      </t>
    </mdx>
    <mdx n="33" f="v">
      <t c="4" si="10">
        <n x="766"/>
        <n x="14"/>
        <n x="32"/>
        <n x="1337" s="1"/>
      </t>
    </mdx>
    <mdx n="33" f="v">
      <t c="4">
        <n x="796"/>
        <n x="12"/>
        <n x="7"/>
        <n x="1337" s="1"/>
      </t>
    </mdx>
    <mdx n="33" f="v">
      <t c="4">
        <n x="819"/>
        <n x="0"/>
        <n x="7"/>
        <n x="1337" s="1"/>
      </t>
    </mdx>
    <mdx n="33" f="v">
      <t c="4" si="10">
        <n x="453"/>
        <n x="0"/>
        <n x="32"/>
        <n x="1337" s="1"/>
      </t>
    </mdx>
    <mdx n="33" f="v">
      <t c="4">
        <n x="638"/>
        <n x="11"/>
        <n x="32"/>
        <n x="1337" s="1"/>
      </t>
    </mdx>
    <mdx n="33" f="v">
      <t c="4" si="9">
        <n x="694"/>
        <n x="14"/>
        <n x="7"/>
        <n x="1337" s="1"/>
      </t>
    </mdx>
    <mdx n="33" f="v">
      <t c="4">
        <n x="718"/>
        <n x="1"/>
        <n x="7"/>
        <n x="1337" s="1"/>
      </t>
    </mdx>
    <mdx n="33" f="v">
      <t c="4">
        <n x="741"/>
        <n x="14"/>
        <n x="7"/>
        <n x="1337" s="1"/>
      </t>
    </mdx>
    <mdx n="33" f="v">
      <t c="3">
        <n x="765"/>
        <n x="1336"/>
        <n x="1337" s="1"/>
      </t>
    </mdx>
    <mdx n="33" f="v">
      <t c="4" si="10">
        <n x="794"/>
        <n x="12"/>
        <n x="32"/>
        <n x="1337" s="1"/>
      </t>
    </mdx>
    <mdx n="33" f="v">
      <t c="6" si="10">
        <n x="15"/>
        <n x="1337" s="1"/>
        <n x="36"/>
        <n x="32"/>
        <n x="26"/>
        <n x="1"/>
      </t>
    </mdx>
    <mdx n="33" f="v">
      <t c="4">
        <n x="240"/>
        <n x="1"/>
        <n x="7"/>
        <n x="1337" s="1"/>
      </t>
    </mdx>
    <mdx n="33" f="v">
      <t c="6" si="9">
        <n x="15"/>
        <n x="1337" s="1"/>
        <n x="40"/>
        <n x="7"/>
        <n x="4"/>
        <n x="2"/>
      </t>
    </mdx>
    <mdx n="33" f="v">
      <t c="4">
        <n x="281"/>
        <n x="0"/>
        <n x="32"/>
        <n x="1337" s="1"/>
      </t>
    </mdx>
    <mdx n="33" f="v">
      <t c="4">
        <n x="207"/>
        <n x="1"/>
        <n x="32"/>
        <n x="1337" s="1"/>
      </t>
    </mdx>
    <mdx n="33" f="v">
      <t c="4" si="9">
        <n x="588"/>
        <n x="0"/>
        <n x="7"/>
        <n x="1337" s="1"/>
      </t>
    </mdx>
    <mdx n="33" f="v">
      <t c="4">
        <n x="211"/>
        <n x="1"/>
        <n x="32"/>
        <n x="1337" s="1"/>
      </t>
    </mdx>
    <mdx n="33" f="v">
      <t c="4" si="9">
        <n x="589"/>
        <n x="0"/>
        <n x="7"/>
        <n x="1337" s="1"/>
      </t>
    </mdx>
    <mdx n="33" f="v">
      <t c="6">
        <n x="15"/>
        <n x="1337" s="1"/>
        <n x="36"/>
        <n x="32"/>
        <n x="21"/>
        <n x="2"/>
      </t>
    </mdx>
    <mdx n="33" f="v">
      <t c="3">
        <n x="349"/>
        <n x="1336"/>
        <n x="1337" s="1"/>
      </t>
    </mdx>
    <mdx n="33" f="v">
      <t c="4">
        <n x="343"/>
        <n x="0"/>
        <n x="7"/>
        <n x="1337" s="1"/>
      </t>
    </mdx>
    <mdx n="33" f="v">
      <t c="4">
        <n x="347"/>
        <n x="0"/>
        <n x="7"/>
        <n x="1337" s="1"/>
      </t>
    </mdx>
    <mdx n="33" f="v">
      <t c="3">
        <n x="440"/>
        <n x="1336"/>
        <n x="1337" s="1"/>
      </t>
    </mdx>
    <mdx n="33" f="v">
      <t c="4">
        <n x="683"/>
        <n x="1"/>
        <n x="32"/>
        <n x="1337" s="1"/>
      </t>
    </mdx>
    <mdx n="33" f="v">
      <t c="3">
        <n x="330"/>
        <n x="1336"/>
        <n x="1337" s="1"/>
      </t>
    </mdx>
    <mdx n="33" f="v">
      <t c="4">
        <n x="242"/>
        <n x="0"/>
        <n x="32"/>
        <n x="1337" s="1"/>
      </t>
    </mdx>
    <mdx n="33" f="v">
      <t c="4">
        <n x="231"/>
        <n x="11"/>
        <n x="32"/>
        <n x="1337" s="1"/>
      </t>
    </mdx>
    <mdx n="33" f="v">
      <t c="4" si="10">
        <n x="600"/>
        <n x="0"/>
        <n x="32"/>
        <n x="1337" s="1"/>
      </t>
    </mdx>
    <mdx n="33" f="v">
      <t c="4">
        <n x="242"/>
        <n x="12"/>
        <n x="7"/>
        <n x="1337" s="1"/>
      </t>
    </mdx>
    <mdx n="33" f="v">
      <t c="4" si="10">
        <n x="601"/>
        <n x="0"/>
        <n x="32"/>
        <n x="1337" s="1"/>
      </t>
    </mdx>
    <mdx n="33" f="v">
      <t c="4">
        <n x="250"/>
        <n x="14"/>
        <n x="32"/>
        <n x="1337" s="1"/>
      </t>
    </mdx>
    <mdx n="33" f="v">
      <t c="4">
        <n x="369"/>
        <n x="1"/>
        <n x="32"/>
        <n x="1337" s="1"/>
      </t>
    </mdx>
    <mdx n="33" f="v">
      <t c="4">
        <n x="218"/>
        <n x="0"/>
        <n x="7"/>
        <n x="1337" s="1"/>
      </t>
    </mdx>
    <mdx n="33" f="v">
      <t c="4">
        <n x="398"/>
        <n x="12"/>
        <n x="7"/>
        <n x="1337" s="1"/>
      </t>
    </mdx>
    <mdx n="33" f="v">
      <t c="4" si="9">
        <n x="488"/>
        <n x="0"/>
        <n x="7"/>
        <n x="1337" s="1"/>
      </t>
    </mdx>
    <mdx n="33" f="v">
      <t c="4">
        <n x="653"/>
        <n x="11"/>
        <n x="32"/>
        <n x="1337" s="1"/>
      </t>
    </mdx>
    <mdx n="33" f="v">
      <t c="4">
        <n x="489"/>
        <n x="0"/>
        <n x="7"/>
        <n x="1337" s="1"/>
      </t>
    </mdx>
    <mdx n="33" f="v">
      <t c="4" si="9">
        <n x="653"/>
        <n x="14"/>
        <n x="7"/>
        <n x="1337" s="1"/>
      </t>
    </mdx>
    <mdx n="33" f="v">
      <t c="3">
        <n x="171"/>
        <n x="1336"/>
        <n x="1337" s="1"/>
      </t>
    </mdx>
    <mdx n="33" f="v">
      <t c="4">
        <n x="416"/>
        <n x="0"/>
        <n x="7"/>
        <n x="1337" s="1"/>
      </t>
    </mdx>
    <mdx n="33" f="v">
      <t c="4" si="10">
        <n x="478"/>
        <n x="0"/>
        <n x="32"/>
        <n x="1337" s="1"/>
      </t>
    </mdx>
    <mdx n="33" f="v">
      <t c="4" si="10">
        <n x="648"/>
        <n x="14"/>
        <n x="32"/>
        <n x="1337" s="1"/>
      </t>
    </mdx>
    <mdx n="33" f="v">
      <t c="4" si="10">
        <n x="673"/>
        <n x="0"/>
        <n x="32"/>
        <n x="1337" s="1"/>
      </t>
    </mdx>
    <mdx n="33" f="v">
      <t c="4">
        <n x="777"/>
        <n x="1"/>
        <n x="7"/>
        <n x="1337" s="1"/>
      </t>
    </mdx>
    <mdx n="33" f="v">
      <t c="4">
        <n x="670"/>
        <n x="1"/>
        <n x="32"/>
        <n x="1337" s="1"/>
      </t>
    </mdx>
    <mdx n="33" f="v">
      <t c="4">
        <n x="775"/>
        <n x="12"/>
        <n x="32"/>
        <n x="1337" s="1"/>
      </t>
    </mdx>
    <mdx n="33" f="v">
      <t c="3">
        <n x="187"/>
        <n x="1336"/>
        <n x="1337" s="1"/>
      </t>
    </mdx>
    <mdx n="33" f="v">
      <t c="4">
        <n x="456"/>
        <n x="0"/>
        <n x="7"/>
        <n x="1337" s="1"/>
      </t>
    </mdx>
    <mdx n="33" f="v">
      <t c="4" si="10">
        <n x="482"/>
        <n x="0"/>
        <n x="32"/>
        <n x="1337" s="1"/>
      </t>
    </mdx>
    <mdx n="33" f="v">
      <t c="4" si="10">
        <n x="603"/>
        <n x="1"/>
        <n x="32"/>
        <n x="1337" s="1"/>
      </t>
    </mdx>
    <mdx n="33" f="v">
      <t c="4">
        <n x="643"/>
        <n x="12"/>
        <n x="7"/>
        <n x="1337" s="1"/>
      </t>
    </mdx>
    <mdx n="33" f="v">
      <t c="4">
        <n x="673"/>
        <n x="1"/>
        <n x="7"/>
        <n x="1337" s="1"/>
      </t>
    </mdx>
    <mdx n="33" f="v">
      <t c="4">
        <n x="365"/>
        <n x="12"/>
        <n x="7"/>
        <n x="1337" s="1"/>
      </t>
    </mdx>
    <mdx n="33" f="v">
      <t c="4" si="10">
        <n x="655"/>
        <n x="14"/>
        <n x="32"/>
        <n x="1337" s="1"/>
      </t>
    </mdx>
    <mdx n="33" f="v">
      <t c="4">
        <n x="706"/>
        <n x="14"/>
        <n x="7"/>
        <n x="1337" s="1"/>
      </t>
    </mdx>
    <mdx n="33" f="v">
      <t c="4">
        <n x="738"/>
        <n x="14"/>
        <n x="7"/>
        <n x="1337" s="1"/>
      </t>
    </mdx>
    <mdx n="33" f="v">
      <t c="4" si="10">
        <n x="770"/>
        <n x="0"/>
        <n x="32"/>
        <n x="1337" s="1"/>
      </t>
    </mdx>
    <mdx n="33" f="v">
      <t c="4">
        <n x="806"/>
        <n x="1"/>
        <n x="32"/>
        <n x="1337" s="1"/>
      </t>
    </mdx>
    <mdx n="33" f="v">
      <t c="4">
        <n x="317"/>
        <n x="12"/>
        <n x="7"/>
        <n x="1337" s="1"/>
      </t>
    </mdx>
    <mdx n="33" f="v">
      <t c="4">
        <n x="650"/>
        <n x="12"/>
        <n x="7"/>
        <n x="1337" s="1"/>
      </t>
    </mdx>
    <mdx n="33" f="v">
      <t c="4">
        <n x="705"/>
        <n x="14"/>
        <n x="32"/>
        <n x="1337" s="1"/>
      </t>
    </mdx>
    <mdx n="33" f="v">
      <t c="4">
        <n x="737"/>
        <n x="14"/>
        <n x="32"/>
        <n x="1337" s="1"/>
      </t>
    </mdx>
    <mdx n="33" f="v">
      <t c="4">
        <n x="768"/>
        <n x="12"/>
        <n x="7"/>
        <n x="1337" s="1"/>
      </t>
    </mdx>
    <mdx n="33" f="v">
      <t c="4">
        <n x="804"/>
        <n x="14"/>
        <n x="7"/>
        <n x="1337" s="1"/>
      </t>
    </mdx>
    <mdx n="33" f="v">
      <t c="4">
        <n x="65"/>
        <n x="1"/>
        <n x="7"/>
        <n x="1337" s="1"/>
      </t>
    </mdx>
    <mdx n="33" f="v">
      <t c="4">
        <n x="85"/>
        <n x="11"/>
        <n x="32"/>
        <n x="1337" s="1"/>
      </t>
    </mdx>
    <mdx n="33" f="v">
      <t c="4">
        <n x="384"/>
        <n x="12"/>
        <n x="7"/>
        <n x="1337" s="1"/>
      </t>
    </mdx>
    <mdx n="33" f="v">
      <t c="3" fi="0">
        <n x="550"/>
        <n x="1336"/>
        <n x="1337" s="1"/>
      </t>
    </mdx>
    <mdx n="33" f="v">
      <t c="4">
        <n x="278"/>
        <n x="12"/>
        <n x="7"/>
        <n x="1337" s="1"/>
      </t>
    </mdx>
    <mdx n="33" f="v">
      <t c="4" si="10">
        <n x="647"/>
        <n x="0"/>
        <n x="32"/>
        <n x="1337" s="1"/>
      </t>
    </mdx>
    <mdx n="33" f="v">
      <t c="3">
        <n x="180"/>
        <n x="1336"/>
        <n x="1337" s="1"/>
      </t>
    </mdx>
    <mdx n="33" f="v">
      <t c="4" si="10">
        <n x="386"/>
        <n x="12"/>
        <n x="32"/>
        <n x="1337" s="1"/>
      </t>
    </mdx>
    <mdx n="33" f="v">
      <t c="4" si="10">
        <n x="486"/>
        <n x="0"/>
        <n x="32"/>
        <n x="1337" s="1"/>
      </t>
    </mdx>
    <mdx n="33" f="v">
      <t c="4">
        <n x="537"/>
        <n x="12"/>
        <n x="7"/>
        <n x="1337" s="1"/>
      </t>
    </mdx>
    <mdx n="33" f="v">
      <t c="3" fi="0">
        <n x="588"/>
        <n x="1336"/>
        <n x="1337" s="1"/>
      </t>
    </mdx>
    <mdx n="33" f="v">
      <t c="4">
        <n x="628"/>
        <n x="14"/>
        <n x="7"/>
        <n x="1337" s="1"/>
      </t>
    </mdx>
    <mdx n="33" f="v">
      <t c="3">
        <n x="652"/>
        <n x="1336"/>
        <n x="1337" s="1"/>
      </t>
    </mdx>
    <mdx n="33" f="v">
      <t c="4">
        <n x="675"/>
        <n x="11"/>
        <n x="32"/>
        <n x="1337" s="1"/>
      </t>
    </mdx>
    <mdx n="33" f="v">
      <t c="4">
        <n x="110"/>
        <n x="12"/>
        <n x="7"/>
        <n x="1337" s="1"/>
      </t>
    </mdx>
    <mdx n="33" f="v">
      <t c="3" fi="0">
        <n x="573"/>
        <n x="1336"/>
        <n x="1337" s="1"/>
      </t>
    </mdx>
    <mdx n="33" f="v">
      <t c="4" si="10">
        <n x="680"/>
        <n x="1"/>
        <n x="32"/>
        <n x="1337" s="1"/>
      </t>
    </mdx>
    <mdx n="33" f="v">
      <t c="4" si="10">
        <n x="708"/>
        <n x="12"/>
        <n x="32"/>
        <n x="1337" s="1"/>
      </t>
    </mdx>
    <mdx n="33" f="v">
      <t c="4" si="10">
        <n x="732"/>
        <n x="0"/>
        <n x="32"/>
        <n x="1337" s="1"/>
      </t>
    </mdx>
    <mdx n="33" f="v">
      <t c="4" si="10">
        <n x="755"/>
        <n x="1"/>
        <n x="32"/>
        <n x="1337" s="1"/>
      </t>
    </mdx>
    <mdx n="33" f="v">
      <t c="4">
        <n x="782"/>
        <n x="1"/>
        <n x="7"/>
        <n x="1337" s="1"/>
      </t>
    </mdx>
    <mdx n="33" f="v">
      <t c="4">
        <n x="808"/>
        <n x="12"/>
        <n x="7"/>
        <n x="1337" s="1"/>
      </t>
    </mdx>
    <mdx n="33" f="v">
      <t c="6" si="10">
        <n x="15"/>
        <n x="1337" s="1"/>
        <n x="37"/>
        <n x="32"/>
        <n x="17"/>
        <n x="3"/>
      </t>
    </mdx>
    <mdx n="33" f="v">
      <t c="3" fi="0">
        <n x="561"/>
        <n x="1336"/>
        <n x="1337" s="1"/>
      </t>
    </mdx>
    <mdx n="33" f="v">
      <t c="4">
        <n x="677"/>
        <n x="14"/>
        <n x="32"/>
        <n x="1337" s="1"/>
      </t>
    </mdx>
    <mdx n="33" f="v">
      <t c="4">
        <n x="707"/>
        <n x="0"/>
        <n x="7"/>
        <n x="1337" s="1"/>
      </t>
    </mdx>
    <mdx n="33" f="v">
      <t c="4">
        <n x="730"/>
        <n x="1"/>
        <n x="7"/>
        <n x="1337" s="1"/>
      </t>
    </mdx>
    <mdx n="33" f="v">
      <t c="4">
        <n x="753"/>
        <n x="14"/>
        <n x="7"/>
        <n x="1337" s="1"/>
      </t>
    </mdx>
    <mdx n="33" f="v">
      <t c="4" si="10">
        <n x="780"/>
        <n x="12"/>
        <n x="32"/>
        <n x="1337" s="1"/>
      </t>
    </mdx>
    <mdx n="33" f="v">
      <t c="4">
        <n x="806"/>
        <n x="12"/>
        <n x="32"/>
        <n x="1337" s="1"/>
      </t>
    </mdx>
    <mdx n="33" f="v">
      <t c="5" si="10">
        <n x="15"/>
        <n x="1337" s="1"/>
        <n x="40"/>
        <n x="32"/>
        <n x="2"/>
      </t>
    </mdx>
    <mdx n="33" f="v">
      <t c="3" fi="0">
        <n x="565"/>
        <n x="1336"/>
        <n x="1337" s="1"/>
      </t>
    </mdx>
    <mdx n="33" f="v">
      <t c="4">
        <n x="678"/>
        <n x="11"/>
        <n x="32"/>
        <n x="1337" s="1"/>
      </t>
    </mdx>
    <mdx n="33" f="v">
      <t c="4">
        <n x="707"/>
        <n x="11"/>
        <n x="7"/>
        <n x="1337" s="1"/>
      </t>
    </mdx>
    <mdx n="33" f="v">
      <t c="4">
        <n x="414"/>
        <n x="0"/>
        <n x="32"/>
        <n x="1337" s="1"/>
      </t>
    </mdx>
    <mdx n="33" f="v">
      <t c="4" si="10">
        <n x="671"/>
        <n x="1"/>
        <n x="32"/>
        <n x="1337" s="1"/>
      </t>
    </mdx>
    <mdx n="33" f="v">
      <t c="4">
        <n x="440"/>
        <n x="0"/>
        <n x="32"/>
        <n x="1337" s="1"/>
      </t>
    </mdx>
    <mdx n="33" f="v">
      <t c="4">
        <n x="635"/>
        <n x="12"/>
        <n x="7"/>
        <n x="1337" s="1"/>
      </t>
    </mdx>
    <mdx n="33" f="v">
      <t c="4" si="10">
        <n x="623"/>
        <n x="14"/>
        <n x="32"/>
        <n x="1337" s="1"/>
      </t>
    </mdx>
    <mdx n="33" f="v">
      <t c="4">
        <n x="761"/>
        <n x="11"/>
        <n x="32"/>
        <n x="1337" s="1"/>
      </t>
    </mdx>
    <mdx n="33" f="v">
      <t c="4">
        <n x="615"/>
        <n x="0"/>
        <n x="7"/>
        <n x="1337" s="1"/>
      </t>
    </mdx>
    <mdx n="33" f="v">
      <t c="4" si="9">
        <n x="760"/>
        <n x="12"/>
        <n x="7"/>
        <n x="1337" s="1"/>
      </t>
    </mdx>
    <mdx n="33" f="v">
      <t c="4">
        <n x="142"/>
        <n x="0"/>
        <n x="32"/>
        <n x="1337" s="1"/>
      </t>
    </mdx>
    <mdx n="33" f="v">
      <t c="4" si="10">
        <n x="631"/>
        <n x="14"/>
        <n x="32"/>
        <n x="1337" s="1"/>
      </t>
    </mdx>
    <mdx n="33" f="v">
      <t c="4" si="10">
        <n x="701"/>
        <n x="1"/>
        <n x="32"/>
        <n x="1337" s="1"/>
      </t>
    </mdx>
    <mdx n="33" f="v">
      <t c="4" si="10">
        <n x="729"/>
        <n x="1"/>
        <n x="32"/>
        <n x="1337" s="1"/>
      </t>
    </mdx>
    <mdx n="33" f="v">
      <t c="4" si="10">
        <n x="752"/>
        <n x="14"/>
        <n x="32"/>
        <n x="1337" s="1"/>
      </t>
    </mdx>
    <mdx n="33" f="v">
      <t c="4">
        <n x="778"/>
        <n x="11"/>
        <n x="7"/>
        <n x="1337" s="1"/>
      </t>
    </mdx>
    <mdx n="33" f="v">
      <t c="4">
        <n x="805"/>
        <n x="0"/>
        <n x="7"/>
        <n x="1337" s="1"/>
      </t>
    </mdx>
    <mdx n="33" f="v">
      <t c="4">
        <n x="828"/>
        <n x="1"/>
        <n x="7"/>
        <n x="1337" s="1"/>
      </t>
    </mdx>
    <mdx n="33" f="v">
      <t c="4" si="9">
        <n x="851"/>
        <n x="14"/>
        <n x="7"/>
        <n x="1337" s="1"/>
      </t>
    </mdx>
    <mdx n="33" f="v">
      <t c="3">
        <n x="727"/>
        <n x="1336"/>
        <n x="1337" s="1"/>
      </t>
    </mdx>
    <mdx n="33" f="v">
      <t c="4" si="10">
        <n x="826"/>
        <n x="14"/>
        <n x="32"/>
        <n x="1337" s="1"/>
      </t>
    </mdx>
    <mdx n="33" f="v">
      <t c="4">
        <n x="858"/>
        <n x="12"/>
        <n x="7"/>
        <n x="1337" s="1"/>
      </t>
    </mdx>
    <mdx n="33" f="v">
      <t c="4">
        <n x="881"/>
        <n x="0"/>
        <n x="7"/>
        <n x="1337" s="1"/>
      </t>
    </mdx>
    <mdx n="33" f="v">
      <t c="4">
        <n x="904"/>
        <n x="1"/>
        <n x="7"/>
        <n x="1337" s="1"/>
      </t>
    </mdx>
    <mdx n="33" f="v">
      <t c="4">
        <n x="927"/>
        <n x="14"/>
        <n x="7"/>
        <n x="1337" s="1"/>
      </t>
    </mdx>
    <mdx n="33" f="v">
      <t c="4" si="10">
        <n x="955"/>
        <n x="14"/>
        <n x="32"/>
        <n x="1337" s="1"/>
      </t>
    </mdx>
    <mdx n="33" f="v">
      <t c="4">
        <n x="1005"/>
        <n x="0"/>
        <n x="7"/>
        <n x="1337" s="1"/>
      </t>
    </mdx>
    <mdx n="33" f="v">
      <t c="4" si="10">
        <n x="1057"/>
        <n x="0"/>
        <n x="32"/>
        <n x="1337" s="1"/>
      </t>
    </mdx>
    <mdx n="33" f="v">
      <t c="4">
        <n x="1108"/>
        <n x="12"/>
        <n x="7"/>
        <n x="1337" s="1"/>
      </t>
    </mdx>
    <mdx n="33" f="v">
      <t c="4">
        <n x="1212"/>
        <n x="12"/>
        <n x="7"/>
        <n x="1337" s="1"/>
      </t>
    </mdx>
    <mdx n="33" f="v">
      <t c="4">
        <n x="1317"/>
        <n x="14"/>
        <n x="7"/>
        <n x="1337" s="1"/>
      </t>
    </mdx>
    <mdx n="33" f="v">
      <t c="4">
        <n x="551"/>
        <n x="14"/>
        <n x="7"/>
        <n x="1337" s="1"/>
      </t>
    </mdx>
    <mdx n="33" f="v">
      <t c="4">
        <n x="221"/>
        <n x="14"/>
        <n x="7"/>
        <n x="1337" s="1"/>
      </t>
    </mdx>
    <mdx n="33" f="v">
      <t c="4">
        <n x="1103"/>
        <n x="11"/>
        <n x="7"/>
        <n x="1337" s="1"/>
      </t>
    </mdx>
    <mdx n="33" f="v">
      <t c="4">
        <n x="426"/>
        <n x="0"/>
        <n x="7"/>
        <n x="1337" s="1"/>
      </t>
    </mdx>
    <mdx n="33" f="v">
      <t c="4">
        <n x="677"/>
        <n x="12"/>
        <n x="7"/>
        <n x="1337" s="1"/>
      </t>
    </mdx>
    <mdx n="33" f="v">
      <t c="3">
        <n x="447"/>
        <n x="1336"/>
        <n x="1337" s="1"/>
      </t>
    </mdx>
    <mdx n="33" f="v">
      <t c="4">
        <n x="636"/>
        <n x="14"/>
        <n x="32"/>
        <n x="1337" s="1"/>
      </t>
    </mdx>
    <mdx n="33" f="v">
      <t c="4">
        <n x="629"/>
        <n x="0"/>
        <n x="7"/>
        <n x="1337" s="1"/>
      </t>
    </mdx>
    <mdx n="33" f="v">
      <t c="4">
        <n x="762"/>
        <n x="14"/>
        <n x="7"/>
        <n x="1337" s="1"/>
      </t>
    </mdx>
    <mdx n="33" f="v">
      <t c="4" si="9">
        <n x="623"/>
        <n x="14"/>
        <n x="7"/>
        <n x="1337" s="1"/>
      </t>
    </mdx>
    <mdx n="33" f="v">
      <t c="4">
        <n x="761"/>
        <n x="14"/>
        <n x="32"/>
        <n x="1337" s="1"/>
      </t>
    </mdx>
    <mdx n="33" f="v">
      <t c="4">
        <n x="178"/>
        <n x="0"/>
        <n x="32"/>
        <n x="1337" s="1"/>
      </t>
    </mdx>
    <mdx n="33" f="v">
      <t c="4">
        <n x="633"/>
        <n x="0"/>
        <n x="32"/>
        <n x="1337" s="1"/>
      </t>
    </mdx>
    <mdx n="33" f="v">
      <t c="4">
        <n x="701"/>
        <n x="1"/>
        <n x="7"/>
        <n x="1337" s="1"/>
      </t>
    </mdx>
    <mdx n="33" f="v">
      <t c="4">
        <n x="729"/>
        <n x="1"/>
        <n x="7"/>
        <n x="1337" s="1"/>
      </t>
    </mdx>
    <mdx n="33" f="v">
      <t c="4">
        <n x="752"/>
        <n x="14"/>
        <n x="7"/>
        <n x="1337" s="1"/>
      </t>
    </mdx>
    <mdx n="33" f="v">
      <t c="4">
        <n x="779"/>
        <n x="11"/>
        <n x="32"/>
        <n x="1337" s="1"/>
      </t>
    </mdx>
    <mdx n="33" f="v">
      <t c="4">
        <n x="805"/>
        <n x="12"/>
        <n x="32"/>
        <n x="1337" s="1"/>
      </t>
    </mdx>
    <mdx n="33" f="v">
      <t c="6" si="9">
        <n x="15"/>
        <n x="1337" s="1"/>
        <n x="38"/>
        <n x="7"/>
        <n x="20"/>
        <n x="2"/>
      </t>
    </mdx>
    <mdx n="33" f="v">
      <t c="4" si="10">
        <n x="1265"/>
        <n x="1"/>
        <n x="32"/>
        <n x="1337" s="1"/>
      </t>
    </mdx>
    <mdx n="33" f="v">
      <t c="4">
        <n x="233"/>
        <n x="1"/>
        <n x="32"/>
        <n x="1337" s="1"/>
      </t>
    </mdx>
    <mdx n="33" f="v">
      <t c="4" si="10">
        <n x="1248"/>
        <n x="11"/>
        <n x="32"/>
        <n x="1337" s="1"/>
      </t>
    </mdx>
    <mdx n="33" f="v">
      <t c="4">
        <n x="232"/>
        <n x="1"/>
        <n x="32"/>
        <n x="1337" s="1"/>
      </t>
    </mdx>
    <mdx n="33" f="v">
      <t c="3">
        <n x="311"/>
        <n x="1336"/>
        <n x="1337" s="1"/>
      </t>
    </mdx>
    <mdx n="33" f="v">
      <t c="4" si="10">
        <n x="606"/>
        <n x="1"/>
        <n x="32"/>
        <n x="1337" s="1"/>
      </t>
    </mdx>
    <mdx n="33" f="v">
      <t c="4">
        <n x="431"/>
        <n x="1"/>
        <n x="32"/>
        <n x="1337" s="1"/>
      </t>
    </mdx>
    <mdx n="33" f="v">
      <t c="4">
        <n x="318"/>
        <n x="1"/>
        <n x="32"/>
        <n x="1337" s="1"/>
      </t>
    </mdx>
    <mdx n="33" f="v">
      <t c="4">
        <n x="457"/>
        <n x="1"/>
        <n x="32"/>
        <n x="1337" s="1"/>
      </t>
    </mdx>
    <mdx n="33" f="v">
      <t c="4">
        <n x="640"/>
        <n x="0"/>
        <n x="32"/>
        <n x="1337" s="1"/>
      </t>
    </mdx>
    <mdx n="33" f="v">
      <t c="4" si="9">
        <n x="458"/>
        <n x="0"/>
        <n x="7"/>
        <n x="1337" s="1"/>
      </t>
    </mdx>
    <mdx n="33" f="v">
      <t c="4">
        <n x="640"/>
        <n x="11"/>
        <n x="32"/>
        <n x="1337" s="1"/>
      </t>
    </mdx>
    <mdx n="33" f="v">
      <t c="4">
        <n x="85"/>
        <n x="0"/>
        <n x="32"/>
        <n x="1337" s="1"/>
      </t>
    </mdx>
    <mdx n="33" f="v">
      <t c="4">
        <n x="438"/>
        <n x="0"/>
        <n x="7"/>
        <n x="1337" s="1"/>
      </t>
    </mdx>
    <mdx n="33" f="v">
      <t c="4">
        <n x="258"/>
        <n x="0"/>
        <n x="7"/>
        <n x="1337" s="1"/>
      </t>
    </mdx>
    <mdx n="33" f="v">
      <t c="4">
        <n x="462"/>
        <n x="12"/>
        <n x="7"/>
        <n x="1337" s="1"/>
      </t>
    </mdx>
    <mdx n="33" f="v">
      <t c="4">
        <n x="552"/>
        <n x="0"/>
        <n x="7"/>
        <n x="1337" s="1"/>
      </t>
    </mdx>
    <mdx n="33" f="v">
      <t c="4" si="10">
        <n x="682"/>
        <n x="14"/>
        <n x="32"/>
        <n x="1337" s="1"/>
      </t>
    </mdx>
    <mdx n="33" f="v">
      <t c="4">
        <n x="553"/>
        <n x="0"/>
        <n x="7"/>
        <n x="1337" s="1"/>
      </t>
    </mdx>
    <mdx n="33" f="v">
      <t c="4">
        <n x="202"/>
        <n x="0"/>
        <n x="7"/>
        <n x="1337" s="1"/>
      </t>
    </mdx>
    <mdx n="33" f="v">
      <t c="4">
        <n x="402"/>
        <n x="12"/>
        <n x="7"/>
        <n x="1337" s="1"/>
      </t>
    </mdx>
    <mdx n="33" f="v">
      <t c="4">
        <n x="652"/>
        <n x="12"/>
        <n x="7"/>
        <n x="1337" s="1"/>
      </t>
    </mdx>
    <mdx n="33" f="v">
      <t c="4" si="10">
        <n x="542"/>
        <n x="0"/>
        <n x="32"/>
        <n x="1337" s="1"/>
      </t>
    </mdx>
    <mdx n="33" f="v">
      <t c="4">
        <n x="677"/>
        <n x="1"/>
        <n x="7"/>
        <n x="1337" s="1"/>
      </t>
    </mdx>
    <mdx n="33" f="v">
      <t c="4">
        <n x="710"/>
        <n x="14"/>
        <n x="7"/>
        <n x="1337" s="1"/>
      </t>
    </mdx>
    <mdx n="33" f="v">
      <t c="4">
        <n x="810"/>
        <n x="1"/>
        <n x="32"/>
        <n x="1337" s="1"/>
      </t>
    </mdx>
    <mdx n="33" f="v">
      <t c="4" si="10">
        <n x="709"/>
        <n x="14"/>
        <n x="32"/>
        <n x="1337" s="1"/>
      </t>
    </mdx>
    <mdx n="33" f="v">
      <t c="4">
        <n x="808"/>
        <n x="14"/>
        <n x="7"/>
        <n x="1337" s="1"/>
      </t>
    </mdx>
    <mdx n="33" f="v">
      <t c="4">
        <n x="418"/>
        <n x="12"/>
        <n x="7"/>
        <n x="1337" s="1"/>
      </t>
    </mdx>
    <mdx n="33" f="v">
      <t c="4">
        <n x="654"/>
        <n x="1"/>
        <n x="7"/>
        <n x="1337" s="1"/>
      </t>
    </mdx>
    <mdx n="33" f="v">
      <t c="4" si="10">
        <n x="546"/>
        <n x="0"/>
        <n x="32"/>
        <n x="1337" s="1"/>
      </t>
    </mdx>
    <mdx n="33" f="v">
      <t c="4">
        <n x="621"/>
        <n x="1"/>
        <n x="32"/>
        <n x="1337" s="1"/>
      </t>
    </mdx>
    <mdx n="33" f="v">
      <t c="4" si="10">
        <n x="653"/>
        <n x="1"/>
        <n x="32"/>
        <n x="1337" s="1"/>
      </t>
    </mdx>
    <mdx n="33" f="v">
      <t c="4">
        <n x="683"/>
        <n x="11"/>
        <n x="7"/>
        <n x="1337" s="1"/>
      </t>
    </mdx>
    <mdx n="33" f="v">
      <t c="4">
        <n x="506"/>
        <n x="12"/>
        <n x="7"/>
        <n x="1337" s="1"/>
      </t>
    </mdx>
    <mdx n="33" f="v">
      <t c="4">
        <n x="682"/>
        <n x="11"/>
        <n x="32"/>
        <n x="1337" s="1"/>
      </t>
    </mdx>
    <mdx n="33" f="v">
      <t c="4">
        <n x="717"/>
        <n x="12"/>
        <n x="7"/>
        <n x="1337" s="1"/>
      </t>
    </mdx>
    <mdx n="33" f="v">
      <t c="4">
        <n x="747"/>
        <n x="1"/>
        <n x="7"/>
        <n x="1337" s="1"/>
      </t>
    </mdx>
    <mdx n="33" f="v">
      <t c="4" si="10">
        <n x="784"/>
        <n x="0"/>
        <n x="32"/>
        <n x="1337" s="1"/>
      </t>
    </mdx>
    <mdx n="33" f="v">
      <t c="4">
        <n x="816"/>
        <n x="11"/>
        <n x="32"/>
        <n x="1337" s="1"/>
      </t>
    </mdx>
    <mdx n="33" f="v">
      <t c="4" si="9">
        <n x="494"/>
        <n x="12"/>
        <n x="7"/>
        <n x="1337" s="1"/>
      </t>
    </mdx>
    <mdx n="33" f="v">
      <t c="4" si="10">
        <n x="679"/>
        <n x="12"/>
        <n x="32"/>
        <n x="1337" s="1"/>
      </t>
    </mdx>
    <mdx n="33" f="v">
      <t c="4">
        <n x="715"/>
        <n x="12"/>
        <n x="32"/>
        <n x="1337" s="1"/>
      </t>
    </mdx>
    <mdx n="33" f="v">
      <t c="4">
        <n x="746"/>
        <n x="1"/>
        <n x="32"/>
        <n x="1337" s="1"/>
      </t>
    </mdx>
    <mdx n="33" f="v">
      <t c="4">
        <n x="782"/>
        <n x="12"/>
        <n x="7"/>
        <n x="1337" s="1"/>
      </t>
    </mdx>
    <mdx n="33" f="v">
      <t c="4">
        <n x="815"/>
        <n x="12"/>
        <n x="7"/>
        <n x="1337" s="1"/>
      </t>
    </mdx>
    <mdx n="33" f="v">
      <t c="4">
        <n x="272"/>
        <n x="1"/>
        <n x="7"/>
        <n x="1337" s="1"/>
      </t>
    </mdx>
    <mdx n="33" f="v">
      <t c="4">
        <n x="225"/>
        <n x="0"/>
        <n x="32"/>
        <n x="1337" s="1"/>
      </t>
    </mdx>
    <mdx n="33" f="v">
      <t c="5" si="10">
        <n x="15"/>
        <n x="1337" s="1"/>
        <n x="45"/>
        <n x="32"/>
        <n x="12"/>
      </t>
    </mdx>
    <mdx n="33" f="v">
      <t c="4">
        <n x="623"/>
        <n x="1"/>
        <n x="32"/>
        <n x="1337" s="1"/>
      </t>
    </mdx>
    <mdx n="33" f="v">
      <t c="4" si="9">
        <n x="500"/>
        <n x="12"/>
        <n x="7"/>
        <n x="1337" s="1"/>
      </t>
    </mdx>
    <mdx n="33" f="v">
      <t c="4" si="10">
        <n x="659"/>
        <n x="0"/>
        <n x="32"/>
        <n x="1337" s="1"/>
      </t>
    </mdx>
    <mdx n="33" f="v">
      <t c="4">
        <n x="246"/>
        <n x="11"/>
        <n x="32"/>
        <n x="1337" s="1"/>
      </t>
    </mdx>
    <mdx n="33" f="v">
      <t c="3">
        <n x="446"/>
        <n x="1336"/>
        <n x="1337" s="1"/>
      </t>
    </mdx>
    <mdx n="33" f="v">
      <t c="4">
        <n x="215"/>
        <n x="1"/>
        <n x="32"/>
        <n x="1337" s="1"/>
      </t>
    </mdx>
    <mdx n="33" f="v">
      <t c="4">
        <n x="154"/>
        <n x="12"/>
        <n x="7"/>
        <n x="1337" s="1"/>
      </t>
    </mdx>
    <mdx n="33" f="v">
      <t c="4">
        <n x="72"/>
        <n x="14"/>
        <n x="32"/>
        <n x="1337" s="1"/>
      </t>
    </mdx>
    <mdx n="33" f="v">
      <t c="4">
        <n x="313"/>
        <n x="0"/>
        <n x="7"/>
        <n x="1337" s="1"/>
      </t>
    </mdx>
    <mdx n="33" f="v">
      <t c="4">
        <n x="259"/>
        <n x="11"/>
        <n x="32"/>
        <n x="1337" s="1"/>
      </t>
    </mdx>
    <mdx n="33" f="v">
      <t c="4">
        <n x="608"/>
        <n x="0"/>
        <n x="32"/>
        <n x="1337" s="1"/>
      </t>
    </mdx>
    <mdx n="33" f="v">
      <t c="4">
        <n x="262"/>
        <n x="12"/>
        <n x="7"/>
        <n x="1337" s="1"/>
      </t>
    </mdx>
    <mdx n="33" f="v">
      <t c="4" si="10">
        <n x="609"/>
        <n x="0"/>
        <n x="32"/>
        <n x="1337" s="1"/>
      </t>
    </mdx>
    <mdx n="33" f="v">
      <t c="6" si="10">
        <n x="15"/>
        <n x="1337" s="1"/>
        <n x="40"/>
        <n x="32"/>
        <n x="16"/>
        <n x="3"/>
      </t>
    </mdx>
    <mdx n="33" f="v">
      <t c="3">
        <n x="316"/>
        <n x="1336"/>
        <n x="1337" s="1"/>
      </t>
    </mdx>
    <mdx n="33" f="v">
      <t c="4">
        <n x="469"/>
        <n x="12"/>
        <n x="7"/>
        <n x="1337" s="1"/>
      </t>
    </mdx>
    <mdx n="33" f="v">
      <t c="4" si="10">
        <n x="519"/>
        <n x="1"/>
        <n x="32"/>
        <n x="1337" s="1"/>
      </t>
    </mdx>
    <mdx n="33" f="v">
      <t c="4" si="9">
        <n x="570"/>
        <n x="0"/>
        <n x="7"/>
        <n x="1337" s="1"/>
      </t>
    </mdx>
    <mdx n="33" f="v">
      <t c="4">
        <n x="620"/>
        <n x="0"/>
        <n x="7"/>
        <n x="1337" s="1"/>
      </t>
    </mdx>
    <mdx n="33" f="v">
      <t c="3">
        <n x="644"/>
        <n x="1336"/>
        <n x="1337" s="1"/>
      </t>
    </mdx>
    <mdx n="33" f="v">
      <t c="4" si="10">
        <n x="667"/>
        <n x="11"/>
        <n x="32"/>
        <n x="1337" s="1"/>
      </t>
    </mdx>
    <mdx n="33" f="v">
      <t c="4" si="10">
        <n x="690"/>
        <n x="12"/>
        <n x="32"/>
        <n x="1337" s="1"/>
      </t>
    </mdx>
    <mdx n="33" f="v">
      <t c="4">
        <n x="503"/>
        <n x="0"/>
        <n x="32"/>
        <n x="1337" s="1"/>
      </t>
    </mdx>
    <mdx n="33" f="v">
      <t c="4">
        <n x="659"/>
        <n x="14"/>
        <n x="7"/>
        <n x="1337" s="1"/>
      </t>
    </mdx>
    <mdx n="33" f="v">
      <t c="4" si="10">
        <n x="700"/>
        <n x="12"/>
        <n x="32"/>
        <n x="1337" s="1"/>
      </t>
    </mdx>
    <mdx n="33" f="v">
      <t c="4">
        <n x="724"/>
        <n x="0"/>
        <n x="32"/>
        <n x="1337" s="1"/>
      </t>
    </mdx>
    <mdx n="33" f="v">
      <t c="4">
        <n x="747"/>
        <n x="1"/>
        <n x="32"/>
        <n x="1337" s="1"/>
      </t>
    </mdx>
    <mdx n="33" f="v">
      <t c="4">
        <n x="771"/>
        <n x="1"/>
        <n x="7"/>
        <n x="1337" s="1"/>
      </t>
    </mdx>
    <mdx n="33" f="v">
      <t c="4">
        <n x="800"/>
        <n x="12"/>
        <n x="7"/>
        <n x="1337" s="1"/>
      </t>
    </mdx>
    <mdx n="33" f="v">
      <t c="4">
        <n x="823"/>
        <n x="0"/>
        <n x="7"/>
        <n x="1337" s="1"/>
      </t>
    </mdx>
    <mdx n="33" f="v">
      <t c="4" si="10">
        <n x="491"/>
        <n x="0"/>
        <n x="32"/>
        <n x="1337" s="1"/>
      </t>
    </mdx>
    <mdx n="33" f="v">
      <t c="4">
        <n x="654"/>
        <n x="11"/>
        <n x="32"/>
        <n x="1337" s="1"/>
      </t>
    </mdx>
    <mdx n="33" f="v">
      <t c="4">
        <n x="699"/>
        <n x="0"/>
        <n x="7"/>
        <n x="1337" s="1"/>
      </t>
    </mdx>
    <mdx n="33" f="v">
      <t c="4">
        <n x="722"/>
        <n x="1"/>
        <n x="7"/>
        <n x="1337" s="1"/>
      </t>
    </mdx>
    <mdx n="33" f="v">
      <t c="4">
        <n x="745"/>
        <n x="14"/>
        <n x="7"/>
        <n x="1337" s="1"/>
      </t>
    </mdx>
    <mdx n="33" f="v">
      <t c="4" si="10">
        <n x="769"/>
        <n x="12"/>
        <n x="32"/>
        <n x="1337" s="1"/>
      </t>
    </mdx>
    <mdx n="33" f="v">
      <t c="4" si="10">
        <n x="798"/>
        <n x="12"/>
        <n x="32"/>
        <n x="1337" s="1"/>
      </t>
    </mdx>
    <mdx n="33" f="v">
      <t c="6" si="10">
        <n x="15"/>
        <n x="1337" s="1"/>
        <n x="42"/>
        <n x="32"/>
        <n x="29"/>
        <n x="0"/>
      </t>
    </mdx>
    <mdx n="33" f="v">
      <t c="4">
        <n x="269"/>
        <n x="1"/>
        <n x="7"/>
        <n x="1337" s="1"/>
      </t>
    </mdx>
    <mdx n="33" f="v">
      <t c="4">
        <n x="125"/>
        <n x="0"/>
        <n x="32"/>
        <n x="1337" s="1"/>
      </t>
    </mdx>
    <mdx n="33" f="v">
      <t c="4">
        <n x="329"/>
        <n x="0"/>
        <n x="7"/>
        <n x="1337" s="1"/>
      </t>
    </mdx>
    <mdx n="33" f="v">
      <t c="3">
        <n x="324"/>
        <n x="1336"/>
        <n x="1337" s="1"/>
      </t>
    </mdx>
    <mdx n="33" f="v">
      <t c="4">
        <n x="621"/>
        <n x="11"/>
        <n x="7"/>
        <n x="1337" s="1"/>
      </t>
    </mdx>
    <mdx n="33" f="v">
      <t c="3">
        <n x="328"/>
        <n x="1336"/>
        <n x="1337" s="1"/>
      </t>
    </mdx>
    <mdx n="33" f="v">
      <t c="4">
        <n x="622"/>
        <n x="1"/>
        <n x="32"/>
        <n x="1337" s="1"/>
      </t>
    </mdx>
    <mdx n="33" f="v">
      <t c="5" si="9">
        <n x="15"/>
        <n x="1337" s="1"/>
        <n x="36"/>
        <n x="7"/>
        <n x="0"/>
      </t>
    </mdx>
    <mdx n="33" f="v">
      <t c="3">
        <n x="332"/>
        <n x="1336"/>
        <n x="1337" s="1"/>
      </t>
    </mdx>
    <mdx n="33" f="v">
      <t c="3">
        <n x="472"/>
        <n x="1336"/>
        <n x="1337" s="1"/>
      </t>
    </mdx>
    <mdx n="33" f="v">
      <t c="4">
        <n x="523"/>
        <n x="1"/>
        <n x="32"/>
        <n x="1337" s="1"/>
      </t>
    </mdx>
    <mdx n="33" f="v">
      <t c="4" si="9">
        <n x="574"/>
        <n x="0"/>
        <n x="7"/>
        <n x="1337" s="1"/>
      </t>
    </mdx>
    <mdx n="33" f="v">
      <t c="4" si="10">
        <n x="622"/>
        <n x="12"/>
        <n x="32"/>
        <n x="1337" s="1"/>
      </t>
    </mdx>
    <mdx n="33" f="v">
      <t c="4">
        <n x="646"/>
        <n x="0"/>
        <n x="32"/>
        <n x="1337" s="1"/>
      </t>
    </mdx>
    <mdx n="33" f="v">
      <t c="4" si="10">
        <n x="669"/>
        <n x="1"/>
        <n x="32"/>
        <n x="1337" s="1"/>
      </t>
    </mdx>
    <mdx n="33" f="v">
      <t c="4" si="10">
        <n x="692"/>
        <n x="14"/>
        <n x="32"/>
        <n x="1337" s="1"/>
      </t>
    </mdx>
    <mdx n="33" f="v">
      <t c="4" si="10">
        <n x="519"/>
        <n x="0"/>
        <n x="32"/>
        <n x="1337" s="1"/>
      </t>
    </mdx>
    <mdx n="33" f="v">
      <t c="3">
        <n x="667"/>
        <n x="1336"/>
        <n x="1337" s="1"/>
      </t>
    </mdx>
    <mdx n="33" f="v">
      <t c="4" si="10">
        <n x="702"/>
        <n x="14"/>
        <n x="32"/>
        <n x="1337" s="1"/>
      </t>
    </mdx>
    <mdx n="33" f="v">
      <t c="4">
        <n x="725"/>
        <n x="11"/>
        <n x="7"/>
        <n x="1337" s="1"/>
      </t>
    </mdx>
    <mdx n="33" f="v">
      <t c="4">
        <n x="749"/>
        <n x="12"/>
        <n x="7"/>
        <n x="1337" s="1"/>
      </t>
    </mdx>
    <mdx n="33" f="v">
      <t c="4" si="10">
        <n x="774"/>
        <n x="0"/>
        <n x="32"/>
        <n x="1337" s="1"/>
      </t>
    </mdx>
    <mdx n="33" f="v">
      <t c="4" si="9">
        <n x="801"/>
        <n x="14"/>
        <n x="7"/>
        <n x="1337" s="1"/>
      </t>
    </mdx>
    <mdx n="33" f="v">
      <t c="3">
        <n x="825"/>
        <n x="1336"/>
        <n x="1337" s="1"/>
      </t>
    </mdx>
    <mdx n="33" f="v">
      <t c="4" si="10">
        <n x="507"/>
        <n x="0"/>
        <n x="32"/>
        <n x="1337" s="1"/>
      </t>
    </mdx>
    <mdx n="33" f="v">
      <t c="4" si="10">
        <n x="661"/>
        <n x="12"/>
        <n x="32"/>
        <n x="1337" s="1"/>
      </t>
    </mdx>
    <mdx n="33" f="v">
      <t c="3">
        <n x="701"/>
        <n x="1336"/>
        <n x="1337" s="1"/>
      </t>
    </mdx>
    <mdx n="33" f="v">
      <t c="4">
        <n x="724"/>
        <n x="11"/>
        <n x="32"/>
        <n x="1337" s="1"/>
      </t>
    </mdx>
    <mdx n="33" f="v">
      <t c="4">
        <n x="747"/>
        <n x="12"/>
        <n x="32"/>
        <n x="1337" s="1"/>
      </t>
    </mdx>
    <mdx n="33" f="v">
      <t c="4">
        <n x="772"/>
        <n x="12"/>
        <n x="7"/>
        <n x="1337" s="1"/>
      </t>
    </mdx>
    <mdx n="33" f="v">
      <t c="4" si="10">
        <n x="800"/>
        <n x="14"/>
        <n x="32"/>
        <n x="1337" s="1"/>
      </t>
    </mdx>
    <mdx n="33" f="v">
      <t c="4">
        <n x="57"/>
        <n x="12"/>
        <n x="7"/>
        <n x="1337" s="1"/>
      </t>
    </mdx>
    <mdx n="33" f="v">
      <t c="4">
        <n x="290"/>
        <n x="0"/>
        <n x="32"/>
        <n x="1337" s="1"/>
      </t>
    </mdx>
    <mdx n="33" f="v">
      <t c="4">
        <n x="165"/>
        <n x="0"/>
        <n x="32"/>
        <n x="1337" s="1"/>
      </t>
    </mdx>
    <mdx n="33" f="v">
      <t c="4">
        <n x="345"/>
        <n x="0"/>
        <n x="7"/>
        <n x="1337" s="1"/>
      </t>
    </mdx>
    <mdx n="33" f="v">
      <t c="4">
        <n x="387"/>
        <n x="12"/>
        <n x="7"/>
        <n x="1337" s="1"/>
      </t>
    </mdx>
    <mdx n="33" f="v">
      <t c="4">
        <n x="629"/>
        <n x="12"/>
        <n x="7"/>
        <n x="1337" s="1"/>
      </t>
    </mdx>
    <mdx n="33" f="v">
      <t c="4">
        <n x="391"/>
        <n x="12"/>
        <n x="7"/>
        <n x="1337" s="1"/>
      </t>
    </mdx>
    <mdx n="33" f="v">
      <t c="4">
        <n x="629"/>
        <n x="14"/>
        <n x="32"/>
        <n x="1337" s="1"/>
      </t>
    </mdx>
    <mdx n="33" f="v">
      <t c="6" si="10">
        <n x="15"/>
        <n x="1337" s="1"/>
        <n x="44"/>
        <n x="32"/>
        <n x="4"/>
        <n x="0"/>
      </t>
    </mdx>
    <mdx n="33" f="v">
      <t c="6" si="9">
        <n x="15"/>
        <n x="1337" s="1"/>
        <n x="41"/>
        <n x="7"/>
        <n x="18"/>
        <n x="0"/>
      </t>
    </mdx>
    <mdx n="33" f="v">
      <t c="4">
        <n x="191"/>
        <n x="12"/>
        <n x="7"/>
        <n x="1337" s="1"/>
      </t>
    </mdx>
    <mdx n="33" f="v">
      <t c="4">
        <n x="185"/>
        <n x="1"/>
        <n x="32"/>
        <n x="1337" s="1"/>
      </t>
    </mdx>
    <mdx n="33" f="v">
      <t c="4">
        <n x="189"/>
        <n x="1"/>
        <n x="32"/>
        <n x="1337" s="1"/>
      </t>
    </mdx>
    <mdx n="33" f="v">
      <t c="4">
        <n x="259"/>
        <n x="0"/>
        <n x="7"/>
        <n x="1337" s="1"/>
      </t>
    </mdx>
    <mdx n="33" f="v">
      <t c="3" fi="0">
        <n x="555"/>
        <n x="1336"/>
        <n x="1337" s="1"/>
      </t>
    </mdx>
    <mdx n="33" f="v">
      <t c="3">
        <n x="412"/>
        <n x="1336"/>
        <n x="1337" s="1"/>
      </t>
    </mdx>
    <mdx n="33" f="v">
      <t c="4">
        <n x="300"/>
        <n x="12"/>
        <n x="7"/>
        <n x="1337" s="1"/>
      </t>
    </mdx>
    <mdx n="33" f="v">
      <t c="4">
        <n x="432"/>
        <n x="0"/>
        <n x="32"/>
        <n x="1337" s="1"/>
      </t>
    </mdx>
    <mdx n="33" f="v">
      <t c="3">
        <n x="634"/>
        <n x="1336"/>
        <n x="1337" s="1"/>
      </t>
    </mdx>
    <mdx n="33" f="v">
      <t c="4">
        <n x="436"/>
        <n x="0"/>
        <n x="32"/>
        <n x="1337" s="1"/>
      </t>
    </mdx>
    <mdx n="33" f="v">
      <t c="4">
        <n x="634"/>
        <n x="1"/>
        <n x="7"/>
        <n x="1337" s="1"/>
      </t>
    </mdx>
    <mdx n="33" f="v">
      <t c="6" si="10">
        <n x="15"/>
        <n x="1337" s="1"/>
        <n x="47"/>
        <n x="32"/>
        <n x="23"/>
        <n x="12"/>
      </t>
    </mdx>
    <mdx n="33" f="v">
      <t c="4">
        <n x="426"/>
        <n x="0"/>
        <n x="32"/>
        <n x="1337" s="1"/>
      </t>
    </mdx>
    <mdx n="33" f="v">
      <t c="4">
        <n x="250"/>
        <n x="0"/>
        <n x="7"/>
        <n x="1337" s="1"/>
      </t>
    </mdx>
    <mdx n="33" f="v">
      <t c="3">
        <n x="449"/>
        <n x="1336"/>
        <n x="1337" s="1"/>
      </t>
    </mdx>
    <mdx n="33" f="v">
      <t c="4" si="10">
        <n x="540"/>
        <n x="0"/>
        <n x="32"/>
        <n x="1337" s="1"/>
      </t>
    </mdx>
    <mdx n="33" f="v">
      <t c="4" si="10">
        <n x="676"/>
        <n x="12"/>
        <n x="32"/>
        <n x="1337" s="1"/>
      </t>
    </mdx>
    <mdx n="33" f="v">
      <t c="4" si="10">
        <n x="541"/>
        <n x="0"/>
        <n x="32"/>
        <n x="1337" s="1"/>
      </t>
    </mdx>
    <mdx n="33" f="v">
      <t c="4">
        <n x="138"/>
        <n x="0"/>
        <n x="32"/>
        <n x="1337" s="1"/>
      </t>
    </mdx>
    <mdx n="33" f="v">
      <t c="4">
        <n x="352"/>
        <n x="12"/>
        <n x="7"/>
        <n x="1337" s="1"/>
      </t>
    </mdx>
    <mdx n="33" f="v">
      <t c="4">
        <n x="632"/>
        <n x="11"/>
        <n x="32"/>
        <n x="1337" s="1"/>
      </t>
    </mdx>
    <mdx n="33" f="v">
      <t c="4" si="9">
        <n x="529"/>
        <n x="12"/>
        <n x="7"/>
        <n x="1337" s="1"/>
      </t>
    </mdx>
    <mdx n="33" f="v">
      <t c="4">
        <n x="671"/>
        <n x="11"/>
        <n x="7"/>
        <n x="1337" s="1"/>
      </t>
    </mdx>
    <mdx n="33" f="v">
      <t c="4">
        <n x="705"/>
        <n x="12"/>
        <n x="7"/>
        <n x="1337" s="1"/>
      </t>
    </mdx>
    <mdx n="33" f="v">
      <t c="4">
        <n x="804"/>
        <n x="11"/>
        <n x="32"/>
        <n x="1337" s="1"/>
      </t>
    </mdx>
    <mdx n="33" f="v">
      <t c="4" si="10">
        <n x="703"/>
        <n x="12"/>
        <n x="32"/>
        <n x="1337" s="1"/>
      </t>
    </mdx>
    <mdx n="33" f="v">
      <t c="4">
        <n x="803"/>
        <n x="12"/>
        <n x="7"/>
        <n x="1337" s="1"/>
      </t>
    </mdx>
    <mdx n="33" f="v">
      <t c="4">
        <n x="368"/>
        <n x="12"/>
        <n x="7"/>
        <n x="1337" s="1"/>
      </t>
    </mdx>
    <mdx n="33" f="v">
      <t c="4">
        <n x="639"/>
        <n x="12"/>
        <n x="32"/>
        <n x="1337" s="1"/>
      </t>
    </mdx>
    <mdx n="33" f="v">
      <t c="4" si="9">
        <n x="533"/>
        <n x="12"/>
        <n x="7"/>
        <n x="1337" s="1"/>
      </t>
    </mdx>
    <mdx n="33" f="v">
      <t c="4">
        <n x="619"/>
        <n x="1"/>
        <n x="32"/>
        <n x="1337" s="1"/>
      </t>
    </mdx>
    <mdx n="33" f="v">
      <t c="4">
        <n x="650"/>
        <n x="0"/>
        <n x="7"/>
        <n x="1337" s="1"/>
      </t>
    </mdx>
    <mdx n="33" f="v">
      <t c="4">
        <n x="682"/>
        <n x="0"/>
        <n x="7"/>
        <n x="1337" s="1"/>
      </t>
    </mdx>
    <mdx n="33" f="v">
      <t c="3">
        <n x="493"/>
        <n x="1336"/>
        <n x="1337" s="1"/>
      </t>
    </mdx>
    <mdx n="33" f="v">
      <t c="4" si="9">
        <n x="676"/>
        <n x="1"/>
        <n x="7"/>
        <n x="1337" s="1"/>
      </t>
    </mdx>
    <mdx n="33" f="v">
      <t c="4">
        <n x="715"/>
        <n x="1"/>
        <n x="7"/>
        <n x="1337" s="1"/>
      </t>
    </mdx>
    <mdx n="33" f="v">
      <t c="3">
        <n x="746"/>
        <n x="1336"/>
        <n x="1337" s="1"/>
      </t>
    </mdx>
    <mdx n="33" f="v">
      <t c="4" si="10">
        <n x="780"/>
        <n x="0"/>
        <n x="32"/>
        <n x="1337" s="1"/>
      </t>
    </mdx>
    <mdx n="33" f="v">
      <t c="4" si="10">
        <n x="815"/>
        <n x="0"/>
        <n x="32"/>
        <n x="1337" s="1"/>
      </t>
    </mdx>
    <mdx n="33" f="v">
      <t c="3">
        <n x="481"/>
        <n x="1336"/>
        <n x="1337" s="1"/>
      </t>
    </mdx>
    <mdx n="33" f="v">
      <t c="4" si="9">
        <n x="673"/>
        <n x="14"/>
        <n x="7"/>
        <n x="1337" s="1"/>
      </t>
    </mdx>
    <mdx n="33" f="v">
      <t c="4" si="10">
        <n x="714"/>
        <n x="1"/>
        <n x="32"/>
        <n x="1337" s="1"/>
      </t>
    </mdx>
    <mdx n="33" f="v">
      <t c="4">
        <n x="744"/>
        <n x="11"/>
        <n x="7"/>
        <n x="1337" s="1"/>
      </t>
    </mdx>
    <mdx n="33" f="v">
      <t c="4">
        <n x="778"/>
        <n x="12"/>
        <n x="7"/>
        <n x="1337" s="1"/>
      </t>
    </mdx>
    <mdx n="33" f="v">
      <t c="4">
        <n x="813"/>
        <n x="1"/>
        <n x="7"/>
        <n x="1337" s="1"/>
      </t>
    </mdx>
    <mdx n="33" f="v">
      <t c="4">
        <n x="261"/>
        <n x="1"/>
        <n x="7"/>
        <n x="1337" s="1"/>
      </t>
    </mdx>
    <mdx n="33" f="v">
      <t c="3">
        <n x="203"/>
        <n x="1336"/>
        <n x="1337" s="1"/>
      </t>
    </mdx>
    <mdx n="33" f="v">
      <t c="4">
        <n x="459"/>
        <n x="0"/>
        <n x="7"/>
        <n x="1337" s="1"/>
      </t>
    </mdx>
    <mdx n="33" f="v">
      <t c="3">
        <n x="614"/>
        <n x="1336"/>
        <n x="1337" s="1"/>
      </t>
    </mdx>
    <mdx n="33" f="v">
      <t c="4">
        <n x="474"/>
        <n x="1"/>
        <n x="32"/>
        <n x="1337" s="1"/>
      </t>
    </mdx>
    <mdx n="33" f="v">
      <t c="3">
        <n x="657"/>
        <n x="1336"/>
        <n x="1337" s="1"/>
      </t>
    </mdx>
    <mdx n="33" f="v">
      <t c="4">
        <n x="236"/>
        <n x="11"/>
        <n x="32"/>
        <n x="1337" s="1"/>
      </t>
    </mdx>
    <mdx n="33" f="v">
      <t c="4">
        <n x="436"/>
        <n x="0"/>
        <n x="7"/>
        <n x="1337" s="1"/>
      </t>
    </mdx>
    <mdx n="33" f="v">
      <t c="4" si="9">
        <n x="498"/>
        <n x="0"/>
        <n x="7"/>
        <n x="1337" s="1"/>
      </t>
    </mdx>
    <mdx n="33" f="v">
      <t c="4" si="10">
        <n x="550"/>
        <n x="0"/>
        <n x="32"/>
        <n x="1337" s="1"/>
      </t>
    </mdx>
    <mdx n="33" f="v">
      <t c="4" si="9">
        <n x="601"/>
        <n x="12"/>
        <n x="7"/>
        <n x="1337" s="1"/>
      </t>
    </mdx>
    <mdx n="33" f="v">
      <t c="4">
        <n x="634"/>
        <n x="12"/>
        <n x="32"/>
        <n x="1337" s="1"/>
      </t>
    </mdx>
    <mdx n="33" f="v">
      <t c="4" si="10">
        <n x="658"/>
        <n x="0"/>
        <n x="32"/>
        <n x="1337" s="1"/>
      </t>
    </mdx>
    <mdx n="33" f="v">
      <t c="4" si="10">
        <n x="681"/>
        <n x="1"/>
        <n x="32"/>
        <n x="1337" s="1"/>
      </t>
    </mdx>
    <mdx n="33" f="v">
      <t c="4">
        <n x="326"/>
        <n x="0"/>
        <n x="7"/>
        <n x="1337" s="1"/>
      </t>
    </mdx>
    <mdx n="33" f="v">
      <t c="4">
        <n x="622"/>
        <n x="12"/>
        <n x="7"/>
        <n x="1337" s="1"/>
      </t>
    </mdx>
    <mdx n="33" f="v">
      <t c="4">
        <n x="689"/>
        <n x="11"/>
        <n x="32"/>
        <n x="1337" s="1"/>
      </t>
    </mdx>
    <mdx n="33" f="v">
      <t c="4" si="10">
        <n x="714"/>
        <n x="14"/>
        <n x="32"/>
        <n x="1337" s="1"/>
      </t>
    </mdx>
    <mdx n="33" f="v">
      <t c="4">
        <n x="737"/>
        <n x="11"/>
        <n x="7"/>
        <n x="1337" s="1"/>
      </t>
    </mdx>
    <mdx n="33" f="v">
      <t c="4">
        <n x="761"/>
        <n x="12"/>
        <n x="7"/>
        <n x="1337" s="1"/>
      </t>
    </mdx>
    <mdx n="33" f="v">
      <t c="4">
        <n x="790"/>
        <n x="1"/>
        <n x="7"/>
        <n x="1337" s="1"/>
      </t>
    </mdx>
    <mdx n="33" f="v">
      <t c="4">
        <n x="813"/>
        <n x="14"/>
        <n x="7"/>
        <n x="1337" s="1"/>
      </t>
    </mdx>
    <mdx n="33" f="v">
      <t c="4">
        <n x="271"/>
        <n x="12"/>
        <n x="7"/>
        <n x="1337" s="1"/>
      </t>
    </mdx>
    <mdx n="33" f="v">
      <t c="4" si="10">
        <n x="612"/>
        <n x="1"/>
        <n x="32"/>
        <n x="1337" s="1"/>
      </t>
    </mdx>
    <mdx n="33" f="v">
      <t c="4">
        <n x="687"/>
        <n x="1"/>
        <n x="7"/>
        <n x="1337" s="1"/>
      </t>
    </mdx>
    <mdx n="33" f="v">
      <t c="3">
        <n x="713"/>
        <n x="1336"/>
        <n x="1337" s="1"/>
      </t>
    </mdx>
    <mdx n="33" f="v">
      <t c="4">
        <n x="736"/>
        <n x="11"/>
        <n x="32"/>
        <n x="1337" s="1"/>
      </t>
    </mdx>
    <mdx n="33" f="v">
      <t c="4" si="10">
        <n x="759"/>
        <n x="12"/>
        <n x="32"/>
        <n x="1337" s="1"/>
      </t>
    </mdx>
    <mdx n="33" f="v">
      <t c="4">
        <n x="788"/>
        <n x="12"/>
        <n x="32"/>
        <n x="1337" s="1"/>
      </t>
    </mdx>
    <mdx n="33" f="v">
      <t c="4" si="10">
        <n x="812"/>
        <n x="14"/>
        <n x="32"/>
        <n x="1337" s="1"/>
      </t>
    </mdx>
    <mdx n="33" f="v">
      <t c="4">
        <n x="281"/>
        <n x="12"/>
        <n x="7"/>
        <n x="1337" s="1"/>
      </t>
    </mdx>
    <mdx n="33" f="v">
      <t c="4" si="10">
        <n x="616"/>
        <n x="1"/>
        <n x="32"/>
        <n x="1337" s="1"/>
      </t>
    </mdx>
    <mdx n="33" f="v">
      <t c="4">
        <n x="688"/>
        <n x="1"/>
        <n x="32"/>
        <n x="1337" s="1"/>
      </t>
    </mdx>
    <mdx n="33" f="v">
      <t c="4">
        <n x="713"/>
        <n x="1"/>
        <n x="7"/>
        <n x="1337" s="1"/>
      </t>
    </mdx>
    <mdx n="33" f="v">
      <t c="4">
        <n x="243"/>
        <n x="0"/>
        <n x="32"/>
        <n x="1337" s="1"/>
      </t>
    </mdx>
    <mdx n="33" f="v">
      <t c="4" si="10">
        <n x="529"/>
        <n x="0"/>
        <n x="32"/>
        <n x="1337" s="1"/>
      </t>
    </mdx>
    <mdx n="33" f="v">
      <t c="4" si="10">
        <n x="499"/>
        <n x="1"/>
        <n x="32"/>
        <n x="1337" s="1"/>
      </t>
    </mdx>
    <mdx n="33" f="v">
      <t c="4">
        <n x="658"/>
        <n x="0"/>
        <n x="7"/>
        <n x="1337" s="1"/>
      </t>
    </mdx>
    <mdx n="33" f="v">
      <t c="4">
        <n x="689"/>
        <n x="14"/>
        <n x="7"/>
        <n x="1337" s="1"/>
      </t>
    </mdx>
    <mdx n="33" f="v">
      <t c="4" si="10">
        <n x="791"/>
        <n x="0"/>
        <n x="32"/>
        <n x="1337" s="1"/>
      </t>
    </mdx>
    <mdx n="33" f="v">
      <t c="4">
        <n x="688"/>
        <n x="12"/>
        <n x="7"/>
        <n x="1337" s="1"/>
      </t>
    </mdx>
    <mdx n="33" f="v">
      <t c="4">
        <n x="789"/>
        <n x="12"/>
        <n x="7"/>
        <n x="1337" s="1"/>
      </t>
    </mdx>
    <mdx n="33" f="v">
      <t c="4">
        <n x="408"/>
        <n x="0"/>
        <n x="7"/>
        <n x="1337" s="1"/>
      </t>
    </mdx>
    <mdx n="33" f="v">
      <t c="4">
        <n x="662"/>
        <n x="12"/>
        <n x="7"/>
        <n x="1337" s="1"/>
      </t>
    </mdx>
    <mdx n="33" f="v">
      <t c="4" si="9">
        <n x="708"/>
        <n x="14"/>
        <n x="7"/>
        <n x="1337" s="1"/>
      </t>
    </mdx>
    <mdx n="33" f="v">
      <t c="4">
        <n x="735"/>
        <n x="12"/>
        <n x="7"/>
        <n x="1337" s="1"/>
      </t>
    </mdx>
    <mdx n="33" f="v">
      <t c="4">
        <n x="758"/>
        <n x="0"/>
        <n x="7"/>
        <n x="1337" s="1"/>
      </t>
    </mdx>
    <mdx n="33" f="v">
      <t c="4">
        <n x="786"/>
        <n x="11"/>
        <n x="7"/>
        <n x="1337" s="1"/>
      </t>
    </mdx>
    <mdx n="33" f="v">
      <t c="3">
        <n x="811"/>
        <n x="1336"/>
        <n x="1337" s="1"/>
      </t>
    </mdx>
    <mdx n="33" f="v">
      <t c="4">
        <n x="834"/>
        <n x="11"/>
        <n x="32"/>
        <n x="1337" s="1"/>
      </t>
    </mdx>
    <mdx n="33" f="v">
      <t c="4">
        <n x="531"/>
        <n x="0"/>
        <n x="32"/>
        <n x="1337" s="1"/>
      </t>
    </mdx>
    <mdx n="33" f="v">
      <t c="4">
        <n x="750"/>
        <n x="11"/>
        <n x="32"/>
        <n x="1337" s="1"/>
      </t>
    </mdx>
    <mdx n="33" f="v">
      <t c="4" si="10">
        <n x="836"/>
        <n x="14"/>
        <n x="32"/>
        <n x="1337" s="1"/>
      </t>
    </mdx>
    <mdx n="33" f="v">
      <t c="4" si="9">
        <n x="863"/>
        <n x="14"/>
        <n x="7"/>
        <n x="1337" s="1"/>
      </t>
    </mdx>
    <mdx n="33" f="v">
      <t c="3">
        <n x="887"/>
        <n x="1336"/>
        <n x="1337" s="1"/>
      </t>
    </mdx>
    <mdx n="33" f="v">
      <t c="4">
        <n x="910"/>
        <n x="11"/>
        <n x="32"/>
        <n x="1337" s="1"/>
      </t>
    </mdx>
    <mdx n="33" f="v">
      <t c="4" si="10">
        <n x="933"/>
        <n x="12"/>
        <n x="32"/>
        <n x="1337" s="1"/>
      </t>
    </mdx>
    <mdx n="33" f="v">
      <t c="3">
        <n x="967"/>
        <n x="1336"/>
        <n x="1337" s="1"/>
      </t>
    </mdx>
    <mdx n="33" f="v">
      <t c="4" si="10">
        <n x="1018"/>
        <n x="1"/>
        <n x="32"/>
        <n x="1337" s="1"/>
      </t>
    </mdx>
    <mdx n="33" f="v">
      <t c="4">
        <n x="1069"/>
        <n x="0"/>
        <n x="7"/>
        <n x="1337" s="1"/>
      </t>
    </mdx>
    <mdx n="33" f="v">
      <t c="4" si="10">
        <n x="1121"/>
        <n x="0"/>
        <n x="32"/>
        <n x="1337" s="1"/>
      </t>
    </mdx>
    <mdx n="33" f="v">
      <t c="4">
        <n x="1244"/>
        <n x="12"/>
        <n x="7"/>
        <n x="1337" s="1"/>
      </t>
    </mdx>
    <mdx n="33" f="v">
      <t c="4">
        <n x="1059"/>
        <n x="14"/>
        <n x="7"/>
        <n x="1337" s="1"/>
      </t>
    </mdx>
    <mdx n="33" f="v">
      <t c="4" si="9">
        <n x="487"/>
        <n x="14"/>
        <n x="7"/>
        <n x="1337" s="1"/>
      </t>
    </mdx>
    <mdx n="33" f="v">
      <t c="4">
        <n x="136"/>
        <n x="14"/>
        <n x="7"/>
        <n x="1337" s="1"/>
      </t>
    </mdx>
    <mdx n="33" f="v">
      <t c="4" si="10">
        <n x="508"/>
        <n x="1"/>
        <n x="32"/>
        <n x="1337" s="1"/>
      </t>
    </mdx>
    <mdx n="33" f="v">
      <t c="4">
        <n x="251"/>
        <n x="0"/>
        <n x="32"/>
        <n x="1337" s="1"/>
      </t>
    </mdx>
    <mdx n="33" f="v">
      <t c="4">
        <n x="541"/>
        <n x="0"/>
        <n x="7"/>
        <n x="1337" s="1"/>
      </t>
    </mdx>
    <mdx n="33" f="v">
      <t c="4">
        <n x="502"/>
        <n x="0"/>
        <n x="7"/>
        <n x="1337" s="1"/>
      </t>
    </mdx>
    <mdx n="33" f="v">
      <t c="4">
        <n x="659"/>
        <n x="11"/>
        <n x="7"/>
        <n x="1337" s="1"/>
      </t>
    </mdx>
    <mdx n="33" f="v">
      <t c="4">
        <n x="691"/>
        <n x="14"/>
        <n x="7"/>
        <n x="1337" s="1"/>
      </t>
    </mdx>
    <mdx n="33" f="v">
      <t c="4">
        <n x="792"/>
        <n x="11"/>
        <n x="32"/>
        <n x="1337" s="1"/>
      </t>
    </mdx>
    <mdx n="33" f="v">
      <t c="4">
        <n x="690"/>
        <n x="12"/>
        <n x="7"/>
        <n x="1337" s="1"/>
      </t>
    </mdx>
    <mdx n="33" f="v">
      <t c="4">
        <n x="791"/>
        <n x="12"/>
        <n x="7"/>
        <n x="1337" s="1"/>
      </t>
    </mdx>
    <mdx n="33" f="v">
      <t c="4">
        <n x="421"/>
        <n x="1"/>
        <n x="32"/>
        <n x="1337" s="1"/>
      </t>
    </mdx>
    <mdx n="33" f="v">
      <t c="4">
        <n x="663"/>
        <n x="14"/>
        <n x="32"/>
        <n x="1337" s="1"/>
      </t>
    </mdx>
    <mdx n="33" f="v">
      <t c="4">
        <n x="709"/>
        <n x="1"/>
        <n x="7"/>
        <n x="1337" s="1"/>
      </t>
    </mdx>
    <mdx n="33" f="v">
      <t c="4">
        <n x="735"/>
        <n x="11"/>
        <n x="32"/>
        <n x="1337" s="1"/>
      </t>
    </mdx>
    <mdx n="33" f="v">
      <t c="4" si="10">
        <n x="758"/>
        <n x="12"/>
        <n x="32"/>
        <n x="1337" s="1"/>
      </t>
    </mdx>
    <mdx n="33" f="v">
      <t c="4">
        <n x="787"/>
        <n x="11"/>
        <n x="32"/>
        <n x="1337" s="1"/>
      </t>
    </mdx>
    <mdx n="33" f="v">
      <t c="6" si="10">
        <n x="15"/>
        <n x="1337" s="1"/>
        <n x="42"/>
        <n x="32"/>
        <n x="22"/>
        <n x="3"/>
      </t>
    </mdx>
    <mdx n="33" f="v">
      <t c="6" si="9">
        <n x="15"/>
        <n x="1337" s="1"/>
        <n x="43"/>
        <n x="7"/>
        <n x="21"/>
        <n x="1"/>
      </t>
    </mdx>
    <mdx n="33" f="v">
      <t c="6" si="10">
        <n x="15"/>
        <n x="1337" s="1"/>
        <n x="45"/>
        <n x="32"/>
        <n x="4"/>
        <n x="12"/>
      </t>
    </mdx>
    <mdx n="33" f="v">
      <t c="6" si="9">
        <n x="15"/>
        <n x="1337" s="1"/>
        <n x="42"/>
        <n x="7"/>
        <n x="18"/>
        <n x="3"/>
      </t>
    </mdx>
    <mdx n="33" f="v">
      <t c="6" si="9">
        <n x="15"/>
        <n x="1337" s="1"/>
        <n x="43"/>
        <n x="7"/>
        <n x="24"/>
        <n x="3"/>
      </t>
    </mdx>
    <mdx n="33" f="v">
      <t c="4">
        <n x="253"/>
        <n x="11"/>
        <n x="32"/>
        <n x="1337" s="1"/>
      </t>
    </mdx>
    <mdx n="33" f="v">
      <t c="4">
        <n x="281"/>
        <n x="1"/>
        <n x="32"/>
        <n x="1337" s="1"/>
      </t>
    </mdx>
    <mdx n="33" f="v">
      <t c="4">
        <n x="82"/>
        <n x="12"/>
        <n x="7"/>
        <n x="1337" s="1"/>
      </t>
    </mdx>
    <mdx n="33" f="v">
      <t c="4">
        <n x="385"/>
        <n x="0"/>
        <n x="7"/>
        <n x="1337" s="1"/>
      </t>
    </mdx>
    <mdx n="33" f="v">
      <t c="3" fi="0">
        <n x="510"/>
        <n x="1336"/>
        <n x="1337" s="1"/>
      </t>
    </mdx>
    <mdx n="33" f="v">
      <t c="4">
        <n x="663"/>
        <n x="1"/>
        <n x="32"/>
        <n x="1337" s="1"/>
      </t>
    </mdx>
    <mdx n="33" f="v">
      <t c="3" fi="0">
        <n x="511"/>
        <n x="1336"/>
        <n x="1337" s="1"/>
      </t>
    </mdx>
    <mdx n="33" f="v">
      <t c="6" si="9">
        <n x="15"/>
        <n x="1337" s="1"/>
        <n x="40"/>
        <n x="7"/>
        <n x="22"/>
        <n x="1"/>
      </t>
    </mdx>
    <mdx n="33" f="v">
      <t c="4">
        <n x="253"/>
        <n x="1"/>
        <n x="32"/>
        <n x="1337" s="1"/>
      </t>
    </mdx>
    <mdx n="33" f="v">
      <t c="4">
        <n x="64"/>
        <n x="14"/>
        <n x="32"/>
        <n x="1337" s="1"/>
      </t>
    </mdx>
    <mdx n="33" f="v">
      <t c="4">
        <n x="309"/>
        <n x="0"/>
        <n x="7"/>
        <n x="1337" s="1"/>
      </t>
    </mdx>
    <mdx n="33" f="v">
      <t c="4">
        <n x="249"/>
        <n x="11"/>
        <n x="32"/>
        <n x="1337" s="1"/>
      </t>
    </mdx>
    <mdx n="33" f="v">
      <t c="4" si="10">
        <n x="604"/>
        <n x="0"/>
        <n x="32"/>
        <n x="1337" s="1"/>
      </t>
    </mdx>
    <mdx n="33" f="v">
      <t c="4">
        <n x="252"/>
        <n x="12"/>
        <n x="7"/>
        <n x="1337" s="1"/>
      </t>
    </mdx>
    <mdx n="33" f="v">
      <t c="4" si="10">
        <n x="605"/>
        <n x="0"/>
        <n x="32"/>
        <n x="1337" s="1"/>
      </t>
    </mdx>
    <mdx n="33" f="v">
      <t c="4">
        <n x="260"/>
        <n x="14"/>
        <n x="32"/>
        <n x="1337" s="1"/>
      </t>
    </mdx>
    <mdx n="33" f="v">
      <t c="4" si="9">
        <n x="492"/>
        <n x="0"/>
        <n x="7"/>
        <n x="1337" s="1"/>
      </t>
    </mdx>
    <mdx n="33" f="v">
      <t c="4">
        <n x="206"/>
        <n x="0"/>
        <n x="32"/>
        <n x="1337" s="1"/>
      </t>
    </mdx>
    <mdx n="33" f="v">
      <t c="4">
        <n x="593"/>
        <n x="12"/>
        <n x="7"/>
        <n x="1337" s="1"/>
      </t>
    </mdx>
    <mdx n="33" f="v">
      <t c="4">
        <n x="221"/>
        <n x="12"/>
        <n x="7"/>
        <n x="1337" s="1"/>
      </t>
    </mdx>
    <mdx n="33" f="v">
      <t c="3">
        <n x="734"/>
        <n x="1336"/>
        <n x="1337" s="1"/>
      </t>
    </mdx>
    <mdx n="33" f="v">
      <t c="4">
        <n x="174"/>
        <n x="0"/>
        <n x="7"/>
        <n x="1337" s="1"/>
      </t>
    </mdx>
    <mdx n="33" f="v">
      <t c="4">
        <n x="732"/>
        <n x="11"/>
        <n x="7"/>
        <n x="1337" s="1"/>
      </t>
    </mdx>
    <mdx n="33" f="v">
      <t c="4">
        <n x="326"/>
        <n x="12"/>
        <n x="7"/>
        <n x="1337" s="1"/>
      </t>
    </mdx>
    <mdx n="33" f="v">
      <t c="4">
        <n x="508"/>
        <n x="0"/>
        <n x="7"/>
        <n x="1337" s="1"/>
      </t>
    </mdx>
    <mdx n="33" f="v">
      <t c="4">
        <n x="222"/>
        <n x="11"/>
        <n x="32"/>
        <n x="1337" s="1"/>
      </t>
    </mdx>
    <mdx n="33" f="v">
      <t c="4" si="10">
        <n x="571"/>
        <n x="1"/>
        <n x="32"/>
        <n x="1337" s="1"/>
      </t>
    </mdx>
    <mdx n="33" f="v">
      <t c="4" si="10">
        <n x="630"/>
        <n x="0"/>
        <n x="32"/>
        <n x="1337" s="1"/>
      </t>
    </mdx>
    <mdx n="33" f="v">
      <t c="4" si="10">
        <n x="660"/>
        <n x="14"/>
        <n x="32"/>
        <n x="1337" s="1"/>
      </t>
    </mdx>
    <mdx n="33" f="v">
      <t c="4">
        <n x="691"/>
        <n x="12"/>
        <n x="7"/>
        <n x="1337" s="1"/>
      </t>
    </mdx>
    <mdx n="33" f="v">
      <t c="4" si="10">
        <n x="583"/>
        <n x="0"/>
        <n x="32"/>
        <n x="1337" s="1"/>
      </t>
    </mdx>
    <mdx n="33" f="v">
      <t c="4">
        <n x="692"/>
        <n x="11"/>
        <n x="7"/>
        <n x="1337" s="1"/>
      </t>
    </mdx>
    <mdx n="33" f="v">
      <t c="4">
        <n x="724"/>
        <n x="0"/>
        <n x="7"/>
        <n x="1337" s="1"/>
      </t>
    </mdx>
    <mdx n="33" f="v">
      <t c="4" si="9">
        <n x="756"/>
        <n x="0"/>
        <n x="7"/>
        <n x="1337" s="1"/>
      </t>
    </mdx>
    <mdx n="33" f="v">
      <t c="3">
        <n x="793"/>
        <n x="1336"/>
        <n x="1337" s="1"/>
      </t>
    </mdx>
    <mdx n="33" f="v">
      <t c="4">
        <n x="823"/>
        <n x="12"/>
        <n x="32"/>
        <n x="1337" s="1"/>
      </t>
    </mdx>
    <mdx n="33" f="v">
      <t c="4" si="10">
        <n x="571"/>
        <n x="0"/>
        <n x="32"/>
        <n x="1337" s="1"/>
      </t>
    </mdx>
    <mdx n="33" f="v">
      <t c="4" si="10">
        <n x="691"/>
        <n x="0"/>
        <n x="32"/>
        <n x="1337" s="1"/>
      </t>
    </mdx>
    <mdx n="33" f="v">
      <t c="4" si="10">
        <n x="723"/>
        <n x="0"/>
        <n x="32"/>
        <n x="1337" s="1"/>
      </t>
    </mdx>
    <mdx n="33" f="v">
      <t c="4">
        <n x="755"/>
        <n x="0"/>
        <n x="32"/>
        <n x="1337" s="1"/>
      </t>
    </mdx>
    <mdx n="33" f="v">
      <t c="4">
        <n x="791"/>
        <n x="11"/>
        <n x="7"/>
        <n x="1337" s="1"/>
      </t>
    </mdx>
    <mdx n="33" f="v">
      <t c="6" si="10">
        <n x="15"/>
        <n x="1337" s="1"/>
        <n x="36"/>
        <n x="32"/>
        <n x="19"/>
        <n x="3"/>
      </t>
    </mdx>
    <mdx n="33" f="v">
      <t c="4">
        <n x="384"/>
        <n x="0"/>
        <n x="32"/>
        <n x="1337" s="1"/>
      </t>
    </mdx>
    <mdx n="33" f="v">
      <t c="4">
        <n x="265"/>
        <n x="0"/>
        <n x="32"/>
        <n x="1337" s="1"/>
      </t>
    </mdx>
    <mdx n="33" f="v">
      <t c="4">
        <n x="337"/>
        <n x="12"/>
        <n x="7"/>
        <n x="1337" s="1"/>
      </t>
    </mdx>
    <mdx n="33" f="v">
      <t c="3">
        <n x="658"/>
        <n x="1336"/>
        <n x="1337" s="1"/>
      </t>
    </mdx>
    <mdx n="33" f="v">
      <t c="4">
        <n x="564"/>
        <n x="12"/>
        <n x="7"/>
        <n x="1337" s="1"/>
      </t>
    </mdx>
    <mdx n="33" f="v">
      <t c="4" si="9">
        <n x="666"/>
        <n x="1"/>
        <n x="7"/>
        <n x="1337" s="1"/>
      </t>
    </mdx>
    <mdx n="33" f="v">
      <t c="4">
        <n x="287"/>
        <n x="0"/>
        <n x="32"/>
        <n x="1337" s="1"/>
      </t>
    </mdx>
    <mdx n="33" f="v">
      <t c="3">
        <n x="463"/>
        <n x="1336"/>
        <n x="1337" s="1"/>
      </t>
    </mdx>
    <mdx n="33" f="v">
      <t c="4">
        <n x="248"/>
        <n x="11"/>
        <n x="32"/>
        <n x="1337" s="1"/>
      </t>
    </mdx>
    <mdx n="33" f="v">
      <t c="4">
        <n x="324"/>
        <n x="0"/>
        <n x="32"/>
        <n x="1337" s="1"/>
      </t>
    </mdx>
    <mdx n="33" f="v">
      <t c="4">
        <n x="184"/>
        <n x="12"/>
        <n x="7"/>
        <n x="1337" s="1"/>
      </t>
    </mdx>
    <mdx n="33" f="v">
      <t c="4">
        <n x="365"/>
        <n x="0"/>
        <n x="32"/>
        <n x="1337" s="1"/>
      </t>
    </mdx>
    <mdx n="33" f="v">
      <t c="4">
        <n x="451"/>
        <n x="12"/>
        <n x="7"/>
        <n x="1337" s="1"/>
      </t>
    </mdx>
    <mdx n="33" f="v">
      <t c="4">
        <n x="637"/>
        <n x="11"/>
        <n x="7"/>
        <n x="1337" s="1"/>
      </t>
    </mdx>
    <mdx n="33" f="v">
      <t c="3">
        <n x="452"/>
        <n x="1336"/>
        <n x="1337" s="1"/>
      </t>
    </mdx>
    <mdx n="33" f="v">
      <t c="4">
        <n x="638"/>
        <n x="1"/>
        <n x="32"/>
        <n x="1337" s="1"/>
      </t>
    </mdx>
    <mdx n="33" f="v">
      <t c="4">
        <n x="153"/>
        <n x="12"/>
        <n x="7"/>
        <n x="1337" s="1"/>
      </t>
    </mdx>
    <mdx n="33" f="v">
      <t c="4">
        <n x="367"/>
        <n x="1"/>
        <n x="32"/>
        <n x="1337" s="1"/>
      </t>
    </mdx>
    <mdx n="33" f="v">
      <t c="4" si="9">
        <n x="481"/>
        <n x="12"/>
        <n x="7"/>
        <n x="1337" s="1"/>
      </t>
    </mdx>
    <mdx n="33" f="v">
      <t c="3" fi="0">
        <n x="532"/>
        <n x="1336"/>
        <n x="1337" s="1"/>
      </t>
    </mdx>
    <mdx n="33" f="v">
      <t c="4" si="10">
        <n x="583"/>
        <n x="1"/>
        <n x="32"/>
        <n x="1337" s="1"/>
      </t>
    </mdx>
    <mdx n="33" f="v">
      <t c="4">
        <n x="626"/>
        <n x="12"/>
        <n x="32"/>
        <n x="1337" s="1"/>
      </t>
    </mdx>
    <mdx n="33" f="v">
      <t c="4">
        <n x="650"/>
        <n x="0"/>
        <n x="32"/>
        <n x="1337" s="1"/>
      </t>
    </mdx>
    <mdx n="33" f="v">
      <t c="4" si="10">
        <n x="673"/>
        <n x="1"/>
        <n x="32"/>
        <n x="1337" s="1"/>
      </t>
    </mdx>
    <mdx n="33" f="v">
      <t c="4" si="10">
        <n x="696"/>
        <n x="14"/>
        <n x="32"/>
        <n x="1337" s="1"/>
      </t>
    </mdx>
    <mdx n="33" f="v">
      <t c="4">
        <n x="554"/>
        <n x="12"/>
        <n x="7"/>
        <n x="1337" s="1"/>
      </t>
    </mdx>
    <mdx n="33" f="v">
      <t c="4" si="9">
        <n x="675"/>
        <n x="14"/>
        <n x="7"/>
        <n x="1337" s="1"/>
      </t>
    </mdx>
    <mdx n="33" f="v">
      <t c="4">
        <n x="706"/>
        <n x="14"/>
        <n x="32"/>
        <n x="1337" s="1"/>
      </t>
    </mdx>
    <mdx n="33" f="v">
      <t c="4">
        <n x="729"/>
        <n x="11"/>
        <n x="7"/>
        <n x="1337" s="1"/>
      </t>
    </mdx>
    <mdx n="33" f="v">
      <t c="4" si="9">
        <n x="753"/>
        <n x="12"/>
        <n x="7"/>
        <n x="1337" s="1"/>
      </t>
    </mdx>
    <mdx n="33" f="v">
      <t c="4">
        <n x="779"/>
        <n x="1"/>
        <n x="7"/>
        <n x="1337" s="1"/>
      </t>
    </mdx>
    <mdx n="33" f="v">
      <t c="4">
        <n x="805"/>
        <n x="14"/>
        <n x="7"/>
        <n x="1337" s="1"/>
      </t>
    </mdx>
    <mdx n="33" f="v">
      <t c="3">
        <n x="829"/>
        <n x="1336"/>
        <n x="1337" s="1"/>
      </t>
    </mdx>
    <mdx n="33" f="v">
      <t c="4">
        <n x="542"/>
        <n x="12"/>
        <n x="7"/>
        <n x="1337" s="1"/>
      </t>
    </mdx>
    <mdx n="33" f="v">
      <t c="3">
        <n x="673"/>
        <n x="1336"/>
        <n x="1337" s="1"/>
      </t>
    </mdx>
    <mdx n="33" f="v">
      <t c="3">
        <n x="705"/>
        <n x="1336"/>
        <n x="1337" s="1"/>
      </t>
    </mdx>
    <mdx n="33" f="v">
      <t c="4">
        <n x="728"/>
        <n x="11"/>
        <n x="32"/>
        <n x="1337" s="1"/>
      </t>
    </mdx>
    <mdx n="33" f="v">
      <t c="4" si="10">
        <n x="751"/>
        <n x="12"/>
        <n x="32"/>
        <n x="1337" s="1"/>
      </t>
    </mdx>
    <mdx n="33" f="v">
      <t c="4" si="10">
        <n x="777"/>
        <n x="12"/>
        <n x="32"/>
        <n x="1337" s="1"/>
      </t>
    </mdx>
    <mdx n="33" f="v">
      <t c="4">
        <n x="804"/>
        <n x="14"/>
        <n x="32"/>
        <n x="1337" s="1"/>
      </t>
    </mdx>
    <mdx n="33" f="v">
      <t c="4">
        <n x="196"/>
        <n x="1"/>
        <n x="32"/>
        <n x="1337" s="1"/>
      </t>
    </mdx>
    <mdx n="33" f="v">
      <t c="4">
        <n x="345"/>
        <n x="1"/>
        <n x="32"/>
        <n x="1337" s="1"/>
      </t>
    </mdx>
    <mdx n="33" f="v">
      <t c="4">
        <n x="200"/>
        <n x="12"/>
        <n x="7"/>
        <n x="1337" s="1"/>
      </t>
    </mdx>
    <mdx n="33" f="v">
      <t c="4">
        <n x="381"/>
        <n x="0"/>
        <n x="32"/>
        <n x="1337" s="1"/>
      </t>
    </mdx>
    <mdx n="33" f="v">
      <t c="3">
        <n x="471"/>
        <n x="1336"/>
        <n x="1337" s="1"/>
      </t>
    </mdx>
    <mdx n="33" f="v">
      <t c="4">
        <n x="645"/>
        <n x="12"/>
        <n x="7"/>
        <n x="1337" s="1"/>
      </t>
    </mdx>
    <mdx n="33" f="v">
      <t c="4" si="9">
        <n x="471"/>
        <n x="12"/>
        <n x="7"/>
        <n x="1337" s="1"/>
      </t>
    </mdx>
    <mdx n="33" f="v">
      <t c="4" si="10">
        <n x="645"/>
        <n x="14"/>
        <n x="32"/>
        <n x="1337" s="1"/>
      </t>
    </mdx>
    <mdx n="33" f="v">
      <t c="4">
        <n x="174"/>
        <n x="0"/>
        <n x="32"/>
        <n x="1337" s="1"/>
      </t>
    </mdx>
    <mdx n="33" f="v">
      <t c="4">
        <n x="383"/>
        <n x="1"/>
        <n x="32"/>
        <n x="1337" s="1"/>
      </t>
    </mdx>
    <mdx n="33" f="v">
      <t c="4" si="9">
        <n x="485"/>
        <n x="12"/>
        <n x="7"/>
        <n x="1337" s="1"/>
      </t>
    </mdx>
    <mdx n="33" f="v">
      <t c="3" fi="0">
        <n x="536"/>
        <n x="1336"/>
        <n x="1337" s="1"/>
      </t>
    </mdx>
    <mdx n="33" f="v">
      <t c="4">
        <n x="587"/>
        <n x="1"/>
        <n x="32"/>
        <n x="1337" s="1"/>
      </t>
    </mdx>
    <mdx n="33" f="v">
      <t c="4">
        <n x="628"/>
        <n x="14"/>
        <n x="32"/>
        <n x="1337" s="1"/>
      </t>
    </mdx>
    <mdx n="33" f="v">
      <t c="4">
        <n x="651"/>
        <n x="11"/>
        <n x="7"/>
        <n x="1337" s="1"/>
      </t>
    </mdx>
    <mdx n="33" f="v">
      <t c="4" si="9">
        <n x="675"/>
        <n x="12"/>
        <n x="7"/>
        <n x="1337" s="1"/>
      </t>
    </mdx>
    <mdx n="33" f="v">
      <t c="4">
        <n x="73"/>
        <n x="0"/>
        <n x="32"/>
        <n x="1337" s="1"/>
      </t>
    </mdx>
    <mdx n="33" f="v">
      <t c="4" si="9">
        <n x="570"/>
        <n x="12"/>
        <n x="7"/>
        <n x="1337" s="1"/>
      </t>
    </mdx>
    <mdx n="33" f="v">
      <t c="4" si="10">
        <n x="679"/>
        <n x="14"/>
        <n x="32"/>
        <n x="1337" s="1"/>
      </t>
    </mdx>
    <mdx n="33" f="v">
      <t c="4" si="9">
        <n x="708"/>
        <n x="0"/>
        <n x="7"/>
        <n x="1337" s="1"/>
      </t>
    </mdx>
    <mdx n="33" f="v">
      <t c="4">
        <n x="731"/>
        <n x="1"/>
        <n x="7"/>
        <n x="1337" s="1"/>
      </t>
    </mdx>
    <mdx n="33" f="v">
      <t c="4" si="9">
        <n x="754"/>
        <n x="14"/>
        <n x="7"/>
        <n x="1337" s="1"/>
      </t>
    </mdx>
    <mdx n="33" f="v">
      <t c="4">
        <n x="782"/>
        <n x="0"/>
        <n x="32"/>
        <n x="1337" s="1"/>
      </t>
    </mdx>
    <mdx n="33" f="v">
      <t c="4" si="10">
        <n x="807"/>
        <n x="12"/>
        <n x="32"/>
        <n x="1337" s="1"/>
      </t>
    </mdx>
    <mdx n="33" f="v">
      <t c="6">
        <n x="15"/>
        <n x="1337" s="1"/>
        <n x="43"/>
        <n x="7"/>
        <n x="29"/>
        <n x="3"/>
      </t>
    </mdx>
    <mdx n="33" f="v">
      <t c="4">
        <n x="558"/>
        <n x="12"/>
        <n x="7"/>
        <n x="1337" s="1"/>
      </t>
    </mdx>
    <mdx n="33" f="v">
      <t c="4">
        <n x="676"/>
        <n x="11"/>
        <n x="7"/>
        <n x="1337" s="1"/>
      </t>
    </mdx>
    <mdx n="33" f="v">
      <t c="4" si="10">
        <n x="707"/>
        <n x="0"/>
        <n x="32"/>
        <n x="1337" s="1"/>
      </t>
    </mdx>
    <mdx n="33" f="v">
      <t c="4" si="10">
        <n x="730"/>
        <n x="1"/>
        <n x="32"/>
        <n x="1337" s="1"/>
      </t>
    </mdx>
    <mdx n="33" f="v">
      <t c="4" si="10">
        <n x="753"/>
        <n x="14"/>
        <n x="32"/>
        <n x="1337" s="1"/>
      </t>
    </mdx>
    <mdx n="33" f="v">
      <t c="4">
        <n x="780"/>
        <n x="12"/>
        <n x="7"/>
        <n x="1337" s="1"/>
      </t>
    </mdx>
    <mdx n="33" f="v">
      <t c="4">
        <n x="806"/>
        <n x="0"/>
        <n x="7"/>
        <n x="1337" s="1"/>
      </t>
    </mdx>
    <mdx n="33" f="v">
      <t c="4">
        <n x="244"/>
        <n x="14"/>
        <n x="32"/>
        <n x="1337" s="1"/>
      </t>
    </mdx>
    <mdx n="33" f="v">
      <t c="3">
        <n x="366"/>
        <n x="1336"/>
        <n x="1337" s="1"/>
      </t>
    </mdx>
    <mdx n="33" f="v">
      <t c="4">
        <n x="216"/>
        <n x="12"/>
        <n x="7"/>
        <n x="1337" s="1"/>
      </t>
    </mdx>
    <mdx n="33" f="v">
      <t c="4">
        <n x="395"/>
        <n x="0"/>
        <n x="7"/>
        <n x="1337" s="1"/>
      </t>
    </mdx>
    <mdx n="33" f="v">
      <t c="3">
        <n x="486"/>
        <n x="1336"/>
        <n x="1337" s="1"/>
      </t>
    </mdx>
    <mdx n="33" f="v">
      <t c="4">
        <n x="652"/>
        <n x="0"/>
        <n x="7"/>
        <n x="1337" s="1"/>
      </t>
    </mdx>
    <mdx n="33" f="v">
      <t c="3">
        <n x="487"/>
        <n x="1336"/>
        <n x="1337" s="1"/>
      </t>
    </mdx>
    <mdx n="33" f="v">
      <t c="4">
        <n x="1177"/>
        <n x="14"/>
        <n x="32"/>
        <n x="1337" s="1"/>
      </t>
    </mdx>
    <mdx n="33" f="v">
      <t c="6" si="10">
        <n x="15"/>
        <n x="1337" s="1"/>
        <n x="43"/>
        <n x="32"/>
        <n x="16"/>
        <n x="1"/>
      </t>
    </mdx>
    <mdx n="33" f="v">
      <t c="6" si="10">
        <n x="15"/>
        <n x="1337" s="1"/>
        <n x="43"/>
        <n x="32"/>
        <n x="29"/>
        <n x="3"/>
      </t>
    </mdx>
    <mdx n="33" f="v">
      <t c="4">
        <n x="137"/>
        <n x="12"/>
        <n x="7"/>
        <n x="1337" s="1"/>
      </t>
    </mdx>
    <mdx n="33" f="v">
      <t c="6" si="10">
        <n x="15"/>
        <n x="1337" s="1"/>
        <n x="43"/>
        <n x="32"/>
        <n x="29"/>
        <n x="2"/>
      </t>
    </mdx>
    <mdx n="33" f="v">
      <t c="3">
        <n x="370"/>
        <n x="1336"/>
        <n x="1337" s="1"/>
      </t>
    </mdx>
    <mdx n="33" f="v">
      <t c="4" si="9">
        <n x="463"/>
        <n x="0"/>
        <n x="7"/>
        <n x="1337" s="1"/>
      </t>
    </mdx>
    <mdx n="33" f="v">
      <t c="5" si="10">
        <n x="15"/>
        <n x="1337" s="1"/>
        <n x="14"/>
        <n x="32"/>
        <n x="17"/>
      </t>
    </mdx>
    <mdx n="33" f="v">
      <t c="4">
        <n x="50"/>
        <n x="12"/>
        <n x="7"/>
        <n x="1337" s="1"/>
      </t>
    </mdx>
    <mdx n="33" f="v">
      <t c="4">
        <n x="369"/>
        <n x="0"/>
        <n x="7"/>
        <n x="1337" s="1"/>
      </t>
    </mdx>
    <mdx n="33" f="v">
      <t c="4">
        <n x="497"/>
        <n x="1"/>
        <n x="32"/>
        <n x="1337" s="1"/>
      </t>
    </mdx>
    <mdx n="33" f="v">
      <t c="4">
        <n x="657"/>
        <n x="11"/>
        <n x="32"/>
        <n x="1337" s="1"/>
      </t>
    </mdx>
    <mdx n="33" f="v">
      <t c="4" si="10">
        <n x="498"/>
        <n x="1"/>
        <n x="32"/>
        <n x="1337" s="1"/>
      </t>
    </mdx>
    <mdx n="33" f="v">
      <t c="4">
        <n x="1229"/>
        <n x="11"/>
        <n x="32"/>
        <n x="1337" s="1"/>
      </t>
    </mdx>
    <mdx n="33" f="v">
      <t c="4">
        <n x="242"/>
        <n x="1"/>
        <n x="7"/>
        <n x="1337" s="1"/>
      </t>
    </mdx>
    <mdx n="33" f="v">
      <t c="6" si="9">
        <n x="15"/>
        <n x="1337" s="1"/>
        <n x="43"/>
        <n x="7"/>
        <n x="4"/>
        <n x="3"/>
      </t>
    </mdx>
    <mdx n="33" f="v">
      <t c="4">
        <n x="286"/>
        <n x="12"/>
        <n x="7"/>
        <n x="1337" s="1"/>
      </t>
    </mdx>
    <mdx n="33" f="v">
      <t c="4">
        <n x="217"/>
        <n x="12"/>
        <n x="7"/>
        <n x="1337" s="1"/>
      </t>
    </mdx>
    <mdx n="33" f="v">
      <t c="4" si="9">
        <n x="591"/>
        <n x="12"/>
        <n x="7"/>
        <n x="1337" s="1"/>
      </t>
    </mdx>
    <mdx n="33" f="v">
      <t c="4">
        <n x="220"/>
        <n x="12"/>
        <n x="7"/>
        <n x="1337" s="1"/>
      </t>
    </mdx>
    <mdx n="33" f="v">
      <t c="4" si="9">
        <n x="592"/>
        <n x="12"/>
        <n x="7"/>
        <n x="1337" s="1"/>
      </t>
    </mdx>
    <mdx n="33" f="v">
      <t c="4">
        <n x="93"/>
        <n x="0"/>
        <n x="32"/>
        <n x="1337" s="1"/>
      </t>
    </mdx>
    <mdx n="33" f="v">
      <t c="4">
        <n x="412"/>
        <n x="0"/>
        <n x="7"/>
        <n x="1337" s="1"/>
      </t>
    </mdx>
    <mdx n="33" f="v">
      <t c="4">
        <n x="77"/>
        <n x="1"/>
        <n x="7"/>
        <n x="1337" s="1"/>
      </t>
    </mdx>
    <mdx n="33" f="v">
      <t c="3" fi="0">
        <n x="580"/>
        <n x="1336"/>
        <n x="1337" s="1"/>
      </t>
    </mdx>
    <mdx n="33" f="v">
      <t c="4">
        <n x="695"/>
        <n x="12"/>
        <n x="7"/>
        <n x="1337" s="1"/>
      </t>
    </mdx>
    <mdx n="33" f="v">
      <t c="4">
        <n x="728"/>
        <n x="0"/>
        <n x="7"/>
        <n x="1337" s="1"/>
      </t>
    </mdx>
    <mdx n="33" f="v">
      <t c="4" si="10">
        <n x="827"/>
        <n x="12"/>
        <n x="32"/>
        <n x="1337" s="1"/>
      </t>
    </mdx>
    <mdx n="33" f="v">
      <t c="4">
        <n x="727"/>
        <n x="0"/>
        <n x="32"/>
        <n x="1337" s="1"/>
      </t>
    </mdx>
    <mdx n="33" f="v">
      <t c="4">
        <n x="95"/>
        <n x="12"/>
        <n x="7"/>
        <n x="1337" s="1"/>
      </t>
    </mdx>
    <mdx n="33" f="v">
      <t c="3">
        <n x="455"/>
        <n x="1336"/>
        <n x="1337" s="1"/>
      </t>
    </mdx>
    <mdx n="33" f="v">
      <t c="4">
        <n x="158"/>
        <n x="0"/>
        <n x="32"/>
        <n x="1337" s="1"/>
      </t>
    </mdx>
    <mdx n="33" f="v">
      <t c="3" fi="0">
        <n x="568"/>
        <n x="1336"/>
        <n x="1337" s="1"/>
      </t>
    </mdx>
    <mdx n="33" f="v">
      <t c="4">
        <n x="627"/>
        <n x="12"/>
        <n x="7"/>
        <n x="1337" s="1"/>
      </t>
    </mdx>
    <mdx n="33" f="v">
      <t c="4">
        <n x="659"/>
        <n x="12"/>
        <n x="7"/>
        <n x="1337" s="1"/>
      </t>
    </mdx>
    <mdx n="33" f="v">
      <t c="4">
        <n x="689"/>
        <n x="1"/>
        <n x="7"/>
        <n x="1337" s="1"/>
      </t>
    </mdx>
    <mdx n="33" f="v">
      <t c="3" fi="0">
        <n x="557"/>
        <n x="1336"/>
        <n x="1337" s="1"/>
      </t>
    </mdx>
    <mdx n="33" f="v">
      <t c="4">
        <n x="690"/>
        <n x="14"/>
        <n x="7"/>
        <n x="1337" s="1"/>
      </t>
    </mdx>
    <mdx n="33" f="v">
      <t c="4">
        <n x="722"/>
        <n x="14"/>
        <n x="7"/>
        <n x="1337" s="1"/>
      </t>
    </mdx>
    <mdx n="33" f="v">
      <t c="4" si="10">
        <n x="753"/>
        <n x="11"/>
        <n x="32"/>
        <n x="1337" s="1"/>
      </t>
    </mdx>
    <mdx n="33" f="v">
      <t c="4" si="10">
        <n x="791"/>
        <n x="12"/>
        <n x="32"/>
        <n x="1337" s="1"/>
      </t>
    </mdx>
    <mdx n="33" f="v">
      <t c="4" si="10">
        <n x="822"/>
        <n x="1"/>
        <n x="32"/>
        <n x="1337" s="1"/>
      </t>
    </mdx>
    <mdx n="33" f="v">
      <t c="3" fi="0">
        <n x="545"/>
        <n x="1336"/>
        <n x="1337" s="1"/>
      </t>
    </mdx>
    <mdx n="33" f="v">
      <t c="4">
        <n x="689"/>
        <n x="12"/>
        <n x="7"/>
        <n x="1337" s="1"/>
      </t>
    </mdx>
    <mdx n="33" f="v">
      <t c="4" si="10">
        <n x="721"/>
        <n x="14"/>
        <n x="32"/>
        <n x="1337" s="1"/>
      </t>
    </mdx>
    <mdx n="33" f="v">
      <t c="4">
        <n x="752"/>
        <n x="12"/>
        <n x="7"/>
        <n x="1337" s="1"/>
      </t>
    </mdx>
    <mdx n="33" f="v">
      <t c="4">
        <n x="790"/>
        <n x="12"/>
        <n x="7"/>
        <n x="1337" s="1"/>
      </t>
    </mdx>
    <mdx n="33" f="v">
      <t c="4">
        <n x="90"/>
        <n x="12"/>
        <n x="7"/>
        <n x="1337" s="1"/>
      </t>
    </mdx>
    <mdx n="33" f="v">
      <t c="4">
        <n x="349"/>
        <n x="1"/>
        <n x="32"/>
        <n x="1337" s="1"/>
      </t>
    </mdx>
    <mdx n="33" f="v">
      <t c="4">
        <n x="257"/>
        <n x="0"/>
        <n x="32"/>
        <n x="1337" s="1"/>
      </t>
    </mdx>
    <mdx n="33" f="v">
      <t c="4">
        <n x="275"/>
        <n x="11"/>
        <n x="32"/>
        <n x="1337" s="1"/>
      </t>
    </mdx>
    <mdx n="33" f="v">
      <t c="4" si="10">
        <n x="646"/>
        <n x="14"/>
        <n x="32"/>
        <n x="1337" s="1"/>
      </t>
    </mdx>
    <mdx n="33" f="v">
      <t c="3" fi="0">
        <n x="551"/>
        <n x="1336"/>
        <n x="1337" s="1"/>
      </t>
    </mdx>
    <mdx n="33" f="v">
      <t c="4">
        <n x="664"/>
        <n x="11"/>
        <n x="7"/>
        <n x="1337" s="1"/>
      </t>
    </mdx>
    <mdx n="33" f="v">
      <t c="4">
        <n x="274"/>
        <n x="11"/>
        <n x="32"/>
        <n x="1337" s="1"/>
      </t>
    </mdx>
    <mdx n="33" f="v">
      <t c="4" si="9">
        <n x="459"/>
        <n x="12"/>
        <n x="7"/>
        <n x="1337" s="1"/>
      </t>
    </mdx>
    <mdx n="33" f="v">
      <t c="4" si="10">
        <n x="511"/>
        <n x="1"/>
        <n x="32"/>
        <n x="1337" s="1"/>
      </t>
    </mdx>
    <mdx n="33" f="v">
      <t c="4">
        <n x="562"/>
        <n x="0"/>
        <n x="7"/>
        <n x="1337" s="1"/>
      </t>
    </mdx>
    <mdx n="33" f="v">
      <t c="4">
        <n x="614"/>
        <n x="0"/>
        <n x="32"/>
        <n x="1337" s="1"/>
      </t>
    </mdx>
    <mdx n="33" f="v">
      <t c="4">
        <n x="640"/>
        <n x="14"/>
        <n x="32"/>
        <n x="1337" s="1"/>
      </t>
    </mdx>
    <mdx n="33" f="v">
      <t c="4">
        <n x="663"/>
        <n x="11"/>
        <n x="7"/>
        <n x="1337" s="1"/>
      </t>
    </mdx>
    <mdx n="33" f="v">
      <t c="4">
        <n x="687"/>
        <n x="12"/>
        <n x="7"/>
        <n x="1337" s="1"/>
      </t>
    </mdx>
    <mdx n="33" f="v">
      <t c="4">
        <n x="471"/>
        <n x="1"/>
        <n x="7"/>
        <n x="1337" s="1"/>
      </t>
    </mdx>
    <mdx n="33" f="v">
      <t c="4">
        <n x="645"/>
        <n x="0"/>
        <n x="7"/>
        <n x="1337" s="1"/>
      </t>
    </mdx>
    <mdx n="33" f="v">
      <t c="4">
        <n x="697"/>
        <n x="12"/>
        <n x="7"/>
        <n x="1337" s="1"/>
      </t>
    </mdx>
    <mdx n="33" f="v">
      <t c="4">
        <n x="720"/>
        <n x="0"/>
        <n x="7"/>
        <n x="1337" s="1"/>
      </t>
    </mdx>
    <mdx n="33" f="v">
      <t c="4">
        <n x="743"/>
        <n x="1"/>
        <n x="7"/>
        <n x="1337" s="1"/>
      </t>
    </mdx>
    <mdx n="33" f="v">
      <t c="4" si="9">
        <n x="766"/>
        <n x="14"/>
        <n x="7"/>
        <n x="1337" s="1"/>
      </t>
    </mdx>
    <mdx n="33" f="v">
      <t c="4">
        <n x="796"/>
        <n x="11"/>
        <n x="32"/>
        <n x="1337" s="1"/>
      </t>
    </mdx>
    <mdx n="33" f="v">
      <t c="4">
        <n x="819"/>
        <n x="12"/>
        <n x="32"/>
        <n x="1337" s="1"/>
      </t>
    </mdx>
    <mdx n="33" f="v">
      <t c="4">
        <n x="457"/>
        <n x="12"/>
        <n x="7"/>
        <n x="1337" s="1"/>
      </t>
    </mdx>
    <mdx n="33" f="v">
      <t c="4">
        <n x="639"/>
        <n x="14"/>
        <n x="7"/>
        <n x="1337" s="1"/>
      </t>
    </mdx>
    <mdx n="33" f="v">
      <t c="4">
        <n x="695"/>
        <n x="0"/>
        <n x="7"/>
        <n x="1337" s="1"/>
      </t>
    </mdx>
    <mdx n="33" f="v">
      <t c="4">
        <n x="719"/>
        <n x="0"/>
        <n x="32"/>
        <n x="1337" s="1"/>
      </t>
    </mdx>
    <mdx n="33" f="v">
      <t c="4" si="10">
        <n x="742"/>
        <n x="1"/>
        <n x="32"/>
        <n x="1337" s="1"/>
      </t>
    </mdx>
    <mdx n="33" f="v">
      <t c="4" si="10">
        <n x="765"/>
        <n x="14"/>
        <n x="32"/>
        <n x="1337" s="1"/>
      </t>
    </mdx>
    <mdx n="33" f="v">
      <t c="4" si="9">
        <n x="795"/>
        <n x="12"/>
        <n x="7"/>
        <n x="1337" s="1"/>
      </t>
    </mdx>
    <mdx n="33" f="v">
      <t c="4">
        <n x="818"/>
        <n x="0"/>
        <n x="7"/>
        <n x="1337" s="1"/>
      </t>
    </mdx>
    <mdx n="33" f="v">
      <t c="4">
        <n x="462"/>
        <n x="1"/>
        <n x="32"/>
        <n x="1337" s="1"/>
      </t>
    </mdx>
    <mdx n="33" f="v">
      <t c="4" si="10">
        <n x="641"/>
        <n x="12"/>
        <n x="32"/>
        <n x="1337" s="1"/>
      </t>
    </mdx>
    <mdx n="33" f="v">
      <t c="4" si="10">
        <n x="696"/>
        <n x="0"/>
        <n x="32"/>
        <n x="1337" s="1"/>
      </t>
    </mdx>
    <mdx n="33" f="v">
      <t c="4">
        <n x="719"/>
        <n x="11"/>
        <n x="32"/>
        <n x="1337" s="1"/>
      </t>
    </mdx>
    <mdx n="33" f="v">
      <t c="3">
        <n x="437"/>
        <n x="1336"/>
        <n x="1337" s="1"/>
      </t>
    </mdx>
    <mdx n="33" f="v">
      <t c="4" si="10">
        <n x="657"/>
        <n x="14"/>
        <n x="32"/>
        <n x="1337" s="1"/>
      </t>
    </mdx>
    <mdx n="33" f="v">
      <t c="4">
        <n x="550"/>
        <n x="0"/>
        <n x="7"/>
        <n x="1337" s="1"/>
      </t>
    </mdx>
    <mdx n="33" f="v">
      <t c="4">
        <n x="681"/>
        <n x="1"/>
        <n x="7"/>
        <n x="1337" s="1"/>
      </t>
    </mdx>
    <mdx n="33" f="v">
      <t c="4">
        <n x="714"/>
        <n x="14"/>
        <n x="7"/>
        <n x="1337" s="1"/>
      </t>
    </mdx>
    <mdx n="33" f="v">
      <t c="4" si="10">
        <n x="814"/>
        <n x="1"/>
        <n x="32"/>
        <n x="1337" s="1"/>
      </t>
    </mdx>
    <mdx n="33" f="v">
      <t c="4">
        <n x="713"/>
        <n x="14"/>
        <n x="32"/>
        <n x="1337" s="1"/>
      </t>
    </mdx>
    <mdx n="33" f="v">
      <t c="4">
        <n x="812"/>
        <n x="14"/>
        <n x="7"/>
        <n x="1337" s="1"/>
      </t>
    </mdx>
    <mdx n="33" f="v">
      <t c="4">
        <n x="507"/>
        <n x="0"/>
        <n x="7"/>
        <n x="1337" s="1"/>
      </t>
    </mdx>
    <mdx n="33" f="v">
      <t c="4" si="9">
        <n x="680"/>
        <n x="1"/>
        <n x="7"/>
        <n x="1337" s="1"/>
      </t>
    </mdx>
    <mdx n="33" f="v">
      <t c="4">
        <n x="716"/>
        <n x="14"/>
        <n x="7"/>
        <n x="1337" s="1"/>
      </t>
    </mdx>
    <mdx n="33" f="v">
      <t c="4">
        <n x="740"/>
        <n x="14"/>
        <n x="7"/>
        <n x="1337" s="1"/>
      </t>
    </mdx>
    <mdx n="33" f="v">
      <t c="3">
        <n x="764"/>
        <n x="1336"/>
        <n x="1337" s="1"/>
      </t>
    </mdx>
    <mdx n="33" f="v">
      <t c="4" si="10">
        <n x="793"/>
        <n x="12"/>
        <n x="32"/>
        <n x="1337" s="1"/>
      </t>
    </mdx>
    <mdx n="33" f="v">
      <t c="4">
        <n x="817"/>
        <n x="0"/>
        <n x="32"/>
        <n x="1337" s="1"/>
      </t>
    </mdx>
    <mdx n="33" f="v">
      <t c="4" si="10">
        <n x="840"/>
        <n x="1"/>
        <n x="32"/>
        <n x="1337" s="1"/>
      </t>
    </mdx>
    <mdx n="33" f="v">
      <t c="4">
        <n x="670"/>
        <n x="1"/>
        <n x="7"/>
        <n x="1337" s="1"/>
      </t>
    </mdx>
    <mdx n="33" f="v">
      <t c="4">
        <n x="775"/>
        <n x="14"/>
        <n x="7"/>
        <n x="1337" s="1"/>
      </t>
    </mdx>
    <mdx n="33" f="v">
      <t c="4">
        <n x="844"/>
        <n x="0"/>
        <n x="7"/>
        <n x="1337" s="1"/>
      </t>
    </mdx>
    <mdx n="33" f="v">
      <t c="4" si="10">
        <n x="869"/>
        <n x="12"/>
        <n x="32"/>
        <n x="1337" s="1"/>
      </t>
    </mdx>
    <mdx n="33" f="v">
      <t c="4">
        <n x="893"/>
        <n x="0"/>
        <n x="32"/>
        <n x="1337" s="1"/>
      </t>
    </mdx>
    <mdx n="33" f="v">
      <t c="4" si="10">
        <n x="916"/>
        <n x="1"/>
        <n x="32"/>
        <n x="1337" s="1"/>
      </t>
    </mdx>
    <mdx n="33" f="v">
      <t c="4" si="10">
        <n x="939"/>
        <n x="14"/>
        <n x="32"/>
        <n x="1337" s="1"/>
      </t>
    </mdx>
    <mdx n="33" f="v">
      <t c="4">
        <n x="980"/>
        <n x="12"/>
        <n x="7"/>
        <n x="1337" s="1"/>
      </t>
    </mdx>
    <mdx n="33" f="v">
      <t c="3">
        <n x="1031"/>
        <n x="1336"/>
        <n x="1337" s="1"/>
      </t>
    </mdx>
    <mdx n="33" f="v">
      <t c="4">
        <n x="1082"/>
        <n x="1"/>
        <n x="32"/>
        <n x="1337" s="1"/>
      </t>
    </mdx>
    <mdx n="33" f="v">
      <t c="4">
        <n x="1148"/>
        <n x="12"/>
        <n x="7"/>
        <n x="1337" s="1"/>
      </t>
    </mdx>
    <mdx n="33" f="v">
      <t c="4">
        <n x="1276"/>
        <n x="12"/>
        <n x="7"/>
        <n x="1337" s="1"/>
      </t>
    </mdx>
    <mdx n="33" f="v">
      <t c="4">
        <n x="995"/>
        <n x="14"/>
        <n x="7"/>
        <n x="1337" s="1"/>
      </t>
    </mdx>
    <mdx n="33" f="v">
      <t c="4">
        <n x="443"/>
        <n x="14"/>
        <n x="7"/>
        <n x="1337" s="1"/>
      </t>
    </mdx>
    <mdx n="33" f="v">
      <t c="4">
        <n x="157"/>
        <n x="14"/>
        <n x="7"/>
        <n x="1337" s="1"/>
      </t>
    </mdx>
    <mdx n="33" f="v">
      <t c="4" si="10">
        <n x="662"/>
        <n x="11"/>
        <n x="32"/>
        <n x="1337" s="1"/>
      </t>
    </mdx>
    <mdx n="33" f="v">
      <t c="4">
        <n x="450"/>
        <n x="12"/>
        <n x="7"/>
        <n x="1337" s="1"/>
      </t>
    </mdx>
    <mdx n="33" f="v">
      <t c="4">
        <n x="659"/>
        <n x="0"/>
        <n x="7"/>
        <n x="1337" s="1"/>
      </t>
    </mdx>
    <mdx n="33" f="v">
      <t c="4" si="10">
        <n x="554"/>
        <n x="0"/>
        <n x="32"/>
        <n x="1337" s="1"/>
      </t>
    </mdx>
    <mdx n="33" f="v">
      <t c="4" si="9">
        <n x="683"/>
        <n x="12"/>
        <n x="7"/>
        <n x="1337" s="1"/>
      </t>
    </mdx>
    <mdx n="33" f="v">
      <t c="4">
        <n x="716"/>
        <n x="0"/>
        <n x="7"/>
        <n x="1337" s="1"/>
      </t>
    </mdx>
    <mdx n="33" f="v">
      <t c="4" si="10">
        <n x="815"/>
        <n x="12"/>
        <n x="32"/>
        <n x="1337" s="1"/>
      </t>
    </mdx>
    <mdx n="33" f="v">
      <t c="4" si="10">
        <n x="715"/>
        <n x="0"/>
        <n x="32"/>
        <n x="1337" s="1"/>
      </t>
    </mdx>
    <mdx n="33" f="v">
      <t c="4">
        <n x="814"/>
        <n x="0"/>
        <n x="7"/>
        <n x="1337" s="1"/>
      </t>
    </mdx>
    <mdx n="33" f="v">
      <t c="4" si="10">
        <n x="511"/>
        <n x="0"/>
        <n x="32"/>
        <n x="1337" s="1"/>
      </t>
    </mdx>
    <mdx n="33" f="v">
      <t c="4">
        <n x="682"/>
        <n x="12"/>
        <n x="7"/>
        <n x="1337" s="1"/>
      </t>
    </mdx>
    <mdx n="33" f="v">
      <t c="4" si="10">
        <n x="717"/>
        <n x="1"/>
        <n x="32"/>
        <n x="1337" s="1"/>
      </t>
    </mdx>
    <mdx n="33" f="v">
      <t c="4">
        <n x="741"/>
        <n x="1"/>
        <n x="32"/>
        <n x="1337" s="1"/>
      </t>
    </mdx>
    <mdx n="33" f="v">
      <t c="4" si="10">
        <n x="764"/>
        <n x="14"/>
        <n x="32"/>
        <n x="1337" s="1"/>
      </t>
    </mdx>
    <mdx n="33" f="v">
      <t c="4">
        <n x="794"/>
        <n x="12"/>
        <n x="7"/>
        <n x="1337" s="1"/>
      </t>
    </mdx>
    <mdx n="33" f="v">
      <t c="6">
        <n x="15"/>
        <n x="1337" s="1"/>
        <n x="39"/>
        <n x="32"/>
        <n x="22"/>
        <n x="3"/>
      </t>
    </mdx>
    <mdx n="33" f="v">
      <t c="6" si="10">
        <n x="15"/>
        <n x="1337" s="1"/>
        <n x="38"/>
        <n x="32"/>
        <n x="6"/>
        <n x="3"/>
      </t>
    </mdx>
    <mdx n="33" f="v">
      <t c="3">
        <n x="219"/>
        <n x="1336"/>
        <n x="1337" s="1"/>
      </t>
    </mdx>
    <mdx n="33" f="v">
      <t c="4">
        <n x="214"/>
        <n x="12"/>
        <n x="7"/>
        <n x="1337" s="1"/>
      </t>
    </mdx>
    <mdx n="33" f="v">
      <t c="3">
        <n x="218"/>
        <n x="1336"/>
        <n x="1337" s="1"/>
      </t>
    </mdx>
    <mdx n="33" f="v">
      <t c="4">
        <n x="254"/>
        <n x="1"/>
        <n x="7"/>
        <n x="1337" s="1"/>
      </t>
    </mdx>
    <mdx n="33" f="v">
      <t c="4" si="10">
        <n x="605"/>
        <n x="1"/>
        <n x="32"/>
        <n x="1337" s="1"/>
      </t>
    </mdx>
    <mdx n="33" f="v">
      <t c="4">
        <n x="260"/>
        <n x="1"/>
        <n x="7"/>
        <n x="1337" s="1"/>
      </t>
    </mdx>
    <mdx n="33" f="v">
      <t c="4">
        <n x="205"/>
        <n x="0"/>
        <n x="32"/>
        <n x="1337" s="1"/>
      </t>
    </mdx>
    <mdx n="33" f="v">
      <t c="4">
        <n x="455"/>
        <n x="0"/>
        <n x="32"/>
        <n x="1337" s="1"/>
      </t>
    </mdx>
    <mdx n="33" f="v">
      <t c="4" si="10">
        <n x="561"/>
        <n x="1"/>
        <n x="32"/>
        <n x="1337" s="1"/>
      </t>
    </mdx>
    <mdx n="33" f="v">
      <t c="6" si="10">
        <n x="15"/>
        <n x="1337" s="1"/>
        <n x="42"/>
        <n x="32"/>
        <n x="20"/>
        <n x="3"/>
      </t>
    </mdx>
    <mdx n="33" f="v">
      <t c="4" si="10">
        <n x="562"/>
        <n x="1"/>
        <n x="32"/>
        <n x="1337" s="1"/>
      </t>
    </mdx>
    <mdx n="33" f="v">
      <t c="6" si="9">
        <n x="15"/>
        <n x="1337" s="1"/>
        <n x="35"/>
        <n x="7"/>
        <n x="18"/>
        <n x="12"/>
      </t>
    </mdx>
    <mdx n="33" f="v">
      <t c="3">
        <n x="318"/>
        <n x="1336"/>
        <n x="1337" s="1"/>
      </t>
    </mdx>
    <mdx n="33" f="v">
      <t c="4">
        <n x="180"/>
        <n x="12"/>
        <n x="7"/>
        <n x="1337" s="1"/>
      </t>
    </mdx>
    <mdx n="33" f="v">
      <t c="4">
        <n x="361"/>
        <n x="0"/>
        <n x="32"/>
        <n x="1337" s="1"/>
      </t>
    </mdx>
    <mdx n="33" f="v">
      <t c="4">
        <n x="445"/>
        <n x="0"/>
        <n x="7"/>
        <n x="1337" s="1"/>
      </t>
    </mdx>
    <mdx n="33" f="v">
      <t c="4">
        <n x="636"/>
        <n x="0"/>
        <n x="32"/>
        <n x="1337" s="1"/>
      </t>
    </mdx>
    <mdx n="33" f="v">
      <t c="4">
        <n x="447"/>
        <n x="12"/>
        <n x="7"/>
        <n x="1337" s="1"/>
      </t>
    </mdx>
    <mdx n="33" f="v">
      <t c="4">
        <n x="636"/>
        <n x="11"/>
        <n x="32"/>
        <n x="1337" s="1"/>
      </t>
    </mdx>
    <mdx n="33" f="v">
      <t c="4">
        <n x="375"/>
        <n x="12"/>
        <n x="7"/>
        <n x="1337" s="1"/>
      </t>
    </mdx>
    <mdx n="33" f="v">
      <t c="4" si="10">
        <n x="655"/>
        <n x="1"/>
        <n x="32"/>
        <n x="1337" s="1"/>
      </t>
    </mdx>
    <mdx n="33" f="v">
      <t c="4">
        <n x="404"/>
        <n x="0"/>
        <n x="7"/>
        <n x="1337" s="1"/>
      </t>
    </mdx>
    <mdx n="33" f="v">
      <t c="4">
        <n x="631"/>
        <n x="12"/>
        <n x="7"/>
        <n x="1337" s="1"/>
      </t>
    </mdx>
    <mdx n="33" f="v">
      <t c="4" si="10">
        <n x="592"/>
        <n x="1"/>
        <n x="32"/>
        <n x="1337" s="1"/>
      </t>
    </mdx>
    <mdx n="33" f="v">
      <t c="4" si="10">
        <n x="757"/>
        <n x="11"/>
        <n x="32"/>
        <n x="1337" s="1"/>
      </t>
    </mdx>
    <mdx n="33" f="v">
      <t c="4" si="10">
        <n x="580"/>
        <n x="1"/>
        <n x="32"/>
        <n x="1337" s="1"/>
      </t>
    </mdx>
    <mdx n="33" f="v">
      <t c="4" si="9">
        <n x="756"/>
        <n x="12"/>
        <n x="7"/>
        <n x="1337" s="1"/>
      </t>
    </mdx>
    <mdx n="33" f="v">
      <t c="4">
        <n x="394"/>
        <n x="0"/>
        <n x="7"/>
        <n x="1337" s="1"/>
      </t>
    </mdx>
    <mdx n="33" f="v">
      <t c="4" si="10">
        <n x="662"/>
        <n x="14"/>
        <n x="32"/>
        <n x="1337" s="1"/>
      </t>
    </mdx>
    <mdx n="33" f="v">
      <t c="4">
        <n x="420"/>
        <n x="0"/>
        <n x="7"/>
        <n x="1337" s="1"/>
      </t>
    </mdx>
    <mdx n="33" f="v">
      <t c="4" si="9">
        <n x="590"/>
        <n x="0"/>
        <n x="7"/>
        <n x="1337" s="1"/>
      </t>
    </mdx>
    <mdx n="33" f="v">
      <t c="4" si="10">
        <n x="637"/>
        <n x="1"/>
        <n x="32"/>
        <n x="1337" s="1"/>
      </t>
    </mdx>
    <mdx n="33" f="v">
      <t c="4">
        <n x="667"/>
        <n x="11"/>
        <n x="7"/>
        <n x="1337" s="1"/>
      </t>
    </mdx>
    <mdx n="33" f="v">
      <t c="3">
        <n x="184"/>
        <n x="1336"/>
        <n x="1337" s="1"/>
      </t>
    </mdx>
    <mdx n="33" f="v">
      <t c="4">
        <n x="632"/>
        <n x="1"/>
        <n x="32"/>
        <n x="1337" s="1"/>
      </t>
    </mdx>
    <mdx n="33" f="v">
      <t c="4">
        <n x="701"/>
        <n x="12"/>
        <n x="7"/>
        <n x="1337" s="1"/>
      </t>
    </mdx>
    <mdx n="33" f="v">
      <t c="4">
        <n x="733"/>
        <n x="12"/>
        <n x="7"/>
        <n x="1337" s="1"/>
      </t>
    </mdx>
    <mdx n="33" f="v">
      <t c="4" si="9">
        <n x="763"/>
        <n x="1"/>
        <n x="7"/>
        <n x="1337" s="1"/>
      </t>
    </mdx>
    <mdx n="33" f="v">
      <t c="4">
        <n x="800"/>
        <n x="11"/>
        <n x="32"/>
        <n x="1337" s="1"/>
      </t>
    </mdx>
    <mdx n="33" f="v">
      <t c="4">
        <n x="79"/>
        <n x="11"/>
        <n x="32"/>
        <n x="1337" s="1"/>
      </t>
    </mdx>
    <mdx n="33" f="v">
      <t c="4">
        <n x="626"/>
        <n x="11"/>
        <n x="7"/>
        <n x="1337" s="1"/>
      </t>
    </mdx>
    <mdx n="33" f="v">
      <t c="4">
        <n x="699"/>
        <n x="12"/>
        <n x="32"/>
        <n x="1337" s="1"/>
      </t>
    </mdx>
    <mdx n="33" f="v">
      <t c="4">
        <n x="731"/>
        <n x="12"/>
        <n x="32"/>
        <n x="1337" s="1"/>
      </t>
    </mdx>
    <mdx n="33" f="v">
      <t c="4">
        <n x="762"/>
        <n x="1"/>
        <n x="32"/>
        <n x="1337" s="1"/>
      </t>
    </mdx>
    <mdx n="33" f="v">
      <t c="4">
        <n x="799"/>
        <n x="12"/>
        <n x="7"/>
        <n x="1337" s="1"/>
      </t>
    </mdx>
    <mdx n="33" f="v">
      <t c="4">
        <n x="276"/>
        <n x="14"/>
        <n x="32"/>
        <n x="1337" s="1"/>
      </t>
    </mdx>
    <mdx n="33" f="v">
      <t c="6" si="10">
        <n x="15"/>
        <n x="1337" s="1"/>
        <n x="46"/>
        <n x="32"/>
        <n x="23"/>
        <n x="12"/>
      </t>
    </mdx>
    <mdx n="33" f="v">
      <t c="4">
        <n x="333"/>
        <n x="0"/>
        <n x="32"/>
        <n x="1337" s="1"/>
      </t>
    </mdx>
    <mdx n="33" f="v">
      <t c="4" si="9">
        <n x="499"/>
        <n x="12"/>
        <n x="7"/>
        <n x="1337" s="1"/>
      </t>
    </mdx>
    <mdx n="33" f="v">
      <t c="6" si="10">
        <n x="15"/>
        <n x="1337" s="1"/>
        <n x="36"/>
        <n x="32"/>
        <n x="4"/>
        <n x="1"/>
      </t>
    </mdx>
    <mdx n="33" f="v">
      <t c="4" si="10">
        <n x="623"/>
        <n x="12"/>
        <n x="32"/>
        <n x="1337" s="1"/>
      </t>
    </mdx>
    <mdx n="33" f="v">
      <t c="4">
        <n x="65"/>
        <n x="0"/>
        <n x="32"/>
        <n x="1337" s="1"/>
      </t>
    </mdx>
    <mdx n="33" f="v">
      <t c="3">
        <n x="348"/>
        <n x="1336"/>
        <n x="1337" s="1"/>
      </t>
    </mdx>
    <mdx n="33" f="v">
      <t c="3">
        <n x="476"/>
        <n x="1336"/>
        <n x="1337" s="1"/>
      </t>
    </mdx>
    <mdx n="33" f="v">
      <t c="4" si="10">
        <n x="527"/>
        <n x="1"/>
        <n x="32"/>
        <n x="1337" s="1"/>
      </t>
    </mdx>
    <mdx n="33" f="v">
      <t c="4" si="9">
        <n x="578"/>
        <n x="0"/>
        <n x="7"/>
        <n x="1337" s="1"/>
      </t>
    </mdx>
    <mdx n="33" f="v">
      <t c="4" si="10">
        <n x="624"/>
        <n x="14"/>
        <n x="32"/>
        <n x="1337" s="1"/>
      </t>
    </mdx>
    <mdx n="33" f="v">
      <t c="4">
        <n x="647"/>
        <n x="11"/>
        <n x="7"/>
        <n x="1337" s="1"/>
      </t>
    </mdx>
    <mdx n="33" f="v">
      <t c="4">
        <n x="671"/>
        <n x="12"/>
        <n x="7"/>
        <n x="1337" s="1"/>
      </t>
    </mdx>
    <mdx n="33" f="v">
      <t c="4" si="9">
        <n x="694"/>
        <n x="0"/>
        <n x="7"/>
        <n x="1337" s="1"/>
      </t>
    </mdx>
    <mdx n="33" f="v">
      <t c="4" si="10">
        <n x="535"/>
        <n x="0"/>
        <n x="32"/>
        <n x="1337" s="1"/>
      </t>
    </mdx>
    <mdx n="33" f="v">
      <t c="4" si="10">
        <n x="671"/>
        <n x="14"/>
        <n x="32"/>
        <n x="1337" s="1"/>
      </t>
    </mdx>
    <mdx n="33" f="v">
      <t c="4">
        <n x="704"/>
        <n x="0"/>
        <n x="7"/>
        <n x="1337" s="1"/>
      </t>
    </mdx>
    <mdx n="33" f="v">
      <t c="4">
        <n x="727"/>
        <n x="1"/>
        <n x="7"/>
        <n x="1337" s="1"/>
      </t>
    </mdx>
    <mdx n="33" f="v">
      <t c="4">
        <n x="750"/>
        <n x="14"/>
        <n x="7"/>
        <n x="1337" s="1"/>
      </t>
    </mdx>
    <mdx n="33" f="v">
      <t c="4">
        <n x="776"/>
        <n x="1"/>
        <n x="7"/>
        <n x="1337" s="1"/>
      </t>
    </mdx>
    <mdx n="33" f="v">
      <t c="4">
        <n x="803"/>
        <n x="12"/>
        <n x="32"/>
        <n x="1337" s="1"/>
      </t>
    </mdx>
    <mdx n="33" f="v">
      <t c="4">
        <n x="827"/>
        <n x="0"/>
        <n x="32"/>
        <n x="1337" s="1"/>
      </t>
    </mdx>
    <mdx n="33" f="v">
      <t c="4">
        <n x="523"/>
        <n x="0"/>
        <n x="32"/>
        <n x="1337" s="1"/>
      </t>
    </mdx>
    <mdx n="33" f="v">
      <t c="4" si="9">
        <n x="668"/>
        <n x="11"/>
        <n x="7"/>
        <n x="1337" s="1"/>
      </t>
    </mdx>
    <mdx n="33" f="v">
      <t c="4" si="10">
        <n x="703"/>
        <n x="0"/>
        <n x="32"/>
        <n x="1337" s="1"/>
      </t>
    </mdx>
    <mdx n="33" f="v">
      <t c="4">
        <n x="726"/>
        <n x="1"/>
        <n x="32"/>
        <n x="1337" s="1"/>
      </t>
    </mdx>
    <mdx n="33" f="v">
      <t c="4">
        <n x="502"/>
        <n x="0"/>
        <n x="32"/>
        <n x="1337" s="1"/>
      </t>
    </mdx>
    <mdx n="33" f="v">
      <t c="4" si="10">
        <n x="566"/>
        <n x="0"/>
        <n x="32"/>
        <n x="1337" s="1"/>
      </t>
    </mdx>
    <mdx n="33" f="v">
      <t c="4">
        <n x="630"/>
        <n x="0"/>
        <n x="7"/>
        <n x="1337" s="1"/>
      </t>
    </mdx>
    <mdx n="33" f="v">
      <t c="4">
        <n x="659"/>
        <n x="11"/>
        <n x="32"/>
        <n x="1337" s="1"/>
      </t>
    </mdx>
    <mdx n="33" f="v">
      <t c="4" si="10">
        <n x="688"/>
        <n x="14"/>
        <n x="32"/>
        <n x="1337" s="1"/>
      </t>
    </mdx>
    <mdx n="33" f="v">
      <t c="4">
        <n x="586"/>
        <n x="12"/>
        <n x="7"/>
        <n x="1337" s="1"/>
      </t>
    </mdx>
    <mdx n="33" f="v">
      <t c="4">
        <n x="691"/>
        <n x="0"/>
        <n x="7"/>
        <n x="1337" s="1"/>
      </t>
    </mdx>
    <mdx n="33" f="v">
      <t c="4">
        <n x="721"/>
        <n x="11"/>
        <n x="7"/>
        <n x="1337" s="1"/>
      </t>
    </mdx>
    <mdx n="33" f="v">
      <t c="4" si="10">
        <n x="756"/>
        <n x="12"/>
        <n x="32"/>
        <n x="1337" s="1"/>
      </t>
    </mdx>
    <mdx n="33" f="v">
      <t c="4" si="9">
        <n x="792"/>
        <n x="12"/>
        <n x="7"/>
        <n x="1337" s="1"/>
      </t>
    </mdx>
    <mdx n="33" f="v">
      <t c="3">
        <n x="821"/>
        <n x="1336"/>
        <n x="1337" s="1"/>
      </t>
    </mdx>
    <mdx n="33" f="v">
      <t c="4" si="9">
        <n x="574"/>
        <n x="12"/>
        <n x="7"/>
        <n x="1337" s="1"/>
      </t>
    </mdx>
    <mdx n="33" f="v">
      <t c="4" si="10">
        <n x="689"/>
        <n x="14"/>
        <n x="32"/>
        <n x="1337" s="1"/>
      </t>
    </mdx>
    <mdx n="33" f="v">
      <t c="4">
        <n x="720"/>
        <n x="11"/>
        <n x="32"/>
        <n x="1337" s="1"/>
      </t>
    </mdx>
    <mdx n="33" f="v">
      <t c="4" si="10">
        <n x="749"/>
        <n x="14"/>
        <n x="32"/>
        <n x="1337" s="1"/>
      </t>
    </mdx>
    <mdx n="33" f="v">
      <t c="4" si="10">
        <n x="774"/>
        <n x="12"/>
        <n x="32"/>
        <n x="1337" s="1"/>
      </t>
    </mdx>
    <mdx n="33" f="v">
      <t c="4" si="9">
        <n x="802"/>
        <n x="0"/>
        <n x="7"/>
        <n x="1337" s="1"/>
      </t>
    </mdx>
    <mdx n="33" f="v">
      <t c="4">
        <n x="825"/>
        <n x="1"/>
        <n x="7"/>
        <n x="1337" s="1"/>
      </t>
    </mdx>
    <mdx n="33" f="v">
      <t c="4" si="10">
        <n x="527"/>
        <n x="0"/>
        <n x="32"/>
        <n x="1337" s="1"/>
      </t>
    </mdx>
    <mdx n="33" f="v">
      <t c="4" si="10">
        <n x="669"/>
        <n x="12"/>
        <n x="32"/>
        <n x="1337" s="1"/>
      </t>
    </mdx>
    <mdx n="33" f="v">
      <t c="4">
        <n x="703"/>
        <n x="11"/>
        <n x="32"/>
        <n x="1337" s="1"/>
      </t>
    </mdx>
    <mdx n="33" f="v">
      <t c="4">
        <n x="231"/>
        <n x="1"/>
        <n x="7"/>
        <n x="1337" s="1"/>
      </t>
    </mdx>
    <mdx n="33" f="v">
      <t c="4">
        <n x="579"/>
        <n x="12"/>
        <n x="7"/>
        <n x="1337" s="1"/>
      </t>
    </mdx>
    <mdx n="33" f="v">
      <t c="4">
        <n x="276"/>
        <n x="11"/>
        <n x="32"/>
        <n x="1337" s="1"/>
      </t>
    </mdx>
    <mdx n="33" f="v">
      <t c="4">
        <n x="614"/>
        <n x="0"/>
        <n x="7"/>
        <n x="1337" s="1"/>
      </t>
    </mdx>
    <mdx n="33" f="v">
      <t c="4" si="9">
        <n x="474"/>
        <n x="12"/>
        <n x="7"/>
        <n x="1337" s="1"/>
      </t>
    </mdx>
    <mdx n="33" f="v">
      <t c="4" si="10">
        <n x="744"/>
        <n x="0"/>
        <n x="32"/>
        <n x="1337" s="1"/>
      </t>
    </mdx>
    <mdx n="33" f="v">
      <t c="4">
        <n x="461"/>
        <n x="1"/>
        <n x="32"/>
        <n x="1337" s="1"/>
      </t>
    </mdx>
    <mdx n="33" f="v">
      <t c="4">
        <n x="742"/>
        <n x="1"/>
        <n x="7"/>
        <n x="1337" s="1"/>
      </t>
    </mdx>
    <mdx n="33" f="v">
      <t c="4">
        <n x="825"/>
        <n x="1"/>
        <n x="32"/>
        <n x="1337" s="1"/>
      </t>
    </mdx>
    <mdx n="33" f="v">
      <t c="4">
        <n x="594"/>
        <n x="12"/>
        <n x="7"/>
        <n x="1337" s="1"/>
      </t>
    </mdx>
    <mdx n="33" f="v">
      <t c="4" si="10">
        <n x="695"/>
        <n x="0"/>
        <n x="32"/>
        <n x="1337" s="1"/>
      </t>
    </mdx>
    <mdx n="33" f="v">
      <t c="4">
        <n x="724"/>
        <n x="14"/>
        <n x="7"/>
        <n x="1337" s="1"/>
      </t>
    </mdx>
    <mdx n="33" f="v">
      <t c="3">
        <n x="748"/>
        <n x="1336"/>
        <n x="1337" s="1"/>
      </t>
    </mdx>
    <mdx n="33" f="v">
      <t c="4">
        <n x="772"/>
        <n x="11"/>
        <n x="7"/>
        <n x="1337" s="1"/>
      </t>
    </mdx>
    <mdx n="33" f="v">
      <t c="4" si="10">
        <n x="801"/>
        <n x="0"/>
        <n x="32"/>
        <n x="1337" s="1"/>
      </t>
    </mdx>
    <mdx n="33" f="v">
      <t c="4">
        <n x="824"/>
        <n x="1"/>
        <n x="32"/>
        <n x="1337" s="1"/>
      </t>
    </mdx>
    <mdx n="33" f="v">
      <t c="4" si="10">
        <n x="847"/>
        <n x="14"/>
        <n x="32"/>
        <n x="1337" s="1"/>
      </t>
    </mdx>
    <mdx n="33" f="v">
      <t c="4" si="10">
        <n x="709"/>
        <n x="12"/>
        <n x="32"/>
        <n x="1337" s="1"/>
      </t>
    </mdx>
    <mdx n="33" f="v">
      <t c="4">
        <n x="809"/>
        <n x="12"/>
        <n x="7"/>
        <n x="1337" s="1"/>
      </t>
    </mdx>
    <mdx n="33" f="v">
      <t c="4">
        <n x="853"/>
        <n x="12"/>
        <n x="32"/>
        <n x="1337" s="1"/>
      </t>
    </mdx>
    <mdx n="33" f="v">
      <t c="4" si="10">
        <n x="877"/>
        <n x="0"/>
        <n x="32"/>
        <n x="1337" s="1"/>
      </t>
    </mdx>
    <mdx n="33" f="v">
      <t c="4">
        <n x="900"/>
        <n x="1"/>
        <n x="32"/>
        <n x="1337" s="1"/>
      </t>
    </mdx>
    <mdx n="33" f="v">
      <t c="4" si="10">
        <n x="923"/>
        <n x="14"/>
        <n x="32"/>
        <n x="1337" s="1"/>
      </t>
    </mdx>
    <mdx n="33" f="v">
      <t c="4">
        <n x="949"/>
        <n x="11"/>
        <n x="32"/>
        <n x="1337" s="1"/>
      </t>
    </mdx>
    <mdx n="33" f="v">
      <t c="4">
        <n x="996"/>
        <n x="12"/>
        <n x="7"/>
        <n x="1337" s="1"/>
      </t>
    </mdx>
    <mdx n="33" f="v">
      <t c="3">
        <n x="1047"/>
        <n x="1336"/>
        <n x="1337" s="1"/>
      </t>
    </mdx>
    <mdx n="33" f="v">
      <t c="4">
        <n x="1098"/>
        <n x="1"/>
        <n x="32"/>
        <n x="1337" s="1"/>
      </t>
    </mdx>
    <mdx n="33" f="v">
      <t c="4">
        <n x="1188"/>
        <n x="12"/>
        <n x="7"/>
        <n x="1337" s="1"/>
      </t>
    </mdx>
    <mdx n="33" f="v">
      <t c="4">
        <n x="1316"/>
        <n x="12"/>
        <n x="7"/>
        <n x="1337" s="1"/>
      </t>
    </mdx>
    <mdx n="33" f="v">
      <t c="4">
        <n x="599"/>
        <n x="14"/>
        <n x="7"/>
        <n x="1337" s="1"/>
      </t>
    </mdx>
    <mdx n="33" f="v">
      <t c="4">
        <n x="320"/>
        <n x="14"/>
        <n x="7"/>
        <n x="1337" s="1"/>
      </t>
    </mdx>
    <mdx n="33" f="v">
      <t c="4">
        <n x="102"/>
        <n x="14"/>
        <n x="7"/>
        <n x="1337" s="1"/>
      </t>
    </mdx>
    <mdx n="33" f="v">
      <t c="4">
        <n x="243"/>
        <n x="1"/>
        <n x="32"/>
        <n x="1337" s="1"/>
      </t>
    </mdx>
    <mdx n="33" f="v">
      <t c="4" si="10">
        <n x="592"/>
        <n x="0"/>
        <n x="32"/>
        <n x="1337" s="1"/>
      </t>
    </mdx>
    <mdx n="33" f="v">
      <t c="4">
        <n x="295"/>
        <n x="0"/>
        <n x="32"/>
        <n x="1337" s="1"/>
      </t>
    </mdx>
    <mdx n="33" f="v">
      <t c="4" si="10">
        <n x="618"/>
        <n x="0"/>
        <n x="32"/>
        <n x="1337" s="1"/>
      </t>
    </mdx>
    <mdx n="33" f="v">
      <t c="4" si="10">
        <n x="487"/>
        <n x="0"/>
        <n x="32"/>
        <n x="1337" s="1"/>
      </t>
    </mdx>
    <mdx n="33" f="v">
      <t c="4">
        <n x="745"/>
        <n x="11"/>
        <n x="32"/>
        <n x="1337" s="1"/>
      </t>
    </mdx>
    <mdx n="33" f="v">
      <t c="4" si="10">
        <n x="475"/>
        <n x="0"/>
        <n x="32"/>
        <n x="1337" s="1"/>
      </t>
    </mdx>
    <mdx n="33" f="v">
      <t c="4">
        <n x="744"/>
        <n x="12"/>
        <n x="7"/>
        <n x="1337" s="1"/>
      </t>
    </mdx>
    <mdx n="33" f="v">
      <t c="4" si="10">
        <n x="826"/>
        <n x="0"/>
        <n x="32"/>
        <n x="1337" s="1"/>
      </t>
    </mdx>
    <mdx n="33" f="v">
      <t c="3" fi="0">
        <n x="597"/>
        <n x="1336"/>
        <n x="1337" s="1"/>
      </t>
    </mdx>
    <mdx n="33" f="v">
      <t c="4" si="10">
        <n x="695"/>
        <n x="14"/>
        <n x="32"/>
        <n x="1337" s="1"/>
      </t>
    </mdx>
    <mdx n="33" f="v">
      <t c="4">
        <n x="725"/>
        <n x="1"/>
        <n x="32"/>
        <n x="1337" s="1"/>
      </t>
    </mdx>
    <mdx n="33" f="v">
      <t c="4" si="10">
        <n x="748"/>
        <n x="14"/>
        <n x="32"/>
        <n x="1337" s="1"/>
      </t>
    </mdx>
    <mdx n="33" f="v">
      <t c="4" si="10">
        <n x="773"/>
        <n x="11"/>
        <n x="32"/>
        <n x="1337" s="1"/>
      </t>
    </mdx>
    <mdx n="33" f="v">
      <t c="4">
        <n x="801"/>
        <n x="0"/>
        <n x="7"/>
        <n x="1337" s="1"/>
      </t>
    </mdx>
    <mdx n="33" f="v">
      <t c="6" si="10">
        <n x="15"/>
        <n x="1337" s="1"/>
        <n x="34"/>
        <n x="32"/>
        <n x="25"/>
        <n x="12"/>
      </t>
    </mdx>
    <mdx n="33" f="v">
      <t c="6" si="10">
        <n x="15"/>
        <n x="1337" s="1"/>
        <n x="44"/>
        <n x="32"/>
        <n x="19"/>
        <n x="3"/>
      </t>
    </mdx>
    <mdx n="33" f="v">
      <t c="6" si="9">
        <n x="15"/>
        <n x="1337" s="1"/>
        <n x="34"/>
        <n x="7"/>
        <n x="4"/>
        <n x="12"/>
      </t>
    </mdx>
    <mdx n="33" f="v">
      <t c="6" si="10">
        <n x="15"/>
        <n x="1337" s="1"/>
        <n x="38"/>
        <n x="32"/>
        <n x="17"/>
        <n x="3"/>
      </t>
    </mdx>
    <mdx n="33" f="v">
      <t c="6" si="9">
        <n x="15"/>
        <n x="1337" s="1"/>
        <n x="37"/>
        <n x="7"/>
        <n x="18"/>
        <n x="2"/>
      </t>
    </mdx>
    <mdx n="33" f="v">
      <t c="4">
        <n x="303"/>
        <n x="12"/>
        <n x="7"/>
        <n x="1337" s="1"/>
      </t>
    </mdx>
    <mdx n="33" f="v">
      <t c="4">
        <n x="503"/>
        <n x="12"/>
        <n x="7"/>
        <n x="1337" s="1"/>
      </t>
    </mdx>
    <mdx n="33" f="v">
      <t c="4">
        <n x="229"/>
        <n x="1"/>
        <n x="7"/>
        <n x="1337" s="1"/>
      </t>
    </mdx>
    <mdx n="33" f="v">
      <t c="4">
        <n x="173"/>
        <n x="0"/>
        <n x="32"/>
        <n x="1337" s="1"/>
      </t>
    </mdx>
    <mdx n="33" f="v">
      <t c="4">
        <n x="419"/>
        <n x="0"/>
        <n x="7"/>
        <n x="1337" s="1"/>
      </t>
    </mdx>
    <mdx n="33" f="v">
      <t c="4" si="10">
        <n x="536"/>
        <n x="0"/>
        <n x="32"/>
        <n x="1337" s="1"/>
      </t>
    </mdx>
    <mdx n="33" f="v">
      <t c="4" si="9">
        <n x="674"/>
        <n x="14"/>
        <n x="7"/>
        <n x="1337" s="1"/>
      </t>
    </mdx>
    <mdx n="33" f="v">
      <t c="4">
        <n x="537"/>
        <n x="0"/>
        <n x="32"/>
        <n x="1337" s="1"/>
      </t>
    </mdx>
    <mdx n="33" f="v">
      <t c="6" si="10">
        <n x="15"/>
        <n x="1337" s="1"/>
        <n x="45"/>
        <n x="32"/>
        <n x="6"/>
        <n x="12"/>
      </t>
    </mdx>
    <mdx n="33" f="v">
      <t c="4">
        <n x="274"/>
        <n x="1"/>
        <n x="7"/>
        <n x="1337" s="1"/>
      </t>
    </mdx>
    <mdx n="33" f="v">
      <t c="4">
        <n x="153"/>
        <n x="0"/>
        <n x="32"/>
        <n x="1337" s="1"/>
      </t>
    </mdx>
    <mdx n="33" f="v">
      <t c="3">
        <n x="335"/>
        <n x="1336"/>
        <n x="1337" s="1"/>
      </t>
    </mdx>
    <mdx n="33" f="v">
      <t c="4">
        <n x="346"/>
        <n x="0"/>
        <n x="7"/>
        <n x="1337" s="1"/>
      </t>
    </mdx>
    <mdx n="33" f="v">
      <t c="4">
        <n x="624"/>
        <n x="0"/>
        <n x="7"/>
        <n x="1337" s="1"/>
      </t>
    </mdx>
    <mdx n="33" f="v">
      <t c="4">
        <n x="350"/>
        <n x="0"/>
        <n x="7"/>
        <n x="1337" s="1"/>
      </t>
    </mdx>
    <mdx n="33" f="v">
      <t c="4">
        <n x="624"/>
        <n x="11"/>
        <n x="7"/>
        <n x="1337" s="1"/>
      </t>
    </mdx>
    <mdx n="33" f="v">
      <t c="4">
        <n x="245"/>
        <n x="1"/>
        <n x="7"/>
        <n x="1337" s="1"/>
      </t>
    </mdx>
    <mdx n="33" f="v">
      <t c="4">
        <n x="595"/>
        <n x="12"/>
        <n x="7"/>
        <n x="1337" s="1"/>
      </t>
    </mdx>
    <mdx n="33" f="v">
      <t c="4">
        <n x="303"/>
        <n x="0"/>
        <n x="32"/>
        <n x="1337" s="1"/>
      </t>
    </mdx>
    <mdx n="33" f="v">
      <t c="4">
        <n x="618"/>
        <n x="0"/>
        <n x="7"/>
        <n x="1337" s="1"/>
      </t>
    </mdx>
    <mdx n="33" f="v">
      <t c="4">
        <n x="490"/>
        <n x="12"/>
        <n x="7"/>
        <n x="1337" s="1"/>
      </t>
    </mdx>
    <mdx n="33" f="v">
      <t c="4">
        <n x="745"/>
        <n x="11"/>
        <n x="7"/>
        <n x="1337" s="1"/>
      </t>
    </mdx>
    <mdx n="33" f="v">
      <t c="4" si="9">
        <n x="478"/>
        <n x="12"/>
        <n x="7"/>
        <n x="1337" s="1"/>
      </t>
    </mdx>
    <mdx n="33" f="v">
      <t c="4">
        <n x="744"/>
        <n x="11"/>
        <n x="32"/>
        <n x="1337" s="1"/>
      </t>
    </mdx>
    <mdx n="33" f="v">
      <t c="4">
        <n x="259"/>
        <n x="1"/>
        <n x="32"/>
        <n x="1337" s="1"/>
      </t>
    </mdx>
    <mdx n="33" f="v">
      <t c="4">
        <n x="611"/>
        <n x="12"/>
        <n x="7"/>
        <n x="1337" s="1"/>
      </t>
    </mdx>
    <mdx n="33" f="v">
      <t c="4">
        <n x="319"/>
        <n x="1"/>
        <n x="32"/>
        <n x="1337" s="1"/>
      </t>
    </mdx>
    <mdx n="33" f="v">
      <t c="4" si="9">
        <n x="581"/>
        <n x="12"/>
        <n x="7"/>
        <n x="1337" s="1"/>
      </t>
    </mdx>
    <mdx n="33" f="v">
      <t c="4">
        <n x="632"/>
        <n x="14"/>
        <n x="7"/>
        <n x="1337" s="1"/>
      </t>
    </mdx>
    <mdx n="33" f="v">
      <t c="4">
        <n x="664"/>
        <n x="14"/>
        <n x="7"/>
        <n x="1337" s="1"/>
      </t>
    </mdx>
    <mdx n="33" f="v">
      <t c="4">
        <n x="695"/>
        <n x="11"/>
        <n x="32"/>
        <n x="1337" s="1"/>
      </t>
    </mdx>
    <mdx n="33" f="v">
      <t c="4" si="10">
        <n x="608"/>
        <n x="1"/>
        <n x="32"/>
        <n x="1337" s="1"/>
      </t>
    </mdx>
    <mdx n="33" f="v">
      <t c="3">
        <n x="698"/>
        <n x="1336"/>
        <n x="1337" s="1"/>
      </t>
    </mdx>
    <mdx n="33" f="v">
      <t c="4">
        <n x="728"/>
        <n x="12"/>
        <n x="32"/>
        <n x="1337" s="1"/>
      </t>
    </mdx>
    <mdx n="33" f="v">
      <t c="4" si="10">
        <n x="759"/>
        <n x="1"/>
        <n x="32"/>
        <n x="1337" s="1"/>
      </t>
    </mdx>
    <mdx n="33" f="v">
      <t c="4" si="10">
        <n x="797"/>
        <n x="14"/>
        <n x="32"/>
        <n x="1337" s="1"/>
      </t>
    </mdx>
    <mdx n="33" f="v">
      <t c="4">
        <n x="828"/>
        <n x="12"/>
        <n x="7"/>
        <n x="1337" s="1"/>
      </t>
    </mdx>
    <mdx n="33" f="v">
      <t c="4" si="10">
        <n x="596"/>
        <n x="1"/>
        <n x="32"/>
        <n x="1337" s="1"/>
      </t>
    </mdx>
    <mdx n="33" f="v">
      <t c="4">
        <n x="696"/>
        <n x="11"/>
        <n x="7"/>
        <n x="1337" s="1"/>
      </t>
    </mdx>
    <mdx n="33" f="v">
      <t c="4">
        <n x="727"/>
        <n x="0"/>
        <n x="7"/>
        <n x="1337" s="1"/>
      </t>
    </mdx>
    <mdx n="33" f="v">
      <t c="4" si="9">
        <n x="757"/>
        <n x="14"/>
        <n x="7"/>
        <n x="1337" s="1"/>
      </t>
    </mdx>
    <mdx n="33" f="v">
      <t c="3">
        <n x="796"/>
        <n x="1336"/>
        <n x="1337" s="1"/>
      </t>
    </mdx>
    <mdx n="33" f="v">
      <t c="4">
        <n x="158"/>
        <n x="12"/>
        <n x="7"/>
        <n x="1337" s="1"/>
      </t>
    </mdx>
    <mdx n="33" f="v">
      <t c="4">
        <n x="410"/>
        <n x="0"/>
        <n x="7"/>
        <n x="1337" s="1"/>
      </t>
    </mdx>
    <mdx n="33" f="v">
      <t c="3">
        <n x="307"/>
        <n x="1336"/>
        <n x="1337" s="1"/>
      </t>
    </mdx>
    <mdx n="33" f="v">
      <t c="4">
        <n x="459"/>
        <n x="1"/>
        <n x="32"/>
        <n x="1337" s="1"/>
      </t>
    </mdx>
    <mdx n="33" f="v">
      <t c="4">
        <n x="669"/>
        <n x="11"/>
        <n x="7"/>
        <n x="1337" s="1"/>
      </t>
    </mdx>
    <mdx n="33" f="v">
      <t c="4" si="10">
        <n x="602"/>
        <n x="1"/>
        <n x="32"/>
        <n x="1337" s="1"/>
      </t>
    </mdx>
    <mdx n="33" f="v">
      <t c="6">
        <n x="15"/>
        <n x="1337" s="1"/>
        <n x="41"/>
        <n x="32"/>
        <n x="16"/>
        <n x="3"/>
      </t>
    </mdx>
    <mdx n="33" f="v">
      <t c="4">
        <n x="322"/>
        <n x="0"/>
        <n x="7"/>
        <n x="1337" s="1"/>
      </t>
    </mdx>
    <mdx n="33" f="v">
      <t c="4" si="9">
        <n x="470"/>
        <n x="0"/>
        <n x="7"/>
        <n x="1337" s="1"/>
      </t>
    </mdx>
    <mdx n="33" f="v">
      <t c="4" si="9">
        <n x="521"/>
        <n x="12"/>
        <n x="7"/>
        <n x="1337" s="1"/>
      </t>
    </mdx>
    <mdx n="33" f="v">
      <t c="3" fi="0">
        <n x="572"/>
        <n x="1336"/>
        <n x="1337" s="1"/>
      </t>
    </mdx>
    <mdx n="33" f="v">
      <t c="4">
        <n x="621"/>
        <n x="1"/>
        <n x="7"/>
        <n x="1337" s="1"/>
      </t>
    </mdx>
    <mdx n="33" f="v">
      <t c="4">
        <n x="644"/>
        <n x="14"/>
        <n x="7"/>
        <n x="1337" s="1"/>
      </t>
    </mdx>
    <mdx n="33" f="v">
      <t c="3">
        <n x="668"/>
        <n x="1336"/>
        <n x="1337" s="1"/>
      </t>
    </mdx>
    <mdx n="33" f="v">
      <t c="4">
        <n x="691"/>
        <n x="11"/>
        <n x="32"/>
        <n x="1337" s="1"/>
      </t>
    </mdx>
    <mdx n="33" f="v">
      <t c="3" fi="0">
        <n x="509"/>
        <n x="1336"/>
        <n x="1337" s="1"/>
      </t>
    </mdx>
    <mdx n="33" f="v">
      <t c="4">
        <n x="662"/>
        <n x="11"/>
        <n x="7"/>
        <n x="1337" s="1"/>
      </t>
    </mdx>
    <mdx n="33" f="v">
      <t c="4">
        <n x="701"/>
        <n x="11"/>
        <n x="32"/>
        <n x="1337" s="1"/>
      </t>
    </mdx>
    <mdx n="33" f="v">
      <t c="4">
        <n x="724"/>
        <n x="12"/>
        <n x="32"/>
        <n x="1337" s="1"/>
      </t>
    </mdx>
    <mdx n="33" f="v">
      <t c="4">
        <n x="748"/>
        <n x="0"/>
        <n x="32"/>
        <n x="1337" s="1"/>
      </t>
    </mdx>
    <mdx n="33" f="v">
      <t c="4">
        <n x="772"/>
        <n x="1"/>
        <n x="7"/>
        <n x="1337" s="1"/>
      </t>
    </mdx>
    <mdx n="33" f="v">
      <t c="4">
        <n x="800"/>
        <n x="11"/>
        <n x="7"/>
        <n x="1337" s="1"/>
      </t>
    </mdx>
    <mdx n="33" f="v">
      <t c="4">
        <n x="824"/>
        <n x="12"/>
        <n x="7"/>
        <n x="1337" s="1"/>
      </t>
    </mdx>
    <mdx n="33" f="v">
      <t c="3">
        <n x="497"/>
        <n x="1336"/>
        <n x="1337" s="1"/>
      </t>
    </mdx>
    <mdx n="33" f="v">
      <t c="4">
        <n x="657"/>
        <n x="0"/>
        <n x="7"/>
        <n x="1337" s="1"/>
      </t>
    </mdx>
    <mdx n="33" f="v">
      <t c="4" si="9">
        <n x="700"/>
        <n x="12"/>
        <n x="7"/>
        <n x="1337" s="1"/>
      </t>
    </mdx>
    <mdx n="33" f="v">
      <t c="4">
        <n x="723"/>
        <n x="0"/>
        <n x="7"/>
        <n x="1337" s="1"/>
      </t>
    </mdx>
    <mdx n="33" f="v">
      <t c="4">
        <n x="746"/>
        <n x="1"/>
        <n x="7"/>
        <n x="1337" s="1"/>
      </t>
    </mdx>
    <mdx n="33" f="v">
      <t c="4" si="10">
        <n x="770"/>
        <n x="12"/>
        <n x="32"/>
        <n x="1337" s="1"/>
      </t>
    </mdx>
    <mdx n="33" f="v">
      <t c="4">
        <n x="799"/>
        <n x="11"/>
        <n x="32"/>
        <n x="1337" s="1"/>
      </t>
    </mdx>
    <mdx n="33" f="v">
      <t c="4" si="10">
        <n x="822"/>
        <n x="12"/>
        <n x="32"/>
        <n x="1337" s="1"/>
      </t>
    </mdx>
    <mdx n="33" f="v">
      <t c="3">
        <n x="501"/>
        <n x="1336"/>
        <n x="1337" s="1"/>
      </t>
    </mdx>
    <mdx n="33" f="v">
      <t c="3">
        <n x="659"/>
        <n x="1336"/>
        <n x="1337" s="1"/>
      </t>
    </mdx>
    <mdx n="33" f="v">
      <t c="4" si="10">
        <n x="700"/>
        <n x="14"/>
        <n x="32"/>
        <n x="1337" s="1"/>
      </t>
    </mdx>
    <mdx n="33" f="v">
      <t c="4">
        <n x="220"/>
        <n x="14"/>
        <n x="32"/>
        <n x="1337" s="1"/>
      </t>
    </mdx>
    <mdx n="33" f="v">
      <t c="4">
        <n x="476"/>
        <n x="0"/>
        <n x="7"/>
        <n x="1337" s="1"/>
      </t>
    </mdx>
    <mdx n="33" f="v">
      <t c="4">
        <n x="183"/>
        <n x="1"/>
        <n x="32"/>
        <n x="1337" s="1"/>
      </t>
    </mdx>
    <mdx n="33" f="v">
      <t c="4">
        <n x="589"/>
        <n x="12"/>
        <n x="7"/>
        <n x="1337" s="1"/>
      </t>
    </mdx>
    <mdx n="33" f="v">
      <t c="4">
        <n x="158"/>
        <n x="0"/>
        <n x="7"/>
        <n x="1337" s="1"/>
      </t>
    </mdx>
    <mdx n="33" f="v">
      <t c="4">
        <n x="732"/>
        <n x="0"/>
        <n x="7"/>
        <n x="1337" s="1"/>
      </t>
    </mdx>
    <mdx n="33" f="v">
      <t c="6" si="9">
        <n x="15"/>
        <n x="1337" s="1"/>
        <n x="44"/>
        <n x="7"/>
        <n x="4"/>
        <n x="1"/>
      </t>
    </mdx>
    <mdx n="33" f="v">
      <t c="4">
        <n x="731"/>
        <n x="0"/>
        <n x="32"/>
        <n x="1337" s="1"/>
      </t>
    </mdx>
    <mdx n="33" f="v">
      <t c="4">
        <n x="821"/>
        <n x="1"/>
        <n x="7"/>
        <n x="1337" s="1"/>
      </t>
    </mdx>
    <mdx n="33" f="v">
      <t c="4">
        <n x="559"/>
        <n x="0"/>
        <n x="32"/>
        <n x="1337" s="1"/>
      </t>
    </mdx>
    <mdx n="33" f="v">
      <t c="4" si="10">
        <n x="689"/>
        <n x="12"/>
        <n x="32"/>
        <n x="1337" s="1"/>
      </t>
    </mdx>
    <mdx n="33" f="v">
      <t c="4" si="10">
        <n x="722"/>
        <n x="0"/>
        <n x="32"/>
        <n x="1337" s="1"/>
      </t>
    </mdx>
    <mdx n="33" f="v">
      <t c="4">
        <n x="745"/>
        <n x="1"/>
        <n x="32"/>
        <n x="1337" s="1"/>
      </t>
    </mdx>
    <mdx n="33" f="v">
      <t c="4">
        <n x="768"/>
        <n x="11"/>
        <n x="7"/>
        <n x="1337" s="1"/>
      </t>
    </mdx>
    <mdx n="33" f="v">
      <t c="4">
        <n x="798"/>
        <n x="12"/>
        <n x="7"/>
        <n x="1337" s="1"/>
      </t>
    </mdx>
    <mdx n="33" f="v">
      <t c="4">
        <n x="821"/>
        <n x="0"/>
        <n x="7"/>
        <n x="1337" s="1"/>
      </t>
    </mdx>
    <mdx n="33" f="v">
      <t c="4">
        <n x="844"/>
        <n x="1"/>
        <n x="7"/>
        <n x="1337" s="1"/>
      </t>
    </mdx>
    <mdx n="33" f="v">
      <t c="4">
        <n x="698"/>
        <n x="12"/>
        <n x="7"/>
        <n x="1337" s="1"/>
      </t>
    </mdx>
    <mdx n="33" f="v">
      <t c="4">
        <n x="797"/>
        <n x="11"/>
        <n x="32"/>
        <n x="1337" s="1"/>
      </t>
    </mdx>
    <mdx n="33" f="v">
      <t c="3">
        <n x="850"/>
        <n x="1336"/>
        <n x="1337" s="1"/>
      </t>
    </mdx>
    <mdx n="33" f="v">
      <t c="4">
        <n x="874"/>
        <n x="12"/>
        <n x="7"/>
        <n x="1337" s="1"/>
      </t>
    </mdx>
    <mdx n="33" f="v">
      <t c="4">
        <n x="897"/>
        <n x="0"/>
        <n x="7"/>
        <n x="1337" s="1"/>
      </t>
    </mdx>
    <mdx n="33" f="v">
      <t c="4">
        <n x="920"/>
        <n x="1"/>
        <n x="7"/>
        <n x="1337" s="1"/>
      </t>
    </mdx>
    <mdx n="33" f="v">
      <t c="4">
        <n x="945"/>
        <n x="11"/>
        <n x="32"/>
        <n x="1337" s="1"/>
      </t>
    </mdx>
    <mdx n="33" f="v">
      <t c="4">
        <n x="989"/>
        <n x="0"/>
        <n x="7"/>
        <n x="1337" s="1"/>
      </t>
    </mdx>
    <mdx n="33" f="v">
      <t c="4">
        <n x="1041"/>
        <n x="0"/>
        <n x="32"/>
        <n x="1337" s="1"/>
      </t>
    </mdx>
    <mdx n="33" f="v">
      <t c="4">
        <n x="1092"/>
        <n x="12"/>
        <n x="7"/>
        <n x="1337" s="1"/>
      </t>
    </mdx>
    <mdx n="33" f="v">
      <t c="4">
        <n x="1172"/>
        <n x="12"/>
        <n x="7"/>
        <n x="1337" s="1"/>
      </t>
    </mdx>
    <mdx n="33" f="v">
      <t c="4">
        <n x="1300"/>
        <n x="12"/>
        <n x="7"/>
        <n x="1337" s="1"/>
      </t>
    </mdx>
    <mdx n="33" f="v">
      <t c="4">
        <n x="432"/>
        <n x="14"/>
        <n x="7"/>
        <n x="1337" s="1"/>
      </t>
    </mdx>
    <mdx n="33" f="v">
      <t c="4">
        <n x="352"/>
        <n x="14"/>
        <n x="7"/>
        <n x="1337" s="1"/>
      </t>
    </mdx>
    <mdx n="33" f="v">
      <t c="4">
        <n x="128"/>
        <n x="14"/>
        <n x="7"/>
        <n x="1337" s="1"/>
      </t>
    </mdx>
    <mdx n="33" f="v">
      <t c="4">
        <n x="252"/>
        <n x="14"/>
        <n x="32"/>
        <n x="1337" s="1"/>
      </t>
    </mdx>
    <mdx n="33" f="v">
      <t c="4" si="10">
        <n x="489"/>
        <n x="1"/>
        <n x="32"/>
        <n x="1337" s="1"/>
      </t>
    </mdx>
    <mdx n="33" f="v">
      <t c="4">
        <n x="199"/>
        <n x="1"/>
        <n x="32"/>
        <n x="1337" s="1"/>
      </t>
    </mdx>
    <mdx n="33" f="v">
      <t c="3" fi="0">
        <n x="592"/>
        <n x="1336"/>
        <n x="1337" s="1"/>
      </t>
    </mdx>
    <mdx n="33" f="v">
      <t c="4">
        <n x="210"/>
        <n x="0"/>
        <n x="32"/>
        <n x="1337" s="1"/>
      </t>
    </mdx>
    <mdx n="33" f="v">
      <t c="4">
        <n x="733"/>
        <n x="11"/>
        <n x="7"/>
        <n x="1337" s="1"/>
      </t>
    </mdx>
    <mdx n="33" f="v">
      <t c="4">
        <n x="162"/>
        <n x="0"/>
        <n x="32"/>
        <n x="1337" s="1"/>
      </t>
    </mdx>
    <mdx n="33" f="v">
      <t c="4">
        <n x="732"/>
        <n x="11"/>
        <n x="32"/>
        <n x="1337" s="1"/>
      </t>
    </mdx>
    <mdx n="33" f="v">
      <t c="4">
        <n x="822"/>
        <n x="0"/>
        <n x="32"/>
        <n x="1337" s="1"/>
      </t>
    </mdx>
    <mdx n="33" f="v">
      <t c="4" si="9">
        <n x="562"/>
        <n x="12"/>
        <n x="7"/>
        <n x="1337" s="1"/>
      </t>
    </mdx>
    <mdx n="33" f="v">
      <t c="4">
        <n x="690"/>
        <n x="1"/>
        <n x="7"/>
        <n x="1337" s="1"/>
      </t>
    </mdx>
    <mdx n="33" f="v">
      <t c="4">
        <n x="722"/>
        <n x="0"/>
        <n x="7"/>
        <n x="1337" s="1"/>
      </t>
    </mdx>
    <mdx n="33" f="v">
      <t c="4">
        <n x="745"/>
        <n x="1"/>
        <n x="7"/>
        <n x="1337" s="1"/>
      </t>
    </mdx>
    <mdx n="33" f="v">
      <t c="4">
        <n x="769"/>
        <n x="11"/>
        <n x="32"/>
        <n x="1337" s="1"/>
      </t>
    </mdx>
    <mdx n="33" f="v">
      <t c="4" si="10">
        <n x="798"/>
        <n x="11"/>
        <n x="32"/>
        <n x="1337" s="1"/>
      </t>
    </mdx>
    <mdx n="33" f="v">
      <t c="4">
        <n x="821"/>
        <n x="12"/>
        <n x="32"/>
        <n x="1337" s="1"/>
      </t>
    </mdx>
    <mdx n="33" f="v">
      <t c="4" si="10">
        <n x="845"/>
        <n x="0"/>
        <n x="32"/>
        <n x="1337" s="1"/>
      </t>
    </mdx>
    <mdx n="33" f="v">
      <t c="4">
        <n x="699"/>
        <n x="14"/>
        <n x="32"/>
        <n x="1337" s="1"/>
      </t>
    </mdx>
    <mdx n="33" f="v">
      <t c="4">
        <n x="798"/>
        <n x="14"/>
        <n x="7"/>
        <n x="1337" s="1"/>
      </t>
    </mdx>
    <mdx n="33" f="v">
      <t c="4">
        <n x="850"/>
        <n x="1"/>
        <n x="7"/>
        <n x="1337" s="1"/>
      </t>
    </mdx>
    <mdx n="33" f="v">
      <t c="4">
        <n x="874"/>
        <n x="11"/>
        <n x="32"/>
        <n x="1337" s="1"/>
      </t>
    </mdx>
    <mdx n="33" f="v">
      <t c="4" si="10">
        <n x="897"/>
        <n x="12"/>
        <n x="32"/>
        <n x="1337" s="1"/>
      </t>
    </mdx>
    <mdx n="33" f="v">
      <t c="4">
        <n x="921"/>
        <n x="0"/>
        <n x="32"/>
        <n x="1337" s="1"/>
      </t>
    </mdx>
    <mdx n="33" f="v">
      <t c="4">
        <n x="945"/>
        <n x="11"/>
        <n x="7"/>
        <n x="1337" s="1"/>
      </t>
    </mdx>
    <mdx n="33" f="v">
      <t c="4">
        <n x="990"/>
        <n x="1"/>
        <n x="32"/>
        <n x="1337" s="1"/>
      </t>
    </mdx>
    <mdx n="33" f="v">
      <t c="4">
        <n x="1041"/>
        <n x="0"/>
        <n x="7"/>
        <n x="1337" s="1"/>
      </t>
    </mdx>
    <mdx n="33" f="v">
      <t c="4" si="10">
        <n x="1093"/>
        <n x="0"/>
        <n x="32"/>
        <n x="1337" s="1"/>
      </t>
    </mdx>
    <mdx n="33" f="v">
      <t c="4">
        <n x="1174"/>
        <n x="12"/>
        <n x="7"/>
        <n x="1337" s="1"/>
      </t>
    </mdx>
    <mdx n="33" f="v">
      <t c="4">
        <n x="1302"/>
        <n x="12"/>
        <n x="7"/>
        <n x="1337" s="1"/>
      </t>
    </mdx>
    <mdx n="33" f="v">
      <t c="4">
        <n x="416"/>
        <n x="14"/>
        <n x="7"/>
        <n x="1337" s="1"/>
      </t>
    </mdx>
    <mdx n="33" f="v">
      <t c="4">
        <n x="348"/>
        <n x="14"/>
        <n x="7"/>
        <n x="1337" s="1"/>
      </t>
    </mdx>
    <mdx n="33" f="v">
      <t c="4">
        <n x="124"/>
        <n x="14"/>
        <n x="7"/>
        <n x="1337" s="1"/>
      </t>
    </mdx>
    <mdx n="33" f="v">
      <t c="4">
        <n x="92"/>
        <n x="12"/>
        <n x="7"/>
        <n x="1337" s="1"/>
      </t>
    </mdx>
    <mdx n="33" f="v">
      <t c="4">
        <n x="71"/>
        <n x="14"/>
        <n x="32"/>
        <n x="1337" s="1"/>
      </t>
    </mdx>
    <mdx n="33" f="v">
      <t c="4" si="10">
        <n x="448"/>
        <n x="0"/>
        <n x="32"/>
        <n x="1337" s="1"/>
      </t>
    </mdx>
    <mdx n="33" f="v">
      <t c="4">
        <n x="523"/>
        <n x="12"/>
        <n x="7"/>
        <n x="1337" s="1"/>
      </t>
    </mdx>
    <mdx n="33" f="v">
      <t c="4">
        <n x="263"/>
        <n x="1"/>
        <n x="7"/>
        <n x="1337" s="1"/>
      </t>
    </mdx>
    <mdx n="33" f="v">
      <t c="4" si="9">
        <n x="616"/>
        <n x="0"/>
        <n x="7"/>
        <n x="1337" s="1"/>
      </t>
    </mdx>
    <mdx n="33" f="v">
      <t c="4" si="10">
        <n x="544"/>
        <n x="0"/>
        <n x="32"/>
        <n x="1337" s="1"/>
      </t>
    </mdx>
    <mdx n="33" f="v">
      <t c="4">
        <n x="740"/>
        <n x="0"/>
        <n x="32"/>
        <n x="1337" s="1"/>
      </t>
    </mdx>
    <mdx n="33" f="v">
      <t c="4" si="10">
        <n x="560"/>
        <n x="0"/>
        <n x="32"/>
        <n x="1337" s="1"/>
      </t>
    </mdx>
    <mdx n="33" f="v">
      <t c="4" si="10">
        <n x="662"/>
        <n x="0"/>
        <n x="32"/>
        <n x="1337" s="1"/>
      </t>
    </mdx>
    <mdx n="33" f="v">
      <t c="4">
        <n x="727"/>
        <n x="1"/>
        <n x="32"/>
        <n x="1337" s="1"/>
      </t>
    </mdx>
    <mdx n="33" f="v">
      <t c="4">
        <n x="583"/>
        <n x="0"/>
        <n x="7"/>
        <n x="1337" s="1"/>
      </t>
    </mdx>
    <mdx n="33" f="v">
      <t c="4" si="10">
        <n x="793"/>
        <n x="1"/>
        <n x="32"/>
        <n x="1337" s="1"/>
      </t>
    </mdx>
    <mdx n="33" f="v">
      <t c="3">
        <n x="438"/>
        <n x="1336"/>
        <n x="1337" s="1"/>
      </t>
    </mdx>
    <mdx n="33" f="v">
      <t c="4">
        <n x="310"/>
        <n x="0"/>
        <n x="32"/>
        <n x="1337" s="1"/>
      </t>
    </mdx>
    <mdx n="33" f="v">
      <t c="4" si="10">
        <n x="620"/>
        <n x="12"/>
        <n x="32"/>
        <n x="1337" s="1"/>
      </t>
    </mdx>
    <mdx n="33" f="v">
      <t c="4">
        <n x="496"/>
        <n x="1"/>
        <n x="32"/>
        <n x="1337" s="1"/>
      </t>
    </mdx>
    <mdx n="33" f="v">
      <t c="4">
        <n x="746"/>
        <n x="14"/>
        <n x="32"/>
        <n x="1337" s="1"/>
      </t>
    </mdx>
    <mdx n="33" f="v">
      <t c="4" si="10">
        <n x="484"/>
        <n x="1"/>
        <n x="32"/>
        <n x="1337" s="1"/>
      </t>
    </mdx>
    <mdx n="33" f="v">
      <t c="3">
        <n x="745"/>
        <n x="1336"/>
        <n x="1337" s="1"/>
      </t>
    </mdx>
    <mdx n="33" f="v">
      <t c="4" si="10">
        <n x="488"/>
        <n x="1"/>
        <n x="32"/>
        <n x="1337" s="1"/>
      </t>
    </mdx>
    <mdx n="33" f="v">
      <t c="4">
        <n x="350"/>
        <n x="0"/>
        <n x="32"/>
        <n x="1337" s="1"/>
      </t>
    </mdx>
    <mdx n="33" f="v">
      <t c="4">
        <n x="726"/>
        <n x="14"/>
        <n x="32"/>
        <n x="1337" s="1"/>
      </t>
    </mdx>
    <mdx n="33" f="v">
      <t c="4" si="10">
        <n x="543"/>
        <n x="0"/>
        <n x="32"/>
        <n x="1337" s="1"/>
      </t>
    </mdx>
    <mdx n="33" f="v">
      <t c="4" si="9">
        <n x="767"/>
        <n x="12"/>
        <n x="7"/>
        <n x="1337" s="1"/>
      </t>
    </mdx>
    <mdx n="33" f="v">
      <t c="4">
        <n x="690"/>
        <n x="11"/>
        <n x="7"/>
        <n x="1337" s="1"/>
      </t>
    </mdx>
    <mdx n="33" f="v">
      <t c="4">
        <n x="895"/>
        <n x="14"/>
        <n x="7"/>
        <n x="1337" s="1"/>
      </t>
    </mdx>
    <mdx n="33" f="v">
      <t c="4">
        <n x="1037"/>
        <n x="0"/>
        <n x="7"/>
        <n x="1337" s="1"/>
      </t>
    </mdx>
    <mdx n="33" f="v">
      <t c="4">
        <n x="963"/>
        <n x="14"/>
        <n x="7"/>
        <n x="1337" s="1"/>
      </t>
    </mdx>
    <mdx n="33" f="v">
      <t c="4">
        <n x="400"/>
        <n x="0"/>
        <n x="32"/>
        <n x="1337" s="1"/>
      </t>
    </mdx>
    <mdx n="33" f="v">
      <t c="4">
        <n x="728"/>
        <n x="0"/>
        <n x="32"/>
        <n x="1337" s="1"/>
      </t>
    </mdx>
    <mdx n="33" f="v">
      <t c="4">
        <n x="546"/>
        <n x="12"/>
        <n x="7"/>
        <n x="1337" s="1"/>
      </t>
    </mdx>
    <mdx n="33" f="v">
      <t c="4" si="10">
        <n x="767"/>
        <n x="11"/>
        <n x="32"/>
        <n x="1337" s="1"/>
      </t>
    </mdx>
    <mdx n="33" f="v">
      <t c="4">
        <n x="831"/>
        <n x="14"/>
        <n x="7"/>
        <n x="1337" s="1"/>
      </t>
    </mdx>
    <mdx n="33" f="v">
      <t c="4" si="10">
        <n x="673"/>
        <n x="14"/>
        <n x="32"/>
        <n x="1337" s="1"/>
      </t>
    </mdx>
    <mdx n="33" f="v">
      <t c="4">
        <n x="810"/>
        <n x="14"/>
        <n x="32"/>
        <n x="1337" s="1"/>
      </t>
    </mdx>
    <mdx n="33" f="v">
      <t c="4">
        <n x="861"/>
        <n x="0"/>
        <n x="7"/>
        <n x="1337" s="1"/>
      </t>
    </mdx>
    <mdx n="33" f="v">
      <t c="4">
        <n x="893"/>
        <n x="0"/>
        <n x="7"/>
        <n x="1337" s="1"/>
      </t>
    </mdx>
    <mdx n="33" f="v">
      <t c="4">
        <n x="923"/>
        <n x="14"/>
        <n x="7"/>
        <n x="1337" s="1"/>
      </t>
    </mdx>
    <mdx n="33" f="v">
      <t c="4">
        <n x="961"/>
        <n x="0"/>
        <n x="7"/>
        <n x="1337" s="1"/>
      </t>
    </mdx>
    <mdx n="33" f="v">
      <t c="4">
        <n x="1032"/>
        <n x="12"/>
        <n x="7"/>
        <n x="1337" s="1"/>
      </t>
    </mdx>
    <mdx n="33" f="v">
      <t c="3">
        <n x="1099"/>
        <n x="1336"/>
        <n x="1337" s="1"/>
      </t>
    </mdx>
    <mdx n="33" f="v">
      <t c="4">
        <n x="1230"/>
        <n x="12"/>
        <n x="7"/>
        <n x="1337" s="1"/>
      </t>
    </mdx>
    <mdx n="33" f="v">
      <t c="4">
        <n x="991"/>
        <n x="14"/>
        <n x="7"/>
        <n x="1337" s="1"/>
      </t>
    </mdx>
    <mdx n="33" f="v">
      <t c="4">
        <n x="316"/>
        <n x="14"/>
        <n x="7"/>
        <n x="1337" s="1"/>
      </t>
    </mdx>
    <mdx n="33" f="v">
      <t c="4">
        <n x="323"/>
        <n x="1"/>
        <n x="32"/>
        <n x="1337" s="1"/>
      </t>
    </mdx>
    <mdx n="33" f="v">
      <t c="4">
        <n x="411"/>
        <n x="0"/>
        <n x="7"/>
        <n x="1337" s="1"/>
      </t>
    </mdx>
    <mdx n="33" f="v">
      <t c="4" si="10">
        <n x="653"/>
        <n x="14"/>
        <n x="32"/>
        <n x="1337" s="1"/>
      </t>
    </mdx>
    <mdx n="33" f="v">
      <t c="3" fi="0">
        <n x="544"/>
        <n x="1336"/>
        <n x="1337" s="1"/>
      </t>
    </mdx>
    <mdx n="33" f="v">
      <t c="4" si="10">
        <n x="678"/>
        <n x="12"/>
        <n x="32"/>
        <n x="1337" s="1"/>
      </t>
    </mdx>
    <mdx n="33" f="v">
      <t c="4">
        <n x="712"/>
        <n x="0"/>
        <n x="32"/>
        <n x="1337" s="1"/>
      </t>
    </mdx>
    <mdx n="33" f="v">
      <t c="4">
        <n x="811"/>
        <n x="0"/>
        <n x="7"/>
        <n x="1337" s="1"/>
      </t>
    </mdx>
    <mdx n="33" f="v">
      <t c="4">
        <n x="710"/>
        <n x="1"/>
        <n x="7"/>
        <n x="1337" s="1"/>
      </t>
    </mdx>
    <mdx n="33" f="v">
      <t c="4">
        <n x="810"/>
        <n x="0"/>
        <n x="32"/>
        <n x="1337" s="1"/>
      </t>
    </mdx>
    <mdx n="33" f="v">
      <t c="4" si="9">
        <n x="498"/>
        <n x="12"/>
        <n x="7"/>
        <n x="1337" s="1"/>
      </t>
    </mdx>
    <mdx n="33" f="v">
      <t c="3">
        <n x="679"/>
        <n x="1336"/>
        <n x="1337" s="1"/>
      </t>
    </mdx>
    <mdx n="33" f="v">
      <t c="4">
        <n x="715"/>
        <n x="11"/>
        <n x="7"/>
        <n x="1337" s="1"/>
      </t>
    </mdx>
    <mdx n="33" f="v">
      <t c="3">
        <n x="740"/>
        <n x="1336"/>
        <n x="1337" s="1"/>
      </t>
    </mdx>
    <mdx n="33" f="v">
      <t c="4" si="10">
        <n x="763"/>
        <n x="11"/>
        <n x="32"/>
        <n x="1337" s="1"/>
      </t>
    </mdx>
    <mdx n="33" f="v">
      <t c="4" si="10">
        <n x="793"/>
        <n x="0"/>
        <n x="32"/>
        <n x="1337" s="1"/>
      </t>
    </mdx>
    <mdx n="33" f="v">
      <t c="4">
        <n x="816"/>
        <n x="1"/>
        <n x="32"/>
        <n x="1337" s="1"/>
      </t>
    </mdx>
    <mdx n="33" f="v">
      <t c="4">
        <n x="839"/>
        <n x="14"/>
        <n x="32"/>
        <n x="1337" s="1"/>
      </t>
    </mdx>
    <mdx n="33" f="v">
      <t c="4" si="10">
        <n x="661"/>
        <n x="0"/>
        <n x="32"/>
        <n x="1337" s="1"/>
      </t>
    </mdx>
    <mdx n="33" f="v">
      <t c="4">
        <n x="771"/>
        <n x="14"/>
        <n x="7"/>
        <n x="1337" s="1"/>
      </t>
    </mdx>
    <mdx n="33" f="v">
      <t c="4">
        <n x="843"/>
        <n x="0"/>
        <n x="7"/>
        <n x="1337" s="1"/>
      </t>
    </mdx>
    <mdx n="33" f="v">
      <t c="4" si="10">
        <n x="869"/>
        <n x="0"/>
        <n x="32"/>
        <n x="1337" s="1"/>
      </t>
    </mdx>
    <mdx n="33" f="v">
      <t c="4">
        <n x="892"/>
        <n x="1"/>
        <n x="32"/>
        <n x="1337" s="1"/>
      </t>
    </mdx>
    <mdx n="33" f="v">
      <t c="4">
        <n x="915"/>
        <n x="14"/>
        <n x="32"/>
        <n x="1337" s="1"/>
      </t>
    </mdx>
    <mdx n="33" f="v">
      <t c="4">
        <n x="938"/>
        <n x="11"/>
        <n x="7"/>
        <n x="1337" s="1"/>
      </t>
    </mdx>
    <mdx n="33" f="v">
      <t c="4">
        <n x="978"/>
        <n x="1"/>
        <n x="32"/>
        <n x="1337" s="1"/>
      </t>
    </mdx>
    <mdx n="33" f="v">
      <t c="4">
        <n x="1029"/>
        <n x="0"/>
        <n x="7"/>
        <n x="1337" s="1"/>
      </t>
    </mdx>
    <mdx n="33" f="v">
      <t c="4" si="10">
        <n x="1081"/>
        <n x="0"/>
        <n x="32"/>
        <n x="1337" s="1"/>
      </t>
    </mdx>
    <mdx n="33" f="v">
      <t c="4">
        <n x="1144"/>
        <n x="12"/>
        <n x="7"/>
        <n x="1337" s="1"/>
      </t>
    </mdx>
    <mdx n="33" f="v">
      <t c="4">
        <n x="1272"/>
        <n x="12"/>
        <n x="7"/>
        <n x="1337" s="1"/>
      </t>
    </mdx>
    <mdx n="33" f="v">
      <t c="4">
        <n x="1003"/>
        <n x="14"/>
        <n x="7"/>
        <n x="1337" s="1"/>
      </t>
    </mdx>
    <mdx n="33" f="v">
      <t c="4">
        <n x="394"/>
        <n x="14"/>
        <n x="7"/>
        <n x="1337" s="1"/>
      </t>
    </mdx>
    <mdx n="33" f="v">
      <t c="4">
        <n x="165"/>
        <n x="14"/>
        <n x="7"/>
        <n x="1337" s="1"/>
      </t>
    </mdx>
    <mdx n="33" f="v">
      <t c="4">
        <n x="650"/>
        <n x="11"/>
        <n x="7"/>
        <n x="1337" s="1"/>
      </t>
    </mdx>
    <mdx n="33" f="v">
      <t c="4">
        <n x="768"/>
        <n x="14"/>
        <n x="32"/>
        <n x="1337" s="1"/>
      </t>
    </mdx>
    <mdx n="33" f="v">
      <t c="4" si="10">
        <n x="842"/>
        <n x="14"/>
        <n x="32"/>
        <n x="1337" s="1"/>
      </t>
    </mdx>
    <mdx n="33" f="v">
      <t c="4">
        <n x="868"/>
        <n x="0"/>
        <n x="7"/>
        <n x="1337" s="1"/>
      </t>
    </mdx>
    <mdx n="33" f="v">
      <t c="4">
        <n x="891"/>
        <n x="1"/>
        <n x="7"/>
        <n x="1337" s="1"/>
      </t>
    </mdx>
    <mdx n="33" f="v">
      <t c="4">
        <n x="268"/>
        <n x="11"/>
        <n x="32"/>
        <n x="1337" s="1"/>
      </t>
    </mdx>
    <mdx n="33" f="v">
      <t c="4">
        <n x="444"/>
        <n x="0"/>
        <n x="32"/>
        <n x="1337" s="1"/>
      </t>
    </mdx>
    <mdx n="33" f="v">
      <t c="4" si="10">
        <n x="694"/>
        <n x="14"/>
        <n x="32"/>
        <n x="1337" s="1"/>
      </t>
    </mdx>
    <mdx n="33" f="v">
      <t c="4">
        <n x="800"/>
        <n x="1"/>
        <n x="7"/>
        <n x="1337" s="1"/>
      </t>
    </mdx>
    <mdx n="33" f="v">
      <t c="4">
        <n x="807"/>
        <n x="1"/>
        <n x="7"/>
        <n x="1337" s="1"/>
      </t>
    </mdx>
    <mdx n="33" f="v">
      <t c="3">
        <n x="923"/>
        <n x="1336"/>
        <n x="1337" s="1"/>
      </t>
    </mdx>
    <mdx n="33" f="v">
      <t c="4">
        <n x="1097"/>
        <n x="0"/>
        <n x="7"/>
        <n x="1337" s="1"/>
      </t>
    </mdx>
    <mdx n="33" f="v">
      <t c="4">
        <n x="324"/>
        <n x="14"/>
        <n x="7"/>
        <n x="1337" s="1"/>
      </t>
    </mdx>
    <mdx n="33" f="v">
      <t c="4">
        <n x="749"/>
        <n x="0"/>
        <n x="7"/>
        <n x="1337" s="1"/>
      </t>
    </mdx>
    <mdx n="33" f="v">
      <t c="4" si="9">
        <n x="846"/>
        <n x="14"/>
        <n x="7"/>
        <n x="1337" s="1"/>
      </t>
    </mdx>
    <mdx n="33" f="v">
      <t c="4">
        <n x="879"/>
        <n x="1"/>
        <n x="32"/>
        <n x="1337" s="1"/>
      </t>
    </mdx>
    <mdx n="33" f="v">
      <t c="4">
        <n x="908"/>
        <n x="0"/>
        <n x="7"/>
        <n x="1337" s="1"/>
      </t>
    </mdx>
    <mdx n="33" f="v">
      <t c="4">
        <n x="931"/>
        <n x="1"/>
        <n x="7"/>
        <n x="1337" s="1"/>
      </t>
    </mdx>
    <mdx n="33" f="v">
      <t c="4">
        <n x="962"/>
        <n x="0"/>
        <n x="7"/>
        <n x="1337" s="1"/>
      </t>
    </mdx>
    <mdx n="33" f="v">
      <t c="4" si="10">
        <n x="1014"/>
        <n x="0"/>
        <n x="32"/>
        <n x="1337" s="1"/>
      </t>
    </mdx>
    <mdx n="33" f="v">
      <t c="4">
        <n x="1065"/>
        <n x="12"/>
        <n x="7"/>
        <n x="1337" s="1"/>
      </t>
    </mdx>
    <mdx n="33" f="v">
      <t c="3">
        <n x="1116"/>
        <n x="1336"/>
        <n x="1337" s="1"/>
      </t>
    </mdx>
    <mdx n="33" f="v">
      <t c="4" si="10">
        <n x="1233"/>
        <n x="0"/>
        <n x="32"/>
        <n x="1337" s="1"/>
      </t>
    </mdx>
    <mdx n="33" f="v">
      <t c="4">
        <n x="1082"/>
        <n x="14"/>
        <n x="7"/>
        <n x="1337" s="1"/>
      </t>
    </mdx>
    <mdx n="33" f="v">
      <t c="4">
        <n x="510"/>
        <n x="14"/>
        <n x="7"/>
        <n x="1337" s="1"/>
      </t>
    </mdx>
    <mdx n="33" f="v">
      <t c="4">
        <n x="652"/>
        <n x="1"/>
        <n x="32"/>
        <n x="1337" s="1"/>
      </t>
    </mdx>
    <mdx n="33" f="v">
      <t c="4">
        <n x="768"/>
        <n x="14"/>
        <n x="7"/>
        <n x="1337" s="1"/>
      </t>
    </mdx>
    <mdx n="33" f="v">
      <t c="3">
        <n x="251"/>
        <n x="1336"/>
        <n x="1337" s="1"/>
      </t>
    </mdx>
    <mdx n="33" f="v">
      <t c="4">
        <n x="636"/>
        <n x="12"/>
        <n x="32"/>
        <n x="1337" s="1"/>
      </t>
    </mdx>
    <mdx n="33" f="v">
      <t c="3" fi="0">
        <n x="574"/>
        <n x="1336"/>
        <n x="1337" s="1"/>
      </t>
    </mdx>
    <mdx n="33" f="v">
      <t c="4">
        <n x="336"/>
        <n x="0"/>
        <n x="32"/>
        <n x="1337" s="1"/>
      </t>
    </mdx>
    <mdx n="33" f="v">
      <t c="4">
        <n x="641"/>
        <n x="11"/>
        <n x="7"/>
        <n x="1337" s="1"/>
      </t>
    </mdx>
    <mdx n="33" f="v">
      <t c="4">
        <n x="678"/>
        <n x="14"/>
        <n x="32"/>
        <n x="1337" s="1"/>
      </t>
    </mdx>
    <mdx n="33" f="v">
      <t c="4" si="10">
        <n x="763"/>
        <n x="1"/>
        <n x="32"/>
        <n x="1337" s="1"/>
      </t>
    </mdx>
    <mdx n="33" f="v">
      <t c="6">
        <n x="15"/>
        <n x="1337" s="1"/>
        <n x="41"/>
        <n x="32"/>
        <n x="20"/>
        <n x="2"/>
      </t>
    </mdx>
    <mdx n="33" f="v">
      <t c="4">
        <n x="670"/>
        <n x="12"/>
        <n x="32"/>
        <n x="1337" s="1"/>
      </t>
    </mdx>
    <mdx n="33" f="v">
      <t c="4" si="10">
        <n x="734"/>
        <n x="14"/>
        <n x="32"/>
        <n x="1337" s="1"/>
      </t>
    </mdx>
    <mdx n="33" f="v">
      <t c="4">
        <n x="632"/>
        <n x="1"/>
        <n x="7"/>
        <n x="1337" s="1"/>
      </t>
    </mdx>
    <mdx n="33" f="v">
      <t c="4" si="10">
        <n x="802"/>
        <n x="0"/>
        <n x="32"/>
        <n x="1337" s="1"/>
      </t>
    </mdx>
    <mdx n="33" f="v">
      <t c="4" si="10">
        <n x="512"/>
        <n x="0"/>
        <n x="32"/>
        <n x="1337" s="1"/>
      </t>
    </mdx>
    <mdx n="33" f="v">
      <t c="4">
        <n x="361"/>
        <n x="12"/>
        <n x="7"/>
        <n x="1337" s="1"/>
      </t>
    </mdx>
    <mdx n="33" f="v">
      <t c="4">
        <n x="626"/>
        <n x="0"/>
        <n x="32"/>
        <n x="1337" s="1"/>
      </t>
    </mdx>
    <mdx n="33" f="v">
      <t c="4" si="9">
        <n x="547"/>
        <n x="0"/>
        <n x="7"/>
        <n x="1337" s="1"/>
      </t>
    </mdx>
    <mdx n="33" f="v">
      <t c="4">
        <n x="752"/>
        <n x="0"/>
        <n x="7"/>
        <n x="1337" s="1"/>
      </t>
    </mdx>
    <mdx n="33" f="v">
      <t c="4">
        <n x="535"/>
        <n x="0"/>
        <n x="7"/>
        <n x="1337" s="1"/>
      </t>
    </mdx>
    <mdx n="33" f="v">
      <t c="4" si="10">
        <n x="751"/>
        <n x="0"/>
        <n x="32"/>
        <n x="1337" s="1"/>
      </t>
    </mdx>
    <mdx n="33" f="v">
      <t c="4">
        <n x="539"/>
        <n x="0"/>
        <n x="7"/>
        <n x="1337" s="1"/>
      </t>
    </mdx>
    <mdx n="33" f="v">
      <t c="4" si="10">
        <n x="624"/>
        <n x="12"/>
        <n x="32"/>
        <n x="1337" s="1"/>
      </t>
    </mdx>
    <mdx n="33" f="v">
      <t c="4">
        <n x="749"/>
        <n x="11"/>
        <n x="7"/>
        <n x="1337" s="1"/>
      </t>
    </mdx>
    <mdx n="33" f="v">
      <t c="4">
        <n x="610"/>
        <n x="12"/>
        <n x="7"/>
        <n x="1337" s="1"/>
      </t>
    </mdx>
    <mdx n="33" f="v">
      <t c="4">
        <n x="774"/>
        <n x="11"/>
        <n x="7"/>
        <n x="1337" s="1"/>
      </t>
    </mdx>
    <mdx n="33" f="v">
      <t c="4" si="10">
        <n x="715"/>
        <n x="14"/>
        <n x="32"/>
        <n x="1337" s="1"/>
      </t>
    </mdx>
    <mdx n="33" f="v">
      <t c="4">
        <n x="901"/>
        <n x="12"/>
        <n x="32"/>
        <n x="1337" s="1"/>
      </t>
    </mdx>
    <mdx n="33" f="v">
      <t c="4" si="10">
        <n x="1050"/>
        <n x="1"/>
        <n x="32"/>
        <n x="1337" s="1"/>
      </t>
    </mdx>
    <mdx n="33" f="v">
      <t c="4">
        <n x="583"/>
        <n x="14"/>
        <n x="7"/>
        <n x="1337" s="1"/>
      </t>
    </mdx>
    <mdx n="33" f="v">
      <t c="4" si="10">
        <n x="630"/>
        <n x="14"/>
        <n x="32"/>
        <n x="1337" s="1"/>
      </t>
    </mdx>
    <mdx n="33" f="v">
      <t c="4" si="10">
        <n x="751"/>
        <n x="1"/>
        <n x="32"/>
        <n x="1337" s="1"/>
      </t>
    </mdx>
    <mdx n="33" f="v">
      <t c="3">
        <n x="613"/>
        <n x="1336"/>
        <n x="1337" s="1"/>
      </t>
    </mdx>
    <mdx n="33" f="v">
      <t c="4">
        <n x="775"/>
        <n x="11"/>
        <n x="32"/>
        <n x="1337" s="1"/>
      </t>
    </mdx>
    <mdx n="33" f="v">
      <t c="4">
        <n x="834"/>
        <n x="11"/>
        <n x="7"/>
        <n x="1337" s="1"/>
      </t>
    </mdx>
    <mdx n="33" f="v">
      <t c="4">
        <n x="685"/>
        <n x="0"/>
        <n x="32"/>
        <n x="1337" s="1"/>
      </t>
    </mdx>
    <mdx n="33" f="v">
      <t c="4">
        <n x="816"/>
        <n x="0"/>
        <n x="7"/>
        <n x="1337" s="1"/>
      </t>
    </mdx>
    <mdx n="33" f="v">
      <t c="4" si="10">
        <n x="864"/>
        <n x="1"/>
        <n x="32"/>
        <n x="1337" s="1"/>
      </t>
    </mdx>
    <mdx n="33" f="v">
      <t c="4">
        <n x="894"/>
        <n x="11"/>
        <n x="7"/>
        <n x="1337" s="1"/>
      </t>
    </mdx>
    <mdx n="33" f="v">
      <t c="4">
        <n x="925"/>
        <n x="0"/>
        <n x="7"/>
        <n x="1337" s="1"/>
      </t>
    </mdx>
    <mdx n="33" f="v">
      <t c="4">
        <n x="968"/>
        <n x="12"/>
        <n x="7"/>
        <n x="1337" s="1"/>
      </t>
    </mdx>
    <mdx n="33" f="v">
      <t c="3">
        <n x="1035"/>
        <n x="1336"/>
        <n x="1337" s="1"/>
      </t>
    </mdx>
    <mdx n="33" f="v">
      <t c="4">
        <n x="1102"/>
        <n x="1"/>
        <n x="32"/>
        <n x="1337" s="1"/>
      </t>
    </mdx>
    <mdx n="33" f="v">
      <t c="4">
        <n x="1246"/>
        <n x="12"/>
        <n x="7"/>
        <n x="1337" s="1"/>
      </t>
    </mdx>
    <mdx n="33" f="v">
      <t c="4">
        <n x="975"/>
        <n x="14"/>
        <n x="7"/>
        <n x="1337" s="1"/>
      </t>
    </mdx>
    <mdx n="33" f="v">
      <t c="4">
        <n x="272"/>
        <n x="14"/>
        <n x="7"/>
        <n x="1337" s="1"/>
      </t>
    </mdx>
    <mdx n="33" f="v">
      <t c="3" fi="0">
        <n x="521"/>
        <n x="1336"/>
        <n x="1337" s="1"/>
      </t>
    </mdx>
    <mdx n="33" f="v">
      <t c="4" si="10">
        <n x="463"/>
        <n x="0"/>
        <n x="32"/>
        <n x="1337" s="1"/>
      </t>
    </mdx>
    <mdx n="33" f="v">
      <t c="4" si="10">
        <n x="661"/>
        <n x="14"/>
        <n x="32"/>
        <n x="1337" s="1"/>
      </t>
    </mdx>
    <mdx n="33" f="v">
      <t c="4" si="9">
        <n x="557"/>
        <n x="12"/>
        <n x="7"/>
        <n x="1337" s="1"/>
      </t>
    </mdx>
    <mdx n="33" f="v">
      <t c="4">
        <n x="684"/>
        <n x="14"/>
        <n x="32"/>
        <n x="1337" s="1"/>
      </t>
    </mdx>
    <mdx n="33" f="v">
      <t c="4">
        <n x="717"/>
        <n x="11"/>
        <n x="7"/>
        <n x="1337" s="1"/>
      </t>
    </mdx>
    <mdx n="33" f="v">
      <t c="3">
        <n x="817"/>
        <n x="1336"/>
        <n x="1337" s="1"/>
      </t>
    </mdx>
    <mdx n="33" f="v">
      <t c="4">
        <n x="716"/>
        <n x="11"/>
        <n x="32"/>
        <n x="1337" s="1"/>
      </t>
    </mdx>
    <mdx n="33" f="v">
      <t c="4">
        <n x="815"/>
        <n x="11"/>
        <n x="7"/>
        <n x="1337" s="1"/>
      </t>
    </mdx>
    <mdx n="33" f="v">
      <t c="3" fi="0">
        <n x="517"/>
        <n x="1336"/>
        <n x="1337" s="1"/>
      </t>
    </mdx>
    <mdx n="33" f="v">
      <t c="4">
        <n x="682"/>
        <n x="11"/>
        <n x="7"/>
        <n x="1337" s="1"/>
      </t>
    </mdx>
    <mdx n="33" f="v">
      <t c="4">
        <n x="717"/>
        <n x="1"/>
        <n x="7"/>
        <n x="1337" s="1"/>
      </t>
    </mdx>
    <mdx n="33" f="v">
      <t c="4">
        <n x="741"/>
        <n x="1"/>
        <n x="7"/>
        <n x="1337" s="1"/>
      </t>
    </mdx>
    <mdx n="33" f="v">
      <t c="4">
        <n x="764"/>
        <n x="14"/>
        <n x="7"/>
        <n x="1337" s="1"/>
      </t>
    </mdx>
    <mdx n="33" f="v">
      <t c="4">
        <n x="794"/>
        <n x="11"/>
        <n x="32"/>
        <n x="1337" s="1"/>
      </t>
    </mdx>
    <mdx n="33" f="v">
      <t c="4">
        <n x="817"/>
        <n x="12"/>
        <n x="32"/>
        <n x="1337" s="1"/>
      </t>
    </mdx>
    <mdx n="33" f="v">
      <t c="4" si="10">
        <n x="841"/>
        <n x="0"/>
        <n x="32"/>
        <n x="1337" s="1"/>
      </t>
    </mdx>
    <mdx n="33" f="v">
      <t c="4" si="10">
        <n x="676"/>
        <n x="11"/>
        <n x="32"/>
        <n x="1337" s="1"/>
      </t>
    </mdx>
    <mdx n="33" f="v">
      <t c="4">
        <n x="779"/>
        <n x="14"/>
        <n x="7"/>
        <n x="1337" s="1"/>
      </t>
    </mdx>
    <mdx n="33" f="v">
      <t c="4" si="10">
        <n x="845"/>
        <n x="1"/>
        <n x="32"/>
        <n x="1337" s="1"/>
      </t>
    </mdx>
    <mdx n="33" f="v">
      <t c="4" si="10">
        <n x="870"/>
        <n x="11"/>
        <n x="32"/>
        <n x="1337" s="1"/>
      </t>
    </mdx>
    <mdx n="33" f="v">
      <t c="4">
        <n x="893"/>
        <n x="12"/>
        <n x="32"/>
        <n x="1337" s="1"/>
      </t>
    </mdx>
    <mdx n="33" f="v">
      <t c="4">
        <n x="917"/>
        <n x="0"/>
        <n x="32"/>
        <n x="1337" s="1"/>
      </t>
    </mdx>
    <mdx n="33" f="v">
      <t c="4">
        <n x="940"/>
        <n x="11"/>
        <n x="32"/>
        <n x="1337" s="1"/>
      </t>
    </mdx>
    <mdx n="33" f="v">
      <t c="4">
        <n x="981"/>
        <n x="0"/>
        <n x="7"/>
        <n x="1337" s="1"/>
      </t>
    </mdx>
    <mdx n="33" f="v">
      <t c="4">
        <n x="1033"/>
        <n x="0"/>
        <n x="32"/>
        <n x="1337" s="1"/>
      </t>
    </mdx>
    <mdx n="33" f="v">
      <t c="4">
        <n x="1084"/>
        <n x="12"/>
        <n x="7"/>
        <n x="1337" s="1"/>
      </t>
    </mdx>
    <mdx n="33" f="v">
      <t c="4">
        <n x="1152"/>
        <n x="12"/>
        <n x="7"/>
        <n x="1337" s="1"/>
      </t>
    </mdx>
    <mdx n="33" f="v">
      <t c="4">
        <n x="1280"/>
        <n x="12"/>
        <n x="7"/>
        <n x="1337" s="1"/>
      </t>
    </mdx>
    <mdx n="33" f="v">
      <t c="4">
        <n x="987"/>
        <n x="14"/>
        <n x="7"/>
        <n x="1337" s="1"/>
      </t>
    </mdx>
    <mdx n="33" f="v">
      <t c="4">
        <n x="411"/>
        <n x="14"/>
        <n x="7"/>
        <n x="1337" s="1"/>
      </t>
    </mdx>
    <mdx n="33" f="v">
      <t c="4">
        <n x="149"/>
        <n x="14"/>
        <n x="7"/>
        <n x="1337" s="1"/>
      </t>
    </mdx>
    <mdx n="33" f="v">
      <t c="4">
        <n x="671"/>
        <n x="0"/>
        <n x="7"/>
        <n x="1337" s="1"/>
      </t>
    </mdx>
    <mdx n="33" f="v">
      <t c="4">
        <n x="776"/>
        <n x="14"/>
        <n x="32"/>
        <n x="1337" s="1"/>
      </t>
    </mdx>
    <mdx n="33" f="v">
      <t c="4" si="10">
        <n x="844"/>
        <n x="11"/>
        <n x="32"/>
        <n x="1337" s="1"/>
      </t>
    </mdx>
    <mdx n="33" f="v">
      <t c="4">
        <n x="869"/>
        <n x="11"/>
        <n x="7"/>
        <n x="1337" s="1"/>
      </t>
    </mdx>
    <mdx n="33" f="v">
      <t c="4">
        <n x="893"/>
        <n x="12"/>
        <n x="7"/>
        <n x="1337" s="1"/>
      </t>
    </mdx>
    <mdx n="33" f="v">
      <t c="4" si="10">
        <n x="456"/>
        <n x="0"/>
        <n x="32"/>
        <n x="1337" s="1"/>
      </t>
    </mdx>
    <mdx n="33" f="v">
      <t c="4">
        <n x="635"/>
        <n x="14"/>
        <n x="32"/>
        <n x="1337" s="1"/>
      </t>
    </mdx>
    <mdx n="33" f="v">
      <t c="4" si="10">
        <n x="702"/>
        <n x="12"/>
        <n x="32"/>
        <n x="1337" s="1"/>
      </t>
    </mdx>
    <mdx n="33" f="v">
      <t c="4">
        <n x="806"/>
        <n x="11"/>
        <n x="32"/>
        <n x="1337" s="1"/>
      </t>
    </mdx>
    <mdx n="33" f="v">
      <t c="4" si="10">
        <n x="830"/>
        <n x="0"/>
        <n x="32"/>
        <n x="1337" s="1"/>
      </t>
    </mdx>
    <mdx n="33" f="v">
      <t c="4">
        <n x="929"/>
        <n x="0"/>
        <n x="32"/>
        <n x="1337" s="1"/>
      </t>
    </mdx>
    <mdx n="33" f="v">
      <t c="4">
        <n x="1110"/>
        <n x="1"/>
        <n x="32"/>
        <n x="1337" s="1"/>
      </t>
    </mdx>
    <mdx n="33" f="v">
      <t c="4">
        <n x="291"/>
        <n x="14"/>
        <n x="7"/>
        <n x="1337" s="1"/>
      </t>
    </mdx>
    <mdx n="33" f="v">
      <t c="4">
        <n x="758"/>
        <n x="12"/>
        <n x="7"/>
        <n x="1337" s="1"/>
      </t>
    </mdx>
    <mdx n="33" f="v">
      <t c="4" si="10">
        <n x="849"/>
        <n x="1"/>
        <n x="32"/>
        <n x="1337" s="1"/>
      </t>
    </mdx>
    <mdx n="33" f="v">
      <t c="4">
        <n x="881"/>
        <n x="12"/>
        <n x="7"/>
        <n x="1337" s="1"/>
      </t>
    </mdx>
    <mdx n="33" f="v">
      <t c="4">
        <n x="909"/>
        <n x="11"/>
        <n x="7"/>
        <n x="1337" s="1"/>
      </t>
    </mdx>
    <mdx n="33" f="v">
      <t c="4">
        <n x="933"/>
        <n x="12"/>
        <n x="7"/>
        <n x="1337" s="1"/>
      </t>
    </mdx>
    <mdx n="33" f="v">
      <t c="4">
        <n x="966"/>
        <n x="0"/>
        <n x="32"/>
        <n x="1337" s="1"/>
      </t>
    </mdx>
    <mdx n="33" f="v">
      <t c="4">
        <n x="1017"/>
        <n x="12"/>
        <n x="7"/>
        <n x="1337" s="1"/>
      </t>
    </mdx>
    <mdx n="33" f="v">
      <t c="3">
        <n x="1068"/>
        <n x="1336"/>
        <n x="1337" s="1"/>
      </t>
    </mdx>
    <mdx n="33" f="v">
      <t c="4" si="10">
        <n x="1119"/>
        <n x="1"/>
        <n x="32"/>
        <n x="1337" s="1"/>
      </t>
    </mdx>
    <mdx n="33" f="v">
      <t c="4" si="10">
        <n x="1241"/>
        <n x="0"/>
        <n x="32"/>
        <n x="1337" s="1"/>
      </t>
    </mdx>
    <mdx n="33" f="v">
      <t c="4">
        <n x="1066"/>
        <n x="14"/>
        <n x="7"/>
        <n x="1337" s="1"/>
      </t>
    </mdx>
    <mdx n="33" f="v">
      <t c="4" si="9">
        <n x="494"/>
        <n x="14"/>
        <n x="7"/>
        <n x="1337" s="1"/>
      </t>
    </mdx>
    <mdx n="33" f="v">
      <t c="4" si="9">
        <n x="672"/>
        <n x="12"/>
        <n x="7"/>
        <n x="1337" s="1"/>
      </t>
    </mdx>
    <mdx n="33" f="v">
      <t c="4">
        <n x="776"/>
        <n x="14"/>
        <n x="7"/>
        <n x="1337" s="1"/>
      </t>
    </mdx>
    <mdx n="33" f="v">
      <t c="6" si="10">
        <n x="15"/>
        <n x="1337" s="1"/>
        <n x="43"/>
        <n x="32"/>
        <n x="23"/>
        <n x="0"/>
      </t>
    </mdx>
    <mdx n="33" f="v">
      <t c="4" si="9">
        <n x="449"/>
        <n x="12"/>
        <n x="7"/>
        <n x="1337" s="1"/>
      </t>
    </mdx>
    <mdx n="33" f="v">
      <t c="4">
        <n x="622"/>
        <n x="14"/>
        <n x="32"/>
        <n x="1337" s="1"/>
      </t>
    </mdx>
    <mdx n="33" f="v">
      <t c="3">
        <n x="400"/>
        <n x="1336"/>
        <n x="1337" s="1"/>
      </t>
    </mdx>
    <mdx n="33" f="v">
      <t c="4" si="9">
        <n x="665"/>
        <n x="12"/>
        <n x="7"/>
        <n x="1337" s="1"/>
      </t>
    </mdx>
    <mdx n="33" f="v">
      <t c="4">
        <n x="545"/>
        <n x="0"/>
        <n x="32"/>
        <n x="1337" s="1"/>
      </t>
    </mdx>
    <mdx n="33" f="v">
      <t c="4">
        <n x="792"/>
        <n x="11"/>
        <n x="7"/>
        <n x="1337" s="1"/>
      </t>
    </mdx>
    <mdx n="33" f="v">
      <t c="4" si="10">
        <n x="561"/>
        <n x="0"/>
        <n x="32"/>
        <n x="1337" s="1"/>
      </t>
    </mdx>
    <mdx n="33" f="v">
      <t c="4">
        <n x="678"/>
        <n x="0"/>
        <n x="32"/>
        <n x="1337" s="1"/>
      </t>
    </mdx>
    <mdx n="33" f="v">
      <t c="4">
        <n x="741"/>
        <n x="11"/>
        <n x="7"/>
        <n x="1337" s="1"/>
      </t>
    </mdx>
    <mdx n="33" f="v">
      <t c="4" si="10">
        <n x="667"/>
        <n x="14"/>
        <n x="32"/>
        <n x="1337" s="1"/>
      </t>
    </mdx>
    <mdx n="33" f="v">
      <t c="4">
        <n x="809"/>
        <n x="1"/>
        <n x="32"/>
        <n x="1337" s="1"/>
      </t>
    </mdx>
    <mdx n="33" f="v">
      <t c="4" si="10">
        <n x="576"/>
        <n x="0"/>
        <n x="32"/>
        <n x="1337" s="1"/>
      </t>
    </mdx>
    <mdx n="33" f="v">
      <t c="4">
        <n x="411"/>
        <n x="12"/>
        <n x="7"/>
        <n x="1337" s="1"/>
      </t>
    </mdx>
    <mdx n="33" f="v">
      <t c="4">
        <n x="631"/>
        <n x="11"/>
        <n x="7"/>
        <n x="1337" s="1"/>
      </t>
    </mdx>
    <mdx n="33" f="v">
      <t c="4" si="10">
        <n x="599"/>
        <n x="0"/>
        <n x="32"/>
        <n x="1337" s="1"/>
      </t>
    </mdx>
    <mdx n="33" f="v">
      <t c="3">
        <n x="758"/>
        <n x="1336"/>
        <n x="1337" s="1"/>
      </t>
    </mdx>
    <mdx n="33" f="v">
      <t c="4" si="10">
        <n x="587"/>
        <n x="0"/>
        <n x="32"/>
        <n x="1337" s="1"/>
      </t>
    </mdx>
    <mdx n="33" f="v">
      <t c="4" si="9">
        <n x="756"/>
        <n x="11"/>
        <n x="7"/>
        <n x="1337" s="1"/>
      </t>
    </mdx>
    <mdx n="33" f="v">
      <t c="4" si="10">
        <n x="591"/>
        <n x="0"/>
        <n x="32"/>
        <n x="1337" s="1"/>
      </t>
    </mdx>
    <mdx n="33" f="v">
      <t c="4">
        <n x="354"/>
        <n x="0"/>
        <n x="32"/>
        <n x="1337" s="1"/>
      </t>
    </mdx>
    <mdx n="33" f="v">
      <t c="4" si="10">
        <n x="775"/>
        <n x="0"/>
        <n x="32"/>
        <n x="1337" s="1"/>
      </t>
    </mdx>
    <mdx n="33" f="v">
      <t c="4">
        <n x="646"/>
        <n x="12"/>
        <n x="7"/>
        <n x="1337" s="1"/>
      </t>
    </mdx>
    <mdx n="33" f="v">
      <t c="4">
        <n x="782"/>
        <n x="11"/>
        <n x="7"/>
        <n x="1337" s="1"/>
      </t>
    </mdx>
    <mdx n="33" f="v">
      <t c="4">
        <n x="738"/>
        <n x="11"/>
        <n x="7"/>
        <n x="1337" s="1"/>
      </t>
    </mdx>
    <mdx n="33" f="v">
      <t c="4" si="10">
        <n x="907"/>
        <n x="14"/>
        <n x="32"/>
        <n x="1337" s="1"/>
      </t>
    </mdx>
    <mdx n="33" f="v">
      <t c="3">
        <n x="1063"/>
        <n x="1336"/>
        <n x="1337" s="1"/>
      </t>
    </mdx>
    <mdx n="33" f="v">
      <t c="4" si="9">
        <n x="519"/>
        <n x="14"/>
        <n x="7"/>
        <n x="1337" s="1"/>
      </t>
    </mdx>
    <mdx n="33" f="v">
      <t c="4">
        <n x="404"/>
        <n x="0"/>
        <n x="32"/>
        <n x="1337" s="1"/>
      </t>
    </mdx>
    <mdx n="33" f="v">
      <t c="4" si="10">
        <n x="777"/>
        <n x="0"/>
        <n x="32"/>
        <n x="1337" s="1"/>
      </t>
    </mdx>
    <mdx n="33" f="v">
      <t c="4">
        <n x="649"/>
        <n x="0"/>
        <n x="32"/>
        <n x="1337" s="1"/>
      </t>
    </mdx>
    <mdx n="33" f="v">
      <t c="4" si="10">
        <n x="783"/>
        <n x="11"/>
        <n x="32"/>
        <n x="1337" s="1"/>
      </t>
    </mdx>
    <mdx n="33" f="v">
      <t c="4" si="10">
        <n x="836"/>
        <n x="1"/>
        <n x="32"/>
        <n x="1337" s="1"/>
      </t>
    </mdx>
    <mdx n="33" f="v">
      <t c="4" si="10">
        <n x="692"/>
        <n x="12"/>
        <n x="32"/>
        <n x="1337" s="1"/>
      </t>
    </mdx>
    <mdx n="33" f="v">
      <t c="4" si="10">
        <n x="828"/>
        <n x="0"/>
        <n x="32"/>
        <n x="1337" s="1"/>
      </t>
    </mdx>
    <mdx n="33" f="v">
      <t c="4" si="10">
        <n x="865"/>
        <n x="12"/>
        <n x="32"/>
        <n x="1337" s="1"/>
      </t>
    </mdx>
    <mdx n="33" f="v">
      <t c="4" si="10">
        <n x="896"/>
        <n x="1"/>
        <n x="32"/>
        <n x="1337" s="1"/>
      </t>
    </mdx>
    <mdx n="33" f="v">
      <t c="4">
        <n x="928"/>
        <n x="1"/>
        <n x="32"/>
        <n x="1337" s="1"/>
      </t>
    </mdx>
    <mdx n="33" f="v">
      <t c="3">
        <n x="971"/>
        <n x="1336"/>
        <n x="1337" s="1"/>
      </t>
    </mdx>
    <mdx n="33" f="v">
      <t c="4" si="10">
        <n x="1038"/>
        <n x="1"/>
        <n x="32"/>
        <n x="1337" s="1"/>
      </t>
    </mdx>
    <mdx n="33" f="v">
      <t c="4" si="10">
        <n x="1109"/>
        <n x="0"/>
        <n x="32"/>
        <n x="1337" s="1"/>
      </t>
    </mdx>
    <mdx n="33" f="v">
      <t c="4">
        <n x="1254"/>
        <n x="12"/>
        <n x="7"/>
        <n x="1337" s="1"/>
      </t>
    </mdx>
    <mdx n="33" f="v">
      <t c="4">
        <n x="959"/>
        <n x="14"/>
        <n x="7"/>
        <n x="1337" s="1"/>
      </t>
    </mdx>
    <mdx n="33" f="v">
      <t c="4">
        <n x="299"/>
        <n x="14"/>
        <n x="7"/>
        <n x="1337" s="1"/>
      </t>
    </mdx>
    <mdx n="33" f="v">
      <t c="4">
        <n x="572"/>
        <n x="1"/>
        <n x="32"/>
        <n x="1337" s="1"/>
      </t>
    </mdx>
    <mdx n="33" f="v">
      <t c="4">
        <n x="251"/>
        <n x="11"/>
        <n x="32"/>
        <n x="1337" s="1"/>
      </t>
    </mdx>
    <mdx n="33" f="v">
      <t c="6" si="9">
        <n x="15"/>
        <n x="1337" s="1"/>
        <n x="39"/>
        <n x="7"/>
        <n x="19"/>
        <n x="3"/>
      </t>
    </mdx>
    <mdx n="33" f="v">
      <t c="4" si="10">
        <n x="570"/>
        <n x="0"/>
        <n x="32"/>
        <n x="1337" s="1"/>
      </t>
    </mdx>
    <mdx n="33" f="v">
      <t c="4">
        <n x="690"/>
        <n x="0"/>
        <n x="7"/>
        <n x="1337" s="1"/>
      </t>
    </mdx>
    <mdx n="33" f="v">
      <t c="4">
        <n x="723"/>
        <n x="1"/>
        <n x="7"/>
        <n x="1337" s="1"/>
      </t>
    </mdx>
    <mdx n="33" f="v">
      <t c="4">
        <n x="823"/>
        <n x="0"/>
        <n x="32"/>
        <n x="1337" s="1"/>
      </t>
    </mdx>
    <mdx n="33" f="v">
      <t c="4" si="10">
        <n x="722"/>
        <n x="1"/>
        <n x="32"/>
        <n x="1337" s="1"/>
      </t>
    </mdx>
    <mdx n="33" f="v">
      <t c="4">
        <n x="818"/>
        <n x="12"/>
        <n x="32"/>
        <n x="1337" s="1"/>
      </t>
    </mdx>
    <mdx n="33" f="v">
      <t c="3" fi="0">
        <n x="533"/>
        <n x="1336"/>
        <n x="1337" s="1"/>
      </t>
    </mdx>
    <mdx n="33" f="v">
      <t c="4">
        <n x="685"/>
        <n x="11"/>
        <n x="7"/>
        <n x="1337" s="1"/>
      </t>
    </mdx>
    <mdx n="33" f="v">
      <t c="4">
        <n x="719"/>
        <n x="11"/>
        <n x="7"/>
        <n x="1337" s="1"/>
      </t>
    </mdx>
    <mdx n="33" f="v">
      <t c="4">
        <n x="743"/>
        <n x="12"/>
        <n x="7"/>
        <n x="1337" s="1"/>
      </t>
    </mdx>
    <mdx n="33" f="v">
      <t c="4" si="9">
        <n x="766"/>
        <n x="0"/>
        <n x="7"/>
        <n x="1337" s="1"/>
      </t>
    </mdx>
    <mdx n="33" f="v">
      <t c="4">
        <n x="795"/>
        <n x="14"/>
        <n x="7"/>
        <n x="1337" s="1"/>
      </t>
    </mdx>
    <mdx n="33" f="v">
      <t c="3">
        <n x="819"/>
        <n x="1336"/>
        <n x="1337" s="1"/>
      </t>
    </mdx>
    <mdx n="33" f="v">
      <t c="4">
        <n x="842"/>
        <n x="11"/>
        <n x="32"/>
        <n x="1337" s="1"/>
      </t>
    </mdx>
    <mdx n="33" f="v">
      <t c="4">
        <n x="686"/>
        <n x="14"/>
        <n x="7"/>
        <n x="1337" s="1"/>
      </t>
    </mdx>
    <mdx n="33" f="v">
      <t c="4">
        <n x="787"/>
        <n x="14"/>
        <n x="7"/>
        <n x="1337" s="1"/>
      </t>
    </mdx>
    <mdx n="33" f="v">
      <t c="4" si="10">
        <n x="847"/>
        <n x="1"/>
        <n x="32"/>
        <n x="1337" s="1"/>
      </t>
    </mdx>
    <mdx n="33" f="v">
      <t c="4">
        <n x="871"/>
        <n x="14"/>
        <n x="7"/>
        <n x="1337" s="1"/>
      </t>
    </mdx>
    <mdx n="33" f="v">
      <t c="3">
        <n x="895"/>
        <n x="1336"/>
        <n x="1337" s="1"/>
      </t>
    </mdx>
    <mdx n="33" f="v">
      <t c="4">
        <n x="918"/>
        <n x="11"/>
        <n x="32"/>
        <n x="1337" s="1"/>
      </t>
    </mdx>
    <mdx n="33" f="v">
      <t c="4">
        <n x="942"/>
        <n x="11"/>
        <n x="32"/>
        <n x="1337" s="1"/>
      </t>
    </mdx>
    <mdx n="33" f="v">
      <t c="4">
        <n x="985"/>
        <n x="0"/>
        <n x="32"/>
        <n x="1337" s="1"/>
      </t>
    </mdx>
    <mdx n="33" f="v">
      <t c="4">
        <n x="514"/>
        <n x="0"/>
        <n x="7"/>
        <n x="1337" s="1"/>
      </t>
    </mdx>
    <mdx n="33" f="v">
      <t c="4">
        <n x="591"/>
        <n x="1"/>
        <n x="32"/>
        <n x="1337" s="1"/>
      </t>
    </mdx>
    <mdx n="33" f="v">
      <t c="3">
        <n x="636"/>
        <n x="1336"/>
        <n x="1337" s="1"/>
      </t>
    </mdx>
    <mdx n="33" f="v">
      <t c="4" si="10">
        <n x="665"/>
        <n x="1"/>
        <n x="32"/>
        <n x="1337" s="1"/>
      </t>
    </mdx>
    <mdx n="33" f="v">
      <t c="4">
        <n x="197"/>
        <n x="12"/>
        <n x="7"/>
        <n x="1337" s="1"/>
      </t>
    </mdx>
    <mdx n="33" f="v">
      <t c="4">
        <n x="627"/>
        <n x="14"/>
        <n x="7"/>
        <n x="1337" s="1"/>
      </t>
    </mdx>
    <mdx n="33" f="v">
      <t c="4">
        <n x="698"/>
        <n x="14"/>
        <n x="32"/>
        <n x="1337" s="1"/>
      </t>
    </mdx>
    <mdx n="33" f="v">
      <t c="4">
        <n x="733"/>
        <n x="11"/>
        <n x="32"/>
        <n x="1337" s="1"/>
      </t>
    </mdx>
    <mdx n="33" f="v">
      <t c="4">
        <n x="762"/>
        <n x="14"/>
        <n x="32"/>
        <n x="1337" s="1"/>
      </t>
    </mdx>
    <mdx n="33" f="v">
      <t c="4">
        <n x="797"/>
        <n x="14"/>
        <n x="7"/>
        <n x="1337" s="1"/>
      </t>
    </mdx>
    <mdx n="33" f="v">
      <t c="4">
        <n x="126"/>
        <n x="0"/>
        <n x="32"/>
        <n x="1337" s="1"/>
      </t>
    </mdx>
    <mdx n="33" f="v">
      <t c="4">
        <n x="622"/>
        <n x="11"/>
        <n x="32"/>
        <n x="1337" s="1"/>
      </t>
    </mdx>
    <mdx n="33" f="v">
      <t c="3">
        <n x="697"/>
        <n x="1336"/>
        <n x="1337" s="1"/>
      </t>
    </mdx>
    <mdx n="33" f="v">
      <t c="4">
        <n x="732"/>
        <n x="12"/>
        <n x="7"/>
        <n x="1337" s="1"/>
      </t>
    </mdx>
    <mdx n="33" f="v">
      <t c="4">
        <n x="755"/>
        <n x="0"/>
        <n x="7"/>
        <n x="1337" s="1"/>
      </t>
    </mdx>
    <mdx n="33" f="v">
      <t c="4">
        <n x="782"/>
        <n x="12"/>
        <n x="32"/>
        <n x="1337" s="1"/>
      </t>
    </mdx>
    <mdx n="33" f="v">
      <t c="3">
        <n x="808"/>
        <n x="1336"/>
        <n x="1337" s="1"/>
      </t>
    </mdx>
    <mdx n="33" f="v">
      <t c="4">
        <n x="165"/>
        <n x="12"/>
        <n x="7"/>
        <n x="1337" s="1"/>
      </t>
    </mdx>
    <mdx n="33" f="v">
      <t c="4" si="9">
        <n x="578"/>
        <n x="12"/>
        <n x="7"/>
        <n x="1337" s="1"/>
      </t>
    </mdx>
    <mdx n="33" f="v">
      <t c="4">
        <n x="681"/>
        <n x="0"/>
        <n x="7"/>
        <n x="1337" s="1"/>
      </t>
    </mdx>
    <mdx n="33" f="v">
      <t c="4">
        <n x="709"/>
        <n x="1"/>
        <n x="32"/>
        <n x="1337" s="1"/>
      </t>
    </mdx>
    <mdx n="33" f="v">
      <t c="6">
        <n x="15"/>
        <n x="1337" s="1"/>
        <n x="38"/>
        <n x="7"/>
        <n x="18"/>
        <n x="0"/>
      </t>
    </mdx>
    <mdx n="33" f="v">
      <t c="4">
        <n x="173"/>
        <n x="12"/>
        <n x="7"/>
        <n x="1337" s="1"/>
      </t>
    </mdx>
    <mdx n="33" f="v">
      <t c="4" si="9">
        <n x="460"/>
        <n x="12"/>
        <n x="7"/>
        <n x="1337" s="1"/>
      </t>
    </mdx>
    <mdx n="33" f="v">
      <t c="4">
        <n x="640"/>
        <n x="14"/>
        <n x="7"/>
        <n x="1337" s="1"/>
      </t>
    </mdx>
    <mdx n="33" f="v">
      <t c="4">
        <n x="646"/>
        <n x="11"/>
        <n x="7"/>
        <n x="1337" s="1"/>
      </t>
    </mdx>
    <mdx n="33" f="v">
      <t c="4" si="10">
        <n x="767"/>
        <n x="1"/>
        <n x="32"/>
        <n x="1337" s="1"/>
      </t>
    </mdx>
    <mdx n="33" f="v">
      <t c="4">
        <n x="641"/>
        <n x="0"/>
        <n x="7"/>
        <n x="1337" s="1"/>
      </t>
    </mdx>
    <mdx n="33" f="v">
      <t c="4" si="9">
        <n x="765"/>
        <n x="14"/>
        <n x="7"/>
        <n x="1337" s="1"/>
      </t>
    </mdx>
    <mdx n="33" f="v">
      <t c="4">
        <n x="225"/>
        <n x="12"/>
        <n x="7"/>
        <n x="1337" s="1"/>
      </t>
    </mdx>
    <mdx n="33" f="v">
      <t c="4">
        <n x="638"/>
        <n x="11"/>
        <n x="7"/>
        <n x="1337" s="1"/>
      </t>
    </mdx>
    <mdx n="33" f="v">
      <t c="4">
        <n x="703"/>
        <n x="12"/>
        <n x="7"/>
        <n x="1337" s="1"/>
      </t>
    </mdx>
    <mdx n="33" f="v">
      <t c="4">
        <n x="730"/>
        <n x="12"/>
        <n x="32"/>
        <n x="1337" s="1"/>
      </t>
    </mdx>
    <mdx n="33" f="v">
      <t c="4" si="10">
        <n x="754"/>
        <n x="0"/>
        <n x="32"/>
        <n x="1337" s="1"/>
      </t>
    </mdx>
    <mdx n="33" f="v">
      <t c="4">
        <n x="780"/>
        <n x="11"/>
        <n x="7"/>
        <n x="1337" s="1"/>
      </t>
    </mdx>
    <mdx n="33" f="v">
      <t c="4">
        <n x="806"/>
        <n x="11"/>
        <n x="7"/>
        <n x="1337" s="1"/>
      </t>
    </mdx>
    <mdx n="33" f="v">
      <t c="4">
        <n x="830"/>
        <n x="12"/>
        <n x="7"/>
        <n x="1337" s="1"/>
      </t>
    </mdx>
    <mdx n="33" f="v">
      <t c="4">
        <n x="181"/>
        <n x="12"/>
        <n x="7"/>
        <n x="1337" s="1"/>
      </t>
    </mdx>
    <mdx n="33" f="v">
      <t c="4">
        <n x="733"/>
        <n x="0"/>
        <n x="32"/>
        <n x="1337" s="1"/>
      </t>
    </mdx>
    <mdx n="33" f="v">
      <t c="4">
        <n x="830"/>
        <n x="12"/>
        <n x="32"/>
        <n x="1337" s="1"/>
      </t>
    </mdx>
    <mdx n="33" f="v">
      <t c="4" si="10">
        <n x="859"/>
        <n x="14"/>
        <n x="32"/>
        <n x="1337" s="1"/>
      </t>
    </mdx>
    <mdx n="33" f="v">
      <t c="4" si="9">
        <n x="882"/>
        <n x="11"/>
        <n x="7"/>
        <n x="1337" s="1"/>
      </t>
    </mdx>
    <mdx n="33" f="v">
      <t c="4">
        <n x="906"/>
        <n x="12"/>
        <n x="7"/>
        <n x="1337" s="1"/>
      </t>
    </mdx>
    <mdx n="33" f="v">
      <t c="4">
        <n x="929"/>
        <n x="0"/>
        <n x="7"/>
        <n x="1337" s="1"/>
      </t>
    </mdx>
    <mdx n="33" f="v">
      <t c="4">
        <n x="957"/>
        <n x="0"/>
        <n x="7"/>
        <n x="1337" s="1"/>
      </t>
    </mdx>
    <mdx n="33" f="v">
      <t c="4" si="10">
        <n x="1009"/>
        <n x="0"/>
        <n x="32"/>
        <n x="1337" s="1"/>
      </t>
    </mdx>
    <mdx n="33" f="v">
      <t c="4">
        <n x="1060"/>
        <n x="12"/>
        <n x="7"/>
        <n x="1337" s="1"/>
      </t>
    </mdx>
    <mdx n="33" f="v">
      <t c="3">
        <n x="1111"/>
        <n x="1336"/>
        <n x="1337" s="1"/>
      </t>
    </mdx>
    <mdx n="33" f="v">
      <t c="4">
        <n x="1220"/>
        <n x="12"/>
        <n x="7"/>
        <n x="1337" s="1"/>
      </t>
    </mdx>
    <mdx n="33" f="v">
      <t c="4">
        <n x="1107"/>
        <n x="14"/>
        <n x="7"/>
        <n x="1337" s="1"/>
      </t>
    </mdx>
    <mdx n="33" f="v">
      <t c="4">
        <n x="535"/>
        <n x="14"/>
        <n x="7"/>
        <n x="1337" s="1"/>
      </t>
    </mdx>
    <mdx n="33" f="v">
      <t c="4">
        <n x="287"/>
        <n x="14"/>
        <n x="7"/>
        <n x="1337" s="1"/>
      </t>
    </mdx>
    <mdx n="33" f="v">
      <t c="6">
        <n x="15"/>
        <n x="1337" s="1"/>
        <n x="44"/>
        <n x="7"/>
        <n x="25"/>
        <n x="3"/>
      </t>
    </mdx>
    <mdx n="33" f="v">
      <t c="6">
        <n x="15"/>
        <n x="1337" s="1"/>
        <n x="44"/>
        <n x="7"/>
        <n x="4"/>
        <n x="3"/>
      </t>
    </mdx>
    <mdx n="33" f="v">
      <t c="4">
        <n x="222"/>
        <n x="12"/>
        <n x="7"/>
        <n x="1337" s="1"/>
      </t>
    </mdx>
    <mdx n="33" f="v">
      <t c="3">
        <n x="464"/>
        <n x="1336"/>
        <n x="1337" s="1"/>
      </t>
    </mdx>
    <mdx n="33" f="v">
      <t c="4">
        <n x="642"/>
        <n x="0"/>
        <n x="7"/>
        <n x="1337" s="1"/>
      </t>
    </mdx>
    <mdx n="33" f="v">
      <t c="4">
        <n x="652"/>
        <n x="1"/>
        <n x="7"/>
        <n x="1337" s="1"/>
      </t>
    </mdx>
    <mdx n="33" f="v">
      <t c="4" si="10">
        <n x="769"/>
        <n x="0"/>
        <n x="32"/>
        <n x="1337" s="1"/>
      </t>
    </mdx>
    <mdx n="33" f="v">
      <t c="3">
        <n x="647"/>
        <n x="1336"/>
        <n x="1337" s="1"/>
      </t>
    </mdx>
    <mdx n="33" f="v">
      <t c="4">
        <n x="767"/>
        <n x="0"/>
        <n x="7"/>
        <n x="1337" s="1"/>
      </t>
    </mdx>
    <mdx n="33" f="v">
      <t c="4">
        <n x="233"/>
        <n x="12"/>
        <n x="7"/>
        <n x="1337" s="1"/>
      </t>
    </mdx>
    <mdx n="33" f="v">
      <t c="4">
        <n x="640"/>
        <n x="1"/>
        <n x="32"/>
        <n x="1337" s="1"/>
      </t>
    </mdx>
    <mdx n="33" f="v">
      <t c="4">
        <n x="703"/>
        <n x="11"/>
        <n x="7"/>
        <n x="1337" s="1"/>
      </t>
    </mdx>
    <mdx n="33" f="v">
      <t c="4">
        <n x="731"/>
        <n x="12"/>
        <n x="7"/>
        <n x="1337" s="1"/>
      </t>
    </mdx>
    <mdx n="33" f="v">
      <t c="4">
        <n x="754"/>
        <n x="0"/>
        <n x="7"/>
        <n x="1337" s="1"/>
      </t>
    </mdx>
    <mdx n="33" f="v">
      <t c="4">
        <n x="781"/>
        <n x="11"/>
        <n x="32"/>
        <n x="1337" s="1"/>
      </t>
    </mdx>
    <mdx n="33" f="v">
      <t c="3">
        <n x="807"/>
        <n x="1336"/>
        <n x="1337" s="1"/>
      </t>
    </mdx>
    <mdx n="33" f="v">
      <t c="5" si="10">
        <n x="15"/>
        <n x="1337" s="1"/>
        <n x="44"/>
        <n x="32"/>
        <n x="1"/>
      </t>
    </mdx>
    <mdx n="33" f="v">
      <t c="6" si="9">
        <n x="15"/>
        <n x="1337" s="1"/>
        <n x="43"/>
        <n x="7"/>
        <n x="20"/>
        <n x="2"/>
      </t>
    </mdx>
    <mdx n="33" f="v">
      <t c="4">
        <n x="289"/>
        <n x="12"/>
        <n x="7"/>
        <n x="1337" s="1"/>
      </t>
    </mdx>
    <mdx n="33" f="v">
      <t c="4">
        <n x="279"/>
        <n x="14"/>
        <n x="32"/>
        <n x="1337" s="1"/>
      </t>
    </mdx>
    <mdx n="33" f="v">
      <t c="4">
        <n x="285"/>
        <n x="12"/>
        <n x="7"/>
        <n x="1337" s="1"/>
      </t>
    </mdx>
    <mdx n="33" f="v">
      <t c="4">
        <n x="387"/>
        <n x="1"/>
        <n x="32"/>
        <n x="1337" s="1"/>
      </t>
    </mdx>
    <mdx n="33" f="v">
      <t c="4" si="10">
        <n x="660"/>
        <n x="0"/>
        <n x="32"/>
        <n x="1337" s="1"/>
      </t>
    </mdx>
    <mdx n="33" f="v">
      <t c="4">
        <n x="308"/>
        <n x="0"/>
        <n x="7"/>
        <n x="1337" s="1"/>
      </t>
    </mdx>
    <mdx n="33" f="v">
      <t c="4">
        <n x="232"/>
        <n x="0"/>
        <n x="32"/>
        <n x="1337" s="1"/>
      </t>
    </mdx>
    <mdx n="33" f="v">
      <t c="4">
        <n x="162"/>
        <n x="0"/>
        <n x="7"/>
        <n x="1337" s="1"/>
      </t>
    </mdx>
    <mdx n="33" f="v">
      <t c="4">
        <n x="587"/>
        <n x="12"/>
        <n x="7"/>
        <n x="1337" s="1"/>
      </t>
    </mdx>
    <mdx n="33" f="v">
      <t c="4">
        <n x="205"/>
        <n x="12"/>
        <n x="7"/>
        <n x="1337" s="1"/>
      </t>
    </mdx>
    <mdx n="33" f="v">
      <t c="4" si="9">
        <n x="588"/>
        <n x="12"/>
        <n x="7"/>
        <n x="1337" s="1"/>
      </t>
    </mdx>
    <mdx n="33" f="v">
      <t c="4">
        <n x="218"/>
        <n x="14"/>
        <n x="32"/>
        <n x="1337" s="1"/>
      </t>
    </mdx>
    <mdx n="33" f="v">
      <t c="4">
        <n x="352"/>
        <n x="0"/>
        <n x="7"/>
        <n x="1337" s="1"/>
      </t>
    </mdx>
    <mdx n="33" f="v">
      <t c="4">
        <n x="205"/>
        <n x="0"/>
        <n x="7"/>
        <n x="1337" s="1"/>
      </t>
    </mdx>
    <mdx n="33" f="v">
      <t c="4">
        <n x="386"/>
        <n x="1"/>
        <n x="7"/>
        <n x="1337" s="1"/>
      </t>
    </mdx>
    <mdx n="33" f="v">
      <t c="4">
        <n x="476"/>
        <n x="0"/>
        <n x="32"/>
        <n x="1337" s="1"/>
      </t>
    </mdx>
    <mdx n="33" f="v">
      <t c="4">
        <n x="647"/>
        <n x="1"/>
        <n x="7"/>
        <n x="1337" s="1"/>
      </t>
    </mdx>
    <mdx n="33" f="v">
      <t c="4" si="10">
        <n x="477"/>
        <n x="0"/>
        <n x="32"/>
        <n x="1337" s="1"/>
      </t>
    </mdx>
    <mdx n="33" f="v">
      <t c="4">
        <n x="648"/>
        <n x="12"/>
        <n x="7"/>
        <n x="1337" s="1"/>
      </t>
    </mdx>
    <mdx n="33" f="v">
      <t c="6" si="9">
        <n x="15"/>
        <n x="1337" s="1"/>
        <n x="38"/>
        <n x="7"/>
        <n x="6"/>
        <n x="0"/>
      </t>
    </mdx>
    <mdx n="33" f="v">
      <t c="4">
        <n x="230"/>
        <n x="12"/>
        <n x="7"/>
        <n x="1337" s="1"/>
      </t>
    </mdx>
    <mdx n="33" f="v">
      <t c="4">
        <n x="465"/>
        <n x="1"/>
        <n x="32"/>
        <n x="1337" s="1"/>
      </t>
    </mdx>
    <mdx n="33" f="v">
      <t c="4">
        <n x="642"/>
        <n x="12"/>
        <n x="32"/>
        <n x="1337" s="1"/>
      </t>
    </mdx>
    <mdx n="33" f="v">
      <t c="4">
        <n x="654"/>
        <n x="12"/>
        <n x="7"/>
        <n x="1337" s="1"/>
      </t>
    </mdx>
    <mdx n="33" f="v">
      <t c="4">
        <n x="769"/>
        <n x="1"/>
        <n x="7"/>
        <n x="1337" s="1"/>
      </t>
    </mdx>
    <mdx n="33" f="v">
      <t c="4">
        <n x="648"/>
        <n x="1"/>
        <n x="7"/>
        <n x="1337" s="1"/>
      </t>
    </mdx>
    <mdx n="33" f="v">
      <t c="4" si="10">
        <n x="767"/>
        <n x="12"/>
        <n x="32"/>
        <n x="1337" s="1"/>
      </t>
    </mdx>
    <mdx n="33" f="v">
      <t c="4">
        <n x="79"/>
        <n x="0"/>
        <n x="32"/>
        <n x="1337" s="1"/>
      </t>
    </mdx>
    <mdx n="33" f="v">
      <t c="4">
        <n x="270"/>
        <n x="12"/>
        <n x="7"/>
        <n x="1337" s="1"/>
      </t>
    </mdx>
    <mdx n="33" f="v">
      <t c="4" si="10">
        <n x="470"/>
        <n x="0"/>
        <n x="32"/>
        <n x="1337" s="1"/>
      </t>
    </mdx>
    <mdx n="33" f="v">
      <t c="4">
        <n x="597"/>
        <n x="12"/>
        <n x="7"/>
        <n x="1337" s="1"/>
      </t>
    </mdx>
    <mdx n="33" f="v">
      <t c="4">
        <n x="641"/>
        <n x="1"/>
        <n x="7"/>
        <n x="1337" s="1"/>
      </t>
    </mdx>
    <mdx n="33" f="v">
      <t c="3">
        <n x="672"/>
        <n x="1336"/>
        <n x="1337" s="1"/>
      </t>
    </mdx>
    <mdx n="33" f="v">
      <t c="4">
        <n x="261"/>
        <n x="12"/>
        <n x="7"/>
        <n x="1337" s="1"/>
      </t>
    </mdx>
    <mdx n="33" f="v">
      <t c="4">
        <n x="649"/>
        <n x="12"/>
        <n x="32"/>
        <n x="1337" s="1"/>
      </t>
    </mdx>
    <mdx n="33" f="v">
      <t c="4">
        <n x="705"/>
        <n x="11"/>
        <n x="32"/>
        <n x="1337" s="1"/>
      </t>
    </mdx>
    <mdx n="33" f="v">
      <t c="4" si="10">
        <n x="736"/>
        <n x="0"/>
        <n x="32"/>
        <n x="1337" s="1"/>
      </t>
    </mdx>
    <mdx n="33" f="v">
      <t c="4">
        <n x="768"/>
        <n x="0"/>
        <n x="32"/>
        <n x="1337" s="1"/>
      </t>
    </mdx>
    <mdx n="33" f="v">
      <t c="4">
        <n x="804"/>
        <n x="11"/>
        <n x="7"/>
        <n x="1337" s="1"/>
      </t>
    </mdx>
    <mdx n="33" f="v">
      <t c="4">
        <n x="231"/>
        <n x="12"/>
        <n x="7"/>
        <n x="1337" s="1"/>
      </t>
    </mdx>
    <mdx n="33" f="v">
      <t c="4" si="10">
        <n x="644"/>
        <n x="1"/>
        <n x="32"/>
        <n x="1337" s="1"/>
      </t>
    </mdx>
    <mdx n="33" f="v">
      <t c="4">
        <n x="704"/>
        <n x="12"/>
        <n x="7"/>
        <n x="1337" s="1"/>
      </t>
    </mdx>
    <mdx n="33" f="v">
      <t c="4">
        <n x="734"/>
        <n x="1"/>
        <n x="7"/>
        <n x="1337" s="1"/>
      </t>
    </mdx>
    <mdx n="33" f="v">
      <t c="4">
        <n x="766"/>
        <n x="1"/>
        <n x="7"/>
        <n x="1337" s="1"/>
      </t>
    </mdx>
    <mdx n="33" f="v">
      <t c="4">
        <n x="803"/>
        <n x="11"/>
        <n x="32"/>
        <n x="1337" s="1"/>
      </t>
    </mdx>
    <mdx n="33" f="v">
      <t c="4">
        <n x="389"/>
        <n x="0"/>
        <n x="32"/>
        <n x="1337" s="1"/>
      </t>
    </mdx>
    <mdx n="33" f="v">
      <t c="4">
        <n x="59"/>
        <n x="1"/>
        <n x="7"/>
        <n x="1337" s="1"/>
      </t>
    </mdx>
    <mdx n="33" f="v">
      <t c="3">
        <n x="371"/>
        <n x="1336"/>
        <n x="1337" s="1"/>
      </t>
    </mdx>
    <mdx n="33" f="v">
      <t c="4">
        <n x="524"/>
        <n x="0"/>
        <n x="7"/>
        <n x="1337" s="1"/>
      </t>
    </mdx>
    <mdx n="33" f="v">
      <t c="4">
        <n x="246"/>
        <n x="12"/>
        <n x="7"/>
        <n x="1337" s="1"/>
      </t>
    </mdx>
    <mdx n="33" f="v">
      <t c="3">
        <n x="641"/>
        <n x="1336"/>
        <n x="1337" s="1"/>
      </t>
    </mdx>
    <mdx n="33" f="v">
      <t c="4">
        <n x="161"/>
        <n x="12"/>
        <n x="7"/>
        <n x="1337" s="1"/>
      </t>
    </mdx>
    <mdx n="33" f="v">
      <t c="4">
        <n x="374"/>
        <n x="0"/>
        <n x="32"/>
        <n x="1337" s="1"/>
      </t>
    </mdx>
    <mdx n="33" f="v">
      <t c="4">
        <n x="482"/>
        <n x="0"/>
        <n x="7"/>
        <n x="1337" s="1"/>
      </t>
    </mdx>
    <mdx n="33" f="v">
      <t c="4" si="10">
        <n x="534"/>
        <n x="0"/>
        <n x="32"/>
        <n x="1337" s="1"/>
      </t>
    </mdx>
    <mdx n="33" f="v">
      <t c="4" si="9">
        <n x="585"/>
        <n x="12"/>
        <n x="7"/>
        <n x="1337" s="1"/>
      </t>
    </mdx>
    <mdx n="33" f="v">
      <t c="4">
        <n x="627"/>
        <n x="11"/>
        <n x="32"/>
        <n x="1337" s="1"/>
      </t>
    </mdx>
    <mdx n="33" f="v">
      <t c="4">
        <n x="650"/>
        <n x="12"/>
        <n x="32"/>
        <n x="1337" s="1"/>
      </t>
    </mdx>
    <mdx n="33" f="v">
      <t c="4" si="10">
        <n x="674"/>
        <n x="0"/>
        <n x="32"/>
        <n x="1337" s="1"/>
      </t>
    </mdx>
    <mdx n="33" f="v">
      <t c="6" si="10">
        <n x="15"/>
        <n x="1337" s="1"/>
        <n x="42"/>
        <n x="32"/>
        <n x="20"/>
        <n x="0"/>
      </t>
    </mdx>
    <mdx n="33" f="v">
      <t c="4" si="10">
        <n x="560"/>
        <n x="1"/>
        <n x="32"/>
        <n x="1337" s="1"/>
      </t>
    </mdx>
    <mdx n="33" f="v">
      <t c="4">
        <n x="677"/>
        <n x="0"/>
        <n x="7"/>
        <n x="1337" s="1"/>
      </t>
    </mdx>
    <mdx n="33" f="v">
      <t c="4" si="10">
        <n x="707"/>
        <n x="1"/>
        <n x="32"/>
        <n x="1337" s="1"/>
      </t>
    </mdx>
    <mdx n="33" f="v">
      <t c="4" si="10">
        <n x="730"/>
        <n x="14"/>
        <n x="32"/>
        <n x="1337" s="1"/>
      </t>
    </mdx>
    <mdx n="33" f="v">
      <t c="4">
        <n x="753"/>
        <n x="11"/>
        <n x="7"/>
        <n x="1337" s="1"/>
      </t>
    </mdx>
    <mdx n="33" f="v">
      <t c="4">
        <n x="780"/>
        <n x="1"/>
        <n x="7"/>
        <n x="1337" s="1"/>
      </t>
    </mdx>
    <mdx n="33" f="v">
      <t c="4">
        <n x="806"/>
        <n x="1"/>
        <n x="7"/>
        <n x="1337" s="1"/>
      </t>
    </mdx>
    <mdx n="33" f="v">
      <t c="4">
        <n x="829"/>
        <n x="14"/>
        <n x="7"/>
        <n x="1337" s="1"/>
      </t>
    </mdx>
    <mdx n="33" f="v">
      <t c="4">
        <n x="548"/>
        <n x="1"/>
        <n x="32"/>
        <n x="1337" s="1"/>
      </t>
    </mdx>
    <mdx n="33" f="v">
      <t c="4" si="9">
        <n x="674"/>
        <n x="1"/>
        <n x="7"/>
        <n x="1337" s="1"/>
      </t>
    </mdx>
    <mdx n="33" f="v">
      <t c="4">
        <n x="705"/>
        <n x="14"/>
        <n x="7"/>
        <n x="1337" s="1"/>
      </t>
    </mdx>
    <mdx n="33" f="v">
      <t c="3">
        <n x="729"/>
        <n x="1336"/>
        <n x="1337" s="1"/>
      </t>
    </mdx>
    <mdx n="33" f="v">
      <t c="4">
        <n x="752"/>
        <n x="11"/>
        <n x="32"/>
        <n x="1337" s="1"/>
      </t>
    </mdx>
    <mdx n="33" f="v">
      <t c="4" si="10">
        <n x="778"/>
        <n x="12"/>
        <n x="32"/>
        <n x="1337" s="1"/>
      </t>
    </mdx>
    <mdx n="33" f="v">
      <t c="4">
        <n x="805"/>
        <n x="1"/>
        <n x="32"/>
        <n x="1337" s="1"/>
      </t>
    </mdx>
    <mdx n="33" f="v">
      <t c="4" si="10">
        <n x="828"/>
        <n x="14"/>
        <n x="32"/>
        <n x="1337" s="1"/>
      </t>
    </mdx>
    <mdx n="33" f="v">
      <t c="4">
        <n x="552"/>
        <n x="1"/>
        <n x="32"/>
        <n x="1337" s="1"/>
      </t>
    </mdx>
    <mdx n="33" f="v">
      <t c="4" si="10">
        <n x="675"/>
        <n x="14"/>
        <n x="32"/>
        <n x="1337" s="1"/>
      </t>
    </mdx>
    <mdx n="33" f="v">
      <t c="4">
        <n x="706"/>
        <n x="0"/>
        <n x="7"/>
        <n x="1337" s="1"/>
      </t>
    </mdx>
    <mdx n="33" f="v">
      <t c="4">
        <n x="353"/>
        <n x="1"/>
        <n x="32"/>
        <n x="1337" s="1"/>
      </t>
    </mdx>
    <mdx n="33" f="v">
      <t c="4" si="10">
        <n x="648"/>
        <n x="0"/>
        <n x="32"/>
        <n x="1337" s="1"/>
      </t>
    </mdx>
    <mdx n="33" f="v">
      <t c="4">
        <n x="388"/>
        <n x="0"/>
        <n x="7"/>
        <n x="1337" s="1"/>
      </t>
    </mdx>
    <mdx n="33" f="v">
      <t c="4">
        <n x="629"/>
        <n x="1"/>
        <n x="32"/>
        <n x="1337" s="1"/>
      </t>
    </mdx>
    <mdx n="33" f="v">
      <t c="4" si="10">
        <n x="576"/>
        <n x="1"/>
        <n x="32"/>
        <n x="1337" s="1"/>
      </t>
    </mdx>
    <mdx n="33" f="v">
      <t c="4">
        <n x="755"/>
        <n x="1"/>
        <n x="7"/>
        <n x="1337" s="1"/>
      </t>
    </mdx>
    <mdx n="33" f="v">
      <t c="4" si="10">
        <n x="564"/>
        <n x="1"/>
        <n x="32"/>
        <n x="1337" s="1"/>
      </t>
    </mdx>
    <mdx n="33" f="v">
      <t c="4" si="10">
        <n x="754"/>
        <n x="1"/>
        <n x="32"/>
        <n x="1337" s="1"/>
      </t>
    </mdx>
    <mdx n="33" f="v">
      <t c="6" si="10">
        <n x="15"/>
        <n x="1337" s="1"/>
        <n x="41"/>
        <n x="32"/>
        <n x="23"/>
        <n x="0"/>
      </t>
    </mdx>
    <mdx n="33" f="v">
      <t c="4">
        <n x="622"/>
        <n x="11"/>
        <n x="7"/>
        <n x="1337" s="1"/>
      </t>
    </mdx>
    <mdx n="33" f="v">
      <t c="4">
        <n x="699"/>
        <n x="11"/>
        <n x="32"/>
        <n x="1337" s="1"/>
      </t>
    </mdx>
    <mdx n="33" f="v">
      <t c="4">
        <n x="727"/>
        <n x="11"/>
        <n x="7"/>
        <n x="1337" s="1"/>
      </t>
    </mdx>
    <mdx n="33" f="v">
      <t c="4">
        <n x="751"/>
        <n x="12"/>
        <n x="7"/>
        <n x="1337" s="1"/>
      </t>
    </mdx>
    <mdx n="33" f="v">
      <t c="4">
        <n x="776"/>
        <n x="11"/>
        <n x="7"/>
        <n x="1337" s="1"/>
      </t>
    </mdx>
    <mdx n="33" f="v">
      <t c="4">
        <n x="803"/>
        <n x="14"/>
        <n x="7"/>
        <n x="1337" s="1"/>
      </t>
    </mdx>
    <mdx n="33" f="v">
      <t c="3">
        <n x="827"/>
        <n x="1336"/>
        <n x="1337" s="1"/>
      </t>
    </mdx>
    <mdx n="33" f="v">
      <t c="4" si="10">
        <n x="850"/>
        <n x="11"/>
        <n x="32"/>
        <n x="1337" s="1"/>
      </t>
    </mdx>
    <mdx n="33" f="v">
      <t c="4">
        <n x="721"/>
        <n x="0"/>
        <n x="7"/>
        <n x="1337" s="1"/>
      </t>
    </mdx>
    <mdx n="33" f="v">
      <t c="4">
        <n x="820"/>
        <n x="12"/>
        <n x="32"/>
        <n x="1337" s="1"/>
      </t>
    </mdx>
    <mdx n="33" f="v">
      <t c="4">
        <n x="856"/>
        <n x="1"/>
        <n x="7"/>
        <n x="1337" s="1"/>
      </t>
    </mdx>
    <mdx n="33" f="v">
      <t c="4">
        <n x="879"/>
        <n x="14"/>
        <n x="7"/>
        <n x="1337" s="1"/>
      </t>
    </mdx>
    <mdx n="33" f="v">
      <t c="3">
        <n x="903"/>
        <n x="1336"/>
        <n x="1337" s="1"/>
      </t>
    </mdx>
    <mdx n="33" f="v">
      <t c="4">
        <n x="926"/>
        <n x="11"/>
        <n x="32"/>
        <n x="1337" s="1"/>
      </t>
    </mdx>
    <mdx n="33" f="v">
      <t c="4" si="10">
        <n x="953"/>
        <n x="11"/>
        <n x="32"/>
        <n x="1337" s="1"/>
      </t>
    </mdx>
    <mdx n="33" f="v">
      <t c="4">
        <n x="1002"/>
        <n x="1"/>
        <n x="32"/>
        <n x="1337" s="1"/>
      </t>
    </mdx>
    <mdx n="33" f="v">
      <t c="4">
        <n x="1053"/>
        <n x="0"/>
        <n x="7"/>
        <n x="1337" s="1"/>
      </t>
    </mdx>
    <mdx n="33" f="v">
      <t c="4" si="10">
        <n x="1105"/>
        <n x="0"/>
        <n x="32"/>
        <n x="1337" s="1"/>
      </t>
    </mdx>
    <mdx n="33" f="v">
      <t c="4">
        <n x="1204"/>
        <n x="12"/>
        <n x="7"/>
        <n x="1337" s="1"/>
      </t>
    </mdx>
    <mdx n="33" f="v">
      <t c="4">
        <n x="1332"/>
        <n x="12"/>
        <n x="7"/>
        <n x="1337" s="1"/>
      </t>
    </mdx>
    <mdx n="33" f="v">
      <t c="4" si="9">
        <n x="567"/>
        <n x="14"/>
        <n x="7"/>
        <n x="1337" s="1"/>
      </t>
    </mdx>
    <mdx n="33" f="v">
      <t c="4">
        <n x="224"/>
        <n x="14"/>
        <n x="7"/>
        <n x="1337" s="1"/>
      </t>
    </mdx>
    <mdx n="33" f="v">
      <t c="4">
        <n x="1119"/>
        <n x="11"/>
        <n x="7"/>
        <n x="1337" s="1"/>
      </t>
    </mdx>
    <mdx n="33" f="v">
      <t c="4">
        <n x="371"/>
        <n x="12"/>
        <n x="7"/>
        <n x="1337" s="1"/>
      </t>
    </mdx>
    <mdx n="33" f="v">
      <t c="4">
        <n x="653"/>
        <n x="11"/>
        <n x="7"/>
        <n x="1337" s="1"/>
      </t>
    </mdx>
    <mdx n="33" f="v">
      <t c="4">
        <n x="401"/>
        <n x="1"/>
        <n x="32"/>
        <n x="1337" s="1"/>
      </t>
    </mdx>
    <mdx n="33" f="v">
      <t c="4" si="10">
        <n x="630"/>
        <n x="12"/>
        <n x="32"/>
        <n x="1337" s="1"/>
      </t>
    </mdx>
    <mdx n="33" f="v">
      <t c="3" fi="0">
        <n x="589"/>
        <n x="1336"/>
        <n x="1337" s="1"/>
      </t>
    </mdx>
    <mdx n="33" f="v">
      <t c="4">
        <n x="757"/>
        <n x="12"/>
        <n x="7"/>
        <n x="1337" s="1"/>
      </t>
    </mdx>
    <mdx n="33" f="v">
      <t c="3" fi="0">
        <n x="577"/>
        <n x="1336"/>
        <n x="1337" s="1"/>
      </t>
    </mdx>
    <mdx n="33" f="v">
      <t c="4">
        <n x="755"/>
        <n x="12"/>
        <n x="32"/>
        <n x="1337" s="1"/>
      </t>
    </mdx>
    <mdx n="33" f="v">
      <t c="5" si="9">
        <n x="15"/>
        <n x="1337" s="1"/>
        <n x="13"/>
        <n x="7"/>
        <n x="20"/>
      </t>
    </mdx>
    <mdx n="33" f="v">
      <t c="4" si="10">
        <n x="625"/>
        <n x="12"/>
        <n x="32"/>
        <n x="1337" s="1"/>
      </t>
    </mdx>
    <mdx n="33" f="v">
      <t c="4">
        <n x="699"/>
        <n x="11"/>
        <n x="7"/>
        <n x="1337" s="1"/>
      </t>
    </mdx>
    <mdx n="33" f="v">
      <t c="3">
        <n x="728"/>
        <n x="1336"/>
        <n x="1337" s="1"/>
      </t>
    </mdx>
    <mdx n="33" f="v">
      <t c="4" si="10">
        <n x="751"/>
        <n x="11"/>
        <n x="32"/>
        <n x="1337" s="1"/>
      </t>
    </mdx>
    <mdx n="33" f="v">
      <t c="4" si="10">
        <n x="777"/>
        <n x="11"/>
        <n x="32"/>
        <n x="1337" s="1"/>
      </t>
    </mdx>
    <mdx n="33" f="v">
      <t c="4">
        <n x="804"/>
        <n x="1"/>
        <n x="32"/>
        <n x="1337" s="1"/>
      </t>
    </mdx>
    <mdx n="33" f="v">
      <t c="4">
        <n x="827"/>
        <n x="14"/>
        <n x="32"/>
        <n x="1337" s="1"/>
      </t>
    </mdx>
    <mdx n="33" f="v">
      <t c="4">
        <n x="850"/>
        <n x="11"/>
        <n x="7"/>
        <n x="1337" s="1"/>
      </t>
    </mdx>
    <mdx n="33" f="v">
      <t c="4">
        <n x="722"/>
        <n x="11"/>
        <n x="7"/>
        <n x="1337" s="1"/>
      </t>
    </mdx>
    <mdx n="33" f="v">
      <t c="3">
        <n x="822"/>
        <n x="1336"/>
        <n x="1337" s="1"/>
      </t>
    </mdx>
    <mdx n="33" f="v">
      <t c="4" si="10">
        <n x="857"/>
        <n x="0"/>
        <n x="32"/>
        <n x="1337" s="1"/>
      </t>
    </mdx>
    <mdx n="33" f="v">
      <t c="4">
        <n x="880"/>
        <n x="1"/>
        <n x="32"/>
        <n x="1337" s="1"/>
      </t>
    </mdx>
    <mdx n="33" f="v">
      <t c="4" si="10">
        <n x="903"/>
        <n x="14"/>
        <n x="32"/>
        <n x="1337" s="1"/>
      </t>
    </mdx>
    <mdx n="33" f="v">
      <t c="4">
        <n x="926"/>
        <n x="11"/>
        <n x="7"/>
        <n x="1337" s="1"/>
      </t>
    </mdx>
    <mdx n="33" f="v">
      <t c="4">
        <n x="953"/>
        <n x="11"/>
        <n x="7"/>
        <n x="1337" s="1"/>
      </t>
    </mdx>
    <mdx n="33" f="v">
      <t c="3">
        <n x="1003"/>
        <n x="1336"/>
        <n x="1337" s="1"/>
      </t>
    </mdx>
    <mdx n="33" f="v">
      <t c="4">
        <n x="1054"/>
        <n x="1"/>
        <n x="32"/>
        <n x="1337" s="1"/>
      </t>
    </mdx>
    <mdx n="33" f="v">
      <t c="4">
        <n x="1105"/>
        <n x="0"/>
        <n x="7"/>
        <n x="1337" s="1"/>
      </t>
    </mdx>
    <mdx n="33" f="v">
      <t c="4">
        <n x="1206"/>
        <n x="12"/>
        <n x="7"/>
        <n x="1337" s="1"/>
      </t>
    </mdx>
    <mdx n="33" f="v">
      <t c="4">
        <n x="1334"/>
        <n x="12"/>
        <n x="7"/>
        <n x="1337" s="1"/>
      </t>
    </mdx>
    <mdx n="33" f="v">
      <t c="4" si="9">
        <n x="563"/>
        <n x="14"/>
        <n x="7"/>
        <n x="1337" s="1"/>
      </t>
    </mdx>
    <mdx n="33" f="v">
      <t c="4">
        <n x="269"/>
        <n x="14"/>
        <n x="7"/>
        <n x="1337" s="1"/>
      </t>
    </mdx>
    <mdx n="33" f="v">
      <t c="4">
        <n x="1115"/>
        <n x="11"/>
        <n x="7"/>
        <n x="1337" s="1"/>
      </t>
    </mdx>
    <mdx n="33" f="v">
      <t c="4">
        <n x="439"/>
        <n x="1"/>
        <n x="32"/>
        <n x="1337" s="1"/>
      </t>
    </mdx>
    <mdx n="33" f="v">
      <t c="4">
        <n x="63"/>
        <n x="14"/>
        <n x="32"/>
        <n x="1337" s="1"/>
      </t>
    </mdx>
    <mdx n="33" f="v">
      <t c="4">
        <n x="78"/>
        <n x="14"/>
        <n x="32"/>
        <n x="1337" s="1"/>
      </t>
    </mdx>
    <mdx n="33" f="v">
      <t c="4" si="9">
        <n x="669"/>
        <n x="12"/>
        <n x="7"/>
        <n x="1337" s="1"/>
      </t>
    </mdx>
    <mdx n="33" f="v">
      <t c="4">
        <n x="90"/>
        <n x="0"/>
        <n x="7"/>
        <n x="1337" s="1"/>
      </t>
    </mdx>
    <mdx n="33" f="v">
      <t c="4" si="10">
        <n x="293"/>
        <n x="0"/>
        <n x="32"/>
        <n x="1337" s="1"/>
      </t>
    </mdx>
    <mdx n="33" f="v">
      <t c="4">
        <n x="252"/>
        <n x="11"/>
        <n x="32"/>
        <n x="1337" s="1"/>
      </t>
    </mdx>
    <mdx n="33" f="v">
      <t c="4">
        <n x="355"/>
        <n x="1"/>
        <n x="32"/>
        <n x="1337" s="1"/>
      </t>
    </mdx>
    <mdx n="33" f="v">
      <t c="4">
        <n x="264"/>
        <n x="11"/>
        <n x="32"/>
        <n x="1337" s="1"/>
      </t>
    </mdx>
    <mdx n="33" f="v">
      <t c="4" si="10">
        <n x="694"/>
        <n x="0"/>
        <n x="32"/>
        <n x="1337" s="1"/>
      </t>
    </mdx>
    <mdx n="33" f="v">
      <t c="4" si="9">
        <n x="757"/>
        <n x="11"/>
        <n x="7"/>
        <n x="1337" s="1"/>
      </t>
    </mdx>
    <mdx n="33" f="v">
      <t c="4" si="10">
        <n x="693"/>
        <n x="0"/>
        <n x="32"/>
        <n x="1337" s="1"/>
      </t>
    </mdx>
    <mdx n="33" f="v">
      <t c="5" si="10">
        <n x="15"/>
        <n x="1337" s="1"/>
        <n x="13"/>
        <n x="32"/>
        <n x="24"/>
      </t>
    </mdx>
    <mdx n="33" f="v">
      <t c="4" si="10">
        <n x="664"/>
        <n x="0"/>
        <n x="32"/>
        <n x="1337" s="1"/>
      </t>
    </mdx>
    <mdx n="33" f="v">
      <t c="4" si="10">
        <n x="467"/>
        <n x="1"/>
        <n x="32"/>
        <n x="1337" s="1"/>
      </t>
    </mdx>
    <mdx n="33" f="v">
      <t c="4">
        <n x="643"/>
        <n x="11"/>
        <n x="32"/>
        <n x="1337" s="1"/>
      </t>
    </mdx>
    <mdx n="33" f="v">
      <t c="4" si="10">
        <n x="657"/>
        <n x="0"/>
        <n x="32"/>
        <n x="1337" s="1"/>
      </t>
    </mdx>
    <mdx n="33" f="v">
      <t c="4">
        <n x="770"/>
        <n x="1"/>
        <n x="7"/>
        <n x="1337" s="1"/>
      </t>
    </mdx>
    <mdx n="33" f="v">
      <t c="4" si="10">
        <n x="651"/>
        <n x="14"/>
        <n x="32"/>
        <n x="1337" s="1"/>
      </t>
    </mdx>
    <mdx n="33" f="v">
      <t c="4">
        <n x="768"/>
        <n x="12"/>
        <n x="32"/>
        <n x="1337" s="1"/>
      </t>
    </mdx>
    <mdx n="33" f="v">
      <t c="4" si="9">
        <n x="653"/>
        <n x="0"/>
        <n x="7"/>
        <n x="1337" s="1"/>
      </t>
    </mdx>
    <mdx n="33" f="v">
      <t c="5" si="10">
        <n x="15"/>
        <n x="1337" s="1"/>
        <n x="43"/>
        <n x="32"/>
        <n x="3"/>
      </t>
    </mdx>
    <mdx n="33" f="v">
      <t c="4">
        <n x="825"/>
        <n x="14"/>
        <n x="7"/>
        <n x="1337" s="1"/>
      </t>
    </mdx>
    <mdx n="33" f="v">
      <t c="4">
        <n x="687"/>
        <n x="1"/>
        <n x="32"/>
        <n x="1337" s="1"/>
      </t>
    </mdx>
    <mdx n="33" f="v">
      <t c="4">
        <n x="796"/>
        <n x="1"/>
        <n x="7"/>
        <n x="1337" s="1"/>
      </t>
    </mdx>
    <mdx n="33" f="v">
      <t c="4">
        <n x="791"/>
        <n x="1"/>
        <n x="7"/>
        <n x="1337" s="1"/>
      </t>
    </mdx>
    <mdx n="33" f="v">
      <t c="3">
        <n x="919"/>
        <n x="1336"/>
        <n x="1337" s="1"/>
      </t>
    </mdx>
    <mdx n="33" f="v">
      <t c="4">
        <n x="1089"/>
        <n x="0"/>
        <n x="32"/>
        <n x="1337" s="1"/>
      </t>
    </mdx>
    <mdx n="33" f="v">
      <t c="4">
        <n x="368"/>
        <n x="14"/>
        <n x="7"/>
        <n x="1337" s="1"/>
      </t>
    </mdx>
    <mdx n="33" f="v">
      <t c="4">
        <n x="71"/>
        <n x="11"/>
        <n x="32"/>
        <n x="1337" s="1"/>
      </t>
    </mdx>
    <mdx n="33" f="v">
      <t c="4">
        <n x="827"/>
        <n x="0"/>
        <n x="7"/>
        <n x="1337" s="1"/>
      </t>
    </mdx>
    <mdx n="33" f="v">
      <t c="4">
        <n x="687"/>
        <n x="12"/>
        <n x="32"/>
        <n x="1337" s="1"/>
      </t>
    </mdx>
    <mdx n="33" f="v">
      <t c="4">
        <n x="797"/>
        <n x="0"/>
        <n x="32"/>
        <n x="1337" s="1"/>
      </t>
    </mdx>
    <mdx n="33" f="v">
      <t c="4">
        <n x="840"/>
        <n x="1"/>
        <n x="7"/>
        <n x="1337" s="1"/>
      </t>
    </mdx>
    <mdx n="33" f="v">
      <t c="3">
        <n x="711"/>
        <n x="1336"/>
        <n x="1337" s="1"/>
      </t>
    </mdx>
    <mdx n="33" f="v">
      <t c="3">
        <n x="833"/>
        <n x="1336"/>
        <n x="1337" s="1"/>
      </t>
    </mdx>
    <mdx n="33" f="v">
      <t c="4">
        <n x="870"/>
        <n x="12"/>
        <n x="7"/>
        <n x="1337" s="1"/>
      </t>
    </mdx>
    <mdx n="33" f="v">
      <t c="4">
        <n x="900"/>
        <n x="1"/>
        <n x="7"/>
        <n x="1337" s="1"/>
      </t>
    </mdx>
    <mdx n="33" f="v">
      <t c="3">
        <n x="931"/>
        <n x="1336"/>
        <n x="1337" s="1"/>
      </t>
    </mdx>
    <mdx n="33" f="v">
      <t c="4" si="10">
        <n x="981"/>
        <n x="0"/>
        <n x="32"/>
        <n x="1337" s="1"/>
      </t>
    </mdx>
    <mdx n="33" f="v">
      <t c="4">
        <n x="1048"/>
        <n x="12"/>
        <n x="7"/>
        <n x="1337" s="1"/>
      </t>
    </mdx>
    <mdx n="33" f="v">
      <t c="3">
        <n x="1115"/>
        <n x="1336"/>
        <n x="1337" s="1"/>
      </t>
    </mdx>
    <mdx n="33" f="v">
      <t c="4">
        <n x="1278"/>
        <n x="12"/>
        <n x="7"/>
        <n x="1337" s="1"/>
      </t>
    </mdx>
    <mdx n="33" f="v">
      <t c="4" si="9">
        <n x="595"/>
        <n x="14"/>
        <n x="7"/>
        <n x="1337" s="1"/>
      </t>
    </mdx>
    <mdx n="33" f="v">
      <t c="4">
        <n x="222"/>
        <n x="14"/>
        <n x="7"/>
        <n x="1337" s="1"/>
      </t>
    </mdx>
    <mdx n="33" f="v">
      <t c="6" si="9">
        <n x="15"/>
        <n x="1337" s="1"/>
        <n x="43"/>
        <n x="7"/>
        <n x="25"/>
        <n x="0"/>
      </t>
    </mdx>
    <mdx n="33" f="v">
      <t c="3">
        <n x="502"/>
        <n x="1336"/>
        <n x="1337" s="1"/>
      </t>
    </mdx>
    <mdx n="33" f="v">
      <t c="4">
        <n x="218"/>
        <n x="11"/>
        <n x="32"/>
        <n x="1337" s="1"/>
      </t>
    </mdx>
    <mdx n="33" f="v">
      <t c="4" si="10">
        <n x="595"/>
        <n x="1"/>
        <n x="32"/>
        <n x="1337" s="1"/>
      </t>
    </mdx>
    <mdx n="33" f="v">
      <t c="4">
        <n x="245"/>
        <n x="12"/>
        <n x="7"/>
        <n x="1337" s="1"/>
      </t>
    </mdx>
    <mdx n="33" f="v">
      <t c="4">
        <n x="735"/>
        <n x="1"/>
        <n x="32"/>
        <n x="1337" s="1"/>
      </t>
    </mdx>
    <mdx n="33" f="v">
      <t c="4">
        <n x="213"/>
        <n x="12"/>
        <n x="7"/>
        <n x="1337" s="1"/>
      </t>
    </mdx>
    <mdx n="33" f="v">
      <t c="4">
        <n x="733"/>
        <n x="14"/>
        <n x="7"/>
        <n x="1337" s="1"/>
      </t>
    </mdx>
    <mdx n="33" f="v">
      <t c="4">
        <n x="822"/>
        <n x="0"/>
        <n x="7"/>
        <n x="1337" s="1"/>
      </t>
    </mdx>
    <mdx n="33" f="v">
      <t c="4" si="10">
        <n x="568"/>
        <n x="1"/>
        <n x="32"/>
        <n x="1337" s="1"/>
      </t>
    </mdx>
    <mdx n="33" f="v">
      <t c="3">
        <n x="691"/>
        <n x="1336"/>
        <n x="1337" s="1"/>
      </t>
    </mdx>
    <mdx n="33" f="v">
      <t c="4" si="10">
        <n x="722"/>
        <n x="12"/>
        <n x="32"/>
        <n x="1337" s="1"/>
      </t>
    </mdx>
    <mdx n="33" f="v">
      <t c="4">
        <n x="746"/>
        <n x="0"/>
        <n x="32"/>
        <n x="1337" s="1"/>
      </t>
    </mdx>
    <mdx n="33" f="v">
      <t c="4">
        <n x="769"/>
        <n x="11"/>
        <n x="7"/>
        <n x="1337" s="1"/>
      </t>
    </mdx>
    <mdx n="33" f="v">
      <t c="4">
        <n x="798"/>
        <n x="11"/>
        <n x="7"/>
        <n x="1337" s="1"/>
      </t>
    </mdx>
    <mdx n="33" f="v">
      <t c="4">
        <n x="822"/>
        <n x="12"/>
        <n x="7"/>
        <n x="1337" s="1"/>
      </t>
    </mdx>
    <mdx n="33" f="v">
      <t c="4">
        <n x="845"/>
        <n x="0"/>
        <n x="7"/>
        <n x="1337" s="1"/>
      </t>
    </mdx>
    <mdx n="33" f="v">
      <t c="4" si="10">
        <n x="701"/>
        <n x="0"/>
        <n x="32"/>
        <n x="1337" s="1"/>
      </t>
    </mdx>
    <mdx n="33" f="v">
      <t c="4">
        <n x="800"/>
        <n x="0"/>
        <n x="7"/>
        <n x="1337" s="1"/>
      </t>
    </mdx>
    <mdx n="33" f="v">
      <t c="4">
        <n x="851"/>
        <n x="12"/>
        <n x="7"/>
        <n x="1337" s="1"/>
      </t>
    </mdx>
    <mdx n="33" f="v">
      <t c="4">
        <n x="874"/>
        <n x="11"/>
        <n x="7"/>
        <n x="1337" s="1"/>
      </t>
    </mdx>
    <mdx n="33" f="v">
      <t c="4">
        <n x="898"/>
        <n x="12"/>
        <n x="7"/>
        <n x="1337" s="1"/>
      </t>
    </mdx>
    <mdx n="33" f="v">
      <t c="4">
        <n x="921"/>
        <n x="0"/>
        <n x="7"/>
        <n x="1337" s="1"/>
      </t>
    </mdx>
    <mdx n="33" f="v">
      <t c="4">
        <n x="946"/>
        <n x="11"/>
        <n x="32"/>
        <n x="1337" s="1"/>
      </t>
    </mdx>
    <mdx n="33" f="v">
      <t c="3">
        <n x="991"/>
        <n x="1336"/>
        <n x="1337" s="1"/>
      </t>
    </mdx>
    <mdx n="33" f="v">
      <t c="4" si="10">
        <n x="1042"/>
        <n x="1"/>
        <n x="32"/>
        <n x="1337" s="1"/>
      </t>
    </mdx>
    <mdx n="33" f="v">
      <t c="4">
        <n x="1093"/>
        <n x="0"/>
        <n x="7"/>
        <n x="1337" s="1"/>
      </t>
    </mdx>
    <mdx n="33" f="v">
      <t c="4">
        <n x="1176"/>
        <n x="12"/>
        <n x="7"/>
        <n x="1337" s="1"/>
      </t>
    </mdx>
    <mdx n="33" f="v">
      <t c="4">
        <n x="1304"/>
        <n x="12"/>
        <n x="7"/>
        <n x="1337" s="1"/>
      </t>
    </mdx>
    <mdx n="33" f="v">
      <t c="4">
        <n x="400"/>
        <n x="14"/>
        <n x="7"/>
        <n x="1337" s="1"/>
      </t>
    </mdx>
    <mdx n="33" f="v">
      <t c="4">
        <n x="344"/>
        <n x="14"/>
        <n x="7"/>
        <n x="1337" s="1"/>
      </t>
    </mdx>
    <mdx n="33" f="v">
      <t c="4">
        <n x="120"/>
        <n x="14"/>
        <n x="7"/>
        <n x="1337" s="1"/>
      </t>
    </mdx>
    <mdx n="33" f="v">
      <t c="4">
        <n x="698"/>
        <n x="11"/>
        <n x="32"/>
        <n x="1337" s="1"/>
      </t>
    </mdx>
    <mdx n="33" f="v">
      <t c="4">
        <n x="797"/>
        <n x="11"/>
        <n x="7"/>
        <n x="1337" s="1"/>
      </t>
    </mdx>
    <mdx n="33" f="v">
      <t c="4" si="10">
        <n x="850"/>
        <n x="1"/>
        <n x="32"/>
        <n x="1337" s="1"/>
      </t>
    </mdx>
    <mdx n="33" f="v">
      <t c="3">
        <n x="874"/>
        <n x="1336"/>
        <n x="1337" s="1"/>
      </t>
    </mdx>
    <mdx n="33" f="v">
      <t c="4">
        <n x="897"/>
        <n x="11"/>
        <n x="32"/>
        <n x="1337" s="1"/>
      </t>
    </mdx>
    <mdx n="33" f="v">
      <t c="4" si="10">
        <n x="611"/>
        <n x="1"/>
        <n x="32"/>
        <n x="1337" s="1"/>
      </t>
    </mdx>
    <mdx n="33" f="v">
      <t c="3">
        <n x="741"/>
        <n x="1336"/>
        <n x="1337" s="1"/>
      </t>
    </mdx>
    <mdx n="33" f="v">
      <t c="4">
        <n x="724"/>
        <n x="14"/>
        <n x="32"/>
        <n x="1337" s="1"/>
      </t>
    </mdx>
    <mdx n="33" f="v">
      <t c="4">
        <n x="823"/>
        <n x="14"/>
        <n x="7"/>
        <n x="1337" s="1"/>
      </t>
    </mdx>
    <mdx n="33" f="v">
      <t c="4">
        <n x="853"/>
        <n x="0"/>
        <n x="7"/>
        <n x="1337" s="1"/>
      </t>
    </mdx>
    <mdx n="33" f="v">
      <t c="4">
        <n x="948"/>
        <n x="11"/>
        <n x="7"/>
        <n x="1337" s="1"/>
      </t>
    </mdx>
    <mdx n="33" f="v">
      <t c="4">
        <n x="1186"/>
        <n x="12"/>
        <n x="7"/>
        <n x="1337" s="1"/>
      </t>
    </mdx>
    <mdx n="33" f="v">
      <t c="4">
        <n x="110"/>
        <n x="14"/>
        <n x="7"/>
        <n x="1337" s="1"/>
      </t>
    </mdx>
    <mdx n="33" f="v">
      <t c="4" si="10">
        <n x="786"/>
        <n x="14"/>
        <n x="32"/>
        <n x="1337" s="1"/>
      </t>
    </mdx>
    <mdx n="33" f="v">
      <t c="4" si="10">
        <n x="856"/>
        <n x="0"/>
        <n x="32"/>
        <n x="1337" s="1"/>
      </t>
    </mdx>
    <mdx n="33" f="v">
      <t c="4">
        <n x="886"/>
        <n x="14"/>
        <n x="7"/>
        <n x="1337" s="1"/>
      </t>
    </mdx>
    <mdx n="33" f="v">
      <t c="3">
        <n x="914"/>
        <n x="1336"/>
        <n x="1337" s="1"/>
      </t>
    </mdx>
    <mdx n="33" f="v">
      <t c="4" si="10">
        <n x="937"/>
        <n x="11"/>
        <n x="32"/>
        <n x="1337" s="1"/>
      </t>
    </mdx>
    <mdx n="33" f="v">
      <t c="4" si="10">
        <n x="975"/>
        <n x="1"/>
        <n x="32"/>
        <n x="1337" s="1"/>
      </t>
    </mdx>
    <mdx n="33" f="v">
      <t c="4">
        <n x="1026"/>
        <n x="0"/>
        <n x="7"/>
        <n x="1337" s="1"/>
      </t>
    </mdx>
    <mdx n="33" f="v">
      <t c="4" si="10">
        <n x="1078"/>
        <n x="0"/>
        <n x="32"/>
        <n x="1337" s="1"/>
      </t>
    </mdx>
    <mdx n="33" f="v">
      <t c="4" si="10">
        <n x="1137"/>
        <n x="0"/>
        <n x="32"/>
        <n x="1337" s="1"/>
      </t>
    </mdx>
    <mdx n="33" f="v">
      <t c="4" si="10">
        <n x="1265"/>
        <n x="0"/>
        <n x="32"/>
        <n x="1337" s="1"/>
      </t>
    </mdx>
    <mdx n="33" f="v">
      <t c="4">
        <n x="1018"/>
        <n x="14"/>
        <n x="7"/>
        <n x="1337" s="1"/>
      </t>
    </mdx>
    <mdx n="33" f="v">
      <t c="4">
        <n x="454"/>
        <n x="14"/>
        <n x="7"/>
        <n x="1337" s="1"/>
      </t>
    </mdx>
    <mdx n="33" f="v">
      <t c="4">
        <n x="698"/>
        <n x="11"/>
        <n x="7"/>
        <n x="1337" s="1"/>
      </t>
    </mdx>
    <mdx n="33" f="v">
      <t c="3">
        <n x="798"/>
        <n x="1336"/>
        <n x="1337" s="1"/>
      </t>
    </mdx>
    <mdx n="33" f="v">
      <t c="4">
        <n x="247"/>
        <n x="14"/>
        <n x="32"/>
        <n x="1337" s="1"/>
      </t>
    </mdx>
    <mdx n="33" f="v">
      <t c="4">
        <n x="273"/>
        <n x="1"/>
        <n x="7"/>
        <n x="1337" s="1"/>
      </t>
    </mdx>
    <mdx n="33" f="v">
      <t c="4">
        <n x="150"/>
        <n x="0"/>
        <n x="32"/>
        <n x="1337" s="1"/>
      </t>
    </mdx>
    <mdx n="33" f="v">
      <t c="4">
        <n x="193"/>
        <n x="0"/>
        <n x="32"/>
        <n x="1337" s="1"/>
      </t>
    </mdx>
    <mdx n="33" f="v">
      <t c="4">
        <n x="464"/>
        <n x="12"/>
        <n x="7"/>
        <n x="1337" s="1"/>
      </t>
    </mdx>
    <mdx n="33" f="v">
      <t c="3">
        <n x="448"/>
        <n x="1336"/>
        <n x="1337" s="1"/>
      </t>
    </mdx>
    <mdx n="33" f="v">
      <t c="4">
        <n x="625"/>
        <n x="0"/>
        <n x="7"/>
        <n x="1337" s="1"/>
      </t>
    </mdx>
    <mdx n="33" f="v">
      <t c="4">
        <n x="453"/>
        <n x="0"/>
        <n x="7"/>
        <n x="1337" s="1"/>
      </t>
    </mdx>
    <mdx n="33" f="v">
      <t c="4">
        <n x="229"/>
        <n x="12"/>
        <n x="7"/>
        <n x="1337" s="1"/>
      </t>
    </mdx>
    <mdx n="33" f="v">
      <t c="4">
        <n x="765"/>
        <n x="12"/>
        <n x="7"/>
        <n x="1337" s="1"/>
      </t>
    </mdx>
    <mdx n="33" f="v">
      <t c="4">
        <n x="702"/>
        <n x="1"/>
        <n x="7"/>
        <n x="1337" s="1"/>
      </t>
    </mdx>
    <mdx n="33" f="v">
      <t c="4">
        <n x="339"/>
        <n x="0"/>
        <n x="32"/>
        <n x="1337" s="1"/>
      </t>
    </mdx>
    <mdx n="33" f="v">
      <t c="3">
        <n x="160"/>
        <n x="1336"/>
        <n x="1337" s="1"/>
      </t>
    </mdx>
    <mdx n="33" f="v">
      <t c="4" si="10">
        <n x="479"/>
        <n x="1"/>
        <n x="32"/>
        <n x="1337" s="1"/>
      </t>
    </mdx>
    <mdx n="33" f="v">
      <t c="4">
        <n x="649"/>
        <n x="1"/>
        <n x="32"/>
        <n x="1337" s="1"/>
      </t>
    </mdx>
    <mdx n="33" f="v">
      <t c="4" si="10">
        <n x="674"/>
        <n x="11"/>
        <n x="32"/>
        <n x="1337" s="1"/>
      </t>
    </mdx>
    <mdx n="33" f="v">
      <t c="4">
        <n x="778"/>
        <n x="1"/>
        <n x="7"/>
        <n x="1337" s="1"/>
      </t>
    </mdx>
    <mdx n="33" f="v">
      <t c="4">
        <n x="671"/>
        <n x="12"/>
        <n x="32"/>
        <n x="1337" s="1"/>
      </t>
    </mdx>
    <mdx n="33" f="v">
      <t c="4">
        <n x="776"/>
        <n x="12"/>
        <n x="32"/>
        <n x="1337" s="1"/>
      </t>
    </mdx>
    <mdx n="33" f="v">
      <t c="4" si="9">
        <n x="672"/>
        <n x="1"/>
        <n x="7"/>
        <n x="1337" s="1"/>
      </t>
    </mdx>
    <mdx n="33" f="v">
      <t c="4">
        <n x="338"/>
        <n x="0"/>
        <n x="7"/>
        <n x="1337" s="1"/>
      </t>
    </mdx>
    <mdx n="33" f="v">
      <t c="3" fi="0">
        <n x="513"/>
        <n x="1336"/>
        <n x="1337" s="1"/>
      </t>
    </mdx>
    <mdx n="33" f="v">
      <t c="4" si="10">
        <n x="697"/>
        <n x="1"/>
        <n x="32"/>
        <n x="1337" s="1"/>
      </t>
    </mdx>
    <mdx n="33" f="v">
      <t c="4">
        <n x="802"/>
        <n x="11"/>
        <n x="32"/>
        <n x="1337" s="1"/>
      </t>
    </mdx>
    <mdx n="33" f="v">
      <t c="4">
        <n x="814"/>
        <n x="14"/>
        <n x="7"/>
        <n x="1337" s="1"/>
      </t>
    </mdx>
    <mdx n="33" f="v">
      <t c="4" si="10">
        <n x="925"/>
        <n x="0"/>
        <n x="32"/>
        <n x="1337" s="1"/>
      </t>
    </mdx>
    <mdx n="33" f="v">
      <t c="4">
        <n x="1101"/>
        <n x="0"/>
        <n x="7"/>
        <n x="1337" s="1"/>
      </t>
    </mdx>
    <mdx n="33" f="v">
      <t c="4">
        <n x="304"/>
        <n x="14"/>
        <n x="7"/>
        <n x="1337" s="1"/>
      </t>
    </mdx>
    <mdx n="33" f="v">
      <t c="4">
        <n x="351"/>
        <n x="1"/>
        <n x="32"/>
        <n x="1337" s="1"/>
      </t>
    </mdx>
    <mdx n="33" f="v">
      <t c="4">
        <n x="526"/>
        <n x="12"/>
        <n x="7"/>
        <n x="1337" s="1"/>
      </t>
    </mdx>
    <mdx n="33" f="v">
      <t c="4">
        <n x="698"/>
        <n x="0"/>
        <n x="32"/>
        <n x="1337" s="1"/>
      </t>
    </mdx>
    <mdx n="33" f="v">
      <t c="4">
        <n x="802"/>
        <n x="11"/>
        <n x="7"/>
        <n x="1337" s="1"/>
      </t>
    </mdx>
    <mdx n="33" f="v">
      <t c="4">
        <n x="842"/>
        <n x="12"/>
        <n x="7"/>
        <n x="1337" s="1"/>
      </t>
    </mdx>
    <mdx n="33" f="v">
      <t c="4" si="10">
        <n x="717"/>
        <n x="0"/>
        <n x="32"/>
        <n x="1337" s="1"/>
      </t>
    </mdx>
    <mdx n="33" f="v">
      <t c="4">
        <n x="837"/>
        <n x="12"/>
        <n x="7"/>
        <n x="1337" s="1"/>
      </t>
    </mdx>
    <mdx n="33" f="v">
      <t c="4">
        <n x="871"/>
        <n x="14"/>
        <n x="32"/>
        <n x="1337" s="1"/>
      </t>
    </mdx>
    <mdx n="33" f="v">
      <t c="4">
        <n x="902"/>
        <n x="12"/>
        <n x="7"/>
        <n x="1337" s="1"/>
      </t>
    </mdx>
    <mdx n="33" f="v">
      <t c="4">
        <n x="934"/>
        <n x="12"/>
        <n x="7"/>
        <n x="1337" s="1"/>
      </t>
    </mdx>
    <mdx n="33" f="v">
      <t c="4">
        <n x="984"/>
        <n x="12"/>
        <n x="7"/>
        <n x="1337" s="1"/>
      </t>
    </mdx>
    <mdx n="33" f="v">
      <t c="3">
        <n x="1051"/>
        <n x="1336"/>
        <n x="1337" s="1"/>
      </t>
    </mdx>
    <mdx n="33" f="v">
      <t c="4" si="9">
        <n x="1121"/>
        <n x="0"/>
        <n x="7"/>
        <n x="1337" s="1"/>
      </t>
    </mdx>
    <mdx n="33" f="v">
      <t c="4">
        <n x="1286"/>
        <n x="12"/>
        <n x="7"/>
        <n x="1337" s="1"/>
      </t>
    </mdx>
    <mdx n="33" f="v">
      <t c="4" si="9">
        <n x="579"/>
        <n x="14"/>
        <n x="7"/>
        <n x="1337" s="1"/>
      </t>
    </mdx>
    <mdx n="33" f="v">
      <t c="4">
        <n x="217"/>
        <n x="14"/>
        <n x="7"/>
        <n x="1337" s="1"/>
      </t>
    </mdx>
    <mdx n="33" f="v">
      <t c="5" si="10">
        <n x="15"/>
        <n x="1337" s="1"/>
        <n x="44"/>
        <n x="32"/>
        <n x="0"/>
      </t>
    </mdx>
    <mdx n="33" f="v">
      <t c="4" si="10">
        <n x="553"/>
        <n x="1"/>
        <n x="32"/>
        <n x="1337" s="1"/>
      </t>
    </mdx>
    <mdx n="33" f="v">
      <t c="4">
        <n x="260"/>
        <n x="11"/>
        <n x="32"/>
        <n x="1337" s="1"/>
      </t>
    </mdx>
    <mdx n="33" f="v">
      <t c="3">
        <n x="608"/>
        <n x="1336"/>
        <n x="1337" s="1"/>
      </t>
    </mdx>
    <mdx n="33" f="v">
      <t c="4">
        <n x="440"/>
        <n x="0"/>
        <n x="7"/>
        <n x="1337" s="1"/>
      </t>
    </mdx>
    <mdx n="33" f="v">
      <t c="4">
        <n x="741"/>
        <n x="12"/>
        <n x="7"/>
        <n x="1337" s="1"/>
      </t>
    </mdx>
    <mdx n="33" f="v">
      <t c="4">
        <n x="392"/>
        <n x="0"/>
        <n x="7"/>
        <n x="1337" s="1"/>
      </t>
    </mdx>
    <mdx n="33" f="v">
      <t c="4" si="10">
        <n x="739"/>
        <n x="12"/>
        <n x="32"/>
        <n x="1337" s="1"/>
      </t>
    </mdx>
    <mdx n="33" f="v">
      <t c="4">
        <n x="824"/>
        <n x="14"/>
        <n x="32"/>
        <n x="1337" s="1"/>
      </t>
    </mdx>
    <mdx n="33" f="v">
      <t c="4" si="10">
        <n x="584"/>
        <n x="1"/>
        <n x="32"/>
        <n x="1337" s="1"/>
      </t>
    </mdx>
    <mdx n="33" f="v">
      <t c="4" si="10">
        <n x="693"/>
        <n x="14"/>
        <n x="32"/>
        <n x="1337" s="1"/>
      </t>
    </mdx>
    <mdx n="33" f="v">
      <t c="3">
        <n x="724"/>
        <n x="1336"/>
        <n x="1337" s="1"/>
      </t>
    </mdx>
    <mdx n="33" f="v">
      <t c="4">
        <n x="747"/>
        <n x="11"/>
        <n x="32"/>
        <n x="1337" s="1"/>
      </t>
    </mdx>
    <mdx n="33" f="v">
      <t c="4">
        <n x="771"/>
        <n x="11"/>
        <n x="7"/>
        <n x="1337" s="1"/>
      </t>
    </mdx>
    <mdx n="33" f="v">
      <t c="4" si="10">
        <n x="800"/>
        <n x="1"/>
        <n x="32"/>
        <n x="1337" s="1"/>
      </t>
    </mdx>
    <mdx n="33" f="v">
      <t c="4">
        <n x="823"/>
        <n x="14"/>
        <n x="32"/>
        <n x="1337" s="1"/>
      </t>
    </mdx>
    <mdx n="33" f="v">
      <t c="4">
        <n x="846"/>
        <n x="11"/>
        <n x="7"/>
        <n x="1337" s="1"/>
      </t>
    </mdx>
    <mdx n="33" f="v">
      <t c="4">
        <n x="706"/>
        <n x="11"/>
        <n x="7"/>
        <n x="1337" s="1"/>
      </t>
    </mdx>
    <mdx n="33" f="v">
      <t c="3">
        <n x="806"/>
        <n x="1336"/>
        <n x="1337" s="1"/>
      </t>
    </mdx>
    <mdx n="33" f="v">
      <t c="4">
        <n x="853"/>
        <n x="0"/>
        <n x="32"/>
        <n x="1337" s="1"/>
      </t>
    </mdx>
    <mdx n="33" f="v">
      <t c="4">
        <n x="876"/>
        <n x="1"/>
        <n x="32"/>
        <n x="1337" s="1"/>
      </t>
    </mdx>
    <mdx n="33" f="v">
      <t c="4" si="10">
        <n x="899"/>
        <n x="14"/>
        <n x="32"/>
        <n x="1337" s="1"/>
      </t>
    </mdx>
    <mdx n="33" f="v">
      <t c="4">
        <n x="922"/>
        <n x="11"/>
        <n x="7"/>
        <n x="1337" s="1"/>
      </t>
    </mdx>
    <mdx n="33" f="v">
      <t c="4">
        <n x="948"/>
        <n x="11"/>
        <n x="32"/>
        <n x="1337" s="1"/>
      </t>
    </mdx>
    <mdx n="33" f="v">
      <t c="4" si="10">
        <n x="994"/>
        <n x="1"/>
        <n x="32"/>
        <n x="1337" s="1"/>
      </t>
    </mdx>
    <mdx n="33" f="v">
      <t c="4">
        <n x="1045"/>
        <n x="0"/>
        <n x="7"/>
        <n x="1337" s="1"/>
      </t>
    </mdx>
    <mdx n="33" f="v">
      <t c="4" si="10">
        <n x="1097"/>
        <n x="0"/>
        <n x="32"/>
        <n x="1337" s="1"/>
      </t>
    </mdx>
    <mdx n="33" f="v">
      <t c="4">
        <n x="1184"/>
        <n x="12"/>
        <n x="7"/>
        <n x="1337" s="1"/>
      </t>
    </mdx>
    <mdx n="33" f="v">
      <t c="4">
        <n x="1312"/>
        <n x="12"/>
        <n x="7"/>
        <n x="1337" s="1"/>
      </t>
    </mdx>
    <mdx n="33" f="v">
      <t c="4">
        <n x="607"/>
        <n x="14"/>
        <n x="7"/>
        <n x="1337" s="1"/>
      </t>
    </mdx>
    <mdx n="33" f="v">
      <t c="4">
        <n x="328"/>
        <n x="14"/>
        <n x="7"/>
        <n x="1337" s="1"/>
      </t>
    </mdx>
    <mdx n="33" f="v">
      <t c="4">
        <n x="62"/>
        <n x="14"/>
        <n x="7"/>
        <n x="1337" s="1"/>
      </t>
    </mdx>
    <mdx n="33" f="v">
      <t c="4" si="10">
        <n x="704"/>
        <n x="1"/>
        <n x="32"/>
        <n x="1337" s="1"/>
      </t>
    </mdx>
    <mdx n="33" f="v">
      <t c="4">
        <n x="803"/>
        <n x="1"/>
        <n x="7"/>
        <n x="1337" s="1"/>
      </t>
    </mdx>
    <mdx n="33" f="v">
      <t c="3">
        <n x="852"/>
        <n x="1336"/>
        <n x="1337" s="1"/>
      </t>
    </mdx>
    <mdx n="33" f="v">
      <t c="4">
        <n x="875"/>
        <n x="1"/>
        <n x="7"/>
        <n x="1337" s="1"/>
      </t>
    </mdx>
    <mdx n="33" f="v">
      <t c="4">
        <n x="898"/>
        <n x="14"/>
        <n x="7"/>
        <n x="1337" s="1"/>
      </t>
    </mdx>
    <mdx n="33" f="v">
      <t c="4">
        <n x="639"/>
        <n x="11"/>
        <n x="32"/>
        <n x="1337" s="1"/>
      </t>
    </mdx>
    <mdx n="33" f="v">
      <t c="4">
        <n x="764"/>
        <n x="11"/>
        <n x="32"/>
        <n x="1337" s="1"/>
      </t>
    </mdx>
    <mdx n="33" f="v">
      <t c="4">
        <n x="730"/>
        <n x="0"/>
        <n x="7"/>
        <n x="1337" s="1"/>
      </t>
    </mdx>
    <mdx n="33" f="v">
      <t c="4" si="10">
        <n x="829"/>
        <n x="12"/>
        <n x="32"/>
        <n x="1337" s="1"/>
      </t>
    </mdx>
    <mdx n="33" f="v">
      <t c="3">
        <n x="859"/>
        <n x="1336"/>
        <n x="1337" s="1"/>
      </t>
    </mdx>
    <mdx n="33" f="v">
      <t c="4">
        <n x="957"/>
        <n x="0"/>
        <n x="32"/>
        <n x="1337" s="1"/>
      </t>
    </mdx>
    <mdx n="33" f="v">
      <t c="4">
        <n x="1218"/>
        <n x="12"/>
        <n x="7"/>
        <n x="1337" s="1"/>
      </t>
    </mdx>
    <mdx n="33" f="v">
      <t c="4">
        <n x="1091"/>
        <n x="11"/>
        <n x="7"/>
        <n x="1337" s="1"/>
      </t>
    </mdx>
    <mdx n="33" f="v">
      <t c="4">
        <n x="794"/>
        <n x="14"/>
        <n x="7"/>
        <n x="1337" s="1"/>
      </t>
    </mdx>
    <mdx n="33" f="v">
      <t c="4">
        <n x="857"/>
        <n x="11"/>
        <n x="7"/>
        <n x="1337" s="1"/>
      </t>
    </mdx>
    <mdx n="33" f="v">
      <t c="4">
        <n x="889"/>
        <n x="12"/>
        <n x="7"/>
        <n x="1337" s="1"/>
      </t>
    </mdx>
    <mdx n="33" f="v">
      <t c="4">
        <n x="915"/>
        <n x="1"/>
        <n x="7"/>
        <n x="1337" s="1"/>
      </t>
    </mdx>
    <mdx n="33" f="v">
      <t c="4" si="9">
        <n x="938"/>
        <n x="14"/>
        <n x="7"/>
        <n x="1337" s="1"/>
      </t>
    </mdx>
    <mdx n="33" f="v">
      <t c="4">
        <n x="978"/>
        <n x="0"/>
        <n x="7"/>
        <n x="1337" s="1"/>
      </t>
    </mdx>
    <mdx n="33" f="v">
      <t c="4" si="10">
        <n x="1030"/>
        <n x="0"/>
        <n x="32"/>
        <n x="1337" s="1"/>
      </t>
    </mdx>
    <mdx n="33" f="v">
      <t c="4">
        <n x="1081"/>
        <n x="12"/>
        <n x="7"/>
        <n x="1337" s="1"/>
      </t>
    </mdx>
    <mdx n="33" f="v">
      <t c="4">
        <n x="1145"/>
        <n x="0"/>
        <n x="32"/>
        <n x="1337" s="1"/>
      </t>
    </mdx>
    <mdx n="33" f="v">
      <t c="4" si="10">
        <n x="1273"/>
        <n x="0"/>
        <n x="32"/>
        <n x="1337" s="1"/>
      </t>
    </mdx>
    <mdx n="33" f="v">
      <t c="4">
        <n x="1002"/>
        <n x="14"/>
        <n x="7"/>
        <n x="1337" s="1"/>
      </t>
    </mdx>
    <mdx n="33" f="v">
      <t c="4">
        <n x="390"/>
        <n x="14"/>
        <n x="7"/>
        <n x="1337" s="1"/>
      </t>
    </mdx>
    <mdx n="33" f="v">
      <t c="4" si="9">
        <n x="704"/>
        <n x="1"/>
        <n x="7"/>
        <n x="1337" s="1"/>
      </t>
    </mdx>
    <mdx n="33" f="v">
      <t c="4">
        <n x="804"/>
        <n x="0"/>
        <n x="32"/>
        <n x="1337" s="1"/>
      </t>
    </mdx>
    <mdx n="33" f="v">
      <t c="4">
        <n x="1284"/>
        <n x="11"/>
        <n x="32"/>
        <n x="1337" s="1"/>
      </t>
    </mdx>
    <mdx n="33" f="v">
      <t c="4">
        <n x="377"/>
        <n x="1"/>
        <n x="32"/>
        <n x="1337" s="1"/>
      </t>
    </mdx>
    <mdx n="33" f="v">
      <t c="4">
        <n x="334"/>
        <n x="0"/>
        <n x="7"/>
        <n x="1337" s="1"/>
      </t>
    </mdx>
    <mdx n="33" f="v">
      <t c="4">
        <n x="234"/>
        <n x="0"/>
        <n x="7"/>
        <n x="1337" s="1"/>
      </t>
    </mdx>
    <mdx n="33" f="v">
      <t c="3" fi="0">
        <n x="515"/>
        <n x="1336"/>
        <n x="1337" s="1"/>
      </t>
    </mdx>
    <mdx n="33" f="v">
      <t c="4">
        <n x="503"/>
        <n x="1"/>
        <n x="32"/>
        <n x="1337" s="1"/>
      </t>
    </mdx>
    <mdx n="33" f="v">
      <t c="4" si="10">
        <n x="690"/>
        <n x="14"/>
        <n x="32"/>
        <n x="1337" s="1"/>
      </t>
    </mdx>
    <mdx n="33" f="v">
      <t c="4" si="10">
        <n x="507"/>
        <n x="1"/>
        <n x="32"/>
        <n x="1337" s="1"/>
      </t>
    </mdx>
    <mdx n="33" f="v">
      <t c="4">
        <n x="452"/>
        <n x="0"/>
        <n x="32"/>
        <n x="1337" s="1"/>
      </t>
    </mdx>
    <mdx n="33" f="v">
      <t c="4">
        <n x="776"/>
        <n x="0"/>
        <n x="32"/>
        <n x="1337" s="1"/>
      </t>
    </mdx>
    <mdx n="33" f="v">
      <t c="4">
        <n x="709"/>
        <n x="14"/>
        <n x="7"/>
        <n x="1337" s="1"/>
      </t>
    </mdx>
    <mdx n="33" f="v">
      <t c="4">
        <n x="226"/>
        <n x="1"/>
        <n x="7"/>
        <n x="1337" s="1"/>
      </t>
    </mdx>
    <mdx n="33" f="v">
      <t c="3">
        <n x="442"/>
        <n x="1336"/>
        <n x="1337" s="1"/>
      </t>
    </mdx>
    <mdx n="33" f="v">
      <t c="3">
        <n x="492"/>
        <n x="1336"/>
        <n x="1337" s="1"/>
      </t>
    </mdx>
    <mdx n="33" f="v">
      <t c="4">
        <n x="655"/>
        <n x="12"/>
        <n x="7"/>
        <n x="1337" s="1"/>
      </t>
    </mdx>
    <mdx n="33" f="v">
      <t c="4">
        <n x="685"/>
        <n x="14"/>
        <n x="32"/>
        <n x="1337" s="1"/>
      </t>
    </mdx>
    <mdx n="33" f="v">
      <t c="4">
        <n x="786"/>
        <n x="1"/>
        <n x="7"/>
        <n x="1337" s="1"/>
      </t>
    </mdx>
    <mdx n="33" f="v">
      <t c="4">
        <n x="683"/>
        <n x="0"/>
        <n x="7"/>
        <n x="1337" s="1"/>
      </t>
    </mdx>
    <mdx n="33" f="v">
      <t c="4" si="10">
        <n x="784"/>
        <n x="12"/>
        <n x="32"/>
        <n x="1337" s="1"/>
      </t>
    </mdx>
    <mdx n="33" f="v">
      <t c="4">
        <n x="684"/>
        <n x="1"/>
        <n x="32"/>
        <n x="1337" s="1"/>
      </t>
    </mdx>
    <mdx n="33" f="v">
      <t c="4" si="10">
        <n x="474"/>
        <n x="0"/>
        <n x="32"/>
        <n x="1337" s="1"/>
      </t>
    </mdx>
    <mdx n="33" f="v">
      <t c="4">
        <n x="664"/>
        <n x="1"/>
        <n x="7"/>
        <n x="1337" s="1"/>
      </t>
    </mdx>
    <mdx n="33" f="v">
      <t c="4">
        <n x="705"/>
        <n x="1"/>
        <n x="32"/>
        <n x="1337" s="1"/>
      </t>
    </mdx>
    <mdx n="33" f="v">
      <t c="4">
        <n x="808"/>
        <n x="1"/>
        <n x="32"/>
        <n x="1337" s="1"/>
      </t>
    </mdx>
    <mdx n="33" f="v">
      <t c="4">
        <n x="832"/>
        <n x="12"/>
        <n x="32"/>
        <n x="1337" s="1"/>
      </t>
    </mdx>
    <mdx n="33" f="v">
      <t c="4">
        <n x="930"/>
        <n x="11"/>
        <n x="7"/>
        <n x="1337" s="1"/>
      </t>
    </mdx>
    <mdx n="33" f="v">
      <t c="4" si="10">
        <n x="1114"/>
        <n x="1"/>
        <n x="32"/>
        <n x="1337" s="1"/>
      </t>
    </mdx>
    <mdx n="33" f="v">
      <t c="4">
        <n x="238"/>
        <n x="14"/>
        <n x="7"/>
        <n x="1337" s="1"/>
      </t>
    </mdx>
    <mdx n="33" f="v">
      <t c="4" si="9">
        <n x="477"/>
        <n x="12"/>
        <n x="7"/>
        <n x="1337" s="1"/>
      </t>
    </mdx>
    <mdx n="33" f="v">
      <t c="4" si="10">
        <n x="669"/>
        <n x="14"/>
        <n x="32"/>
        <n x="1337" s="1"/>
      </t>
    </mdx>
    <mdx n="33" f="v">
      <t c="4">
        <n x="705"/>
        <n x="1"/>
        <n x="7"/>
        <n x="1337" s="1"/>
      </t>
    </mdx>
    <mdx n="33" f="v">
      <t c="4">
        <n x="808"/>
        <n x="1"/>
        <n x="7"/>
        <n x="1337" s="1"/>
      </t>
    </mdx>
    <mdx n="33" f="v">
      <t c="4" si="10">
        <n x="843"/>
        <n x="14"/>
        <n x="32"/>
        <n x="1337" s="1"/>
      </t>
    </mdx>
    <mdx n="33" f="v">
      <t c="4">
        <n x="728"/>
        <n x="1"/>
        <n x="7"/>
        <n x="1337" s="1"/>
      </t>
    </mdx>
    <mdx n="33" f="v">
      <t c="4">
        <n x="839"/>
        <n x="0"/>
        <n x="32"/>
        <n x="1337" s="1"/>
      </t>
    </mdx>
    <mdx n="33" f="v">
      <t c="4">
        <n x="873"/>
        <n x="0"/>
        <n x="32"/>
        <n x="1337" s="1"/>
      </t>
    </mdx>
    <mdx n="33" f="v">
      <t c="4">
        <n x="905"/>
        <n x="0"/>
        <n x="32"/>
        <n x="1337" s="1"/>
      </t>
    </mdx>
    <mdx n="33" f="v">
      <t c="4">
        <n x="935"/>
        <n x="14"/>
        <n x="32"/>
        <n x="1337" s="1"/>
      </t>
    </mdx>
    <mdx n="33" f="v">
      <t c="3">
        <n x="987"/>
        <n x="1336"/>
        <n x="1337" s="1"/>
      </t>
    </mdx>
    <mdx n="33" f="v">
      <t c="4">
        <n x="1057"/>
        <n x="0"/>
        <n x="7"/>
        <n x="1337" s="1"/>
      </t>
    </mdx>
    <mdx n="33" f="v">
      <t c="4">
        <n x="1126"/>
        <n x="12"/>
        <n x="7"/>
        <n x="1337" s="1"/>
      </t>
    </mdx>
    <mdx n="33" f="v">
      <t c="4">
        <n x="1294"/>
        <n x="12"/>
        <n x="7"/>
        <n x="1337" s="1"/>
      </t>
    </mdx>
    <mdx n="33" f="v">
      <t c="4" si="9">
        <n x="547"/>
        <n x="14"/>
        <n x="7"/>
        <n x="1337" s="1"/>
      </t>
    </mdx>
    <mdx n="33" f="v">
      <t c="4">
        <n x="201"/>
        <n x="14"/>
        <n x="7"/>
        <n x="1337" s="1"/>
      </t>
    </mdx>
    <mdx n="33" f="v">
      <t c="4">
        <n x="295"/>
        <n x="12"/>
        <n x="7"/>
        <n x="1337" s="1"/>
      </t>
    </mdx>
    <mdx n="33" f="v">
      <t c="4" si="9">
        <n x="604"/>
        <n x="0"/>
        <n x="7"/>
        <n x="1337" s="1"/>
      </t>
    </mdx>
    <mdx n="33" f="v">
      <t c="4">
        <n x="313"/>
        <n x="12"/>
        <n x="7"/>
        <n x="1337" s="1"/>
      </t>
    </mdx>
    <mdx n="33" f="v">
      <t c="4">
        <n x="620"/>
        <n x="14"/>
        <n x="7"/>
        <n x="1337" s="1"/>
      </t>
    </mdx>
    <mdx n="33" f="v">
      <t c="4" si="9">
        <n x="499"/>
        <n x="0"/>
        <n x="7"/>
        <n x="1337" s="1"/>
      </t>
    </mdx>
    <mdx n="33" f="v">
      <t c="4">
        <n x="746"/>
        <n x="14"/>
        <n x="7"/>
        <n x="1337" s="1"/>
      </t>
    </mdx>
    <mdx n="33" f="v">
      <t c="4" si="9">
        <n x="487"/>
        <n x="0"/>
        <n x="7"/>
        <n x="1337" s="1"/>
      </t>
    </mdx>
    <mdx n="33" f="v">
      <t c="4" si="10">
        <n x="745"/>
        <n x="14"/>
        <n x="32"/>
        <n x="1337" s="1"/>
      </t>
    </mdx>
    <mdx n="33" f="v">
      <t c="4">
        <n x="826"/>
        <n x="0"/>
        <n x="7"/>
        <n x="1337" s="1"/>
      </t>
    </mdx>
    <mdx n="33" f="v">
      <t c="4" si="10">
        <n x="600"/>
        <n x="1"/>
        <n x="32"/>
        <n x="1337" s="1"/>
      </t>
    </mdx>
    <mdx n="33" f="v">
      <t c="4" si="10">
        <n x="696"/>
        <n x="11"/>
        <n x="32"/>
        <n x="1337" s="1"/>
      </t>
    </mdx>
    <mdx n="33" f="v">
      <t c="4">
        <n x="725"/>
        <n x="1"/>
        <n x="7"/>
        <n x="1337" s="1"/>
      </t>
    </mdx>
    <mdx n="33" f="v">
      <t c="4">
        <n x="748"/>
        <n x="14"/>
        <n x="7"/>
        <n x="1337" s="1"/>
      </t>
    </mdx>
    <mdx n="33" f="v">
      <t c="4">
        <n x="773"/>
        <n x="11"/>
        <n x="7"/>
        <n x="1337" s="1"/>
      </t>
    </mdx>
    <mdx n="33" f="v">
      <t c="4" si="10">
        <n x="801"/>
        <n x="12"/>
        <n x="32"/>
        <n x="1337" s="1"/>
      </t>
    </mdx>
    <mdx n="33" f="v">
      <t c="4">
        <n x="825"/>
        <n x="0"/>
        <n x="32"/>
        <n x="1337" s="1"/>
      </t>
    </mdx>
    <mdx n="33" f="v">
      <t c="4" si="10">
        <n x="848"/>
        <n x="1"/>
        <n x="32"/>
        <n x="1337" s="1"/>
      </t>
    </mdx>
    <mdx n="33" f="v">
      <t c="4">
        <n x="712"/>
        <n x="1"/>
        <n x="7"/>
        <n x="1337" s="1"/>
      </t>
    </mdx>
    <mdx n="33" f="v">
      <t c="4" si="10">
        <n x="812"/>
        <n x="0"/>
        <n x="32"/>
        <n x="1337" s="1"/>
      </t>
    </mdx>
    <mdx n="33" f="v">
      <t c="4">
        <n x="854"/>
        <n x="11"/>
        <n x="32"/>
        <n x="1337" s="1"/>
      </t>
    </mdx>
    <mdx n="33" f="v">
      <t c="4" si="10">
        <n x="877"/>
        <n x="12"/>
        <n x="32"/>
        <n x="1337" s="1"/>
      </t>
    </mdx>
    <mdx n="33" f="v">
      <t c="4">
        <n x="901"/>
        <n x="0"/>
        <n x="32"/>
        <n x="1337" s="1"/>
      </t>
    </mdx>
    <mdx n="33" f="v">
      <t c="4">
        <n x="924"/>
        <n x="1"/>
        <n x="32"/>
        <n x="1337" s="1"/>
      </t>
    </mdx>
    <mdx n="33" f="v">
      <t c="4">
        <n x="950"/>
        <n x="11"/>
        <n x="32"/>
        <n x="1337" s="1"/>
      </t>
    </mdx>
    <mdx n="33" f="v">
      <t c="4">
        <n x="997"/>
        <n x="0"/>
        <n x="7"/>
        <n x="1337" s="1"/>
      </t>
    </mdx>
    <mdx n="33" f="v">
      <t c="3" fi="0">
        <n x="540"/>
        <n x="1336"/>
        <n x="1337" s="1"/>
      </t>
    </mdx>
    <mdx n="33" f="v">
      <t c="3">
        <n x="604"/>
        <n x="1336"/>
        <n x="1337" s="1"/>
      </t>
    </mdx>
    <mdx n="33" f="v">
      <t c="4">
        <n x="642"/>
        <n x="0"/>
        <n x="32"/>
        <n x="1337" s="1"/>
      </t>
    </mdx>
    <mdx n="33" f="v">
      <t c="4" si="9">
        <n x="676"/>
        <n x="14"/>
        <n x="7"/>
        <n x="1337" s="1"/>
      </t>
    </mdx>
    <mdx n="33" f="v">
      <t c="4">
        <n x="378"/>
        <n x="0"/>
        <n x="32"/>
        <n x="1337" s="1"/>
      </t>
    </mdx>
    <mdx n="33" f="v">
      <t c="3">
        <n x="651"/>
        <n x="1336"/>
        <n x="1337" s="1"/>
      </t>
    </mdx>
    <mdx n="33" f="v">
      <t c="3">
        <n x="710"/>
        <n x="1336"/>
        <n x="1337" s="1"/>
      </t>
    </mdx>
    <mdx n="33" f="v">
      <t c="4" si="10">
        <n x="739"/>
        <n x="1"/>
        <n x="32"/>
        <n x="1337" s="1"/>
      </t>
    </mdx>
    <mdx n="33" f="v">
      <t c="4">
        <n x="768"/>
        <n x="1"/>
        <n x="7"/>
        <n x="1337" s="1"/>
      </t>
    </mdx>
    <mdx n="33" f="v">
      <t c="4">
        <n x="809"/>
        <n x="14"/>
        <n x="32"/>
        <n x="1337" s="1"/>
      </t>
    </mdx>
    <mdx n="33" f="v">
      <t c="4">
        <n x="330"/>
        <n x="0"/>
        <n x="32"/>
        <n x="1337" s="1"/>
      </t>
    </mdx>
    <mdx n="33" f="v">
      <t c="4" si="10">
        <n x="645"/>
        <n x="12"/>
        <n x="32"/>
        <n x="1337" s="1"/>
      </t>
    </mdx>
    <mdx n="33" f="v">
      <t c="4">
        <n x="708"/>
        <n x="11"/>
        <n x="7"/>
        <n x="1337" s="1"/>
      </t>
    </mdx>
    <mdx n="33" f="v">
      <t c="4">
        <n x="737"/>
        <n x="14"/>
        <n x="7"/>
        <n x="1337" s="1"/>
      </t>
    </mdx>
    <mdx n="33" f="v">
      <t c="3">
        <n x="761"/>
        <n x="1336"/>
        <n x="1337" s="1"/>
      </t>
    </mdx>
    <mdx n="33" f="v">
      <t c="4">
        <n x="790"/>
        <n x="12"/>
        <n x="32"/>
        <n x="1337" s="1"/>
      </t>
    </mdx>
    <mdx n="33" f="v">
      <t c="4" si="10">
        <n x="814"/>
        <n x="0"/>
        <n x="32"/>
        <n x="1337" s="1"/>
      </t>
    </mdx>
    <mdx n="33" f="v">
      <t c="4">
        <n x="346"/>
        <n x="0"/>
        <n x="32"/>
        <n x="1337" s="1"/>
      </t>
    </mdx>
    <mdx n="33" f="v">
      <t c="4">
        <n x="624"/>
        <n x="1"/>
        <n x="32"/>
        <n x="1337" s="1"/>
      </t>
    </mdx>
    <mdx n="33" f="v">
      <t c="3">
        <n x="690"/>
        <n x="1336"/>
        <n x="1337" s="1"/>
      </t>
    </mdx>
    <mdx n="33" f="v">
      <t c="4">
        <n x="715"/>
        <n x="12"/>
        <n x="7"/>
        <n x="1337" s="1"/>
      </t>
    </mdx>
    <mdx n="33" f="v">
      <t c="4">
        <n x="275"/>
        <n x="0"/>
        <n x="32"/>
        <n x="1337" s="1"/>
      </t>
    </mdx>
    <mdx n="33" f="v">
      <t c="4">
        <n x="580"/>
        <n x="12"/>
        <n x="7"/>
        <n x="1337" s="1"/>
      </t>
    </mdx>
    <mdx n="33" f="v">
      <t c="3" fi="0">
        <n x="512"/>
        <n x="1336"/>
        <n x="1337" s="1"/>
      </t>
    </mdx>
    <mdx n="33" f="v">
      <t c="3">
        <n x="664"/>
        <n x="1336"/>
        <n x="1337" s="1"/>
      </t>
    </mdx>
    <mdx n="33" f="v">
      <t c="4">
        <n x="697"/>
        <n x="11"/>
        <n x="32"/>
        <n x="1337" s="1"/>
      </t>
    </mdx>
    <mdx n="33" f="v">
      <t c="4">
        <n x="796"/>
        <n x="11"/>
        <n x="7"/>
        <n x="1337" s="1"/>
      </t>
    </mdx>
    <mdx n="33" f="v">
      <t c="4">
        <n x="695"/>
        <n x="14"/>
        <n x="7"/>
        <n x="1337" s="1"/>
      </t>
    </mdx>
    <mdx n="33" f="v">
      <t c="4">
        <n x="795"/>
        <n x="11"/>
        <n x="32"/>
        <n x="1337" s="1"/>
      </t>
    </mdx>
    <mdx n="33" f="v">
      <t c="4">
        <n x="454"/>
        <n x="0"/>
        <n x="32"/>
        <n x="1337" s="1"/>
      </t>
    </mdx>
    <mdx n="33" f="v">
      <t c="4" si="10">
        <n x="669"/>
        <n x="0"/>
        <n x="32"/>
        <n x="1337" s="1"/>
      </t>
    </mdx>
    <mdx n="33" f="v">
      <t c="4">
        <n x="711"/>
        <n x="12"/>
        <n x="7"/>
        <n x="1337" s="1"/>
      </t>
    </mdx>
    <mdx n="33" f="v">
      <t c="4" si="10">
        <n x="736"/>
        <n x="14"/>
        <n x="32"/>
        <n x="1337" s="1"/>
      </t>
    </mdx>
    <mdx n="33" f="v">
      <t c="4">
        <n x="759"/>
        <n x="11"/>
        <n x="7"/>
        <n x="1337" s="1"/>
      </t>
    </mdx>
    <mdx n="33" f="v">
      <t c="4">
        <n x="788"/>
        <n x="11"/>
        <n x="7"/>
        <n x="1337" s="1"/>
      </t>
    </mdx>
    <mdx n="33" f="v">
      <t c="4">
        <n x="812"/>
        <n x="1"/>
        <n x="7"/>
        <n x="1337" s="1"/>
      </t>
    </mdx>
    <mdx n="33" f="v">
      <t c="4">
        <n x="835"/>
        <n x="14"/>
        <n x="7"/>
        <n x="1337" s="1"/>
      </t>
    </mdx>
    <mdx n="33" f="v">
      <t c="4" si="9">
        <n x="582"/>
        <n x="12"/>
        <n x="7"/>
        <n x="1337" s="1"/>
      </t>
    </mdx>
    <mdx n="33" f="v">
      <t c="4" si="10">
        <n x="756"/>
        <n x="1"/>
        <n x="32"/>
        <n x="1337" s="1"/>
      </t>
    </mdx>
    <mdx n="33" f="v">
      <t c="4">
        <n x="838"/>
        <n x="14"/>
        <n x="32"/>
        <n x="1337" s="1"/>
      </t>
    </mdx>
    <mdx n="33" f="v">
      <t c="4">
        <n x="865"/>
        <n x="0"/>
        <n x="7"/>
        <n x="1337" s="1"/>
      </t>
    </mdx>
    <mdx n="33" f="v">
      <t c="4">
        <n x="888"/>
        <n x="1"/>
        <n x="7"/>
        <n x="1337" s="1"/>
      </t>
    </mdx>
    <mdx n="33" f="v">
      <t c="4">
        <n x="911"/>
        <n x="14"/>
        <n x="7"/>
        <n x="1337" s="1"/>
      </t>
    </mdx>
    <mdx n="33" f="v">
      <t c="3">
        <n x="935"/>
        <n x="1336"/>
        <n x="1337" s="1"/>
      </t>
    </mdx>
    <mdx n="33" f="v">
      <t c="4">
        <n x="970"/>
        <n x="1"/>
        <n x="32"/>
        <n x="1337" s="1"/>
      </t>
    </mdx>
    <mdx n="33" f="v">
      <t c="4">
        <n x="1021"/>
        <n x="0"/>
        <n x="7"/>
        <n x="1337" s="1"/>
      </t>
    </mdx>
    <mdx n="33" f="v">
      <t c="4" si="10">
        <n x="1073"/>
        <n x="0"/>
        <n x="32"/>
        <n x="1337" s="1"/>
      </t>
    </mdx>
    <mdx n="33" f="v">
      <t c="4">
        <n x="1124"/>
        <n x="12"/>
        <n x="7"/>
        <n x="1337" s="1"/>
      </t>
    </mdx>
    <mdx n="33" f="v">
      <t c="4">
        <n x="1252"/>
        <n x="12"/>
        <n x="7"/>
        <n x="1337" s="1"/>
      </t>
    </mdx>
    <mdx n="33" f="v">
      <t c="4" si="9">
        <n x="1043"/>
        <n x="14"/>
        <n x="7"/>
        <n x="1337" s="1"/>
      </t>
    </mdx>
    <mdx n="33" f="v">
      <t c="4">
        <n x="469"/>
        <n x="14"/>
        <n x="7"/>
        <n x="1337" s="1"/>
      </t>
    </mdx>
    <mdx n="33" f="v">
      <t c="4">
        <n x="205"/>
        <n x="14"/>
        <n x="7"/>
        <n x="1337" s="1"/>
      </t>
    </mdx>
    <mdx n="33" f="v">
      <t c="4">
        <n x="559"/>
        <n x="0"/>
        <n x="7"/>
        <n x="1337" s="1"/>
      </t>
    </mdx>
    <mdx n="33" f="v">
      <t c="4">
        <n x="288"/>
        <n x="12"/>
        <n x="7"/>
        <n x="1337" s="1"/>
      </t>
    </mdx>
    <mdx n="33" f="v">
      <t c="4">
        <n x="593"/>
        <n x="0"/>
        <n x="32"/>
        <n x="1337" s="1"/>
      </t>
    </mdx>
    <mdx n="33" f="v">
      <t c="4" si="10">
        <n x="515"/>
        <n x="1"/>
        <n x="32"/>
        <n x="1337" s="1"/>
      </t>
    </mdx>
    <mdx n="33" f="v">
      <t c="4">
        <n x="665"/>
        <n x="1"/>
        <n x="7"/>
        <n x="1337" s="1"/>
      </t>
    </mdx>
    <mdx n="33" f="v">
      <t c="4">
        <n x="698"/>
        <n x="14"/>
        <n x="7"/>
        <n x="1337" s="1"/>
      </t>
    </mdx>
    <mdx n="33" f="v">
      <t c="4">
        <n x="798"/>
        <n x="1"/>
        <n x="32"/>
        <n x="1337" s="1"/>
      </t>
    </mdx>
    <mdx n="33" f="v">
      <t c="4" si="10">
        <n x="697"/>
        <n x="14"/>
        <n x="32"/>
        <n x="1337" s="1"/>
      </t>
    </mdx>
    <mdx n="33" f="v">
      <t c="4">
        <n x="796"/>
        <n x="14"/>
        <n x="7"/>
        <n x="1337" s="1"/>
      </t>
    </mdx>
    <mdx n="33" f="v">
      <t c="3">
        <n x="458"/>
        <n x="1336"/>
        <n x="1337" s="1"/>
      </t>
    </mdx>
    <mdx n="33" f="v">
      <t c="4">
        <n x="670"/>
        <n x="11"/>
        <n x="32"/>
        <n x="1337" s="1"/>
      </t>
    </mdx>
    <mdx n="33" f="v">
      <t c="4" si="10">
        <n x="711"/>
        <n x="11"/>
        <n x="32"/>
        <n x="1337" s="1"/>
      </t>
    </mdx>
    <mdx n="33" f="v">
      <t c="4">
        <n x="736"/>
        <n x="14"/>
        <n x="7"/>
        <n x="1337" s="1"/>
      </t>
    </mdx>
    <mdx n="33" f="v">
      <t c="3">
        <n x="760"/>
        <n x="1336"/>
        <n x="1337" s="1"/>
      </t>
    </mdx>
    <mdx n="33" f="v">
      <t c="4">
        <n x="789"/>
        <n x="11"/>
        <n x="32"/>
        <n x="1337" s="1"/>
      </t>
    </mdx>
    <mdx n="33" f="v">
      <t c="4">
        <n x="813"/>
        <n x="0"/>
        <n x="32"/>
        <n x="1337" s="1"/>
      </t>
    </mdx>
    <mdx n="33" f="v">
      <t c="4">
        <n x="1156"/>
        <n x="1"/>
        <n x="32"/>
        <n x="1337" s="1"/>
      </t>
    </mdx>
    <mdx n="33" f="v">
      <t c="4">
        <n x="86"/>
        <n x="1"/>
        <n x="7"/>
        <n x="1337" s="1"/>
      </t>
    </mdx>
    <mdx n="33" f="v">
      <t c="4">
        <n x="86"/>
        <n x="14"/>
        <n x="32"/>
        <n x="1337" s="1"/>
      </t>
    </mdx>
    <mdx n="33" f="v">
      <t c="4">
        <n x="75"/>
        <n x="11"/>
        <n x="32"/>
        <n x="1337" s="1"/>
      </t>
    </mdx>
    <mdx n="33" f="v">
      <t c="4">
        <n x="83"/>
        <n x="11"/>
        <n x="32"/>
        <n x="1337" s="1"/>
      </t>
    </mdx>
    <mdx n="33" f="v">
      <t c="4">
        <n x="227"/>
        <n x="0"/>
        <n x="7"/>
        <n x="1337" s="1"/>
      </t>
    </mdx>
    <mdx n="33" f="v">
      <t c="4">
        <n x="504"/>
        <n x="12"/>
        <n x="7"/>
        <n x="1337" s="1"/>
      </t>
    </mdx>
    <mdx n="33" f="v">
      <t c="3">
        <n x="396"/>
        <n x="1336"/>
        <n x="1337" s="1"/>
      </t>
    </mdx>
    <mdx n="33" f="v">
      <t c="4">
        <n x="274"/>
        <n x="0"/>
        <n x="32"/>
        <n x="1337" s="1"/>
      </t>
    </mdx>
    <mdx n="33" f="v">
      <t c="4">
        <n x="382"/>
        <n x="0"/>
        <n x="32"/>
        <n x="1337" s="1"/>
      </t>
    </mdx>
    <mdx n="33" f="v">
      <t c="4">
        <n x="628"/>
        <n x="0"/>
        <n x="7"/>
        <n x="1337" s="1"/>
      </t>
    </mdx>
    <mdx n="33" f="v">
      <t c="3">
        <n x="386"/>
        <n x="1336"/>
        <n x="1337" s="1"/>
      </t>
    </mdx>
    <mdx n="33" f="v">
      <t c="4">
        <n x="628"/>
        <n x="11"/>
        <n x="7"/>
        <n x="1337" s="1"/>
      </t>
    </mdx>
    <mdx n="33" f="v">
      <t c="4">
        <n x="398"/>
        <n x="1"/>
        <n x="32"/>
        <n x="1337" s="1"/>
      </t>
    </mdx>
    <mdx n="33" f="v">
      <t c="4">
        <n x="413"/>
        <n x="12"/>
        <n x="7"/>
        <n x="1337" s="1"/>
      </t>
    </mdx>
    <mdx n="33" f="v">
      <t c="4">
        <n x="242"/>
        <n x="0"/>
        <n x="7"/>
        <n x="1337" s="1"/>
      </t>
    </mdx>
    <mdx n="33" f="v">
      <t c="4" si="10">
        <n x="436"/>
        <n x="1"/>
        <n x="32"/>
        <n x="1337" s="1"/>
      </t>
    </mdx>
    <mdx n="33" f="v">
      <t c="4" si="9">
        <n x="527"/>
        <n x="12"/>
        <n x="7"/>
        <n x="1337" s="1"/>
      </t>
    </mdx>
    <mdx n="33" f="v">
      <t c="4">
        <n x="670"/>
        <n x="14"/>
        <n x="7"/>
        <n x="1337" s="1"/>
      </t>
    </mdx>
    <mdx n="33" f="v">
      <t c="4">
        <n x="528"/>
        <n x="12"/>
        <n x="7"/>
        <n x="1337" s="1"/>
      </t>
    </mdx>
    <mdx n="33" f="v">
      <t c="6">
        <n x="15"/>
        <n x="1337" s="1"/>
        <n x="38"/>
        <n x="7"/>
        <n x="20"/>
        <n x="3"/>
      </t>
    </mdx>
    <mdx n="33" f="v">
      <t c="4">
        <n x="296"/>
        <n x="12"/>
        <n x="7"/>
        <n x="1337" s="1"/>
      </t>
    </mdx>
    <mdx n="33" f="v">
      <t c="4">
        <n x="596"/>
        <n x="12"/>
        <n x="7"/>
        <n x="1337" s="1"/>
      </t>
    </mdx>
    <mdx n="33" f="v">
      <t c="3" fi="0">
        <n x="516"/>
        <n x="1336"/>
        <n x="1337" s="1"/>
      </t>
    </mdx>
    <mdx n="33" f="v">
      <t c="4" si="10">
        <n x="666"/>
        <n x="0"/>
        <n x="32"/>
        <n x="1337" s="1"/>
      </t>
    </mdx>
    <mdx n="33" f="v">
      <t c="4">
        <n x="699"/>
        <n x="1"/>
        <n x="32"/>
        <n x="1337" s="1"/>
      </t>
    </mdx>
    <mdx n="33" f="v">
      <t c="4">
        <n x="798"/>
        <n x="1"/>
        <n x="7"/>
        <n x="1337" s="1"/>
      </t>
    </mdx>
    <mdx n="33" f="v">
      <t c="4">
        <n x="697"/>
        <n x="14"/>
        <n x="7"/>
        <n x="1337" s="1"/>
      </t>
    </mdx>
    <mdx n="33" f="v">
      <t c="4" si="10">
        <n x="797"/>
        <n x="1"/>
        <n x="32"/>
        <n x="1337" s="1"/>
      </t>
    </mdx>
    <mdx n="33" f="v">
      <t c="4">
        <n x="317"/>
        <n x="0"/>
        <n x="32"/>
        <n x="1337" s="1"/>
      </t>
    </mdx>
    <mdx n="33" f="v">
      <t c="4" si="9">
        <n x="612"/>
        <n x="12"/>
        <n x="7"/>
        <n x="1337" s="1"/>
      </t>
    </mdx>
    <mdx n="33" f="v">
      <t c="3" fi="0">
        <n x="520"/>
        <n x="1336"/>
        <n x="1337" s="1"/>
      </t>
    </mdx>
    <mdx n="33" f="v">
      <t c="3">
        <n x="616"/>
        <n x="1336"/>
        <n x="1337" s="1"/>
      </t>
    </mdx>
    <mdx n="33" f="v">
      <t c="4">
        <n x="648"/>
        <n x="14"/>
        <n x="7"/>
        <n x="1337" s="1"/>
      </t>
    </mdx>
    <mdx n="33" f="v">
      <t c="4">
        <n x="679"/>
        <n x="11"/>
        <n x="32"/>
        <n x="1337" s="1"/>
      </t>
    </mdx>
    <mdx n="33" f="v">
      <t c="4" si="10">
        <n x="480"/>
        <n x="1"/>
        <n x="32"/>
        <n x="1337" s="1"/>
      </t>
    </mdx>
    <mdx n="33" f="v">
      <t c="4" si="10">
        <n x="673"/>
        <n x="12"/>
        <n x="32"/>
        <n x="1337" s="1"/>
      </t>
    </mdx>
    <mdx n="33" f="v">
      <t c="4">
        <n x="712"/>
        <n x="12"/>
        <n x="32"/>
        <n x="1337" s="1"/>
      </t>
    </mdx>
    <mdx n="33" f="v">
      <t c="4" si="10">
        <n x="744"/>
        <n x="12"/>
        <n x="32"/>
        <n x="1337" s="1"/>
      </t>
    </mdx>
    <mdx n="33" f="v">
      <t c="4" si="10">
        <n x="778"/>
        <n x="0"/>
        <n x="32"/>
        <n x="1337" s="1"/>
      </t>
    </mdx>
    <mdx n="33" f="v">
      <t c="4">
        <n x="812"/>
        <n x="12"/>
        <n x="7"/>
        <n x="1337" s="1"/>
      </t>
    </mdx>
    <mdx n="33" f="v">
      <t c="3">
        <n x="469"/>
        <n x="1336"/>
        <n x="1337" s="1"/>
      </t>
    </mdx>
    <mdx n="33" f="v">
      <t c="4" si="10">
        <n x="671"/>
        <n x="0"/>
        <n x="32"/>
        <n x="1337" s="1"/>
      </t>
    </mdx>
    <mdx n="33" f="v">
      <t c="4">
        <n x="711"/>
        <n x="0"/>
        <n x="7"/>
        <n x="1337" s="1"/>
      </t>
    </mdx>
    <mdx n="33" f="v">
      <t c="4">
        <n x="743"/>
        <n x="0"/>
        <n x="7"/>
        <n x="1337" s="1"/>
      </t>
    </mdx>
    <mdx n="33" f="v">
      <t c="4">
        <n x="776"/>
        <n x="12"/>
        <n x="7"/>
        <n x="1337" s="1"/>
      </t>
    </mdx>
    <mdx n="33" f="v">
      <t c="4">
        <n x="810"/>
        <n x="12"/>
        <n x="32"/>
        <n x="1337" s="1"/>
      </t>
    </mdx>
    <mdx n="33" f="v">
      <t c="4">
        <n x="251"/>
        <n x="1"/>
        <n x="32"/>
        <n x="1337" s="1"/>
      </t>
    </mdx>
    <mdx n="33" f="v">
      <t c="4">
        <n x="190"/>
        <n x="1"/>
        <n x="32"/>
        <n x="1337" s="1"/>
      </t>
    </mdx>
    <mdx n="33" f="v">
      <t c="4">
        <n x="434"/>
        <n x="12"/>
        <n x="7"/>
        <n x="1337" s="1"/>
      </t>
    </mdx>
    <mdx n="33" f="v">
      <t c="4">
        <n x="601"/>
        <n x="1"/>
        <n x="32"/>
        <n x="1337" s="1"/>
      </t>
    </mdx>
    <mdx n="33" f="v">
      <t c="4">
        <n x="461"/>
        <n x="0"/>
        <n x="32"/>
        <n x="1337" s="1"/>
      </t>
    </mdx>
    <mdx n="33" f="v">
      <t c="4">
        <n x="655"/>
        <n x="0"/>
        <n x="32"/>
        <n x="1337" s="1"/>
      </t>
    </mdx>
    <mdx n="33" f="v">
      <t c="4">
        <n x="226"/>
        <n x="11"/>
        <n x="32"/>
        <n x="1337" s="1"/>
      </t>
    </mdx>
    <mdx n="33" f="v">
      <t c="4">
        <n x="424"/>
        <n x="0"/>
        <n x="32"/>
        <n x="1337" s="1"/>
      </t>
    </mdx>
    <mdx n="33" f="v">
      <t c="4" si="10">
        <n x="495"/>
        <n x="1"/>
        <n x="32"/>
        <n x="1337" s="1"/>
      </t>
    </mdx>
    <mdx n="33" f="v">
      <t c="4">
        <n x="546"/>
        <n x="0"/>
        <n x="7"/>
        <n x="1337" s="1"/>
      </t>
    </mdx>
    <mdx n="33" f="v">
      <t c="4" si="10">
        <n x="598"/>
        <n x="0"/>
        <n x="32"/>
        <n x="1337" s="1"/>
      </t>
    </mdx>
    <mdx n="33" f="v">
      <t c="4">
        <n x="633"/>
        <n x="1"/>
        <n x="32"/>
        <n x="1337" s="1"/>
      </t>
    </mdx>
    <mdx n="33" f="v">
      <t c="4">
        <n x="656"/>
        <n x="14"/>
        <n x="32"/>
        <n x="1337" s="1"/>
      </t>
    </mdx>
    <mdx n="33" f="v">
      <t c="4">
        <n x="679"/>
        <n x="11"/>
        <n x="7"/>
        <n x="1337" s="1"/>
      </t>
    </mdx>
    <mdx n="33" f="v">
      <t c="4">
        <n x="269"/>
        <n x="12"/>
        <n x="7"/>
        <n x="1337" s="1"/>
      </t>
    </mdx>
    <mdx n="33" f="v">
      <t c="4">
        <n x="611"/>
        <n x="0"/>
        <n x="7"/>
        <n x="1337" s="1"/>
      </t>
    </mdx>
    <mdx n="33" f="v">
      <t c="4">
        <n x="687"/>
        <n x="14"/>
        <n x="32"/>
        <n x="1337" s="1"/>
      </t>
    </mdx>
    <mdx n="33" f="v">
      <t c="4">
        <n x="713"/>
        <n x="12"/>
        <n x="7"/>
        <n x="1337" s="1"/>
      </t>
    </mdx>
    <mdx n="33" f="v">
      <t c="4">
        <n x="736"/>
        <n x="0"/>
        <n x="7"/>
        <n x="1337" s="1"/>
      </t>
    </mdx>
    <mdx n="33" f="v">
      <t c="4">
        <n x="759"/>
        <n x="1"/>
        <n x="7"/>
        <n x="1337" s="1"/>
      </t>
    </mdx>
    <mdx n="33" f="v">
      <t c="4">
        <n x="788"/>
        <n x="1"/>
        <n x="7"/>
        <n x="1337" s="1"/>
      </t>
    </mdx>
    <mdx n="33" f="v">
      <t c="4">
        <n x="812"/>
        <n x="11"/>
        <n x="32"/>
        <n x="1337" s="1"/>
      </t>
    </mdx>
    <mdx n="33" f="v">
      <t c="4">
        <n x="239"/>
        <n x="12"/>
        <n x="7"/>
        <n x="1337" s="1"/>
      </t>
    </mdx>
    <mdx n="33" f="v">
      <t c="4">
        <n x="599"/>
        <n x="0"/>
        <n x="7"/>
        <n x="1337" s="1"/>
      </t>
    </mdx>
    <mdx n="33" f="v">
      <t c="4">
        <n x="685"/>
        <n x="12"/>
        <n x="32"/>
        <n x="1337" s="1"/>
      </t>
    </mdx>
    <mdx n="33" f="v">
      <t c="4" si="10">
        <n x="711"/>
        <n x="12"/>
        <n x="32"/>
        <n x="1337" s="1"/>
      </t>
    </mdx>
    <mdx n="33" f="v">
      <t c="4" si="10">
        <n x="735"/>
        <n x="0"/>
        <n x="32"/>
        <n x="1337" s="1"/>
      </t>
    </mdx>
    <mdx n="33" f="v">
      <t c="4" si="10">
        <n x="758"/>
        <n x="1"/>
        <n x="32"/>
        <n x="1337" s="1"/>
      </t>
    </mdx>
    <mdx n="33" f="v">
      <t c="4" si="10">
        <n x="786"/>
        <n x="12"/>
        <n x="32"/>
        <n x="1337" s="1"/>
      </t>
    </mdx>
    <mdx n="33" f="v">
      <t c="4">
        <n x="811"/>
        <n x="12"/>
        <n x="7"/>
        <n x="1337" s="1"/>
      </t>
    </mdx>
    <mdx n="33" f="v">
      <t c="4">
        <n x="249"/>
        <n x="12"/>
        <n x="7"/>
        <n x="1337" s="1"/>
      </t>
    </mdx>
    <mdx n="33" f="v">
      <t c="4">
        <n x="603"/>
        <n x="0"/>
        <n x="7"/>
        <n x="1337" s="1"/>
      </t>
    </mdx>
    <mdx n="33" f="v">
      <t c="4" si="10">
        <n x="686"/>
        <n x="1"/>
        <n x="32"/>
        <n x="1337" s="1"/>
      </t>
    </mdx>
    <mdx n="33" f="v">
      <t c="3">
        <n x="712"/>
        <n x="1336"/>
        <n x="1337" s="1"/>
      </t>
    </mdx>
    <mdx n="33" f="v">
      <t c="4">
        <n x="206"/>
        <n x="1"/>
        <n x="32"/>
        <n x="1337" s="1"/>
      </t>
    </mdx>
    <mdx n="33" f="v">
      <t c="4" si="9">
        <n x="477"/>
        <n x="0"/>
        <n x="7"/>
        <n x="1337" s="1"/>
      </t>
    </mdx>
    <mdx n="33" f="v">
      <t c="4" si="9">
        <n x="486"/>
        <n x="0"/>
        <n x="7"/>
        <n x="1337" s="1"/>
      </t>
    </mdx>
    <mdx n="33" f="v">
      <t c="4" si="10">
        <n x="652"/>
        <n x="14"/>
        <n x="32"/>
        <n x="1337" s="1"/>
      </t>
    </mdx>
    <mdx n="33" f="v">
      <t c="4" si="10">
        <n x="681"/>
        <n x="0"/>
        <n x="32"/>
        <n x="1337" s="1"/>
      </t>
    </mdx>
    <mdx n="33" f="v">
      <t c="4" si="10">
        <n x="783"/>
        <n x="0"/>
        <n x="32"/>
        <n x="1337" s="1"/>
      </t>
    </mdx>
    <mdx n="33" f="v">
      <t c="4">
        <n x="678"/>
        <n x="1"/>
        <n x="32"/>
        <n x="1337" s="1"/>
      </t>
    </mdx>
    <mdx n="33" f="v">
      <t c="4">
        <n x="781"/>
        <n x="12"/>
        <n x="7"/>
        <n x="1337" s="1"/>
      </t>
    </mdx>
    <mdx n="33" f="v">
      <t c="4">
        <n x="333"/>
        <n x="12"/>
        <n x="7"/>
        <n x="1337" s="1"/>
      </t>
    </mdx>
    <mdx n="33" f="v">
      <t c="4">
        <n x="654"/>
        <n x="11"/>
        <n x="7"/>
        <n x="1337" s="1"/>
      </t>
    </mdx>
    <mdx n="33" f="v">
      <t c="4">
        <n x="707"/>
        <n x="12"/>
        <n x="7"/>
        <n x="1337" s="1"/>
      </t>
    </mdx>
    <mdx n="33" f="v">
      <t c="4">
        <n x="733"/>
        <n x="1"/>
        <n x="7"/>
        <n x="1337" s="1"/>
      </t>
    </mdx>
    <mdx n="33" f="v">
      <t c="4" si="9">
        <n x="756"/>
        <n x="14"/>
        <n x="7"/>
        <n x="1337" s="1"/>
      </t>
    </mdx>
    <mdx n="33" f="v">
      <t c="4">
        <n x="784"/>
        <n x="11"/>
        <n x="7"/>
        <n x="1337" s="1"/>
      </t>
    </mdx>
    <mdx n="33" f="v">
      <t c="4">
        <n x="809"/>
        <n x="12"/>
        <n x="32"/>
        <n x="1337" s="1"/>
      </t>
    </mdx>
    <mdx n="33" f="v">
      <t c="4" si="10">
        <n x="833"/>
        <n x="0"/>
        <n x="32"/>
        <n x="1337" s="1"/>
      </t>
    </mdx>
    <mdx n="33" f="v">
      <t c="4" si="9">
        <n x="479"/>
        <n x="0"/>
        <n x="7"/>
        <n x="1337" s="1"/>
      </t>
    </mdx>
    <mdx n="33" f="v">
      <t c="4">
        <n x="744"/>
        <n x="1"/>
        <n x="7"/>
        <n x="1337" s="1"/>
      </t>
    </mdx>
    <mdx n="33" f="v">
      <t c="4">
        <n x="834"/>
        <n x="1"/>
        <n x="7"/>
        <n x="1337" s="1"/>
      </t>
    </mdx>
    <mdx n="33" f="v">
      <t c="4" si="10">
        <n x="862"/>
        <n x="11"/>
        <n x="32"/>
        <n x="1337" s="1"/>
      </t>
    </mdx>
    <mdx n="33" f="v">
      <t c="4" si="10">
        <n x="885"/>
        <n x="12"/>
        <n x="32"/>
        <n x="1337" s="1"/>
      </t>
    </mdx>
    <mdx n="33" f="v">
      <t c="4" si="10">
        <n x="909"/>
        <n x="0"/>
        <n x="32"/>
        <n x="1337" s="1"/>
      </t>
    </mdx>
    <mdx n="33" f="v">
      <t c="4">
        <n x="932"/>
        <n x="1"/>
        <n x="32"/>
        <n x="1337" s="1"/>
      </t>
    </mdx>
    <mdx n="33" f="v">
      <t c="4">
        <n x="964"/>
        <n x="12"/>
        <n x="7"/>
        <n x="1337" s="1"/>
      </t>
    </mdx>
    <mdx n="33" f="v">
      <t c="3">
        <n x="1015"/>
        <n x="1336"/>
        <n x="1337" s="1"/>
      </t>
    </mdx>
    <mdx n="33" f="v">
      <t c="4" si="10">
        <n x="1066"/>
        <n x="1"/>
        <n x="32"/>
        <n x="1337" s="1"/>
      </t>
    </mdx>
    <mdx n="33" f="v">
      <t c="4">
        <n x="1117"/>
        <n x="0"/>
        <n x="7"/>
        <n x="1337" s="1"/>
      </t>
    </mdx>
    <mdx n="33" f="v">
      <t c="4">
        <n x="1236"/>
        <n x="12"/>
        <n x="7"/>
        <n x="1337" s="1"/>
      </t>
    </mdx>
    <mdx n="33" f="v">
      <t c="4">
        <n x="1075"/>
        <n x="14"/>
        <n x="7"/>
        <n x="1337" s="1"/>
      </t>
    </mdx>
    <mdx n="33" f="v">
      <t c="4">
        <n x="503"/>
        <n x="14"/>
        <n x="7"/>
        <n x="1337" s="1"/>
      </t>
    </mdx>
    <mdx n="33" f="v">
      <t c="4">
        <n x="239"/>
        <n x="14"/>
        <n x="7"/>
        <n x="1337" s="1"/>
      </t>
    </mdx>
    <mdx n="33" f="v">
      <t c="4">
        <n x="455"/>
        <n x="12"/>
        <n x="7"/>
        <n x="1337" s="1"/>
      </t>
    </mdx>
    <mdx n="33" f="v">
      <t c="4">
        <n x="219"/>
        <n x="0"/>
        <n x="32"/>
        <n x="1337" s="1"/>
      </t>
    </mdx>
    <mdx n="33" f="v">
      <t c="4">
        <n x="490"/>
        <n x="1"/>
        <n x="32"/>
        <n x="1337" s="1"/>
      </t>
    </mdx>
    <mdx n="33" f="v">
      <t c="4" si="10">
        <n x="490"/>
        <n x="0"/>
        <n x="32"/>
        <n x="1337" s="1"/>
      </t>
    </mdx>
    <mdx n="33" f="v">
      <t c="4" si="10">
        <n x="654"/>
        <n x="0"/>
        <n x="32"/>
        <n x="1337" s="1"/>
      </t>
    </mdx>
    <mdx n="33" f="v">
      <t c="4">
        <n x="683"/>
        <n x="14"/>
        <n x="7"/>
        <n x="1337" s="1"/>
      </t>
    </mdx>
    <mdx n="33" f="v">
      <t c="4" si="10">
        <n x="785"/>
        <n x="0"/>
        <n x="32"/>
        <n x="1337" s="1"/>
      </t>
    </mdx>
    <mdx n="33" f="v">
      <t c="3">
        <n x="681"/>
        <n x="1336"/>
        <n x="1337" s="1"/>
      </t>
    </mdx>
    <mdx n="33" f="v">
      <t c="4">
        <n x="783"/>
        <n x="12"/>
        <n x="7"/>
        <n x="1337" s="1"/>
      </t>
    </mdx>
    <mdx n="33" f="v">
      <t c="4">
        <n x="358"/>
        <n x="0"/>
        <n x="7"/>
        <n x="1337" s="1"/>
      </t>
    </mdx>
    <mdx n="33" f="v">
      <t c="4">
        <n x="656"/>
        <n x="1"/>
        <n x="32"/>
        <n x="1337" s="1"/>
      </t>
    </mdx>
    <mdx n="33" f="v">
      <t c="4" si="10">
        <n x="707"/>
        <n x="11"/>
        <n x="32"/>
        <n x="1337" s="1"/>
      </t>
    </mdx>
    <mdx n="33" f="v">
      <t c="4" si="10">
        <n x="734"/>
        <n x="0"/>
        <n x="32"/>
        <n x="1337" s="1"/>
      </t>
    </mdx>
    <mdx n="33" f="v">
      <t c="4" si="10">
        <n x="757"/>
        <n x="1"/>
        <n x="32"/>
        <n x="1337" s="1"/>
      </t>
    </mdx>
    <mdx n="33" f="v">
      <t c="4" si="10">
        <n x="785"/>
        <n x="11"/>
        <n x="32"/>
        <n x="1337" s="1"/>
      </t>
    </mdx>
    <mdx n="33" f="v">
      <t c="4">
        <n x="810"/>
        <n x="12"/>
        <n x="7"/>
        <n x="1337" s="1"/>
      </t>
    </mdx>
    <mdx n="33" f="v">
      <t c="4">
        <n x="833"/>
        <n x="0"/>
        <n x="7"/>
        <n x="1337" s="1"/>
      </t>
    </mdx>
    <mdx n="33" f="v">
      <t c="4" si="10">
        <n x="492"/>
        <n x="1"/>
        <n x="32"/>
        <n x="1337" s="1"/>
      </t>
    </mdx>
    <mdx n="33" f="v">
      <t c="4">
        <n x="746"/>
        <n x="12"/>
        <n x="7"/>
        <n x="1337" s="1"/>
      </t>
    </mdx>
    <mdx n="33" f="v">
      <t c="4">
        <n x="835"/>
        <n x="12"/>
        <n x="7"/>
        <n x="1337" s="1"/>
      </t>
    </mdx>
    <mdx n="33" f="v">
      <t c="4">
        <n x="862"/>
        <n x="11"/>
        <n x="7"/>
        <n x="1337" s="1"/>
      </t>
    </mdx>
    <mdx n="33" f="v">
      <t c="4">
        <n x="886"/>
        <n x="12"/>
        <n x="7"/>
        <n x="1337" s="1"/>
      </t>
    </mdx>
    <mdx n="33" f="v">
      <t c="4">
        <n x="909"/>
        <n x="0"/>
        <n x="7"/>
        <n x="1337" s="1"/>
      </t>
    </mdx>
    <mdx n="33" f="v">
      <t c="4">
        <n x="932"/>
        <n x="1"/>
        <n x="7"/>
        <n x="1337" s="1"/>
      </t>
    </mdx>
    <mdx n="33" f="v">
      <t c="4">
        <n x="965"/>
        <n x="0"/>
        <n x="32"/>
        <n x="1337" s="1"/>
      </t>
    </mdx>
    <mdx n="33" f="v">
      <t c="4">
        <n x="1016"/>
        <n x="12"/>
        <n x="7"/>
        <n x="1337" s="1"/>
      </t>
    </mdx>
    <mdx n="33" f="v">
      <t c="3">
        <n x="1067"/>
        <n x="1336"/>
        <n x="1337" s="1"/>
      </t>
    </mdx>
    <mdx n="33" f="v">
      <t c="4" si="10">
        <n x="1118"/>
        <n x="1"/>
        <n x="32"/>
        <n x="1337" s="1"/>
      </t>
    </mdx>
    <mdx n="33" f="v">
      <t c="4">
        <n x="1238"/>
        <n x="12"/>
        <n x="7"/>
        <n x="1337" s="1"/>
      </t>
    </mdx>
    <mdx n="33" f="v">
      <t c="4">
        <n x="1071"/>
        <n x="14"/>
        <n x="7"/>
        <n x="1337" s="1"/>
      </t>
    </mdx>
    <mdx n="33" f="v">
      <t c="4" si="9">
        <n x="499"/>
        <n x="14"/>
        <n x="7"/>
        <n x="1337" s="1"/>
      </t>
    </mdx>
    <mdx n="33" f="v">
      <t c="4">
        <n x="223"/>
        <n x="14"/>
        <n x="7"/>
        <n x="1337" s="1"/>
      </t>
    </mdx>
    <mdx n="33" f="v">
      <t c="4">
        <n x="471"/>
        <n x="11"/>
        <n x="7"/>
        <n x="1337" s="1"/>
      </t>
    </mdx>
    <mdx n="33" f="v">
      <t c="6" si="10">
        <n x="15"/>
        <n x="1337" s="1"/>
        <n x="47"/>
        <n x="32"/>
        <n x="21"/>
        <n x="12"/>
      </t>
    </mdx>
    <mdx n="33" f="v">
      <t c="4">
        <n x="69"/>
        <n x="12"/>
        <n x="7"/>
        <n x="1337" s="1"/>
      </t>
    </mdx>
    <mdx n="33" f="v">
      <t c="4">
        <n x="149"/>
        <n x="0"/>
        <n x="32"/>
        <n x="1337" s="1"/>
      </t>
    </mdx>
    <mdx n="33" f="v">
      <t c="4">
        <n x="524"/>
        <n x="12"/>
        <n x="7"/>
        <n x="1337" s="1"/>
      </t>
    </mdx>
    <mdx n="33" f="v">
      <t c="4">
        <n x="322"/>
        <n x="1"/>
        <n x="32"/>
        <n x="1337" s="1"/>
      </t>
    </mdx>
    <mdx n="33" f="v">
      <t c="4">
        <n x="617"/>
        <n x="0"/>
        <n x="7"/>
        <n x="1337" s="1"/>
      </t>
    </mdx>
    <mdx n="33" f="v">
      <t c="4" si="10">
        <n x="606"/>
        <n x="0"/>
        <n x="32"/>
        <n x="1337" s="1"/>
      </t>
    </mdx>
    <mdx n="33" f="v">
      <t c="4">
        <n x="738"/>
        <n x="1"/>
        <n x="7"/>
        <n x="1337" s="1"/>
      </t>
    </mdx>
    <mdx n="33" f="v">
      <t c="4" si="10">
        <n x="578"/>
        <n x="0"/>
        <n x="32"/>
        <n x="1337" s="1"/>
      </t>
    </mdx>
    <mdx n="33" f="v">
      <t c="4" si="9">
        <n x="595"/>
        <n x="0"/>
        <n x="7"/>
        <n x="1337" s="1"/>
      </t>
    </mdx>
    <mdx n="33" f="v">
      <t c="4">
        <n x="794"/>
        <n x="1"/>
        <n x="7"/>
        <n x="1337" s="1"/>
      </t>
    </mdx>
    <mdx n="33" f="v">
      <t c="4">
        <n x="725"/>
        <n x="14"/>
        <n x="7"/>
        <n x="1337" s="1"/>
      </t>
    </mdx>
    <mdx n="33" f="v">
      <t c="4">
        <n x="398"/>
        <n x="0"/>
        <n x="32"/>
        <n x="1337" s="1"/>
      </t>
    </mdx>
    <mdx n="33" f="v">
      <t c="4" si="10">
        <n x="577"/>
        <n x="0"/>
        <n x="32"/>
        <n x="1337" s="1"/>
      </t>
    </mdx>
    <mdx n="33" f="v">
      <t c="4" si="10">
        <n x="518"/>
        <n x="0"/>
        <n x="32"/>
        <n x="1337" s="1"/>
      </t>
    </mdx>
    <mdx n="33" f="v">
      <t c="4" si="10">
        <n x="666"/>
        <n x="12"/>
        <n x="32"/>
        <n x="1337" s="1"/>
      </t>
    </mdx>
    <mdx n="33" f="v">
      <t c="4" si="10">
        <n x="700"/>
        <n x="0"/>
        <n x="32"/>
        <n x="1337" s="1"/>
      </t>
    </mdx>
    <mdx n="33" f="v">
      <t c="4">
        <n x="799"/>
        <n x="0"/>
        <n x="7"/>
        <n x="1337" s="1"/>
      </t>
    </mdx>
    <mdx n="33" f="v">
      <t c="4">
        <n x="698"/>
        <n x="1"/>
        <n x="7"/>
        <n x="1337" s="1"/>
      </t>
    </mdx>
    <mdx n="33" f="v">
      <t c="4" si="10">
        <n x="798"/>
        <n x="0"/>
        <n x="32"/>
        <n x="1337" s="1"/>
      </t>
    </mdx>
    <mdx n="33" f="v">
      <t c="4">
        <n x="699"/>
        <n x="12"/>
        <n x="7"/>
        <n x="1337" s="1"/>
      </t>
    </mdx>
    <mdx n="33" f="v">
      <t c="3" fi="0">
        <n x="576"/>
        <n x="1336"/>
        <n x="1337" s="1"/>
      </t>
    </mdx>
    <mdx n="33" f="v">
      <t c="3">
        <n x="725"/>
        <n x="1336"/>
        <n x="1337" s="1"/>
      </t>
    </mdx>
    <mdx n="33" f="v">
      <t c="4">
        <n x="720"/>
        <n x="14"/>
        <n x="32"/>
        <n x="1337" s="1"/>
      </t>
    </mdx>
    <mdx n="33" f="v">
      <t c="4">
        <n x="819"/>
        <n x="14"/>
        <n x="7"/>
        <n x="1337" s="1"/>
      </t>
    </mdx>
    <mdx n="33" f="v">
      <t c="3">
        <n x="848"/>
        <n x="1336"/>
        <n x="1337" s="1"/>
      </t>
    </mdx>
    <mdx n="33" f="v">
      <t c="4">
        <n x="943"/>
        <n x="11"/>
        <n x="32"/>
        <n x="1337" s="1"/>
      </t>
    </mdx>
    <mdx n="33" f="v">
      <t c="4">
        <n x="1164"/>
        <n x="12"/>
        <n x="7"/>
        <n x="1337" s="1"/>
      </t>
    </mdx>
    <mdx n="33" f="v">
      <t c="4">
        <n x="91"/>
        <n x="14"/>
        <n x="7"/>
        <n x="1337" s="1"/>
      </t>
    </mdx>
    <mdx n="33" f="v">
      <t c="4">
        <n x="579"/>
        <n x="1"/>
        <n x="32"/>
        <n x="1337" s="1"/>
      </t>
    </mdx>
    <mdx n="33" f="v">
      <t c="4">
        <n x="726"/>
        <n x="1"/>
        <n x="7"/>
        <n x="1337" s="1"/>
      </t>
    </mdx>
    <mdx n="33" f="v">
      <t c="4">
        <n x="720"/>
        <n x="14"/>
        <n x="7"/>
        <n x="1337" s="1"/>
      </t>
    </mdx>
    <mdx n="33" f="v">
      <t c="4">
        <n x="814"/>
        <n x="11"/>
        <n x="32"/>
        <n x="1337" s="1"/>
      </t>
    </mdx>
    <mdx n="33" f="v">
      <t c="4">
        <n x="847"/>
        <n x="14"/>
        <n x="7"/>
        <n x="1337" s="1"/>
      </t>
    </mdx>
    <mdx n="33" f="v">
      <t c="4">
        <n x="740"/>
        <n x="1"/>
        <n x="32"/>
        <n x="1337" s="1"/>
      </t>
    </mdx>
    <mdx n="33" f="v">
      <t c="4">
        <n x="844"/>
        <n x="11"/>
        <n x="7"/>
        <n x="1337" s="1"/>
      </t>
    </mdx>
    <mdx n="33" f="v">
      <t c="4">
        <n x="877"/>
        <n x="0"/>
        <n x="7"/>
        <n x="1337" s="1"/>
      </t>
    </mdx>
    <mdx n="33" f="v">
      <t c="4">
        <n x="907"/>
        <n x="14"/>
        <n x="7"/>
        <n x="1337" s="1"/>
      </t>
    </mdx>
    <mdx n="33" f="v">
      <t c="4">
        <n x="939"/>
        <n x="14"/>
        <n x="7"/>
        <n x="1337" s="1"/>
      </t>
    </mdx>
    <mdx n="33" f="v">
      <t c="4">
        <n x="997"/>
        <n x="0"/>
        <n x="32"/>
        <n x="1337" s="1"/>
      </t>
    </mdx>
    <mdx n="33" f="v">
      <t c="4">
        <n x="1064"/>
        <n x="12"/>
        <n x="7"/>
        <n x="1337" s="1"/>
      </t>
    </mdx>
    <mdx n="33" f="v">
      <t c="4">
        <n x="1150"/>
        <n x="12"/>
        <n x="7"/>
        <n x="1337" s="1"/>
      </t>
    </mdx>
    <mdx n="33" f="v">
      <t c="4">
        <n x="1318"/>
        <n x="12"/>
        <n x="7"/>
        <n x="1337" s="1"/>
      </t>
    </mdx>
    <mdx n="33" f="v">
      <t c="4">
        <n x="515"/>
        <n x="14"/>
        <n x="7"/>
        <n x="1337" s="1"/>
      </t>
    </mdx>
    <mdx n="33" f="v">
      <t c="4">
        <n x="52"/>
        <n x="14"/>
        <n x="7"/>
        <n x="1337" s="1"/>
      </t>
    </mdx>
    <mdx n="33" f="v">
      <t c="4">
        <n x="320"/>
        <n x="0"/>
        <n x="32"/>
        <n x="1337" s="1"/>
      </t>
    </mdx>
    <mdx n="33" f="v">
      <t c="4">
        <n x="659"/>
        <n x="1"/>
        <n x="7"/>
        <n x="1337" s="1"/>
      </t>
    </mdx>
    <mdx n="33" f="v">
      <t c="3">
        <n x="414"/>
        <n x="1336"/>
        <n x="1337" s="1"/>
      </t>
    </mdx>
    <mdx n="33" f="v">
      <t c="3">
        <n x="632"/>
        <n x="1336"/>
        <n x="1337" s="1"/>
      </t>
    </mdx>
    <mdx n="33" f="v">
      <t c="4" si="9">
        <n x="602"/>
        <n x="12"/>
        <n x="7"/>
        <n x="1337" s="1"/>
      </t>
    </mdx>
    <mdx n="33" f="v">
      <t c="4" si="10">
        <n x="758"/>
        <n x="14"/>
        <n x="32"/>
        <n x="1337" s="1"/>
      </t>
    </mdx>
    <mdx n="33" f="v">
      <t c="4" si="9">
        <n x="590"/>
        <n x="12"/>
        <n x="7"/>
        <n x="1337" s="1"/>
      </t>
    </mdx>
    <mdx n="33" f="v">
      <t c="3">
        <n x="757"/>
        <n x="1336"/>
        <n x="1337" s="1"/>
      </t>
    </mdx>
    <mdx n="33" f="v">
      <t c="4">
        <n x="60"/>
        <n x="12"/>
        <n x="7"/>
        <n x="1337" s="1"/>
      </t>
    </mdx>
    <mdx n="33" f="v">
      <t c="3">
        <n x="627"/>
        <n x="1336"/>
        <n x="1337" s="1"/>
      </t>
    </mdx>
    <mdx n="33" f="v">
      <t c="3">
        <n x="700"/>
        <n x="1336"/>
        <n x="1337" s="1"/>
      </t>
    </mdx>
    <mdx n="33" f="v">
      <t c="4">
        <n x="728"/>
        <n x="14"/>
        <n x="32"/>
        <n x="1337" s="1"/>
      </t>
    </mdx>
    <mdx n="33" f="v">
      <t c="4">
        <n x="751"/>
        <n x="11"/>
        <n x="7"/>
        <n x="1337" s="1"/>
      </t>
    </mdx>
    <mdx n="33" f="v">
      <t c="4">
        <n x="777"/>
        <n x="11"/>
        <n x="7"/>
        <n x="1337" s="1"/>
      </t>
    </mdx>
    <mdx n="33" f="v">
      <t c="4">
        <n x="804"/>
        <n x="1"/>
        <n x="7"/>
        <n x="1337" s="1"/>
      </t>
    </mdx>
    <mdx n="33" f="v">
      <t c="4">
        <n x="827"/>
        <n x="14"/>
        <n x="7"/>
        <n x="1337" s="1"/>
      </t>
    </mdx>
    <mdx n="33" f="v">
      <t c="3">
        <n x="851"/>
        <n x="1336"/>
        <n x="1337" s="1"/>
      </t>
    </mdx>
    <mdx n="33" f="v">
      <t c="4">
        <n x="724"/>
        <n x="1"/>
        <n x="32"/>
        <n x="1337" s="1"/>
      </t>
    </mdx>
    <mdx n="33" f="v">
      <t c="4">
        <n x="823"/>
        <n x="1"/>
        <n x="7"/>
        <n x="1337" s="1"/>
      </t>
    </mdx>
    <mdx n="33" f="v">
      <t c="4">
        <n x="857"/>
        <n x="0"/>
        <n x="7"/>
        <n x="1337" s="1"/>
      </t>
    </mdx>
    <mdx n="33" f="v">
      <t c="4">
        <n x="880"/>
        <n x="1"/>
        <n x="7"/>
        <n x="1337" s="1"/>
      </t>
    </mdx>
    <mdx n="33" f="v">
      <t c="4">
        <n x="903"/>
        <n x="14"/>
        <n x="7"/>
        <n x="1337" s="1"/>
      </t>
    </mdx>
    <mdx n="33" f="v">
      <t c="3">
        <n x="927"/>
        <n x="1336"/>
        <n x="1337" s="1"/>
      </t>
    </mdx>
    <mdx n="33" f="v">
      <t c="4">
        <n x="954"/>
        <n x="11"/>
        <n x="32"/>
        <n x="1337" s="1"/>
      </t>
    </mdx>
    <mdx n="33" f="v">
      <t c="4">
        <n x="1004"/>
        <n x="12"/>
        <n x="7"/>
        <n x="1337" s="1"/>
      </t>
    </mdx>
    <mdx n="33" f="v">
      <t c="3">
        <n x="1055"/>
        <n x="1336"/>
        <n x="1337" s="1"/>
      </t>
    </mdx>
    <mdx n="33" f="v">
      <t c="4">
        <n x="1106"/>
        <n x="1"/>
        <n x="32"/>
        <n x="1337" s="1"/>
      </t>
    </mdx>
    <mdx n="33" f="v">
      <t c="4">
        <n x="1208"/>
        <n x="12"/>
        <n x="7"/>
        <n x="1337" s="1"/>
      </t>
    </mdx>
    <mdx n="33" f="v">
      <t c="4">
        <n x="1332"/>
        <n x="14"/>
        <n x="7"/>
        <n x="1337" s="1"/>
      </t>
    </mdx>
    <mdx n="33" f="v">
      <t c="4">
        <n x="559"/>
        <n x="14"/>
        <n x="7"/>
        <n x="1337" s="1"/>
      </t>
    </mdx>
    <mdx n="33" f="v">
      <t c="4">
        <n x="253"/>
        <n x="14"/>
        <n x="7"/>
        <n x="1337" s="1"/>
      </t>
    </mdx>
    <mdx n="33" f="v">
      <t c="4">
        <n x="1111"/>
        <n x="11"/>
        <n x="7"/>
        <n x="1337" s="1"/>
      </t>
    </mdx>
    <mdx n="33" f="v">
      <t c="4">
        <n x="721"/>
        <n x="12"/>
        <n x="32"/>
        <n x="1337" s="1"/>
      </t>
    </mdx>
    <mdx n="33" f="v">
      <t c="4">
        <n x="821"/>
        <n x="12"/>
        <n x="7"/>
        <n x="1337" s="1"/>
      </t>
    </mdx>
    <mdx n="33" f="v">
      <t c="4" si="10">
        <n x="856"/>
        <n x="12"/>
        <n x="32"/>
        <n x="1337" s="1"/>
      </t>
    </mdx>
    <mdx n="33" f="v">
      <t c="4">
        <n x="880"/>
        <n x="0"/>
        <n x="32"/>
        <n x="1337" s="1"/>
      </t>
    </mdx>
    <mdx n="33" f="v">
      <t c="4">
        <n x="193"/>
        <n x="1"/>
        <n x="32"/>
        <n x="1337" s="1"/>
      </t>
    </mdx>
    <mdx n="33" f="v">
      <t c="3">
        <n x="460"/>
        <n x="1336"/>
        <n x="1337" s="1"/>
      </t>
    </mdx>
    <mdx n="33" f="v">
      <t c="4">
        <n x="824"/>
        <n x="14"/>
        <n x="7"/>
        <n x="1337" s="1"/>
      </t>
    </mdx>
    <mdx n="33" f="v">
      <t c="4">
        <n x="747"/>
        <n x="11"/>
        <n x="7"/>
        <n x="1337" s="1"/>
      </t>
    </mdx>
    <mdx n="33" f="v">
      <t c="3">
        <n x="847"/>
        <n x="1336"/>
        <n x="1337" s="1"/>
      </t>
    </mdx>
    <mdx n="33" f="v">
      <t c="4">
        <n x="876"/>
        <n x="1"/>
        <n x="7"/>
        <n x="1337" s="1"/>
      </t>
    </mdx>
    <mdx n="33" f="v">
      <t c="3">
        <n x="995"/>
        <n x="1336"/>
        <n x="1337" s="1"/>
      </t>
    </mdx>
    <mdx n="33" f="v">
      <t c="4">
        <n x="1314"/>
        <n x="12"/>
        <n x="7"/>
        <n x="1337" s="1"/>
      </t>
    </mdx>
    <mdx n="33" f="v">
      <t c="4">
        <n x="685"/>
        <n x="11"/>
        <n x="32"/>
        <n x="1337" s="1"/>
      </t>
    </mdx>
    <mdx n="33" f="v">
      <t c="3">
        <n x="818"/>
        <n x="1336"/>
        <n x="1337" s="1"/>
      </t>
    </mdx>
    <mdx n="33" f="v">
      <t c="4">
        <n x="863"/>
        <n x="1"/>
        <n x="7"/>
        <n x="1337" s="1"/>
      </t>
    </mdx>
    <mdx n="33" f="v">
      <t c="4">
        <n x="894"/>
        <n x="14"/>
        <n x="7"/>
        <n x="1337" s="1"/>
      </t>
    </mdx>
    <mdx n="33" f="v">
      <t c="4" si="10">
        <n x="920"/>
        <n x="0"/>
        <n x="32"/>
        <n x="1337" s="1"/>
      </t>
    </mdx>
    <mdx n="33" f="v">
      <t c="4" si="10">
        <n x="944"/>
        <n x="14"/>
        <n x="32"/>
        <n x="1337" s="1"/>
      </t>
    </mdx>
    <mdx n="33" f="v">
      <t c="3">
        <n x="988"/>
        <n x="1336"/>
        <n x="1337" s="1"/>
      </t>
    </mdx>
    <mdx n="33" f="v">
      <t c="4" si="10">
        <n x="1039"/>
        <n x="1"/>
        <n x="32"/>
        <n x="1337" s="1"/>
      </t>
    </mdx>
    <mdx n="33" f="v">
      <t c="4">
        <n x="1090"/>
        <n x="0"/>
        <n x="7"/>
        <n x="1337" s="1"/>
      </t>
    </mdx>
    <mdx n="33" f="v">
      <t c="4" si="10">
        <n x="1169"/>
        <n x="0"/>
        <n x="32"/>
        <n x="1337" s="1"/>
      </t>
    </mdx>
    <mdx n="33" f="v">
      <t c="4" si="10">
        <n x="1297"/>
        <n x="0"/>
        <n x="32"/>
        <n x="1337" s="1"/>
      </t>
    </mdx>
    <mdx n="33" f="v">
      <t c="4" si="9">
        <n x="460"/>
        <n x="14"/>
        <n x="7"/>
        <n x="1337" s="1"/>
      </t>
    </mdx>
    <mdx n="33" f="v">
      <t c="4">
        <n x="359"/>
        <n x="14"/>
        <n x="7"/>
        <n x="1337" s="1"/>
      </t>
    </mdx>
    <mdx n="33" f="v">
      <t c="4">
        <n x="722"/>
        <n x="12"/>
        <n x="7"/>
        <n x="1337" s="1"/>
      </t>
    </mdx>
    <mdx n="33" f="v">
      <t c="5" si="10">
        <n x="15"/>
        <n x="1337" s="1"/>
        <n x="39"/>
        <n x="32"/>
        <n x="1"/>
      </t>
    </mdx>
    <mdx n="33" f="v">
      <t c="3">
        <n x="250"/>
        <n x="1336"/>
        <n x="1337" s="1"/>
      </t>
    </mdx>
    <mdx n="33" f="v">
      <t c="4">
        <n x="222"/>
        <n x="0"/>
        <n x="32"/>
        <n x="1337" s="1"/>
      </t>
    </mdx>
    <mdx n="33" f="v">
      <t c="3" fi="0">
        <n x="575"/>
        <n x="1336"/>
        <n x="1337" s="1"/>
      </t>
    </mdx>
    <mdx n="33" f="v">
      <t c="4">
        <n x="373"/>
        <n x="0"/>
        <n x="7"/>
        <n x="1337" s="1"/>
      </t>
    </mdx>
    <mdx n="33" f="v">
      <t c="4">
        <n x="642"/>
        <n x="1"/>
        <n x="32"/>
        <n x="1337" s="1"/>
      </t>
    </mdx>
    <mdx n="33" f="v">
      <t c="4">
        <n x="636"/>
        <n x="14"/>
        <n x="7"/>
        <n x="1337" s="1"/>
      </t>
    </mdx>
    <mdx n="33" f="v">
      <t c="4">
        <n x="761"/>
        <n x="14"/>
        <n x="7"/>
        <n x="1337" s="1"/>
      </t>
    </mdx>
    <mdx n="33" f="v">
      <t c="4">
        <n x="594"/>
        <n x="0"/>
        <n x="32"/>
        <n x="1337" s="1"/>
      </t>
    </mdx>
    <mdx n="33" f="v">
      <t c="4">
        <n x="638"/>
        <n x="12"/>
        <n x="7"/>
        <n x="1337" s="1"/>
      </t>
    </mdx>
    <mdx n="33" f="v">
      <t c="4">
        <n x="803"/>
        <n x="0"/>
        <n x="7"/>
        <n x="1337" s="1"/>
      </t>
    </mdx>
    <mdx n="33" f="v">
      <t c="3">
        <n x="733"/>
        <n x="1336"/>
        <n x="1337" s="1"/>
      </t>
    </mdx>
    <mdx n="33" f="v">
      <t c="6">
        <n x="15"/>
        <n x="1337" s="1"/>
        <n x="38"/>
        <n x="7"/>
        <n x="20"/>
        <n x="0"/>
      </t>
    </mdx>
    <mdx n="33" f="v">
      <t c="4">
        <n x="635"/>
        <n x="0"/>
        <n x="7"/>
        <n x="1337" s="1"/>
      </t>
    </mdx>
    <mdx n="33" f="v">
      <t c="4">
        <n x="530"/>
        <n x="0"/>
        <n x="7"/>
        <n x="1337" s="1"/>
      </t>
    </mdx>
    <mdx n="33" f="v">
      <t c="4" si="10">
        <n x="672"/>
        <n x="14"/>
        <n x="32"/>
        <n x="1337" s="1"/>
      </t>
    </mdx>
    <mdx n="33" f="v">
      <t c="4">
        <n x="705"/>
        <n x="11"/>
        <n x="7"/>
        <n x="1337" s="1"/>
      </t>
    </mdx>
    <mdx n="33" f="v">
      <t c="3">
        <n x="805"/>
        <n x="1336"/>
        <n x="1337" s="1"/>
      </t>
    </mdx>
    <mdx n="33" f="v">
      <t c="4" si="10">
        <n x="704"/>
        <n x="11"/>
        <n x="32"/>
        <n x="1337" s="1"/>
      </t>
    </mdx>
    <mdx n="33" f="v">
      <t c="4">
        <n x="803"/>
        <n x="11"/>
        <n x="7"/>
        <n x="1337" s="1"/>
      </t>
    </mdx>
    <mdx n="33" f="v">
      <t c="4" si="9">
        <n x="704"/>
        <n x="14"/>
        <n x="7"/>
        <n x="1337" s="1"/>
      </t>
    </mdx>
    <mdx n="33" f="v">
      <t c="4" si="10">
        <n x="623"/>
        <n x="11"/>
        <n x="32"/>
        <n x="1337" s="1"/>
      </t>
    </mdx>
    <mdx n="33" f="v">
      <t c="4">
        <n x="748"/>
        <n x="11"/>
        <n x="32"/>
        <n x="1337" s="1"/>
      </t>
    </mdx>
    <mdx n="33" f="v">
      <t c="4">
        <n x="726"/>
        <n x="0"/>
        <n x="7"/>
        <n x="1337" s="1"/>
      </t>
    </mdx>
    <mdx n="33" f="v">
      <t c="4">
        <n x="825"/>
        <n x="12"/>
        <n x="32"/>
        <n x="1337" s="1"/>
      </t>
    </mdx>
    <mdx n="33" f="v">
      <t c="3">
        <n x="855"/>
        <n x="1336"/>
        <n x="1337" s="1"/>
      </t>
    </mdx>
    <mdx n="33" f="v">
      <t c="4">
        <n x="951"/>
        <n x="11"/>
        <n x="32"/>
        <n x="1337" s="1"/>
      </t>
    </mdx>
    <mdx n="33" f="v">
      <t c="4">
        <n x="1196"/>
        <n x="12"/>
        <n x="7"/>
        <n x="1337" s="1"/>
      </t>
    </mdx>
    <mdx n="33" f="v">
      <t c="4">
        <n x="1335"/>
        <n x="11"/>
        <n x="7"/>
        <n x="1337" s="1"/>
      </t>
    </mdx>
    <mdx n="33" f="v">
      <t c="4">
        <n x="624"/>
        <n x="14"/>
        <n x="7"/>
        <n x="1337" s="1"/>
      </t>
    </mdx>
    <mdx n="33" f="v">
      <t c="4">
        <n x="749"/>
        <n x="14"/>
        <n x="7"/>
        <n x="1337" s="1"/>
      </t>
    </mdx>
    <mdx n="33" f="v">
      <t c="4">
        <n x="726"/>
        <n x="12"/>
        <n x="32"/>
        <n x="1337" s="1"/>
      </t>
    </mdx>
    <mdx n="33" f="v">
      <t c="4">
        <n x="817"/>
        <n x="0"/>
        <n x="7"/>
        <n x="1337" s="1"/>
      </t>
    </mdx>
    <mdx n="33" f="v">
      <t c="4" si="9">
        <n x="849"/>
        <n x="0"/>
        <n x="7"/>
        <n x="1337" s="1"/>
      </t>
    </mdx>
    <mdx n="33" f="v">
      <t c="4">
        <n x="751"/>
        <n x="14"/>
        <n x="7"/>
        <n x="1337" s="1"/>
      </t>
    </mdx>
    <mdx n="33" f="v">
      <t c="4" si="10">
        <n x="846"/>
        <n x="12"/>
        <n x="32"/>
        <n x="1337" s="1"/>
      </t>
    </mdx>
    <mdx n="33" f="v">
      <t c="4">
        <n x="878"/>
        <n x="11"/>
        <n x="7"/>
        <n x="1337" s="1"/>
      </t>
    </mdx>
    <mdx n="33" f="v">
      <t c="4">
        <n x="910"/>
        <n x="11"/>
        <n x="7"/>
        <n x="1337" s="1"/>
      </t>
    </mdx>
    <mdx n="33" f="v">
      <t c="4">
        <n x="941"/>
        <n x="11"/>
        <n x="7"/>
        <n x="1337" s="1"/>
      </t>
    </mdx>
    <mdx n="33" f="v">
      <t c="4">
        <n x="1000"/>
        <n x="12"/>
        <n x="7"/>
        <n x="1337" s="1"/>
      </t>
    </mdx>
    <mdx n="33" f="v">
      <t c="4">
        <n x="1070"/>
        <n x="1"/>
        <n x="32"/>
        <n x="1337" s="1"/>
      </t>
    </mdx>
    <mdx n="33" f="v">
      <t c="4">
        <n x="1158"/>
        <n x="12"/>
        <n x="7"/>
        <n x="1337" s="1"/>
      </t>
    </mdx>
    <mdx n="33" f="v">
      <t c="4">
        <n x="1326"/>
        <n x="12"/>
        <n x="7"/>
        <n x="1337" s="1"/>
      </t>
    </mdx>
    <mdx n="33" f="v">
      <t c="4" si="9">
        <n x="483"/>
        <n x="14"/>
        <n x="7"/>
        <n x="1337" s="1"/>
      </t>
    </mdx>
    <mdx n="33" f="v">
      <t c="4">
        <n x="76"/>
        <n x="14"/>
        <n x="7"/>
        <n x="1337" s="1"/>
      </t>
    </mdx>
    <mdx n="33" f="v">
      <t c="4">
        <n x="386"/>
        <n x="0"/>
        <n x="7"/>
        <n x="1337" s="1"/>
      </t>
    </mdx>
    <mdx n="33" f="v">
      <t c="4">
        <n x="682"/>
        <n x="14"/>
        <n x="7"/>
        <n x="1337" s="1"/>
      </t>
    </mdx>
    <mdx n="33" f="v">
      <t c="4">
        <n x="451"/>
        <n x="1"/>
        <n x="32"/>
        <n x="1337" s="1"/>
      </t>
    </mdx>
    <mdx n="33" f="v">
      <t c="4" si="10">
        <n x="638"/>
        <n x="0"/>
        <n x="32"/>
        <n x="1337" s="1"/>
      </t>
    </mdx>
    <mdx n="33" f="v">
      <t c="3">
        <n x="635"/>
        <n x="1336"/>
        <n x="1337" s="1"/>
      </t>
    </mdx>
    <mdx n="33" f="v">
      <t c="4">
        <n x="764"/>
        <n x="0"/>
        <n x="7"/>
        <n x="1337" s="1"/>
      </t>
    </mdx>
    <mdx n="33" f="v">
      <t c="4">
        <n x="629"/>
        <n x="12"/>
        <n x="32"/>
        <n x="1337" s="1"/>
      </t>
    </mdx>
    <mdx n="33" f="v">
      <t c="4" si="10">
        <n x="763"/>
        <n x="0"/>
        <n x="32"/>
        <n x="1337" s="1"/>
      </t>
    </mdx>
    <mdx n="33" f="v">
      <t c="4">
        <n x="190"/>
        <n x="0"/>
        <n x="7"/>
        <n x="1337" s="1"/>
      </t>
    </mdx>
    <mdx n="33" f="v">
      <t c="4">
        <n x="634"/>
        <n x="11"/>
        <n x="32"/>
        <n x="1337" s="1"/>
      </t>
    </mdx>
    <mdx n="33" f="v">
      <t c="4">
        <n x="702"/>
        <n x="0"/>
        <n x="7"/>
        <n x="1337" s="1"/>
      </t>
    </mdx>
    <mdx n="33" f="v">
      <t c="4" si="10">
        <n x="730"/>
        <n x="0"/>
        <n x="32"/>
        <n x="1337" s="1"/>
      </t>
    </mdx>
    <mdx n="33" f="v">
      <t c="4" si="10">
        <n x="753"/>
        <n x="1"/>
        <n x="32"/>
        <n x="1337" s="1"/>
      </t>
    </mdx>
    <mdx n="33" f="v">
      <t c="4">
        <n x="779"/>
        <n x="11"/>
        <n x="7"/>
        <n x="1337" s="1"/>
      </t>
    </mdx>
    <mdx n="33" f="v">
      <t c="4">
        <n x="806"/>
        <n x="12"/>
        <n x="7"/>
        <n x="1337" s="1"/>
      </t>
    </mdx>
    <mdx n="33" f="v">
      <t c="4">
        <n x="829"/>
        <n x="0"/>
        <n x="7"/>
        <n x="1337" s="1"/>
      </t>
    </mdx>
    <mdx n="33" f="v">
      <t c="4">
        <n x="852"/>
        <n x="1"/>
        <n x="7"/>
        <n x="1337" s="1"/>
      </t>
    </mdx>
    <mdx n="33" f="v">
      <t c="4">
        <n x="730"/>
        <n x="12"/>
        <n x="7"/>
        <n x="1337" s="1"/>
      </t>
    </mdx>
    <mdx n="33" f="v">
      <t c="4">
        <n x="829"/>
        <n x="1"/>
        <n x="32"/>
        <n x="1337" s="1"/>
      </t>
    </mdx>
    <mdx n="33" f="v">
      <t c="4">
        <n x="858"/>
        <n x="11"/>
        <n x="7"/>
        <n x="1337" s="1"/>
      </t>
    </mdx>
    <mdx n="33" f="v">
      <t c="4">
        <n x="882"/>
        <n x="12"/>
        <n x="7"/>
        <n x="1337" s="1"/>
      </t>
    </mdx>
    <mdx n="33" f="v">
      <t c="4">
        <n x="905"/>
        <n x="0"/>
        <n x="7"/>
        <n x="1337" s="1"/>
      </t>
    </mdx>
    <mdx n="33" f="v">
      <t c="4">
        <n x="928"/>
        <n x="1"/>
        <n x="7"/>
        <n x="1337" s="1"/>
      </t>
    </mdx>
    <mdx n="33" f="v">
      <t c="4">
        <n x="956"/>
        <n x="1"/>
        <n x="32"/>
        <n x="1337" s="1"/>
      </t>
    </mdx>
    <mdx n="33" f="v">
      <t c="3">
        <n x="1007"/>
        <n x="1336"/>
        <n x="1337" s="1"/>
      </t>
    </mdx>
    <mdx n="33" f="v">
      <t c="4" si="10">
        <n x="1058"/>
        <n x="1"/>
        <n x="32"/>
        <n x="1337" s="1"/>
      </t>
    </mdx>
    <mdx n="33" f="v">
      <t c="4">
        <n x="1109"/>
        <n x="0"/>
        <n x="7"/>
        <n x="1337" s="1"/>
      </t>
    </mdx>
    <mdx n="33" f="v">
      <t c="4">
        <n x="1216"/>
        <n x="12"/>
        <n x="7"/>
        <n x="1337" s="1"/>
      </t>
    </mdx>
    <mdx n="33" f="v">
      <t c="4">
        <n x="1115"/>
        <n x="14"/>
        <n x="7"/>
        <n x="1337" s="1"/>
      </t>
    </mdx>
    <mdx n="33" f="v">
      <t c="4">
        <n x="543"/>
        <n x="14"/>
        <n x="7"/>
        <n x="1337" s="1"/>
      </t>
    </mdx>
    <mdx n="33" f="v">
      <t c="4">
        <n x="295"/>
        <n x="14"/>
        <n x="7"/>
        <n x="1337" s="1"/>
      </t>
    </mdx>
    <mdx n="33" f="v">
      <t c="4">
        <n x="1095"/>
        <n x="11"/>
        <n x="7"/>
        <n x="1337" s="1"/>
      </t>
    </mdx>
    <mdx n="33" f="v">
      <t c="4">
        <n x="727"/>
        <n x="14"/>
        <n x="32"/>
        <n x="1337" s="1"/>
      </t>
    </mdx>
    <mdx n="33" f="v">
      <t c="4">
        <n x="826"/>
        <n x="14"/>
        <n x="7"/>
        <n x="1337" s="1"/>
      </t>
    </mdx>
    <mdx n="33" f="v">
      <t c="3">
        <n x="858"/>
        <n x="1336"/>
        <n x="1337" s="1"/>
      </t>
    </mdx>
    <mdx n="33" f="v">
      <t c="4">
        <n x="881"/>
        <n x="11"/>
        <n x="32"/>
        <n x="1337" s="1"/>
      </t>
    </mdx>
    <mdx n="33" f="v">
      <t c="6" si="10">
        <n x="15"/>
        <n x="1337" s="1"/>
        <n x="38"/>
        <n x="32"/>
        <n x="23"/>
        <n x="3"/>
      </t>
    </mdx>
    <mdx n="33" f="v">
      <t c="4" si="10">
        <n x="641"/>
        <n x="0"/>
        <n x="32"/>
        <n x="1337" s="1"/>
      </t>
    </mdx>
    <mdx n="33" f="v">
      <t c="4">
        <n x="203"/>
        <n x="1"/>
        <n x="32"/>
        <n x="1337" s="1"/>
      </t>
    </mdx>
    <mdx n="33" f="v">
      <t c="4">
        <n x="753"/>
        <n x="1"/>
        <n x="7"/>
        <n x="1337" s="1"/>
      </t>
    </mdx>
    <mdx n="33" f="v">
      <t c="4">
        <n x="66"/>
        <n x="14"/>
        <n x="32"/>
        <n x="1337" s="1"/>
      </t>
    </mdx>
    <mdx n="33" f="v">
      <t c="4" si="10">
        <n x="882"/>
        <n x="11"/>
        <n x="32"/>
        <n x="1337" s="1"/>
      </t>
    </mdx>
    <mdx n="33" f="v">
      <t c="4">
        <n x="1008"/>
        <n x="12"/>
        <n x="7"/>
        <n x="1337" s="1"/>
      </t>
    </mdx>
    <mdx n="33" f="v">
      <t c="4">
        <n x="1111"/>
        <n x="14"/>
        <n x="7"/>
        <n x="1337" s="1"/>
      </t>
    </mdx>
    <mdx n="33" f="v">
      <t c="3">
        <n x="695"/>
        <n x="1336"/>
        <n x="1337" s="1"/>
      </t>
    </mdx>
    <mdx n="33" f="v">
      <t c="4">
        <n x="825"/>
        <n x="11"/>
        <n x="32"/>
        <n x="1337" s="1"/>
      </t>
    </mdx>
    <mdx n="33" f="v">
      <t c="4">
        <n x="865"/>
        <n x="11"/>
        <n x="7"/>
        <n x="1337" s="1"/>
      </t>
    </mdx>
    <mdx n="33" f="v">
      <t c="4">
        <n x="896"/>
        <n x="12"/>
        <n x="32"/>
        <n x="1337" s="1"/>
      </t>
    </mdx>
    <mdx n="33" f="v">
      <t c="4">
        <n x="921"/>
        <n x="11"/>
        <n x="32"/>
        <n x="1337" s="1"/>
      </t>
    </mdx>
    <mdx n="33" f="v">
      <t c="4" si="10">
        <n x="946"/>
        <n x="14"/>
        <n x="32"/>
        <n x="1337" s="1"/>
      </t>
    </mdx>
    <mdx n="33" f="v">
      <t c="4">
        <n x="991"/>
        <n x="1"/>
        <n x="32"/>
        <n x="1337" s="1"/>
      </t>
    </mdx>
    <mdx n="33" f="v">
      <t c="4" si="9">
        <n x="1042"/>
        <n x="0"/>
        <n x="7"/>
        <n x="1337" s="1"/>
      </t>
    </mdx>
    <mdx n="33" f="v">
      <t c="4">
        <n x="1094"/>
        <n x="0"/>
        <n x="32"/>
        <n x="1337" s="1"/>
      </t>
    </mdx>
    <mdx n="33" f="v">
      <t c="4">
        <n x="1177"/>
        <n x="0"/>
        <n x="32"/>
        <n x="1337" s="1"/>
      </t>
    </mdx>
    <mdx n="33" f="v">
      <t c="4" si="10">
        <n x="1305"/>
        <n x="0"/>
        <n x="32"/>
        <n x="1337" s="1"/>
      </t>
    </mdx>
    <mdx n="33" f="v">
      <t c="4">
        <n x="396"/>
        <n x="14"/>
        <n x="7"/>
        <n x="1337" s="1"/>
      </t>
    </mdx>
    <mdx n="33" f="v">
      <t c="4">
        <n x="343"/>
        <n x="14"/>
        <n x="7"/>
        <n x="1337" s="1"/>
      </t>
    </mdx>
    <mdx n="33" f="v">
      <t c="4">
        <n x="727"/>
        <n x="14"/>
        <n x="7"/>
        <n x="1337" s="1"/>
      </t>
    </mdx>
    <mdx n="33" f="v">
      <t c="6" si="10">
        <n x="15"/>
        <n x="1337" s="1"/>
        <n x="39"/>
        <n x="32"/>
        <n x="4"/>
        <n x="0"/>
      </t>
    </mdx>
    <mdx n="33" f="v">
      <t c="6" si="10">
        <n x="15"/>
        <n x="1337" s="1"/>
        <n x="38"/>
        <n x="32"/>
        <n x="29"/>
        <n x="3"/>
      </t>
    </mdx>
    <mdx n="33" f="v">
      <t c="4">
        <n x="264"/>
        <n x="0"/>
        <n x="32"/>
        <n x="1337" s="1"/>
      </t>
    </mdx>
    <mdx n="33" f="v">
      <t c="4" si="10">
        <n x="623"/>
        <n x="0"/>
        <n x="32"/>
        <n x="1337" s="1"/>
      </t>
    </mdx>
    <mdx n="33" f="v">
      <t c="4">
        <n x="423"/>
        <n x="0"/>
        <n x="7"/>
        <n x="1337" s="1"/>
      </t>
    </mdx>
    <mdx n="33" f="v">
      <t c="4" si="10">
        <n x="665"/>
        <n x="14"/>
        <n x="32"/>
        <n x="1337" s="1"/>
      </t>
    </mdx>
    <mdx n="33" f="v">
      <t c="3">
        <n x="660"/>
        <n x="1336"/>
        <n x="1337" s="1"/>
      </t>
    </mdx>
    <mdx n="33" f="v">
      <t c="4">
        <n x="791"/>
        <n x="11"/>
        <n x="32"/>
        <n x="1337" s="1"/>
      </t>
    </mdx>
    <mdx n="33" f="v">
      <t c="4" si="10">
        <n x="610"/>
        <n x="0"/>
        <n x="32"/>
        <n x="1337" s="1"/>
      </t>
    </mdx>
    <mdx n="33" f="v">
      <t c="4">
        <n x="670"/>
        <n x="11"/>
        <n x="7"/>
        <n x="1337" s="1"/>
      </t>
    </mdx>
    <mdx n="33" f="v">
      <t c="4">
        <n x="810"/>
        <n x="1"/>
        <n x="7"/>
        <n x="1337" s="1"/>
      </t>
    </mdx>
    <mdx n="33" f="v">
      <t c="4">
        <n x="740"/>
        <n x="11"/>
        <n x="32"/>
        <n x="1337" s="1"/>
      </t>
    </mdx>
    <mdx n="33" f="v">
      <t c="4">
        <n x="177"/>
        <n x="0"/>
        <n x="7"/>
        <n x="1337" s="1"/>
      </t>
    </mdx>
    <mdx n="33" f="v">
      <t c="3">
        <n x="653"/>
        <n x="1336"/>
        <n x="1337" s="1"/>
      </t>
    </mdx>
    <mdx n="33" f="v">
      <t c="4" si="10">
        <n x="543"/>
        <n x="1"/>
        <n x="32"/>
        <n x="1337" s="1"/>
      </t>
    </mdx>
    <mdx n="33" f="v">
      <t c="4">
        <n x="678"/>
        <n x="0"/>
        <n x="7"/>
        <n x="1337" s="1"/>
      </t>
    </mdx>
    <mdx n="33" f="v">
      <t c="4">
        <n x="711"/>
        <n x="1"/>
        <n x="7"/>
        <n x="1337" s="1"/>
      </t>
    </mdx>
    <mdx n="33" f="v">
      <t c="4">
        <n x="811"/>
        <n x="0"/>
        <n x="32"/>
        <n x="1337" s="1"/>
      </t>
    </mdx>
    <mdx n="33" f="v">
      <t c="4">
        <n x="710"/>
        <n x="1"/>
        <n x="32"/>
        <n x="1337" s="1"/>
      </t>
    </mdx>
    <mdx n="33" f="v">
      <t c="4">
        <n x="809"/>
        <n x="1"/>
        <n x="7"/>
        <n x="1337" s="1"/>
      </t>
    </mdx>
    <mdx n="33" f="v">
      <t c="4" si="10">
        <n x="710"/>
        <n x="12"/>
        <n x="32"/>
        <n x="1337" s="1"/>
      </t>
    </mdx>
    <mdx n="33" f="v">
      <t c="4" si="10">
        <n x="646"/>
        <n x="12"/>
        <n x="32"/>
        <n x="1337" s="1"/>
      </t>
    </mdx>
    <mdx n="33" f="v">
      <t c="4">
        <n x="773"/>
        <n x="12"/>
        <n x="7"/>
        <n x="1337" s="1"/>
      </t>
    </mdx>
    <mdx n="33" f="v">
      <t c="3">
        <n x="732"/>
        <n x="1336"/>
        <n x="1337" s="1"/>
      </t>
    </mdx>
    <mdx n="33" f="v">
      <t c="4" si="10">
        <n x="831"/>
        <n x="14"/>
        <n x="32"/>
        <n x="1337" s="1"/>
      </t>
    </mdx>
    <mdx n="33" f="v">
      <t c="4" si="10">
        <n x="861"/>
        <n x="0"/>
        <n x="32"/>
        <n x="1337" s="1"/>
      </t>
    </mdx>
    <mdx n="33" f="v">
      <t c="4" si="10">
        <n x="961"/>
        <n x="0"/>
        <n x="32"/>
        <n x="1337" s="1"/>
      </t>
    </mdx>
    <mdx n="33" f="v">
      <t c="4">
        <n x="1228"/>
        <n x="12"/>
        <n x="7"/>
        <n x="1337" s="1"/>
      </t>
    </mdx>
    <mdx n="33" f="v">
      <t c="4">
        <n x="267"/>
        <n x="12"/>
        <n x="7"/>
        <n x="1337" s="1"/>
      </t>
    </mdx>
    <mdx n="33" f="v">
      <t c="3">
        <n x="648"/>
        <n x="1336"/>
        <n x="1337" s="1"/>
      </t>
    </mdx>
    <mdx n="33" f="v">
      <t c="4">
        <n x="775"/>
        <n x="12"/>
        <n x="7"/>
        <n x="1337" s="1"/>
      </t>
    </mdx>
    <mdx n="33" f="v">
      <t c="4" si="10">
        <n x="732"/>
        <n x="14"/>
        <n x="32"/>
        <n x="1337" s="1"/>
      </t>
    </mdx>
    <mdx n="33" f="v">
      <t c="4">
        <n x="820"/>
        <n x="1"/>
        <n x="32"/>
        <n x="1337" s="1"/>
      </t>
    </mdx>
    <mdx n="33" f="v">
      <t c="4">
        <n x="852"/>
        <n x="1"/>
        <n x="32"/>
        <n x="1337" s="1"/>
      </t>
    </mdx>
    <mdx n="33" f="v">
      <t c="4" si="10">
        <n x="757"/>
        <n x="12"/>
        <n x="32"/>
        <n x="1337" s="1"/>
      </t>
    </mdx>
    <mdx n="33" f="v">
      <t c="4" si="10">
        <n x="848"/>
        <n x="12"/>
        <n x="32"/>
        <n x="1337" s="1"/>
      </t>
    </mdx>
    <mdx n="33" f="v">
      <t c="4" si="10">
        <n x="881"/>
        <n x="12"/>
        <n x="32"/>
        <n x="1337" s="1"/>
      </t>
    </mdx>
    <mdx n="33" f="v">
      <t c="4">
        <n x="912"/>
        <n x="1"/>
        <n x="32"/>
        <n x="1337" s="1"/>
      </t>
    </mdx>
    <mdx n="33" f="v">
      <t c="4">
        <n x="943"/>
        <n x="11"/>
        <n x="7"/>
        <n x="1337" s="1"/>
      </t>
    </mdx>
    <mdx n="33" f="v">
      <t c="4">
        <n x="1006"/>
        <n x="1"/>
        <n x="32"/>
        <n x="1337" s="1"/>
      </t>
    </mdx>
    <mdx n="33" f="v">
      <t c="4">
        <n x="1073"/>
        <n x="0"/>
        <n x="7"/>
        <n x="1337" s="1"/>
      </t>
    </mdx>
    <mdx n="33" f="v">
      <t c="4">
        <n x="1166"/>
        <n x="12"/>
        <n x="7"/>
        <n x="1337" s="1"/>
      </t>
    </mdx>
    <mdx n="33" f="v">
      <t c="4">
        <n x="1119"/>
        <n x="14"/>
        <n x="7"/>
        <n x="1337" s="1"/>
      </t>
    </mdx>
    <mdx n="33" f="v">
      <t c="4">
        <n x="453"/>
        <n x="14"/>
        <n x="7"/>
        <n x="1337" s="1"/>
      </t>
    </mdx>
    <mdx n="33" f="v">
      <t c="4">
        <n x="77"/>
        <n x="14"/>
        <n x="7"/>
        <n x="1337" s="1"/>
      </t>
    </mdx>
    <mdx n="33" f="v">
      <t c="4">
        <n x="66"/>
        <n x="12"/>
        <n x="7"/>
        <n x="1337" s="1"/>
      </t>
    </mdx>
    <mdx n="33" f="v">
      <t c="4">
        <n x="254"/>
        <n x="12"/>
        <n x="7"/>
        <n x="1337" s="1"/>
      </t>
    </mdx>
    <mdx n="33" f="v">
      <t c="3">
        <n x="468"/>
        <n x="1336"/>
        <n x="1337" s="1"/>
      </t>
    </mdx>
    <mdx n="33" f="v">
      <t c="4">
        <n x="643"/>
        <n x="11"/>
        <n x="7"/>
        <n x="1337" s="1"/>
      </t>
    </mdx>
    <mdx n="33" f="v">
      <t c="4">
        <n x="658"/>
        <n x="11"/>
        <n x="32"/>
        <n x="1337" s="1"/>
      </t>
    </mdx>
    <mdx n="33" f="v">
      <t c="4" si="10">
        <n x="771"/>
        <n x="0"/>
        <n x="32"/>
        <n x="1337" s="1"/>
      </t>
    </mdx>
    <mdx n="33" f="v">
      <t c="4" si="10">
        <n x="653"/>
        <n x="0"/>
        <n x="32"/>
        <n x="1337" s="1"/>
      </t>
    </mdx>
    <mdx n="33" f="v">
      <t c="4">
        <n x="769"/>
        <n x="12"/>
        <n x="7"/>
        <n x="1337" s="1"/>
      </t>
    </mdx>
    <mdx n="33" f="v">
      <t c="4">
        <n x="241"/>
        <n x="12"/>
        <n x="7"/>
        <n x="1337" s="1"/>
      </t>
    </mdx>
    <mdx n="33" f="v">
      <t c="3">
        <n x="643"/>
        <n x="1336"/>
        <n x="1337" s="1"/>
      </t>
    </mdx>
    <mdx n="33" f="v">
      <t c="3">
        <n x="704"/>
        <n x="1336"/>
        <n x="1337" s="1"/>
      </t>
    </mdx>
    <mdx n="33" f="v">
      <t c="4">
        <n x="731"/>
        <n x="11"/>
        <n x="32"/>
        <n x="1337" s="1"/>
      </t>
    </mdx>
    <mdx n="33" f="v">
      <t c="4" si="10">
        <n x="754"/>
        <n x="12"/>
        <n x="32"/>
        <n x="1337" s="1"/>
      </t>
    </mdx>
    <mdx n="33" f="v">
      <t c="4">
        <n x="781"/>
        <n x="11"/>
        <n x="7"/>
        <n x="1337" s="1"/>
      </t>
    </mdx>
    <mdx n="33" f="v">
      <t c="4" si="10">
        <n x="807"/>
        <n x="14"/>
        <n x="32"/>
        <n x="1337" s="1"/>
      </t>
    </mdx>
    <mdx n="33" f="v">
      <t c="4">
        <n x="830"/>
        <n x="11"/>
        <n x="7"/>
        <n x="1337" s="1"/>
      </t>
    </mdx>
    <mdx n="33" f="v">
      <t c="4">
        <n x="259"/>
        <n x="12"/>
        <n x="7"/>
        <n x="1337" s="1"/>
      </t>
    </mdx>
    <mdx n="33" f="v">
      <t c="4">
        <n x="735"/>
        <n x="14"/>
        <n x="7"/>
        <n x="1337" s="1"/>
      </t>
    </mdx>
    <mdx n="33" f="v">
      <t c="4">
        <n x="831"/>
        <n x="12"/>
        <n x="32"/>
        <n x="1337" s="1"/>
      </t>
    </mdx>
    <mdx n="33" f="v">
      <t c="4">
        <n x="860"/>
        <n x="1"/>
        <n x="32"/>
        <n x="1337" s="1"/>
      </t>
    </mdx>
    <mdx n="33" f="v">
      <t c="4" si="10">
        <n x="883"/>
        <n x="14"/>
        <n x="32"/>
        <n x="1337" s="1"/>
      </t>
    </mdx>
    <mdx n="33" f="v">
      <t c="4">
        <n x="906"/>
        <n x="11"/>
        <n x="7"/>
        <n x="1337" s="1"/>
      </t>
    </mdx>
    <mdx n="33" f="v">
      <t c="4">
        <n x="930"/>
        <n x="12"/>
        <n x="7"/>
        <n x="1337" s="1"/>
      </t>
    </mdx>
    <mdx n="33" f="v">
      <t c="3">
        <n x="959"/>
        <n x="1336"/>
        <n x="1337" s="1"/>
      </t>
    </mdx>
    <mdx n="33" f="v">
      <t c="4" si="10">
        <n x="1010"/>
        <n x="1"/>
        <n x="32"/>
        <n x="1337" s="1"/>
      </t>
    </mdx>
    <mdx n="33" f="v">
      <t c="4">
        <n x="553"/>
        <n x="12"/>
        <n x="7"/>
        <n x="1337" s="1"/>
      </t>
    </mdx>
    <mdx n="33" f="v">
      <t c="4">
        <n x="617"/>
        <n x="12"/>
        <n x="7"/>
        <n x="1337" s="1"/>
      </t>
    </mdx>
    <mdx n="33" f="v">
      <t c="4">
        <n x="653"/>
        <n x="1"/>
        <n x="7"/>
        <n x="1337" s="1"/>
      </t>
    </mdx>
    <mdx n="33" f="v">
      <t c="4" si="10">
        <n x="682"/>
        <n x="12"/>
        <n x="32"/>
        <n x="1337" s="1"/>
      </t>
    </mdx>
    <mdx n="33" f="v">
      <t c="4" si="9">
        <n x="483"/>
        <n x="0"/>
        <n x="7"/>
        <n x="1337" s="1"/>
      </t>
    </mdx>
    <mdx n="33" f="v">
      <t c="3">
        <n x="683"/>
        <n x="1336"/>
        <n x="1337" s="1"/>
      </t>
    </mdx>
    <mdx n="33" f="v">
      <t c="4" si="10">
        <n x="716"/>
        <n x="0"/>
        <n x="32"/>
        <n x="1337" s="1"/>
      </t>
    </mdx>
    <mdx n="33" f="v">
      <t c="4">
        <n x="745"/>
        <n x="12"/>
        <n x="7"/>
        <n x="1337" s="1"/>
      </t>
    </mdx>
    <mdx n="33" f="v">
      <t c="4">
        <n x="784"/>
        <n x="1"/>
        <n x="7"/>
        <n x="1337" s="1"/>
      </t>
    </mdx>
    <mdx n="33" f="v">
      <t c="4">
        <n x="815"/>
        <n x="0"/>
        <n x="7"/>
        <n x="1337" s="1"/>
      </t>
    </mdx>
    <mdx n="33" f="v">
      <t c="4" si="9">
        <n x="471"/>
        <n x="0"/>
        <n x="7"/>
        <n x="1337" s="1"/>
      </t>
    </mdx>
    <mdx n="33" f="v">
      <t c="4" si="10">
        <n x="680"/>
        <n x="11"/>
        <n x="32"/>
        <n x="1337" s="1"/>
      </t>
    </mdx>
    <mdx n="33" f="v">
      <t c="4">
        <n x="714"/>
        <n x="1"/>
        <n x="7"/>
        <n x="1337" s="1"/>
      </t>
    </mdx>
    <mdx n="33" f="v">
      <t c="4">
        <n x="743"/>
        <n x="12"/>
        <n x="32"/>
        <n x="1337" s="1"/>
      </t>
    </mdx>
    <mdx n="33" f="v">
      <t c="4" si="10">
        <n x="767"/>
        <n x="0"/>
        <n x="32"/>
        <n x="1337" s="1"/>
      </t>
    </mdx>
    <mdx n="33" f="v">
      <t c="4" si="10">
        <n x="796"/>
        <n x="14"/>
        <n x="32"/>
        <n x="1337" s="1"/>
      </t>
    </mdx>
    <mdx n="33" f="v">
      <t c="4">
        <n x="819"/>
        <n x="11"/>
        <n x="7"/>
        <n x="1337" s="1"/>
      </t>
    </mdx>
    <mdx n="33" f="v">
      <t c="4" si="9">
        <n x="475"/>
        <n x="0"/>
        <n x="7"/>
        <n x="1337" s="1"/>
      </t>
    </mdx>
    <mdx n="33" f="v">
      <t c="4" si="10">
        <n x="647"/>
        <n x="14"/>
        <n x="32"/>
        <n x="1337" s="1"/>
      </t>
    </mdx>
    <mdx n="33" f="v">
      <t c="4">
        <n x="697"/>
        <n x="1"/>
        <n x="7"/>
        <n x="1337" s="1"/>
      </t>
    </mdx>
    <mdx n="33" f="v">
      <t c="3">
        <n x="1299"/>
        <n x="1336"/>
        <n x="1337" s="1"/>
      </t>
    </mdx>
    <mdx n="33" f="v">
      <t c="4">
        <n x="169"/>
        <n x="12"/>
        <n x="7"/>
        <n x="1337" s="1"/>
      </t>
    </mdx>
    <mdx n="33" f="v">
      <t c="3">
        <n x="665"/>
        <n x="1336"/>
        <n x="1337" s="1"/>
      </t>
    </mdx>
    <mdx n="33" f="v">
      <t c="4" si="10">
        <n x="563"/>
        <n x="1"/>
        <n x="32"/>
        <n x="1337" s="1"/>
      </t>
    </mdx>
    <mdx n="33" f="v">
      <t c="4">
        <n x="687"/>
        <n x="11"/>
        <n x="32"/>
        <n x="1337" s="1"/>
      </t>
    </mdx>
    <mdx n="33" f="v">
      <t c="4" si="10">
        <n x="720"/>
        <n x="12"/>
        <n x="32"/>
        <n x="1337" s="1"/>
      </t>
    </mdx>
    <mdx n="33" f="v">
      <t c="4">
        <n x="820"/>
        <n x="12"/>
        <n x="7"/>
        <n x="1337" s="1"/>
      </t>
    </mdx>
    <mdx n="33" f="v">
      <t c="4">
        <n x="719"/>
        <n x="0"/>
        <n x="7"/>
        <n x="1337" s="1"/>
      </t>
    </mdx>
    <mdx n="33" f="v">
      <t c="4">
        <n x="817"/>
        <n x="1"/>
        <n x="7"/>
        <n x="1337" s="1"/>
      </t>
    </mdx>
    <mdx n="33" f="v">
      <t c="4">
        <n x="523"/>
        <n x="0"/>
        <n x="7"/>
        <n x="1337" s="1"/>
      </t>
    </mdx>
    <mdx n="33" f="v">
      <t c="4">
        <n x="684"/>
        <n x="11"/>
        <n x="7"/>
        <n x="1337" s="1"/>
      </t>
    </mdx>
    <mdx n="33" f="v">
      <t c="4">
        <n x="718"/>
        <n x="12"/>
        <n x="32"/>
        <n x="1337" s="1"/>
      </t>
    </mdx>
    <mdx n="33" f="v">
      <t c="4">
        <n x="742"/>
        <n x="0"/>
        <n x="7"/>
        <n x="1337" s="1"/>
      </t>
    </mdx>
    <mdx n="33" f="v">
      <t c="4">
        <n x="765"/>
        <n x="1"/>
        <n x="7"/>
        <n x="1337" s="1"/>
      </t>
    </mdx>
    <mdx n="33" f="v">
      <t c="3">
        <n x="795"/>
        <n x="1336"/>
        <n x="1337" s="1"/>
      </t>
    </mdx>
    <mdx n="33" f="v">
      <t c="4">
        <n x="818"/>
        <n x="11"/>
        <n x="32"/>
        <n x="1337" s="1"/>
      </t>
    </mdx>
    <mdx n="33" f="v">
      <t c="4">
        <n x="841"/>
        <n x="12"/>
        <n x="32"/>
        <n x="1337" s="1"/>
      </t>
    </mdx>
    <mdx n="33" f="v">
      <t c="4" si="10">
        <n x="682"/>
        <n x="1"/>
        <n x="32"/>
        <n x="1337" s="1"/>
      </t>
    </mdx>
    <mdx n="33" f="v">
      <t c="4">
        <n x="783"/>
        <n x="14"/>
        <n x="7"/>
        <n x="1337" s="1"/>
      </t>
    </mdx>
    <mdx n="33" f="v">
      <t c="4" si="10">
        <n x="846"/>
        <n x="1"/>
        <n x="32"/>
        <n x="1337" s="1"/>
      </t>
    </mdx>
    <mdx n="33" f="v">
      <t c="3">
        <n x="871"/>
        <n x="1336"/>
        <n x="1337" s="1"/>
      </t>
    </mdx>
    <mdx n="33" f="v">
      <t c="4">
        <n x="894"/>
        <n x="11"/>
        <n x="32"/>
        <n x="1337" s="1"/>
      </t>
    </mdx>
    <mdx n="33" f="v">
      <t c="4">
        <n x="917"/>
        <n x="12"/>
        <n x="32"/>
        <n x="1337" s="1"/>
      </t>
    </mdx>
    <mdx n="33" f="v">
      <t c="4">
        <n x="941"/>
        <n x="11"/>
        <n x="32"/>
        <n x="1337" s="1"/>
      </t>
    </mdx>
    <mdx n="33" f="v">
      <t c="3">
        <n x="983"/>
        <n x="1336"/>
        <n x="1337" s="1"/>
      </t>
    </mdx>
    <mdx n="33" f="v">
      <t c="4" si="10">
        <n x="1034"/>
        <n x="1"/>
        <n x="32"/>
        <n x="1337" s="1"/>
      </t>
    </mdx>
    <mdx n="33" f="v">
      <t c="4">
        <n x="1085"/>
        <n x="0"/>
        <n x="7"/>
        <n x="1337" s="1"/>
      </t>
    </mdx>
    <mdx n="33" f="v">
      <t c="4">
        <n x="1156"/>
        <n x="12"/>
        <n x="7"/>
        <n x="1337" s="1"/>
      </t>
    </mdx>
    <mdx n="33" f="v">
      <t c="4">
        <n x="1284"/>
        <n x="12"/>
        <n x="7"/>
        <n x="1337" s="1"/>
      </t>
    </mdx>
    <mdx n="33" f="v">
      <t c="4" si="9">
        <n x="979"/>
        <n x="14"/>
        <n x="7"/>
        <n x="1337" s="1"/>
      </t>
    </mdx>
    <mdx n="33" f="v">
      <t c="4">
        <n x="384"/>
        <n x="14"/>
        <n x="7"/>
        <n x="1337" s="1"/>
      </t>
    </mdx>
    <mdx n="33" f="v">
      <t c="4">
        <n x="133"/>
        <n x="14"/>
        <n x="7"/>
        <n x="1337" s="1"/>
      </t>
    </mdx>
    <mdx n="33" f="v">
      <t c="3">
        <n x="1300"/>
        <n x="1336"/>
        <n x="1337" s="1"/>
      </t>
    </mdx>
    <mdx n="33" f="v">
      <t c="4">
        <n x="219"/>
        <n x="11"/>
        <n x="32"/>
        <n x="1337" s="1"/>
      </t>
    </mdx>
    <mdx n="33" f="v">
      <t c="4" si="9">
        <n x="667"/>
        <n x="0"/>
        <n x="7"/>
        <n x="1337" s="1"/>
      </t>
    </mdx>
    <mdx n="33" f="v">
      <t c="4">
        <n x="566"/>
        <n x="0"/>
        <n x="7"/>
        <n x="1337" s="1"/>
      </t>
    </mdx>
    <mdx n="33" f="v">
      <t c="4" si="9">
        <n x="688"/>
        <n x="14"/>
        <n x="7"/>
        <n x="1337" s="1"/>
      </t>
    </mdx>
    <mdx n="33" f="v">
      <t c="3">
        <n x="722"/>
        <n x="1336"/>
        <n x="1337" s="1"/>
      </t>
    </mdx>
    <mdx n="33" f="v">
      <t c="4">
        <n x="821"/>
        <n x="14"/>
        <n x="32"/>
        <n x="1337" s="1"/>
      </t>
    </mdx>
    <mdx n="33" f="v">
      <t c="4">
        <n x="720"/>
        <n x="11"/>
        <n x="7"/>
        <n x="1337" s="1"/>
      </t>
    </mdx>
    <mdx n="33" f="v">
      <t c="4">
        <n x="818"/>
        <n x="0"/>
        <n x="32"/>
        <n x="1337" s="1"/>
      </t>
    </mdx>
    <mdx n="33" f="v">
      <t c="4">
        <n x="530"/>
        <n x="12"/>
        <n x="7"/>
        <n x="1337" s="1"/>
      </t>
    </mdx>
    <mdx n="33" f="v">
      <t c="4">
        <n x="685"/>
        <n x="0"/>
        <n x="7"/>
        <n x="1337" s="1"/>
      </t>
    </mdx>
    <mdx n="33" f="v">
      <t c="4">
        <n x="719"/>
        <n x="12"/>
        <n x="7"/>
        <n x="1337" s="1"/>
      </t>
    </mdx>
    <mdx n="33" f="v">
      <t c="4">
        <n x="742"/>
        <n x="12"/>
        <n x="32"/>
        <n x="1337" s="1"/>
      </t>
    </mdx>
    <mdx n="33" f="v">
      <t c="4" si="10">
        <n x="766"/>
        <n x="0"/>
        <n x="32"/>
        <n x="1337" s="1"/>
      </t>
    </mdx>
    <mdx n="33" f="v">
      <t c="4" si="10">
        <n x="795"/>
        <n x="14"/>
        <n x="32"/>
        <n x="1337" s="1"/>
      </t>
    </mdx>
    <mdx n="33" f="v">
      <t c="4">
        <n x="818"/>
        <n x="11"/>
        <n x="7"/>
        <n x="1337" s="1"/>
      </t>
    </mdx>
    <mdx n="33" f="v">
      <t c="3">
        <n x="1330"/>
        <n x="1336"/>
        <n x="1337" s="1"/>
      </t>
    </mdx>
    <mdx n="33" f="v">
      <t c="6" si="9">
        <n x="15"/>
        <n x="1337" s="1"/>
        <n x="34"/>
        <n x="7"/>
        <n x="21"/>
        <n x="12"/>
      </t>
    </mdx>
    <mdx n="33" f="v">
      <t c="6">
        <n x="15"/>
        <n x="1337" s="1"/>
        <n x="39"/>
        <n x="7"/>
        <n x="17"/>
        <n x="2"/>
      </t>
    </mdx>
    <mdx n="33" f="v">
      <t c="5" si="10">
        <n x="15"/>
        <n x="1337" s="1"/>
        <n x="11"/>
        <n x="32"/>
        <n x="28"/>
      </t>
    </mdx>
    <mdx n="33" f="v">
      <t c="4">
        <n x="319"/>
        <n x="12"/>
        <n x="7"/>
        <n x="1337" s="1"/>
      </t>
    </mdx>
    <mdx n="33" f="v">
      <t c="4">
        <n x="412"/>
        <n x="1"/>
        <n x="32"/>
        <n x="1337" s="1"/>
      </t>
    </mdx>
    <mdx n="33" f="v">
      <t c="6" si="9">
        <n x="15"/>
        <n x="1337" s="1"/>
        <n x="40"/>
        <n x="7"/>
        <n x="20"/>
        <n x="2"/>
      </t>
    </mdx>
    <mdx n="33" f="v">
      <t c="6">
        <n x="15"/>
        <n x="1337" s="1"/>
        <n x="42"/>
        <n x="7"/>
        <n x="16"/>
        <n x="3"/>
      </t>
    </mdx>
    <mdx n="33" f="v">
      <t c="4">
        <n x="353"/>
        <n x="0"/>
        <n x="7"/>
        <n x="1337" s="1"/>
      </t>
    </mdx>
    <mdx n="33" f="v">
      <t c="4" si="9">
        <n x="484"/>
        <n x="0"/>
        <n x="7"/>
        <n x="1337" s="1"/>
      </t>
    </mdx>
    <mdx n="33" f="v">
      <t c="4">
        <n x="651"/>
        <n x="1"/>
        <n x="7"/>
        <n x="1337" s="1"/>
      </t>
    </mdx>
    <mdx n="33" f="v">
      <t c="4" si="9">
        <n x="485"/>
        <n x="0"/>
        <n x="7"/>
        <n x="1337" s="1"/>
      </t>
    </mdx>
    <mdx n="33" f="v">
      <t c="3">
        <n x="1240"/>
        <n x="1336"/>
        <n x="1337" s="1"/>
      </t>
    </mdx>
    <mdx n="33" f="v">
      <t c="4">
        <n x="230"/>
        <n x="1"/>
        <n x="7"/>
        <n x="1337" s="1"/>
      </t>
    </mdx>
    <mdx n="33" f="v">
      <t c="6" si="9">
        <n x="15"/>
        <n x="1337" s="1"/>
        <n x="40"/>
        <n x="7"/>
        <n x="18"/>
        <n x="1"/>
      </t>
    </mdx>
    <mdx n="33" f="v">
      <t c="4">
        <n x="274"/>
        <n x="0"/>
        <n x="7"/>
        <n x="1337" s="1"/>
      </t>
    </mdx>
    <mdx n="33" f="v">
      <t c="4">
        <n x="166"/>
        <n x="0"/>
        <n x="32"/>
        <n x="1337" s="1"/>
      </t>
    </mdx>
    <mdx n="33" f="v">
      <t c="3" fi="0">
        <n x="578"/>
        <n x="1336"/>
        <n x="1337" s="1"/>
      </t>
    </mdx>
    <mdx n="33" f="v">
      <t c="4">
        <n x="170"/>
        <n x="0"/>
        <n x="32"/>
        <n x="1337" s="1"/>
      </t>
    </mdx>
    <mdx n="33" f="v">
      <t c="3" fi="0">
        <n x="579"/>
        <n x="1336"/>
        <n x="1337" s="1"/>
      </t>
    </mdx>
    <mdx n="33" f="v">
      <t c="6" si="9">
        <n x="15"/>
        <n x="1337" s="1"/>
        <n x="35"/>
        <n x="7"/>
        <n x="23"/>
        <n x="12"/>
      </t>
    </mdx>
    <mdx n="33" f="v">
      <t c="4">
        <n x="227"/>
        <n x="11"/>
        <n x="32"/>
        <n x="1337" s="1"/>
      </t>
    </mdx>
    <mdx n="33" f="v">
      <t c="4" si="10">
        <n x="667"/>
        <n x="12"/>
        <n x="32"/>
        <n x="1337" s="1"/>
      </t>
    </mdx>
    <mdx n="33" f="v">
      <t c="4" si="10">
        <n x="567"/>
        <n x="1"/>
        <n x="32"/>
        <n x="1337" s="1"/>
      </t>
    </mdx>
    <mdx n="33" f="v">
      <t c="4">
        <n x="689"/>
        <n x="1"/>
        <n x="32"/>
        <n x="1337" s="1"/>
      </t>
    </mdx>
    <mdx n="33" f="v">
      <t c="4" si="10">
        <n x="722"/>
        <n x="14"/>
        <n x="32"/>
        <n x="1337" s="1"/>
      </t>
    </mdx>
    <mdx n="33" f="v">
      <t c="4">
        <n x="821"/>
        <n x="14"/>
        <n x="7"/>
        <n x="1337" s="1"/>
      </t>
    </mdx>
    <mdx n="33" f="v">
      <t c="3">
        <n x="721"/>
        <n x="1336"/>
        <n x="1337" s="1"/>
      </t>
    </mdx>
    <mdx n="33" f="v">
      <t c="6" si="10">
        <n x="15"/>
        <n x="1337" s="1"/>
        <n x="43"/>
        <n x="32"/>
        <n x="6"/>
        <n x="3"/>
      </t>
    </mdx>
    <mdx n="33" f="v">
      <t c="4">
        <n x="267"/>
        <n x="11"/>
        <n x="32"/>
        <n x="1337" s="1"/>
      </t>
    </mdx>
    <mdx n="33" f="v">
      <t c="6" si="10">
        <n x="15"/>
        <n x="1337" s="1"/>
        <n x="44"/>
        <n x="32"/>
        <n x="23"/>
        <n x="2"/>
      </t>
    </mdx>
    <mdx n="33" f="v">
      <t c="4">
        <n x="565"/>
        <n x="12"/>
        <n x="7"/>
        <n x="1337" s="1"/>
      </t>
    </mdx>
    <mdx n="33" f="v">
      <t c="4">
        <n x="625"/>
        <n x="1"/>
        <n x="7"/>
        <n x="1337" s="1"/>
      </t>
    </mdx>
    <mdx n="33" f="v">
      <t c="3">
        <n x="656"/>
        <n x="1336"/>
        <n x="1337" s="1"/>
      </t>
    </mdx>
    <mdx n="33" f="v">
      <t c="3">
        <n x="688"/>
        <n x="1336"/>
        <n x="1337" s="1"/>
      </t>
    </mdx>
    <mdx n="33" f="v">
      <t c="4" si="10">
        <n x="544"/>
        <n x="1"/>
        <n x="32"/>
        <n x="1337" s="1"/>
      </t>
    </mdx>
    <mdx n="33" f="v">
      <t c="4">
        <n x="687"/>
        <n x="0"/>
        <n x="32"/>
        <n x="1337" s="1"/>
      </t>
    </mdx>
    <mdx n="33" f="v">
      <t c="4">
        <n x="721"/>
        <n x="11"/>
        <n x="32"/>
        <n x="1337" s="1"/>
      </t>
    </mdx>
    <mdx n="33" f="v">
      <t c="4" si="10">
        <n x="752"/>
        <n x="0"/>
        <n x="32"/>
        <n x="1337" s="1"/>
      </t>
    </mdx>
    <mdx n="33" f="v">
      <t c="4" si="10">
        <n x="788"/>
        <n x="0"/>
        <n x="32"/>
        <n x="1337" s="1"/>
      </t>
    </mdx>
    <mdx n="33" f="v">
      <t c="4">
        <n x="820"/>
        <n x="11"/>
        <n x="7"/>
        <n x="1337" s="1"/>
      </t>
    </mdx>
    <mdx n="33" f="v">
      <t c="4" si="10">
        <n x="532"/>
        <n x="1"/>
        <n x="32"/>
        <n x="1337" s="1"/>
      </t>
    </mdx>
    <mdx n="33" f="v">
      <t c="3">
        <n x="685"/>
        <n x="1336"/>
        <n x="1337" s="1"/>
      </t>
    </mdx>
    <mdx n="33" f="v">
      <t c="4">
        <n x="720"/>
        <n x="12"/>
        <n x="7"/>
        <n x="1337" s="1"/>
      </t>
    </mdx>
    <mdx n="33" f="v">
      <t c="4">
        <n x="750"/>
        <n x="1"/>
        <n x="7"/>
        <n x="1337" s="1"/>
      </t>
    </mdx>
    <mdx n="33" f="v">
      <t c="4">
        <n x="786"/>
        <n x="12"/>
        <n x="7"/>
        <n x="1337" s="1"/>
      </t>
    </mdx>
    <mdx n="33" f="v">
      <t c="6" si="10">
        <n x="15"/>
        <n x="1337" s="1"/>
        <n x="39"/>
        <n x="32"/>
        <n x="16"/>
        <n x="1"/>
      </t>
    </mdx>
    <mdx n="33" f="v">
      <t c="4">
        <n x="332"/>
        <n x="0"/>
        <n x="7"/>
        <n x="1337" s="1"/>
      </t>
    </mdx>
    <mdx n="33" f="v">
      <t c="4">
        <n x="241"/>
        <n x="0"/>
        <n x="32"/>
        <n x="1337" s="1"/>
      </t>
    </mdx>
    <mdx n="33" f="v">
      <t c="4">
        <n x="243"/>
        <n x="11"/>
        <n x="32"/>
        <n x="1337" s="1"/>
      </t>
    </mdx>
    <mdx n="33" f="v">
      <t c="4">
        <n x="640"/>
        <n x="12"/>
        <n x="32"/>
        <n x="1337" s="1"/>
      </t>
    </mdx>
    <mdx n="33" f="v">
      <t c="4" si="9">
        <n x="525"/>
        <n x="0"/>
        <n x="7"/>
        <n x="1337" s="1"/>
      </t>
    </mdx>
    <mdx n="33" f="v">
      <t c="4">
        <n x="663"/>
        <n x="0"/>
        <n x="32"/>
        <n x="1337" s="1"/>
      </t>
    </mdx>
    <mdx n="33" f="v">
      <t c="4">
        <n x="266"/>
        <n x="11"/>
        <n x="32"/>
        <n x="1337" s="1"/>
      </t>
    </mdx>
    <mdx n="33" f="v">
      <t c="4">
        <n x="454"/>
        <n x="0"/>
        <n x="7"/>
        <n x="1337" s="1"/>
      </t>
    </mdx>
    <mdx n="33" f="v">
      <t c="3" fi="0">
        <n x="508"/>
        <n x="1336"/>
        <n x="1337" s="1"/>
      </t>
    </mdx>
    <mdx n="33" f="v">
      <t c="4">
        <n x="559"/>
        <n x="1"/>
        <n x="32"/>
        <n x="1337" s="1"/>
      </t>
    </mdx>
    <mdx n="33" f="v">
      <t c="4">
        <n x="610"/>
        <n x="0"/>
        <n x="7"/>
        <n x="1337" s="1"/>
      </t>
    </mdx>
    <mdx n="33" f="v">
      <t c="4">
        <n x="639"/>
        <n x="12"/>
        <n x="7"/>
        <n x="1337" s="1"/>
      </t>
    </mdx>
    <mdx n="33" f="v">
      <t c="4" si="9">
        <n x="662"/>
        <n x="0"/>
        <n x="7"/>
        <n x="1337" s="1"/>
      </t>
    </mdx>
    <mdx n="33" f="v">
      <t c="4">
        <n x="685"/>
        <n x="1"/>
        <n x="7"/>
        <n x="1337" s="1"/>
      </t>
    </mdx>
    <mdx n="33" f="v">
      <t c="4">
        <n x="456"/>
        <n x="12"/>
        <n x="7"/>
        <n x="1337" s="1"/>
      </t>
    </mdx>
    <mdx n="33" f="v">
      <t c="4" si="10">
        <n x="639"/>
        <n x="14"/>
        <n x="32"/>
        <n x="1337" s="1"/>
      </t>
    </mdx>
    <mdx n="33" f="v">
      <t c="4">
        <n x="695"/>
        <n x="1"/>
        <n x="32"/>
        <n x="1337" s="1"/>
      </t>
    </mdx>
    <mdx n="33" f="v">
      <t c="4">
        <n x="718"/>
        <n x="14"/>
        <n x="7"/>
        <n x="1337" s="1"/>
      </t>
    </mdx>
    <mdx n="33" f="v">
      <t c="3">
        <n x="742"/>
        <n x="1336"/>
        <n x="1337" s="1"/>
      </t>
    </mdx>
    <mdx n="33" f="v">
      <t c="4" si="10">
        <n x="765"/>
        <n x="11"/>
        <n x="32"/>
        <n x="1337" s="1"/>
      </t>
    </mdx>
    <mdx n="33" f="v">
      <t c="4" si="10">
        <n x="795"/>
        <n x="0"/>
        <n x="32"/>
        <n x="1337" s="1"/>
      </t>
    </mdx>
    <mdx n="33" f="v">
      <t c="4">
        <n x="818"/>
        <n x="1"/>
        <n x="32"/>
        <n x="1337" s="1"/>
      </t>
    </mdx>
    <mdx n="33" f="v">
      <t c="4">
        <n x="431"/>
        <n x="12"/>
        <n x="7"/>
        <n x="1337" s="1"/>
      </t>
    </mdx>
    <mdx n="33" f="v">
      <t c="4">
        <n x="634"/>
        <n x="12"/>
        <n x="7"/>
        <n x="1337" s="1"/>
      </t>
    </mdx>
    <mdx n="33" f="v">
      <t c="4" si="10">
        <n x="693"/>
        <n x="11"/>
        <n x="32"/>
        <n x="1337" s="1"/>
      </t>
    </mdx>
    <mdx n="33" f="v">
      <t c="4" si="10">
        <n x="717"/>
        <n x="14"/>
        <n x="32"/>
        <n x="1337" s="1"/>
      </t>
    </mdx>
    <mdx n="33" f="v">
      <t c="4">
        <n x="740"/>
        <n x="11"/>
        <n x="7"/>
        <n x="1337" s="1"/>
      </t>
    </mdx>
    <mdx n="33" f="v">
      <t c="4" si="9">
        <n x="764"/>
        <n x="12"/>
        <n x="7"/>
        <n x="1337" s="1"/>
      </t>
    </mdx>
    <mdx n="33" f="v">
      <t c="4">
        <n x="793"/>
        <n x="1"/>
        <n x="7"/>
        <n x="1337" s="1"/>
      </t>
    </mdx>
    <mdx n="33" f="v">
      <t c="4">
        <n x="816"/>
        <n x="14"/>
        <n x="7"/>
        <n x="1337" s="1"/>
      </t>
    </mdx>
    <mdx n="33" f="v">
      <t c="4">
        <n x="445"/>
        <n x="1"/>
        <n x="32"/>
        <n x="1337" s="1"/>
      </t>
    </mdx>
    <mdx n="33" f="v">
      <t c="4">
        <n x="635"/>
        <n x="14"/>
        <n x="7"/>
        <n x="1337" s="1"/>
      </t>
    </mdx>
    <mdx n="33" f="v">
      <t c="4">
        <n x="694"/>
        <n x="12"/>
        <n x="7"/>
        <n x="1337" s="1"/>
      </t>
    </mdx>
    <mdx n="33" f="v">
      <t c="4" si="10">
        <n x="718"/>
        <n x="0"/>
        <n x="32"/>
        <n x="1337" s="1"/>
      </t>
    </mdx>
    <mdx n="33" f="v">
      <t c="4" si="10">
        <n x="386"/>
        <n x="0"/>
        <n x="32"/>
        <n x="1337" s="1"/>
      </t>
    </mdx>
    <mdx n="33" f="v">
      <t c="4">
        <n x="648"/>
        <n x="11"/>
        <n x="32"/>
        <n x="1337" s="1"/>
      </t>
    </mdx>
    <mdx n="33" f="v">
      <t c="4" si="10">
        <n x="538"/>
        <n x="0"/>
        <n x="32"/>
        <n x="1337" s="1"/>
      </t>
    </mdx>
    <mdx n="33" f="v">
      <t c="4">
        <n x="675"/>
        <n x="11"/>
        <n x="7"/>
        <n x="1337" s="1"/>
      </t>
    </mdx>
    <mdx n="33" f="v">
      <t c="4">
        <n x="709"/>
        <n x="12"/>
        <n x="7"/>
        <n x="1337" s="1"/>
      </t>
    </mdx>
    <mdx n="33" f="v">
      <t c="4" si="10">
        <n x="808"/>
        <n x="11"/>
        <n x="32"/>
        <n x="1337" s="1"/>
      </t>
    </mdx>
    <mdx n="33" f="v">
      <t c="4" si="10">
        <n x="707"/>
        <n x="12"/>
        <n x="32"/>
        <n x="1337" s="1"/>
      </t>
    </mdx>
    <mdx n="33" f="v">
      <t c="4">
        <n x="807"/>
        <n x="12"/>
        <n x="7"/>
        <n x="1337" s="1"/>
      </t>
    </mdx>
    <mdx n="33" f="v">
      <t c="4" si="9">
        <n x="491"/>
        <n x="0"/>
        <n x="7"/>
        <n x="1337" s="1"/>
      </t>
    </mdx>
    <mdx n="33" f="v">
      <t c="4">
        <n x="677"/>
        <n x="0"/>
        <n x="32"/>
        <n x="1337" s="1"/>
      </t>
    </mdx>
    <mdx n="33" f="v">
      <t c="4" si="10">
        <n x="714"/>
        <n x="12"/>
        <n x="32"/>
        <n x="1337" s="1"/>
      </t>
    </mdx>
    <mdx n="33" f="v">
      <t c="4">
        <n x="739"/>
        <n x="11"/>
        <n x="32"/>
        <n x="1337" s="1"/>
      </t>
    </mdx>
    <mdx n="33" f="v">
      <t c="4">
        <n x="762"/>
        <n x="12"/>
        <n x="32"/>
        <n x="1337" s="1"/>
      </t>
    </mdx>
    <mdx n="33" f="v">
      <t c="4">
        <n x="792"/>
        <n x="1"/>
        <n x="32"/>
        <n x="1337" s="1"/>
      </t>
    </mdx>
    <mdx n="33" f="v">
      <t c="4" si="10">
        <n x="815"/>
        <n x="14"/>
        <n x="32"/>
        <n x="1337" s="1"/>
      </t>
    </mdx>
    <mdx n="33" f="v">
      <t c="4">
        <n x="838"/>
        <n x="11"/>
        <n x="7"/>
        <n x="1337" s="1"/>
      </t>
    </mdx>
    <mdx n="33" f="v">
      <t c="4">
        <n x="649"/>
        <n x="0"/>
        <n x="7"/>
        <n x="1337" s="1"/>
      </t>
    </mdx>
    <mdx n="33" f="v">
      <t c="4">
        <n x="767"/>
        <n x="14"/>
        <n x="7"/>
        <n x="1337" s="1"/>
      </t>
    </mdx>
    <mdx n="33" f="v">
      <t c="4" si="9">
        <n x="842"/>
        <n x="0"/>
        <n x="7"/>
        <n x="1337" s="1"/>
      </t>
    </mdx>
    <mdx n="33" f="v">
      <t c="4" si="10">
        <n x="868"/>
        <n x="1"/>
        <n x="32"/>
        <n x="1337" s="1"/>
      </t>
    </mdx>
    <mdx n="33" f="v">
      <t c="4" si="10">
        <n x="891"/>
        <n x="14"/>
        <n x="32"/>
        <n x="1337" s="1"/>
      </t>
    </mdx>
    <mdx n="33" f="v">
      <t c="4">
        <n x="914"/>
        <n x="11"/>
        <n x="7"/>
        <n x="1337" s="1"/>
      </t>
    </mdx>
    <mdx n="33" f="v">
      <t c="4" si="9">
        <n x="938"/>
        <n x="12"/>
        <n x="7"/>
        <n x="1337" s="1"/>
      </t>
    </mdx>
    <mdx n="33" f="v">
      <t c="4">
        <n x="977"/>
        <n x="0"/>
        <n x="32"/>
        <n x="1337" s="1"/>
      </t>
    </mdx>
    <mdx n="33" f="v">
      <t c="4">
        <n x="1028"/>
        <n x="12"/>
        <n x="7"/>
        <n x="1337" s="1"/>
      </t>
    </mdx>
    <mdx n="33" f="v">
      <t c="3">
        <n x="1079"/>
        <n x="1336"/>
        <n x="1337" s="1"/>
      </t>
    </mdx>
    <mdx n="33" f="v">
      <t c="4" si="9">
        <n x="1140"/>
        <n x="12"/>
        <n x="7"/>
        <n x="1337" s="1"/>
      </t>
    </mdx>
    <mdx n="33" f="v">
      <t c="4">
        <n x="1268"/>
        <n x="12"/>
        <n x="7"/>
        <n x="1337" s="1"/>
      </t>
    </mdx>
    <mdx n="33" f="v">
      <t c="4">
        <n x="1011"/>
        <n x="14"/>
        <n x="7"/>
        <n x="1337" s="1"/>
      </t>
    </mdx>
    <mdx n="33" f="v">
      <t c="4">
        <n x="426"/>
        <n x="14"/>
        <n x="7"/>
        <n x="1337" s="1"/>
      </t>
    </mdx>
    <mdx n="33" f="v">
      <t c="4">
        <n x="173"/>
        <n x="14"/>
        <n x="7"/>
        <n x="1337" s="1"/>
      </t>
    </mdx>
    <mdx n="33" f="v">
      <t c="3">
        <n x="639"/>
        <n x="1336"/>
        <n x="1337" s="1"/>
      </t>
    </mdx>
    <mdx n="33" f="v">
      <t c="4">
        <n x="399"/>
        <n x="0"/>
        <n x="32"/>
        <n x="1337" s="1"/>
      </t>
    </mdx>
    <mdx n="33" f="v">
      <t c="4">
        <n x="651"/>
        <n x="12"/>
        <n x="32"/>
        <n x="1337" s="1"/>
      </t>
    </mdx>
    <mdx n="33" f="v">
      <t c="4">
        <n x="541"/>
        <n x="12"/>
        <n x="7"/>
        <n x="1337" s="1"/>
      </t>
    </mdx>
    <mdx n="33" f="v">
      <t c="4">
        <n x="677"/>
        <n x="1"/>
        <n x="32"/>
        <n x="1337" s="1"/>
      </t>
    </mdx>
    <mdx n="33" f="v">
      <t c="4" si="10">
        <n x="710"/>
        <n x="14"/>
        <n x="32"/>
        <n x="1337" s="1"/>
      </t>
    </mdx>
    <mdx n="33" f="v">
      <t c="4">
        <n x="809"/>
        <n x="14"/>
        <n x="7"/>
        <n x="1337" s="1"/>
      </t>
    </mdx>
    <mdx n="33" f="v">
      <t c="3">
        <n x="709"/>
        <n x="1336"/>
        <n x="1337" s="1"/>
      </t>
    </mdx>
    <mdx n="33" f="v">
      <t c="4" si="10">
        <n x="808"/>
        <n x="14"/>
        <n x="32"/>
        <n x="1337" s="1"/>
      </t>
    </mdx>
    <mdx n="33" f="v">
      <t c="4" si="10">
        <n x="495"/>
        <n x="0"/>
        <n x="32"/>
        <n x="1337" s="1"/>
      </t>
    </mdx>
    <mdx n="33" f="v">
      <t c="4" si="10">
        <n x="677"/>
        <n x="12"/>
        <n x="32"/>
        <n x="1337" s="1"/>
      </t>
    </mdx>
    <mdx n="33" f="v">
      <t c="4" si="10">
        <n x="715"/>
        <n x="11"/>
        <n x="32"/>
        <n x="1337" s="1"/>
      </t>
    </mdx>
    <mdx n="33" f="v">
      <t c="4">
        <n x="739"/>
        <n x="11"/>
        <n x="7"/>
        <n x="1337" s="1"/>
      </t>
    </mdx>
    <mdx n="33" f="v">
      <t c="4" si="9">
        <n x="763"/>
        <n x="12"/>
        <n x="7"/>
        <n x="1337" s="1"/>
      </t>
    </mdx>
    <mdx n="33" f="v">
      <t c="4">
        <n x="792"/>
        <n x="1"/>
        <n x="7"/>
        <n x="1337" s="1"/>
      </t>
    </mdx>
    <mdx n="33" f="v">
      <t c="4">
        <n x="815"/>
        <n x="14"/>
        <n x="7"/>
        <n x="1337" s="1"/>
      </t>
    </mdx>
    <mdx n="33" f="v">
      <t c="3">
        <n x="839"/>
        <n x="1336"/>
        <n x="1337" s="1"/>
      </t>
    </mdx>
    <mdx n="33" f="v">
      <t c="3">
        <n x="655"/>
        <n x="1336"/>
        <n x="1337" s="1"/>
      </t>
    </mdx>
    <mdx n="33" f="v">
      <t c="4">
        <n x="769"/>
        <n x="14"/>
        <n x="7"/>
        <n x="1337" s="1"/>
      </t>
    </mdx>
    <mdx n="33" f="v">
      <t c="4" si="9">
        <n x="842"/>
        <n x="14"/>
        <n x="7"/>
        <n x="1337" s="1"/>
      </t>
    </mdx>
    <mdx n="33" f="v">
      <t c="4">
        <n x="868"/>
        <n x="1"/>
        <n x="7"/>
        <n x="1337" s="1"/>
      </t>
    </mdx>
    <mdx n="33" f="v">
      <t c="4">
        <n x="891"/>
        <n x="14"/>
        <n x="7"/>
        <n x="1337" s="1"/>
      </t>
    </mdx>
    <mdx n="33" f="v">
      <t c="3">
        <n x="915"/>
        <n x="1336"/>
        <n x="1337" s="1"/>
      </t>
    </mdx>
    <mdx n="33" f="v">
      <t c="4">
        <n x="938"/>
        <n x="11"/>
        <n x="32"/>
        <n x="1337" s="1"/>
      </t>
    </mdx>
    <mdx n="33" f="v">
      <t c="4">
        <n x="977"/>
        <n x="0"/>
        <n x="7"/>
        <n x="1337" s="1"/>
      </t>
    </mdx>
    <mdx n="33" f="v">
      <t c="4" si="10">
        <n x="1029"/>
        <n x="0"/>
        <n x="32"/>
        <n x="1337" s="1"/>
      </t>
    </mdx>
    <mdx n="33" f="v">
      <t c="4">
        <n x="1080"/>
        <n x="12"/>
        <n x="7"/>
        <n x="1337" s="1"/>
      </t>
    </mdx>
    <mdx n="33" f="v">
      <t c="4">
        <n x="1142"/>
        <n x="12"/>
        <n x="7"/>
        <n x="1337" s="1"/>
      </t>
    </mdx>
    <mdx n="33" f="v">
      <t c="4">
        <n x="1270"/>
        <n x="12"/>
        <n x="7"/>
        <n x="1337" s="1"/>
      </t>
    </mdx>
    <mdx n="33" f="v">
      <t c="4">
        <n x="1007"/>
        <n x="14"/>
        <n x="7"/>
        <n x="1337" s="1"/>
      </t>
    </mdx>
    <mdx n="33" f="v">
      <t c="4">
        <n x="410"/>
        <n x="14"/>
        <n x="7"/>
        <n x="1337" s="1"/>
      </t>
    </mdx>
    <mdx n="33" f="v">
      <t c="4">
        <n x="169"/>
        <n x="14"/>
        <n x="7"/>
        <n x="1337" s="1"/>
      </t>
    </mdx>
    <mdx n="33" f="v">
      <t c="4" si="10">
        <n x="645"/>
        <n x="0"/>
        <n x="32"/>
        <n x="1337" s="1"/>
      </t>
    </mdx>
    <mdx n="33" f="v">
      <t c="6" si="9">
        <n x="15"/>
        <n x="1337" s="1"/>
        <n x="43"/>
        <n x="7"/>
        <n x="27"/>
        <n x="3"/>
      </t>
    </mdx>
    <mdx n="33" f="v">
      <t c="6" si="9">
        <n x="15"/>
        <n x="1337" s="1"/>
        <n x="43"/>
        <n x="7"/>
        <n x="4"/>
        <n x="2"/>
      </t>
    </mdx>
    <mdx n="33" f="v">
      <t c="4">
        <n x="403"/>
        <n x="0"/>
        <n x="7"/>
        <n x="1337" s="1"/>
      </t>
    </mdx>
    <mdx n="33" f="v">
      <t c="6">
        <n x="15"/>
        <n x="1337" s="1"/>
        <n x="38"/>
        <n x="7"/>
        <n x="30"/>
        <n x="1"/>
      </t>
    </mdx>
    <mdx n="33" f="v">
      <t c="4">
        <n x="283"/>
        <n x="0"/>
        <n x="32"/>
        <n x="1337" s="1"/>
      </t>
    </mdx>
    <mdx n="33" f="v">
      <t c="5" si="10">
        <n x="15"/>
        <n x="1337" s="1"/>
        <n x="11"/>
        <n x="32"/>
        <n x="18"/>
      </t>
    </mdx>
    <mdx n="33" f="v">
      <t c="3">
        <n x="402"/>
        <n x="1336"/>
        <n x="1337" s="1"/>
      </t>
    </mdx>
    <mdx n="33" f="v">
      <t c="4">
        <n x="168"/>
        <n x="0"/>
        <n x="32"/>
        <n x="1337" s="1"/>
      </t>
    </mdx>
    <mdx n="33" f="v">
      <t c="4">
        <n x="631"/>
        <n x="11"/>
        <n x="32"/>
        <n x="1337" s="1"/>
      </t>
    </mdx>
    <mdx n="33" f="v">
      <t c="4">
        <n x="694"/>
        <n x="11"/>
        <n x="7"/>
        <n x="1337" s="1"/>
      </t>
    </mdx>
    <mdx n="33" f="v">
      <t c="4">
        <n x="826"/>
        <n x="1"/>
        <n x="7"/>
        <n x="1337" s="1"/>
      </t>
    </mdx>
    <mdx n="33" f="v">
      <t c="4" si="10">
        <n x="756"/>
        <n x="11"/>
        <n x="32"/>
        <n x="1337" s="1"/>
      </t>
    </mdx>
    <mdx n="33" f="v">
      <t c="4">
        <n x="273"/>
        <n x="0"/>
        <n x="32"/>
        <n x="1337" s="1"/>
      </t>
    </mdx>
    <mdx n="33" f="v">
      <t c="6">
        <n x="15"/>
        <n x="1337" s="1"/>
        <n x="44"/>
        <n x="7"/>
        <n x="6"/>
        <n x="3"/>
      </t>
    </mdx>
    <mdx n="33" f="v">
      <t c="4" si="9">
        <n x="569"/>
        <n x="12"/>
        <n x="7"/>
        <n x="1337" s="1"/>
      </t>
    </mdx>
    <mdx n="33" f="v">
      <t c="4" si="10">
        <n x="690"/>
        <n x="0"/>
        <n x="32"/>
        <n x="1337" s="1"/>
      </t>
    </mdx>
    <mdx n="33" f="v">
      <t c="4" si="10">
        <n x="723"/>
        <n x="1"/>
        <n x="32"/>
        <n x="1337" s="1"/>
      </t>
    </mdx>
    <mdx n="33" f="v">
      <t c="4">
        <n x="822"/>
        <n x="1"/>
        <n x="7"/>
        <n x="1337" s="1"/>
      </t>
    </mdx>
    <mdx n="33" f="v">
      <t c="4">
        <n x="721"/>
        <n x="14"/>
        <n x="7"/>
        <n x="1337" s="1"/>
      </t>
    </mdx>
    <mdx n="33" f="v">
      <t c="4">
        <n x="821"/>
        <n x="1"/>
        <n x="32"/>
        <n x="1337" s="1"/>
      </t>
    </mdx>
    <mdx n="33" f="v">
      <t c="6" si="9">
        <n x="15"/>
        <n x="1337" s="1"/>
        <n x="35"/>
        <n x="7"/>
        <n x="6"/>
        <n x="12"/>
      </t>
    </mdx>
    <mdx n="33" f="v">
      <t c="4" si="10">
        <n x="693"/>
        <n x="1"/>
        <n x="32"/>
        <n x="1337" s="1"/>
      </t>
    </mdx>
    <mdx n="33" f="v">
      <t c="4">
        <n x="819"/>
        <n x="11"/>
        <n x="32"/>
        <n x="1337" s="1"/>
      </t>
    </mdx>
    <mdx n="33" f="v">
      <t c="4">
        <n x="743"/>
        <n x="11"/>
        <n x="7"/>
        <n x="1337" s="1"/>
      </t>
    </mdx>
    <mdx n="33" f="v">
      <t c="3">
        <n x="843"/>
        <n x="1336"/>
        <n x="1337" s="1"/>
      </t>
    </mdx>
    <mdx n="33" f="v">
      <t c="4">
        <n x="872"/>
        <n x="1"/>
        <n x="7"/>
        <n x="1337" s="1"/>
      </t>
    </mdx>
    <mdx n="33" f="v">
      <t c="4">
        <n x="986"/>
        <n x="1"/>
        <n x="32"/>
        <n x="1337" s="1"/>
      </t>
    </mdx>
    <mdx n="33" f="v">
      <t c="4">
        <n x="1292"/>
        <n x="12"/>
        <n x="7"/>
        <n x="1337" s="1"/>
      </t>
    </mdx>
    <mdx n="33" f="v">
      <t c="4">
        <n x="74"/>
        <n x="1"/>
        <n x="7"/>
        <n x="1337" s="1"/>
      </t>
    </mdx>
    <mdx n="33" f="v">
      <t c="4" si="10">
        <n x="694"/>
        <n x="12"/>
        <n x="32"/>
        <n x="1337" s="1"/>
      </t>
    </mdx>
    <mdx n="33" f="v">
      <t c="3">
        <n x="820"/>
        <n x="1336"/>
        <n x="1337" s="1"/>
      </t>
    </mdx>
    <mdx n="33" f="v">
      <t c="3">
        <n x="744"/>
        <n x="1336"/>
        <n x="1337" s="1"/>
      </t>
    </mdx>
    <mdx n="33" f="v">
      <t c="4">
        <n x="824"/>
        <n x="1"/>
        <n x="7"/>
        <n x="1337" s="1"/>
      </t>
    </mdx>
    <mdx n="33" f="v">
      <t c="4">
        <n x="412"/>
        <n x="0"/>
        <n x="32"/>
        <n x="1337" s="1"/>
      </t>
    </mdx>
    <mdx n="33" f="v">
      <t c="4">
        <n x="777"/>
        <n x="14"/>
        <n x="7"/>
        <n x="1337" s="1"/>
      </t>
    </mdx>
    <mdx n="33" f="v">
      <t c="4">
        <n x="854"/>
        <n x="12"/>
        <n x="7"/>
        <n x="1337" s="1"/>
      </t>
    </mdx>
    <mdx n="33" f="v">
      <t c="4">
        <n x="884"/>
        <n x="1"/>
        <n x="7"/>
        <n x="1337" s="1"/>
      </t>
    </mdx>
    <mdx n="33" f="v">
      <t c="4">
        <n x="916"/>
        <n x="1"/>
        <n x="7"/>
        <n x="1337" s="1"/>
      </t>
    </mdx>
    <mdx n="33" f="v">
      <t c="4">
        <n x="949"/>
        <n x="11"/>
        <n x="7"/>
        <n x="1337" s="1"/>
      </t>
    </mdx>
    <mdx n="33" f="v">
      <t c="4">
        <n x="1013"/>
        <n x="0"/>
        <n x="32"/>
        <n x="1337" s="1"/>
      </t>
    </mdx>
    <mdx n="33" f="v">
      <t c="3">
        <n x="1083"/>
        <n x="1336"/>
        <n x="1337" s="1"/>
      </t>
    </mdx>
    <mdx n="33" f="v">
      <t c="4">
        <n x="1190"/>
        <n x="12"/>
        <n x="7"/>
        <n x="1337" s="1"/>
      </t>
    </mdx>
    <mdx n="33" f="v">
      <t c="4">
        <n x="1087"/>
        <n x="14"/>
        <n x="7"/>
        <n x="1337" s="1"/>
      </t>
    </mdx>
    <mdx n="33" f="v">
      <t c="4">
        <n x="427"/>
        <n x="14"/>
        <n x="7"/>
        <n x="1337" s="1"/>
      </t>
    </mdx>
    <mdx n="33" f="v">
      <t c="4">
        <n x="94"/>
        <n x="14"/>
        <n x="7"/>
        <n x="1337" s="1"/>
      </t>
    </mdx>
    <mdx n="33" f="v">
      <t c="4">
        <n x="227"/>
        <n x="0"/>
        <n x="32"/>
        <n x="1337" s="1"/>
      </t>
    </mdx>
    <mdx n="33" f="v">
      <t c="3">
        <n x="503"/>
        <n x="1336"/>
        <n x="1337" s="1"/>
      </t>
    </mdx>
    <mdx n="33" f="v">
      <t c="4" si="9">
        <n x="493"/>
        <n x="12"/>
        <n x="7"/>
        <n x="1337" s="1"/>
      </t>
    </mdx>
    <mdx n="33" f="v">
      <t c="4">
        <n x="655"/>
        <n x="11"/>
        <n x="32"/>
        <n x="1337" s="1"/>
      </t>
    </mdx>
    <mdx n="33" f="v">
      <t c="4">
        <n x="686"/>
        <n x="12"/>
        <n x="7"/>
        <n x="1337" s="1"/>
      </t>
    </mdx>
    <mdx n="33" f="v">
      <t c="4" si="10">
        <n x="787"/>
        <n x="0"/>
        <n x="32"/>
        <n x="1337" s="1"/>
      </t>
    </mdx>
    <mdx n="33" f="v">
      <t c="4">
        <n x="684"/>
        <n x="12"/>
        <n x="7"/>
        <n x="1337" s="1"/>
      </t>
    </mdx>
    <mdx n="33" f="v">
      <t c="4">
        <n x="785"/>
        <n x="12"/>
        <n x="7"/>
        <n x="1337" s="1"/>
      </t>
    </mdx>
    <mdx n="33" f="v">
      <t c="4">
        <n x="371"/>
        <n x="1"/>
        <n x="32"/>
        <n x="1337" s="1"/>
      </t>
    </mdx>
    <mdx n="33" f="v">
      <t c="4" si="10">
        <n x="657"/>
        <n x="12"/>
        <n x="32"/>
        <n x="1337" s="1"/>
      </t>
    </mdx>
    <mdx n="33" f="v">
      <t c="3">
        <n x="708"/>
        <n x="1336"/>
        <n x="1337" s="1"/>
      </t>
    </mdx>
    <mdx n="33" f="v">
      <t c="4">
        <n x="734"/>
        <n x="0"/>
        <n x="7"/>
        <n x="1337" s="1"/>
      </t>
    </mdx>
    <mdx n="33" f="v">
      <t c="4">
        <n x="757"/>
        <n x="1"/>
        <n x="7"/>
        <n x="1337" s="1"/>
      </t>
    </mdx>
    <mdx n="33" f="v">
      <t c="4">
        <n x="785"/>
        <n x="11"/>
        <n x="7"/>
        <n x="1337" s="1"/>
      </t>
    </mdx>
    <mdx n="33" f="v">
      <t c="4">
        <n x="810"/>
        <n x="11"/>
        <n x="32"/>
        <n x="1337" s="1"/>
      </t>
    </mdx>
    <mdx n="33" f="v">
      <t c="4" si="10">
        <n x="833"/>
        <n x="12"/>
        <n x="32"/>
        <n x="1337" s="1"/>
      </t>
    </mdx>
    <mdx n="33" f="v">
      <t c="3">
        <n x="505"/>
        <n x="1336"/>
        <n x="1337" s="1"/>
      </t>
    </mdx>
    <mdx n="33" f="v">
      <t c="4">
        <n x="747"/>
        <n x="14"/>
        <n x="32"/>
        <n x="1337" s="1"/>
      </t>
    </mdx>
    <mdx n="33" f="v">
      <t c="4">
        <n x="835"/>
        <n x="1"/>
        <n x="7"/>
        <n x="1337" s="1"/>
      </t>
    </mdx>
    <mdx n="33" f="v">
      <t c="3">
        <n x="863"/>
        <n x="1336"/>
        <n x="1337" s="1"/>
      </t>
    </mdx>
    <mdx n="33" f="v">
      <t c="4">
        <n x="886"/>
        <n x="11"/>
        <n x="32"/>
        <n x="1337" s="1"/>
      </t>
    </mdx>
    <mdx n="33" f="v">
      <t c="4">
        <n x="909"/>
        <n x="12"/>
        <n x="32"/>
        <n x="1337" s="1"/>
      </t>
    </mdx>
    <mdx n="33" f="v">
      <t c="4" si="10">
        <n x="933"/>
        <n x="0"/>
        <n x="32"/>
        <n x="1337" s="1"/>
      </t>
    </mdx>
    <mdx n="33" f="v">
      <t c="4">
        <n x="965"/>
        <n x="0"/>
        <n x="7"/>
        <n x="1337" s="1"/>
      </t>
    </mdx>
    <mdx n="33" f="v">
      <t c="4">
        <n x="1017"/>
        <n x="0"/>
        <n x="32"/>
        <n x="1337" s="1"/>
      </t>
    </mdx>
    <mdx n="33" f="v">
      <t c="4">
        <n x="1068"/>
        <n x="12"/>
        <n x="7"/>
        <n x="1337" s="1"/>
      </t>
    </mdx>
    <mdx n="33" f="v">
      <t c="3">
        <n x="1119"/>
        <n x="1336"/>
        <n x="1337" s="1"/>
      </t>
    </mdx>
    <mdx n="33" f="v">
      <t c="4">
        <n x="1240"/>
        <n x="12"/>
        <n x="7"/>
        <n x="1337" s="1"/>
      </t>
    </mdx>
    <mdx n="33" f="v">
      <t c="4">
        <n x="1067"/>
        <n x="14"/>
        <n x="7"/>
        <n x="1337" s="1"/>
      </t>
    </mdx>
    <mdx n="33" f="v">
      <t c="4" si="9">
        <n x="495"/>
        <n x="14"/>
        <n x="7"/>
        <n x="1337" s="1"/>
      </t>
    </mdx>
    <mdx n="33" f="v">
      <t c="4">
        <n x="64"/>
        <n x="14"/>
        <n x="7"/>
        <n x="1337" s="1"/>
      </t>
    </mdx>
    <mdx n="33" f="v">
      <t c="4" si="10">
        <n x="483"/>
        <n x="0"/>
        <n x="32"/>
        <n x="1337" s="1"/>
      </t>
    </mdx>
    <mdx n="33" f="v">
      <t c="4" si="10">
        <n x="745"/>
        <n x="0"/>
        <n x="32"/>
        <n x="1337" s="1"/>
      </t>
    </mdx>
    <mdx n="33" f="v">
      <t c="4">
        <n x="834"/>
        <n x="12"/>
        <n x="32"/>
        <n x="1337" s="1"/>
      </t>
    </mdx>
    <mdx n="33" f="v">
      <t c="4" si="10">
        <n x="862"/>
        <n x="14"/>
        <n x="32"/>
        <n x="1337" s="1"/>
      </t>
    </mdx>
    <mdx n="33" f="v">
      <t c="4">
        <n x="885"/>
        <n x="11"/>
        <n x="7"/>
        <n x="1337" s="1"/>
      </t>
    </mdx>
    <mdx n="33" f="v">
      <t c="3" fi="0">
        <n x="566"/>
        <n x="1336"/>
        <n x="1337" s="1"/>
      </t>
    </mdx>
    <mdx n="33" f="v">
      <t c="4" si="10">
        <n x="742"/>
        <n x="14"/>
        <n x="32"/>
        <n x="1337" s="1"/>
      </t>
    </mdx>
    <mdx n="33" f="v">
      <t c="4">
        <n x="587"/>
        <n x="0"/>
        <n x="7"/>
        <n x="1337" s="1"/>
      </t>
    </mdx>
    <mdx n="33" f="v">
      <t c="4" si="10">
        <n x="772"/>
        <n x="11"/>
        <n x="32"/>
        <n x="1337" s="1"/>
      </t>
    </mdx>
    <mdx n="33" f="v">
      <t c="4">
        <n x="708"/>
        <n x="1"/>
        <n x="32"/>
        <n x="1337" s="1"/>
      </t>
    </mdx>
    <mdx n="33" f="v">
      <t c="4">
        <n x="899"/>
        <n x="14"/>
        <n x="7"/>
        <n x="1337" s="1"/>
      </t>
    </mdx>
    <mdx n="33" f="v">
      <t c="4" si="10">
        <n x="1046"/>
        <n x="1"/>
        <n x="32"/>
        <n x="1337" s="1"/>
      </t>
    </mdx>
    <mdx n="33" f="v">
      <t c="4">
        <n x="603"/>
        <n x="14"/>
        <n x="7"/>
        <n x="1337" s="1"/>
      </t>
    </mdx>
    <mdx n="33" f="v">
      <t c="4" si="9">
        <n x="718"/>
        <n x="11"/>
        <n x="7"/>
        <n x="1337" s="1"/>
      </t>
    </mdx>
    <mdx n="33" f="v">
      <t c="3">
        <n x="836"/>
        <n x="1336"/>
        <n x="1337" s="1"/>
      </t>
    </mdx>
    <mdx n="33" f="v">
      <t c="4">
        <n x="871"/>
        <n x="1"/>
        <n x="7"/>
        <n x="1337" s="1"/>
      </t>
    </mdx>
    <mdx n="33" f="v">
      <t c="4" si="10">
        <n x="902"/>
        <n x="14"/>
        <n x="32"/>
        <n x="1337" s="1"/>
      </t>
    </mdx>
    <mdx n="33" f="v">
      <t c="4">
        <n x="925"/>
        <n x="11"/>
        <n x="7"/>
        <n x="1337" s="1"/>
      </t>
    </mdx>
    <mdx n="33" f="v">
      <t c="4" si="10">
        <n x="952"/>
        <n x="14"/>
        <n x="32"/>
        <n x="1337" s="1"/>
      </t>
    </mdx>
    <mdx n="33" f="v">
      <t c="4">
        <n x="1001"/>
        <n x="12"/>
        <n x="7"/>
        <n x="1337" s="1"/>
      </t>
    </mdx>
    <mdx n="33" f="v">
      <t c="3">
        <n x="1052"/>
        <n x="1336"/>
        <n x="1337" s="1"/>
      </t>
    </mdx>
    <mdx n="33" f="v">
      <t c="4">
        <n x="1103"/>
        <n x="1"/>
        <n x="32"/>
        <n x="1337" s="1"/>
      </t>
    </mdx>
    <mdx n="33" f="v">
      <t c="4">
        <n x="1201"/>
        <n x="0"/>
        <n x="32"/>
        <n x="1337" s="1"/>
      </t>
    </mdx>
    <mdx n="33" f="v">
      <t c="4" si="10">
        <n x="1329"/>
        <n x="0"/>
        <n x="32"/>
        <n x="1337" s="1"/>
      </t>
    </mdx>
    <mdx n="33" f="v">
      <t c="4" si="9">
        <n x="574"/>
        <n x="14"/>
        <n x="7"/>
        <n x="1337" s="1"/>
      </t>
    </mdx>
    <mdx n="33" f="v">
      <t c="4" si="9">
        <n x="486"/>
        <n x="12"/>
        <n x="7"/>
        <n x="1337" s="1"/>
      </t>
    </mdx>
    <mdx n="33" f="v">
      <t c="4">
        <n x="745"/>
        <n x="0"/>
        <n x="7"/>
        <n x="1337" s="1"/>
      </t>
    </mdx>
    <mdx n="33" f="v">
      <t c="4">
        <n x="127"/>
        <n x="12"/>
        <n x="7"/>
        <n x="1337" s="1"/>
      </t>
    </mdx>
    <mdx n="33" f="v">
      <t c="4">
        <n x="320"/>
        <n x="0"/>
        <n x="7"/>
        <n x="1337" s="1"/>
      </t>
    </mdx>
    <mdx n="33" f="v">
      <t c="6">
        <n x="15"/>
        <n x="1337" s="1"/>
        <n x="40"/>
        <n x="7"/>
        <n x="16"/>
        <n x="3"/>
      </t>
    </mdx>
    <mdx n="33" f="v">
      <t c="4">
        <n x="167"/>
        <n x="0"/>
        <n x="7"/>
        <n x="1337" s="1"/>
      </t>
    </mdx>
    <mdx n="33" f="v">
      <t c="4">
        <n x="462"/>
        <n x="0"/>
        <n x="7"/>
        <n x="1337" s="1"/>
      </t>
    </mdx>
    <mdx n="33" f="v">
      <t c="4">
        <n x="430"/>
        <n x="0"/>
        <n x="32"/>
        <n x="1337" s="1"/>
      </t>
    </mdx>
    <mdx n="33" f="v">
      <t c="4">
        <n x="630"/>
        <n x="11"/>
        <n x="7"/>
        <n x="1337" s="1"/>
      </t>
    </mdx>
    <mdx n="33" f="v">
      <t c="6" si="9">
        <n x="15"/>
        <n x="1337" s="1"/>
        <n x="37"/>
        <n x="7"/>
        <n x="21"/>
        <n x="1"/>
      </t>
    </mdx>
    <mdx n="33" f="v">
      <t c="4" si="10">
        <n x="638"/>
        <n x="12"/>
        <n x="32"/>
        <n x="1337" s="1"/>
      </t>
    </mdx>
    <mdx n="33" f="v">
      <t c="4" si="10">
        <n x="704"/>
        <n x="0"/>
        <n x="32"/>
        <n x="1337" s="1"/>
      </t>
    </mdx>
    <mdx n="33" f="v">
      <t c="4">
        <n x="187"/>
        <n x="1"/>
        <n x="32"/>
        <n x="1337" s="1"/>
      </t>
    </mdx>
    <mdx n="33" f="v">
      <t c="4" si="10">
        <n x="763"/>
        <n x="12"/>
        <n x="32"/>
        <n x="1337" s="1"/>
      </t>
    </mdx>
    <mdx n="33" f="v">
      <t c="4">
        <n x="358"/>
        <n x="1"/>
        <n x="32"/>
        <n x="1337" s="1"/>
      </t>
    </mdx>
    <mdx n="33" f="v">
      <t c="4">
        <n x="106"/>
        <n x="12"/>
        <n x="7"/>
        <n x="1337" s="1"/>
      </t>
    </mdx>
    <mdx n="33" f="v">
      <t c="4" si="10">
        <n x="582"/>
        <n x="0"/>
        <n x="32"/>
        <n x="1337" s="1"/>
      </t>
    </mdx>
    <mdx n="33" f="v">
      <t c="4">
        <n x="695"/>
        <n x="11"/>
        <n x="7"/>
        <n x="1337" s="1"/>
      </t>
    </mdx>
    <mdx n="33" f="v">
      <t c="4">
        <n x="729"/>
        <n x="12"/>
        <n x="7"/>
        <n x="1337" s="1"/>
      </t>
    </mdx>
    <mdx n="33" f="v">
      <t c="4">
        <n x="828"/>
        <n x="11"/>
        <n x="32"/>
        <n x="1337" s="1"/>
      </t>
    </mdx>
    <mdx n="33" f="v">
      <t c="4">
        <n x="727"/>
        <n x="12"/>
        <n x="32"/>
        <n x="1337" s="1"/>
      </t>
    </mdx>
    <mdx n="33" f="v">
      <t c="4">
        <n x="827"/>
        <n x="12"/>
        <n x="7"/>
        <n x="1337" s="1"/>
      </t>
    </mdx>
    <mdx n="33" f="v">
      <t c="4">
        <n x="275"/>
        <n x="1"/>
        <n x="32"/>
        <n x="1337" s="1"/>
      </t>
    </mdx>
    <mdx n="33" f="v">
      <t c="3" fi="0">
        <n x="525"/>
        <n x="1336"/>
        <n x="1337" s="1"/>
      </t>
    </mdx>
    <mdx n="33" f="v">
      <t c="4">
        <n x="827"/>
        <n x="11"/>
        <n x="32"/>
        <n x="1337" s="1"/>
      </t>
    </mdx>
    <mdx n="33" f="v">
      <t c="4">
        <n x="749"/>
        <n x="1"/>
        <n x="7"/>
        <n x="1337" s="1"/>
      </t>
    </mdx>
    <mdx n="33" f="v">
      <t c="4" si="10">
        <n x="849"/>
        <n x="0"/>
        <n x="32"/>
        <n x="1337" s="1"/>
      </t>
    </mdx>
    <mdx n="33" f="v">
      <t c="4" si="10">
        <n x="878"/>
        <n x="11"/>
        <n x="32"/>
        <n x="1337" s="1"/>
      </t>
    </mdx>
    <mdx n="33" f="v">
      <t c="3">
        <n x="999"/>
        <n x="1336"/>
        <n x="1337" s="1"/>
      </t>
    </mdx>
    <mdx n="33" f="v">
      <t c="4">
        <n x="1324"/>
        <n x="12"/>
        <n x="7"/>
        <n x="1337" s="1"/>
      </t>
    </mdx>
    <mdx n="33" f="v">
      <t c="4">
        <n x="300"/>
        <n x="0"/>
        <n x="32"/>
        <n x="1337" s="1"/>
      </t>
    </mdx>
    <mdx n="33" f="v">
      <t c="4">
        <n x="538"/>
        <n x="12"/>
        <n x="7"/>
        <n x="1337" s="1"/>
      </t>
    </mdx>
    <mdx n="33" f="v">
      <t c="4">
        <n x="827"/>
        <n x="11"/>
        <n x="7"/>
        <n x="1337" s="1"/>
      </t>
    </mdx>
    <mdx n="33" f="v">
      <t c="4" si="10">
        <n x="750"/>
        <n x="0"/>
        <n x="32"/>
        <n x="1337" s="1"/>
      </t>
    </mdx>
    <mdx n="33" f="v">
      <t c="4">
        <n x="826"/>
        <n x="12"/>
        <n x="7"/>
        <n x="1337" s="1"/>
      </t>
    </mdx>
    <mdx n="33" f="v">
      <t c="4">
        <n x="543"/>
        <n x="0"/>
        <n x="7"/>
        <n x="1337" s="1"/>
      </t>
    </mdx>
    <mdx n="33" f="v">
      <t c="4" si="9">
        <n x="785"/>
        <n x="14"/>
        <n x="7"/>
        <n x="1337" s="1"/>
      </t>
    </mdx>
    <mdx n="33" f="v">
      <t c="4" si="10">
        <n x="855"/>
        <n x="14"/>
        <n x="32"/>
        <n x="1337" s="1"/>
      </t>
    </mdx>
    <mdx n="33" f="v">
      <t c="4" si="10">
        <n x="887"/>
        <n x="14"/>
        <n x="32"/>
        <n x="1337" s="1"/>
      </t>
    </mdx>
    <mdx n="33" f="v">
      <t c="4">
        <n x="918"/>
        <n x="12"/>
        <n x="7"/>
        <n x="1337" s="1"/>
      </t>
    </mdx>
    <mdx n="33" f="v">
      <t c="4">
        <n x="951"/>
        <n x="11"/>
        <n x="7"/>
        <n x="1337" s="1"/>
      </t>
    </mdx>
    <mdx n="33" f="v">
      <t c="3">
        <n x="1019"/>
        <n x="1336"/>
        <n x="1337" s="1"/>
      </t>
    </mdx>
    <mdx n="33" f="v">
      <t c="4">
        <n x="1086"/>
        <n x="1"/>
        <n x="32"/>
        <n x="1337" s="1"/>
      </t>
    </mdx>
    <mdx n="33" f="v">
      <t c="4">
        <n x="1198"/>
        <n x="12"/>
        <n x="7"/>
        <n x="1337" s="1"/>
      </t>
    </mdx>
    <mdx n="33" f="v">
      <t c="4">
        <n x="1055"/>
        <n x="14"/>
        <n x="7"/>
        <n x="1337" s="1"/>
      </t>
    </mdx>
    <mdx n="33" f="v">
      <t c="4">
        <n x="380"/>
        <n x="14"/>
        <n x="7"/>
        <n x="1337" s="1"/>
      </t>
    </mdx>
    <mdx n="33" f="v">
      <t c="4">
        <n x="1326"/>
        <n x="11"/>
        <n x="7"/>
        <n x="1337" s="1"/>
      </t>
    </mdx>
    <mdx n="33" f="v">
      <t c="4">
        <n x="259"/>
        <n x="0"/>
        <n x="32"/>
        <n x="1337" s="1"/>
      </t>
    </mdx>
    <mdx n="33" f="v">
      <t c="4" si="10">
        <n x="554"/>
        <n x="1"/>
        <n x="32"/>
        <n x="1337" s="1"/>
      </t>
    </mdx>
    <mdx n="33" f="v">
      <t c="4" si="10">
        <n x="506"/>
        <n x="0"/>
        <n x="32"/>
        <n x="1337" s="1"/>
      </t>
    </mdx>
    <mdx n="33" f="v">
      <t c="4" si="10">
        <n x="661"/>
        <n x="1"/>
        <n x="32"/>
        <n x="1337" s="1"/>
      </t>
    </mdx>
    <mdx n="33" f="v">
      <t c="4">
        <n x="693"/>
        <n x="11"/>
        <n x="7"/>
        <n x="1337" s="1"/>
      </t>
    </mdx>
    <mdx n="33" f="v">
      <t c="4">
        <n x="793"/>
        <n x="14"/>
        <n x="7"/>
        <n x="1337" s="1"/>
      </t>
    </mdx>
    <mdx n="33" f="v">
      <t c="4" si="10">
        <n x="692"/>
        <n x="0"/>
        <n x="32"/>
        <n x="1337" s="1"/>
      </t>
    </mdx>
    <mdx n="33" f="v">
      <t c="4" si="10">
        <n x="792"/>
        <n x="14"/>
        <n x="32"/>
        <n x="1337" s="1"/>
      </t>
    </mdx>
    <mdx n="33" f="v">
      <t c="3">
        <n x="434"/>
        <n x="1336"/>
        <n x="1337" s="1"/>
      </t>
    </mdx>
    <mdx n="33" f="v">
      <t c="4">
        <n x="666"/>
        <n x="11"/>
        <n x="32"/>
        <n x="1337" s="1"/>
      </t>
    </mdx>
    <mdx n="33" f="v">
      <t c="4" si="10">
        <n x="710"/>
        <n x="0"/>
        <n x="32"/>
        <n x="1337" s="1"/>
      </t>
    </mdx>
    <mdx n="33" f="v">
      <t c="4">
        <n x="735"/>
        <n x="11"/>
        <n x="7"/>
        <n x="1337" s="1"/>
      </t>
    </mdx>
    <mdx n="33" f="v">
      <t c="4">
        <n x="759"/>
        <n x="12"/>
        <n x="7"/>
        <n x="1337" s="1"/>
      </t>
    </mdx>
    <mdx n="33" f="v">
      <t c="4">
        <n x="787"/>
        <n x="11"/>
        <n x="7"/>
        <n x="1337" s="1"/>
      </t>
    </mdx>
    <mdx n="33" f="v">
      <t c="4">
        <n x="811"/>
        <n x="14"/>
        <n x="7"/>
        <n x="1337" s="1"/>
      </t>
    </mdx>
    <mdx n="33" f="v">
      <t c="3">
        <n x="835"/>
        <n x="1336"/>
        <n x="1337" s="1"/>
      </t>
    </mdx>
    <mdx n="33" f="v">
      <t c="4">
        <n x="556"/>
        <n x="1"/>
        <n x="32"/>
        <n x="1337" s="1"/>
      </t>
    </mdx>
    <mdx n="33" f="v">
      <t c="4">
        <n x="753"/>
        <n x="0"/>
        <n x="7"/>
        <n x="1337" s="1"/>
      </t>
    </mdx>
    <mdx n="33" f="v">
      <t c="4" si="10">
        <n x="837"/>
        <n x="14"/>
        <n x="32"/>
        <n x="1337" s="1"/>
      </t>
    </mdx>
    <mdx n="33" f="v">
      <t c="4">
        <n x="864"/>
        <n x="1"/>
        <n x="7"/>
        <n x="1337" s="1"/>
      </t>
    </mdx>
    <mdx n="33" f="v">
      <t c="4">
        <n x="887"/>
        <n x="14"/>
        <n x="7"/>
        <n x="1337" s="1"/>
      </t>
    </mdx>
    <mdx n="33" f="v">
      <t c="3">
        <n x="911"/>
        <n x="1336"/>
        <n x="1337" s="1"/>
      </t>
    </mdx>
    <mdx n="33" f="v">
      <t c="4">
        <n x="934"/>
        <n x="11"/>
        <n x="32"/>
        <n x="1337" s="1"/>
      </t>
    </mdx>
    <mdx n="33" f="v">
      <t c="4" si="10">
        <n x="969"/>
        <n x="0"/>
        <n x="32"/>
        <n x="1337" s="1"/>
      </t>
    </mdx>
    <mdx n="33" f="v">
      <t c="4">
        <n x="1020"/>
        <n x="12"/>
        <n x="7"/>
        <n x="1337" s="1"/>
      </t>
    </mdx>
    <mdx n="33" f="v">
      <t c="3">
        <n x="1071"/>
        <n x="1336"/>
        <n x="1337" s="1"/>
      </t>
    </mdx>
    <mdx n="33" f="v">
      <t c="4" si="10">
        <n x="1122"/>
        <n x="1"/>
        <n x="32"/>
        <n x="1337" s="1"/>
      </t>
    </mdx>
    <mdx n="33" f="v">
      <t c="4">
        <n x="1248"/>
        <n x="12"/>
        <n x="7"/>
        <n x="1337" s="1"/>
      </t>
    </mdx>
    <mdx n="33" f="v">
      <t c="4">
        <n x="1051"/>
        <n x="14"/>
        <n x="7"/>
        <n x="1337" s="1"/>
      </t>
    </mdx>
    <mdx n="33" f="v">
      <t c="4" si="9">
        <n x="479"/>
        <n x="14"/>
        <n x="7"/>
        <n x="1337" s="1"/>
      </t>
    </mdx>
    <mdx n="33" f="v">
      <t c="4">
        <n x="213"/>
        <n x="14"/>
        <n x="7"/>
        <n x="1337" s="1"/>
      </t>
    </mdx>
    <mdx n="33" f="v">
      <t c="4">
        <n x="534"/>
        <n x="12"/>
        <n x="7"/>
        <n x="1337" s="1"/>
      </t>
    </mdx>
    <mdx n="33" f="v">
      <t c="4">
        <n x="750"/>
        <n x="11"/>
        <n x="7"/>
        <n x="1337" s="1"/>
      </t>
    </mdx>
    <mdx n="33" f="v">
      <t c="4" si="10">
        <n x="836"/>
        <n x="12"/>
        <n x="32"/>
        <n x="1337" s="1"/>
      </t>
    </mdx>
    <mdx n="33" f="v">
      <t c="4" si="10">
        <n x="864"/>
        <n x="0"/>
        <n x="32"/>
        <n x="1337" s="1"/>
      </t>
    </mdx>
    <mdx n="33" f="v">
      <t c="4" si="10">
        <n x="887"/>
        <n x="1"/>
        <n x="32"/>
        <n x="1337" s="1"/>
      </t>
    </mdx>
    <mdx n="33" f="v">
      <t c="4">
        <n x="50"/>
        <n x="14"/>
        <n x="32"/>
        <n x="1337" s="1"/>
      </t>
    </mdx>
    <mdx n="33" f="v">
      <t c="4">
        <n x="765"/>
        <n x="11"/>
        <n x="7"/>
        <n x="1337" s="1"/>
      </t>
    </mdx>
    <mdx n="33" f="v">
      <t c="4">
        <n x="637"/>
        <n x="0"/>
        <n x="7"/>
        <n x="1337" s="1"/>
      </t>
    </mdx>
    <mdx n="33" f="v">
      <t c="4">
        <n x="780"/>
        <n x="11"/>
        <n x="32"/>
        <n x="1337" s="1"/>
      </t>
    </mdx>
    <mdx n="33" f="v">
      <t c="4">
        <n x="731"/>
        <n x="14"/>
        <n x="32"/>
        <n x="1337" s="1"/>
      </t>
    </mdx>
    <mdx n="33" f="v">
      <t c="4">
        <n x="905"/>
        <n x="12"/>
        <n x="32"/>
        <n x="1337" s="1"/>
      </t>
    </mdx>
    <mdx n="33" f="v">
      <t c="3">
        <n x="1059"/>
        <n x="1336"/>
        <n x="1337" s="1"/>
      </t>
    </mdx>
    <mdx n="33" f="v">
      <t c="4">
        <n x="539"/>
        <n x="14"/>
        <n x="7"/>
        <n x="1337" s="1"/>
      </t>
    </mdx>
    <mdx n="33" f="v">
      <t c="4">
        <n x="726"/>
        <n x="12"/>
        <n x="7"/>
        <n x="1337" s="1"/>
      </t>
    </mdx>
    <mdx n="33" f="v">
      <t c="4">
        <n x="839"/>
        <n x="12"/>
        <n x="7"/>
        <n x="1337" s="1"/>
      </t>
    </mdx>
    <mdx n="33" f="v">
      <t c="4">
        <n x="873"/>
        <n x="11"/>
        <n x="32"/>
        <n x="1337" s="1"/>
      </t>
    </mdx>
    <mdx n="33" f="v">
      <t c="4" si="10">
        <n x="904"/>
        <n x="0"/>
        <n x="32"/>
        <n x="1337" s="1"/>
      </t>
    </mdx>
    <mdx n="33" f="v">
      <t c="4">
        <n x="927"/>
        <n x="1"/>
        <n x="32"/>
        <n x="1337" s="1"/>
      </t>
    </mdx>
    <mdx n="33" f="v">
      <t c="4" si="10">
        <n x="954"/>
        <n x="14"/>
        <n x="32"/>
        <n x="1337" s="1"/>
      </t>
    </mdx>
    <mdx n="33" f="v">
      <t c="3">
        <n x="1004"/>
        <n x="1336"/>
        <n x="1337" s="1"/>
      </t>
    </mdx>
    <mdx n="33" f="v">
      <t c="4">
        <n x="1055"/>
        <n x="1"/>
        <n x="32"/>
        <n x="1337" s="1"/>
      </t>
    </mdx>
    <mdx n="33" f="v">
      <t c="4">
        <n x="1106"/>
        <n x="0"/>
        <n x="7"/>
        <n x="1337" s="1"/>
      </t>
    </mdx>
    <mdx n="33" f="v">
      <t c="4" si="10">
        <n x="1209"/>
        <n x="0"/>
        <n x="32"/>
        <n x="1337" s="1"/>
      </t>
    </mdx>
    <mdx n="33" f="v">
      <t c="4">
        <n x="1331"/>
        <n x="14"/>
        <n x="7"/>
        <n x="1337" s="1"/>
      </t>
    </mdx>
    <mdx n="33" f="v">
      <t c="4">
        <n x="558"/>
        <n x="14"/>
        <n x="7"/>
        <n x="1337" s="1"/>
      </t>
    </mdx>
    <mdx n="33" f="v">
      <t c="3" fi="0">
        <n x="537"/>
        <n x="1336"/>
        <n x="1337" s="1"/>
      </t>
    </mdx>
    <mdx n="33" f="v">
      <t c="3">
        <n x="751"/>
        <n x="1336"/>
        <n x="1337" s="1"/>
      </t>
    </mdx>
    <mdx n="33" f="v">
      <t c="6" si="10">
        <n x="15"/>
        <n x="1337" s="1"/>
        <n x="36"/>
        <n x="32"/>
        <n x="4"/>
        <n x="3"/>
      </t>
    </mdx>
    <mdx n="33" f="v">
      <t c="4">
        <n x="181"/>
        <n x="0"/>
        <n x="7"/>
        <n x="1337" s="1"/>
      </t>
    </mdx>
    <mdx n="33" f="v">
      <t c="4">
        <n x="330"/>
        <n x="0"/>
        <n x="7"/>
        <n x="1337" s="1"/>
      </t>
    </mdx>
    <mdx n="33" f="v">
      <t c="4">
        <n x="348"/>
        <n x="1"/>
        <n x="32"/>
        <n x="1337" s="1"/>
      </t>
    </mdx>
    <mdx n="33" f="v">
      <t c="3" fi="0">
        <n x="514"/>
        <n x="1336"/>
        <n x="1337" s="1"/>
      </t>
    </mdx>
    <mdx n="33" f="v">
      <t c="4">
        <n x="253"/>
        <n x="0"/>
        <n x="32"/>
        <n x="1337" s="1"/>
      </t>
    </mdx>
    <mdx n="33" f="v">
      <t c="4">
        <n x="692"/>
        <n x="0"/>
        <n x="7"/>
        <n x="1337" s="1"/>
      </t>
    </mdx>
    <mdx n="33" f="v">
      <t c="4">
        <n x="263"/>
        <n x="0"/>
        <n x="32"/>
        <n x="1337" s="1"/>
      </t>
    </mdx>
    <mdx n="33" f="v">
      <t c="4">
        <n x="647"/>
        <n x="11"/>
        <n x="32"/>
        <n x="1337" s="1"/>
      </t>
    </mdx>
    <mdx n="33" f="v">
      <t c="4">
        <n x="711"/>
        <n x="1"/>
        <n x="32"/>
        <n x="1337" s="1"/>
      </t>
    </mdx>
    <mdx n="33" f="v">
      <t c="3">
        <n x="418"/>
        <n x="1336"/>
        <n x="1337" s="1"/>
      </t>
    </mdx>
    <mdx n="33" f="v">
      <t c="4">
        <n x="774"/>
        <n x="12"/>
        <n x="7"/>
        <n x="1337" s="1"/>
      </t>
    </mdx>
    <mdx n="33" f="v">
      <t c="3">
        <n x="421"/>
        <n x="1336"/>
        <n x="1337" s="1"/>
      </t>
    </mdx>
    <mdx n="33" f="v">
      <t c="3">
        <n x="212"/>
        <n x="1336"/>
        <n x="1337" s="1"/>
      </t>
    </mdx>
    <mdx n="33" f="v">
      <t c="4">
        <n x="594"/>
        <n x="0"/>
        <n x="7"/>
        <n x="1337" s="1"/>
      </t>
    </mdx>
    <mdx n="33" f="v">
      <t c="4">
        <n x="237"/>
        <n x="12"/>
        <n x="7"/>
        <n x="1337" s="1"/>
      </t>
    </mdx>
    <mdx n="33" f="v">
      <t c="4">
        <n x="734"/>
        <n x="14"/>
        <n x="7"/>
        <n x="1337" s="1"/>
      </t>
    </mdx>
    <mdx n="33" f="v">
      <t c="3">
        <n x="200"/>
        <n x="1336"/>
        <n x="1337" s="1"/>
      </t>
    </mdx>
    <mdx n="33" f="v">
      <t c="4">
        <n x="733"/>
        <n x="14"/>
        <n x="32"/>
        <n x="1337" s="1"/>
      </t>
    </mdx>
    <mdx n="33" f="v">
      <t c="3">
        <n x="216"/>
        <n x="1336"/>
        <n x="1337" s="1"/>
      </t>
    </mdx>
    <mdx n="33" f="v">
      <t c="4">
        <n x="155"/>
        <n x="0"/>
        <n x="32"/>
        <n x="1337" s="1"/>
      </t>
    </mdx>
    <mdx n="33" f="v">
      <t c="4" si="9">
        <n x="669"/>
        <n x="0"/>
        <n x="7"/>
        <n x="1337" s="1"/>
      </t>
    </mdx>
    <mdx n="33" f="v">
      <t c="4">
        <n x="265"/>
        <n x="12"/>
        <n x="7"/>
        <n x="1337" s="1"/>
      </t>
    </mdx>
    <mdx n="33" f="v">
      <t c="4">
        <n x="755"/>
        <n x="11"/>
        <n x="32"/>
        <n x="1337" s="1"/>
      </t>
    </mdx>
    <mdx n="33" f="v">
      <t c="4">
        <n x="362"/>
        <n x="0"/>
        <n x="32"/>
        <n x="1337" s="1"/>
      </t>
    </mdx>
    <mdx n="33" f="v">
      <t c="4">
        <n x="884"/>
        <n x="1"/>
        <n x="32"/>
        <n x="1337" s="1"/>
      </t>
    </mdx>
    <mdx n="33" f="v">
      <t c="4">
        <n x="1012"/>
        <n x="12"/>
        <n x="7"/>
        <n x="1337" s="1"/>
      </t>
    </mdx>
    <mdx n="33" f="v">
      <t c="4">
        <n x="1091"/>
        <n x="14"/>
        <n x="7"/>
        <n x="1337" s="1"/>
      </t>
    </mdx>
    <mdx n="33" f="v">
      <t c="4">
        <n x="168"/>
        <n x="12"/>
        <n x="7"/>
        <n x="1337" s="1"/>
      </t>
    </mdx>
    <mdx n="33" f="v">
      <t c="4" si="10">
        <n x="672"/>
        <n x="1"/>
        <n x="32"/>
        <n x="1337" s="1"/>
      </t>
    </mdx>
    <mdx n="33" f="v">
      <t c="4">
        <n x="273"/>
        <n x="12"/>
        <n x="7"/>
        <n x="1337" s="1"/>
      </t>
    </mdx>
    <mdx n="33" f="v">
      <t c="4">
        <n x="755"/>
        <n x="11"/>
        <n x="7"/>
        <n x="1337" s="1"/>
      </t>
    </mdx>
    <mdx n="33" f="v">
      <t c="4">
        <n x="829"/>
        <n x="0"/>
        <n x="32"/>
        <n x="1337" s="1"/>
      </t>
    </mdx>
    <mdx n="33" f="v">
      <t c="4" si="10">
        <n x="595"/>
        <n x="0"/>
        <n x="32"/>
        <n x="1337" s="1"/>
      </t>
    </mdx>
    <mdx n="33" f="v">
      <t c="4">
        <n x="793"/>
        <n x="12"/>
        <n x="7"/>
        <n x="1337" s="1"/>
      </t>
    </mdx>
    <mdx n="33" f="v">
      <t c="4">
        <n x="858"/>
        <n x="11"/>
        <n x="32"/>
        <n x="1337" s="1"/>
      </t>
    </mdx>
    <mdx n="33" f="v">
      <t c="4" si="10">
        <n x="889"/>
        <n x="0"/>
        <n x="32"/>
        <n x="1337" s="1"/>
      </t>
    </mdx>
    <mdx n="33" f="v">
      <t c="4">
        <n x="919"/>
        <n x="14"/>
        <n x="32"/>
        <n x="1337" s="1"/>
      </t>
    </mdx>
    <mdx n="33" f="v">
      <t c="4">
        <n x="955"/>
        <n x="14"/>
        <n x="7"/>
        <n x="1337" s="1"/>
      </t>
    </mdx>
    <mdx n="33" f="v">
      <t c="4" si="10">
        <n x="1022"/>
        <n x="1"/>
        <n x="32"/>
        <n x="1337" s="1"/>
      </t>
    </mdx>
    <mdx n="33" f="v">
      <t c="4">
        <n x="1089"/>
        <n x="0"/>
        <n x="7"/>
        <n x="1337" s="1"/>
      </t>
    </mdx>
    <mdx n="33" f="v">
      <t c="4">
        <n x="1214"/>
        <n x="12"/>
        <n x="7"/>
        <n x="1337" s="1"/>
      </t>
    </mdx>
    <mdx n="33" f="v">
      <t c="4" si="9">
        <n x="1039"/>
        <n x="14"/>
        <n x="7"/>
        <n x="1337" s="1"/>
      </t>
    </mdx>
    <mdx n="33" f="v">
      <t c="4">
        <n x="364"/>
        <n x="14"/>
        <n x="7"/>
        <n x="1337" s="1"/>
      </t>
    </mdx>
    <mdx n="33" f="v">
      <t c="4">
        <n x="1099"/>
        <n x="11"/>
        <n x="7"/>
        <n x="1337" s="1"/>
      </t>
    </mdx>
    <mdx n="33" f="v">
      <t c="4">
        <n x="310"/>
        <n x="1"/>
        <n x="32"/>
        <n x="1337" s="1"/>
      </t>
    </mdx>
    <mdx n="33" f="v">
      <t c="4">
        <n x="605"/>
        <n x="0"/>
        <n x="7"/>
        <n x="1337" s="1"/>
      </t>
    </mdx>
    <mdx n="33" f="v">
      <t c="4" si="9">
        <n x="518"/>
        <n x="0"/>
        <n x="7"/>
        <n x="1337" s="1"/>
      </t>
    </mdx>
    <mdx n="33" f="v">
      <t c="4" si="9">
        <n x="667"/>
        <n x="12"/>
        <n x="7"/>
        <n x="1337" s="1"/>
      </t>
    </mdx>
    <mdx n="33" f="v">
      <t c="4">
        <n x="700"/>
        <n x="0"/>
        <n x="7"/>
        <n x="1337" s="1"/>
      </t>
    </mdx>
    <mdx n="33" f="v">
      <t c="4">
        <n x="799"/>
        <n x="12"/>
        <n x="32"/>
        <n x="1337" s="1"/>
      </t>
    </mdx>
    <mdx n="33" f="v">
      <t c="4">
        <n x="699"/>
        <n x="0"/>
        <n x="32"/>
        <n x="1337" s="1"/>
      </t>
    </mdx>
    <mdx n="33" f="v">
      <t c="4">
        <n x="798"/>
        <n x="0"/>
        <n x="7"/>
        <n x="1337" s="1"/>
      </t>
    </mdx>
    <mdx n="33" f="v">
      <t c="4" si="9">
        <n x="466"/>
        <n x="0"/>
        <n x="7"/>
        <n x="1337" s="1"/>
      </t>
    </mdx>
    <mdx n="33" f="v">
      <t c="3">
        <n x="671"/>
        <n x="1336"/>
        <n x="1337" s="1"/>
      </t>
    </mdx>
    <mdx n="33" f="v">
      <t c="4">
        <n x="711"/>
        <n x="11"/>
        <n x="7"/>
        <n x="1337" s="1"/>
      </t>
    </mdx>
    <mdx n="33" f="v">
      <t c="4">
        <n x="737"/>
        <n x="1"/>
        <n x="32"/>
        <n x="1337" s="1"/>
      </t>
    </mdx>
    <mdx n="33" f="v">
      <t c="4" si="10">
        <n x="760"/>
        <n x="14"/>
        <n x="32"/>
        <n x="1337" s="1"/>
      </t>
    </mdx>
    <mdx n="33" f="v">
      <t c="4">
        <n x="789"/>
        <n x="11"/>
        <n x="7"/>
        <n x="1337" s="1"/>
      </t>
    </mdx>
    <mdx n="33" f="v">
      <t c="4">
        <n x="813"/>
        <n x="0"/>
        <n x="7"/>
        <n x="1337" s="1"/>
      </t>
    </mdx>
    <mdx n="33" f="v">
      <t c="4">
        <n x="836"/>
        <n x="1"/>
        <n x="7"/>
        <n x="1337" s="1"/>
      </t>
    </mdx>
    <mdx n="33" f="v">
      <t c="4">
        <n x="607"/>
        <n x="0"/>
        <n x="7"/>
        <n x="1337" s="1"/>
      </t>
    </mdx>
    <mdx n="33" f="v">
      <t c="3">
        <n x="759"/>
        <n x="1336"/>
        <n x="1337" s="1"/>
      </t>
    </mdx>
    <mdx n="33" f="v">
      <t c="4">
        <n x="839"/>
        <n x="11"/>
        <n x="32"/>
        <n x="1337" s="1"/>
      </t>
    </mdx>
    <mdx n="33" f="v">
      <t c="4">
        <n x="866"/>
        <n x="12"/>
        <n x="7"/>
        <n x="1337" s="1"/>
      </t>
    </mdx>
    <mdx n="33" f="v">
      <t c="4">
        <n x="889"/>
        <n x="0"/>
        <n x="7"/>
        <n x="1337" s="1"/>
      </t>
    </mdx>
    <mdx n="33" f="v">
      <t c="4">
        <n x="912"/>
        <n x="1"/>
        <n x="7"/>
        <n x="1337" s="1"/>
      </t>
    </mdx>
    <mdx n="33" f="v">
      <t c="4">
        <n x="935"/>
        <n x="14"/>
        <n x="7"/>
        <n x="1337" s="1"/>
      </t>
    </mdx>
    <mdx n="33" f="v">
      <t c="4">
        <n x="972"/>
        <n x="12"/>
        <n x="7"/>
        <n x="1337" s="1"/>
      </t>
    </mdx>
    <mdx n="33" f="v">
      <t c="3">
        <n x="1023"/>
        <n x="1336"/>
        <n x="1337" s="1"/>
      </t>
    </mdx>
    <mdx n="33" f="v">
      <t c="4" si="10">
        <n x="1074"/>
        <n x="1"/>
        <n x="32"/>
        <n x="1337" s="1"/>
      </t>
    </mdx>
    <mdx n="33" f="v">
      <t c="4">
        <n x="1128"/>
        <n x="12"/>
        <n x="7"/>
        <n x="1337" s="1"/>
      </t>
    </mdx>
    <mdx n="33" f="v">
      <t c="4">
        <n x="1256"/>
        <n x="12"/>
        <n x="7"/>
        <n x="1337" s="1"/>
      </t>
    </mdx>
    <mdx n="33" f="v">
      <t c="4">
        <n x="1035"/>
        <n x="14"/>
        <n x="7"/>
        <n x="1337" s="1"/>
      </t>
    </mdx>
    <mdx n="33" f="v">
      <t c="4">
        <n x="437"/>
        <n x="14"/>
        <n x="7"/>
        <n x="1337" s="1"/>
      </t>
    </mdx>
    <mdx n="33" f="v">
      <t c="4">
        <n x="197"/>
        <n x="14"/>
        <n x="7"/>
        <n x="1337" s="1"/>
      </t>
    </mdx>
    <mdx n="33" f="v">
      <t c="3" fi="0">
        <n x="585"/>
        <n x="1336"/>
        <n x="1337" s="1"/>
      </t>
    </mdx>
    <mdx n="33" f="v">
      <t c="4">
        <n x="756"/>
        <n x="1"/>
        <n x="7"/>
        <n x="1337" s="1"/>
      </t>
    </mdx>
    <mdx n="33" f="v">
      <t c="4">
        <n x="838"/>
        <n x="1"/>
        <n x="7"/>
        <n x="1337" s="1"/>
      </t>
    </mdx>
    <mdx n="33" f="v">
      <t c="4">
        <n x="865"/>
        <n x="11"/>
        <n x="32"/>
        <n x="1337" s="1"/>
      </t>
    </mdx>
    <mdx n="33" f="v">
      <t c="4" si="10">
        <n x="888"/>
        <n x="12"/>
        <n x="32"/>
        <n x="1337" s="1"/>
      </t>
    </mdx>
    <mdx n="33" f="v">
      <t c="3" fi="0">
        <n x="567"/>
        <n x="1336"/>
        <n x="1337" s="1"/>
      </t>
    </mdx>
    <mdx n="33" f="v">
      <t c="4">
        <n x="795"/>
        <n x="0"/>
        <n x="7"/>
        <n x="1337" s="1"/>
      </t>
    </mdx>
    <mdx n="33" f="v">
      <t c="4" si="9">
        <n x="667"/>
        <n x="14"/>
        <n x="7"/>
        <n x="1337" s="1"/>
      </t>
    </mdx>
    <mdx n="33" f="v">
      <t c="4" si="10">
        <n x="788"/>
        <n x="11"/>
        <n x="32"/>
        <n x="1337" s="1"/>
      </t>
    </mdx>
    <mdx n="33" f="v">
      <t c="4">
        <n x="754"/>
        <n x="11"/>
        <n x="7"/>
        <n x="1337" s="1"/>
      </t>
    </mdx>
    <mdx n="33" f="v">
      <t c="4" si="10">
        <n x="911"/>
        <n x="14"/>
        <n x="32"/>
        <n x="1337" s="1"/>
      </t>
    </mdx>
    <mdx n="33" f="v">
      <t c="4">
        <n x="1072"/>
        <n x="12"/>
        <n x="7"/>
        <n x="1337" s="1"/>
      </t>
    </mdx>
    <mdx n="33" f="v">
      <t c="4" si="9">
        <n x="475"/>
        <n x="14"/>
        <n x="7"/>
        <n x="1337" s="1"/>
      </t>
    </mdx>
    <mdx n="33" f="v">
      <t c="4">
        <n x="734"/>
        <n x="11"/>
        <n x="7"/>
        <n x="1337" s="1"/>
      </t>
    </mdx>
    <mdx n="33" f="v">
      <t c="4" si="10">
        <n x="841"/>
        <n x="14"/>
        <n x="32"/>
        <n x="1337" s="1"/>
      </t>
    </mdx>
    <mdx n="33" f="v">
      <t c="4" si="10">
        <n x="875"/>
        <n x="1"/>
        <n x="32"/>
        <n x="1337" s="1"/>
      </t>
    </mdx>
    <mdx n="33" f="v">
      <t c="4" si="9">
        <n x="1036"/>
        <n x="12"/>
        <n x="7"/>
        <n x="1337" s="1"/>
      </t>
    </mdx>
    <mdx n="33" f="v">
      <t c="4">
        <n x="1100"/>
        <n x="12"/>
        <n x="7"/>
        <n x="1337" s="1"/>
      </t>
    </mdx>
    <mdx n="33" f="v">
      <t c="4">
        <n x="1224"/>
        <n x="12"/>
        <n x="7"/>
        <n x="1337" s="1"/>
      </t>
    </mdx>
    <mdx n="33" f="v">
      <t c="4">
        <n x="971"/>
        <n x="14"/>
        <n x="7"/>
        <n x="1337" s="1"/>
      </t>
    </mdx>
    <mdx n="33" f="v">
      <t c="4">
        <n x="312"/>
        <n x="14"/>
        <n x="7"/>
        <n x="1337" s="1"/>
      </t>
    </mdx>
    <mdx n="33" f="v">
      <t c="4">
        <n x="194"/>
        <n x="0"/>
        <n x="32"/>
        <n x="1337" s="1"/>
      </t>
    </mdx>
    <mdx n="33" f="v">
      <t c="4" si="10">
        <n x="784"/>
        <n x="14"/>
        <n x="32"/>
        <n x="1337" s="1"/>
      </t>
    </mdx>
    <mdx n="33" f="v">
      <t c="4">
        <n x="853"/>
        <n x="11"/>
        <n x="7"/>
        <n x="1337" s="1"/>
      </t>
    </mdx>
    <mdx n="33" f="v">
      <t c="4" si="9">
        <n x="882"/>
        <n x="14"/>
        <n x="7"/>
        <n x="1337" s="1"/>
      </t>
    </mdx>
    <mdx n="33" f="v">
      <t c="4" si="9">
        <n x="509"/>
        <n x="12"/>
        <n x="7"/>
        <n x="1337" s="1"/>
      </t>
    </mdx>
    <mdx n="33" f="v">
      <t c="4" si="10">
        <n x="794"/>
        <n x="0"/>
        <n x="32"/>
        <n x="1337" s="1"/>
      </t>
    </mdx>
    <mdx n="33" f="v">
      <t c="4" si="10">
        <n x="759"/>
        <n x="11"/>
        <n x="32"/>
        <n x="1337" s="1"/>
      </t>
    </mdx>
    <mdx n="33" f="v">
      <t c="4">
        <n x="838"/>
        <n x="0"/>
        <n x="32"/>
        <n x="1337" s="1"/>
      </t>
    </mdx>
    <mdx n="33" f="v">
      <t c="4" si="9">
        <n x="969"/>
        <n x="0"/>
        <n x="7"/>
        <n x="1337" s="1"/>
      </t>
    </mdx>
    <mdx n="33" f="v">
      <t c="4">
        <n x="1047"/>
        <n x="14"/>
        <n x="7"/>
        <n x="1337" s="1"/>
      </t>
    </mdx>
    <mdx n="33" f="v">
      <t c="4" si="9">
        <n x="765"/>
        <n x="0"/>
        <n x="7"/>
        <n x="1337" s="1"/>
      </t>
    </mdx>
    <mdx n="33" f="v">
      <t c="4">
        <n x="860"/>
        <n x="0"/>
        <n x="32"/>
        <n x="1337" s="1"/>
      </t>
    </mdx>
    <mdx n="33" f="v">
      <t c="4" si="10">
        <n x="898"/>
        <n x="14"/>
        <n x="32"/>
        <n x="1337" s="1"/>
      </t>
    </mdx>
    <mdx n="33" f="v">
      <t c="4">
        <n x="922"/>
        <n x="14"/>
        <n x="7"/>
        <n x="1337" s="1"/>
      </t>
    </mdx>
    <mdx n="33" f="v">
      <t c="4" si="10">
        <n x="948"/>
        <n x="14"/>
        <n x="32"/>
        <n x="1337" s="1"/>
      </t>
    </mdx>
    <mdx n="33" f="v">
      <t c="4">
        <n x="994"/>
        <n x="0"/>
        <n x="7"/>
        <n x="1337" s="1"/>
      </t>
    </mdx>
    <mdx n="33" f="v">
      <t c="4" si="10">
        <n x="1046"/>
        <n x="0"/>
        <n x="32"/>
        <n x="1337" s="1"/>
      </t>
    </mdx>
    <mdx n="33" f="v">
      <t c="4">
        <n x="1097"/>
        <n x="12"/>
        <n x="7"/>
        <n x="1337" s="1"/>
      </t>
    </mdx>
    <mdx n="33" f="v">
      <t c="4" si="10">
        <n x="1185"/>
        <n x="0"/>
        <n x="32"/>
        <n x="1337" s="1"/>
      </t>
    </mdx>
    <mdx n="33" f="v">
      <t c="4">
        <n x="1313"/>
        <n x="0"/>
        <n x="32"/>
        <n x="1337" s="1"/>
      </t>
    </mdx>
    <mdx n="33" f="v">
      <t c="4">
        <n x="606"/>
        <n x="14"/>
        <n x="7"/>
        <n x="1337" s="1"/>
      </t>
    </mdx>
    <mdx n="33" f="v">
      <t c="4">
        <n x="206"/>
        <n x="0"/>
        <n x="7"/>
        <n x="1337" s="1"/>
      </t>
    </mdx>
    <mdx n="33" f="v">
      <t c="4">
        <n x="733"/>
        <n x="12"/>
        <n x="32"/>
        <n x="1337" s="1"/>
      </t>
    </mdx>
    <mdx n="33" f="v">
      <t c="4" si="10">
        <n x="831"/>
        <n x="0"/>
        <n x="32"/>
        <n x="1337" s="1"/>
      </t>
    </mdx>
    <mdx n="33" f="v">
      <t c="4">
        <n x="859"/>
        <n x="12"/>
        <n x="32"/>
        <n x="1337" s="1"/>
      </t>
    </mdx>
    <mdx n="33" f="v">
      <t c="4" si="10">
        <n x="883"/>
        <n x="0"/>
        <n x="32"/>
        <n x="1337" s="1"/>
      </t>
    </mdx>
    <mdx n="33" f="v">
      <t c="4">
        <n x="906"/>
        <n x="1"/>
        <n x="32"/>
        <n x="1337" s="1"/>
      </t>
    </mdx>
    <mdx n="33" f="v">
      <t c="4">
        <n x="929"/>
        <n x="14"/>
        <n x="32"/>
        <n x="1337" s="1"/>
      </t>
    </mdx>
    <mdx n="33" f="v">
      <t c="4">
        <n x="958"/>
        <n x="12"/>
        <n x="7"/>
        <n x="1337" s="1"/>
      </t>
    </mdx>
    <mdx n="33" f="v">
      <t c="3">
        <n x="1009"/>
        <n x="1336"/>
        <n x="1337" s="1"/>
      </t>
    </mdx>
    <mdx n="33" f="v">
      <t c="4" si="10">
        <n x="1060"/>
        <n x="1"/>
        <n x="32"/>
        <n x="1337" s="1"/>
      </t>
    </mdx>
    <mdx n="33" f="v">
      <t c="4">
        <n x="1111"/>
        <n x="0"/>
        <n x="7"/>
        <n x="1337" s="1"/>
      </t>
    </mdx>
    <mdx n="33" f="v">
      <t c="4">
        <n x="1221"/>
        <n x="12"/>
        <n x="7"/>
        <n x="1337" s="1"/>
      </t>
    </mdx>
    <mdx n="33" f="v">
      <t c="4">
        <n x="1105"/>
        <n x="14"/>
        <n x="7"/>
        <n x="1337" s="1"/>
      </t>
    </mdx>
    <mdx n="33" f="v">
      <t c="4" si="9">
        <n x="533"/>
        <n x="14"/>
        <n x="7"/>
        <n x="1337" s="1"/>
      </t>
    </mdx>
    <mdx n="33" f="v">
      <t c="4">
        <n x="285"/>
        <n x="14"/>
        <n x="7"/>
        <n x="1337" s="1"/>
      </t>
    </mdx>
    <mdx n="33" f="v">
      <t c="4">
        <n x="1085"/>
        <n x="11"/>
        <n x="7"/>
        <n x="1337" s="1"/>
      </t>
    </mdx>
    <mdx n="33" f="v">
      <t c="4" si="10">
        <n x="540"/>
        <n x="1"/>
        <n x="32"/>
        <n x="1337" s="1"/>
      </t>
    </mdx>
    <mdx n="33" f="v">
      <t c="4">
        <n x="887"/>
        <n x="11"/>
        <n x="32"/>
        <n x="1337" s="1"/>
      </t>
    </mdx>
    <mdx n="33" f="v">
      <t c="4">
        <n x="1019"/>
        <n x="12"/>
        <n x="7"/>
        <n x="1337" s="1"/>
      </t>
    </mdx>
    <mdx n="33" f="v">
      <t c="4">
        <n x="1056"/>
        <n x="14"/>
        <n x="7"/>
        <n x="1337" s="1"/>
      </t>
    </mdx>
    <mdx n="33" f="v">
      <t c="4">
        <n x="1102"/>
        <n x="11"/>
        <n x="7"/>
        <n x="1337" s="1"/>
      </t>
    </mdx>
    <mdx n="33" f="v">
      <t c="4">
        <n x="434"/>
        <n x="11"/>
        <n x="7"/>
        <n x="1337" s="1"/>
      </t>
    </mdx>
    <mdx n="33" f="v">
      <t c="4">
        <n x="197"/>
        <n x="11"/>
        <n x="7"/>
        <n x="1337" s="1"/>
      </t>
    </mdx>
    <mdx n="33" f="v">
      <t c="4">
        <n x="1008"/>
        <n x="1"/>
        <n x="7"/>
        <n x="1337" s="1"/>
      </t>
    </mdx>
    <mdx n="33" f="v">
      <t c="4">
        <n x="414"/>
        <n x="1"/>
        <n x="7"/>
        <n x="1337" s="1"/>
      </t>
    </mdx>
    <mdx n="33" f="v">
      <t c="4">
        <n x="92"/>
        <n x="1"/>
        <n x="7"/>
        <n x="1337" s="1"/>
      </t>
    </mdx>
    <mdx n="33" f="v">
      <t c="4">
        <n x="534"/>
        <n x="11"/>
        <n x="32"/>
        <n x="1337" s="1"/>
      </t>
    </mdx>
    <mdx n="33" f="v">
      <t c="4">
        <n x="264"/>
        <n x="1"/>
        <n x="32"/>
        <n x="1337" s="1"/>
      </t>
    </mdx>
    <mdx n="33" f="v">
      <t c="4">
        <n x="240"/>
        <n x="11"/>
        <n x="32"/>
        <n x="1337" s="1"/>
      </t>
    </mdx>
    <mdx n="33" f="v">
      <t c="4">
        <n x="685"/>
        <n x="12"/>
        <n x="7"/>
        <n x="1337" s="1"/>
      </t>
    </mdx>
    <mdx n="33" f="v">
      <t c="4">
        <n x="660"/>
        <n x="11"/>
        <n x="7"/>
        <n x="1337" s="1"/>
      </t>
    </mdx>
    <mdx n="33" f="v">
      <t c="4">
        <n x="816"/>
        <n x="11"/>
        <n x="7"/>
        <n x="1337" s="1"/>
      </t>
    </mdx>
    <mdx n="33" f="v">
      <t c="4">
        <n x="670"/>
        <n x="0"/>
        <n x="32"/>
        <n x="1337" s="1"/>
      </t>
    </mdx>
    <mdx n="33" f="v">
      <t c="4">
        <n x="866"/>
        <n x="11"/>
        <n x="7"/>
        <n x="1337" s="1"/>
      </t>
    </mdx>
    <mdx n="33" f="v">
      <t c="4">
        <n x="671"/>
        <n x="11"/>
        <n x="32"/>
        <n x="1337" s="1"/>
      </t>
    </mdx>
    <mdx n="33" f="v">
      <t c="4">
        <n x="227"/>
        <n x="12"/>
        <n x="7"/>
        <n x="1337" s="1"/>
      </t>
    </mdx>
    <mdx n="33" f="v">
      <t c="4">
        <n x="913"/>
        <n x="12"/>
        <n x="32"/>
        <n x="1337" s="1"/>
      </t>
    </mdx>
    <mdx n="33" f="v">
      <t c="4">
        <n x="1182"/>
        <n x="12"/>
        <n x="7"/>
        <n x="1337" s="1"/>
      </t>
    </mdx>
    <mdx n="33" f="v">
      <t c="4">
        <n x="181"/>
        <n x="0"/>
        <n x="32"/>
        <n x="1337" s="1"/>
      </t>
    </mdx>
    <mdx n="33" f="v">
      <t c="3">
        <n x="675"/>
        <n x="1336"/>
        <n x="1337" s="1"/>
      </t>
    </mdx>
    <mdx n="33" f="v">
      <t c="4">
        <n x="307"/>
        <n x="1"/>
        <n x="32"/>
        <n x="1337" s="1"/>
      </t>
    </mdx>
    <mdx n="33" f="v">
      <t c="3">
        <n x="756"/>
        <n x="1336"/>
        <n x="1337" s="1"/>
      </t>
    </mdx>
    <mdx n="33" f="v">
      <t c="4">
        <n x="450"/>
        <n x="0"/>
        <n x="7"/>
        <n x="1337" s="1"/>
      </t>
    </mdx>
    <mdx n="33" f="v">
      <t c="4" si="10">
        <n x="885"/>
        <n x="0"/>
        <n x="32"/>
        <n x="1337" s="1"/>
      </t>
    </mdx>
    <mdx n="33" f="v">
      <t c="4">
        <n x="1013"/>
        <n x="0"/>
        <n x="7"/>
        <n x="1337" s="1"/>
      </t>
    </mdx>
    <mdx n="33" f="v">
      <t c="4">
        <n x="1083"/>
        <n x="14"/>
        <n x="7"/>
        <n x="1337" s="1"/>
      </t>
    </mdx>
    <mdx n="33" f="v">
      <t c="3">
        <n x="739"/>
        <n x="1336"/>
        <n x="1337" s="1"/>
      </t>
    </mdx>
    <mdx n="33" f="v">
      <t c="4" si="10">
        <n x="15"/>
        <n x="1337" s="1"/>
        <n x="8"/>
        <n x="32"/>
      </t>
    </mdx>
    <mdx n="33" f="v">
      <t c="4" si="9">
        <n x="679"/>
        <n x="0"/>
        <n x="7"/>
        <n x="1337" s="1"/>
      </t>
    </mdx>
    <mdx n="33" f="v">
      <t c="4" si="10">
        <n x="711"/>
        <n x="14"/>
        <n x="32"/>
        <n x="1337" s="1"/>
      </t>
    </mdx>
    <mdx n="33" f="v">
      <t c="4">
        <n x="924"/>
        <n x="0"/>
        <n x="7"/>
        <n x="1337" s="1"/>
      </t>
    </mdx>
    <mdx n="33" f="v">
      <t c="3">
        <n x="1100"/>
        <n x="1336"/>
        <n x="1337" s="1"/>
      </t>
    </mdx>
    <mdx n="33" f="v">
      <t c="4">
        <n x="386"/>
        <n x="12"/>
        <n x="7"/>
        <n x="1337" s="1"/>
      </t>
    </mdx>
    <mdx n="33" f="v">
      <t c="4" si="10">
        <n x="848"/>
        <n x="11"/>
        <n x="32"/>
        <n x="1337" s="1"/>
      </t>
    </mdx>
    <mdx n="33" f="v">
      <t c="4">
        <n x="880"/>
        <n x="12"/>
        <n x="7"/>
        <n x="1337" s="1"/>
      </t>
    </mdx>
    <mdx n="33" f="v">
      <t c="4">
        <n x="910"/>
        <n x="1"/>
        <n x="7"/>
        <n x="1337" s="1"/>
      </t>
    </mdx>
    <mdx n="33" f="v">
      <t c="4" si="9">
        <n x="943"/>
        <n x="1"/>
        <n x="7"/>
        <n x="1337" s="1"/>
      </t>
    </mdx>
    <mdx n="33" f="v">
      <t c="4" si="10">
        <n x="1003"/>
        <n x="0"/>
        <n x="32"/>
        <n x="1337" s="1"/>
      </t>
    </mdx>
    <mdx n="33" f="v">
      <t c="4">
        <n x="1070"/>
        <n x="12"/>
        <n x="7"/>
        <n x="1337" s="1"/>
      </t>
    </mdx>
    <mdx n="33" f="v">
      <t c="4">
        <n x="1165"/>
        <n x="12"/>
        <n x="7"/>
        <n x="1337" s="1"/>
      </t>
    </mdx>
    <mdx n="33" f="v">
      <t c="4">
        <n x="1333"/>
        <n x="12"/>
        <n x="7"/>
        <n x="1337" s="1"/>
      </t>
    </mdx>
    <mdx n="33" f="v">
      <t c="4" si="9">
        <n x="485"/>
        <n x="14"/>
        <n x="7"/>
        <n x="1337" s="1"/>
      </t>
    </mdx>
    <mdx n="33" f="v">
      <t c="4">
        <n x="85"/>
        <n x="14"/>
        <n x="7"/>
        <n x="1337" s="1"/>
      </t>
    </mdx>
    <mdx n="33" f="v">
      <t c="4">
        <n x="545"/>
        <n x="11"/>
        <n x="7"/>
        <n x="1337" s="1"/>
      </t>
    </mdx>
    <mdx n="33" f="v">
      <t c="4">
        <n x="904"/>
        <n x="14"/>
        <n x="7"/>
        <n x="1337" s="1"/>
      </t>
    </mdx>
    <mdx n="33" f="v">
      <t c="4" si="10">
        <n x="1150"/>
        <n x="0"/>
        <n x="32"/>
        <n x="1337" s="1"/>
      </t>
    </mdx>
    <mdx n="33" f="v">
      <t c="4">
        <n x="90"/>
        <n x="14"/>
        <n x="7"/>
        <n x="1337" s="1"/>
      </t>
    </mdx>
    <mdx n="33" f="v">
      <t c="4">
        <n x="408"/>
        <n x="11"/>
        <n x="7"/>
        <n x="1337" s="1"/>
      </t>
    </mdx>
    <mdx n="33" f="v">
      <t c="4">
        <n x="1120"/>
        <n x="1"/>
        <n x="7"/>
        <n x="1337" s="1"/>
      </t>
    </mdx>
    <mdx n="33" f="v">
      <t c="4">
        <n x="446"/>
        <n x="1"/>
        <n x="7"/>
        <n x="1337" s="1"/>
      </t>
    </mdx>
    <mdx n="33" f="v">
      <t c="4">
        <n x="1077"/>
        <n x="11"/>
        <n x="32"/>
        <n x="1337" s="1"/>
      </t>
    </mdx>
    <mdx n="33" f="v">
      <t c="4">
        <n x="390"/>
        <n x="11"/>
        <n x="32"/>
        <n x="1337" s="1"/>
      </t>
    </mdx>
    <mdx n="33" f="v">
      <t c="4" si="10">
        <n x="1304"/>
        <n x="12"/>
        <n x="32"/>
        <n x="1337" s="1"/>
      </t>
    </mdx>
    <mdx n="33" f="v">
      <t c="4" si="10">
        <n x="1060"/>
        <n x="12"/>
        <n x="32"/>
        <n x="1337" s="1"/>
      </t>
    </mdx>
    <mdx n="33" f="v">
      <t c="4" si="10">
        <n x="489"/>
        <n x="12"/>
        <n x="32"/>
        <n x="1337" s="1"/>
      </t>
    </mdx>
    <mdx n="33" f="v">
      <t c="4">
        <n x="136"/>
        <n x="12"/>
        <n x="32"/>
        <n x="1337" s="1"/>
      </t>
    </mdx>
    <mdx n="33" f="v">
      <t c="4" si="10">
        <n x="1034"/>
        <n x="14"/>
        <n x="32"/>
        <n x="1337" s="1"/>
      </t>
    </mdx>
    <mdx n="33" f="v">
      <t c="4">
        <n x="847"/>
        <n x="12"/>
        <n x="7"/>
        <n x="1337" s="1"/>
      </t>
    </mdx>
    <mdx n="33" f="v">
      <t c="4">
        <n x="942"/>
        <n x="12"/>
        <n x="7"/>
        <n x="1337" s="1"/>
      </t>
    </mdx>
    <mdx n="33" f="v">
      <t c="4">
        <n x="1160"/>
        <n x="0"/>
        <n x="32"/>
        <n x="1337" s="1"/>
      </t>
    </mdx>
    <mdx n="33" f="v">
      <t c="4">
        <n x="259"/>
        <n x="14"/>
        <n x="7"/>
        <n x="1337" s="1"/>
      </t>
    </mdx>
    <mdx n="33" f="v">
      <t c="4" si="10">
        <n x="522"/>
        <n x="0"/>
        <n x="32"/>
        <n x="1337" s="1"/>
      </t>
    </mdx>
    <mdx n="33" f="v">
      <t c="4">
        <n x="700"/>
        <n x="11"/>
        <n x="32"/>
        <n x="1337" s="1"/>
      </t>
    </mdx>
    <mdx n="33" f="v">
      <t c="4">
        <n x="712"/>
        <n x="14"/>
        <n x="32"/>
        <n x="1337" s="1"/>
      </t>
    </mdx>
    <mdx n="33" f="v">
      <t c="4">
        <n x="813"/>
        <n x="12"/>
        <n x="32"/>
        <n x="1337" s="1"/>
      </t>
    </mdx>
    <mdx n="33" f="v">
      <t c="4" si="10">
        <n x="840"/>
        <n x="0"/>
        <n x="32"/>
        <n x="1337" s="1"/>
      </t>
    </mdx>
    <mdx n="33" f="v">
      <t c="4" si="10">
        <n x="936"/>
        <n x="1"/>
        <n x="32"/>
        <n x="1337" s="1"/>
      </t>
    </mdx>
    <mdx n="33" f="v">
      <t c="4" si="9">
        <n x="1130"/>
        <n x="12"/>
        <n x="7"/>
        <n x="1337" s="1"/>
      </t>
    </mdx>
    <mdx n="33" f="v">
      <t c="4">
        <n x="193"/>
        <n x="14"/>
        <n x="7"/>
        <n x="1337" s="1"/>
      </t>
    </mdx>
    <mdx n="33" f="v">
      <t c="4">
        <n x="766"/>
        <n x="11"/>
        <n x="7"/>
        <n x="1337" s="1"/>
      </t>
    </mdx>
    <mdx n="33" f="v">
      <t c="4">
        <n x="852"/>
        <n x="12"/>
        <n x="32"/>
        <n x="1337" s="1"/>
      </t>
    </mdx>
    <mdx n="33" f="v">
      <t c="4">
        <n x="883"/>
        <n x="1"/>
        <n x="7"/>
        <n x="1337" s="1"/>
      </t>
    </mdx>
    <mdx n="33" f="v">
      <t c="4">
        <n x="911"/>
        <n x="1"/>
        <n x="7"/>
        <n x="1337" s="1"/>
      </t>
    </mdx>
    <mdx n="33" f="v">
      <t c="4">
        <n x="934"/>
        <n x="14"/>
        <n x="7"/>
        <n x="1337" s="1"/>
      </t>
    </mdx>
    <mdx n="33" f="v">
      <t c="4">
        <n x="970"/>
        <n x="0"/>
        <n x="32"/>
        <n x="1337" s="1"/>
      </t>
    </mdx>
    <mdx n="33" f="v">
      <t c="4">
        <n x="1021"/>
        <n x="12"/>
        <n x="7"/>
        <n x="1337" s="1"/>
      </t>
    </mdx>
    <mdx n="33" f="v">
      <t c="3">
        <n x="1072"/>
        <n x="1336"/>
        <n x="1337" s="1"/>
      </t>
    </mdx>
    <mdx n="33" f="v">
      <t c="4" si="10">
        <n x="1123"/>
        <n x="1"/>
        <n x="32"/>
        <n x="1337" s="1"/>
      </t>
    </mdx>
    <mdx n="33" f="v">
      <t c="4" si="10">
        <n x="1251"/>
        <n x="0"/>
        <n x="32"/>
        <n x="1337" s="1"/>
      </t>
    </mdx>
    <mdx n="33" f="v">
      <t c="4">
        <n x="1046"/>
        <n x="14"/>
        <n x="7"/>
        <n x="1337" s="1"/>
      </t>
    </mdx>
    <mdx n="33" f="v">
      <t c="4" si="9">
        <n x="474"/>
        <n x="14"/>
        <n x="7"/>
        <n x="1337" s="1"/>
      </t>
    </mdx>
    <mdx n="33" f="v">
      <t c="4">
        <n x="685"/>
        <n x="14"/>
        <n x="7"/>
        <n x="1337" s="1"/>
      </t>
    </mdx>
    <mdx n="33" f="v">
      <t c="4">
        <n x="786"/>
        <n x="14"/>
        <n x="7"/>
        <n x="1337" s="1"/>
      </t>
    </mdx>
    <mdx n="33" f="v">
      <t c="4" si="10">
        <n x="847"/>
        <n x="0"/>
        <n x="32"/>
        <n x="1337" s="1"/>
      </t>
    </mdx>
    <mdx n="33" f="v">
      <t c="4">
        <n x="871"/>
        <n x="12"/>
        <n x="32"/>
        <n x="1337" s="1"/>
      </t>
    </mdx>
    <mdx n="33" f="v">
      <t c="4" si="10">
        <n x="895"/>
        <n x="0"/>
        <n x="32"/>
        <n x="1337" s="1"/>
      </t>
    </mdx>
    <mdx n="33" f="v">
      <t c="4">
        <n x="918"/>
        <n x="1"/>
        <n x="32"/>
        <n x="1337" s="1"/>
      </t>
    </mdx>
    <mdx n="33" f="v">
      <t c="4">
        <n x="942"/>
        <n x="0"/>
        <n x="32"/>
        <n x="1337" s="1"/>
      </t>
    </mdx>
    <mdx n="33" f="v">
      <t c="4">
        <n x="984"/>
        <n x="1"/>
        <n x="32"/>
        <n x="1337" s="1"/>
      </t>
    </mdx>
    <mdx n="33" f="v">
      <t c="4">
        <n x="1035"/>
        <n x="0"/>
        <n x="7"/>
        <n x="1337" s="1"/>
      </t>
    </mdx>
    <mdx n="33" f="v">
      <t c="4" si="10">
        <n x="1087"/>
        <n x="0"/>
        <n x="32"/>
        <n x="1337" s="1"/>
      </t>
    </mdx>
    <mdx n="33" f="v">
      <t c="4">
        <n x="1159"/>
        <n x="12"/>
        <n x="7"/>
        <n x="1337" s="1"/>
      </t>
    </mdx>
    <mdx n="33" f="v">
      <t c="4">
        <n x="1287"/>
        <n x="12"/>
        <n x="7"/>
        <n x="1337" s="1"/>
      </t>
    </mdx>
    <mdx n="33" f="v">
      <t c="4">
        <n x="973"/>
        <n x="14"/>
        <n x="7"/>
        <n x="1337" s="1"/>
      </t>
    </mdx>
    <mdx n="33" f="v">
      <t c="4">
        <n x="378"/>
        <n x="14"/>
        <n x="7"/>
        <n x="1337" s="1"/>
      </t>
    </mdx>
    <mdx n="33" f="v">
      <t c="4">
        <n x="111"/>
        <n x="14"/>
        <n x="7"/>
        <n x="1337" s="1"/>
      </t>
    </mdx>
    <mdx n="33" f="v">
      <t c="4">
        <n x="457"/>
        <n x="11"/>
        <n x="7"/>
        <n x="1337" s="1"/>
      </t>
    </mdx>
    <mdx n="33" f="v">
      <t c="4">
        <n x="838"/>
        <n x="14"/>
        <n x="7"/>
        <n x="1337" s="1"/>
      </t>
    </mdx>
    <mdx n="33" f="v">
      <t c="4">
        <n x="935"/>
        <n x="11"/>
        <n x="32"/>
        <n x="1337" s="1"/>
      </t>
    </mdx>
    <mdx n="33" f="v">
      <t c="4" si="10">
        <n x="1126"/>
        <n x="0"/>
        <n x="32"/>
        <n x="1337" s="1"/>
      </t>
    </mdx>
    <mdx n="33" f="v">
      <t c="4">
        <n x="294"/>
        <n x="14"/>
        <n x="7"/>
        <n x="1337" s="1"/>
      </t>
    </mdx>
    <mdx n="33" f="v">
      <t c="4">
        <n x="606"/>
        <n x="11"/>
        <n x="7"/>
        <n x="1337" s="1"/>
      </t>
    </mdx>
    <mdx n="33" f="v">
      <t c="4">
        <n x="308"/>
        <n x="11"/>
        <n x="7"/>
        <n x="1337" s="1"/>
      </t>
    </mdx>
    <mdx n="33" f="v">
      <t c="4">
        <n x="60"/>
        <n x="11"/>
        <n x="7"/>
        <n x="1337" s="1"/>
      </t>
    </mdx>
    <mdx n="33" f="v">
      <t c="4">
        <n x="539"/>
        <n x="1"/>
        <n x="7"/>
        <n x="1337" s="1"/>
      </t>
    </mdx>
    <mdx n="33" f="v">
      <t c="4">
        <n x="284"/>
        <n x="1"/>
        <n x="7"/>
        <n x="1337" s="1"/>
      </t>
    </mdx>
    <mdx n="33" f="v">
      <t c="4">
        <n x="993"/>
        <n x="11"/>
        <n x="32"/>
        <n x="1337" s="1"/>
      </t>
    </mdx>
    <mdx n="33" f="v">
      <t c="4">
        <n x="402"/>
        <n x="11"/>
        <n x="32"/>
        <n x="1337" s="1"/>
      </t>
    </mdx>
    <mdx n="33" f="v">
      <t c="4">
        <n x="1319"/>
        <n x="12"/>
        <n x="32"/>
        <n x="1337" s="1"/>
      </t>
    </mdx>
    <mdx n="33" f="v">
      <t c="4" si="10">
        <n x="1072"/>
        <n x="12"/>
        <n x="32"/>
        <n x="1337" s="1"/>
      </t>
    </mdx>
    <mdx n="33" f="v">
      <t c="4" si="10">
        <n x="501"/>
        <n x="12"/>
        <n x="32"/>
        <n x="1337" s="1"/>
      </t>
    </mdx>
    <mdx n="33" f="v">
      <t c="4">
        <n x="241"/>
        <n x="12"/>
        <n x="32"/>
        <n x="1337" s="1"/>
      </t>
    </mdx>
    <mdx n="33" f="v">
      <t c="4" si="10">
        <n x="1046"/>
        <n x="14"/>
        <n x="32"/>
        <n x="1337" s="1"/>
      </t>
    </mdx>
    <mdx n="33" f="v">
      <t c="4" si="10">
        <n x="841"/>
        <n x="1"/>
        <n x="32"/>
        <n x="1337" s="1"/>
      </t>
    </mdx>
    <mdx n="33" f="v">
      <t c="4" si="10">
        <n x="937"/>
        <n x="1"/>
        <n x="32"/>
        <n x="1337" s="1"/>
      </t>
    </mdx>
    <mdx n="33" f="v">
      <t c="4" si="10">
        <n x="1136"/>
        <n x="0"/>
        <n x="32"/>
        <n x="1337" s="1"/>
      </t>
    </mdx>
    <mdx n="33" f="v">
      <t c="4">
        <n x="284"/>
        <n x="14"/>
        <n x="7"/>
        <n x="1337" s="1"/>
      </t>
    </mdx>
    <mdx n="33" f="v">
      <t c="4">
        <n x="627"/>
        <n x="11"/>
        <n x="7"/>
        <n x="1337" s="1"/>
      </t>
    </mdx>
    <mdx n="33" f="v">
      <t c="4">
        <n x="752"/>
        <n x="11"/>
        <n x="7"/>
        <n x="1337" s="1"/>
      </t>
    </mdx>
    <mdx n="33" f="v">
      <t c="4">
        <n x="727"/>
        <n x="11"/>
        <n x="32"/>
        <n x="1337" s="1"/>
      </t>
    </mdx>
    <mdx n="33" f="v">
      <t c="4">
        <n x="826"/>
        <n x="11"/>
        <n x="7"/>
        <n x="1337" s="1"/>
      </t>
    </mdx>
    <mdx n="33" f="v">
      <t c="4" si="10">
        <n x="856"/>
        <n x="1"/>
        <n x="32"/>
        <n x="1337" s="1"/>
      </t>
    </mdx>
    <mdx n="33" f="v">
      <t c="4">
        <n x="952"/>
        <n x="11"/>
        <n x="7"/>
        <n x="1337" s="1"/>
      </t>
    </mdx>
    <mdx n="33" f="v">
      <t c="4">
        <n x="1202"/>
        <n x="12"/>
        <n x="7"/>
        <n x="1337" s="1"/>
      </t>
    </mdx>
    <mdx n="33" f="v">
      <t c="4">
        <n x="1314"/>
        <n x="11"/>
        <n x="7"/>
        <n x="1337" s="1"/>
      </t>
    </mdx>
    <mdx n="33" f="v">
      <t c="4">
        <n x="790"/>
        <n x="14"/>
        <n x="32"/>
        <n x="1337" s="1"/>
      </t>
    </mdx>
    <mdx n="33" f="v">
      <t c="4">
        <n x="857"/>
        <n x="12"/>
        <n x="7"/>
        <n x="1337" s="1"/>
      </t>
    </mdx>
    <mdx n="33" f="v">
      <t c="4" si="10">
        <n x="888"/>
        <n x="0"/>
        <n x="32"/>
        <n x="1337" s="1"/>
      </t>
    </mdx>
    <mdx n="33" f="v">
      <t c="4">
        <n x="914"/>
        <n x="14"/>
        <n x="7"/>
        <n x="1337" s="1"/>
      </t>
    </mdx>
    <mdx n="33" f="v">
      <t c="3">
        <n x="938"/>
        <n x="1336"/>
        <n x="1337" s="1"/>
      </t>
    </mdx>
    <mdx n="33" f="v">
      <t c="4">
        <n x="977"/>
        <n x="12"/>
        <n x="7"/>
        <n x="1337" s="1"/>
      </t>
    </mdx>
    <mdx n="33" f="v">
      <t c="3">
        <n x="1028"/>
        <n x="1336"/>
        <n x="1337" s="1"/>
      </t>
    </mdx>
    <mdx n="33" f="v">
      <t c="4" si="10">
        <n x="1079"/>
        <n x="1"/>
        <n x="32"/>
        <n x="1337" s="1"/>
      </t>
    </mdx>
    <mdx n="33" f="v">
      <t c="4" si="10">
        <n x="1141"/>
        <n x="0"/>
        <n x="32"/>
        <n x="1337" s="1"/>
      </t>
    </mdx>
    <mdx n="33" f="v">
      <t c="4" si="10">
        <n x="1269"/>
        <n x="0"/>
        <n x="32"/>
        <n x="1337" s="1"/>
      </t>
    </mdx>
    <mdx n="33" f="v">
      <t c="4">
        <n x="1010"/>
        <n x="14"/>
        <n x="7"/>
        <n x="1337" s="1"/>
      </t>
    </mdx>
    <mdx n="33" f="v">
      <t c="4">
        <n x="422"/>
        <n x="14"/>
        <n x="7"/>
        <n x="1337" s="1"/>
      </t>
    </mdx>
    <mdx n="33" f="v">
      <t c="4" si="10">
        <n x="701"/>
        <n x="12"/>
        <n x="32"/>
        <n x="1337" s="1"/>
      </t>
    </mdx>
    <mdx n="33" f="v">
      <t c="4">
        <n x="801"/>
        <n x="12"/>
        <n x="7"/>
        <n x="1337" s="1"/>
      </t>
    </mdx>
    <mdx n="33" f="v">
      <t c="4">
        <n x="851"/>
        <n x="0"/>
        <n x="7"/>
        <n x="1337" s="1"/>
      </t>
    </mdx>
    <mdx n="33" f="v">
      <t c="4" si="10">
        <n x="875"/>
        <n x="0"/>
        <n x="32"/>
        <n x="1337" s="1"/>
      </t>
    </mdx>
    <mdx n="33" f="v">
      <t c="4">
        <n x="898"/>
        <n x="1"/>
        <n x="32"/>
        <n x="1337" s="1"/>
      </t>
    </mdx>
    <mdx n="33" f="v">
      <t c="4">
        <n x="921"/>
        <n x="14"/>
        <n x="32"/>
        <n x="1337" s="1"/>
      </t>
    </mdx>
    <mdx n="33" f="v">
      <t c="4">
        <n x="946"/>
        <n x="1"/>
        <n x="7"/>
        <n x="1337" s="1"/>
      </t>
    </mdx>
    <mdx n="33" f="v">
      <t c="4">
        <n x="991"/>
        <n x="0"/>
        <n x="7"/>
        <n x="1337" s="1"/>
      </t>
    </mdx>
    <mdx n="33" f="v">
      <t c="4" si="10">
        <n x="1043"/>
        <n x="0"/>
        <n x="32"/>
        <n x="1337" s="1"/>
      </t>
    </mdx>
    <mdx n="33" f="v">
      <t c="4">
        <n x="1094"/>
        <n x="12"/>
        <n x="7"/>
        <n x="1337" s="1"/>
      </t>
    </mdx>
    <mdx n="33" f="v">
      <t c="4">
        <n x="1177"/>
        <n x="12"/>
        <n x="7"/>
        <n x="1337" s="1"/>
      </t>
    </mdx>
    <mdx n="33" f="v">
      <t c="4">
        <n x="1305"/>
        <n x="12"/>
        <n x="7"/>
        <n x="1337" s="1"/>
      </t>
    </mdx>
    <mdx n="33" f="v">
      <t c="4">
        <n x="392"/>
        <n x="14"/>
        <n x="7"/>
        <n x="1337" s="1"/>
      </t>
    </mdx>
    <mdx n="33" f="v">
      <t c="4">
        <n x="342"/>
        <n x="14"/>
        <n x="7"/>
        <n x="1337" s="1"/>
      </t>
    </mdx>
    <mdx n="33" f="v">
      <t c="4">
        <n x="118"/>
        <n x="14"/>
        <n x="7"/>
        <n x="1337" s="1"/>
      </t>
    </mdx>
    <mdx n="33" f="v">
      <t c="4">
        <n x="601"/>
        <n x="11"/>
        <n x="7"/>
        <n x="1337" s="1"/>
      </t>
    </mdx>
    <mdx n="33" f="v">
      <t c="4">
        <n x="855"/>
        <n x="11"/>
        <n x="32"/>
        <n x="1337" s="1"/>
      </t>
    </mdx>
    <mdx n="33" f="v">
      <t c="4" si="10">
        <n x="951"/>
        <n x="12"/>
        <n x="32"/>
        <n x="1337" s="1"/>
      </t>
    </mdx>
    <mdx n="33" f="v">
      <t c="4" si="10">
        <n x="1198"/>
        <n x="0"/>
        <n x="32"/>
        <n x="1337" s="1"/>
      </t>
    </mdx>
    <mdx n="33" f="v">
      <t c="4">
        <n x="204"/>
        <n x="14"/>
        <n x="7"/>
        <n x="1337" s="1"/>
      </t>
    </mdx>
    <mdx n="33" f="v">
      <t c="4">
        <n x="558"/>
        <n x="11"/>
        <n x="7"/>
        <n x="1337" s="1"/>
      </t>
    </mdx>
    <mdx n="33" f="v">
      <t c="4">
        <n x="222"/>
        <n x="11"/>
        <n x="7"/>
        <n x="1337" s="1"/>
      </t>
    </mdx>
    <mdx n="33" f="v">
      <t c="4">
        <n x="1096"/>
        <n x="1"/>
        <n x="7"/>
        <n x="1337" s="1"/>
      </t>
    </mdx>
    <mdx n="33" f="v">
      <t c="4">
        <n x="503"/>
        <n x="1"/>
        <n x="7"/>
        <n x="1337" s="1"/>
      </t>
    </mdx>
    <mdx n="33" f="v">
      <t c="4">
        <n x="191"/>
        <n x="1"/>
        <n x="7"/>
        <n x="1337" s="1"/>
      </t>
    </mdx>
    <mdx n="33" f="v">
      <t c="4">
        <n x="957"/>
        <n x="11"/>
        <n x="32"/>
        <n x="1337" s="1"/>
      </t>
    </mdx>
    <mdx n="33" f="v">
      <t c="4">
        <n x="365"/>
        <n x="11"/>
        <n x="32"/>
        <n x="1337" s="1"/>
      </t>
    </mdx>
    <mdx n="33" f="v">
      <t c="4" si="10">
        <n x="1280"/>
        <n x="12"/>
        <n x="32"/>
        <n x="1337" s="1"/>
      </t>
    </mdx>
    <mdx n="33" f="v">
      <t c="4" si="10">
        <n x="1036"/>
        <n x="12"/>
        <n x="32"/>
        <n x="1337" s="1"/>
      </t>
    </mdx>
    <mdx n="33" f="v">
      <t c="4">
        <n x="447"/>
        <n x="12"/>
        <n x="32"/>
        <n x="1337" s="1"/>
      </t>
    </mdx>
    <mdx n="33" f="v">
      <t c="4">
        <n x="201"/>
        <n x="12"/>
        <n x="32"/>
        <n x="1337" s="1"/>
      </t>
    </mdx>
    <mdx n="33" f="v">
      <t c="4" si="10">
        <n x="1010"/>
        <n x="14"/>
        <n x="32"/>
        <n x="1337" s="1"/>
      </t>
    </mdx>
    <mdx n="33" f="v">
      <t c="4" si="10">
        <n x="857"/>
        <n x="1"/>
        <n x="32"/>
        <n x="1337" s="1"/>
      </t>
    </mdx>
    <mdx n="33" f="v">
      <t c="4">
        <n x="954"/>
        <n x="12"/>
        <n x="7"/>
        <n x="1337" s="1"/>
      </t>
    </mdx>
    <mdx n="33" f="v">
      <t c="4">
        <n x="1208"/>
        <n x="0"/>
        <n x="32"/>
        <n x="1337" s="1"/>
      </t>
    </mdx>
    <mdx n="33" f="v">
      <t c="4">
        <n x="194"/>
        <n x="14"/>
        <n x="7"/>
        <n x="1337" s="1"/>
      </t>
    </mdx>
    <mdx n="33" f="v">
      <t c="4">
        <n x="551"/>
        <n x="11"/>
        <n x="7"/>
        <n x="1337" s="1"/>
      </t>
    </mdx>
    <mdx n="33" f="v">
      <t c="4">
        <n x="298"/>
        <n x="11"/>
        <n x="7"/>
        <n x="1337" s="1"/>
      </t>
    </mdx>
    <mdx n="33" f="v">
      <t c="4">
        <n x="1091"/>
        <n x="1"/>
        <n x="7"/>
        <n x="1337" s="1"/>
      </t>
    </mdx>
    <mdx n="33" f="v">
      <t c="4" si="9">
        <n x="498"/>
        <n x="1"/>
        <n x="7"/>
        <n x="1337" s="1"/>
      </t>
    </mdx>
    <mdx n="33" f="v">
      <t c="4">
        <n x="171"/>
        <n x="1"/>
        <n x="7"/>
        <n x="1337" s="1"/>
      </t>
    </mdx>
    <mdx n="33" f="v">
      <t c="4">
        <n x="617"/>
        <n x="11"/>
        <n x="32"/>
        <n x="1337" s="1"/>
      </t>
    </mdx>
    <mdx n="33" f="v">
      <t c="4">
        <n x="360"/>
        <n x="11"/>
        <n x="32"/>
        <n x="1337" s="1"/>
      </t>
    </mdx>
    <mdx n="33" f="v">
      <t c="4" si="10">
        <n x="1275"/>
        <n x="12"/>
        <n x="32"/>
        <n x="1337" s="1"/>
      </t>
    </mdx>
    <mdx n="33" f="v">
      <t c="4">
        <n x="810"/>
        <n x="11"/>
        <n x="7"/>
        <n x="1337" s="1"/>
      </t>
    </mdx>
    <mdx n="33" f="v">
      <t c="4">
        <n x="80"/>
        <n x="14"/>
        <n x="7"/>
        <n x="1337" s="1"/>
      </t>
    </mdx>
    <mdx n="33" f="v">
      <t c="4">
        <n x="910"/>
        <n x="14"/>
        <n x="7"/>
        <n x="1337" s="1"/>
      </t>
    </mdx>
    <mdx n="33" f="v">
      <t c="4">
        <n x="1070"/>
        <n x="0"/>
        <n x="7"/>
        <n x="1337" s="1"/>
      </t>
    </mdx>
    <mdx n="33" f="v">
      <t c="4">
        <n x="482"/>
        <n x="14"/>
        <n x="7"/>
        <n x="1337" s="1"/>
      </t>
    </mdx>
    <mdx n="33" f="v">
      <t c="4">
        <n x="871"/>
        <n x="0"/>
        <n x="32"/>
        <n x="1337" s="1"/>
      </t>
    </mdx>
    <mdx n="33" f="v">
      <t c="4" si="10">
        <n x="983"/>
        <n x="0"/>
        <n x="32"/>
        <n x="1337" s="1"/>
      </t>
    </mdx>
    <mdx n="33" f="v">
      <t c="4">
        <n x="1283"/>
        <n x="12"/>
        <n x="7"/>
        <n x="1337" s="1"/>
      </t>
    </mdx>
    <mdx n="33" f="v">
      <t c="4">
        <n x="961"/>
        <n x="11"/>
        <n x="7"/>
        <n x="1337" s="1"/>
      </t>
    </mdx>
    <mdx n="33" f="v">
      <t c="4">
        <n x="249"/>
        <n x="14"/>
        <n x="7"/>
        <n x="1337" s="1"/>
      </t>
    </mdx>
    <mdx n="33" f="v">
      <t c="4">
        <n x="547"/>
        <n x="1"/>
        <n x="7"/>
        <n x="1337" s="1"/>
      </t>
    </mdx>
    <mdx n="33" f="v">
      <t c="4">
        <n x="90"/>
        <n x="11"/>
        <n x="32"/>
        <n x="1337" s="1"/>
      </t>
    </mdx>
    <mdx n="33" f="v">
      <t c="4">
        <n x="1054"/>
        <n x="14"/>
        <n x="32"/>
        <n x="1337" s="1"/>
      </t>
    </mdx>
    <mdx n="33" f="v">
      <t c="4">
        <n x="300"/>
        <n x="14"/>
        <n x="7"/>
        <n x="1337" s="1"/>
      </t>
    </mdx>
    <mdx n="33" f="v">
      <t c="4">
        <n x="414"/>
        <n x="11"/>
        <n x="7"/>
        <n x="1337" s="1"/>
      </t>
    </mdx>
    <mdx n="33" f="v">
      <t c="4">
        <n x="126"/>
        <n x="11"/>
        <n x="7"/>
        <n x="1337" s="1"/>
      </t>
    </mdx>
    <mdx n="33" f="v">
      <t c="4" si="9">
        <n x="494"/>
        <n x="1"/>
        <n x="7"/>
        <n x="1337" s="1"/>
      </t>
    </mdx>
    <mdx n="33" f="v">
      <t c="4">
        <n x="1120"/>
        <n x="11"/>
        <n x="32"/>
        <n x="1337" s="1"/>
      </t>
    </mdx>
    <mdx n="33" f="v">
      <t c="4">
        <n x="445"/>
        <n x="11"/>
        <n x="32"/>
        <n x="1337" s="1"/>
      </t>
    </mdx>
    <mdx n="33" f="v">
      <t c="4">
        <n x="1271"/>
        <n x="12"/>
        <n x="32"/>
        <n x="1337" s="1"/>
      </t>
    </mdx>
    <mdx n="33" f="v">
      <t c="4" si="10">
        <n x="1023"/>
        <n x="12"/>
        <n x="32"/>
        <n x="1337" s="1"/>
      </t>
    </mdx>
    <mdx n="33" f="v">
      <t c="4">
        <n x="395"/>
        <n x="12"/>
        <n x="32"/>
        <n x="1337" s="1"/>
      </t>
    </mdx>
    <mdx n="33" f="v">
      <t c="4">
        <n x="188"/>
        <n x="12"/>
        <n x="32"/>
        <n x="1337" s="1"/>
      </t>
    </mdx>
    <mdx n="33" f="v">
      <t c="4" si="9">
        <n x="864"/>
        <n x="14"/>
        <n x="7"/>
        <n x="1337" s="1"/>
      </t>
    </mdx>
    <mdx n="33" f="v">
      <t c="4" si="10">
        <n x="969"/>
        <n x="1"/>
        <n x="32"/>
        <n x="1337" s="1"/>
      </t>
    </mdx>
    <mdx n="33" f="v">
      <t c="4">
        <n x="1250"/>
        <n x="0"/>
        <n x="32"/>
        <n x="1337" s="1"/>
      </t>
    </mdx>
    <mdx n="33" f="v">
      <t c="4">
        <n x="154"/>
        <n x="14"/>
        <n x="7"/>
        <n x="1337" s="1"/>
      </t>
    </mdx>
    <mdx n="33" f="v">
      <t c="4">
        <n x="524"/>
        <n x="11"/>
        <n x="7"/>
        <n x="1337" s="1"/>
      </t>
    </mdx>
    <mdx n="33" f="v">
      <t c="4">
        <n x="263"/>
        <n x="11"/>
        <n x="7"/>
        <n x="1337" s="1"/>
      </t>
    </mdx>
    <mdx n="33" f="v">
      <t c="4">
        <n x="1070"/>
        <n x="1"/>
        <n x="7"/>
        <n x="1337" s="1"/>
      </t>
    </mdx>
    <mdx n="33" f="v">
      <t c="4" si="9">
        <n x="477"/>
        <n x="1"/>
        <n x="7"/>
        <n x="1337" s="1"/>
      </t>
    </mdx>
    <mdx n="33" f="v">
      <t c="4">
        <n x="154"/>
        <n x="1"/>
        <n x="7"/>
        <n x="1337" s="1"/>
      </t>
    </mdx>
    <mdx n="33" f="v">
      <t c="4" si="10">
        <n x="596"/>
        <n x="11"/>
        <n x="32"/>
        <n x="1337" s="1"/>
      </t>
    </mdx>
    <mdx n="33" f="v">
      <t c="3">
        <n x="190"/>
        <n x="1336"/>
        <n x="1337" s="1"/>
      </t>
    </mdx>
    <mdx n="33" f="v">
      <t c="6" si="10">
        <n x="15"/>
        <n x="1337" s="1"/>
        <n x="38"/>
        <n x="32"/>
        <n x="26"/>
        <n x="2"/>
      </t>
    </mdx>
    <mdx n="33" f="v">
      <t c="4">
        <n x="784"/>
        <n x="12"/>
        <n x="7"/>
        <n x="1337" s="1"/>
      </t>
    </mdx>
    <mdx n="33" f="v">
      <t c="4">
        <n x="428"/>
        <n x="0"/>
        <n x="32"/>
        <n x="1337" s="1"/>
      </t>
    </mdx>
    <mdx n="33" f="v">
      <t c="4">
        <n x="396"/>
        <n x="0"/>
        <n x="32"/>
        <n x="1337" s="1"/>
      </t>
    </mdx>
    <mdx n="33" f="v">
      <t c="4">
        <n x="761"/>
        <n x="1"/>
        <n x="32"/>
        <n x="1337" s="1"/>
      </t>
    </mdx>
    <mdx n="33" f="v">
      <t c="4">
        <n x="1027"/>
        <n x="14"/>
        <n x="7"/>
        <n x="1337" s="1"/>
      </t>
    </mdx>
    <mdx n="33" f="v">
      <t c="4">
        <n x="761"/>
        <n x="1"/>
        <n x="7"/>
        <n x="1337" s="1"/>
      </t>
    </mdx>
    <mdx n="33" f="v">
      <t c="4">
        <n x="859"/>
        <n x="14"/>
        <n x="7"/>
        <n x="1337" s="1"/>
      </t>
    </mdx>
    <mdx n="33" f="v">
      <t c="4">
        <n x="1025"/>
        <n x="0"/>
        <n x="7"/>
        <n x="1337" s="1"/>
      </t>
    </mdx>
    <mdx n="33" f="v">
      <t c="4">
        <n x="332"/>
        <n x="14"/>
        <n x="7"/>
        <n x="1337" s="1"/>
      </t>
    </mdx>
    <mdx n="33" f="v">
      <t c="4">
        <n x="531"/>
        <n x="1"/>
        <n x="32"/>
        <n x="1337" s="1"/>
      </t>
    </mdx>
    <mdx n="33" f="v">
      <t c="4">
        <n x="704"/>
        <n x="11"/>
        <n x="7"/>
        <n x="1337" s="1"/>
      </t>
    </mdx>
    <mdx n="33" f="v">
      <t c="4" si="10">
        <n x="714"/>
        <n x="0"/>
        <n x="32"/>
        <n x="1337" s="1"/>
      </t>
    </mdx>
    <mdx n="33" f="v">
      <t c="4">
        <n x="814"/>
        <n x="11"/>
        <n x="7"/>
        <n x="1337" s="1"/>
      </t>
    </mdx>
    <mdx n="33" f="v">
      <t c="4">
        <n x="841"/>
        <n x="11"/>
        <n x="32"/>
        <n x="1337" s="1"/>
      </t>
    </mdx>
    <mdx n="33" f="v">
      <t c="4">
        <n x="937"/>
        <n x="0"/>
        <n x="7"/>
        <n x="1337" s="1"/>
      </t>
    </mdx>
    <mdx n="33" f="v">
      <t c="4">
        <n x="1136"/>
        <n x="12"/>
        <n x="7"/>
        <n x="1337" s="1"/>
      </t>
    </mdx>
    <mdx n="33" f="v">
      <t c="4">
        <n x="181"/>
        <n x="14"/>
        <n x="7"/>
        <n x="1337" s="1"/>
      </t>
    </mdx>
    <mdx n="33" f="v">
      <t c="4">
        <n x="866"/>
        <n x="14"/>
        <n x="7"/>
        <n x="1337" s="1"/>
      </t>
    </mdx>
    <mdx n="33" f="v">
      <t c="4" si="10">
        <n x="683"/>
        <n x="14"/>
        <n x="32"/>
        <n x="1337" s="1"/>
      </t>
    </mdx>
    <mdx n="33" f="v">
      <t c="4" si="10">
        <n x="1085"/>
        <n x="0"/>
        <n x="32"/>
        <n x="1337" s="1"/>
      </t>
    </mdx>
    <mdx n="33" f="v">
      <t c="4" si="10">
        <n x="877"/>
        <n x="11"/>
        <n x="32"/>
        <n x="1337" s="1"/>
      </t>
    </mdx>
    <mdx n="33" f="v">
      <t c="4">
        <n x="1010"/>
        <n x="0"/>
        <n x="7"/>
        <n x="1337" s="1"/>
      </t>
    </mdx>
    <mdx n="33" f="v">
      <t c="4">
        <n x="1098"/>
        <n x="14"/>
        <n x="7"/>
        <n x="1337" s="1"/>
      </t>
    </mdx>
    <mdx n="33" f="v">
      <t c="4">
        <n x="827"/>
        <n x="1"/>
        <n x="32"/>
        <n x="1337" s="1"/>
      </t>
    </mdx>
    <mdx n="33" f="v">
      <t c="4">
        <n x="867"/>
        <n x="0"/>
        <n x="32"/>
        <n x="1337" s="1"/>
      </t>
    </mdx>
    <mdx n="33" f="v">
      <t c="4" si="10">
        <n x="897"/>
        <n x="14"/>
        <n x="32"/>
        <n x="1337" s="1"/>
      </t>
    </mdx>
    <mdx n="33" f="v">
      <t c="4">
        <n x="928"/>
        <n x="12"/>
        <n x="7"/>
        <n x="1337" s="1"/>
      </t>
    </mdx>
    <mdx n="33" f="v">
      <t c="4">
        <n x="974"/>
        <n x="12"/>
        <n x="7"/>
        <n x="1337" s="1"/>
      </t>
    </mdx>
    <mdx n="33" f="v">
      <t c="3">
        <n x="1041"/>
        <n x="1336"/>
        <n x="1337" s="1"/>
      </t>
    </mdx>
    <mdx n="33" f="v">
      <t c="4">
        <n x="1108"/>
        <n x="1"/>
        <n x="32"/>
        <n x="1337" s="1"/>
      </t>
    </mdx>
    <mdx n="33" f="v">
      <t c="4">
        <n x="1261"/>
        <n x="12"/>
        <n x="7"/>
        <n x="1337" s="1"/>
      </t>
    </mdx>
    <mdx n="33" f="v">
      <t c="4">
        <n x="424"/>
        <n x="14"/>
        <n x="7"/>
        <n x="1337" s="1"/>
      </t>
    </mdx>
    <mdx n="33" f="v">
      <t c="4">
        <n x="301"/>
        <n x="14"/>
        <n x="7"/>
        <n x="1337" s="1"/>
      </t>
    </mdx>
    <mdx n="33" f="v">
      <t c="4">
        <n x="1005"/>
        <n x="11"/>
        <n x="7"/>
        <n x="1337" s="1"/>
      </t>
    </mdx>
    <mdx n="33" f="v">
      <t c="4">
        <n x="852"/>
        <n x="11"/>
        <n x="32"/>
        <n x="1337" s="1"/>
      </t>
    </mdx>
    <mdx n="33" f="v">
      <t c="3">
        <n x="1006"/>
        <n x="1336"/>
        <n x="1337" s="1"/>
      </t>
    </mdx>
    <mdx n="33" f="v">
      <t c="4">
        <n x="431"/>
        <n x="14"/>
        <n x="7"/>
        <n x="1337" s="1"/>
      </t>
    </mdx>
    <mdx n="33" f="v">
      <t c="4">
        <n x="568"/>
        <n x="11"/>
        <n x="7"/>
        <n x="1337" s="1"/>
      </t>
    </mdx>
    <mdx n="33" f="v">
      <t c="4">
        <n x="213"/>
        <n x="11"/>
        <n x="7"/>
        <n x="1337" s="1"/>
      </t>
    </mdx>
    <mdx n="33" f="v">
      <t c="4">
        <n x="591"/>
        <n x="1"/>
        <n x="7"/>
        <n x="1337" s="1"/>
      </t>
    </mdx>
    <mdx n="33" f="v">
      <t c="4">
        <n x="158"/>
        <n x="1"/>
        <n x="7"/>
        <n x="1337" s="1"/>
      </t>
    </mdx>
    <mdx n="33" f="v">
      <t c="4">
        <n x="550"/>
        <n x="11"/>
        <n x="32"/>
        <n x="1337" s="1"/>
      </t>
    </mdx>
    <mdx n="33" f="v">
      <t c="4">
        <n x="197"/>
        <n x="11"/>
        <n x="32"/>
        <n x="1337" s="1"/>
      </t>
    </mdx>
    <mdx n="33" f="v">
      <t c="4">
        <n x="1160"/>
        <n x="12"/>
        <n x="32"/>
        <n x="1337" s="1"/>
      </t>
    </mdx>
    <mdx n="33" f="v">
      <t c="4" si="10">
        <n x="601"/>
        <n x="12"/>
        <n x="32"/>
        <n x="1337" s="1"/>
      </t>
    </mdx>
    <mdx n="33" f="v">
      <t c="4" si="10">
        <n x="324"/>
        <n x="12"/>
        <n x="32"/>
        <n x="1337" s="1"/>
      </t>
    </mdx>
    <mdx n="33" f="v">
      <t c="4">
        <n x="106"/>
        <n x="12"/>
        <n x="32"/>
        <n x="1337" s="1"/>
      </t>
    </mdx>
    <mdx n="33" f="v">
      <t c="4">
        <n x="712"/>
        <n x="1"/>
        <n x="32"/>
        <n x="1337" s="1"/>
      </t>
    </mdx>
    <mdx n="33" f="v">
      <t c="4">
        <n x="900"/>
        <n x="14"/>
        <n x="7"/>
        <n x="1337" s="1"/>
      </t>
    </mdx>
    <mdx n="33" f="v">
      <t c="4">
        <n x="1048"/>
        <n x="0"/>
        <n x="7"/>
        <n x="1337" s="1"/>
      </t>
    </mdx>
    <mdx n="33" f="v">
      <t c="4" si="9">
        <n x="592"/>
        <n x="14"/>
        <n x="7"/>
        <n x="1337" s="1"/>
      </t>
    </mdx>
    <mdx n="33" f="v">
      <t c="4">
        <n x="291"/>
        <n x="0"/>
        <n x="32"/>
        <n x="1337" s="1"/>
      </t>
    </mdx>
    <mdx n="33" f="v">
      <t c="4">
        <n x="725"/>
        <n x="12"/>
        <n x="7"/>
        <n x="1337" s="1"/>
      </t>
    </mdx>
    <mdx n="33" f="v">
      <t c="4">
        <n x="536"/>
        <n x="1"/>
        <n x="32"/>
        <n x="1337" s="1"/>
      </t>
    </mdx>
    <mdx n="33" f="v">
      <t c="4" si="10">
        <n x="766"/>
        <n x="12"/>
        <n x="32"/>
        <n x="1337" s="1"/>
      </t>
    </mdx>
    <mdx n="33" f="v">
      <t c="4">
        <n x="688"/>
        <n x="11"/>
        <n x="7"/>
        <n x="1337" s="1"/>
      </t>
    </mdx>
    <mdx n="33" f="v">
      <t c="4" si="10">
        <n x="895"/>
        <n x="14"/>
        <n x="32"/>
        <n x="1337" s="1"/>
      </t>
    </mdx>
    <mdx n="33" f="v">
      <t c="4" si="10">
        <n x="1037"/>
        <n x="0"/>
        <n x="32"/>
        <n x="1337" s="1"/>
      </t>
    </mdx>
    <mdx n="33" f="v">
      <t c="4">
        <n x="967"/>
        <n x="14"/>
        <n x="7"/>
        <n x="1337" s="1"/>
      </t>
    </mdx>
    <mdx n="33" f="v">
      <t c="4">
        <n x="713"/>
        <n x="0"/>
        <n x="32"/>
        <n x="1337" s="1"/>
      </t>
    </mdx>
    <mdx n="33" f="v">
      <t c="4">
        <n x="834"/>
        <n x="1"/>
        <n x="32"/>
        <n x="1337" s="1"/>
      </t>
    </mdx>
    <mdx n="33" f="v">
      <t c="3">
        <n x="870"/>
        <n x="1336"/>
        <n x="1337" s="1"/>
      </t>
    </mdx>
    <mdx n="33" f="v">
      <t c="4">
        <n x="901"/>
        <n x="12"/>
        <n x="7"/>
        <n x="1337" s="1"/>
      </t>
    </mdx>
    <mdx n="33" f="v">
      <t c="4">
        <n x="924"/>
        <n x="12"/>
        <n x="32"/>
        <n x="1337" s="1"/>
      </t>
    </mdx>
    <mdx n="33" f="v">
      <t c="4">
        <n x="950"/>
        <n x="14"/>
        <n x="7"/>
        <n x="1337" s="1"/>
      </t>
    </mdx>
    <mdx n="33" f="v">
      <t c="4">
        <n x="998"/>
        <n x="0"/>
        <n x="7"/>
        <n x="1337" s="1"/>
      </t>
    </mdx>
    <mdx n="33" f="v">
      <t c="4" si="10">
        <n x="1050"/>
        <n x="0"/>
        <n x="32"/>
        <n x="1337" s="1"/>
      </t>
    </mdx>
    <mdx n="33" f="v">
      <t c="4">
        <n x="1101"/>
        <n x="12"/>
        <n x="7"/>
        <n x="1337" s="1"/>
      </t>
    </mdx>
    <mdx n="33" f="v">
      <t c="4">
        <n x="1195"/>
        <n x="0"/>
        <n x="32"/>
        <n x="1337" s="1"/>
      </t>
    </mdx>
    <mdx n="33" f="v">
      <t c="4" si="10">
        <n x="1323"/>
        <n x="0"/>
        <n x="32"/>
        <n x="1337" s="1"/>
      </t>
    </mdx>
    <mdx n="33" f="v">
      <t c="4">
        <n x="586"/>
        <n x="14"/>
        <n x="7"/>
        <n x="1337" s="1"/>
      </t>
    </mdx>
    <mdx n="33" f="v">
      <t c="4">
        <n x="437"/>
        <n x="1"/>
        <n x="32"/>
        <n x="1337" s="1"/>
      </t>
    </mdx>
    <mdx n="33" f="v">
      <t c="4">
        <n x="741"/>
        <n x="0"/>
        <n x="32"/>
        <n x="1337" s="1"/>
      </t>
    </mdx>
    <mdx n="33" f="v">
      <t c="4">
        <n x="833"/>
        <n x="11"/>
        <n x="32"/>
        <n x="1337" s="1"/>
      </t>
    </mdx>
    <mdx n="33" f="v">
      <t c="4" si="10">
        <n x="861"/>
        <n x="14"/>
        <n x="32"/>
        <n x="1337" s="1"/>
      </t>
    </mdx>
    <mdx n="33" f="v">
      <t c="4">
        <n x="884"/>
        <n x="11"/>
        <n x="7"/>
        <n x="1337" s="1"/>
      </t>
    </mdx>
    <mdx n="33" f="v">
      <t c="4">
        <n x="908"/>
        <n x="12"/>
        <n x="7"/>
        <n x="1337" s="1"/>
      </t>
    </mdx>
    <mdx n="33" f="v">
      <t c="4">
        <n x="931"/>
        <n x="0"/>
        <n x="7"/>
        <n x="1337" s="1"/>
      </t>
    </mdx>
    <mdx n="33" f="v">
      <t c="4">
        <n x="962"/>
        <n x="12"/>
        <n x="7"/>
        <n x="1337" s="1"/>
      </t>
    </mdx>
    <mdx n="33" f="v">
      <t c="3">
        <n x="1013"/>
        <n x="1336"/>
        <n x="1337" s="1"/>
      </t>
    </mdx>
    <mdx n="33" f="v">
      <t c="4" si="10">
        <n x="1064"/>
        <n x="1"/>
        <n x="32"/>
        <n x="1337" s="1"/>
      </t>
    </mdx>
    <mdx n="33" f="v">
      <t c="4">
        <n x="1115"/>
        <n x="0"/>
        <n x="7"/>
        <n x="1337" s="1"/>
      </t>
    </mdx>
    <mdx n="33" f="v">
      <t c="4">
        <n x="1231"/>
        <n x="12"/>
        <n x="7"/>
        <n x="1337" s="1"/>
      </t>
    </mdx>
    <mdx n="33" f="v">
      <t c="4">
        <n x="1085"/>
        <n x="14"/>
        <n x="7"/>
        <n x="1337" s="1"/>
      </t>
    </mdx>
    <mdx n="33" f="v">
      <t c="4" si="9">
        <n x="513"/>
        <n x="14"/>
        <n x="7"/>
        <n x="1337" s="1"/>
      </t>
    </mdx>
    <mdx n="33" f="v">
      <t c="4">
        <n x="279"/>
        <n x="14"/>
        <n x="7"/>
        <n x="1337" s="1"/>
      </t>
    </mdx>
    <mdx n="33" f="v">
      <t c="4">
        <n x="1065"/>
        <n x="11"/>
        <n x="7"/>
        <n x="1337" s="1"/>
      </t>
    </mdx>
    <mdx n="33" f="v">
      <t c="4">
        <n x="684"/>
        <n x="11"/>
        <n x="32"/>
        <n x="1337" s="1"/>
      </t>
    </mdx>
    <mdx n="33" f="v">
      <t c="4">
        <n x="894"/>
        <n x="12"/>
        <n x="32"/>
        <n x="1337" s="1"/>
      </t>
    </mdx>
    <mdx n="33" f="v">
      <t c="4">
        <n x="1035"/>
        <n x="12"/>
        <n x="7"/>
        <n x="1337" s="1"/>
      </t>
    </mdx>
    <mdx n="33" f="v">
      <t c="4">
        <n x="976"/>
        <n x="14"/>
        <n x="7"/>
        <n x="1337" s="1"/>
      </t>
    </mdx>
    <mdx n="33" f="v">
      <t c="4">
        <n x="1071"/>
        <n x="11"/>
        <n x="7"/>
        <n x="1337" s="1"/>
      </t>
    </mdx>
    <mdx n="33" f="v">
      <t c="4">
        <n x="435"/>
        <n x="11"/>
        <n x="7"/>
        <n x="1337" s="1"/>
      </t>
    </mdx>
    <mdx n="33" f="v">
      <t c="4">
        <n x="177"/>
        <n x="11"/>
        <n x="7"/>
        <n x="1337" s="1"/>
      </t>
    </mdx>
    <mdx n="33" f="v">
      <t c="4">
        <n x="988"/>
        <n x="1"/>
        <n x="7"/>
        <n x="1337" s="1"/>
      </t>
    </mdx>
    <mdx n="33" f="v">
      <t c="4">
        <n x="394"/>
        <n x="1"/>
        <n x="7"/>
        <n x="1337" s="1"/>
      </t>
    </mdx>
    <mdx n="33" f="v">
      <t c="4">
        <n x="1105"/>
        <n x="11"/>
        <n x="32"/>
        <n x="1337" s="1"/>
      </t>
    </mdx>
    <mdx n="33" f="v">
      <t c="4">
        <n x="514"/>
        <n x="11"/>
        <n x="32"/>
        <n x="1337" s="1"/>
      </t>
    </mdx>
    <mdx n="33" f="v">
      <t c="4">
        <n x="180"/>
        <n x="11"/>
        <n x="32"/>
        <n x="1337" s="1"/>
      </t>
    </mdx>
    <mdx n="33" f="v">
      <t c="4">
        <n x="1172"/>
        <n x="12"/>
        <n x="32"/>
        <n x="1337" s="1"/>
      </t>
    </mdx>
    <mdx n="33" f="v">
      <t c="4" si="10">
        <n x="613"/>
        <n x="12"/>
        <n x="32"/>
        <n x="1337" s="1"/>
      </t>
    </mdx>
    <mdx n="33" f="v">
      <t c="4">
        <n x="336"/>
        <n x="12"/>
        <n x="32"/>
        <n x="1337" s="1"/>
      </t>
    </mdx>
    <mdx n="33" f="v">
      <t c="4">
        <n x="84"/>
        <n x="12"/>
        <n x="32"/>
        <n x="1337" s="1"/>
      </t>
    </mdx>
    <mdx n="33" f="v">
      <t c="3">
        <n x="694"/>
        <n x="1336"/>
        <n x="1337" s="1"/>
      </t>
    </mdx>
    <mdx n="33" f="v">
      <t c="4" si="10">
        <n x="896"/>
        <n x="14"/>
        <n x="32"/>
        <n x="1337" s="1"/>
      </t>
    </mdx>
    <mdx n="33" f="v">
      <t c="4">
        <n x="1039"/>
        <n x="12"/>
        <n x="7"/>
        <n x="1337" s="1"/>
      </t>
    </mdx>
    <mdx n="33" f="v">
      <t c="4">
        <n x="468"/>
        <n x="14"/>
        <n x="7"/>
        <n x="1337" s="1"/>
      </t>
    </mdx>
    <mdx n="33" f="v">
      <t c="4">
        <n x="465"/>
        <n x="12"/>
        <n x="7"/>
        <n x="1337" s="1"/>
      </t>
    </mdx>
    <mdx n="33" f="v">
      <t c="4" si="10">
        <n x="781"/>
        <n x="0"/>
        <n x="32"/>
        <n x="1337" s="1"/>
      </t>
    </mdx>
    <mdx n="33" f="v">
      <t c="4">
        <n x="651"/>
        <n x="14"/>
        <n x="7"/>
        <n x="1337" s="1"/>
      </t>
    </mdx>
    <mdx n="33" f="v">
      <t c="4" si="10">
        <n x="784"/>
        <n x="11"/>
        <n x="32"/>
        <n x="1337" s="1"/>
      </t>
    </mdx>
    <mdx n="33" f="v">
      <t c="3">
        <n x="743"/>
        <n x="1336"/>
        <n x="1337" s="1"/>
      </t>
    </mdx>
    <mdx n="33" f="v">
      <t c="4">
        <n x="908"/>
        <n x="1"/>
        <n x="7"/>
        <n x="1337" s="1"/>
      </t>
    </mdx>
    <mdx n="33" f="v">
      <t c="4">
        <n x="1065"/>
        <n x="0"/>
        <n x="7"/>
        <n x="1337" s="1"/>
      </t>
    </mdx>
    <mdx n="33" f="v">
      <t c="4" si="9">
        <n x="507"/>
        <n x="14"/>
        <n x="7"/>
        <n x="1337" s="1"/>
      </t>
    </mdx>
    <mdx n="33" f="v">
      <t c="4">
        <n x="730"/>
        <n x="11"/>
        <n x="32"/>
        <n x="1337" s="1"/>
      </t>
    </mdx>
    <mdx n="33" f="v">
      <t c="4">
        <n x="840"/>
        <n x="12"/>
        <n x="7"/>
        <n x="1337" s="1"/>
      </t>
    </mdx>
    <mdx n="33" f="v">
      <t c="4">
        <n x="874"/>
        <n x="14"/>
        <n x="32"/>
        <n x="1337" s="1"/>
      </t>
    </mdx>
    <mdx n="33" f="v">
      <t c="4">
        <n x="904"/>
        <n x="12"/>
        <n x="32"/>
        <n x="1337" s="1"/>
      </t>
    </mdx>
    <mdx n="33" f="v">
      <t c="4">
        <n x="928"/>
        <n x="0"/>
        <n x="32"/>
        <n x="1337" s="1"/>
      </t>
    </mdx>
    <mdx n="33" f="v">
      <t c="4">
        <n x="955"/>
        <n x="1"/>
        <n x="7"/>
        <n x="1337" s="1"/>
      </t>
    </mdx>
    <mdx n="33" f="v">
      <t c="4">
        <n x="1006"/>
        <n x="0"/>
        <n x="32"/>
        <n x="1337" s="1"/>
      </t>
    </mdx>
    <mdx n="33" f="v">
      <t c="4">
        <n x="1057"/>
        <n x="12"/>
        <n x="7"/>
        <n x="1337" s="1"/>
      </t>
    </mdx>
    <mdx n="33" f="v">
      <t c="3">
        <n x="1108"/>
        <n x="1336"/>
        <n x="1337" s="1"/>
      </t>
    </mdx>
    <mdx n="33" f="v">
      <t c="4" si="10">
        <n x="1213"/>
        <n x="0"/>
        <n x="32"/>
        <n x="1337" s="1"/>
      </t>
    </mdx>
    <mdx n="33" f="v">
      <t c="4">
        <n x="1122"/>
        <n x="14"/>
        <n x="7"/>
        <n x="1337" s="1"/>
      </t>
    </mdx>
    <mdx n="33" f="v">
      <t c="4">
        <n x="550"/>
        <n x="14"/>
        <n x="7"/>
        <n x="1337" s="1"/>
      </t>
    </mdx>
    <mdx n="33" f="v">
      <t c="4" si="10">
        <n x="563"/>
        <n x="0"/>
        <n x="32"/>
        <n x="1337" s="1"/>
      </t>
    </mdx>
    <mdx n="33" f="v">
      <t c="4">
        <n x="754"/>
        <n x="12"/>
        <n x="7"/>
        <n x="1337" s="1"/>
      </t>
    </mdx>
    <mdx n="33" f="v">
      <t c="4">
        <n x="837"/>
        <n x="11"/>
        <n x="7"/>
        <n x="1337" s="1"/>
      </t>
    </mdx>
    <mdx n="33" f="v">
      <t c="4">
        <n x="864"/>
        <n x="11"/>
        <n x="7"/>
        <n x="1337" s="1"/>
      </t>
    </mdx>
    <mdx n="33" f="v">
      <t c="4">
        <n x="888"/>
        <n x="12"/>
        <n x="7"/>
        <n x="1337" s="1"/>
      </t>
    </mdx>
    <mdx n="33" f="v">
      <t c="4">
        <n x="911"/>
        <n x="0"/>
        <n x="7"/>
        <n x="1337" s="1"/>
      </t>
    </mdx>
    <mdx n="33" f="v">
      <t c="4">
        <n x="934"/>
        <n x="1"/>
        <n x="7"/>
        <n x="1337" s="1"/>
      </t>
    </mdx>
    <mdx n="33" f="v">
      <t c="3">
        <n x="969"/>
        <n x="1336"/>
        <n x="1337" s="1"/>
      </t>
    </mdx>
    <mdx n="33" f="v">
      <t c="4">
        <n x="1020"/>
        <n x="1"/>
        <n x="32"/>
        <n x="1337" s="1"/>
      </t>
    </mdx>
    <mdx n="33" f="v">
      <t c="4">
        <n x="1071"/>
        <n x="0"/>
        <n x="7"/>
        <n x="1337" s="1"/>
      </t>
    </mdx>
    <mdx n="33" f="v">
      <t c="4" si="10">
        <n x="1123"/>
        <n x="0"/>
        <n x="32"/>
        <n x="1337" s="1"/>
      </t>
    </mdx>
    <mdx n="33" f="v">
      <t c="4">
        <n x="1249"/>
        <n x="12"/>
        <n x="7"/>
        <n x="1337" s="1"/>
      </t>
    </mdx>
    <mdx n="33" f="v">
      <t c="4">
        <n x="1049"/>
        <n x="14"/>
        <n x="7"/>
        <n x="1337" s="1"/>
      </t>
    </mdx>
    <mdx n="33" f="v">
      <t c="4" si="9">
        <n x="477"/>
        <n x="14"/>
        <n x="7"/>
        <n x="1337" s="1"/>
      </t>
    </mdx>
    <mdx n="33" f="v">
      <t c="4">
        <n x="211"/>
        <n x="14"/>
        <n x="7"/>
        <n x="1337" s="1"/>
      </t>
    </mdx>
    <mdx n="33" f="v">
      <t c="4">
        <n x="1029"/>
        <n x="11"/>
        <n x="7"/>
        <n x="1337" s="1"/>
      </t>
    </mdx>
    <mdx n="33" f="v">
      <t c="4">
        <n x="739"/>
        <n x="14"/>
        <n x="7"/>
        <n x="1337" s="1"/>
      </t>
    </mdx>
    <mdx n="33" f="v">
      <t c="4">
        <n x="907"/>
        <n x="11"/>
        <n x="7"/>
        <n x="1337" s="1"/>
      </t>
    </mdx>
    <mdx n="33" f="v">
      <t c="4" si="10">
        <n x="1064"/>
        <n x="0"/>
        <n x="32"/>
        <n x="1337" s="1"/>
      </t>
    </mdx>
    <mdx n="33" f="v">
      <t c="4">
        <n x="516"/>
        <n x="14"/>
        <n x="7"/>
        <n x="1337" s="1"/>
      </t>
    </mdx>
    <mdx n="33" f="v">
      <t c="4">
        <n x="1023"/>
        <n x="11"/>
        <n x="7"/>
        <n x="1337" s="1"/>
      </t>
    </mdx>
    <mdx n="33" f="v">
      <t c="4">
        <n x="384"/>
        <n x="11"/>
        <n x="7"/>
        <n x="1337" s="1"/>
      </t>
    </mdx>
    <mdx n="33" f="v">
      <t c="4">
        <n x="77"/>
        <n x="11"/>
        <n x="7"/>
        <n x="1337" s="1"/>
      </t>
    </mdx>
    <mdx n="33" f="v">
      <t c="4">
        <n x="615"/>
        <n x="1"/>
        <n x="7"/>
        <n x="1337" s="1"/>
      </t>
    </mdx>
    <mdx n="33" f="v">
      <t c="4">
        <n x="357"/>
        <n x="1"/>
        <n x="7"/>
        <n x="1337" s="1"/>
      </t>
    </mdx>
    <mdx n="33" f="v">
      <t c="4">
        <n x="1069"/>
        <n x="11"/>
        <n x="32"/>
        <n x="1337" s="1"/>
      </t>
    </mdx>
    <mdx n="33" f="v">
      <t c="4" si="10">
        <n x="478"/>
        <n x="11"/>
        <n x="32"/>
        <n x="1337" s="1"/>
      </t>
    </mdx>
    <mdx n="33" f="v">
      <t c="4">
        <n x="162"/>
        <n x="11"/>
        <n x="32"/>
        <n x="1337" s="1"/>
      </t>
    </mdx>
    <mdx n="33" f="v">
      <t c="4" si="10">
        <n x="1136"/>
        <n x="12"/>
        <n x="32"/>
        <n x="1337" s="1"/>
      </t>
    </mdx>
    <mdx n="33" f="v">
      <t c="4" si="10">
        <n x="577"/>
        <n x="12"/>
        <n x="32"/>
        <n x="1337" s="1"/>
      </t>
    </mdx>
    <mdx n="33" f="v">
      <t c="4">
        <n x="270"/>
        <n x="12"/>
        <n x="32"/>
        <n x="1337" s="1"/>
      </t>
    </mdx>
    <mdx n="33" f="v">
      <t c="4" si="10">
        <n x="1122"/>
        <n x="14"/>
        <n x="32"/>
        <n x="1337" s="1"/>
      </t>
    </mdx>
    <mdx n="33" f="v">
      <t c="3">
        <n x="747"/>
        <n x="1336"/>
        <n x="1337" s="1"/>
      </t>
    </mdx>
    <mdx n="33" f="v">
      <t c="4">
        <n x="909"/>
        <n x="1"/>
        <n x="7"/>
        <n x="1337" s="1"/>
      </t>
    </mdx>
    <mdx n="33" f="v">
      <t c="4" si="10">
        <n x="1068"/>
        <n x="0"/>
        <n x="32"/>
        <n x="1337" s="1"/>
      </t>
    </mdx>
    <mdx n="33" f="v">
      <t c="4">
        <n x="496"/>
        <n x="14"/>
        <n x="7"/>
        <n x="1337" s="1"/>
      </t>
    </mdx>
    <mdx n="33" f="v">
      <t c="4">
        <n x="1016"/>
        <n x="11"/>
        <n x="7"/>
        <n x="1337" s="1"/>
      </t>
    </mdx>
    <mdx n="33" f="v">
      <t c="4">
        <n x="379"/>
        <n x="11"/>
        <n x="7"/>
        <n x="1337" s="1"/>
      </t>
    </mdx>
    <mdx n="33" f="v">
      <t c="4">
        <n x="49"/>
        <n x="11"/>
        <n x="7"/>
        <n x="1337" s="1"/>
      </t>
    </mdx>
    <mdx n="33" f="v">
      <t c="4">
        <n x="610"/>
        <n x="1"/>
        <n x="7"/>
        <n x="1337" s="1"/>
      </t>
    </mdx>
    <mdx n="33" f="v">
      <t c="4">
        <n x="352"/>
        <n x="1"/>
        <n x="7"/>
        <n x="1337" s="1"/>
      </t>
    </mdx>
    <mdx n="33" f="v">
      <t c="4" si="10">
        <n x="1064"/>
        <n x="11"/>
        <n x="32"/>
        <n x="1337" s="1"/>
      </t>
    </mdx>
    <mdx n="33" f="v">
      <t c="4">
        <n x="473"/>
        <n x="11"/>
        <n x="32"/>
        <n x="1337" s="1"/>
      </t>
    </mdx>
    <mdx n="33" f="v">
      <t c="4">
        <n x="154"/>
        <n x="11"/>
        <n x="32"/>
        <n x="1337" s="1"/>
      </t>
    </mdx>
    <mdx n="33" f="v">
      <t c="4">
        <n x="787"/>
        <n x="12"/>
        <n x="7"/>
        <n x="1337" s="1"/>
      </t>
    </mdx>
    <mdx n="33" f="v">
      <t c="4">
        <n x="966"/>
        <n x="1"/>
        <n x="32"/>
        <n x="1337" s="1"/>
      </t>
    </mdx>
    <mdx n="33" f="v">
      <t c="4" si="10">
        <n x="859"/>
        <n x="1"/>
        <n x="32"/>
        <n x="1337" s="1"/>
      </t>
    </mdx>
    <mdx n="33" f="v">
      <t c="4" si="9">
        <n x="981"/>
        <n x="12"/>
        <n x="7"/>
        <n x="1337" s="1"/>
      </t>
    </mdx>
    <mdx n="33" f="v">
      <t c="4" si="10">
        <n x="1279"/>
        <n x="0"/>
        <n x="32"/>
        <n x="1337" s="1"/>
      </t>
    </mdx>
    <mdx n="33" f="v">
      <t c="4">
        <n x="808"/>
        <n x="0"/>
        <n x="7"/>
        <n x="1337" s="1"/>
      </t>
    </mdx>
    <mdx n="33" f="v">
      <t c="4">
        <n x="923"/>
        <n x="0"/>
        <n x="7"/>
        <n x="1337" s="1"/>
      </t>
    </mdx>
    <mdx n="33" f="v">
      <t c="4">
        <n x="1098"/>
        <n x="12"/>
        <n x="7"/>
        <n x="1337" s="1"/>
      </t>
    </mdx>
    <mdx n="33" f="v">
      <t c="4">
        <n x="322"/>
        <n x="14"/>
        <n x="7"/>
        <n x="1337" s="1"/>
      </t>
    </mdx>
    <mdx n="33" f="v">
      <t c="4">
        <n x="964"/>
        <n x="0"/>
        <n x="7"/>
        <n x="1337" s="1"/>
      </t>
    </mdx>
    <mdx n="33" f="v">
      <t c="4">
        <n x="283"/>
        <n x="11"/>
        <n x="7"/>
        <n x="1337" s="1"/>
      </t>
    </mdx>
    <mdx n="33" f="v">
      <t c="4">
        <n x="602"/>
        <n x="11"/>
        <n x="32"/>
        <n x="1337" s="1"/>
      </t>
    </mdx>
    <mdx n="33" f="v">
      <t c="4">
        <n x="452"/>
        <n x="12"/>
        <n x="32"/>
        <n x="1337" s="1"/>
      </t>
    </mdx>
    <mdx n="33" f="v">
      <t c="4">
        <n x="968"/>
        <n x="0"/>
        <n x="7"/>
        <n x="1337" s="1"/>
      </t>
    </mdx>
    <mdx n="33" f="v">
      <t c="4">
        <n x="433"/>
        <n x="11"/>
        <n x="7"/>
        <n x="1337" s="1"/>
      </t>
    </mdx>
    <mdx n="33" f="v">
      <t c="4">
        <n x="251"/>
        <n x="11"/>
        <n x="7"/>
        <n x="1337" s="1"/>
      </t>
    </mdx>
    <mdx n="33" f="v">
      <t c="4">
        <n x="983"/>
        <n x="1"/>
        <n x="7"/>
        <n x="1337" s="1"/>
      </t>
    </mdx>
    <mdx n="33" f="v">
      <t c="4">
        <n x="299"/>
        <n x="1"/>
        <n x="7"/>
        <n x="1337" s="1"/>
      </t>
    </mdx>
    <mdx n="33" f="v">
      <t c="4">
        <n x="593"/>
        <n x="11"/>
        <n x="32"/>
        <n x="1337" s="1"/>
      </t>
    </mdx>
    <mdx n="33" f="v">
      <t c="4">
        <n x="160"/>
        <n x="11"/>
        <n x="32"/>
        <n x="1337" s="1"/>
      </t>
    </mdx>
    <mdx n="33" f="v">
      <t c="4">
        <n x="1123"/>
        <n x="12"/>
        <n x="32"/>
        <n x="1337" s="1"/>
      </t>
    </mdx>
    <mdx n="33" f="v">
      <t c="4" si="10">
        <n x="564"/>
        <n x="12"/>
        <n x="32"/>
        <n x="1337" s="1"/>
      </t>
    </mdx>
    <mdx n="33" f="v">
      <t c="4">
        <n x="218"/>
        <n x="12"/>
        <n x="32"/>
        <n x="1337" s="1"/>
      </t>
    </mdx>
    <mdx n="33" f="v">
      <t c="4" si="10">
        <n x="781"/>
        <n x="14"/>
        <n x="32"/>
        <n x="1337" s="1"/>
      </t>
    </mdx>
    <mdx n="33" f="v">
      <t c="4">
        <n x="917"/>
        <n x="1"/>
        <n x="32"/>
        <n x="1337" s="1"/>
      </t>
    </mdx>
    <mdx n="33" f="v">
      <t c="4">
        <n x="1084"/>
        <n x="0"/>
        <n x="7"/>
        <n x="1337" s="1"/>
      </t>
    </mdx>
    <mdx n="33" f="v">
      <t c="4">
        <n x="399"/>
        <n x="14"/>
        <n x="7"/>
        <n x="1337" s="1"/>
      </t>
    </mdx>
    <mdx n="33" f="v">
      <t c="4">
        <n x="988"/>
        <n x="11"/>
        <n x="7"/>
        <n x="1337" s="1"/>
      </t>
    </mdx>
    <mdx n="33" f="v">
      <t c="4">
        <n x="358"/>
        <n x="11"/>
        <n x="7"/>
        <n x="1337" s="1"/>
      </t>
    </mdx>
    <mdx n="33" f="v">
      <t c="4">
        <n x="50"/>
        <n x="11"/>
        <n x="7"/>
        <n x="1337" s="1"/>
      </t>
    </mdx>
    <mdx n="33" f="v">
      <t c="4" si="9">
        <n x="589"/>
        <n x="1"/>
        <n x="7"/>
        <n x="1337" s="1"/>
      </t>
    </mdx>
    <mdx n="33" f="v">
      <t c="4">
        <n x="331"/>
        <n x="1"/>
        <n x="7"/>
        <n x="1337" s="1"/>
      </t>
    </mdx>
    <mdx n="33" f="v">
      <t c="4" si="10">
        <n x="1043"/>
        <n x="11"/>
        <n x="32"/>
        <n x="1337" s="1"/>
      </t>
    </mdx>
    <mdx n="33" f="v">
      <t c="4" si="10">
        <n x="473"/>
        <n x="0"/>
        <n x="32"/>
        <n x="1337" s="1"/>
      </t>
    </mdx>
    <mdx n="33" f="v">
      <t c="4">
        <n x="715"/>
        <n x="0"/>
        <n x="7"/>
        <n x="1337" s="1"/>
      </t>
    </mdx>
    <mdx n="33" f="v">
      <t c="3">
        <n x="717"/>
        <n x="1336"/>
        <n x="1337" s="1"/>
      </t>
    </mdx>
    <mdx n="33" f="v">
      <t c="4">
        <n x="660"/>
        <n x="14"/>
        <n x="7"/>
        <n x="1337" s="1"/>
      </t>
    </mdx>
    <mdx n="33" f="v">
      <t c="3">
        <n x="792"/>
        <n x="1336"/>
        <n x="1337" s="1"/>
      </t>
    </mdx>
    <mdx n="33" f="v">
      <t c="4">
        <n x="712"/>
        <n x="14"/>
        <n x="7"/>
        <n x="1337" s="1"/>
      </t>
    </mdx>
    <mdx n="33" f="v">
      <t c="4">
        <n x="1132"/>
        <n x="12"/>
        <n x="7"/>
        <n x="1337" s="1"/>
      </t>
    </mdx>
    <mdx n="33" f="v">
      <t c="4">
        <n x="713"/>
        <n x="1"/>
        <n x="32"/>
        <n x="1337" s="1"/>
      </t>
    </mdx>
    <mdx n="33" f="v">
      <t c="4">
        <n x="840"/>
        <n x="14"/>
        <n x="7"/>
        <n x="1337" s="1"/>
      </t>
    </mdx>
    <mdx n="33" f="v">
      <t c="4">
        <n x="993"/>
        <n x="0"/>
        <n x="7"/>
        <n x="1337" s="1"/>
      </t>
    </mdx>
    <mdx n="33" f="v">
      <t c="4">
        <n x="531"/>
        <n x="14"/>
        <n x="7"/>
        <n x="1337" s="1"/>
      </t>
    </mdx>
    <mdx n="33" f="v">
      <t c="3">
        <n x="364"/>
        <n x="1336"/>
        <n x="1337" s="1"/>
      </t>
    </mdx>
    <mdx n="33" f="v">
      <t c="4" si="10">
        <n x="539"/>
        <n x="0"/>
        <n x="32"/>
        <n x="1337" s="1"/>
      </t>
    </mdx>
    <mdx n="33" f="v">
      <t c="4">
        <n x="698"/>
        <n x="0"/>
        <n x="7"/>
        <n x="1337" s="1"/>
      </t>
    </mdx>
    <mdx n="33" f="v">
      <t c="3">
        <n x="803"/>
        <n x="1336"/>
        <n x="1337" s="1"/>
      </t>
    </mdx>
    <mdx n="33" f="v">
      <t c="4">
        <n x="817"/>
        <n x="11"/>
        <n x="7"/>
        <n x="1337" s="1"/>
      </t>
    </mdx>
    <mdx n="33" f="v">
      <t c="4">
        <n x="925"/>
        <n x="12"/>
        <n x="32"/>
        <n x="1337" s="1"/>
      </t>
    </mdx>
    <mdx n="33" f="v">
      <t c="3">
        <n x="1103"/>
        <n x="1336"/>
        <n x="1337" s="1"/>
      </t>
    </mdx>
    <mdx n="33" f="v">
      <t c="4">
        <n x="256"/>
        <n x="14"/>
        <n x="7"/>
        <n x="1337" s="1"/>
      </t>
    </mdx>
    <mdx n="33" f="v">
      <t c="4" si="10">
        <n x="855"/>
        <n x="1"/>
        <n x="32"/>
        <n x="1337" s="1"/>
      </t>
    </mdx>
    <mdx n="33" f="v">
      <t c="4">
        <n x="817"/>
        <n x="1"/>
        <n x="32"/>
        <n x="1337" s="1"/>
      </t>
    </mdx>
    <mdx n="33" f="v">
      <t c="4">
        <n x="982"/>
        <n x="1"/>
        <n x="32"/>
        <n x="1337" s="1"/>
      </t>
    </mdx>
    <mdx n="33" f="v">
      <t c="4">
        <n x="861"/>
        <n x="11"/>
        <n x="7"/>
        <n x="1337" s="1"/>
      </t>
    </mdx>
    <mdx n="33" f="v">
      <t c="4">
        <n x="985"/>
        <n x="12"/>
        <n x="7"/>
        <n x="1337" s="1"/>
      </t>
    </mdx>
    <mdx n="33" f="v">
      <t c="4" si="10">
        <n x="1289"/>
        <n x="0"/>
        <n x="32"/>
        <n x="1337" s="1"/>
      </t>
    </mdx>
    <mdx n="33" f="v">
      <t c="4">
        <n x="815"/>
        <n x="1"/>
        <n x="7"/>
        <n x="1337" s="1"/>
      </t>
    </mdx>
    <mdx n="33" f="v">
      <t c="4">
        <n x="862"/>
        <n x="1"/>
        <n x="7"/>
        <n x="1337" s="1"/>
      </t>
    </mdx>
    <mdx n="33" f="v">
      <t c="3">
        <n x="893"/>
        <n x="1336"/>
        <n x="1337" s="1"/>
      </t>
    </mdx>
    <mdx n="33" f="v">
      <t c="3">
        <n x="925"/>
        <n x="1336"/>
        <n x="1337" s="1"/>
      </t>
    </mdx>
    <mdx n="33" f="v">
      <t c="4">
        <n x="964"/>
        <n x="1"/>
        <n x="32"/>
        <n x="1337" s="1"/>
      </t>
    </mdx>
    <mdx n="33" f="v">
      <t c="4">
        <n x="1031"/>
        <n x="0"/>
        <n x="7"/>
        <n x="1337" s="1"/>
      </t>
    </mdx>
    <mdx n="33" f="v">
      <t c="4">
        <n x="1102"/>
        <n x="12"/>
        <n x="7"/>
        <n x="1337" s="1"/>
      </t>
    </mdx>
    <mdx n="33" f="v">
      <t c="4">
        <n x="1237"/>
        <n x="12"/>
        <n x="7"/>
        <n x="1337" s="1"/>
      </t>
    </mdx>
    <mdx n="33" f="v">
      <t c="4">
        <n x="993"/>
        <n x="14"/>
        <n x="7"/>
        <n x="1337" s="1"/>
      </t>
    </mdx>
    <mdx n="33" f="v">
      <t c="4">
        <n x="280"/>
        <n x="14"/>
        <n x="7"/>
        <n x="1337" s="1"/>
      </t>
    </mdx>
    <mdx n="33" f="v">
      <t c="4">
        <n x="1053"/>
        <n x="11"/>
        <n x="7"/>
        <n x="1337" s="1"/>
      </t>
    </mdx>
    <mdx n="33" f="v">
      <t c="4">
        <n x="827"/>
        <n x="1"/>
        <n x="7"/>
        <n x="1337" s="1"/>
      </t>
    </mdx>
    <mdx n="33" f="v">
      <t c="4">
        <n x="980"/>
        <n x="0"/>
        <n x="7"/>
        <n x="1337" s="1"/>
      </t>
    </mdx>
    <mdx n="33" f="v">
      <t c="4">
        <n x="612"/>
        <n x="14"/>
        <n x="7"/>
        <n x="1337" s="1"/>
      </t>
    </mdx>
    <mdx n="33" f="v">
      <t c="4">
        <n x="437"/>
        <n x="11"/>
        <n x="7"/>
        <n x="1337" s="1"/>
      </t>
    </mdx>
    <mdx n="33" f="v">
      <t c="4">
        <n x="272"/>
        <n x="11"/>
        <n x="7"/>
        <n x="1337" s="1"/>
      </t>
    </mdx>
    <mdx n="33" f="v">
      <t c="4">
        <n x="976"/>
        <n x="1"/>
        <n x="7"/>
        <n x="1337" s="1"/>
      </t>
    </mdx>
    <mdx n="33" f="v">
      <t c="4">
        <n x="302"/>
        <n x="1"/>
        <n x="7"/>
        <n x="1337" s="1"/>
      </t>
    </mdx>
    <mdx n="33" f="v">
      <t c="4" si="10">
        <n x="582"/>
        <n x="11"/>
        <n x="32"/>
        <n x="1337" s="1"/>
      </t>
    </mdx>
    <mdx n="33" f="v">
      <t c="4">
        <n x="281"/>
        <n x="11"/>
        <n x="32"/>
        <n x="1337" s="1"/>
      </t>
    </mdx>
    <mdx n="33" f="v">
      <t c="4" si="10">
        <n x="1049"/>
        <n x="0"/>
        <n x="32"/>
        <n x="1337" s="1"/>
      </t>
    </mdx>
    <mdx n="33" f="v">
      <t c="4" si="10">
        <n x="1113"/>
        <n x="0"/>
        <n x="32"/>
        <n x="1337" s="1"/>
      </t>
    </mdx>
    <mdx n="33" f="v">
      <t c="4">
        <n x="1288"/>
        <n x="12"/>
        <n x="7"/>
        <n x="1337" s="1"/>
      </t>
    </mdx>
    <mdx n="33" f="v">
      <t c="4" si="9">
        <n x="591"/>
        <n x="14"/>
        <n x="7"/>
        <n x="1337" s="1"/>
      </t>
    </mdx>
    <mdx n="33" f="v">
      <t c="4">
        <n x="270"/>
        <n x="14"/>
        <n x="7"/>
        <n x="1337" s="1"/>
      </t>
    </mdx>
    <mdx n="33" f="v">
      <t c="4" si="10">
        <n x="683"/>
        <n x="0"/>
        <n x="32"/>
        <n x="1337" s="1"/>
      </t>
    </mdx>
    <mdx n="33" f="v">
      <t c="4" si="10">
        <n x="809"/>
        <n x="11"/>
        <n x="32"/>
        <n x="1337" s="1"/>
      </t>
    </mdx>
    <mdx n="33" f="v">
      <t c="4">
        <n x="859"/>
        <n x="1"/>
        <n x="7"/>
        <n x="1337" s="1"/>
      </t>
    </mdx>
    <mdx n="33" f="v">
      <t c="4">
        <n x="894"/>
        <n x="14"/>
        <n x="32"/>
        <n x="1337" s="1"/>
      </t>
    </mdx>
    <mdx n="33" f="v">
      <t c="4" si="10">
        <n x="662"/>
        <n x="12"/>
        <n x="32"/>
        <n x="1337" s="1"/>
      </t>
    </mdx>
    <mdx n="33" f="v">
      <t c="4">
        <n x="449"/>
        <n x="0"/>
        <n x="7"/>
        <n x="1337" s="1"/>
      </t>
    </mdx>
    <mdx n="33" f="v">
      <t c="4">
        <n x="812"/>
        <n x="1"/>
        <n x="32"/>
        <n x="1337" s="1"/>
      </t>
    </mdx>
    <mdx n="33" f="v">
      <t c="4" si="10">
        <n x="865"/>
        <n x="0"/>
        <n x="32"/>
        <n x="1337" s="1"/>
      </t>
    </mdx>
    <mdx n="33" f="v">
      <t c="4" si="10">
        <n x="1021"/>
        <n x="0"/>
        <n x="32"/>
        <n x="1337" s="1"/>
      </t>
    </mdx>
    <mdx n="33" f="v">
      <t c="4">
        <n x="209"/>
        <n x="14"/>
        <n x="7"/>
        <n x="1337" s="1"/>
      </t>
    </mdx>
    <mdx n="33" f="v">
      <t c="3">
        <n x="802"/>
        <n x="1336"/>
        <n x="1337" s="1"/>
      </t>
    </mdx>
    <mdx n="33" f="v">
      <t c="4">
        <n x="867"/>
        <n x="1"/>
        <n x="7"/>
        <n x="1337" s="1"/>
      </t>
    </mdx>
    <mdx n="33" f="v">
      <t c="4">
        <n x="905"/>
        <n x="11"/>
        <n x="32"/>
        <n x="1337" s="1"/>
      </t>
    </mdx>
    <mdx n="33" f="v">
      <t c="4">
        <n x="928"/>
        <n x="12"/>
        <n x="32"/>
        <n x="1337" s="1"/>
      </t>
    </mdx>
    <mdx n="33" f="v">
      <t c="4">
        <n x="956"/>
        <n x="1"/>
        <n x="7"/>
        <n x="1337" s="1"/>
      </t>
    </mdx>
    <mdx n="33" f="v">
      <t c="4" si="10">
        <n x="1007"/>
        <n x="1"/>
        <n x="32"/>
        <n x="1337" s="1"/>
      </t>
    </mdx>
    <mdx n="33" f="v">
      <t c="4">
        <n x="1058"/>
        <n x="0"/>
        <n x="7"/>
        <n x="1337" s="1"/>
      </t>
    </mdx>
    <mdx n="33" f="v">
      <t c="4">
        <n x="1110"/>
        <n x="0"/>
        <n x="32"/>
        <n x="1337" s="1"/>
      </t>
    </mdx>
    <mdx n="33" f="v">
      <t c="4" si="10">
        <n x="1217"/>
        <n x="0"/>
        <n x="32"/>
        <n x="1337" s="1"/>
      </t>
    </mdx>
    <mdx n="33" f="v">
      <t c="4" si="9">
        <n x="1114"/>
        <n x="14"/>
        <n x="7"/>
        <n x="1337" s="1"/>
      </t>
    </mdx>
    <mdx n="33" f="v">
      <t c="4" si="9">
        <n x="542"/>
        <n x="14"/>
        <n x="7"/>
        <n x="1337" s="1"/>
      </t>
    </mdx>
    <mdx n="33" f="v">
      <t c="4" si="10">
        <n x="588"/>
        <n x="1"/>
        <n x="32"/>
        <n x="1337" s="1"/>
      </t>
    </mdx>
    <mdx n="33" f="v">
      <t c="4" si="10">
        <n x="757"/>
        <n x="0"/>
        <n x="32"/>
        <n x="1337" s="1"/>
      </t>
    </mdx>
    <mdx n="33" f="v">
      <t c="4">
        <n x="838"/>
        <n x="12"/>
        <n x="32"/>
        <n x="1337" s="1"/>
      </t>
    </mdx>
    <mdx n="33" f="v">
      <t c="4" si="10">
        <n x="865"/>
        <n x="14"/>
        <n x="32"/>
        <n x="1337" s="1"/>
      </t>
    </mdx>
    <mdx n="33" f="v">
      <t c="4">
        <n x="888"/>
        <n x="11"/>
        <n x="7"/>
        <n x="1337" s="1"/>
      </t>
    </mdx>
    <mdx n="33" f="v">
      <t c="4">
        <n x="912"/>
        <n x="12"/>
        <n x="7"/>
        <n x="1337" s="1"/>
      </t>
    </mdx>
    <mdx n="33" f="v">
      <t c="4">
        <n x="935"/>
        <n x="0"/>
        <n x="7"/>
        <n x="1337" s="1"/>
      </t>
    </mdx>
    <mdx n="33" f="v">
      <t c="4" si="10">
        <n x="971"/>
        <n x="0"/>
        <n x="32"/>
        <n x="1337" s="1"/>
      </t>
    </mdx>
    <mdx n="33" f="v">
      <t c="4">
        <n x="1022"/>
        <n x="12"/>
        <n x="7"/>
        <n x="1337" s="1"/>
      </t>
    </mdx>
    <mdx n="33" f="v">
      <t c="3">
        <n x="1073"/>
        <n x="1336"/>
        <n x="1337" s="1"/>
      </t>
    </mdx>
    <mdx n="33" f="v">
      <t c="4">
        <n x="1125"/>
        <n x="12"/>
        <n x="7"/>
        <n x="1337" s="1"/>
      </t>
    </mdx>
    <mdx n="33" f="v">
      <t c="4">
        <n x="1253"/>
        <n x="12"/>
        <n x="7"/>
        <n x="1337" s="1"/>
      </t>
    </mdx>
    <mdx n="33" f="v">
      <t c="4">
        <n x="1041"/>
        <n x="14"/>
        <n x="7"/>
        <n x="1337" s="1"/>
      </t>
    </mdx>
    <mdx n="33" f="v">
      <t c="4">
        <n x="461"/>
        <n x="14"/>
        <n x="7"/>
        <n x="1337" s="1"/>
      </t>
    </mdx>
    <mdx n="33" f="v">
      <t c="4">
        <n x="203"/>
        <n x="14"/>
        <n x="7"/>
        <n x="1337" s="1"/>
      </t>
    </mdx>
    <mdx n="33" f="v">
      <t c="4">
        <n x="1021"/>
        <n x="11"/>
        <n x="7"/>
        <n x="1337" s="1"/>
      </t>
    </mdx>
    <mdx n="33" f="v">
      <t c="4" si="10">
        <n x="751"/>
        <n x="14"/>
        <n x="32"/>
        <n x="1337" s="1"/>
      </t>
    </mdx>
    <mdx n="33" f="v">
      <t c="4">
        <n x="910"/>
        <n x="12"/>
        <n x="32"/>
        <n x="1337" s="1"/>
      </t>
    </mdx>
    <mdx n="33" f="v">
      <t c="3">
        <n x="1070"/>
        <n x="1336"/>
        <n x="1337" s="1"/>
      </t>
    </mdx>
    <mdx n="33" f="v">
      <t c="4" si="9">
        <n x="484"/>
        <n x="14"/>
        <n x="7"/>
        <n x="1337" s="1"/>
      </t>
    </mdx>
    <mdx n="33" f="v">
      <t c="4">
        <n x="1012"/>
        <n x="11"/>
        <n x="7"/>
        <n x="1337" s="1"/>
      </t>
    </mdx>
    <mdx n="33" f="v">
      <t c="4">
        <n x="376"/>
        <n x="11"/>
        <n x="7"/>
        <n x="1337" s="1"/>
      </t>
    </mdx>
    <mdx n="33" f="v">
      <t c="4">
        <n x="106"/>
        <n x="11"/>
        <n x="7"/>
        <n x="1337" s="1"/>
      </t>
    </mdx>
    <mdx n="33" f="v">
      <t c="4">
        <n x="607"/>
        <n x="1"/>
        <n x="7"/>
        <n x="1337" s="1"/>
      </t>
    </mdx>
    <mdx n="33" f="v">
      <t c="4">
        <n x="349"/>
        <n x="1"/>
        <n x="7"/>
        <n x="1337" s="1"/>
      </t>
    </mdx>
    <mdx n="33" f="v">
      <t c="4">
        <n x="1061"/>
        <n x="11"/>
        <n x="32"/>
        <n x="1337" s="1"/>
      </t>
    </mdx>
    <mdx n="33" f="v">
      <t c="4">
        <n x="470"/>
        <n x="11"/>
        <n x="32"/>
        <n x="1337" s="1"/>
      </t>
    </mdx>
    <mdx n="33" f="v">
      <t c="4">
        <n x="334"/>
        <n x="1"/>
        <n x="32"/>
        <n x="1337" s="1"/>
      </t>
    </mdx>
    <mdx n="33" f="v">
      <t c="4">
        <n x="683"/>
        <n x="11"/>
        <n x="32"/>
        <n x="1337" s="1"/>
      </t>
    </mdx>
    <mdx n="33" f="v">
      <t c="4">
        <n x="817"/>
        <n x="14"/>
        <n x="7"/>
        <n x="1337" s="1"/>
      </t>
    </mdx>
    <mdx n="33" f="v">
      <t c="3" fi="0">
        <n x="556"/>
        <n x="1336"/>
        <n x="1337" s="1"/>
      </t>
    </mdx>
    <mdx n="33" f="v">
      <t c="4">
        <n x="716"/>
        <n x="12"/>
        <n x="7"/>
        <n x="1337" s="1"/>
      </t>
    </mdx>
    <mdx n="33" f="v">
      <t c="4" si="10">
        <n x="801"/>
        <n x="1"/>
        <n x="32"/>
        <n x="1337" s="1"/>
      </t>
    </mdx>
    <mdx n="33" f="v">
      <t c="4">
        <n x="973"/>
        <n x="0"/>
        <n x="7"/>
        <n x="1337" s="1"/>
      </t>
    </mdx>
    <mdx n="33" f="v">
      <t c="4" si="10">
        <n x="802"/>
        <n x="12"/>
        <n x="32"/>
        <n x="1337" s="1"/>
      </t>
    </mdx>
    <mdx n="33" f="v">
      <t c="4" si="10">
        <n x="763"/>
        <n x="14"/>
        <n x="32"/>
        <n x="1337" s="1"/>
      </t>
    </mdx>
    <mdx n="33" f="v">
      <t c="4">
        <n x="947"/>
        <n x="11"/>
        <n x="7"/>
        <n x="1337" s="1"/>
      </t>
    </mdx>
    <mdx n="33" f="v">
      <t c="4">
        <n x="1103"/>
        <n x="14"/>
        <n x="7"/>
        <n x="1337" s="1"/>
      </t>
    </mdx>
    <mdx n="33" f="v">
      <t c="4">
        <n x="448"/>
        <n x="12"/>
        <n x="7"/>
        <n x="1337" s="1"/>
      </t>
    </mdx>
    <mdx n="33" f="v">
      <t c="4" si="10">
        <n x="779"/>
        <n x="0"/>
        <n x="32"/>
        <n x="1337" s="1"/>
      </t>
    </mdx>
    <mdx n="33" f="v">
      <t c="4">
        <n x="650"/>
        <n x="11"/>
        <n x="32"/>
        <n x="1337" s="1"/>
      </t>
    </mdx>
    <mdx n="33" f="v">
      <t c="4">
        <n x="783"/>
        <n x="11"/>
        <n x="7"/>
        <n x="1337" s="1"/>
      </t>
    </mdx>
    <mdx n="33" f="v">
      <t c="4">
        <n x="741"/>
        <n x="12"/>
        <n x="32"/>
        <n x="1337" s="1"/>
      </t>
    </mdx>
    <mdx n="33" f="v">
      <t c="4">
        <n x="908"/>
        <n x="1"/>
        <n x="32"/>
        <n x="1337" s="1"/>
      </t>
    </mdx>
    <mdx n="33" f="v">
      <t c="4" si="10">
        <n x="1065"/>
        <n x="0"/>
        <n x="32"/>
        <n x="1337" s="1"/>
      </t>
    </mdx>
    <mdx n="33" f="v">
      <t c="4" si="9">
        <n x="511"/>
        <n x="14"/>
        <n x="7"/>
        <n x="1337" s="1"/>
      </t>
    </mdx>
    <mdx n="33" f="v">
      <t c="4">
        <n x="832"/>
        <n x="11"/>
        <n x="7"/>
        <n x="1337" s="1"/>
      </t>
    </mdx>
    <mdx n="33" f="v">
      <t c="4">
        <n x="719"/>
        <n x="1"/>
        <n x="32"/>
        <n x="1337" s="1"/>
      </t>
    </mdx>
    <mdx n="33" f="v">
      <t c="4">
        <n x="894"/>
        <n x="12"/>
        <n x="7"/>
        <n x="1337" s="1"/>
      </t>
    </mdx>
    <mdx n="33" f="v">
      <t c="4">
        <n x="833"/>
        <n x="11"/>
        <n x="7"/>
        <n x="1337" s="1"/>
      </t>
    </mdx>
    <mdx n="33" f="v">
      <t c="4">
        <n x="950"/>
        <n x="14"/>
        <n x="32"/>
        <n x="1337" s="1"/>
      </t>
    </mdx>
    <mdx n="33" f="v">
      <t c="4">
        <n x="1193"/>
        <n x="0"/>
        <n x="32"/>
        <n x="1337" s="1"/>
      </t>
    </mdx>
    <mdx n="33" f="v">
      <t c="4" si="10">
        <n x="739"/>
        <n x="14"/>
        <n x="32"/>
        <n x="1337" s="1"/>
      </t>
    </mdx>
    <mdx n="33" f="v">
      <t c="4">
        <n x="856"/>
        <n x="11"/>
        <n x="7"/>
        <n x="1337" s="1"/>
      </t>
    </mdx>
    <mdx n="33" f="v">
      <t c="4">
        <n x="887"/>
        <n x="0"/>
        <n x="7"/>
        <n x="1337" s="1"/>
      </t>
    </mdx>
    <mdx n="33" f="v">
      <t c="4">
        <n x="919"/>
        <n x="0"/>
        <n x="7"/>
        <n x="1337" s="1"/>
      </t>
    </mdx>
    <mdx n="33" f="v">
      <t c="4">
        <n x="953"/>
        <n x="1"/>
        <n x="7"/>
        <n x="1337" s="1"/>
      </t>
    </mdx>
    <mdx n="33" f="v">
      <t c="4">
        <n x="1019"/>
        <n x="0"/>
        <n x="32"/>
        <n x="1337" s="1"/>
      </t>
    </mdx>
    <mdx n="33" f="v">
      <t c="3">
        <n x="1089"/>
        <n x="1336"/>
        <n x="1337" s="1"/>
      </t>
    </mdx>
    <mdx n="33" f="v">
      <t c="4">
        <n x="1205"/>
        <n x="12"/>
        <n x="7"/>
        <n x="1337" s="1"/>
      </t>
    </mdx>
    <mdx n="33" f="v">
      <t c="4">
        <n x="1057"/>
        <n x="14"/>
        <n x="7"/>
        <n x="1337" s="1"/>
      </t>
    </mdx>
    <mdx n="33" f="v">
      <t c="4">
        <n x="366"/>
        <n x="14"/>
        <n x="7"/>
        <n x="1337" s="1"/>
      </t>
    </mdx>
    <mdx n="33" f="v">
      <t c="4">
        <n x="1117"/>
        <n x="11"/>
        <n x="7"/>
        <n x="1337" s="1"/>
      </t>
    </mdx>
    <mdx n="33" f="v">
      <t c="4">
        <n x="728"/>
        <n x="1"/>
        <n x="32"/>
        <n x="1337" s="1"/>
      </t>
    </mdx>
    <mdx n="33" f="v">
      <t c="4">
        <n x="939"/>
        <n x="11"/>
        <n x="7"/>
        <n x="1337" s="1"/>
      </t>
    </mdx>
    <mdx n="33" f="v">
      <t c="4" si="10">
        <n x="1310"/>
        <n x="0"/>
        <n x="32"/>
        <n x="1337" s="1"/>
      </t>
    </mdx>
    <mdx n="33" f="v">
      <t c="4">
        <n x="1034"/>
        <n x="11"/>
        <n x="7"/>
        <n x="1337" s="1"/>
      </t>
    </mdx>
    <mdx n="33" f="v">
      <t c="4">
        <n x="253"/>
        <n x="11"/>
        <n x="7"/>
        <n x="1337" s="1"/>
      </t>
    </mdx>
    <mdx n="33" f="v">
      <t c="4">
        <n x="1040"/>
        <n x="1"/>
        <n x="7"/>
        <n x="1337" s="1"/>
      </t>
    </mdx>
    <mdx n="33" f="v">
      <t c="4">
        <n x="365"/>
        <n x="1"/>
        <n x="7"/>
        <n x="1337" s="1"/>
      </t>
    </mdx>
    <mdx n="33" f="v">
      <t c="4" si="10">
        <n x="981"/>
        <n x="11"/>
        <n x="32"/>
        <n x="1337" s="1"/>
      </t>
    </mdx>
    <mdx n="33" f="v">
      <t c="4">
        <n x="325"/>
        <n x="11"/>
        <n x="32"/>
        <n x="1337" s="1"/>
      </t>
    </mdx>
    <mdx n="33" f="v">
      <t c="4">
        <n x="1240"/>
        <n x="12"/>
        <n x="32"/>
        <n x="1337" s="1"/>
      </t>
    </mdx>
    <mdx n="33" f="v">
      <t c="4">
        <n x="996"/>
        <n x="12"/>
        <n x="32"/>
        <n x="1337" s="1"/>
      </t>
    </mdx>
    <mdx n="33" f="v">
      <t c="4" si="10">
        <n x="457"/>
        <n x="12"/>
        <n x="32"/>
        <n x="1337" s="1"/>
      </t>
    </mdx>
    <mdx n="33" f="v">
      <t c="4">
        <n x="161"/>
        <n x="12"/>
        <n x="32"/>
        <n x="1337" s="1"/>
      </t>
    </mdx>
    <mdx n="33" f="v">
      <t c="4">
        <n x="970"/>
        <n x="14"/>
        <n x="32"/>
        <n x="1337" s="1"/>
      </t>
    </mdx>
    <mdx n="33" f="v">
      <t c="4">
        <n x="871"/>
        <n x="11"/>
        <n x="7"/>
        <n x="1337" s="1"/>
      </t>
    </mdx>
    <mdx n="33" f="v">
      <t c="4">
        <n x="984"/>
        <n x="0"/>
        <n x="7"/>
        <n x="1337" s="1"/>
      </t>
    </mdx>
    <mdx n="33" f="v">
      <t c="4">
        <n x="1288"/>
        <n x="0"/>
        <n x="32"/>
        <n x="1337" s="1"/>
      </t>
    </mdx>
    <mdx n="33" f="v">
      <t c="4">
        <n x="49"/>
        <n x="14"/>
        <n x="7"/>
        <n x="1337" s="1"/>
      </t>
    </mdx>
    <mdx n="33" f="v">
      <t c="4" si="10">
        <n x="668"/>
        <n x="14"/>
        <n x="32"/>
        <n x="1337" s="1"/>
      </t>
    </mdx>
    <mdx n="33" f="v">
      <t c="4">
        <n x="799"/>
        <n x="11"/>
        <n x="7"/>
        <n x="1337" s="1"/>
      </t>
    </mdx>
    <mdx n="33" f="v">
      <t c="4">
        <n x="737"/>
        <n x="1"/>
        <n x="7"/>
        <n x="1337" s="1"/>
      </t>
    </mdx>
    <mdx n="33" f="v">
      <t c="4">
        <n x="837"/>
        <n x="0"/>
        <n x="32"/>
        <n x="1337" s="1"/>
      </t>
    </mdx>
    <mdx n="33" f="v">
      <t c="4">
        <n x="866"/>
        <n x="11"/>
        <n x="32"/>
        <n x="1337" s="1"/>
      </t>
    </mdx>
    <mdx n="33" f="v">
      <t c="4" si="10">
        <n x="973"/>
        <n x="0"/>
        <n x="32"/>
        <n x="1337" s="1"/>
      </t>
    </mdx>
    <mdx n="33" f="v">
      <t c="4">
        <n x="1258"/>
        <n x="12"/>
        <n x="7"/>
        <n x="1337" s="1"/>
      </t>
    </mdx>
    <mdx n="33" f="v">
      <t c="4" si="9">
        <n x="598"/>
        <n x="12"/>
        <n x="7"/>
        <n x="1337" s="1"/>
      </t>
    </mdx>
    <mdx n="33" f="v">
      <t c="4">
        <n x="805"/>
        <n x="12"/>
        <n x="7"/>
        <n x="1337" s="1"/>
      </t>
    </mdx>
    <mdx n="33" f="v">
      <t c="4">
        <n x="860"/>
        <n x="0"/>
        <n x="7"/>
        <n x="1337" s="1"/>
      </t>
    </mdx>
    <mdx n="33" f="v">
      <t c="4" si="10">
        <n x="891"/>
        <n x="1"/>
        <n x="32"/>
        <n x="1337" s="1"/>
      </t>
    </mdx>
    <mdx n="33" f="v">
      <t c="4">
        <n x="917"/>
        <n x="11"/>
        <n x="32"/>
        <n x="1337" s="1"/>
      </t>
    </mdx>
    <mdx n="33" f="v">
      <t c="4">
        <n x="940"/>
        <n x="14"/>
        <n x="7"/>
        <n x="1337" s="1"/>
      </t>
    </mdx>
    <mdx n="33" f="v">
      <t c="4" si="9">
        <n x="982"/>
        <n x="0"/>
        <n x="7"/>
        <n x="1337" s="1"/>
      </t>
    </mdx>
    <mdx n="33" f="v">
      <t c="4" si="10">
        <n x="1034"/>
        <n x="0"/>
        <n x="32"/>
        <n x="1337" s="1"/>
      </t>
    </mdx>
    <mdx n="33" f="v">
      <t c="4">
        <n x="1085"/>
        <n x="12"/>
        <n x="7"/>
        <n x="1337" s="1"/>
      </t>
    </mdx>
    <mdx n="33" f="v">
      <t c="4" si="10">
        <n x="1155"/>
        <n x="0"/>
        <n x="32"/>
        <n x="1337" s="1"/>
      </t>
    </mdx>
    <mdx n="33" f="v">
      <t c="4" si="10">
        <n x="1283"/>
        <n x="0"/>
        <n x="32"/>
        <n x="1337" s="1"/>
      </t>
    </mdx>
    <mdx n="33" f="v">
      <t c="4" si="9">
        <n x="982"/>
        <n x="14"/>
        <n x="7"/>
        <n x="1337" s="1"/>
      </t>
    </mdx>
    <mdx n="33" f="v">
      <t c="4">
        <n x="391"/>
        <n x="14"/>
        <n x="7"/>
        <n x="1337" s="1"/>
      </t>
    </mdx>
    <mdx n="33" f="v">
      <t c="4">
        <n x="711"/>
        <n x="14"/>
        <n x="7"/>
        <n x="1337" s="1"/>
      </t>
    </mdx>
    <mdx n="33" f="v">
      <t c="4">
        <n x="811"/>
        <n x="1"/>
        <n x="32"/>
        <n x="1337" s="1"/>
      </t>
    </mdx>
    <mdx n="33" f="v">
      <t c="4" si="10">
        <n x="854"/>
        <n x="1"/>
        <n x="32"/>
        <n x="1337" s="1"/>
      </t>
    </mdx>
    <mdx n="33" f="v">
      <t c="4" si="10">
        <n x="877"/>
        <n x="14"/>
        <n x="32"/>
        <n x="1337" s="1"/>
      </t>
    </mdx>
    <mdx n="33" f="v">
      <t c="4">
        <n x="900"/>
        <n x="11"/>
        <n x="7"/>
        <n x="1337" s="1"/>
      </t>
    </mdx>
    <mdx n="33" f="v">
      <t c="4">
        <n x="924"/>
        <n x="12"/>
        <n x="7"/>
        <n x="1337" s="1"/>
      </t>
    </mdx>
    <mdx n="33" f="v">
      <t c="4">
        <n x="950"/>
        <n x="0"/>
        <n x="32"/>
        <n x="1337" s="1"/>
      </t>
    </mdx>
    <mdx n="33" f="v">
      <t c="3">
        <n x="997"/>
        <n x="1336"/>
        <n x="1337" s="1"/>
      </t>
    </mdx>
    <mdx n="33" f="v">
      <t c="4">
        <n x="1048"/>
        <n x="1"/>
        <n x="32"/>
        <n x="1337" s="1"/>
      </t>
    </mdx>
    <mdx n="33" f="v">
      <t c="4">
        <n x="1099"/>
        <n x="0"/>
        <n x="7"/>
        <n x="1337" s="1"/>
      </t>
    </mdx>
    <mdx n="33" f="v">
      <t c="4">
        <n x="1191"/>
        <n x="12"/>
        <n x="7"/>
        <n x="1337" s="1"/>
      </t>
    </mdx>
    <mdx n="33" f="v">
      <t c="4">
        <n x="1319"/>
        <n x="12"/>
        <n x="7"/>
        <n x="1337" s="1"/>
      </t>
    </mdx>
    <mdx n="33" f="v">
      <t c="4">
        <n x="593"/>
        <n x="14"/>
        <n x="7"/>
        <n x="1337" s="1"/>
      </t>
    </mdx>
    <mdx n="33" f="v">
      <t c="4">
        <n x="314"/>
        <n x="14"/>
        <n x="7"/>
        <n x="1337" s="1"/>
      </t>
    </mdx>
    <mdx n="33" f="v">
      <t c="4">
        <n x="87"/>
        <n x="14"/>
        <n x="7"/>
        <n x="1337" s="1"/>
      </t>
    </mdx>
    <mdx n="33" f="v">
      <t c="4">
        <n x="573"/>
        <n x="11"/>
        <n x="7"/>
        <n x="1337" s="1"/>
      </t>
    </mdx>
    <mdx n="33" f="v">
      <t c="4">
        <n x="865"/>
        <n x="1"/>
        <n x="7"/>
        <n x="1337" s="1"/>
      </t>
    </mdx>
    <mdx n="33" f="v">
      <t c="4">
        <n x="971"/>
        <n x="12"/>
        <n x="7"/>
        <n x="1337" s="1"/>
      </t>
    </mdx>
    <mdx n="33" f="v">
      <t c="4" si="10">
        <n x="1254"/>
        <n x="0"/>
        <n x="32"/>
        <n x="1337" s="1"/>
      </t>
    </mdx>
    <mdx n="33" f="v">
      <t c="4">
        <n x="147"/>
        <n x="14"/>
        <n x="7"/>
        <n x="1337" s="1"/>
      </t>
    </mdx>
    <mdx n="33" f="v">
      <t c="4">
        <n x="522"/>
        <n x="11"/>
        <n x="7"/>
        <n x="1337" s="1"/>
      </t>
    </mdx>
    <mdx n="33" f="v">
      <t c="4">
        <n x="255"/>
        <n x="11"/>
        <n x="7"/>
        <n x="1337" s="1"/>
      </t>
    </mdx>
    <mdx n="33" f="v">
      <t c="4">
        <n x="1068"/>
        <n x="1"/>
        <n x="7"/>
        <n x="1337" s="1"/>
      </t>
    </mdx>
    <mdx n="33" f="v">
      <t c="4">
        <n x="475"/>
        <n x="1"/>
        <n x="7"/>
        <n x="1337" s="1"/>
      </t>
    </mdx>
    <mdx n="33" f="v">
      <t c="4">
        <n x="153"/>
        <n x="1"/>
        <n x="7"/>
        <n x="1337" s="1"/>
      </t>
    </mdx>
    <mdx n="33" f="v">
      <t c="4">
        <n x="594"/>
        <n x="11"/>
        <n x="32"/>
        <n x="1337" s="1"/>
      </t>
    </mdx>
    <mdx n="33" f="v">
      <t c="4">
        <n x="337"/>
        <n x="11"/>
        <n x="32"/>
        <n x="1337" s="1"/>
      </t>
    </mdx>
    <mdx n="33" f="v">
      <t c="4">
        <n x="1252"/>
        <n x="12"/>
        <n x="32"/>
        <n x="1337" s="1"/>
      </t>
    </mdx>
    <mdx n="33" f="v">
      <t c="4">
        <n x="1008"/>
        <n x="12"/>
        <n x="32"/>
        <n x="1337" s="1"/>
      </t>
    </mdx>
    <mdx n="33" f="v">
      <t c="4">
        <n x="420"/>
        <n x="12"/>
        <n x="32"/>
        <n x="1337" s="1"/>
      </t>
    </mdx>
    <mdx n="33" f="v">
      <t c="4">
        <n x="173"/>
        <n x="12"/>
        <n x="32"/>
        <n x="1337" s="1"/>
      </t>
    </mdx>
    <mdx n="33" f="v">
      <t c="4" si="10">
        <n x="982"/>
        <n x="14"/>
        <n x="32"/>
        <n x="1337" s="1"/>
      </t>
    </mdx>
    <mdx n="33" f="v">
      <t c="4" si="10">
        <n x="867"/>
        <n x="11"/>
        <n x="32"/>
        <n x="1337" s="1"/>
      </t>
    </mdx>
    <mdx n="33" f="v">
      <t c="4">
        <n x="975"/>
        <n x="12"/>
        <n x="7"/>
        <n x="1337" s="1"/>
      </t>
    </mdx>
    <mdx n="33" f="v">
      <t c="4">
        <n x="1264"/>
        <n x="0"/>
        <n x="32"/>
        <n x="1337" s="1"/>
      </t>
    </mdx>
    <mdx n="33" f="v">
      <t c="4">
        <n x="336"/>
        <n x="0"/>
        <n x="7"/>
        <n x="1337" s="1"/>
      </t>
    </mdx>
    <mdx n="33" f="v">
      <t c="4">
        <n x="563"/>
        <n x="0"/>
        <n x="7"/>
        <n x="1337" s="1"/>
      </t>
    </mdx>
    <mdx n="33" f="v">
      <t c="4">
        <n x="828"/>
        <n x="14"/>
        <n x="7"/>
        <n x="1337" s="1"/>
      </t>
    </mdx>
    <mdx n="33" f="v">
      <t c="4" si="10">
        <n x="750"/>
        <n x="12"/>
        <n x="32"/>
        <n x="1337" s="1"/>
      </t>
    </mdx>
    <mdx n="33" f="v">
      <t c="4">
        <n x="850"/>
        <n x="12"/>
        <n x="7"/>
        <n x="1337" s="1"/>
      </t>
    </mdx>
    <mdx n="33" f="v">
      <t c="4">
        <n x="879"/>
        <n x="14"/>
        <n x="32"/>
        <n x="1337" s="1"/>
      </t>
    </mdx>
    <mdx n="33" f="v">
      <t c="4">
        <n x="1001"/>
        <n x="0"/>
        <n x="7"/>
        <n x="1337" s="1"/>
      </t>
    </mdx>
    <mdx n="33" f="v">
      <t c="4">
        <n x="1330"/>
        <n x="12"/>
        <n x="7"/>
        <n x="1337" s="1"/>
      </t>
    </mdx>
    <mdx n="33" f="v">
      <t c="4">
        <n x="689"/>
        <n x="0"/>
        <n x="7"/>
        <n x="1337" s="1"/>
      </t>
    </mdx>
    <mdx n="33" f="v">
      <t c="4" si="10">
        <n x="822"/>
        <n x="14"/>
        <n x="32"/>
        <n x="1337" s="1"/>
      </t>
    </mdx>
    <mdx n="33" f="v">
      <t c="4" si="10">
        <n x="864"/>
        <n x="12"/>
        <n x="32"/>
        <n x="1337" s="1"/>
      </t>
    </mdx>
    <mdx n="33" f="v">
      <t c="4">
        <n x="895"/>
        <n x="1"/>
        <n x="7"/>
        <n x="1337" s="1"/>
      </t>
    </mdx>
    <mdx n="33" f="v">
      <t c="4">
        <n x="920"/>
        <n x="12"/>
        <n x="32"/>
        <n x="1337" s="1"/>
      </t>
    </mdx>
    <mdx n="33" f="v">
      <t c="4" si="10">
        <n x="945"/>
        <n x="14"/>
        <n x="32"/>
        <n x="1337" s="1"/>
      </t>
    </mdx>
    <mdx n="33" f="v">
      <t c="4">
        <n x="990"/>
        <n x="0"/>
        <n x="32"/>
        <n x="1337" s="1"/>
      </t>
    </mdx>
    <mdx n="33" f="v">
      <t c="4">
        <n x="1041"/>
        <n x="12"/>
        <n x="7"/>
        <n x="1337" s="1"/>
      </t>
    </mdx>
    <mdx n="33" f="v">
      <t c="3">
        <n x="1092"/>
        <n x="1336"/>
        <n x="1337" s="1"/>
      </t>
    </mdx>
    <mdx n="33" f="v">
      <t c="4">
        <n x="1173"/>
        <n x="0"/>
        <n x="32"/>
        <n x="1337" s="1"/>
      </t>
    </mdx>
    <mdx n="33" f="v">
      <t c="4" si="10">
        <n x="1301"/>
        <n x="0"/>
        <n x="32"/>
        <n x="1337" s="1"/>
      </t>
    </mdx>
    <mdx n="33" f="v">
      <t c="4">
        <n x="428"/>
        <n x="14"/>
        <n x="7"/>
        <n x="1337" s="1"/>
      </t>
    </mdx>
    <mdx n="33" f="v">
      <t c="4">
        <n x="351"/>
        <n x="14"/>
        <n x="7"/>
        <n x="1337" s="1"/>
      </t>
    </mdx>
    <mdx n="33" f="v">
      <t c="4">
        <n x="725"/>
        <n x="0"/>
        <n x="32"/>
        <n x="1337" s="1"/>
      </t>
    </mdx>
    <mdx n="33" f="v">
      <t c="4">
        <n x="824"/>
        <n x="0"/>
        <n x="7"/>
        <n x="1337" s="1"/>
      </t>
    </mdx>
    <mdx n="33" f="v">
      <t c="4" si="10">
        <n x="857"/>
        <n x="14"/>
        <n x="32"/>
        <n x="1337" s="1"/>
      </t>
    </mdx>
    <mdx n="33" f="v">
      <t c="4">
        <n x="880"/>
        <n x="11"/>
        <n x="7"/>
        <n x="1337" s="1"/>
      </t>
    </mdx>
    <mdx n="33" f="v">
      <t c="4">
        <n x="904"/>
        <n x="12"/>
        <n x="7"/>
        <n x="1337" s="1"/>
      </t>
    </mdx>
    <mdx n="33" f="v">
      <t c="4">
        <n x="927"/>
        <n x="0"/>
        <n x="7"/>
        <n x="1337" s="1"/>
      </t>
    </mdx>
    <mdx n="33" f="v">
      <t c="4">
        <n x="954"/>
        <n x="1"/>
        <n x="7"/>
        <n x="1337" s="1"/>
      </t>
    </mdx>
    <mdx n="33" f="v">
      <t c="4">
        <n x="1004"/>
        <n x="1"/>
        <n x="32"/>
        <n x="1337" s="1"/>
      </t>
    </mdx>
    <mdx n="33" f="v">
      <t c="4">
        <n x="1055"/>
        <n x="0"/>
        <n x="7"/>
        <n x="1337" s="1"/>
      </t>
    </mdx>
    <mdx n="33" f="v">
      <t c="4" si="10">
        <n x="1107"/>
        <n x="0"/>
        <n x="32"/>
        <n x="1337" s="1"/>
      </t>
    </mdx>
    <mdx n="33" f="v">
      <t c="4">
        <n x="1209"/>
        <n x="12"/>
        <n x="7"/>
        <n x="1337" s="1"/>
      </t>
    </mdx>
    <mdx n="33" f="v">
      <t c="4">
        <n x="1329"/>
        <n x="14"/>
        <n x="7"/>
        <n x="1337" s="1"/>
      </t>
    </mdx>
    <mdx n="33" f="v">
      <t c="4">
        <n x="557"/>
        <n x="14"/>
        <n x="7"/>
        <n x="1337" s="1"/>
      </t>
    </mdx>
    <mdx n="33" f="v">
      <t c="4">
        <n x="245"/>
        <n x="14"/>
        <n x="7"/>
        <n x="1337" s="1"/>
      </t>
    </mdx>
    <mdx n="33" f="v">
      <t c="4">
        <n x="1109"/>
        <n x="11"/>
        <n x="7"/>
        <n x="1337" s="1"/>
      </t>
    </mdx>
    <mdx n="33" f="v">
      <t c="4">
        <n x="537"/>
        <n x="11"/>
        <n x="7"/>
        <n x="1337" s="1"/>
      </t>
    </mdx>
    <mdx n="33" f="v">
      <t c="4" si="10">
        <n x="878"/>
        <n x="12"/>
        <n x="32"/>
        <n x="1337" s="1"/>
      </t>
    </mdx>
    <mdx n="33" f="v">
      <t c="4" si="10">
        <n x="1000"/>
        <n x="0"/>
        <n x="32"/>
        <n x="1337" s="1"/>
      </t>
    </mdx>
    <mdx n="33" f="v">
      <t c="4" si="10">
        <n x="1326"/>
        <n x="0"/>
        <n x="32"/>
        <n x="1337" s="1"/>
      </t>
    </mdx>
    <mdx n="33" f="v">
      <t c="4">
        <n x="100"/>
        <n x="14"/>
        <n x="7"/>
        <n x="1337" s="1"/>
      </t>
    </mdx>
    <mdx n="33" f="v">
      <t c="4" si="9">
        <n x="486"/>
        <n x="11"/>
        <n x="7"/>
        <n x="1337" s="1"/>
      </t>
    </mdx>
    <mdx n="33" f="v">
      <t c="4">
        <n x="151"/>
        <n x="11"/>
        <n x="7"/>
        <n x="1337" s="1"/>
      </t>
    </mdx>
    <mdx n="33" f="v">
      <t c="4">
        <n x="1032"/>
        <n x="1"/>
        <n x="7"/>
        <n x="1337" s="1"/>
      </t>
    </mdx>
    <mdx n="33" f="v">
      <t c="4">
        <n x="438"/>
        <n x="1"/>
        <n x="7"/>
        <n x="1337" s="1"/>
      </t>
    </mdx>
    <mdx n="33" f="v">
      <t c="4">
        <n x="117"/>
        <n x="1"/>
        <n x="7"/>
        <n x="1337" s="1"/>
      </t>
    </mdx>
    <mdx n="33" f="v">
      <t c="4">
        <n x="558"/>
        <n x="11"/>
        <n x="32"/>
        <n x="1337" s="1"/>
      </t>
    </mdx>
    <mdx n="33" f="v">
      <t c="4">
        <n x="300"/>
        <n x="11"/>
        <n x="32"/>
        <n x="1337" s="1"/>
      </t>
    </mdx>
    <mdx n="33" f="v">
      <t c="4">
        <n x="1216"/>
        <n x="12"/>
        <n x="32"/>
        <n x="1337" s="1"/>
      </t>
    </mdx>
    <mdx n="33" f="v">
      <t c="4" si="10">
        <n x="972"/>
        <n x="12"/>
        <n x="32"/>
        <n x="1337" s="1"/>
      </t>
    </mdx>
    <mdx n="33" f="v">
      <t c="4">
        <n x="380"/>
        <n x="12"/>
        <n x="32"/>
        <n x="1337" s="1"/>
      </t>
    </mdx>
    <mdx n="33" f="v">
      <t c="4">
        <n x="70"/>
        <n x="12"/>
        <n x="32"/>
        <n x="1337" s="1"/>
      </t>
    </mdx>
    <mdx n="33" f="v">
      <t c="4" si="10">
        <n x="610"/>
        <n x="14"/>
        <n x="32"/>
        <n x="1337" s="1"/>
      </t>
    </mdx>
    <mdx n="33" f="v">
      <t c="4">
        <n x="880"/>
        <n x="14"/>
        <n x="32"/>
        <n x="1337" s="1"/>
      </t>
    </mdx>
    <mdx n="33" f="v">
      <t c="4" si="10">
        <n x="1004"/>
        <n x="0"/>
        <n x="32"/>
        <n x="1337" s="1"/>
      </t>
    </mdx>
    <mdx n="33" f="v">
      <t c="4">
        <n x="1334"/>
        <n x="14"/>
        <n x="7"/>
        <n x="1337" s="1"/>
      </t>
    </mdx>
    <mdx n="33" f="v">
      <t c="4">
        <n x="67"/>
        <n x="14"/>
        <n x="7"/>
        <n x="1337" s="1"/>
      </t>
    </mdx>
    <mdx n="33" f="v">
      <t c="4" si="9">
        <n x="481"/>
        <n x="11"/>
        <n x="7"/>
        <n x="1337" s="1"/>
      </t>
    </mdx>
    <mdx n="33" f="v">
      <t c="4">
        <n x="216"/>
        <n x="11"/>
        <n x="7"/>
        <n x="1337" s="1"/>
      </t>
    </mdx>
    <mdx n="33" f="v">
      <t c="4">
        <n x="1027"/>
        <n x="1"/>
        <n x="7"/>
        <n x="1337" s="1"/>
      </t>
    </mdx>
    <mdx n="33" f="v">
      <t c="4">
        <n x="433"/>
        <n x="1"/>
        <n x="7"/>
        <n x="1337" s="1"/>
      </t>
    </mdx>
    <mdx n="33" f="v">
      <t c="4">
        <n x="112"/>
        <n x="1"/>
        <n x="7"/>
        <n x="1337" s="1"/>
      </t>
    </mdx>
    <mdx n="33" f="v">
      <t c="4">
        <n x="553"/>
        <n x="11"/>
        <n x="32"/>
        <n x="1337" s="1"/>
      </t>
    </mdx>
    <mdx n="33" f="v">
      <t c="4">
        <n x="199"/>
        <n x="11"/>
        <n x="32"/>
        <n x="1337" s="1"/>
      </t>
    </mdx>
    <mdx n="33" f="v">
      <t c="3">
        <n x="496"/>
        <n x="1336"/>
        <n x="1337" s="1"/>
      </t>
    </mdx>
    <mdx n="33" f="v">
      <t c="4">
        <n x="836"/>
        <n x="12"/>
        <n x="7"/>
        <n x="1337" s="1"/>
      </t>
    </mdx>
    <mdx n="33" f="v">
      <t c="4" si="9">
        <n x="763"/>
        <n x="14"/>
        <n x="7"/>
        <n x="1337" s="1"/>
      </t>
    </mdx>
    <mdx n="33" f="v">
      <t c="3">
        <n x="934"/>
        <n x="1336"/>
        <n x="1337" s="1"/>
      </t>
    </mdx>
    <mdx n="33" f="v">
      <t c="4" si="10">
        <n x="1122"/>
        <n x="0"/>
        <n x="32"/>
        <n x="1337" s="1"/>
      </t>
    </mdx>
    <mdx n="33" f="v">
      <t c="4">
        <n x="680"/>
        <n x="11"/>
        <n x="7"/>
        <n x="1337" s="1"/>
      </t>
    </mdx>
    <mdx n="33" f="v">
      <t c="4">
        <n x="894"/>
        <n x="1"/>
        <n x="32"/>
        <n x="1337" s="1"/>
      </t>
    </mdx>
    <mdx n="33" f="v">
      <t c="4">
        <n x="1034"/>
        <n x="12"/>
        <n x="7"/>
        <n x="1337" s="1"/>
      </t>
    </mdx>
    <mdx n="33" f="v">
      <t c="4">
        <n x="981"/>
        <n x="14"/>
        <n x="7"/>
        <n x="1337" s="1"/>
      </t>
    </mdx>
    <mdx n="33" f="v">
      <t c="4">
        <n x="835"/>
        <n x="0"/>
        <n x="32"/>
        <n x="1337" s="1"/>
      </t>
    </mdx>
    <mdx n="33" f="v">
      <t c="4">
        <n x="616"/>
        <n x="11"/>
        <n x="7"/>
        <n x="1337" s="1"/>
      </t>
    </mdx>
    <mdx n="33" f="v">
      <t c="4">
        <n x="292"/>
        <n x="1"/>
        <n x="7"/>
        <n x="1337" s="1"/>
      </t>
    </mdx>
    <mdx n="33" f="v">
      <t c="4" si="10">
        <n x="1080"/>
        <n x="12"/>
        <n x="32"/>
        <n x="1337" s="1"/>
      </t>
    </mdx>
    <mdx n="33" f="v">
      <t c="4">
        <n x="837"/>
        <n x="11"/>
        <n x="32"/>
        <n x="1337" s="1"/>
      </t>
    </mdx>
    <mdx n="33" f="v">
      <t c="4">
        <n x="1092"/>
        <n x="11"/>
        <n x="7"/>
        <n x="1337" s="1"/>
      </t>
    </mdx>
    <mdx n="33" f="v">
      <t c="4">
        <n x="351"/>
        <n x="11"/>
        <n x="7"/>
        <n x="1337" s="1"/>
      </t>
    </mdx>
    <mdx n="33" f="v">
      <t c="4">
        <n x="1087"/>
        <n x="1"/>
        <n x="7"/>
        <n x="1337" s="1"/>
      </t>
    </mdx>
    <mdx n="33" f="v">
      <t c="4">
        <n x="409"/>
        <n x="1"/>
        <n x="7"/>
        <n x="1337" s="1"/>
      </t>
    </mdx>
    <mdx n="33" f="v">
      <t c="4">
        <n x="1036"/>
        <n x="11"/>
        <n x="32"/>
        <n x="1337" s="1"/>
      </t>
    </mdx>
    <mdx n="33" f="v">
      <t c="4">
        <n x="356"/>
        <n x="11"/>
        <n x="32"/>
        <n x="1337" s="1"/>
      </t>
    </mdx>
    <mdx n="33" f="v">
      <t c="4">
        <n x="1203"/>
        <n x="12"/>
        <n x="32"/>
        <n x="1337" s="1"/>
      </t>
    </mdx>
    <mdx n="33" f="v">
      <t c="4" si="10">
        <n x="959"/>
        <n x="12"/>
        <n x="32"/>
        <n x="1337" s="1"/>
      </t>
    </mdx>
    <mdx n="33" f="v">
      <t c="4">
        <n x="367"/>
        <n x="12"/>
        <n x="32"/>
        <n x="1337" s="1"/>
      </t>
    </mdx>
    <mdx n="33" f="v">
      <t c="4" si="9">
        <n x="566"/>
        <n x="12"/>
        <n x="7"/>
        <n x="1337" s="1"/>
      </t>
    </mdx>
    <mdx n="33" f="v">
      <t c="3">
        <n x="888"/>
        <n x="1336"/>
        <n x="1337" s="1"/>
      </t>
    </mdx>
    <mdx n="33" f="v">
      <t c="4">
        <n x="1020"/>
        <n x="0"/>
        <n x="7"/>
        <n x="1337" s="1"/>
      </t>
    </mdx>
    <mdx n="33" f="v">
      <t c="4">
        <n x="1048"/>
        <n x="14"/>
        <n x="7"/>
        <n x="1337" s="1"/>
      </t>
    </mdx>
    <mdx n="33" f="v">
      <t c="4">
        <n x="1098"/>
        <n x="11"/>
        <n x="7"/>
        <n x="1337" s="1"/>
      </t>
    </mdx>
    <mdx n="33" f="v">
      <t c="4">
        <n x="426"/>
        <n x="11"/>
        <n x="7"/>
        <n x="1337" s="1"/>
      </t>
    </mdx>
    <mdx n="33" f="v">
      <t c="4">
        <n x="195"/>
        <n x="11"/>
        <n x="7"/>
        <n x="1337" s="1"/>
      </t>
    </mdx>
    <mdx n="33" f="v">
      <t c="4">
        <n x="1006"/>
        <n x="1"/>
        <n x="7"/>
        <n x="1337" s="1"/>
      </t>
    </mdx>
    <mdx n="33" f="v">
      <t c="4">
        <n x="412"/>
        <n x="1"/>
        <n x="7"/>
        <n x="1337" s="1"/>
      </t>
    </mdx>
    <mdx n="33" f="v">
      <t c="4">
        <n x="1331"/>
        <n x="11"/>
        <n x="32"/>
        <n x="1337" s="1"/>
      </t>
    </mdx>
    <mdx n="33" f="v">
      <t c="4" si="10">
        <n x="1129"/>
        <n x="1"/>
        <n x="32"/>
        <n x="1337" s="1"/>
      </t>
    </mdx>
    <mdx n="33" f="v">
      <t c="4" si="10">
        <n x="565"/>
        <n x="1"/>
        <n x="32"/>
        <n x="1337" s="1"/>
      </t>
    </mdx>
    <mdx n="33" f="v">
      <t c="4" si="10">
        <n x="654"/>
        <n x="12"/>
        <n x="32"/>
        <n x="1337" s="1"/>
      </t>
    </mdx>
    <mdx n="33" f="v">
      <t c="4">
        <n x="156"/>
        <n x="1"/>
        <n x="32"/>
        <n x="1337" s="1"/>
      </t>
    </mdx>
    <mdx n="33" f="v">
      <t c="4">
        <n x="740"/>
        <n x="12"/>
        <n x="32"/>
        <n x="1337" s="1"/>
      </t>
    </mdx>
    <mdx n="33" f="v">
      <t c="4">
        <n x="336"/>
        <n x="12"/>
        <n x="7"/>
        <n x="1337" s="1"/>
      </t>
    </mdx>
    <mdx n="33" f="v">
      <t c="4">
        <n x="626"/>
        <n x="12"/>
        <n x="7"/>
        <n x="1337" s="1"/>
      </t>
    </mdx>
    <mdx n="33" f="v">
      <t c="4">
        <n x="349"/>
        <n x="0"/>
        <n x="32"/>
        <n x="1337" s="1"/>
      </t>
    </mdx>
    <mdx n="33" f="v">
      <t c="4">
        <n x="830"/>
        <n x="11"/>
        <n x="32"/>
        <n x="1337" s="1"/>
      </t>
    </mdx>
    <mdx n="33" f="v">
      <t c="4" si="10">
        <n x="890"/>
        <n x="11"/>
        <n x="32"/>
        <n x="1337" s="1"/>
      </t>
    </mdx>
    <mdx n="33" f="v">
      <t c="4">
        <n x="1096"/>
        <n x="12"/>
        <n x="7"/>
        <n x="1337" s="1"/>
      </t>
    </mdx>
    <mdx n="33" f="v">
      <t c="4">
        <n x="94"/>
        <n x="12"/>
        <n x="7"/>
        <n x="1337" s="1"/>
      </t>
    </mdx>
    <mdx n="33" f="v">
      <t c="4" si="9">
        <n x="672"/>
        <n x="14"/>
        <n x="7"/>
        <n x="1337" s="1"/>
      </t>
    </mdx>
    <mdx n="33" f="v">
      <t c="3">
        <n x="804"/>
        <n x="1336"/>
        <n x="1337" s="1"/>
      </t>
    </mdx>
    <mdx n="33" f="v">
      <t c="4">
        <n x="738"/>
        <n x="12"/>
        <n x="32"/>
        <n x="1337" s="1"/>
      </t>
    </mdx>
    <mdx n="33" f="v">
      <t c="4">
        <n x="838"/>
        <n x="12"/>
        <n x="7"/>
        <n x="1337" s="1"/>
      </t>
    </mdx>
    <mdx n="33" f="v">
      <t c="4">
        <n x="867"/>
        <n x="14"/>
        <n x="32"/>
        <n x="1337" s="1"/>
      </t>
    </mdx>
    <mdx n="33" f="v">
      <t c="3">
        <n x="975"/>
        <n x="1336"/>
        <n x="1337" s="1"/>
      </t>
    </mdx>
    <mdx n="33" f="v">
      <t c="4">
        <n x="1264"/>
        <n x="12"/>
        <n x="7"/>
        <n x="1337" s="1"/>
      </t>
    </mdx>
    <mdx n="33" f="v">
      <t c="4" si="10">
        <n x="627"/>
        <n x="14"/>
        <n x="32"/>
        <n x="1337" s="1"/>
      </t>
    </mdx>
    <mdx n="33" f="v">
      <t c="3">
        <n x="890"/>
        <n x="1336"/>
        <n x="1337" s="1"/>
      </t>
    </mdx>
    <mdx n="33" f="v">
      <t c="4">
        <n x="794"/>
        <n x="11"/>
        <n x="7"/>
        <n x="1337" s="1"/>
      </t>
    </mdx>
    <mdx n="33" f="v">
      <t c="4">
        <n x="395"/>
        <n x="14"/>
        <n x="7"/>
        <n x="1337" s="1"/>
      </t>
    </mdx>
    <mdx n="33" f="v">
      <t c="4">
        <n x="906"/>
        <n x="14"/>
        <n x="7"/>
        <n x="1337" s="1"/>
      </t>
    </mdx>
    <mdx n="33" f="v">
      <t c="4">
        <n x="1062"/>
        <n x="0"/>
        <n x="32"/>
        <n x="1337" s="1"/>
      </t>
    </mdx>
    <mdx n="33" f="v">
      <t c="4" si="9">
        <n x="526"/>
        <n x="14"/>
        <n x="7"/>
        <n x="1337" s="1"/>
      </t>
    </mdx>
    <mdx n="33" f="v">
      <t c="4" si="10">
        <n x="840"/>
        <n x="12"/>
        <n x="32"/>
        <n x="1337" s="1"/>
      </t>
    </mdx>
    <mdx n="33" f="v">
      <t c="4">
        <n x="874"/>
        <n x="1"/>
        <n x="32"/>
        <n x="1337" s="1"/>
      </t>
    </mdx>
    <mdx n="33" f="v">
      <t c="4">
        <n x="904"/>
        <n x="11"/>
        <n x="7"/>
        <n x="1337" s="1"/>
      </t>
    </mdx>
    <mdx n="33" f="v">
      <t c="4">
        <n x="936"/>
        <n x="11"/>
        <n x="7"/>
        <n x="1337" s="1"/>
      </t>
    </mdx>
    <mdx n="33" f="v">
      <t c="4">
        <n x="990"/>
        <n x="12"/>
        <n x="7"/>
        <n x="1337" s="1"/>
      </t>
    </mdx>
    <mdx n="33" f="v">
      <t c="3">
        <n x="1057"/>
        <n x="1336"/>
        <n x="1337" s="1"/>
      </t>
    </mdx>
    <mdx n="33" f="v">
      <t c="4">
        <n x="1133"/>
        <n x="12"/>
        <n x="7"/>
        <n x="1337" s="1"/>
      </t>
    </mdx>
    <mdx n="33" f="v">
      <t c="4">
        <n x="1301"/>
        <n x="12"/>
        <n x="7"/>
        <n x="1337" s="1"/>
      </t>
    </mdx>
    <mdx n="33" f="v">
      <t c="4" si="9">
        <n x="549"/>
        <n x="14"/>
        <n x="7"/>
        <n x="1337" s="1"/>
      </t>
    </mdx>
    <mdx n="33" f="v">
      <t c="4">
        <n x="187"/>
        <n x="14"/>
        <n x="7"/>
        <n x="1337" s="1"/>
      </t>
    </mdx>
    <mdx n="33" f="v">
      <t c="4">
        <n x="609"/>
        <n x="11"/>
        <n x="7"/>
        <n x="1337" s="1"/>
      </t>
    </mdx>
    <mdx n="33" f="v">
      <t c="4">
        <n x="881"/>
        <n x="1"/>
        <n x="7"/>
        <n x="1337" s="1"/>
      </t>
    </mdx>
    <mdx n="33" f="v">
      <t c="4">
        <n x="1083"/>
        <n x="12"/>
        <n x="7"/>
        <n x="1337" s="1"/>
      </t>
    </mdx>
    <mdx n="33" f="v">
      <t c="4">
        <n x="146"/>
        <n x="14"/>
        <n x="7"/>
        <n x="1337" s="1"/>
      </t>
    </mdx>
    <mdx n="33" f="v">
      <t c="4" si="9">
        <n x="478"/>
        <n x="11"/>
        <n x="7"/>
        <n x="1337" s="1"/>
      </t>
    </mdx>
    <mdx n="33" f="v">
      <t c="4">
        <n x="58"/>
        <n x="11"/>
        <n x="7"/>
        <n x="1337" s="1"/>
      </t>
    </mdx>
    <mdx n="33" f="v">
      <t c="4">
        <n x="511"/>
        <n x="1"/>
        <n x="7"/>
        <n x="1337" s="1"/>
      </t>
    </mdx>
    <mdx n="33" f="v">
      <t c="4">
        <n x="108"/>
        <n x="1"/>
        <n x="7"/>
        <n x="1337" s="1"/>
      </t>
    </mdx>
    <mdx n="33" f="v">
      <t c="4">
        <n x="454"/>
        <n x="11"/>
        <n x="32"/>
        <n x="1337" s="1"/>
      </t>
    </mdx>
    <mdx n="33" f="v">
      <t c="4">
        <n x="118"/>
        <n x="11"/>
        <n x="32"/>
        <n x="1337" s="1"/>
      </t>
    </mdx>
    <mdx n="33" f="v">
      <t c="4">
        <n x="1108"/>
        <n x="12"/>
        <n x="32"/>
        <n x="1337" s="1"/>
      </t>
    </mdx>
    <mdx n="33" f="v">
      <t c="4">
        <n x="537"/>
        <n x="12"/>
        <n x="32"/>
        <n x="1337" s="1"/>
      </t>
    </mdx>
    <mdx n="33" f="v">
      <t c="4">
        <n x="292"/>
        <n x="12"/>
        <n x="32"/>
        <n x="1337" s="1"/>
      </t>
    </mdx>
    <mdx n="33" f="v">
      <t c="4">
        <n x="1082"/>
        <n x="14"/>
        <n x="32"/>
        <n x="1337" s="1"/>
      </t>
    </mdx>
    <mdx n="33" f="v">
      <t c="4">
        <n x="811"/>
        <n x="1"/>
        <n x="7"/>
        <n x="1337" s="1"/>
      </t>
    </mdx>
    <mdx n="33" f="v">
      <t c="3">
        <n x="924"/>
        <n x="1336"/>
        <n x="1337" s="1"/>
      </t>
    </mdx>
    <mdx n="33" f="v">
      <t c="4">
        <n x="1100"/>
        <n x="0"/>
        <n x="32"/>
        <n x="1337" s="1"/>
      </t>
    </mdx>
    <mdx n="33" f="v">
      <t c="4">
        <n x="325"/>
        <n x="14"/>
        <n x="7"/>
        <n x="1337" s="1"/>
      </t>
    </mdx>
    <mdx n="33" f="v">
      <t c="6" si="9">
        <n x="15"/>
        <n x="1337" s="1"/>
        <n x="44"/>
        <n x="7"/>
        <n x="20"/>
        <n x="2"/>
      </t>
    </mdx>
    <mdx n="33" f="v">
      <t c="4">
        <n x="824"/>
        <n x="11"/>
        <n x="32"/>
        <n x="1337" s="1"/>
      </t>
    </mdx>
    <mdx n="33" f="v">
      <t c="4">
        <n x="686"/>
        <n x="11"/>
        <n x="7"/>
        <n x="1337" s="1"/>
      </t>
    </mdx>
    <mdx n="33" f="v">
      <t c="4">
        <n x="796"/>
        <n x="1"/>
        <n x="32"/>
        <n x="1337" s="1"/>
      </t>
    </mdx>
    <mdx n="33" f="v">
      <t c="4">
        <n x="789"/>
        <n x="14"/>
        <n x="7"/>
        <n x="1337" s="1"/>
      </t>
    </mdx>
    <mdx n="33" f="v">
      <t c="4">
        <n x="918"/>
        <n x="11"/>
        <n x="7"/>
        <n x="1337" s="1"/>
      </t>
    </mdx>
    <mdx n="33" f="v">
      <t c="4">
        <n x="1088"/>
        <n x="12"/>
        <n x="7"/>
        <n x="1337" s="1"/>
      </t>
    </mdx>
    <mdx n="33" f="v">
      <t c="4">
        <n x="372"/>
        <n x="14"/>
        <n x="7"/>
        <n x="1337" s="1"/>
      </t>
    </mdx>
    <mdx n="33" f="v">
      <t c="4" si="10">
        <n x="743"/>
        <n x="14"/>
        <n x="32"/>
        <n x="1337" s="1"/>
      </t>
    </mdx>
    <mdx n="33" f="v">
      <t c="4">
        <n x="844"/>
        <n x="14"/>
        <n x="7"/>
        <n x="1337" s="1"/>
      </t>
    </mdx>
    <mdx n="33" f="v">
      <t c="4">
        <n x="877"/>
        <n x="11"/>
        <n x="7"/>
        <n x="1337" s="1"/>
      </t>
    </mdx>
    <mdx n="33" f="v">
      <t c="4">
        <n x="907"/>
        <n x="1"/>
        <n x="32"/>
        <n x="1337" s="1"/>
      </t>
    </mdx>
    <mdx n="33" f="v">
      <t c="4" si="10">
        <n x="930"/>
        <n x="14"/>
        <n x="32"/>
        <n x="1337" s="1"/>
      </t>
    </mdx>
    <mdx n="33" f="v">
      <t c="3">
        <n x="960"/>
        <n x="1336"/>
        <n x="1337" s="1"/>
      </t>
    </mdx>
    <mdx n="33" f="v">
      <t c="4">
        <n x="1011"/>
        <n x="1"/>
        <n x="32"/>
        <n x="1337" s="1"/>
      </t>
    </mdx>
    <mdx n="33" f="v">
      <t c="4">
        <n x="1062"/>
        <n x="0"/>
        <n x="7"/>
        <n x="1337" s="1"/>
      </t>
    </mdx>
    <mdx n="33" f="v">
      <t c="4" si="10">
        <n x="1114"/>
        <n x="0"/>
        <n x="32"/>
        <n x="1337" s="1"/>
      </t>
    </mdx>
    <mdx n="33" f="v">
      <t c="4" si="10">
        <n x="1227"/>
        <n x="0"/>
        <n x="32"/>
        <n x="1337" s="1"/>
      </t>
    </mdx>
    <mdx n="33" f="v">
      <t c="4">
        <n x="1094"/>
        <n x="14"/>
        <n x="7"/>
        <n x="1337" s="1"/>
      </t>
    </mdx>
    <mdx n="33" f="v">
      <t c="4" si="9">
        <n x="522"/>
        <n x="14"/>
        <n x="7"/>
        <n x="1337" s="1"/>
      </t>
    </mdx>
    <mdx n="33" f="v">
      <t c="4">
        <n x="634"/>
        <n x="11"/>
        <n x="7"/>
        <n x="1337" s="1"/>
      </t>
    </mdx>
    <mdx n="33" f="v">
      <t c="4" si="10">
        <n x="764"/>
        <n x="1"/>
        <n x="32"/>
        <n x="1337" s="1"/>
      </t>
    </mdx>
    <mdx n="33" f="v">
      <t c="3">
        <n x="841"/>
        <n x="1336"/>
        <n x="1337" s="1"/>
      </t>
    </mdx>
    <mdx n="33" f="v">
      <t c="4">
        <n x="867"/>
        <n x="0"/>
        <n x="7"/>
        <n x="1337" s="1"/>
      </t>
    </mdx>
    <mdx n="33" f="v">
      <t c="4">
        <n x="890"/>
        <n x="1"/>
        <n x="7"/>
        <n x="1337" s="1"/>
      </t>
    </mdx>
    <mdx n="33" f="v">
      <t c="4">
        <n x="913"/>
        <n x="14"/>
        <n x="7"/>
        <n x="1337" s="1"/>
      </t>
    </mdx>
    <mdx n="33" f="v">
      <t c="3">
        <n x="937"/>
        <n x="1336"/>
        <n x="1337" s="1"/>
      </t>
    </mdx>
    <mdx n="33" f="v">
      <t c="4" si="10">
        <n x="975"/>
        <n x="0"/>
        <n x="32"/>
        <n x="1337" s="1"/>
      </t>
    </mdx>
    <mdx n="33" f="v">
      <t c="4">
        <n x="1026"/>
        <n x="12"/>
        <n x="7"/>
        <n x="1337" s="1"/>
      </t>
    </mdx>
    <mdx n="33" f="v">
      <t c="3">
        <n x="1077"/>
        <n x="1336"/>
        <n x="1337" s="1"/>
      </t>
    </mdx>
    <mdx n="33" f="v">
      <t c="4">
        <n x="1135"/>
        <n x="12"/>
        <n x="7"/>
        <n x="1337" s="1"/>
      </t>
    </mdx>
    <mdx n="33" f="v">
      <t c="4">
        <n x="1263"/>
        <n x="12"/>
        <n x="7"/>
        <n x="1337" s="1"/>
      </t>
    </mdx>
    <mdx n="33" f="v">
      <t c="4">
        <n x="1021"/>
        <n x="14"/>
        <n x="7"/>
        <n x="1337" s="1"/>
      </t>
    </mdx>
    <mdx n="33" f="v">
      <t c="4" si="9">
        <n x="466"/>
        <n x="14"/>
        <n x="7"/>
        <n x="1337" s="1"/>
      </t>
    </mdx>
    <mdx n="33" f="v">
      <t c="4">
        <n x="183"/>
        <n x="14"/>
        <n x="7"/>
        <n x="1337" s="1"/>
      </t>
    </mdx>
    <mdx n="33" f="v">
      <t c="4">
        <n x="1001"/>
        <n x="11"/>
        <n x="7"/>
        <n x="1337" s="1"/>
      </t>
    </mdx>
    <mdx n="33" f="v">
      <t c="4" si="10">
        <n x="785"/>
        <n x="14"/>
        <n x="32"/>
        <n x="1337" s="1"/>
      </t>
    </mdx>
    <mdx n="33" f="v">
      <t c="4">
        <n x="918"/>
        <n x="0"/>
        <n x="32"/>
        <n x="1337" s="1"/>
      </t>
    </mdx>
    <mdx n="33" f="v">
      <t c="3">
        <n x="1086"/>
        <n x="1336"/>
        <n x="1337" s="1"/>
      </t>
    </mdx>
    <mdx n="33" f="v">
      <t c="4">
        <n x="381"/>
        <n x="14"/>
        <n x="7"/>
        <n x="1337" s="1"/>
      </t>
    </mdx>
    <mdx n="33" f="v">
      <t c="4">
        <n x="986"/>
        <n x="11"/>
        <n x="7"/>
        <n x="1337" s="1"/>
      </t>
    </mdx>
    <mdx n="33" f="v">
      <t c="4">
        <n x="356"/>
        <n x="11"/>
        <n x="7"/>
        <n x="1337" s="1"/>
      </t>
    </mdx>
    <mdx n="33" f="v">
      <t c="4">
        <n x="131"/>
        <n x="11"/>
        <n x="7"/>
        <n x="1337" s="1"/>
      </t>
    </mdx>
    <mdx n="33" f="v">
      <t c="4">
        <n x="587"/>
        <n x="1"/>
        <n x="7"/>
        <n x="1337" s="1"/>
      </t>
    </mdx>
    <mdx n="33" f="v">
      <t c="4">
        <n x="329"/>
        <n x="1"/>
        <n x="7"/>
        <n x="1337" s="1"/>
      </t>
    </mdx>
    <mdx n="33" f="v">
      <t c="4">
        <n x="1041"/>
        <n x="11"/>
        <n x="32"/>
        <n x="1337" s="1"/>
      </t>
    </mdx>
    <mdx n="33" f="v">
      <t c="4">
        <n x="450"/>
        <n x="11"/>
        <n x="32"/>
        <n x="1337" s="1"/>
      </t>
    </mdx>
    <mdx n="33" f="v">
      <t c="4">
        <n x="130"/>
        <n x="11"/>
        <n x="32"/>
        <n x="1337" s="1"/>
      </t>
    </mdx>
    <mdx n="33" f="v">
      <t c="4">
        <n x="1120"/>
        <n x="12"/>
        <n x="32"/>
        <n x="1337" s="1"/>
      </t>
    </mdx>
    <mdx n="33" f="v">
      <t c="4">
        <n x="549"/>
        <n x="12"/>
        <n x="32"/>
        <n x="1337" s="1"/>
      </t>
    </mdx>
    <mdx n="33" f="v">
      <t c="4">
        <n x="227"/>
        <n x="12"/>
        <n x="32"/>
        <n x="1337" s="1"/>
      </t>
    </mdx>
    <mdx n="33" f="v">
      <t c="4">
        <n x="1094"/>
        <n x="14"/>
        <n x="32"/>
        <n x="1337" s="1"/>
      </t>
    </mdx>
    <mdx n="33" f="v">
      <t c="3">
        <n x="794"/>
        <n x="1336"/>
        <n x="1337" s="1"/>
      </t>
    </mdx>
    <mdx n="33" f="v">
      <t c="4">
        <n x="919"/>
        <n x="11"/>
        <n x="7"/>
        <n x="1337" s="1"/>
      </t>
    </mdx>
    <mdx n="33" f="v">
      <t c="3">
        <n x="1090"/>
        <n x="1336"/>
        <n x="1337" s="1"/>
      </t>
    </mdx>
    <mdx n="33" f="v">
      <t c="4">
        <n x="361"/>
        <n x="14"/>
        <n x="7"/>
        <n x="1337" s="1"/>
      </t>
    </mdx>
    <mdx n="33" f="v">
      <t c="4" si="10">
        <n x="483"/>
        <n x="1"/>
        <n x="32"/>
        <n x="1337" s="1"/>
      </t>
    </mdx>
    <mdx n="33" f="v">
      <t c="4" si="9">
        <n x="675"/>
        <n x="0"/>
        <n x="7"/>
        <n x="1337" s="1"/>
      </t>
    </mdx>
    <mdx n="33" f="v">
      <t c="4">
        <n x="706"/>
        <n x="12"/>
        <n x="32"/>
        <n x="1337" s="1"/>
      </t>
    </mdx>
    <mdx n="33" f="v">
      <t c="4">
        <n x="809"/>
        <n x="0"/>
        <n x="7"/>
        <n x="1337" s="1"/>
      </t>
    </mdx>
    <mdx n="33" f="v">
      <t c="3">
        <n x="834"/>
        <n x="1336"/>
        <n x="1337" s="1"/>
      </t>
    </mdx>
    <mdx n="33" f="v">
      <t c="4">
        <n x="931"/>
        <n x="14"/>
        <n x="7"/>
        <n x="1337" s="1"/>
      </t>
    </mdx>
    <mdx n="33" f="v">
      <t c="4">
        <n x="1117"/>
        <n x="0"/>
        <n x="32"/>
        <n x="1337" s="1"/>
      </t>
    </mdx>
    <mdx n="33" f="v">
      <t c="4">
        <n x="255"/>
        <n x="14"/>
        <n x="7"/>
        <n x="1337" s="1"/>
      </t>
    </mdx>
    <mdx n="33" f="v">
      <t c="4">
        <n x="761"/>
        <n x="0"/>
        <n x="32"/>
        <n x="1337" s="1"/>
      </t>
    </mdx>
    <mdx n="33" f="v">
      <t c="4" si="10">
        <n x="850"/>
        <n x="12"/>
        <n x="32"/>
        <n x="1337" s="1"/>
      </t>
    </mdx>
    <mdx n="33" f="v">
      <t c="3">
        <n x="882"/>
        <n x="1336"/>
        <n x="1337" s="1"/>
      </t>
    </mdx>
    <mdx n="33" f="v">
      <t c="4" si="10">
        <n x="910"/>
        <n x="14"/>
        <n x="32"/>
        <n x="1337" s="1"/>
      </t>
    </mdx>
    <mdx n="33" f="v">
      <t c="4">
        <n x="933"/>
        <n x="11"/>
        <n x="7"/>
        <n x="1337" s="1"/>
      </t>
    </mdx>
    <mdx n="33" f="v">
      <t c="4" si="10">
        <n x="967"/>
        <n x="1"/>
        <n x="32"/>
        <n x="1337" s="1"/>
      </t>
    </mdx>
    <mdx n="33" f="v">
      <t c="4">
        <n x="1018"/>
        <n x="0"/>
        <n x="7"/>
        <n x="1337" s="1"/>
      </t>
    </mdx>
    <mdx n="33" f="v">
      <t c="4" si="10">
        <n x="1070"/>
        <n x="0"/>
        <n x="32"/>
        <n x="1337" s="1"/>
      </t>
    </mdx>
    <mdx n="33" f="v">
      <t c="4">
        <n x="1121"/>
        <n x="12"/>
        <n x="7"/>
        <n x="1337" s="1"/>
      </t>
    </mdx>
    <mdx n="33" f="v">
      <t c="4" si="10">
        <n x="1245"/>
        <n x="0"/>
        <n x="32"/>
        <n x="1337" s="1"/>
      </t>
    </mdx>
    <mdx n="33" f="v">
      <t c="4">
        <n x="1058"/>
        <n x="14"/>
        <n x="7"/>
        <n x="1337" s="1"/>
      </t>
    </mdx>
    <mdx n="33" f="v">
      <t c="4" si="9">
        <n x="486"/>
        <n x="14"/>
        <n x="7"/>
        <n x="1337" s="1"/>
      </t>
    </mdx>
    <mdx n="33" f="v">
      <t c="4">
        <n x="677"/>
        <n x="14"/>
        <n x="7"/>
        <n x="1337" s="1"/>
      </t>
    </mdx>
    <mdx n="33" f="v">
      <t c="4">
        <n x="780"/>
        <n x="14"/>
        <n x="7"/>
        <n x="1337" s="1"/>
      </t>
    </mdx>
    <mdx n="33" f="v">
      <t c="4" si="10">
        <n x="845"/>
        <n x="14"/>
        <n x="32"/>
        <n x="1337" s="1"/>
      </t>
    </mdx>
    <mdx n="33" f="v">
      <t c="4">
        <n x="870"/>
        <n x="1"/>
        <n x="7"/>
        <n x="1337" s="1"/>
      </t>
    </mdx>
    <mdx n="33" f="v">
      <t c="4">
        <n x="893"/>
        <n x="14"/>
        <n x="7"/>
        <n x="1337" s="1"/>
      </t>
    </mdx>
    <mdx n="33" f="v">
      <t c="3">
        <n x="917"/>
        <n x="1336"/>
        <n x="1337" s="1"/>
      </t>
    </mdx>
    <mdx n="33" f="v">
      <t c="4">
        <n x="940"/>
        <n x="1"/>
        <n x="7"/>
        <n x="1337" s="1"/>
      </t>
    </mdx>
    <mdx n="33" f="v">
      <t c="4">
        <n x="982"/>
        <n x="12"/>
        <n x="7"/>
        <n x="1337" s="1"/>
      </t>
    </mdx>
    <mdx n="33" f="v">
      <t c="3">
        <n x="1033"/>
        <n x="1336"/>
        <n x="1337" s="1"/>
      </t>
    </mdx>
    <mdx n="33" f="v">
      <t c="4">
        <n x="1084"/>
        <n x="1"/>
        <n x="32"/>
        <n x="1337" s="1"/>
      </t>
    </mdx>
    <mdx n="33" f="v">
      <t c="4">
        <n x="1153"/>
        <n x="12"/>
        <n x="7"/>
        <n x="1337" s="1"/>
      </t>
    </mdx>
    <mdx n="33" f="v">
      <t c="4">
        <n x="1281"/>
        <n x="12"/>
        <n x="7"/>
        <n x="1337" s="1"/>
      </t>
    </mdx>
    <mdx n="33" f="v">
      <t c="4">
        <n x="985"/>
        <n x="14"/>
        <n x="7"/>
        <n x="1337" s="1"/>
      </t>
    </mdx>
    <mdx n="33" f="v">
      <t c="4">
        <n x="403"/>
        <n x="14"/>
        <n x="7"/>
        <n x="1337" s="1"/>
      </t>
    </mdx>
    <mdx n="33" f="v">
      <t c="4">
        <n x="145"/>
        <n x="14"/>
        <n x="7"/>
        <n x="1337" s="1"/>
      </t>
    </mdx>
    <mdx n="33" f="v">
      <t c="4">
        <n x="965"/>
        <n x="11"/>
        <n x="7"/>
        <n x="1337" s="1"/>
      </t>
    </mdx>
    <mdx n="33" f="v">
      <t c="4">
        <n x="833"/>
        <n x="12"/>
        <n x="7"/>
        <n x="1337" s="1"/>
      </t>
    </mdx>
    <mdx n="33" f="v">
      <t c="4" si="9">
        <n x="931"/>
        <n x="12"/>
        <n x="7"/>
        <n x="1337" s="1"/>
      </t>
    </mdx>
    <mdx n="33" f="v">
      <t c="4">
        <n x="1115"/>
        <n x="12"/>
        <n x="7"/>
        <n x="1337" s="1"/>
      </t>
    </mdx>
    <mdx n="33" f="v">
      <t c="4">
        <n x="220"/>
        <n x="14"/>
        <n x="7"/>
        <n x="1337" s="1"/>
      </t>
    </mdx>
    <mdx n="33" f="v">
      <t c="4">
        <n x="397"/>
        <n x="11"/>
        <n x="7"/>
        <n x="1337" s="1"/>
      </t>
    </mdx>
    <mdx n="33" f="v">
      <t c="4">
        <n x="320"/>
        <n x="11"/>
        <n x="7"/>
        <n x="1337" s="1"/>
      </t>
    </mdx>
    <mdx n="33" f="v">
      <t c="4">
        <n x="99"/>
        <n x="11"/>
        <n x="7"/>
        <n x="1337" s="1"/>
      </t>
    </mdx>
    <mdx n="33" f="v">
      <t c="4">
        <n x="551"/>
        <n x="1"/>
        <n x="7"/>
        <n x="1337" s="1"/>
      </t>
    </mdx>
    <mdx n="33" f="v">
      <t c="4">
        <n x="296"/>
        <n x="1"/>
        <n x="7"/>
        <n x="1337" s="1"/>
      </t>
    </mdx>
    <mdx n="33" f="v">
      <t c="4">
        <n x="1005"/>
        <n x="11"/>
        <n x="32"/>
        <n x="1337" s="1"/>
      </t>
    </mdx>
    <mdx n="33" f="v">
      <t c="4">
        <n x="414"/>
        <n x="11"/>
        <n x="32"/>
        <n x="1337" s="1"/>
      </t>
    </mdx>
    <mdx n="33" f="v">
      <t c="4">
        <n x="94"/>
        <n x="11"/>
        <n x="32"/>
        <n x="1337" s="1"/>
      </t>
    </mdx>
    <mdx n="33" f="v">
      <t c="4">
        <n x="1084"/>
        <n x="12"/>
        <n x="32"/>
        <n x="1337" s="1"/>
      </t>
    </mdx>
    <mdx n="33" f="v">
      <t c="4" si="10">
        <n x="513"/>
        <n x="12"/>
        <n x="32"/>
        <n x="1337" s="1"/>
      </t>
    </mdx>
    <mdx n="33" f="v">
      <t c="4">
        <n x="228"/>
        <n x="12"/>
        <n x="32"/>
        <n x="1337" s="1"/>
      </t>
    </mdx>
    <mdx n="33" f="v">
      <t c="4" si="10">
        <n x="1058"/>
        <n x="14"/>
        <n x="32"/>
        <n x="1337" s="1"/>
      </t>
    </mdx>
    <mdx n="33" f="v">
      <t c="4">
        <n x="835"/>
        <n x="11"/>
        <n x="32"/>
        <n x="1337" s="1"/>
      </t>
    </mdx>
    <mdx n="33" f="v">
      <t c="4" si="9">
        <n x="932"/>
        <n x="14"/>
        <n x="7"/>
        <n x="1337" s="1"/>
      </t>
    </mdx>
    <mdx n="33" f="v">
      <t c="4">
        <n x="1119"/>
        <n x="12"/>
        <n x="7"/>
        <n x="1337" s="1"/>
      </t>
    </mdx>
    <mdx n="33" f="v">
      <t c="4">
        <n x="241"/>
        <n x="14"/>
        <n x="7"/>
        <n x="1337" s="1"/>
      </t>
    </mdx>
    <mdx n="33" f="v">
      <t c="4">
        <n x="615"/>
        <n x="11"/>
        <n x="7"/>
        <n x="1337" s="1"/>
      </t>
    </mdx>
    <mdx n="33" f="v">
      <t c="4">
        <n x="315"/>
        <n x="11"/>
        <n x="7"/>
        <n x="1337" s="1"/>
      </t>
    </mdx>
    <mdx n="33" f="v">
      <t c="4">
        <n x="88"/>
        <n x="11"/>
        <n x="7"/>
        <n x="1337" s="1"/>
      </t>
    </mdx>
    <mdx n="33" f="v">
      <t c="4">
        <n x="546"/>
        <n x="1"/>
        <n x="7"/>
        <n x="1337" s="1"/>
      </t>
    </mdx>
    <mdx n="33" f="v">
      <t c="4">
        <n x="291"/>
        <n x="1"/>
        <n x="7"/>
        <n x="1337" s="1"/>
      </t>
    </mdx>
    <mdx n="33" f="v">
      <t c="4">
        <n x="1000"/>
        <n x="11"/>
        <n x="32"/>
        <n x="1337" s="1"/>
      </t>
    </mdx>
    <mdx n="33" f="v">
      <t c="4">
        <n x="409"/>
        <n x="11"/>
        <n x="32"/>
        <n x="1337" s="1"/>
      </t>
    </mdx>
    <mdx n="33" f="v">
      <t c="4" si="10">
        <n x="1335"/>
        <n x="12"/>
        <n x="32"/>
        <n x="1337" s="1"/>
      </t>
    </mdx>
    <mdx n="33" f="v">
      <t c="4">
        <n x="734"/>
        <n x="12"/>
        <n x="32"/>
        <n x="1337" s="1"/>
      </t>
    </mdx>
    <mdx n="33" f="v">
      <t c="4">
        <n x="1242"/>
        <n x="12"/>
        <n x="7"/>
        <n x="1337" s="1"/>
      </t>
    </mdx>
    <mdx n="33" f="v">
      <t c="4" si="10">
        <n x="890"/>
        <n x="14"/>
        <n x="32"/>
        <n x="1337" s="1"/>
      </t>
    </mdx>
    <mdx n="33" f="v">
      <t c="3">
        <n x="1032"/>
        <n x="1336"/>
        <n x="1337" s="1"/>
      </t>
    </mdx>
    <mdx n="33" f="v">
      <t c="4">
        <n x="990"/>
        <n x="14"/>
        <n x="7"/>
        <n x="1337" s="1"/>
      </t>
    </mdx>
    <mdx n="33" f="v">
      <t c="4" si="10">
        <n x="853"/>
        <n x="14"/>
        <n x="32"/>
        <n x="1337" s="1"/>
      </t>
    </mdx>
    <mdx n="33" f="v">
      <t c="4" si="10">
        <n x="949"/>
        <n x="0"/>
        <n x="32"/>
        <n x="1337" s="1"/>
      </t>
    </mdx>
    <mdx n="33" f="v">
      <t c="4">
        <n x="1187"/>
        <n x="12"/>
        <n x="7"/>
        <n x="1337" s="1"/>
      </t>
    </mdx>
    <mdx n="33" f="v">
      <t c="4">
        <n x="106"/>
        <n x="14"/>
        <n x="7"/>
        <n x="1337" s="1"/>
      </t>
    </mdx>
    <mdx n="33" f="v">
      <t c="4">
        <n x="1238"/>
        <n x="0"/>
        <n x="32"/>
        <n x="1337" s="1"/>
      </t>
    </mdx>
    <mdx n="33" f="v">
      <t c="4">
        <n x="1076"/>
        <n x="1"/>
        <n x="7"/>
        <n x="1337" s="1"/>
      </t>
    </mdx>
    <mdx n="33" f="v">
      <t c="4">
        <n x="345"/>
        <n x="11"/>
        <n x="32"/>
        <n x="1337" s="1"/>
      </t>
    </mdx>
    <mdx n="33" f="v">
      <t c="4">
        <n x="181"/>
        <n x="12"/>
        <n x="32"/>
        <n x="1337" s="1"/>
      </t>
    </mdx>
    <mdx n="33" f="v">
      <t c="4" si="10">
        <n x="1248"/>
        <n x="0"/>
        <n x="32"/>
        <n x="1337" s="1"/>
      </t>
    </mdx>
    <mdx n="33" f="v">
      <t c="4" si="9">
        <n x="521"/>
        <n x="11"/>
        <n x="7"/>
        <n x="1337" s="1"/>
      </t>
    </mdx>
    <mdx n="33" f="v">
      <t c="4">
        <n x="172"/>
        <n x="11"/>
        <n x="7"/>
        <n x="1337" s="1"/>
      </t>
    </mdx>
    <mdx n="33" f="v">
      <t c="4">
        <n x="558"/>
        <n x="1"/>
        <n x="7"/>
        <n x="1337" s="1"/>
      </t>
    </mdx>
    <mdx n="33" f="v">
      <t c="4">
        <n x="152"/>
        <n x="1"/>
        <n x="7"/>
        <n x="1337" s="1"/>
      </t>
    </mdx>
    <mdx n="33" f="v">
      <t c="4">
        <n x="509"/>
        <n x="11"/>
        <n x="32"/>
        <n x="1337" s="1"/>
      </t>
    </mdx>
    <mdx n="33" f="v">
      <t c="4">
        <n x="101"/>
        <n x="11"/>
        <n x="32"/>
        <n x="1337" s="1"/>
      </t>
    </mdx>
    <mdx n="33" f="v">
      <t c="4" si="10">
        <n x="1071"/>
        <n x="12"/>
        <n x="32"/>
        <n x="1337" s="1"/>
      </t>
    </mdx>
    <mdx n="33" f="v">
      <t c="4" si="10">
        <n x="500"/>
        <n x="12"/>
        <n x="32"/>
        <n x="1337" s="1"/>
      </t>
    </mdx>
    <mdx n="33" f="v">
      <t c="4">
        <n x="237"/>
        <n x="12"/>
        <n x="32"/>
        <n x="1337" s="1"/>
      </t>
    </mdx>
    <mdx n="33" f="v">
      <t c="4">
        <n x="845"/>
        <n x="1"/>
        <n x="7"/>
        <n x="1337" s="1"/>
      </t>
    </mdx>
    <mdx n="33" f="v">
      <t c="4">
        <n x="940"/>
        <n x="12"/>
        <n x="32"/>
        <n x="1337" s="1"/>
      </t>
    </mdx>
    <mdx n="33" f="v">
      <t c="4" si="10">
        <n x="1154"/>
        <n x="0"/>
        <n x="32"/>
        <n x="1337" s="1"/>
      </t>
    </mdx>
    <mdx n="33" f="v">
      <t c="4">
        <n x="218"/>
        <n x="14"/>
        <n x="7"/>
        <n x="1337" s="1"/>
      </t>
    </mdx>
    <mdx n="33" f="v">
      <t c="4">
        <n x="587"/>
        <n x="11"/>
        <n x="7"/>
        <n x="1337" s="1"/>
      </t>
    </mdx>
    <mdx n="33" f="v">
      <t c="4">
        <n x="245"/>
        <n x="11"/>
        <n x="7"/>
        <n x="1337" s="1"/>
      </t>
    </mdx>
    <mdx n="33" f="v">
      <t c="4">
        <n x="1118"/>
        <n x="1"/>
        <n x="7"/>
        <n x="1337" s="1"/>
      </t>
    </mdx>
    <mdx n="33" f="v">
      <t c="4">
        <n x="525"/>
        <n x="1"/>
        <n x="7"/>
        <n x="1337" s="1"/>
      </t>
    </mdx>
    <mdx n="33" f="v">
      <t c="4">
        <n x="214"/>
        <n x="1"/>
        <n x="7"/>
        <n x="1337" s="1"/>
      </t>
    </mdx>
    <mdx n="33" f="v">
      <t c="4" si="10">
        <n x="979"/>
        <n x="11"/>
        <n x="32"/>
        <n x="1337" s="1"/>
      </t>
    </mdx>
    <mdx n="33" f="v">
      <t c="4">
        <n x="266"/>
        <n x="0"/>
        <n x="7"/>
        <n x="1337" s="1"/>
      </t>
    </mdx>
    <mdx n="33" f="v">
      <t c="4">
        <n x="558"/>
        <n x="0"/>
        <n x="7"/>
        <n x="1337" s="1"/>
      </t>
    </mdx>
    <mdx n="33" f="v">
      <t c="4">
        <n x="315"/>
        <n x="12"/>
        <n x="7"/>
        <n x="1337" s="1"/>
      </t>
    </mdx>
    <mdx n="33" f="v">
      <t c="4">
        <n x="693"/>
        <n x="0"/>
        <n x="7"/>
        <n x="1337" s="1"/>
      </t>
    </mdx>
    <mdx n="33" f="v">
      <t c="4">
        <n x="692"/>
        <n x="12"/>
        <n x="7"/>
        <n x="1337" s="1"/>
      </t>
    </mdx>
    <mdx n="33" f="v">
      <t c="4">
        <n x="814"/>
        <n x="12"/>
        <n x="7"/>
        <n x="1337" s="1"/>
      </t>
    </mdx>
    <mdx n="33" f="v">
      <t c="4">
        <n x="189"/>
        <n x="14"/>
        <n x="7"/>
        <n x="1337" s="1"/>
      </t>
    </mdx>
    <mdx n="33" f="v">
      <t c="4">
        <n x="811"/>
        <n x="14"/>
        <n x="32"/>
        <n x="1337" s="1"/>
      </t>
    </mdx>
    <mdx n="33" f="v">
      <t c="4">
        <n x="875"/>
        <n x="14"/>
        <n x="7"/>
        <n x="1337" s="1"/>
      </t>
    </mdx>
    <mdx n="33" f="v">
      <t c="4" si="10">
        <n x="1061"/>
        <n x="0"/>
        <n x="32"/>
        <n x="1337" s="1"/>
      </t>
    </mdx>
    <mdx n="33" f="v">
      <t c="4">
        <n x="185"/>
        <n x="14"/>
        <n x="7"/>
        <n x="1337" s="1"/>
      </t>
    </mdx>
    <mdx n="33" f="v">
      <t c="4">
        <n x="626"/>
        <n x="0"/>
        <n x="7"/>
        <n x="1337" s="1"/>
      </t>
    </mdx>
    <mdx n="33" f="v">
      <t c="4">
        <n x="751"/>
        <n x="0"/>
        <n x="7"/>
        <n x="1337" s="1"/>
      </t>
    </mdx>
    <mdx n="33" f="v">
      <t c="4">
        <n x="727"/>
        <n x="12"/>
        <n x="7"/>
        <n x="1337" s="1"/>
      </t>
    </mdx>
    <mdx n="33" f="v">
      <t c="4">
        <n x="826"/>
        <n x="11"/>
        <n x="32"/>
        <n x="1337" s="1"/>
      </t>
    </mdx>
    <mdx n="33" f="v">
      <t c="4" si="9">
        <n x="855"/>
        <n x="14"/>
        <n x="7"/>
        <n x="1337" s="1"/>
      </t>
    </mdx>
    <mdx n="33" f="v">
      <t c="4">
        <n x="952"/>
        <n x="11"/>
        <n x="32"/>
        <n x="1337" s="1"/>
      </t>
    </mdx>
    <mdx n="33" f="v">
      <t c="4">
        <n x="1200"/>
        <n x="12"/>
        <n x="7"/>
        <n x="1337" s="1"/>
      </t>
    </mdx>
    <mdx n="33" f="v">
      <t c="4">
        <n x="1320"/>
        <n x="11"/>
        <n x="7"/>
        <n x="1337" s="1"/>
      </t>
    </mdx>
    <mdx n="33" f="v">
      <t c="4" si="10">
        <n x="878"/>
        <n x="14"/>
        <n x="32"/>
        <n x="1337" s="1"/>
      </t>
    </mdx>
    <mdx n="33" f="v">
      <t c="4" si="10">
        <n x="742"/>
        <n x="0"/>
        <n x="32"/>
        <n x="1337" s="1"/>
      </t>
    </mdx>
    <mdx n="33" f="v">
      <t c="4">
        <n x="1282"/>
        <n x="12"/>
        <n x="7"/>
        <n x="1337" s="1"/>
      </t>
    </mdx>
    <mdx n="33" f="v">
      <t c="4" si="10">
        <n x="892"/>
        <n x="12"/>
        <n x="32"/>
        <n x="1337" s="1"/>
      </t>
    </mdx>
    <mdx n="33" f="v">
      <t c="3">
        <n x="1036"/>
        <n x="1336"/>
        <n x="1337" s="1"/>
      </t>
    </mdx>
    <mdx n="33" f="v">
      <t c="4">
        <n x="970"/>
        <n x="14"/>
        <n x="7"/>
        <n x="1337" s="1"/>
      </t>
    </mdx>
    <mdx n="33" f="v">
      <t c="4">
        <n x="834"/>
        <n x="14"/>
        <n x="7"/>
        <n x="1337" s="1"/>
      </t>
    </mdx>
    <mdx n="33" f="v">
      <t c="4" si="9">
        <n x="869"/>
        <n x="14"/>
        <n x="7"/>
        <n x="1337" s="1"/>
      </t>
    </mdx>
    <mdx n="33" f="v">
      <t c="4">
        <n x="1061"/>
        <n x="0"/>
        <n x="7"/>
        <n x="1337" s="1"/>
      </t>
    </mdx>
    <mdx n="33" f="v">
      <t c="4">
        <n x="1160"/>
        <n x="12"/>
        <n x="7"/>
        <n x="1337" s="1"/>
      </t>
    </mdx>
    <mdx n="33" f="v">
      <t c="4">
        <n x="1320"/>
        <n x="12"/>
        <n x="7"/>
        <n x="1337" s="1"/>
      </t>
    </mdx>
    <mdx n="33" f="v">
      <t c="4" si="9">
        <n x="527"/>
        <n x="14"/>
        <n x="7"/>
        <n x="1337" s="1"/>
      </t>
    </mdx>
    <mdx n="33" f="v">
      <t c="4">
        <n x="107"/>
        <n x="14"/>
        <n x="7"/>
        <n x="1337" s="1"/>
      </t>
    </mdx>
    <mdx n="33" f="v">
      <t c="4">
        <n x="710"/>
        <n x="12"/>
        <n x="7"/>
        <n x="1337" s="1"/>
      </t>
    </mdx>
    <mdx n="33" f="v">
      <t c="4">
        <n x="830"/>
        <n x="14"/>
        <n x="7"/>
        <n x="1337" s="1"/>
      </t>
    </mdx>
    <mdx n="33" f="v">
      <t c="4">
        <n x="871"/>
        <n x="1"/>
        <n x="32"/>
        <n x="1337" s="1"/>
      </t>
    </mdx>
    <mdx n="33" f="v">
      <t c="4">
        <n x="900"/>
        <n x="0"/>
        <n x="7"/>
        <n x="1337" s="1"/>
      </t>
    </mdx>
    <mdx n="33" f="v">
      <t c="4" si="10">
        <n x="695"/>
        <n x="12"/>
        <n x="32"/>
        <n x="1337" s="1"/>
      </t>
    </mdx>
    <mdx n="33" f="v">
      <t c="4">
        <n x="710"/>
        <n x="0"/>
        <n x="7"/>
        <n x="1337" s="1"/>
      </t>
    </mdx>
    <mdx n="33" f="v">
      <t c="4">
        <n x="835"/>
        <n x="14"/>
        <n x="32"/>
        <n x="1337" s="1"/>
      </t>
    </mdx>
    <mdx n="33" f="v">
      <t c="4" si="10">
        <n x="888"/>
        <n x="1"/>
        <n x="32"/>
        <n x="1337" s="1"/>
      </t>
    </mdx>
    <mdx n="33" f="v">
      <t c="4">
        <n x="1123"/>
        <n x="12"/>
        <n x="7"/>
        <n x="1337" s="1"/>
      </t>
    </mdx>
    <mdx n="33" f="v">
      <t c="4" si="10">
        <n x="547"/>
        <n x="0"/>
        <n x="32"/>
        <n x="1337" s="1"/>
      </t>
    </mdx>
    <mdx n="33" f="v">
      <t c="4">
        <n x="831"/>
        <n x="0"/>
        <n x="7"/>
        <n x="1337" s="1"/>
      </t>
    </mdx>
    <mdx n="33" f="v">
      <t c="4">
        <n x="883"/>
        <n x="1"/>
        <n x="32"/>
        <n x="1337" s="1"/>
      </t>
    </mdx>
    <mdx n="33" f="v">
      <t c="4">
        <n x="911"/>
        <n x="1"/>
        <n x="32"/>
        <n x="1337" s="1"/>
      </t>
    </mdx>
    <mdx n="33" f="v">
      <t c="4" si="10">
        <n x="934"/>
        <n x="14"/>
        <n x="32"/>
        <n x="1337" s="1"/>
      </t>
    </mdx>
    <mdx n="33" f="v">
      <t c="4">
        <n x="969"/>
        <n x="12"/>
        <n x="7"/>
        <n x="1337" s="1"/>
      </t>
    </mdx>
    <mdx n="33" f="v">
      <t c="3">
        <n x="1020"/>
        <n x="1336"/>
        <n x="1337" s="1"/>
      </t>
    </mdx>
    <mdx n="33" f="v">
      <t c="4">
        <n x="1071"/>
        <n x="1"/>
        <n x="32"/>
        <n x="1337" s="1"/>
      </t>
    </mdx>
    <mdx n="33" f="v">
      <t c="4">
        <n x="1122"/>
        <n x="0"/>
        <n x="7"/>
        <n x="1337" s="1"/>
      </t>
    </mdx>
    <mdx n="33" f="v">
      <t c="4">
        <n x="1249"/>
        <n x="0"/>
        <n x="32"/>
        <n x="1337" s="1"/>
      </t>
    </mdx>
    <mdx n="33" f="v">
      <t c="4" si="9">
        <n x="1050"/>
        <n x="14"/>
        <n x="7"/>
        <n x="1337" s="1"/>
      </t>
    </mdx>
    <mdx n="33" f="v">
      <t c="4" si="9">
        <n x="478"/>
        <n x="14"/>
        <n x="7"/>
        <n x="1337" s="1"/>
      </t>
    </mdx>
    <mdx n="33" f="v">
      <t c="4" si="10">
        <n x="683"/>
        <n x="12"/>
        <n x="32"/>
        <n x="1337" s="1"/>
      </t>
    </mdx>
    <mdx n="33" f="v">
      <t c="4">
        <n x="784"/>
        <n x="14"/>
        <n x="7"/>
        <n x="1337" s="1"/>
      </t>
    </mdx>
    <mdx n="33" f="v">
      <t c="4" si="10">
        <n x="846"/>
        <n x="14"/>
        <n x="32"/>
        <n x="1337" s="1"/>
      </t>
    </mdx>
    <mdx n="33" f="v">
      <t c="4">
        <n x="871"/>
        <n x="0"/>
        <n x="7"/>
        <n x="1337" s="1"/>
      </t>
    </mdx>
    <mdx n="33" f="v">
      <t c="4">
        <n x="894"/>
        <n x="1"/>
        <n x="7"/>
        <n x="1337" s="1"/>
      </t>
    </mdx>
    <mdx n="33" f="v">
      <t c="4">
        <n x="917"/>
        <n x="14"/>
        <n x="7"/>
        <n x="1337" s="1"/>
      </t>
    </mdx>
    <mdx n="33" f="v">
      <t c="4">
        <n x="941"/>
        <n x="1"/>
        <n x="7"/>
        <n x="1337" s="1"/>
      </t>
    </mdx>
    <mdx n="33" f="v">
      <t c="4">
        <n x="983"/>
        <n x="0"/>
        <n x="7"/>
        <n x="1337" s="1"/>
      </t>
    </mdx>
    <mdx n="33" f="v">
      <t c="4" si="10">
        <n x="1035"/>
        <n x="0"/>
        <n x="32"/>
        <n x="1337" s="1"/>
      </t>
    </mdx>
    <mdx n="33" f="v">
      <t c="4">
        <n x="1086"/>
        <n x="12"/>
        <n x="7"/>
        <n x="1337" s="1"/>
      </t>
    </mdx>
    <mdx n="33" f="v">
      <t c="4">
        <n x="1157"/>
        <n x="12"/>
        <n x="7"/>
        <n x="1337" s="1"/>
      </t>
    </mdx>
    <mdx n="33" f="v">
      <t c="4">
        <n x="1285"/>
        <n x="12"/>
        <n x="7"/>
        <n x="1337" s="1"/>
      </t>
    </mdx>
    <mdx n="33" f="v">
      <t c="4">
        <n x="977"/>
        <n x="14"/>
        <n x="7"/>
        <n x="1337" s="1"/>
      </t>
    </mdx>
    <mdx n="33" f="v">
      <t c="4">
        <n x="382"/>
        <n x="14"/>
        <n x="7"/>
        <n x="1337" s="1"/>
      </t>
    </mdx>
    <mdx n="33" f="v">
      <t c="4">
        <n x="72"/>
        <n x="14"/>
        <n x="7"/>
        <n x="1337" s="1"/>
      </t>
    </mdx>
    <mdx n="33" f="v">
      <t c="4">
        <n x="957"/>
        <n x="11"/>
        <n x="7"/>
        <n x="1337" s="1"/>
      </t>
    </mdx>
    <mdx n="33" f="v">
      <t c="4">
        <n x="836"/>
        <n x="14"/>
        <n x="7"/>
        <n x="1337" s="1"/>
      </t>
    </mdx>
    <mdx n="33" f="v">
      <t c="4">
        <n x="934"/>
        <n x="0"/>
        <n x="32"/>
        <n x="1337" s="1"/>
      </t>
    </mdx>
    <mdx n="33" f="v">
      <t c="4" si="10">
        <n x="1121"/>
        <n x="1"/>
        <n x="32"/>
        <n x="1337" s="1"/>
      </t>
    </mdx>
    <mdx n="33" f="v">
      <t c="4">
        <n x="302"/>
        <n x="14"/>
        <n x="7"/>
        <n x="1337" s="1"/>
      </t>
    </mdx>
    <mdx n="33" f="v">
      <t c="4">
        <n x="611"/>
        <n x="11"/>
        <n x="7"/>
        <n x="1337" s="1"/>
      </t>
    </mdx>
    <mdx n="33" f="v">
      <t c="4">
        <n x="312"/>
        <n x="11"/>
        <n x="7"/>
        <n x="1337" s="1"/>
      </t>
    </mdx>
    <mdx n="33" f="v">
      <t c="4">
        <n x="76"/>
        <n x="11"/>
        <n x="7"/>
        <n x="1337" s="1"/>
      </t>
    </mdx>
    <mdx n="33" f="v">
      <t c="4">
        <n x="543"/>
        <n x="1"/>
        <n x="7"/>
        <n x="1337" s="1"/>
      </t>
    </mdx>
    <mdx n="33" f="v">
      <t c="4">
        <n x="288"/>
        <n x="1"/>
        <n x="7"/>
        <n x="1337" s="1"/>
      </t>
    </mdx>
    <mdx n="33" f="v">
      <t c="4">
        <n x="997"/>
        <n x="11"/>
        <n x="32"/>
        <n x="1337" s="1"/>
      </t>
    </mdx>
    <mdx n="33" f="v">
      <t c="4">
        <n x="406"/>
        <n x="11"/>
        <n x="32"/>
        <n x="1337" s="1"/>
      </t>
    </mdx>
    <mdx n="33" f="v">
      <t c="4" si="10">
        <n x="646"/>
        <n x="1"/>
        <n x="32"/>
        <n x="1337" s="1"/>
      </t>
    </mdx>
    <mdx n="33" f="v">
      <t c="4" si="10">
        <n x="814"/>
        <n x="12"/>
        <n x="32"/>
        <n x="1337" s="1"/>
      </t>
    </mdx>
    <mdx n="33" f="v">
      <t c="3">
        <n x="749"/>
        <n x="1336"/>
        <n x="1337" s="1"/>
      </t>
    </mdx>
    <mdx n="33" f="v">
      <t c="3">
        <n x="684"/>
        <n x="1336"/>
        <n x="1337" s="1"/>
      </t>
    </mdx>
    <mdx n="33" f="v">
      <t c="4">
        <n x="815"/>
        <n x="11"/>
        <n x="32"/>
        <n x="1337" s="1"/>
      </t>
    </mdx>
    <mdx n="33" f="v">
      <t c="4" si="10">
        <n x="738"/>
        <n x="0"/>
        <n x="32"/>
        <n x="1337" s="1"/>
      </t>
    </mdx>
    <mdx n="33" f="v">
      <t c="4">
        <n x="1260"/>
        <n x="12"/>
        <n x="7"/>
        <n x="1337" s="1"/>
      </t>
    </mdx>
    <mdx n="33" f="v">
      <t c="4">
        <n x="738"/>
        <n x="0"/>
        <n x="7"/>
        <n x="1337" s="1"/>
      </t>
    </mdx>
    <mdx n="33" f="v">
      <t c="4">
        <n x="852"/>
        <n x="14"/>
        <n x="32"/>
        <n x="1337" s="1"/>
      </t>
    </mdx>
    <mdx n="33" f="v">
      <t c="4">
        <n x="1009"/>
        <n x="0"/>
        <n x="7"/>
        <n x="1337" s="1"/>
      </t>
    </mdx>
    <mdx n="33" f="v">
      <t c="4">
        <n x="389"/>
        <n x="14"/>
        <n x="7"/>
        <n x="1337" s="1"/>
      </t>
    </mdx>
    <mdx n="33" f="v">
      <t c="3">
        <n x="480"/>
        <n x="1336"/>
        <n x="1337" s="1"/>
      </t>
    </mdx>
    <mdx n="33" f="v">
      <t c="4" si="10">
        <n x="672"/>
        <n x="11"/>
        <n x="32"/>
        <n x="1337" s="1"/>
      </t>
    </mdx>
    <mdx n="33" f="v">
      <t c="4">
        <n x="706"/>
        <n x="0"/>
        <n x="32"/>
        <n x="1337" s="1"/>
      </t>
    </mdx>
    <mdx n="33" f="v">
      <t c="4">
        <n x="809"/>
        <n x="0"/>
        <n x="32"/>
        <n x="1337" s="1"/>
      </t>
    </mdx>
    <mdx n="33" f="v">
      <t c="4">
        <n x="833"/>
        <n x="1"/>
        <n x="7"/>
        <n x="1337" s="1"/>
      </t>
    </mdx>
    <mdx n="33" f="v">
      <t c="4" si="10">
        <n x="931"/>
        <n x="14"/>
        <n x="32"/>
        <n x="1337" s="1"/>
      </t>
    </mdx>
    <mdx n="33" f="v">
      <t c="4">
        <n x="1116"/>
        <n x="12"/>
        <n x="7"/>
        <n x="1337" s="1"/>
      </t>
    </mdx>
    <mdx n="33" f="v">
      <t c="4">
        <n x="271"/>
        <n x="14"/>
        <n x="7"/>
        <n x="1337" s="1"/>
      </t>
    </mdx>
    <mdx n="33" f="v">
      <t c="4">
        <n x="861"/>
        <n x="12"/>
        <n x="7"/>
        <n x="1337" s="1"/>
      </t>
    </mdx>
    <mdx n="33" f="v">
      <t c="4" si="10">
        <n x="520"/>
        <n x="1"/>
        <n x="32"/>
        <n x="1337" s="1"/>
      </t>
    </mdx>
    <mdx n="33" f="v">
      <t c="4">
        <n x="1033"/>
        <n x="0"/>
        <n x="7"/>
        <n x="1337" s="1"/>
      </t>
    </mdx>
    <mdx n="33" f="v">
      <t c="4">
        <n x="869"/>
        <n x="11"/>
        <n x="32"/>
        <n x="1337" s="1"/>
      </t>
    </mdx>
    <mdx n="33" f="v">
      <t c="4">
        <n x="998"/>
        <n x="0"/>
        <n x="32"/>
        <n x="1337" s="1"/>
      </t>
    </mdx>
    <mdx n="33" f="v">
      <t c="4" si="10">
        <n x="1321"/>
        <n x="0"/>
        <n x="32"/>
        <n x="1337" s="1"/>
      </t>
    </mdx>
    <mdx n="33" f="v">
      <t c="4">
        <n x="821"/>
        <n x="11"/>
        <n x="32"/>
        <n x="1337" s="1"/>
      </t>
    </mdx>
    <mdx n="33" f="v">
      <t c="4">
        <n x="864"/>
        <n x="12"/>
        <n x="7"/>
        <n x="1337" s="1"/>
      </t>
    </mdx>
    <mdx n="33" f="v">
      <t c="4">
        <n x="896"/>
        <n x="12"/>
        <n x="7"/>
        <n x="1337" s="1"/>
      </t>
    </mdx>
    <mdx n="33" f="v">
      <t c="4">
        <n x="926"/>
        <n x="1"/>
        <n x="7"/>
        <n x="1337" s="1"/>
      </t>
    </mdx>
    <mdx n="33" f="v">
      <t c="4">
        <n x="967"/>
        <n x="0"/>
        <n x="7"/>
        <n x="1337" s="1"/>
      </t>
    </mdx>
    <mdx n="33" f="v">
      <t c="4">
        <n x="1038"/>
        <n x="12"/>
        <n x="7"/>
        <n x="1337" s="1"/>
      </t>
    </mdx>
    <mdx n="33" f="v">
      <t c="3">
        <n x="1105"/>
        <n x="1336"/>
        <n x="1337" s="1"/>
      </t>
    </mdx>
    <mdx n="33" f="v">
      <t c="4">
        <n x="1245"/>
        <n x="12"/>
        <n x="7"/>
        <n x="1337" s="1"/>
      </t>
    </mdx>
    <mdx n="33" f="v">
      <t c="4">
        <n x="961"/>
        <n x="14"/>
        <n x="7"/>
        <n x="1337" s="1"/>
      </t>
    </mdx>
    <mdx n="33" f="v">
      <t c="4">
        <n x="277"/>
        <n x="14"/>
        <n x="7"/>
        <n x="1337" s="1"/>
      </t>
    </mdx>
    <mdx n="33" f="v">
      <t c="4">
        <n x="1037"/>
        <n x="11"/>
        <n x="7"/>
        <n x="1337" s="1"/>
      </t>
    </mdx>
    <mdx n="33" f="v">
      <t c="4">
        <n x="844"/>
        <n x="12"/>
        <n x="32"/>
        <n x="1337" s="1"/>
      </t>
    </mdx>
    <mdx n="33" f="v">
      <t c="4" si="10">
        <n x="993"/>
        <n x="1"/>
        <n x="32"/>
        <n x="1337" s="1"/>
      </t>
    </mdx>
    <mdx n="33" f="v">
      <t c="4">
        <n x="548"/>
        <n x="14"/>
        <n x="7"/>
        <n x="1337" s="1"/>
      </t>
    </mdx>
    <mdx n="33" f="v">
      <t c="4">
        <n x="590"/>
        <n x="11"/>
        <n x="7"/>
        <n x="1337" s="1"/>
      </t>
    </mdx>
    <mdx n="33" f="v">
      <t c="4">
        <n x="137"/>
        <n x="11"/>
        <n x="7"/>
        <n x="1337" s="1"/>
      </t>
    </mdx>
    <mdx n="33" f="v">
      <t c="4">
        <n x="960"/>
        <n x="1"/>
        <n x="7"/>
        <n x="1337" s="1"/>
      </t>
    </mdx>
    <mdx n="33" f="v">
      <t c="4">
        <n x="185"/>
        <n x="1"/>
        <n x="7"/>
        <n x="1337" s="1"/>
      </t>
    </mdx>
    <mdx n="33" f="v">
      <t c="4">
        <n x="566"/>
        <n x="11"/>
        <n x="32"/>
        <n x="1337" s="1"/>
      </t>
    </mdx>
    <mdx n="33" f="v">
      <t c="4">
        <n x="196"/>
        <n x="11"/>
        <n x="32"/>
        <n x="1337" s="1"/>
      </t>
    </mdx>
    <mdx n="33" f="v">
      <t c="4">
        <n x="1176"/>
        <n x="12"/>
        <n x="32"/>
        <n x="1337" s="1"/>
      </t>
    </mdx>
    <mdx n="33" f="v">
      <t c="4" si="10">
        <n x="617"/>
        <n x="12"/>
        <n x="32"/>
        <n x="1337" s="1"/>
      </t>
    </mdx>
    <mdx n="33" f="v">
      <t c="4">
        <n x="340"/>
        <n x="12"/>
        <n x="32"/>
        <n x="1337" s="1"/>
      </t>
    </mdx>
    <mdx n="33" f="v">
      <t c="4">
        <n x="113"/>
        <n x="12"/>
        <n x="32"/>
        <n x="1337" s="1"/>
      </t>
    </mdx>
    <mdx n="33" f="v">
      <t c="4">
        <n x="686"/>
        <n x="11"/>
        <n x="32"/>
        <n x="1337" s="1"/>
      </t>
    </mdx>
    <mdx n="33" f="v">
      <t c="4">
        <n x="895"/>
        <n x="12"/>
        <n x="7"/>
        <n x="1337" s="1"/>
      </t>
    </mdx>
    <mdx n="33" f="v">
      <t c="4" si="10">
        <n x="1036"/>
        <n x="0"/>
        <n x="32"/>
        <n x="1337" s="1"/>
      </t>
    </mdx>
    <mdx n="33" f="v">
      <t c="4">
        <n x="972"/>
        <n x="14"/>
        <n x="7"/>
        <n x="1337" s="1"/>
      </t>
    </mdx>
    <mdx n="33" f="v">
      <t c="3">
        <n x="323"/>
        <n x="1336"/>
        <n x="1337" s="1"/>
      </t>
    </mdx>
    <mdx n="33" f="v">
      <t c="4">
        <n x="701"/>
        <n x="11"/>
        <n x="7"/>
        <n x="1337" s="1"/>
      </t>
    </mdx>
    <mdx n="33" f="v">
      <t c="4" si="9">
        <n x="470"/>
        <n x="12"/>
        <n x="7"/>
        <n x="1337" s="1"/>
      </t>
    </mdx>
    <mdx n="33" f="v">
      <t c="4" si="9">
        <n x="760"/>
        <n x="14"/>
        <n x="7"/>
        <n x="1337" s="1"/>
      </t>
    </mdx>
    <mdx n="33" f="v">
      <t c="4" si="10">
        <n x="620"/>
        <n x="14"/>
        <n x="32"/>
        <n x="1337" s="1"/>
      </t>
    </mdx>
    <mdx n="33" f="v">
      <t c="4" si="10">
        <n x="889"/>
        <n x="12"/>
        <n x="32"/>
        <n x="1337" s="1"/>
      </t>
    </mdx>
    <mdx n="33" f="v">
      <t c="4">
        <n x="1024"/>
        <n x="12"/>
        <n x="7"/>
        <n x="1337" s="1"/>
      </t>
    </mdx>
    <mdx n="33" f="v">
      <t c="4" si="9">
        <n x="1031"/>
        <n x="14"/>
        <n x="7"/>
        <n x="1337" s="1"/>
      </t>
    </mdx>
    <mdx n="33" f="v">
      <t c="4">
        <n x="705"/>
        <n x="12"/>
        <n x="32"/>
        <n x="1337" s="1"/>
      </t>
    </mdx>
    <mdx n="33" f="v">
      <t c="4">
        <n x="831"/>
        <n x="11"/>
        <n x="7"/>
        <n x="1337" s="1"/>
      </t>
    </mdx>
    <mdx n="33" f="v">
      <t c="4" si="10">
        <n x="868"/>
        <n x="0"/>
        <n x="32"/>
        <n x="1337" s="1"/>
      </t>
    </mdx>
    <mdx n="33" f="v">
      <t c="4">
        <n x="899"/>
        <n x="1"/>
        <n x="32"/>
        <n x="1337" s="1"/>
      </t>
    </mdx>
    <mdx n="33" f="v">
      <t c="4" si="10">
        <n x="923"/>
        <n x="1"/>
        <n x="32"/>
        <n x="1337" s="1"/>
      </t>
    </mdx>
    <mdx n="33" f="v">
      <t c="4">
        <n x="948"/>
        <n x="14"/>
        <n x="7"/>
        <n x="1337" s="1"/>
      </t>
    </mdx>
    <mdx n="33" f="v">
      <t c="4">
        <n x="995"/>
        <n x="1"/>
        <n x="32"/>
        <n x="1337" s="1"/>
      </t>
    </mdx>
    <mdx n="33" f="v">
      <t c="4">
        <n x="1046"/>
        <n x="0"/>
        <n x="7"/>
        <n x="1337" s="1"/>
      </t>
    </mdx>
    <mdx n="33" f="v">
      <t c="4" si="10">
        <n x="1098"/>
        <n x="0"/>
        <n x="32"/>
        <n x="1337" s="1"/>
      </t>
    </mdx>
    <mdx n="33" f="v">
      <t c="4" si="10">
        <n x="1187"/>
        <n x="0"/>
        <n x="32"/>
        <n x="1337" s="1"/>
      </t>
    </mdx>
    <mdx n="33" f="v">
      <t c="4" si="10">
        <n x="1315"/>
        <n x="0"/>
        <n x="32"/>
        <n x="1337" s="1"/>
      </t>
    </mdx>
    <mdx n="33" f="v">
      <t c="4">
        <n x="602"/>
        <n x="14"/>
        <n x="7"/>
        <n x="1337" s="1"/>
      </t>
    </mdx>
    <mdx n="33" f="v">
      <t c="4">
        <n x="243"/>
        <n x="12"/>
        <n x="7"/>
        <n x="1337" s="1"/>
      </t>
    </mdx>
    <mdx n="33" f="v">
      <t c="3">
        <n x="735"/>
        <n x="1336"/>
        <n x="1337" s="1"/>
      </t>
    </mdx>
    <mdx n="33" f="v">
      <t c="4">
        <n x="831"/>
        <n x="11"/>
        <n x="32"/>
        <n x="1337" s="1"/>
      </t>
    </mdx>
    <mdx n="33" f="v">
      <t c="4">
        <n x="860"/>
        <n x="12"/>
        <n x="7"/>
        <n x="1337" s="1"/>
      </t>
    </mdx>
    <mdx n="33" f="v">
      <t c="4">
        <n x="883"/>
        <n x="0"/>
        <n x="7"/>
        <n x="1337" s="1"/>
      </t>
    </mdx>
    <mdx n="33" f="v">
      <t c="4">
        <n x="906"/>
        <n x="1"/>
        <n x="7"/>
        <n x="1337" s="1"/>
      </t>
    </mdx>
    <mdx n="33" f="v">
      <t c="4">
        <n x="929"/>
        <n x="14"/>
        <n x="7"/>
        <n x="1337" s="1"/>
      </t>
    </mdx>
    <mdx n="33" f="v">
      <t c="4" si="10">
        <n x="959"/>
        <n x="0"/>
        <n x="32"/>
        <n x="1337" s="1"/>
      </t>
    </mdx>
    <mdx n="33" f="v">
      <t c="4">
        <n x="1010"/>
        <n x="12"/>
        <n x="7"/>
        <n x="1337" s="1"/>
      </t>
    </mdx>
    <mdx n="33" f="v">
      <t c="3">
        <n x="1061"/>
        <n x="1336"/>
        <n x="1337" s="1"/>
      </t>
    </mdx>
    <mdx n="33" f="v">
      <t c="4">
        <n x="1112"/>
        <n x="1"/>
        <n x="32"/>
        <n x="1337" s="1"/>
      </t>
    </mdx>
    <mdx n="33" f="v">
      <t c="4">
        <n x="1223"/>
        <n x="12"/>
        <n x="7"/>
        <n x="1337" s="1"/>
      </t>
    </mdx>
    <mdx n="33" f="v">
      <t c="4">
        <n x="1101"/>
        <n x="14"/>
        <n x="7"/>
        <n x="1337" s="1"/>
      </t>
    </mdx>
    <mdx n="33" f="v">
      <t c="4" si="9">
        <n x="529"/>
        <n x="14"/>
        <n x="7"/>
        <n x="1337" s="1"/>
      </t>
    </mdx>
    <mdx n="33" f="v">
      <t c="4">
        <n x="278"/>
        <n x="14"/>
        <n x="7"/>
        <n x="1337" s="1"/>
      </t>
    </mdx>
    <mdx n="33" f="v">
      <t c="4">
        <n x="1081"/>
        <n x="11"/>
        <n x="7"/>
        <n x="1337" s="1"/>
      </t>
    </mdx>
    <mdx n="33" f="v">
      <t c="4" si="9">
        <n x="591"/>
        <n x="0"/>
        <n x="7"/>
        <n x="1337" s="1"/>
      </t>
    </mdx>
    <mdx n="33" f="v">
      <t c="4">
        <n x="888"/>
        <n x="14"/>
        <n x="7"/>
        <n x="1337" s="1"/>
      </t>
    </mdx>
    <mdx n="33" f="v">
      <t c="3">
        <n x="1022"/>
        <n x="1336"/>
        <n x="1337" s="1"/>
      </t>
    </mdx>
    <mdx n="33" f="v">
      <t c="4">
        <n x="1040"/>
        <n x="14"/>
        <n x="7"/>
        <n x="1337" s="1"/>
      </t>
    </mdx>
    <mdx n="33" f="v">
      <t c="4">
        <n x="1094"/>
        <n x="11"/>
        <n x="7"/>
        <n x="1337" s="1"/>
      </t>
    </mdx>
    <mdx n="33" f="v">
      <t c="4">
        <n x="418"/>
        <n x="11"/>
        <n x="7"/>
        <n x="1337" s="1"/>
      </t>
    </mdx>
    <mdx n="33" f="v">
      <t c="4">
        <n x="193"/>
        <n x="11"/>
        <n x="7"/>
        <n x="1337" s="1"/>
      </t>
    </mdx>
    <mdx n="33" f="v">
      <t c="4">
        <n x="1004"/>
        <n x="1"/>
        <n x="7"/>
        <n x="1337" s="1"/>
      </t>
    </mdx>
    <mdx n="33" f="v">
      <t c="4">
        <n x="410"/>
        <n x="1"/>
        <n x="7"/>
        <n x="1337" s="1"/>
      </t>
    </mdx>
    <mdx n="33" f="v">
      <t c="4">
        <n x="1121"/>
        <n x="11"/>
        <n x="32"/>
        <n x="1337" s="1"/>
      </t>
    </mdx>
    <mdx n="33" f="v">
      <t c="4">
        <n x="530"/>
        <n x="11"/>
        <n x="32"/>
        <n x="1337" s="1"/>
      </t>
    </mdx>
    <mdx n="33" f="v">
      <t c="4">
        <n x="207"/>
        <n x="11"/>
        <n x="32"/>
        <n x="1337" s="1"/>
      </t>
    </mdx>
    <mdx n="33" f="v">
      <t c="4">
        <n x="1188"/>
        <n x="12"/>
        <n x="32"/>
        <n x="1337" s="1"/>
      </t>
    </mdx>
    <mdx n="33" f="v">
      <t c="4">
        <n x="426"/>
        <n x="12"/>
        <n x="32"/>
        <n x="1337" s="1"/>
      </t>
    </mdx>
    <mdx n="33" f="v">
      <t c="4">
        <n x="352"/>
        <n x="12"/>
        <n x="32"/>
        <n x="1337" s="1"/>
      </t>
    </mdx>
    <mdx n="33" f="v">
      <t c="4">
        <n x="125"/>
        <n x="12"/>
        <n x="32"/>
        <n x="1337" s="1"/>
      </t>
    </mdx>
    <mdx n="33" f="v">
      <t c="4">
        <n x="636"/>
        <n x="1"/>
        <n x="32"/>
        <n x="1337" s="1"/>
      </t>
    </mdx>
    <mdx n="33" f="v">
      <t c="4" si="10">
        <n x="890"/>
        <n x="12"/>
        <n x="32"/>
        <n x="1337" s="1"/>
      </t>
    </mdx>
    <mdx n="33" f="v">
      <t c="3">
        <n x="1026"/>
        <n x="1336"/>
        <n x="1337" s="1"/>
      </t>
    </mdx>
    <mdx n="33" f="v">
      <t c="4">
        <n x="1020"/>
        <n x="14"/>
        <n x="7"/>
        <n x="1337" s="1"/>
      </t>
    </mdx>
    <mdx n="33" f="v">
      <t c="3">
        <n x="642"/>
        <n x="1336"/>
        <n x="1337" s="1"/>
      </t>
    </mdx>
    <mdx n="33" f="v">
      <t c="3">
        <n x="754"/>
        <n x="1336"/>
        <n x="1337" s="1"/>
      </t>
    </mdx>
    <mdx n="33" f="v">
      <t c="4">
        <n x="621"/>
        <n x="0"/>
        <n x="7"/>
        <n x="1337" s="1"/>
      </t>
    </mdx>
    <mdx n="33" f="v">
      <t c="4">
        <n x="776"/>
        <n x="11"/>
        <n x="32"/>
        <n x="1337" s="1"/>
      </t>
    </mdx>
    <mdx n="33" f="v">
      <t c="4">
        <n x="719"/>
        <n x="14"/>
        <n x="7"/>
        <n x="1337" s="1"/>
      </t>
    </mdx>
    <mdx n="33" f="v">
      <t c="4">
        <n x="902"/>
        <n x="11"/>
        <n x="7"/>
        <n x="1337" s="1"/>
      </t>
    </mdx>
    <mdx n="33" f="v">
      <t c="4" si="10">
        <n x="1053"/>
        <n x="0"/>
        <n x="32"/>
        <n x="1337" s="1"/>
      </t>
    </mdx>
    <mdx n="33" f="v">
      <t c="4">
        <n x="571"/>
        <n x="14"/>
        <n x="7"/>
        <n x="1337" s="1"/>
      </t>
    </mdx>
    <mdx n="33" f="v">
      <t c="3">
        <n x="723"/>
        <n x="1336"/>
        <n x="1337" s="1"/>
      </t>
    </mdx>
    <mdx n="33" f="v">
      <t c="4">
        <n x="837"/>
        <n x="1"/>
        <n x="7"/>
        <n x="1337" s="1"/>
      </t>
    </mdx>
    <mdx n="33" f="v">
      <t c="4">
        <n x="872"/>
        <n x="0"/>
        <n x="7"/>
        <n x="1337" s="1"/>
      </t>
    </mdx>
    <mdx n="33" f="v">
      <t c="4">
        <n x="903"/>
        <n x="1"/>
        <n x="32"/>
        <n x="1337" s="1"/>
      </t>
    </mdx>
    <mdx n="33" f="v">
      <t c="4" si="10">
        <n x="926"/>
        <n x="14"/>
        <n x="32"/>
        <n x="1337" s="1"/>
      </t>
    </mdx>
    <mdx n="33" f="v">
      <t c="4" si="10">
        <n x="953"/>
        <n x="14"/>
        <n x="32"/>
        <n x="1337" s="1"/>
      </t>
    </mdx>
    <mdx n="33" f="v">
      <t c="4">
        <n x="1002"/>
        <n x="0"/>
        <n x="7"/>
        <n x="1337" s="1"/>
      </t>
    </mdx>
    <mdx n="33" f="v">
      <t c="4">
        <n x="1054"/>
        <n x="0"/>
        <n x="32"/>
        <n x="1337" s="1"/>
      </t>
    </mdx>
    <mdx n="33" f="v">
      <t c="4">
        <n x="1105"/>
        <n x="12"/>
        <n x="7"/>
        <n x="1337" s="1"/>
      </t>
    </mdx>
    <mdx n="33" f="v">
      <t c="4">
        <n x="1205"/>
        <n x="0"/>
        <n x="32"/>
        <n x="1337" s="1"/>
      </t>
    </mdx>
    <mdx n="33" f="v">
      <t c="4">
        <n x="1333"/>
        <n x="0"/>
        <n x="32"/>
        <n x="1337" s="1"/>
      </t>
    </mdx>
    <mdx n="33" f="v">
      <t c="4">
        <n x="566"/>
        <n x="14"/>
        <n x="7"/>
        <n x="1337" s="1"/>
      </t>
    </mdx>
    <mdx n="33" f="v">
      <t c="4" si="9">
        <n x="511"/>
        <n x="0"/>
        <n x="7"/>
        <n x="1337" s="1"/>
      </t>
    </mdx>
    <mdx n="33" f="v">
      <t c="4" si="10">
        <n x="748"/>
        <n x="1"/>
        <n x="32"/>
        <n x="1337" s="1"/>
      </t>
    </mdx>
    <mdx n="33" f="v">
      <t c="4">
        <n x="835"/>
        <n x="11"/>
        <n x="7"/>
        <n x="1337" s="1"/>
      </t>
    </mdx>
    <mdx n="33" f="v">
      <t c="4" si="9">
        <n x="863"/>
        <n x="0"/>
        <n x="7"/>
        <n x="1337" s="1"/>
      </t>
    </mdx>
    <mdx n="33" f="v">
      <t c="4">
        <n x="886"/>
        <n x="1"/>
        <n x="7"/>
        <n x="1337" s="1"/>
      </t>
    </mdx>
    <mdx n="33" f="v">
      <t c="4">
        <n x="909"/>
        <n x="14"/>
        <n x="7"/>
        <n x="1337" s="1"/>
      </t>
    </mdx>
    <mdx n="33" f="v">
      <t c="3">
        <n x="933"/>
        <n x="1336"/>
        <n x="1337" s="1"/>
      </t>
    </mdx>
    <mdx n="33" f="v">
      <t c="4">
        <n x="966"/>
        <n x="12"/>
        <n x="7"/>
        <n x="1337" s="1"/>
      </t>
    </mdx>
    <mdx n="33" f="v">
      <t c="3">
        <n x="1017"/>
        <n x="1336"/>
        <n x="1337" s="1"/>
      </t>
    </mdx>
    <mdx n="33" f="v">
      <t c="4">
        <n x="1068"/>
        <n x="1"/>
        <n x="32"/>
        <n x="1337" s="1"/>
      </t>
    </mdx>
    <mdx n="33" f="v">
      <t c="4">
        <n x="1119"/>
        <n x="0"/>
        <n x="7"/>
        <n x="1337" s="1"/>
      </t>
    </mdx>
    <mdx n="33" f="v">
      <t c="4">
        <n x="1241"/>
        <n x="12"/>
        <n x="7"/>
        <n x="1337" s="1"/>
      </t>
    </mdx>
    <mdx n="33" f="v">
      <t c="4">
        <n x="1065"/>
        <n x="14"/>
        <n x="7"/>
        <n x="1337" s="1"/>
      </t>
    </mdx>
    <mdx n="33" f="v">
      <t c="4" si="9">
        <n x="493"/>
        <n x="14"/>
        <n x="7"/>
        <n x="1337" s="1"/>
      </t>
    </mdx>
    <mdx n="33" f="v">
      <t c="4">
        <n x="142"/>
        <n x="14"/>
        <n x="7"/>
        <n x="1337" s="1"/>
      </t>
    </mdx>
    <mdx n="33" f="v">
      <t c="4">
        <n x="1045"/>
        <n x="11"/>
        <n x="7"/>
        <n x="1337" s="1"/>
      </t>
    </mdx>
    <mdx n="33" f="v">
      <t c="4">
        <n x="716"/>
        <n x="1"/>
        <n x="7"/>
        <n x="1337" s="1"/>
      </t>
    </mdx>
    <mdx n="33" f="v">
      <t c="4" si="10">
        <n x="902"/>
        <n x="0"/>
        <n x="32"/>
        <n x="1337" s="1"/>
      </t>
    </mdx>
    <mdx n="33" f="v">
      <t c="4">
        <n x="1051"/>
        <n x="12"/>
        <n x="7"/>
        <n x="1337" s="1"/>
      </t>
    </mdx>
    <mdx n="33" f="v">
      <t c="4">
        <n x="580"/>
        <n x="14"/>
        <n x="7"/>
        <n x="1337" s="1"/>
      </t>
    </mdx>
    <mdx n="33" f="v">
      <t c="4">
        <n x="1044"/>
        <n x="11"/>
        <n x="7"/>
        <n x="1337" s="1"/>
      </t>
    </mdx>
    <mdx n="33" f="v">
      <t c="4">
        <n x="440"/>
        <n x="11"/>
        <n x="7"/>
        <n x="1337" s="1"/>
      </t>
    </mdx>
    <mdx n="33" f="v">
      <t c="4">
        <n x="157"/>
        <n x="11"/>
        <n x="7"/>
        <n x="1337" s="1"/>
      </t>
    </mdx>
    <mdx n="33" f="v">
      <t c="4">
        <n x="968"/>
        <n x="1"/>
        <n x="7"/>
        <n x="1337" s="1"/>
      </t>
    </mdx>
    <mdx n="33" f="v">
      <t c="4">
        <n x="373"/>
        <n x="1"/>
        <n x="7"/>
        <n x="1337" s="1"/>
      </t>
    </mdx>
    <mdx n="33" f="v">
      <t c="4">
        <n x="1085"/>
        <n x="11"/>
        <n x="32"/>
        <n x="1337" s="1"/>
      </t>
    </mdx>
    <mdx n="33" f="v">
      <t c="4" si="10">
        <n x="494"/>
        <n x="11"/>
        <n x="32"/>
        <n x="1337" s="1"/>
      </t>
    </mdx>
    <mdx n="33" f="v">
      <t c="4">
        <n x="165"/>
        <n x="11"/>
        <n x="32"/>
        <n x="1337" s="1"/>
      </t>
    </mdx>
    <mdx n="33" f="v">
      <t c="4" si="10">
        <n x="1152"/>
        <n x="12"/>
        <n x="32"/>
        <n x="1337" s="1"/>
      </t>
    </mdx>
    <mdx n="33" f="v">
      <t c="4">
        <n x="593"/>
        <n x="12"/>
        <n x="32"/>
        <n x="1337" s="1"/>
      </t>
    </mdx>
    <mdx n="33" f="v">
      <t c="4">
        <n x="316"/>
        <n x="12"/>
        <n x="32"/>
        <n x="1337" s="1"/>
      </t>
    </mdx>
    <mdx n="33" f="v">
      <t c="4">
        <n x="90"/>
        <n x="12"/>
        <n x="32"/>
        <n x="1337" s="1"/>
      </t>
    </mdx>
    <mdx n="33" f="v">
      <t c="4">
        <n x="723"/>
        <n x="14"/>
        <n x="7"/>
        <n x="1337" s="1"/>
      </t>
    </mdx>
    <mdx n="33" f="v">
      <t c="4">
        <n x="903"/>
        <n x="11"/>
        <n x="7"/>
        <n x="1337" s="1"/>
      </t>
    </mdx>
    <mdx n="33" f="v">
      <t c="4">
        <n x="1055"/>
        <n x="12"/>
        <n x="7"/>
        <n x="1337" s="1"/>
      </t>
    </mdx>
    <mdx n="33" f="v">
      <t c="4" si="9">
        <n x="560"/>
        <n x="14"/>
        <n x="7"/>
        <n x="1337" s="1"/>
      </t>
    </mdx>
    <mdx n="33" f="v">
      <t c="4">
        <n x="1038"/>
        <n x="11"/>
        <n x="7"/>
        <n x="1337" s="1"/>
      </t>
    </mdx>
    <mdx n="33" f="v">
      <t c="4">
        <n x="420"/>
        <n x="11"/>
        <n x="7"/>
        <n x="1337" s="1"/>
      </t>
    </mdx>
    <mdx n="33" f="v">
      <t c="4">
        <n x="155"/>
        <n x="11"/>
        <n x="7"/>
        <n x="1337" s="1"/>
      </t>
    </mdx>
    <mdx n="33" f="v">
      <t c="4">
        <n x="963"/>
        <n x="1"/>
        <n x="7"/>
        <n x="1337" s="1"/>
      </t>
    </mdx>
    <mdx n="33" f="v">
      <t c="4">
        <n x="368"/>
        <n x="1"/>
        <n x="7"/>
        <n x="1337" s="1"/>
      </t>
    </mdx>
    <mdx n="33" f="v">
      <t c="4" si="10">
        <n x="1080"/>
        <n x="11"/>
        <n x="32"/>
        <n x="1337" s="1"/>
      </t>
    </mdx>
    <mdx n="33" f="v">
      <t c="4">
        <n x="489"/>
        <n x="11"/>
        <n x="32"/>
        <n x="1337" s="1"/>
      </t>
    </mdx>
    <mdx n="33" f="v">
      <t c="4">
        <n x="206"/>
        <n x="11"/>
        <n x="32"/>
        <n x="1337" s="1"/>
      </t>
    </mdx>
    <mdx n="33" f="v">
      <t c="3">
        <n x="686"/>
        <n x="1336"/>
        <n x="1337" s="1"/>
      </t>
    </mdx>
    <mdx n="33" f="v">
      <t c="4">
        <n x="933"/>
        <n x="0"/>
        <n x="7"/>
        <n x="1337" s="1"/>
      </t>
    </mdx>
    <mdx n="33" f="v">
      <t c="4" si="10">
        <n x="851"/>
        <n x="1"/>
        <n x="32"/>
        <n x="1337" s="1"/>
      </t>
    </mdx>
    <mdx n="33" f="v">
      <t c="3">
        <n x="968"/>
        <n x="1336"/>
        <n x="1337" s="1"/>
      </t>
    </mdx>
    <mdx n="33" f="v">
      <t c="4" si="10">
        <n x="1247"/>
        <n x="0"/>
        <n x="32"/>
        <n x="1337" s="1"/>
      </t>
    </mdx>
    <mdx n="33" f="v">
      <t c="4">
        <n x="782"/>
        <n x="14"/>
        <n x="7"/>
        <n x="1337" s="1"/>
      </t>
    </mdx>
    <mdx n="33" f="v">
      <t c="4">
        <n x="917"/>
        <n x="14"/>
        <n x="32"/>
        <n x="1337" s="1"/>
      </t>
    </mdx>
    <mdx n="33" f="v">
      <t c="3">
        <n x="1085"/>
        <n x="1336"/>
        <n x="1337" s="1"/>
      </t>
    </mdx>
    <mdx n="33" f="v">
      <t c="4">
        <n x="387"/>
        <n x="14"/>
        <n x="7"/>
        <n x="1337" s="1"/>
      </t>
    </mdx>
    <mdx n="33" f="v">
      <t c="4" si="10">
        <n x="932"/>
        <n x="14"/>
        <n x="32"/>
        <n x="1337" s="1"/>
      </t>
    </mdx>
    <mdx n="33" f="v">
      <t c="4">
        <n x="316"/>
        <n x="11"/>
        <n x="7"/>
        <n x="1337" s="1"/>
      </t>
    </mdx>
    <mdx n="33" f="v">
      <t c="4">
        <n x="1001"/>
        <n x="11"/>
        <n x="32"/>
        <n x="1337" s="1"/>
      </t>
    </mdx>
    <mdx n="33" f="v">
      <t c="4" si="10">
        <n x="509"/>
        <n x="12"/>
        <n x="32"/>
        <n x="1337" s="1"/>
      </t>
    </mdx>
    <mdx n="33" f="v">
      <t c="4">
        <n x="934"/>
        <n x="0"/>
        <n x="7"/>
        <n x="1337" s="1"/>
      </t>
    </mdx>
    <mdx n="33" f="v">
      <t c="4">
        <n x="979"/>
        <n x="11"/>
        <n x="7"/>
        <n x="1337" s="1"/>
      </t>
    </mdx>
    <mdx n="33" f="v">
      <t c="4">
        <n x="294"/>
        <n x="11"/>
        <n x="7"/>
        <n x="1337" s="1"/>
      </t>
    </mdx>
    <mdx n="33" f="v">
      <t c="4">
        <n x="1003"/>
        <n x="1"/>
        <n x="7"/>
        <n x="1337" s="1"/>
      </t>
    </mdx>
    <mdx n="33" f="v">
      <t c="4">
        <n x="324"/>
        <n x="1"/>
        <n x="7"/>
        <n x="1337" s="1"/>
      </t>
    </mdx>
    <mdx n="33" f="v">
      <t c="4" si="10">
        <n x="613"/>
        <n x="11"/>
        <n x="32"/>
        <n x="1337" s="1"/>
      </t>
    </mdx>
    <mdx n="33" f="v">
      <t c="4">
        <n x="191"/>
        <n x="11"/>
        <n x="32"/>
        <n x="1337" s="1"/>
      </t>
    </mdx>
    <mdx n="33" f="v">
      <t c="4" si="10">
        <n x="1139"/>
        <n x="12"/>
        <n x="32"/>
        <n x="1337" s="1"/>
      </t>
    </mdx>
    <mdx n="33" f="v">
      <t c="4" si="10">
        <n x="580"/>
        <n x="12"/>
        <n x="32"/>
        <n x="1337" s="1"/>
      </t>
    </mdx>
    <mdx n="33" f="v">
      <t c="4">
        <n x="302"/>
        <n x="12"/>
        <n x="32"/>
        <n x="1337" s="1"/>
      </t>
    </mdx>
    <mdx n="33" f="v">
      <t c="4" si="10">
        <n x="754"/>
        <n x="11"/>
        <n x="32"/>
        <n x="1337" s="1"/>
      </t>
    </mdx>
    <mdx n="33" f="v">
      <t c="4">
        <n x="911"/>
        <n x="11"/>
        <n x="32"/>
        <n x="1337" s="1"/>
      </t>
    </mdx>
    <mdx n="33" f="v">
      <t c="4" si="10">
        <n x="1072"/>
        <n x="0"/>
        <n x="32"/>
        <n x="1337" s="1"/>
      </t>
    </mdx>
    <mdx n="33" f="v">
      <t c="4" si="9">
        <n x="476"/>
        <n x="14"/>
        <n x="7"/>
        <n x="1337" s="1"/>
      </t>
    </mdx>
    <mdx n="33" f="v">
      <t c="4">
        <n x="1010"/>
        <n x="11"/>
        <n x="7"/>
        <n x="1337" s="1"/>
      </t>
    </mdx>
    <mdx n="33" f="v">
      <t c="4">
        <n x="374"/>
        <n x="11"/>
        <n x="7"/>
        <n x="1337" s="1"/>
      </t>
    </mdx>
    <mdx n="33" f="v">
      <t c="4">
        <n x="102"/>
        <n x="11"/>
        <n x="7"/>
        <n x="1337" s="1"/>
      </t>
    </mdx>
    <mdx n="33" f="v">
      <t c="4" si="9">
        <n x="605"/>
        <n x="1"/>
        <n x="7"/>
        <n x="1337" s="1"/>
      </t>
    </mdx>
    <mdx n="33" f="v">
      <t c="4">
        <n x="347"/>
        <n x="1"/>
        <n x="7"/>
        <n x="1337" s="1"/>
      </t>
    </mdx>
    <mdx n="33" f="v">
      <t c="4">
        <n x="1059"/>
        <n x="11"/>
        <n x="32"/>
        <n x="1337" s="1"/>
      </t>
    </mdx>
    <mdx n="33" f="v">
      <t c="4">
        <n x="362"/>
        <n x="1"/>
        <n x="32"/>
        <n x="1337" s="1"/>
      </t>
    </mdx>
    <mdx n="33" f="v">
      <t c="3">
        <n x="453"/>
        <n x="1336"/>
        <n x="1337" s="1"/>
      </t>
    </mdx>
    <mdx n="33" f="v">
      <t c="4" si="10">
        <n x="718"/>
        <n x="14"/>
        <n x="32"/>
        <n x="1337" s="1"/>
      </t>
    </mdx>
    <mdx n="33" f="v">
      <t c="4">
        <n x="258"/>
        <n x="11"/>
        <n x="32"/>
        <n x="1337" s="1"/>
      </t>
    </mdx>
    <mdx n="33" f="v">
      <t c="4">
        <n x="381"/>
        <n x="12"/>
        <n x="7"/>
        <n x="1337" s="1"/>
      </t>
    </mdx>
    <mdx n="33" f="v">
      <t c="4" si="10">
        <n x="703"/>
        <n x="1"/>
        <n x="32"/>
        <n x="1337" s="1"/>
      </t>
    </mdx>
    <mdx n="33" f="v">
      <t c="4">
        <n x="890"/>
        <n x="12"/>
        <n x="7"/>
        <n x="1337" s="1"/>
      </t>
    </mdx>
    <mdx n="33" f="v">
      <t c="4" si="10">
        <n x="704"/>
        <n x="12"/>
        <n x="32"/>
        <n x="1337" s="1"/>
      </t>
    </mdx>
    <mdx n="33" f="v">
      <t c="4">
        <n x="631"/>
        <n x="14"/>
        <n x="7"/>
        <n x="1337" s="1"/>
      </t>
    </mdx>
    <mdx n="33" f="v">
      <t c="4">
        <n x="922"/>
        <n x="11"/>
        <n x="32"/>
        <n x="1337" s="1"/>
      </t>
    </mdx>
    <mdx n="33" f="v">
      <t c="4">
        <n x="1222"/>
        <n x="12"/>
        <n x="7"/>
        <n x="1337" s="1"/>
      </t>
    </mdx>
    <mdx n="33" f="v">
      <t c="4">
        <n x="361"/>
        <n x="0"/>
        <n x="7"/>
        <n x="1337" s="1"/>
      </t>
    </mdx>
    <mdx n="33" f="v">
      <t c="3">
        <n x="706"/>
        <n x="1336"/>
        <n x="1337" s="1"/>
      </t>
    </mdx>
    <mdx n="33" f="v">
      <t c="4">
        <n x="482"/>
        <n x="12"/>
        <n x="7"/>
        <n x="1337" s="1"/>
      </t>
    </mdx>
    <mdx n="33" f="v">
      <t c="4">
        <n x="762"/>
        <n x="0"/>
        <n x="32"/>
        <n x="1337" s="1"/>
      </t>
    </mdx>
    <mdx n="33" f="v">
      <t c="4" si="10">
        <n x="637"/>
        <n x="12"/>
        <n x="32"/>
        <n x="1337" s="1"/>
      </t>
    </mdx>
    <mdx n="33" f="v">
      <t c="4">
        <n x="890"/>
        <n x="11"/>
        <n x="7"/>
        <n x="1337" s="1"/>
      </t>
    </mdx>
    <mdx n="33" f="v">
      <t c="4">
        <n x="1026"/>
        <n x="1"/>
        <n x="32"/>
        <n x="1337" s="1"/>
      </t>
    </mdx>
    <mdx n="33" f="v">
      <t c="4">
        <n x="1019"/>
        <n x="14"/>
        <n x="7"/>
        <n x="1337" s="1"/>
      </t>
    </mdx>
    <mdx n="33" f="v">
      <t c="4">
        <n x="762"/>
        <n x="11"/>
        <n x="32"/>
        <n x="1337" s="1"/>
      </t>
    </mdx>
    <mdx n="33" f="v">
      <t c="4">
        <n x="663"/>
        <n x="0"/>
        <n x="7"/>
        <n x="1337" s="1"/>
      </t>
    </mdx>
    <mdx n="33" f="v">
      <t c="4">
        <n x="781"/>
        <n x="14"/>
        <n x="7"/>
        <n x="1337" s="1"/>
      </t>
    </mdx>
    <mdx n="33" f="v">
      <t c="4">
        <n x="742"/>
        <n x="12"/>
        <n x="7"/>
        <n x="1337" s="1"/>
      </t>
    </mdx>
    <mdx n="33" f="v">
      <t c="3">
        <n x="930"/>
        <n x="1336"/>
        <n x="1337" s="1"/>
      </t>
    </mdx>
    <mdx n="33" f="v">
      <t c="4">
        <n x="1113"/>
        <n x="12"/>
        <n x="7"/>
        <n x="1337" s="1"/>
      </t>
    </mdx>
    <mdx n="33" f="v">
      <t c="4">
        <n x="629"/>
        <n x="0"/>
        <n x="32"/>
        <n x="1337" s="1"/>
      </t>
    </mdx>
    <mdx n="33" f="v">
      <t c="4">
        <n x="850"/>
        <n x="0"/>
        <n x="7"/>
        <n x="1337" s="1"/>
      </t>
    </mdx>
    <mdx n="33" f="v">
      <t c="4" si="10">
        <n x="881"/>
        <n x="14"/>
        <n x="32"/>
        <n x="1337" s="1"/>
      </t>
    </mdx>
    <mdx n="33" f="v">
      <t c="4">
        <n x="913"/>
        <n x="14"/>
        <n x="32"/>
        <n x="1337" s="1"/>
      </t>
    </mdx>
    <mdx n="33" f="v">
      <t c="4">
        <n x="945"/>
        <n x="1"/>
        <n x="7"/>
        <n x="1337" s="1"/>
      </t>
    </mdx>
    <mdx n="33" f="v">
      <t c="4">
        <n x="1006"/>
        <n x="12"/>
        <n x="7"/>
        <n x="1337" s="1"/>
      </t>
    </mdx>
    <mdx n="33" f="v">
      <t c="4">
        <n x="1076"/>
        <n x="1"/>
        <n x="32"/>
        <n x="1337" s="1"/>
      </t>
    </mdx>
    <mdx n="33" f="v">
      <t c="4">
        <n x="1173"/>
        <n x="12"/>
        <n x="7"/>
        <n x="1337" s="1"/>
      </t>
    </mdx>
    <mdx n="33" f="v">
      <t c="4" si="9">
        <n x="1121"/>
        <n x="14"/>
        <n x="7"/>
        <n x="1337" s="1"/>
      </t>
    </mdx>
    <mdx n="33" f="v">
      <t c="4">
        <n x="397"/>
        <n x="14"/>
        <n x="7"/>
        <n x="1337" s="1"/>
      </t>
    </mdx>
    <mdx n="33" f="v">
      <t c="4">
        <n x="126"/>
        <n x="14"/>
        <n x="7"/>
        <n x="1337" s="1"/>
      </t>
    </mdx>
    <mdx n="33" f="v">
      <t c="4">
        <n x="529"/>
        <n x="11"/>
        <n x="7"/>
        <n x="1337" s="1"/>
      </t>
    </mdx>
    <mdx n="33" f="v">
      <t c="4" si="10">
        <n x="916"/>
        <n x="14"/>
        <n x="32"/>
        <n x="1337" s="1"/>
      </t>
    </mdx>
    <mdx n="33" f="v">
      <t c="4" si="10">
        <n x="1182"/>
        <n x="0"/>
        <n x="32"/>
        <n x="1337" s="1"/>
      </t>
    </mdx>
    <mdx n="33" f="v">
      <t c="4">
        <n x="1333"/>
        <n x="11"/>
        <n x="7"/>
        <n x="1337" s="1"/>
      </t>
    </mdx>
    <mdx n="33" f="v">
      <t c="4">
        <n x="360"/>
        <n x="11"/>
        <n x="7"/>
        <n x="1337" s="1"/>
      </t>
    </mdx>
    <mdx n="33" f="v">
      <t c="4">
        <n x="1104"/>
        <n x="1"/>
        <n x="7"/>
        <n x="1337" s="1"/>
      </t>
    </mdx>
    <mdx n="33" f="v">
      <t c="4">
        <n x="430"/>
        <n x="1"/>
        <n x="7"/>
        <n x="1337" s="1"/>
      </t>
    </mdx>
    <mdx n="33" f="v">
      <t c="4" si="10">
        <n x="1045"/>
        <n x="11"/>
        <n x="32"/>
        <n x="1337" s="1"/>
      </t>
    </mdx>
    <mdx n="33" f="v">
      <t c="4">
        <n x="373"/>
        <n x="11"/>
        <n x="32"/>
        <n x="1337" s="1"/>
      </t>
    </mdx>
    <mdx n="33" f="v">
      <t c="4">
        <n x="1288"/>
        <n x="12"/>
        <n x="32"/>
        <n x="1337" s="1"/>
      </t>
    </mdx>
    <mdx n="33" f="v">
      <t c="4" si="10">
        <n x="1044"/>
        <n x="12"/>
        <n x="32"/>
        <n x="1337" s="1"/>
      </t>
    </mdx>
    <mdx n="33" f="v">
      <t c="4" si="10">
        <n x="473"/>
        <n x="12"/>
        <n x="32"/>
        <n x="1337" s="1"/>
      </t>
    </mdx>
    <mdx n="33" f="v">
      <t c="4">
        <n x="209"/>
        <n x="12"/>
        <n x="32"/>
        <n x="1337" s="1"/>
      </t>
    </mdx>
    <mdx n="33" f="v">
      <t c="4" si="10">
        <n x="1018"/>
        <n x="14"/>
        <n x="32"/>
        <n x="1337" s="1"/>
      </t>
    </mdx>
    <mdx n="33" f="v">
      <t c="4" si="9">
        <n x="854"/>
        <n x="0"/>
        <n x="7"/>
        <n x="1337" s="1"/>
      </t>
    </mdx>
    <mdx n="33" f="v">
      <t c="4">
        <n x="950"/>
        <n x="12"/>
        <n x="7"/>
        <n x="1337" s="1"/>
      </t>
    </mdx>
    <mdx n="33" f="v">
      <t c="4">
        <n x="1192"/>
        <n x="0"/>
        <n x="32"/>
        <n x="1337" s="1"/>
      </t>
    </mdx>
    <mdx n="33" f="v">
      <t c="4">
        <n x="210"/>
        <n x="14"/>
        <n x="7"/>
        <n x="1337" s="1"/>
      </t>
    </mdx>
    <mdx n="33" f="v">
      <t c="4">
        <n x="573"/>
        <n x="12"/>
        <n x="7"/>
        <n x="1337" s="1"/>
      </t>
    </mdx>
    <mdx n="33" f="v">
      <t c="4">
        <n x="723"/>
        <n x="12"/>
        <n x="32"/>
        <n x="1337" s="1"/>
      </t>
    </mdx>
    <mdx n="33" f="v">
      <t c="3">
        <n x="720"/>
        <n x="1336"/>
        <n x="1337" s="1"/>
      </t>
    </mdx>
    <mdx n="33" f="v">
      <t c="4" si="10">
        <n x="819"/>
        <n x="14"/>
        <n x="32"/>
        <n x="1337" s="1"/>
      </t>
    </mdx>
    <mdx n="33" f="v">
      <t c="4" si="10">
        <n x="847"/>
        <n x="12"/>
        <n x="32"/>
        <n x="1337" s="1"/>
      </t>
    </mdx>
    <mdx n="33" f="v">
      <t c="4">
        <n x="942"/>
        <n x="11"/>
        <n x="7"/>
        <n x="1337" s="1"/>
      </t>
    </mdx>
    <mdx n="33" f="v">
      <t c="4">
        <n x="1162"/>
        <n x="12"/>
        <n x="7"/>
        <n x="1337" s="1"/>
      </t>
    </mdx>
    <mdx n="33" f="v">
      <t c="4">
        <n x="99"/>
        <n x="14"/>
        <n x="7"/>
        <n x="1337" s="1"/>
      </t>
    </mdx>
    <mdx n="33" f="v">
      <t c="4" si="10">
        <n x="778"/>
        <n x="14"/>
        <n x="32"/>
        <n x="1337" s="1"/>
      </t>
    </mdx>
    <mdx n="33" f="v">
      <t c="4" si="10">
        <n x="854"/>
        <n x="14"/>
        <n x="32"/>
        <n x="1337" s="1"/>
      </t>
    </mdx>
    <mdx n="33" f="v">
      <t c="4" si="10">
        <n x="885"/>
        <n x="11"/>
        <n x="32"/>
        <n x="1337" s="1"/>
      </t>
    </mdx>
    <mdx n="33" f="v">
      <t c="4">
        <n x="913"/>
        <n x="12"/>
        <n x="7"/>
        <n x="1337" s="1"/>
      </t>
    </mdx>
    <mdx n="33" f="v">
      <t c="4">
        <n x="936"/>
        <n x="0"/>
        <n x="7"/>
        <n x="1337" s="1"/>
      </t>
    </mdx>
    <mdx n="33" f="v">
      <t c="4">
        <n x="973"/>
        <n x="12"/>
        <n x="7"/>
        <n x="1337" s="1"/>
      </t>
    </mdx>
    <mdx n="33" f="v">
      <t c="3">
        <n x="1024"/>
        <n x="1336"/>
        <n x="1337" s="1"/>
      </t>
    </mdx>
    <mdx n="33" f="v">
      <t c="4">
        <n x="1075"/>
        <n x="1"/>
        <n x="32"/>
        <n x="1337" s="1"/>
      </t>
    </mdx>
    <mdx n="33" f="v">
      <t c="4" si="10">
        <n x="1131"/>
        <n x="0"/>
        <n x="32"/>
        <n x="1337" s="1"/>
      </t>
    </mdx>
    <mdx n="33" f="v">
      <t c="4" si="10">
        <n x="1259"/>
        <n x="0"/>
        <n x="32"/>
        <n x="1337" s="1"/>
      </t>
    </mdx>
    <mdx n="33" f="v">
      <t c="4" si="9">
        <n x="1030"/>
        <n x="14"/>
        <n x="7"/>
        <n x="1337" s="1"/>
      </t>
    </mdx>
    <mdx n="33" f="v">
      <t c="4">
        <n x="417"/>
        <n x="14"/>
        <n x="7"/>
        <n x="1337" s="1"/>
      </t>
    </mdx>
    <mdx n="33" f="v">
      <t c="4" si="10">
        <n x="693"/>
        <n x="12"/>
        <n x="32"/>
        <n x="1337" s="1"/>
      </t>
    </mdx>
    <mdx n="33" f="v">
      <t c="4">
        <n x="793"/>
        <n x="11"/>
        <n x="7"/>
        <n x="1337" s="1"/>
      </t>
    </mdx>
    <mdx n="33" f="v">
      <t c="4" si="9">
        <n x="848"/>
        <n x="14"/>
        <n x="7"/>
        <n x="1337" s="1"/>
      </t>
    </mdx>
    <mdx n="33" f="v">
      <t c="3">
        <n x="873"/>
        <n x="1336"/>
        <n x="1337" s="1"/>
      </t>
    </mdx>
    <mdx n="33" f="v">
      <t c="4" si="10">
        <n x="896"/>
        <n x="11"/>
        <n x="32"/>
        <n x="1337" s="1"/>
      </t>
    </mdx>
    <mdx n="33" f="v">
      <t c="4">
        <n x="919"/>
        <n x="12"/>
        <n x="32"/>
        <n x="1337" s="1"/>
      </t>
    </mdx>
    <mdx n="33" f="v">
      <t c="4" si="10">
        <n x="944"/>
        <n x="0"/>
        <n x="32"/>
        <n x="1337" s="1"/>
      </t>
    </mdx>
    <mdx n="33" f="v">
      <t c="4">
        <n x="987"/>
        <n x="0"/>
        <n x="7"/>
        <n x="1337" s="1"/>
      </t>
    </mdx>
    <mdx n="33" f="v">
      <t c="4" si="10">
        <n x="1039"/>
        <n x="0"/>
        <n x="32"/>
        <n x="1337" s="1"/>
      </t>
    </mdx>
    <mdx n="33" f="v">
      <t c="4">
        <n x="1090"/>
        <n x="12"/>
        <n x="7"/>
        <n x="1337" s="1"/>
      </t>
    </mdx>
    <mdx n="33" f="v">
      <t c="4">
        <n x="1167"/>
        <n x="12"/>
        <n x="7"/>
        <n x="1337" s="1"/>
      </t>
    </mdx>
    <mdx n="33" f="v">
      <t c="4">
        <n x="1295"/>
        <n x="12"/>
        <n x="7"/>
        <n x="1337" s="1"/>
      </t>
    </mdx>
    <mdx n="33" f="v">
      <t c="4">
        <n x="957"/>
        <n x="14"/>
        <n x="7"/>
        <n x="1337" s="1"/>
      </t>
    </mdx>
    <mdx n="33" f="v">
      <t c="4">
        <n x="362"/>
        <n x="14"/>
        <n x="7"/>
        <n x="1337" s="1"/>
      </t>
    </mdx>
    <mdx n="33" f="v">
      <t c="4">
        <n x="69"/>
        <n x="14"/>
        <n x="7"/>
        <n x="1337" s="1"/>
      </t>
    </mdx>
    <mdx n="33" f="v">
      <t c="4">
        <n x="393"/>
        <n x="11"/>
        <n x="7"/>
        <n x="1337" s="1"/>
      </t>
    </mdx>
    <mdx n="33" f="v">
      <t c="4">
        <n x="846"/>
        <n x="1"/>
        <n x="7"/>
        <n x="1337" s="1"/>
      </t>
    </mdx>
    <mdx n="33" f="v">
      <t c="4" si="10">
        <n x="941"/>
        <n x="12"/>
        <n x="32"/>
        <n x="1337" s="1"/>
      </t>
    </mdx>
    <mdx n="33" f="v">
      <t c="4" si="10">
        <n x="1158"/>
        <n x="0"/>
        <n x="32"/>
        <n x="1337" s="1"/>
      </t>
    </mdx>
    <mdx n="33" f="v">
      <t c="4">
        <n x="267"/>
        <n x="14"/>
        <n x="7"/>
        <n x="1337" s="1"/>
      </t>
    </mdx>
    <mdx n="33" f="v">
      <t c="4" si="9">
        <n x="584"/>
        <n x="11"/>
        <n x="7"/>
        <n x="1337" s="1"/>
      </t>
    </mdx>
    <mdx n="33" f="v">
      <t c="4">
        <n x="237"/>
        <n x="11"/>
        <n x="7"/>
        <n x="1337" s="1"/>
      </t>
    </mdx>
    <mdx n="33" f="v">
      <t c="4">
        <n x="1116"/>
        <n x="1"/>
        <n x="7"/>
        <n x="1337" s="1"/>
      </t>
    </mdx>
    <mdx n="33" f="v">
      <t c="4">
        <n x="523"/>
        <n x="1"/>
        <n x="7"/>
        <n x="1337" s="1"/>
      </t>
    </mdx>
    <mdx n="33" f="v">
      <t c="4">
        <n x="206"/>
        <n x="1"/>
        <n x="7"/>
        <n x="1337" s="1"/>
      </t>
    </mdx>
    <mdx n="33" f="v">
      <t c="4">
        <n x="977"/>
        <n x="11"/>
        <n x="32"/>
        <n x="1337" s="1"/>
      </t>
    </mdx>
    <mdx n="33" f="v">
      <t c="4" si="10">
        <n x="385"/>
        <n x="11"/>
        <n x="32"/>
        <n x="1337" s="1"/>
      </t>
    </mdx>
    <mdx n="33" f="v">
      <t c="4" si="10">
        <n x="1300"/>
        <n x="12"/>
        <n x="32"/>
        <n x="1337" s="1"/>
      </t>
    </mdx>
    <mdx n="33" f="v">
      <t c="4" si="10">
        <n x="1056"/>
        <n x="12"/>
        <n x="32"/>
        <n x="1337" s="1"/>
      </t>
    </mdx>
    <mdx n="33" f="v">
      <t c="4" si="10">
        <n x="485"/>
        <n x="12"/>
        <n x="32"/>
        <n x="1337" s="1"/>
      </t>
    </mdx>
    <mdx n="33" f="v">
      <t c="4">
        <n x="74"/>
        <n x="12"/>
        <n x="32"/>
        <n x="1337" s="1"/>
      </t>
    </mdx>
    <mdx n="33" f="v">
      <t c="4" si="10">
        <n x="1030"/>
        <n x="14"/>
        <n x="32"/>
        <n x="1337" s="1"/>
      </t>
    </mdx>
    <mdx n="33" f="v">
      <t c="4">
        <n x="849"/>
        <n x="12"/>
        <n x="7"/>
        <n x="1337" s="1"/>
      </t>
    </mdx>
    <mdx n="33" f="v">
      <t c="4" si="9">
        <n x="944"/>
        <n x="12"/>
        <n x="7"/>
        <n x="1337" s="1"/>
      </t>
    </mdx>
    <mdx n="33" f="v">
      <t c="4" si="10">
        <n x="1168"/>
        <n x="0"/>
        <n x="32"/>
        <n x="1337" s="1"/>
      </t>
    </mdx>
    <mdx n="33" f="v">
      <t c="4">
        <n x="227"/>
        <n x="14"/>
        <n x="7"/>
        <n x="1337" s="1"/>
      </t>
    </mdx>
    <mdx n="33" f="v">
      <t c="4">
        <n x="651"/>
        <n x="12"/>
        <n x="7"/>
        <n x="1337" s="1"/>
      </t>
    </mdx>
    <mdx n="33" f="v">
      <t c="4">
        <n x="779"/>
        <n x="12"/>
        <n x="7"/>
        <n x="1337" s="1"/>
      </t>
    </mdx>
    <mdx n="33" f="v">
      <t c="4">
        <n x="733"/>
        <n x="1"/>
        <n x="32"/>
        <n x="1337" s="1"/>
      </t>
    </mdx>
    <mdx n="33" f="v">
      <t c="4">
        <n x="832"/>
        <n x="1"/>
        <n x="7"/>
        <n x="1337" s="1"/>
      </t>
    </mdx>
    <mdx n="33" f="v">
      <t c="4">
        <n x="862"/>
        <n x="12"/>
        <n x="7"/>
        <n x="1337" s="1"/>
      </t>
    </mdx>
    <mdx n="33" f="v">
      <t c="3">
        <n x="963"/>
        <n x="1336"/>
        <n x="1337" s="1"/>
      </t>
    </mdx>
    <mdx n="33" f="v">
      <t c="4">
        <n x="1234"/>
        <n x="12"/>
        <n x="7"/>
        <n x="1337" s="1"/>
      </t>
    </mdx>
    <mdx n="33" f="v">
      <t c="4">
        <n x="424"/>
        <n x="0"/>
        <n x="7"/>
        <n x="1337" s="1"/>
      </t>
    </mdx>
    <mdx n="33" f="v">
      <t c="4" si="10">
        <n x="799"/>
        <n x="1"/>
        <n x="32"/>
        <n x="1337" s="1"/>
      </t>
    </mdx>
    <mdx n="33" f="v">
      <t c="4">
        <n x="858"/>
        <n x="14"/>
        <n x="7"/>
        <n x="1337" s="1"/>
      </t>
    </mdx>
    <mdx n="33" f="v">
      <t c="4">
        <n x="889"/>
        <n x="11"/>
        <n x="7"/>
        <n x="1337" s="1"/>
      </t>
    </mdx>
    <mdx n="33" f="v">
      <t c="4">
        <n x="916"/>
        <n x="0"/>
        <n x="7"/>
        <n x="1337" s="1"/>
      </t>
    </mdx>
    <mdx n="33" f="v">
      <t c="4">
        <n x="939"/>
        <n x="1"/>
        <n x="7"/>
        <n x="1337" s="1"/>
      </t>
    </mdx>
    <mdx n="33" f="v">
      <t c="3">
        <n x="980"/>
        <n x="1336"/>
        <n x="1337" s="1"/>
      </t>
    </mdx>
    <mdx n="33" f="v">
      <t c="4" si="10">
        <n x="1031"/>
        <n x="1"/>
        <n x="32"/>
        <n x="1337" s="1"/>
      </t>
    </mdx>
    <mdx n="33" f="v">
      <t c="4">
        <n x="1082"/>
        <n x="0"/>
        <n x="7"/>
        <n x="1337" s="1"/>
      </t>
    </mdx>
    <mdx n="33" f="v">
      <t c="4">
        <n x="1149"/>
        <n x="0"/>
        <n x="32"/>
        <n x="1337" s="1"/>
      </t>
    </mdx>
    <mdx n="33" f="v">
      <t c="4" si="10">
        <n x="1277"/>
        <n x="0"/>
        <n x="32"/>
        <n x="1337" s="1"/>
      </t>
    </mdx>
    <mdx n="33" f="v">
      <t c="4">
        <n x="994"/>
        <n x="14"/>
        <n x="7"/>
        <n x="1337" s="1"/>
      </t>
    </mdx>
    <mdx n="33" f="v">
      <t c="4">
        <n x="439"/>
        <n x="14"/>
        <n x="7"/>
        <n x="1337" s="1"/>
      </t>
    </mdx>
    <mdx n="33" f="v">
      <t c="4" si="10">
        <n x="707"/>
        <n x="14"/>
        <n x="32"/>
        <n x="1337" s="1"/>
      </t>
    </mdx>
    <mdx n="33" f="v">
      <t c="4">
        <n x="806"/>
        <n x="14"/>
        <n x="7"/>
        <n x="1337" s="1"/>
      </t>
    </mdx>
    <mdx n="33" f="v">
      <t c="3">
        <n x="853"/>
        <n x="1336"/>
        <n x="1337" s="1"/>
      </t>
    </mdx>
    <mdx n="33" f="v">
      <t c="4" si="10">
        <n x="876"/>
        <n x="11"/>
        <n x="32"/>
        <n x="1337" s="1"/>
      </t>
    </mdx>
    <mdx n="33" f="v">
      <t c="4" si="10">
        <n x="899"/>
        <n x="12"/>
        <n x="32"/>
        <n x="1337" s="1"/>
      </t>
    </mdx>
    <mdx n="33" f="v">
      <t c="4" si="10">
        <n x="923"/>
        <n x="0"/>
        <n x="32"/>
        <n x="1337" s="1"/>
      </t>
    </mdx>
    <mdx n="33" f="v">
      <t c="4">
        <n x="948"/>
        <n x="1"/>
        <n x="7"/>
        <n x="1337" s="1"/>
      </t>
    </mdx>
    <mdx n="33" f="v">
      <t c="4">
        <n x="995"/>
        <n x="0"/>
        <n x="32"/>
        <n x="1337" s="1"/>
      </t>
    </mdx>
    <mdx n="33" f="v">
      <t c="4">
        <n x="1046"/>
        <n x="12"/>
        <n x="7"/>
        <n x="1337" s="1"/>
      </t>
    </mdx>
    <mdx n="33" f="v">
      <t c="3">
        <n x="1097"/>
        <n x="1336"/>
        <n x="1337" s="1"/>
      </t>
    </mdx>
    <mdx n="33" f="v">
      <t c="4">
        <n x="1185"/>
        <n x="12"/>
        <n x="7"/>
        <n x="1337" s="1"/>
      </t>
    </mdx>
    <mdx n="33" f="v">
      <t c="4">
        <n x="1313"/>
        <n x="12"/>
        <n x="7"/>
        <n x="1337" s="1"/>
      </t>
    </mdx>
    <mdx n="33" f="v">
      <t c="4" si="9">
        <n x="605"/>
        <n x="14"/>
        <n x="7"/>
        <n x="1337" s="1"/>
      </t>
    </mdx>
    <mdx n="33" f="v">
      <t c="4">
        <n x="326"/>
        <n x="14"/>
        <n x="7"/>
        <n x="1337" s="1"/>
      </t>
    </mdx>
    <mdx n="33" f="v">
      <t c="4">
        <n x="54"/>
        <n x="14"/>
        <n x="7"/>
        <n x="1337" s="1"/>
      </t>
    </mdx>
    <mdx n="33" f="v">
      <t c="4" si="9">
        <n x="585"/>
        <n x="11"/>
        <n x="7"/>
        <n x="1337" s="1"/>
      </t>
    </mdx>
    <mdx n="33" f="v">
      <t c="4" si="10">
        <n x="861"/>
        <n x="1"/>
        <n x="32"/>
        <n x="1337" s="1"/>
      </t>
    </mdx>
    <mdx n="33" f="v">
      <t c="4" si="10">
        <n x="961"/>
        <n x="1"/>
        <n x="32"/>
        <n x="1337" s="1"/>
      </t>
    </mdx>
    <mdx n="33" f="v">
      <t c="4">
        <n x="1230"/>
        <n x="0"/>
        <n x="32"/>
        <n x="1337" s="1"/>
      </t>
    </mdx>
    <mdx n="33" f="v">
      <t c="4">
        <n x="172"/>
        <n x="14"/>
        <n x="7"/>
        <n x="1337" s="1"/>
      </t>
    </mdx>
    <mdx n="33" f="v">
      <t c="4">
        <n x="536"/>
        <n x="11"/>
        <n x="7"/>
        <n x="1337" s="1"/>
      </t>
    </mdx>
    <mdx n="33" f="v">
      <t c="4">
        <n x="287"/>
        <n x="11"/>
        <n x="7"/>
        <n x="1337" s="1"/>
      </t>
    </mdx>
    <mdx n="33" f="v">
      <t c="4">
        <n x="1080"/>
        <n x="1"/>
        <n x="7"/>
        <n x="1337" s="1"/>
      </t>
    </mdx>
    <mdx n="33" f="v">
      <t c="4" si="9">
        <n x="487"/>
        <n x="1"/>
        <n x="7"/>
        <n x="1337" s="1"/>
      </t>
    </mdx>
    <mdx n="33" f="v">
      <t c="4">
        <n x="188"/>
        <n x="1"/>
        <n x="7"/>
        <n x="1337" s="1"/>
      </t>
    </mdx>
    <mdx n="33" f="v">
      <t c="4">
        <n x="606"/>
        <n x="11"/>
        <n x="32"/>
        <n x="1337" s="1"/>
      </t>
    </mdx>
    <mdx n="33" f="v">
      <t c="4">
        <n x="349"/>
        <n x="11"/>
        <n x="32"/>
        <n x="1337" s="1"/>
      </t>
    </mdx>
    <mdx n="33" f="v">
      <t c="4">
        <n x="1264"/>
        <n x="12"/>
        <n x="32"/>
        <n x="1337" s="1"/>
      </t>
    </mdx>
    <mdx n="33" f="v">
      <t c="4">
        <n x="1020"/>
        <n x="12"/>
        <n x="32"/>
        <n x="1337" s="1"/>
      </t>
    </mdx>
    <mdx n="33" f="v">
      <t c="4">
        <n x="468"/>
        <n x="12"/>
        <n x="32"/>
        <n x="1337" s="1"/>
      </t>
    </mdx>
    <mdx n="33" f="v">
      <t c="4">
        <n x="185"/>
        <n x="12"/>
        <n x="32"/>
        <n x="1337" s="1"/>
      </t>
    </mdx>
    <mdx n="33" f="v">
      <t c="4" si="10">
        <n x="994"/>
        <n x="14"/>
        <n x="32"/>
        <n x="1337" s="1"/>
      </t>
    </mdx>
    <mdx n="33" f="v">
      <t c="4">
        <n x="863"/>
        <n x="12"/>
        <n x="7"/>
        <n x="1337" s="1"/>
      </t>
    </mdx>
    <mdx n="33" f="v">
      <t c="4">
        <n x="965"/>
        <n x="1"/>
        <n x="32"/>
        <n x="1337" s="1"/>
      </t>
    </mdx>
    <mdx n="33" f="v">
      <t c="4" si="10">
        <n x="1240"/>
        <n x="0"/>
        <n x="32"/>
        <n x="1337" s="1"/>
      </t>
    </mdx>
    <mdx n="33" f="v">
      <t c="4">
        <n x="162"/>
        <n x="14"/>
        <n x="7"/>
        <n x="1337" s="1"/>
      </t>
    </mdx>
    <mdx n="33" f="v">
      <t c="4">
        <n x="530"/>
        <n x="11"/>
        <n x="7"/>
        <n x="1337" s="1"/>
      </t>
    </mdx>
    <mdx n="33" f="v">
      <t c="4">
        <n x="282"/>
        <n x="11"/>
        <n x="7"/>
        <n x="1337" s="1"/>
      </t>
    </mdx>
    <mdx n="33" f="v">
      <t c="4">
        <n x="1075"/>
        <n x="1"/>
        <n x="7"/>
        <n x="1337" s="1"/>
      </t>
    </mdx>
    <mdx n="33" f="v">
      <t c="4">
        <n x="482"/>
        <n x="1"/>
        <n x="7"/>
        <n x="1337" s="1"/>
      </t>
    </mdx>
    <mdx n="33" f="v">
      <t c="4">
        <n x="168"/>
        <n x="1"/>
        <n x="7"/>
        <n x="1337" s="1"/>
      </t>
    </mdx>
    <mdx n="33" f="v">
      <t c="4">
        <n x="601"/>
        <n x="11"/>
        <n x="32"/>
        <n x="1337" s="1"/>
      </t>
    </mdx>
    <mdx n="33" f="v">
      <t c="4">
        <n x="344"/>
        <n x="11"/>
        <n x="32"/>
        <n x="1337" s="1"/>
      </t>
    </mdx>
    <mdx n="33" f="v">
      <t c="4">
        <n x="1259"/>
        <n x="12"/>
        <n x="32"/>
        <n x="1337" s="1"/>
      </t>
    </mdx>
    <mdx n="33" f="v">
      <t c="4">
        <n x="834"/>
        <n x="12"/>
        <n x="7"/>
        <n x="1337" s="1"/>
      </t>
    </mdx>
    <mdx n="33" f="v">
      <t c="4" si="9">
        <n x="495"/>
        <n x="0"/>
        <n x="7"/>
        <n x="1337" s="1"/>
      </t>
    </mdx>
    <mdx n="33" f="v">
      <t c="4" si="10">
        <n x="916"/>
        <n x="12"/>
        <n x="32"/>
        <n x="1337" s="1"/>
      </t>
    </mdx>
    <mdx n="33" f="v">
      <t c="4">
        <n x="1083"/>
        <n x="1"/>
        <n x="32"/>
        <n x="1337" s="1"/>
      </t>
    </mdx>
    <mdx n="33" f="v">
      <t c="4">
        <n x="423"/>
        <n x="14"/>
        <n x="7"/>
        <n x="1337" s="1"/>
      </t>
    </mdx>
    <mdx n="33" f="v">
      <t c="4">
        <n x="876"/>
        <n x="11"/>
        <n x="7"/>
        <n x="1337" s="1"/>
      </t>
    </mdx>
    <mdx n="33" f="v">
      <t c="4">
        <n x="995"/>
        <n x="0"/>
        <n x="7"/>
        <n x="1337" s="1"/>
      </t>
    </mdx>
    <mdx n="33" f="v">
      <t c="4">
        <n x="1315"/>
        <n x="12"/>
        <n x="7"/>
        <n x="1337" s="1"/>
      </t>
    </mdx>
    <mdx n="33" f="v">
      <t c="4">
        <n x="581"/>
        <n x="11"/>
        <n x="7"/>
        <n x="1337" s="1"/>
      </t>
    </mdx>
    <mdx n="33" f="v">
      <t c="4">
        <n x="164"/>
        <n x="14"/>
        <n x="7"/>
        <n x="1337" s="1"/>
      </t>
    </mdx>
    <mdx n="33" f="v">
      <t c="4">
        <n x="483"/>
        <n x="1"/>
        <n x="7"/>
        <n x="1337" s="1"/>
      </t>
    </mdx>
    <mdx n="33" f="v">
      <t c="4">
        <n x="1260"/>
        <n x="12"/>
        <n x="32"/>
        <n x="1337" s="1"/>
      </t>
    </mdx>
    <mdx n="33" f="v">
      <t c="4">
        <n x="990"/>
        <n x="14"/>
        <n x="32"/>
        <n x="1337" s="1"/>
      </t>
    </mdx>
    <mdx n="33" f="v">
      <t c="4">
        <n x="170"/>
        <n x="14"/>
        <n x="7"/>
        <n x="1337" s="1"/>
      </t>
    </mdx>
    <mdx n="33" f="v">
      <t c="4">
        <n x="415"/>
        <n x="11"/>
        <n x="7"/>
        <n x="1337" s="1"/>
      </t>
    </mdx>
    <mdx n="33" f="v">
      <t c="4">
        <n x="55"/>
        <n x="11"/>
        <n x="7"/>
        <n x="1337" s="1"/>
      </t>
    </mdx>
    <mdx n="33" f="v">
      <t c="4">
        <n x="474"/>
        <n x="1"/>
        <n x="7"/>
        <n x="1337" s="1"/>
      </t>
    </mdx>
    <mdx n="33" f="v">
      <t c="4">
        <n x="1100"/>
        <n x="11"/>
        <n x="32"/>
        <n x="1337" s="1"/>
      </t>
    </mdx>
    <mdx n="33" f="v">
      <t c="4">
        <n x="421"/>
        <n x="11"/>
        <n x="32"/>
        <n x="1337" s="1"/>
      </t>
    </mdx>
    <mdx n="33" f="v">
      <t c="4" si="10">
        <n x="1251"/>
        <n x="12"/>
        <n x="32"/>
        <n x="1337" s="1"/>
      </t>
    </mdx>
    <mdx n="33" f="v">
      <t c="4">
        <n x="1007"/>
        <n x="12"/>
        <n x="32"/>
        <n x="1337" s="1"/>
      </t>
    </mdx>
    <mdx n="33" f="v">
      <t c="4" si="10">
        <n x="416"/>
        <n x="12"/>
        <n x="32"/>
        <n x="1337" s="1"/>
      </t>
    </mdx>
    <mdx n="33" f="v">
      <t c="4">
        <n x="172"/>
        <n x="12"/>
        <n x="32"/>
        <n x="1337" s="1"/>
      </t>
    </mdx>
    <mdx n="33" f="v">
      <t c="4" si="10">
        <n x="870"/>
        <n x="12"/>
        <n x="32"/>
        <n x="1337" s="1"/>
      </t>
    </mdx>
    <mdx n="33" f="v">
      <t c="3">
        <n x="982"/>
        <n x="1336"/>
        <n x="1337" s="1"/>
      </t>
    </mdx>
    <mdx n="33" f="v">
      <t c="4">
        <n x="1282"/>
        <n x="0"/>
        <n x="32"/>
        <n x="1337" s="1"/>
      </t>
    </mdx>
    <mdx n="33" f="v">
      <t c="4">
        <n x="73"/>
        <n x="14"/>
        <n x="7"/>
        <n x="1337" s="1"/>
      </t>
    </mdx>
    <mdx n="33" f="v">
      <t c="4">
        <n x="508"/>
        <n x="11"/>
        <n x="7"/>
        <n x="1337" s="1"/>
      </t>
    </mdx>
    <mdx n="33" f="v">
      <t c="4">
        <n x="264"/>
        <n x="11"/>
        <n x="7"/>
        <n x="1337" s="1"/>
      </t>
    </mdx>
    <mdx n="33" f="v">
      <t c="4">
        <n x="1054"/>
        <n x="1"/>
        <n x="7"/>
        <n x="1337" s="1"/>
      </t>
    </mdx>
    <mdx n="33" f="v">
      <t c="4">
        <n x="460"/>
        <n x="1"/>
        <n x="7"/>
        <n x="1337" s="1"/>
      </t>
    </mdx>
    <mdx n="33" f="v">
      <t c="4">
        <n x="139"/>
        <n x="1"/>
        <n x="7"/>
        <n x="1337" s="1"/>
      </t>
    </mdx>
    <mdx n="33" f="v">
      <t c="6" si="10">
        <n x="15"/>
        <n x="1337" s="1"/>
        <n x="36"/>
        <n x="32"/>
        <n x="17"/>
        <n x="1"/>
      </t>
    </mdx>
    <mdx n="33" f="v">
      <t c="4" si="10">
        <n x="566"/>
        <n x="1"/>
        <n x="32"/>
        <n x="1337" s="1"/>
      </t>
    </mdx>
    <mdx n="33" f="v">
      <t c="4">
        <n x="531"/>
        <n x="0"/>
        <n x="7"/>
        <n x="1337" s="1"/>
      </t>
    </mdx>
    <mdx n="33" f="v">
      <t c="4" si="10">
        <n x="513"/>
        <n x="0"/>
        <n x="32"/>
        <n x="1337" s="1"/>
      </t>
    </mdx>
    <mdx n="33" f="v">
      <t c="4" si="10">
        <n x="793"/>
        <n x="14"/>
        <n x="32"/>
        <n x="1337" s="1"/>
      </t>
    </mdx>
    <mdx n="33" f="v">
      <t c="4">
        <n x="525"/>
        <n x="12"/>
        <n x="7"/>
        <n x="1337" s="1"/>
      </t>
    </mdx>
    <mdx n="33" f="v">
      <t c="4">
        <n x="840"/>
        <n x="11"/>
        <n x="32"/>
        <n x="1337" s="1"/>
      </t>
    </mdx>
    <mdx n="33" f="v">
      <t c="3" fi="0">
        <n x="528"/>
        <n x="1336"/>
        <n x="1337" s="1"/>
      </t>
    </mdx>
    <mdx n="33" f="v">
      <t c="4" si="10">
        <n x="846"/>
        <n x="11"/>
        <n x="32"/>
        <n x="1337" s="1"/>
      </t>
    </mdx>
    <mdx n="33" f="v">
      <t c="4">
        <n x="906"/>
        <n x="11"/>
        <n x="32"/>
        <n x="1337" s="1"/>
      </t>
    </mdx>
    <mdx n="33" f="v">
      <t c="4">
        <n x="1134"/>
        <n x="12"/>
        <n x="7"/>
        <n x="1337" s="1"/>
      </t>
    </mdx>
    <mdx n="33" f="v">
      <t c="4">
        <n x="253"/>
        <n x="1"/>
        <n x="7"/>
        <n x="1337" s="1"/>
      </t>
    </mdx>
    <mdx n="33" f="v">
      <t c="4">
        <n x="551"/>
        <n x="0"/>
        <n x="32"/>
        <n x="1337" s="1"/>
      </t>
    </mdx>
    <mdx n="33" f="v">
      <t c="3">
        <n x="828"/>
        <n x="1336"/>
        <n x="1337" s="1"/>
      </t>
    </mdx>
    <mdx n="33" f="v">
      <t c="4">
        <n x="750"/>
        <n x="0"/>
        <n x="7"/>
        <n x="1337" s="1"/>
      </t>
    </mdx>
    <mdx n="33" f="v">
      <t c="4" si="10">
        <n x="849"/>
        <n x="12"/>
        <n x="32"/>
        <n x="1337" s="1"/>
      </t>
    </mdx>
    <mdx n="33" f="v">
      <t c="3">
        <n x="879"/>
        <n x="1336"/>
        <n x="1337" s="1"/>
      </t>
    </mdx>
    <mdx n="33" f="v">
      <t c="4" si="10">
        <n x="1001"/>
        <n x="0"/>
        <n x="32"/>
        <n x="1337" s="1"/>
      </t>
    </mdx>
    <mdx n="33" f="v">
      <t c="4">
        <n x="1328"/>
        <n x="12"/>
        <n x="7"/>
        <n x="1337" s="1"/>
      </t>
    </mdx>
    <mdx n="33" f="v">
      <t c="4">
        <n x="715"/>
        <n x="14"/>
        <n x="7"/>
        <n x="1337" s="1"/>
      </t>
    </mdx>
    <mdx n="33" f="v">
      <t c="4">
        <n x="901"/>
        <n x="11"/>
        <n x="7"/>
        <n x="1337" s="1"/>
      </t>
    </mdx>
    <mdx n="33" f="v">
      <t c="4">
        <n x="841"/>
        <n x="0"/>
        <n x="7"/>
        <n x="1337" s="1"/>
      </t>
    </mdx>
    <mdx n="33" f="v">
      <t c="4" si="10">
        <n x="668"/>
        <n x="1"/>
        <n x="32"/>
        <n x="1337" s="1"/>
      </t>
    </mdx>
    <mdx n="33" f="v">
      <t c="4">
        <n x="918"/>
        <n x="14"/>
        <n x="32"/>
        <n x="1337" s="1"/>
      </t>
    </mdx>
    <mdx n="33" f="v">
      <t c="4" si="10">
        <n x="1087"/>
        <n x="1"/>
        <n x="32"/>
        <n x="1337" s="1"/>
      </t>
    </mdx>
    <mdx n="33" f="v">
      <t c="4">
        <n x="375"/>
        <n x="14"/>
        <n x="7"/>
        <n x="1337" s="1"/>
      </t>
    </mdx>
    <mdx n="33" f="v">
      <t c="4" si="10">
        <n x="844"/>
        <n x="14"/>
        <n x="32"/>
        <n x="1337" s="1"/>
      </t>
    </mdx>
    <mdx n="33" f="v">
      <t c="4">
        <n x="878"/>
        <n x="1"/>
        <n x="7"/>
        <n x="1337" s="1"/>
      </t>
    </mdx>
    <mdx n="33" f="v">
      <t c="3">
        <n x="909"/>
        <n x="1336"/>
        <n x="1337" s="1"/>
      </t>
    </mdx>
    <mdx n="33" f="v">
      <t c="4" si="10">
        <n x="939"/>
        <n x="12"/>
        <n x="32"/>
        <n x="1337" s="1"/>
      </t>
    </mdx>
    <mdx n="33" f="v">
      <t c="4">
        <n x="999"/>
        <n x="0"/>
        <n x="7"/>
        <n x="1337" s="1"/>
      </t>
    </mdx>
    <mdx n="33" f="v">
      <t c="4" si="10">
        <n x="1067"/>
        <n x="0"/>
        <n x="32"/>
        <n x="1337" s="1"/>
      </t>
    </mdx>
    <mdx n="33" f="v">
      <t c="4">
        <n x="1149"/>
        <n x="12"/>
        <n x="7"/>
        <n x="1337" s="1"/>
      </t>
    </mdx>
    <mdx n="33" f="v">
      <t c="4">
        <n x="1325"/>
        <n x="12"/>
        <n x="7"/>
        <n x="1337" s="1"/>
      </t>
    </mdx>
    <mdx n="33" f="v">
      <t c="4" si="9">
        <n x="501"/>
        <n x="14"/>
        <n x="7"/>
        <n x="1337" s="1"/>
      </t>
    </mdx>
    <mdx n="33" f="v">
      <t c="4">
        <n x="84"/>
        <n x="14"/>
        <n x="7"/>
        <n x="1337" s="1"/>
      </t>
    </mdx>
    <mdx n="33" f="v">
      <t c="4">
        <n x="561"/>
        <n x="11"/>
        <n x="7"/>
        <n x="1337" s="1"/>
      </t>
    </mdx>
    <mdx n="33" f="v">
      <t c="4" si="9">
        <n x="899"/>
        <n x="12"/>
        <n x="7"/>
        <n x="1337" s="1"/>
      </t>
    </mdx>
    <mdx n="33" f="v">
      <t c="4">
        <n x="1108"/>
        <n x="0"/>
        <n x="7"/>
        <n x="1337" s="1"/>
      </t>
    </mdx>
    <mdx n="33" f="v">
      <t c="4">
        <n x="89"/>
        <n x="14"/>
        <n x="7"/>
        <n x="1337" s="1"/>
      </t>
    </mdx>
    <mdx n="33" f="v">
      <t c="4">
        <n x="387"/>
        <n x="11"/>
        <n x="7"/>
        <n x="1337" s="1"/>
      </t>
    </mdx>
    <mdx n="33" f="v">
      <t c="4">
        <n x="59"/>
        <n x="11"/>
        <n x="7"/>
        <n x="1337" s="1"/>
      </t>
    </mdx>
    <mdx n="33" f="v">
      <t c="4">
        <n x="462"/>
        <n x="1"/>
        <n x="7"/>
        <n x="1337" s="1"/>
      </t>
    </mdx>
    <mdx n="33" f="v">
      <t c="4">
        <n x="1093"/>
        <n x="11"/>
        <n x="32"/>
        <n x="1337" s="1"/>
      </t>
    </mdx>
    <mdx n="33" f="v">
      <t c="4">
        <n x="422"/>
        <n x="11"/>
        <n x="32"/>
        <n x="1337" s="1"/>
      </t>
    </mdx>
    <mdx n="33" f="v">
      <t c="4">
        <n x="1327"/>
        <n x="12"/>
        <n x="32"/>
        <n x="1337" s="1"/>
      </t>
    </mdx>
    <mdx n="33" f="v">
      <t c="3">
        <n x="1087"/>
        <n x="1336"/>
        <n x="1337" s="1"/>
      </t>
    </mdx>
    <mdx n="33" f="v">
      <t c="4">
        <n x="1192"/>
        <n x="12"/>
        <n x="7"/>
        <n x="1337" s="1"/>
      </t>
    </mdx>
    <mdx n="33" f="v">
      <t c="4">
        <n x="1099"/>
        <n x="14"/>
        <n x="7"/>
        <n x="1337" s="1"/>
      </t>
    </mdx>
    <mdx n="33" f="v">
      <t c="4">
        <n x="376"/>
        <n x="14"/>
        <n x="7"/>
        <n x="1337" s="1"/>
      </t>
    </mdx>
    <mdx n="33" f="v">
      <t c="4">
        <n x="79"/>
        <n x="14"/>
        <n x="7"/>
        <n x="1337" s="1"/>
      </t>
    </mdx>
    <mdx n="33" f="v">
      <t c="4">
        <n x="733"/>
        <n x="0"/>
        <n x="7"/>
        <n x="1337" s="1"/>
      </t>
    </mdx>
    <mdx n="33" f="v">
      <t c="4" si="9">
        <n x="846"/>
        <n x="0"/>
        <n x="7"/>
        <n x="1337" s="1"/>
      </t>
    </mdx>
    <mdx n="33" f="v">
      <t c="4" si="9">
        <n x="877"/>
        <n x="12"/>
        <n x="7"/>
        <n x="1337" s="1"/>
      </t>
    </mdx>
    <mdx n="33" f="v">
      <t c="4">
        <n x="267"/>
        <n x="0"/>
        <n x="32"/>
        <n x="1337" s="1"/>
      </t>
    </mdx>
    <mdx n="33" f="v">
      <t c="4" si="9">
        <n x="693"/>
        <n x="14"/>
        <n x="7"/>
        <n x="1337" s="1"/>
      </t>
    </mdx>
    <mdx n="33" f="v">
      <t c="3">
        <n x="736"/>
        <n x="1336"/>
        <n x="1337" s="1"/>
      </t>
    </mdx>
    <mdx n="33" f="v">
      <t c="3" fi="0">
        <n x="569"/>
        <n x="1336"/>
        <n x="1337" s="1"/>
      </t>
    </mdx>
    <mdx n="33" f="v">
      <t c="4">
        <n x="934"/>
        <n x="11"/>
        <n x="7"/>
        <n x="1337" s="1"/>
      </t>
    </mdx>
    <mdx n="33" f="v">
      <t c="4">
        <n x="1250"/>
        <n x="12"/>
        <n x="7"/>
        <n x="1337" s="1"/>
      </t>
    </mdx>
    <mdx n="33" f="v">
      <t c="4">
        <n x="702"/>
        <n x="11"/>
        <n x="7"/>
        <n x="1337" s="1"/>
      </t>
    </mdx>
    <mdx n="33" f="v">
      <t c="4" si="10">
        <n x="851"/>
        <n x="12"/>
        <n x="32"/>
        <n x="1337" s="1"/>
      </t>
    </mdx>
    <mdx n="33" f="v">
      <t c="4">
        <n x="890"/>
        <n x="14"/>
        <n x="7"/>
        <n x="1337" s="1"/>
      </t>
    </mdx>
    <mdx n="33" f="v">
      <t c="4">
        <n x="917"/>
        <n x="12"/>
        <n x="7"/>
        <n x="1337" s="1"/>
      </t>
    </mdx>
    <mdx n="33" f="v">
      <t c="4" si="10">
        <n x="940"/>
        <n x="14"/>
        <n x="32"/>
        <n x="1337" s="1"/>
      </t>
    </mdx>
    <mdx n="33" f="v">
      <t c="4" si="10">
        <n x="982"/>
        <n x="0"/>
        <n x="32"/>
        <n x="1337" s="1"/>
      </t>
    </mdx>
    <mdx n="33" f="v">
      <t c="4">
        <n x="1033"/>
        <n x="12"/>
        <n x="7"/>
        <n x="1337" s="1"/>
      </t>
    </mdx>
    <mdx n="33" f="v">
      <t c="3">
        <n x="1084"/>
        <n x="1336"/>
        <n x="1337" s="1"/>
      </t>
    </mdx>
    <mdx n="33" f="v">
      <t c="4" si="10">
        <n x="1153"/>
        <n x="0"/>
        <n x="32"/>
        <n x="1337" s="1"/>
      </t>
    </mdx>
    <mdx n="33" f="v">
      <t c="4" si="10">
        <n x="1281"/>
        <n x="0"/>
        <n x="32"/>
        <n x="1337" s="1"/>
      </t>
    </mdx>
    <mdx n="33" f="v">
      <t c="4">
        <n x="986"/>
        <n x="14"/>
        <n x="7"/>
        <n x="1337" s="1"/>
      </t>
    </mdx>
    <mdx n="33" f="v">
      <t c="4">
        <n x="407"/>
        <n x="14"/>
        <n x="7"/>
        <n x="1337" s="1"/>
      </t>
    </mdx>
    <mdx n="33" f="v">
      <t c="4">
        <n x="710"/>
        <n x="11"/>
        <n x="32"/>
        <n x="1337" s="1"/>
      </t>
    </mdx>
    <mdx n="33" f="v">
      <t c="4">
        <n x="809"/>
        <n x="11"/>
        <n x="7"/>
        <n x="1337" s="1"/>
      </t>
    </mdx>
    <mdx n="33" f="v">
      <t c="4">
        <n x="853"/>
        <n x="14"/>
        <n x="7"/>
        <n x="1337" s="1"/>
      </t>
    </mdx>
    <mdx n="33" f="v">
      <t c="3">
        <n x="877"/>
        <n x="1336"/>
        <n x="1337" s="1"/>
      </t>
    </mdx>
    <mdx n="33" f="v">
      <t c="4">
        <n x="900"/>
        <n x="11"/>
        <n x="32"/>
        <n x="1337" s="1"/>
      </t>
    </mdx>
    <mdx n="33" f="v">
      <t c="4" si="10">
        <n x="923"/>
        <n x="12"/>
        <n x="32"/>
        <n x="1337" s="1"/>
      </t>
    </mdx>
    <mdx n="33" f="v">
      <t c="4">
        <n x="949"/>
        <n x="1"/>
        <n x="7"/>
        <n x="1337" s="1"/>
      </t>
    </mdx>
    <mdx n="33" f="v">
      <t c="4">
        <n x="996"/>
        <n x="1"/>
        <n x="32"/>
        <n x="1337" s="1"/>
      </t>
    </mdx>
    <mdx n="33" f="v">
      <t c="4">
        <n x="1047"/>
        <n x="0"/>
        <n x="7"/>
        <n x="1337" s="1"/>
      </t>
    </mdx>
    <mdx n="33" f="v">
      <t c="4">
        <n x="1099"/>
        <n x="0"/>
        <n x="32"/>
        <n x="1337" s="1"/>
      </t>
    </mdx>
    <mdx n="33" f="v">
      <t c="4">
        <n x="1189"/>
        <n x="12"/>
        <n x="7"/>
        <n x="1337" s="1"/>
      </t>
    </mdx>
    <mdx n="33" f="v">
      <t c="4">
        <n x="1317"/>
        <n x="12"/>
        <n x="7"/>
        <n x="1337" s="1"/>
      </t>
    </mdx>
    <mdx n="33" f="v">
      <t c="4">
        <n x="597"/>
        <n x="14"/>
        <n x="7"/>
        <n x="1337" s="1"/>
      </t>
    </mdx>
    <mdx n="33" f="v">
      <t c="4">
        <n x="318"/>
        <n x="14"/>
        <n x="7"/>
        <n x="1337" s="1"/>
      </t>
    </mdx>
    <mdx n="33" f="v">
      <t c="4">
        <n x="98"/>
        <n x="14"/>
        <n x="7"/>
        <n x="1337" s="1"/>
      </t>
    </mdx>
    <mdx n="33" f="v">
      <t c="4">
        <n x="577"/>
        <n x="11"/>
        <n x="7"/>
        <n x="1337" s="1"/>
      </t>
    </mdx>
    <mdx n="33" f="v">
      <t c="3">
        <n x="864"/>
        <n x="1336"/>
        <n x="1337" s="1"/>
      </t>
    </mdx>
    <mdx n="33" f="v">
      <t c="4" si="10">
        <n x="968"/>
        <n x="0"/>
        <n x="32"/>
        <n x="1337" s="1"/>
      </t>
    </mdx>
    <mdx n="33" f="v">
      <t c="4" si="10">
        <n x="1246"/>
        <n x="0"/>
        <n x="32"/>
        <n x="1337" s="1"/>
      </t>
    </mdx>
    <mdx n="33" f="v">
      <t c="4">
        <n x="155"/>
        <n x="14"/>
        <n x="7"/>
        <n x="1337" s="1"/>
      </t>
    </mdx>
    <mdx n="33" f="v">
      <t c="4">
        <n x="526"/>
        <n x="11"/>
        <n x="7"/>
        <n x="1337" s="1"/>
      </t>
    </mdx>
    <mdx n="33" f="v">
      <t c="4">
        <n x="271"/>
        <n x="11"/>
        <n x="7"/>
        <n x="1337" s="1"/>
      </t>
    </mdx>
    <mdx n="33" f="v">
      <t c="4">
        <n x="1072"/>
        <n x="1"/>
        <n x="7"/>
        <n x="1337" s="1"/>
      </t>
    </mdx>
    <mdx n="33" f="v">
      <t c="4" si="9">
        <n x="479"/>
        <n x="1"/>
        <n x="7"/>
        <n x="1337" s="1"/>
      </t>
    </mdx>
    <mdx n="33" f="v">
      <t c="4">
        <n x="161"/>
        <n x="1"/>
        <n x="7"/>
        <n x="1337" s="1"/>
      </t>
    </mdx>
    <mdx n="33" f="v">
      <t c="4">
        <n x="598"/>
        <n x="11"/>
        <n x="32"/>
        <n x="1337" s="1"/>
      </t>
    </mdx>
    <mdx n="33" f="v">
      <t c="6">
        <n x="15"/>
        <n x="1337" s="1"/>
        <n x="36"/>
        <n x="7"/>
        <n x="28"/>
        <n x="2"/>
      </t>
    </mdx>
    <mdx n="33" f="v">
      <t c="5">
        <n x="15"/>
        <n x="1337" s="1"/>
        <n x="41"/>
        <n x="32"/>
        <n x="3"/>
      </t>
    </mdx>
    <mdx n="33" f="v">
      <t c="3">
        <n x="624"/>
        <n x="1336"/>
        <n x="1337" s="1"/>
      </t>
    </mdx>
    <mdx n="33" f="v">
      <t c="4">
        <n x="233"/>
        <n x="0"/>
        <n x="32"/>
        <n x="1337" s="1"/>
      </t>
    </mdx>
    <mdx n="33" f="v">
      <t c="4">
        <n x="717"/>
        <n x="11"/>
        <n x="32"/>
        <n x="1337" s="1"/>
      </t>
    </mdx>
    <mdx n="33" f="v">
      <t c="4" si="10">
        <n x="716"/>
        <n x="14"/>
        <n x="32"/>
        <n x="1337" s="1"/>
      </t>
    </mdx>
    <mdx n="33" f="v">
      <t c="4">
        <n x="837"/>
        <n x="0"/>
        <n x="7"/>
        <n x="1337" s="1"/>
      </t>
    </mdx>
    <mdx n="33" f="v">
      <t c="4" si="10">
        <n x="611"/>
        <n x="0"/>
        <n x="32"/>
        <n x="1337" s="1"/>
      </t>
    </mdx>
    <mdx n="33" f="v">
      <t c="3">
        <n x="823"/>
        <n x="1336"/>
        <n x="1337" s="1"/>
      </t>
    </mdx>
    <mdx n="33" f="v">
      <t c="3">
        <n x="883"/>
        <n x="1336"/>
        <n x="1337" s="1"/>
      </t>
    </mdx>
    <mdx n="33" f="v">
      <t c="4" si="10">
        <n x="1077"/>
        <n x="0"/>
        <n x="32"/>
        <n x="1337" s="1"/>
      </t>
    </mdx>
    <mdx n="33" f="v">
      <t c="4">
        <n x="78"/>
        <n x="14"/>
        <n x="7"/>
        <n x="1337" s="1"/>
      </t>
    </mdx>
    <mdx n="33" f="v">
      <t c="4">
        <n x="649"/>
        <n x="1"/>
        <n x="7"/>
        <n x="1337" s="1"/>
      </t>
    </mdx>
    <mdx n="33" f="v">
      <t c="4">
        <n x="777"/>
        <n x="12"/>
        <n x="7"/>
        <n x="1337" s="1"/>
      </t>
    </mdx>
    <mdx n="33" f="v">
      <t c="4">
        <n x="732"/>
        <n x="14"/>
        <n x="7"/>
        <n x="1337" s="1"/>
      </t>
    </mdx>
    <mdx n="33" f="v">
      <t c="4">
        <n x="832"/>
        <n x="1"/>
        <n x="32"/>
        <n x="1337" s="1"/>
      </t>
    </mdx>
    <mdx n="33" f="v">
      <t c="4" si="10">
        <n x="861"/>
        <n x="12"/>
        <n x="32"/>
        <n x="1337" s="1"/>
      </t>
    </mdx>
    <mdx n="33" f="v">
      <t c="4" si="10">
        <n x="962"/>
        <n x="1"/>
        <n x="32"/>
        <n x="1337" s="1"/>
      </t>
    </mdx>
    <mdx n="33" f="v">
      <t c="4">
        <n x="1232"/>
        <n x="12"/>
        <n x="7"/>
        <n x="1337" s="1"/>
      </t>
    </mdx>
    <mdx n="33" f="v">
      <t c="4">
        <n x="374"/>
        <n x="0"/>
        <n x="7"/>
        <n x="1337" s="1"/>
      </t>
    </mdx>
    <mdx n="33" f="v">
      <t c="4">
        <n x="884"/>
        <n x="0"/>
        <n x="7"/>
        <n x="1337" s="1"/>
      </t>
    </mdx>
    <mdx n="33" f="v">
      <t c="4" si="10">
        <n x="765"/>
        <n x="1"/>
        <n x="32"/>
        <n x="1337" s="1"/>
      </t>
    </mdx>
    <mdx n="33" f="v">
      <t c="4">
        <n x="983"/>
        <n x="14"/>
        <n x="7"/>
        <n x="1337" s="1"/>
      </t>
    </mdx>
    <mdx n="33" f="v">
      <t c="4">
        <n x="900"/>
        <n x="12"/>
        <n x="32"/>
        <n x="1337" s="1"/>
      </t>
    </mdx>
    <mdx n="33" f="v">
      <t c="4">
        <n x="1049"/>
        <n x="12"/>
        <n x="7"/>
        <n x="1337" s="1"/>
      </t>
    </mdx>
    <mdx n="33" f="v">
      <t c="4" si="9">
        <n x="590"/>
        <n x="14"/>
        <n x="7"/>
        <n x="1337" s="1"/>
      </t>
    </mdx>
    <mdx n="33" f="v">
      <t c="4">
        <n x="836"/>
        <n x="11"/>
        <n x="7"/>
        <n x="1337" s="1"/>
      </t>
    </mdx>
    <mdx n="33" f="v">
      <t c="4">
        <n x="872"/>
        <n x="11"/>
        <n x="7"/>
        <n x="1337" s="1"/>
      </t>
    </mdx>
    <mdx n="33" f="v">
      <t c="4">
        <n x="903"/>
        <n x="0"/>
        <n x="7"/>
        <n x="1337" s="1"/>
      </t>
    </mdx>
    <mdx n="33" f="v">
      <t c="4">
        <n x="933"/>
        <n x="14"/>
        <n x="7"/>
        <n x="1337" s="1"/>
      </t>
    </mdx>
    <mdx n="33" f="v">
      <t c="4" si="10">
        <n x="987"/>
        <n x="0"/>
        <n x="32"/>
        <n x="1337" s="1"/>
      </t>
    </mdx>
    <mdx n="33" f="v">
      <t c="4">
        <n x="1054"/>
        <n x="12"/>
        <n x="7"/>
        <n x="1337" s="1"/>
      </t>
    </mdx>
    <mdx n="33" f="v">
      <t c="3">
        <n x="1121"/>
        <n x="1336"/>
        <n x="1337" s="1"/>
      </t>
    </mdx>
    <mdx n="33" f="v">
      <t c="4">
        <n x="1293"/>
        <n x="12"/>
        <n x="7"/>
        <n x="1337" s="1"/>
      </t>
    </mdx>
    <mdx n="33" f="v">
      <t c="4">
        <n x="565"/>
        <n x="14"/>
        <n x="7"/>
        <n x="1337" s="1"/>
      </t>
    </mdx>
    <mdx n="33" f="v">
      <t c="4">
        <n x="138"/>
        <n x="14"/>
        <n x="7"/>
        <n x="1337" s="1"/>
      </t>
    </mdx>
    <mdx n="33" f="v">
      <t c="4">
        <n x="409"/>
        <n x="11"/>
        <n x="7"/>
        <n x="1337" s="1"/>
      </t>
    </mdx>
    <mdx n="33" f="v">
      <t c="4">
        <n x="875"/>
        <n x="11"/>
        <n x="7"/>
        <n x="1337" s="1"/>
      </t>
    </mdx>
    <mdx n="33" f="v">
      <t c="4" si="10">
        <n x="1057"/>
        <n x="1"/>
        <n x="32"/>
        <n x="1337" s="1"/>
      </t>
    </mdx>
    <mdx n="33" f="v">
      <t c="4">
        <n x="234"/>
        <n x="14"/>
        <n x="7"/>
        <n x="1337" s="1"/>
      </t>
    </mdx>
    <mdx n="33" f="v">
      <t c="4" si="9">
        <n x="494"/>
        <n x="11"/>
        <n x="7"/>
        <n x="1337" s="1"/>
      </t>
    </mdx>
    <mdx n="33" f="v">
      <t c="4">
        <n x="148"/>
        <n x="11"/>
        <n x="7"/>
        <n x="1337" s="1"/>
      </t>
    </mdx>
    <mdx n="33" f="v">
      <t c="4">
        <n x="527"/>
        <n x="1"/>
        <n x="7"/>
        <n x="1337" s="1"/>
      </t>
    </mdx>
    <mdx n="33" f="v">
      <t c="4">
        <n x="125"/>
        <n x="1"/>
        <n x="7"/>
        <n x="1337" s="1"/>
      </t>
    </mdx>
    <mdx n="33" f="v">
      <t c="4" si="10">
        <n x="486"/>
        <n x="11"/>
        <n x="32"/>
        <n x="1337" s="1"/>
      </t>
    </mdx>
    <mdx n="33" f="v">
      <t c="4">
        <n x="134"/>
        <n x="11"/>
        <n x="32"/>
        <n x="1337" s="1"/>
      </t>
    </mdx>
    <mdx n="33" f="v">
      <t c="4" si="10">
        <n x="1317"/>
        <n x="12"/>
        <n x="32"/>
        <n x="1337" s="1"/>
      </t>
    </mdx>
    <mdx n="33" f="v">
      <t c="4" si="10">
        <n x="553"/>
        <n x="12"/>
        <n x="32"/>
        <n x="1337" s="1"/>
      </t>
    </mdx>
    <mdx n="33" f="v">
      <t c="4">
        <n x="243"/>
        <n x="12"/>
        <n x="32"/>
        <n x="1337" s="1"/>
      </t>
    </mdx>
    <mdx n="33" f="v">
      <t c="4" si="10">
        <n x="1098"/>
        <n x="14"/>
        <n x="32"/>
        <n x="1337" s="1"/>
      </t>
    </mdx>
    <mdx n="33" f="v">
      <t c="4" si="10">
        <n x="787"/>
        <n x="14"/>
        <n x="32"/>
        <n x="1337" s="1"/>
      </t>
    </mdx>
    <mdx n="33" f="v">
      <t c="4">
        <n x="918"/>
        <n x="0"/>
        <n x="7"/>
        <n x="1337" s="1"/>
      </t>
    </mdx>
    <mdx n="33" f="v">
      <t c="4">
        <n x="1087"/>
        <n x="12"/>
        <n x="7"/>
        <n x="1337" s="1"/>
      </t>
    </mdx>
    <mdx n="33" f="v">
      <t c="4">
        <n x="377"/>
        <n x="14"/>
        <n x="7"/>
        <n x="1337" s="1"/>
      </t>
    </mdx>
    <mdx n="33" f="v">
      <t c="4">
        <n x="618"/>
        <n x="1"/>
        <n x="32"/>
        <n x="1337" s="1"/>
      </t>
    </mdx>
    <mdx n="33" f="v">
      <t c="3">
        <n x="801"/>
        <n x="1336"/>
        <n x="1337" s="1"/>
      </t>
    </mdx>
    <mdx n="33" f="v">
      <t c="4" si="9">
        <n x="671"/>
        <n x="14"/>
        <n x="7"/>
        <n x="1337" s="1"/>
      </t>
    </mdx>
    <mdx n="33" f="v">
      <t c="4">
        <n x="790"/>
        <n x="11"/>
        <n x="32"/>
        <n x="1337" s="1"/>
      </t>
    </mdx>
    <mdx n="33" f="v">
      <t c="4">
        <n x="760"/>
        <n x="1"/>
        <n x="7"/>
        <n x="1337" s="1"/>
      </t>
    </mdx>
    <mdx n="33" f="v">
      <t c="4">
        <n x="913"/>
        <n x="0"/>
        <n x="32"/>
        <n x="1337" s="1"/>
      </t>
    </mdx>
    <mdx n="33" f="v">
      <t c="3">
        <n x="1075"/>
        <n x="1336"/>
        <n x="1337" s="1"/>
      </t>
    </mdx>
    <mdx n="33" f="v">
      <t c="4">
        <n x="421"/>
        <n x="14"/>
        <n x="7"/>
        <n x="1337" s="1"/>
      </t>
    </mdx>
    <mdx n="33" f="v">
      <t c="4" si="10">
        <n x="736"/>
        <n x="1"/>
        <n x="32"/>
        <n x="1337" s="1"/>
      </t>
    </mdx>
    <mdx n="33" f="v">
      <t c="4" si="10">
        <n x="842"/>
        <n x="0"/>
        <n x="32"/>
        <n x="1337" s="1"/>
      </t>
    </mdx>
    <mdx n="33" f="v">
      <t c="4" si="10">
        <n x="876"/>
        <n x="0"/>
        <n x="32"/>
        <n x="1337" s="1"/>
      </t>
    </mdx>
    <mdx n="33" f="v">
      <t c="4">
        <n x="905"/>
        <n x="11"/>
        <n x="7"/>
        <n x="1337" s="1"/>
      </t>
    </mdx>
    <mdx n="33" f="v">
      <t c="4">
        <n x="929"/>
        <n x="12"/>
        <n x="7"/>
        <n x="1337" s="1"/>
      </t>
    </mdx>
    <mdx n="33" f="v">
      <t c="4">
        <n x="957"/>
        <n x="12"/>
        <n x="7"/>
        <n x="1337" s="1"/>
      </t>
    </mdx>
    <mdx n="33" f="v">
      <t c="3">
        <n x="1008"/>
        <n x="1336"/>
        <n x="1337" s="1"/>
      </t>
    </mdx>
    <mdx n="33" f="v">
      <t c="4" si="10">
        <n x="1059"/>
        <n x="1"/>
        <n x="32"/>
        <n x="1337" s="1"/>
      </t>
    </mdx>
    <mdx n="33" f="v">
      <t c="4">
        <n x="1110"/>
        <n x="0"/>
        <n x="7"/>
        <n x="1337" s="1"/>
      </t>
    </mdx>
    <mdx n="33" f="v">
      <t c="4" si="10">
        <n x="1219"/>
        <n x="0"/>
        <n x="32"/>
        <n x="1337" s="1"/>
      </t>
    </mdx>
    <mdx n="33" f="v">
      <t c="4">
        <n x="1110"/>
        <n x="14"/>
        <n x="7"/>
        <n x="1337" s="1"/>
      </t>
    </mdx>
    <mdx n="33" f="v">
      <t c="4" si="9">
        <n x="538"/>
        <n x="14"/>
        <n x="7"/>
        <n x="1337" s="1"/>
      </t>
    </mdx>
    <mdx n="33" f="v">
      <t c="3">
        <n x="601"/>
        <n x="1336"/>
        <n x="1337" s="1"/>
      </t>
    </mdx>
    <mdx n="33" f="v">
      <t c="4" si="10">
        <n x="758"/>
        <n x="11"/>
        <n x="32"/>
        <n x="1337" s="1"/>
      </t>
    </mdx>
    <mdx n="33" f="v">
      <t c="4">
        <n x="839"/>
        <n x="1"/>
        <n x="32"/>
        <n x="1337" s="1"/>
      </t>
    </mdx>
    <mdx n="33" f="v">
      <t c="4">
        <n x="865"/>
        <n x="14"/>
        <n x="7"/>
        <n x="1337" s="1"/>
      </t>
    </mdx>
    <mdx n="33" f="v">
      <t c="3">
        <n x="889"/>
        <n x="1336"/>
        <n x="1337" s="1"/>
      </t>
    </mdx>
    <mdx n="33" f="v">
      <t c="4">
        <n x="912"/>
        <n x="11"/>
        <n x="32"/>
        <n x="1337" s="1"/>
      </t>
    </mdx>
    <mdx n="33" f="v">
      <t c="4">
        <n x="935"/>
        <n x="12"/>
        <n x="32"/>
        <n x="1337" s="1"/>
      </t>
    </mdx>
    <mdx n="33" f="v">
      <t c="4">
        <n x="971"/>
        <n x="0"/>
        <n x="7"/>
        <n x="1337" s="1"/>
      </t>
    </mdx>
    <mdx n="33" f="v">
      <t c="4" si="10">
        <n x="1023"/>
        <n x="0"/>
        <n x="32"/>
        <n x="1337" s="1"/>
      </t>
    </mdx>
    <mdx n="33" f="v">
      <t c="4">
        <n x="1074"/>
        <n x="12"/>
        <n x="7"/>
        <n x="1337" s="1"/>
      </t>
    </mdx>
    <mdx n="33" f="v">
      <t c="4">
        <n x="1127"/>
        <n x="12"/>
        <n x="7"/>
        <n x="1337" s="1"/>
      </t>
    </mdx>
    <mdx n="33" f="v">
      <t c="4">
        <n x="1255"/>
        <n x="12"/>
        <n x="7"/>
        <n x="1337" s="1"/>
      </t>
    </mdx>
    <mdx n="33" f="v">
      <t c="4">
        <n x="1037"/>
        <n x="14"/>
        <n x="7"/>
        <n x="1337" s="1"/>
      </t>
    </mdx>
    <mdx n="33" f="v">
      <t c="4">
        <n x="445"/>
        <n x="14"/>
        <n x="7"/>
        <n x="1337" s="1"/>
      </t>
    </mdx>
    <mdx n="33" f="v">
      <t c="4">
        <n x="199"/>
        <n x="14"/>
        <n x="7"/>
        <n x="1337" s="1"/>
      </t>
    </mdx>
    <mdx n="33" f="v">
      <t c="4">
        <n x="1017"/>
        <n x="11"/>
        <n x="7"/>
        <n x="1337" s="1"/>
      </t>
    </mdx>
    <mdx n="33" f="v">
      <t c="4" si="9">
        <n x="757"/>
        <n x="0"/>
        <n x="7"/>
        <n x="1337" s="1"/>
      </t>
    </mdx>
    <mdx n="33" f="v">
      <t c="3">
        <n x="912"/>
        <n x="1336"/>
        <n x="1337" s="1"/>
      </t>
    </mdx>
    <mdx n="33" f="v">
      <t c="4" si="10">
        <n x="1073"/>
        <n x="1"/>
        <n x="32"/>
        <n x="1337" s="1"/>
      </t>
    </mdx>
    <mdx n="33" f="v">
      <t c="4">
        <n x="457"/>
        <n x="14"/>
        <n x="7"/>
        <n x="1337" s="1"/>
      </t>
    </mdx>
    <mdx n="33" f="v">
      <t c="4">
        <n x="1007"/>
        <n x="11"/>
        <n x="7"/>
        <n x="1337" s="1"/>
      </t>
    </mdx>
    <mdx n="33" f="v">
      <t c="4">
        <n x="372"/>
        <n x="11"/>
        <n x="7"/>
        <n x="1337" s="1"/>
      </t>
    </mdx>
    <mdx n="33" f="v">
      <t c="4">
        <n x="98"/>
        <n x="11"/>
        <n x="7"/>
        <n x="1337" s="1"/>
      </t>
    </mdx>
    <mdx n="33" f="v">
      <t c="4">
        <n x="603"/>
        <n x="1"/>
        <n x="7"/>
        <n x="1337" s="1"/>
      </t>
    </mdx>
    <mdx n="33" f="v">
      <t c="4">
        <n x="345"/>
        <n x="1"/>
        <n x="7"/>
        <n x="1337" s="1"/>
      </t>
    </mdx>
    <mdx n="33" f="v">
      <t c="4" si="10">
        <n x="1057"/>
        <n x="11"/>
        <n x="32"/>
        <n x="1337" s="1"/>
      </t>
    </mdx>
    <mdx n="33" f="v">
      <t c="4" si="10">
        <n x="466"/>
        <n x="11"/>
        <n x="32"/>
        <n x="1337" s="1"/>
      </t>
    </mdx>
    <mdx n="33" f="v">
      <t c="4">
        <n x="146"/>
        <n x="11"/>
        <n x="32"/>
        <n x="1337" s="1"/>
      </t>
    </mdx>
    <mdx n="33" f="v">
      <t c="4">
        <n x="1124"/>
        <n x="12"/>
        <n x="32"/>
        <n x="1337" s="1"/>
      </t>
    </mdx>
    <mdx n="33" f="v">
      <t c="4">
        <n x="565"/>
        <n x="12"/>
        <n x="32"/>
        <n x="1337" s="1"/>
      </t>
    </mdx>
    <mdx n="33" f="v">
      <t c="4">
        <n x="222"/>
        <n x="12"/>
        <n x="32"/>
        <n x="1337" s="1"/>
      </t>
    </mdx>
    <mdx n="33" f="v">
      <t c="4">
        <n x="1110"/>
        <n x="14"/>
        <n x="32"/>
        <n x="1337" s="1"/>
      </t>
    </mdx>
    <mdx n="33" f="v">
      <t c="4">
        <n x="764"/>
        <n x="1"/>
        <n x="7"/>
        <n x="1337" s="1"/>
      </t>
    </mdx>
    <mdx n="33" f="v">
      <t c="4">
        <n x="914"/>
        <n x="0"/>
        <n x="32"/>
        <n x="1337" s="1"/>
      </t>
    </mdx>
    <mdx n="33" f="v">
      <t c="4" si="10">
        <n x="1077"/>
        <n x="1"/>
        <n x="32"/>
        <n x="1337" s="1"/>
      </t>
    </mdx>
    <mdx n="33" f="v">
      <t c="4">
        <n x="462"/>
        <n x="14"/>
        <n x="7"/>
        <n x="1337" s="1"/>
      </t>
    </mdx>
    <mdx n="33" f="v">
      <t c="4">
        <n x="377"/>
        <n x="12"/>
        <n x="7"/>
        <n x="1337" s="1"/>
      </t>
    </mdx>
    <mdx n="33" f="v">
      <t c="4">
        <n x="551"/>
        <n x="0"/>
        <n x="7"/>
        <n x="1337" s="1"/>
      </t>
    </mdx>
    <mdx n="33" f="v">
      <t c="4">
        <n x="698"/>
        <n x="12"/>
        <n x="32"/>
        <n x="1337" s="1"/>
      </t>
    </mdx>
    <mdx n="33" f="v">
      <t c="4">
        <n x="803"/>
        <n x="14"/>
        <n x="32"/>
        <n x="1337" s="1"/>
      </t>
    </mdx>
    <mdx n="33" f="v">
      <t c="4">
        <n x="819"/>
        <n x="1"/>
        <n x="32"/>
        <n x="1337" s="1"/>
      </t>
    </mdx>
    <mdx n="33" f="v">
      <t c="4">
        <n x="926"/>
        <n x="12"/>
        <n x="7"/>
        <n x="1337" s="1"/>
      </t>
    </mdx>
    <mdx n="33" f="v">
      <t c="4">
        <n x="1104"/>
        <n x="12"/>
        <n x="7"/>
        <n x="1337" s="1"/>
      </t>
    </mdx>
    <mdx n="33" f="v">
      <t c="4">
        <n x="240"/>
        <n x="14"/>
        <n x="7"/>
        <n x="1337" s="1"/>
      </t>
    </mdx>
    <mdx n="33" f="v">
      <t c="4" si="10">
        <n x="753"/>
        <n x="12"/>
        <n x="32"/>
        <n x="1337" s="1"/>
      </t>
    </mdx>
    <mdx n="33" f="v">
      <t c="4" si="9">
        <n x="847"/>
        <n x="11"/>
        <n x="7"/>
        <n x="1337" s="1"/>
      </t>
    </mdx>
    <mdx n="33" f="v">
      <t c="4">
        <n x="880"/>
        <n x="0"/>
        <n x="7"/>
        <n x="1337" s="1"/>
      </t>
    </mdx>
    <mdx n="33" f="v">
      <t c="4">
        <n x="909"/>
        <n x="12"/>
        <n x="7"/>
        <n x="1337" s="1"/>
      </t>
    </mdx>
    <mdx n="33" f="v">
      <t c="4" si="9">
        <n x="932"/>
        <n x="0"/>
        <n x="7"/>
        <n x="1337" s="1"/>
      </t>
    </mdx>
    <mdx n="33" f="v">
      <t c="3">
        <n x="964"/>
        <n x="1336"/>
        <n x="1337" s="1"/>
      </t>
    </mdx>
    <mdx n="33" f="v">
      <t c="4">
        <n x="1015"/>
        <n x="1"/>
        <n x="32"/>
        <n x="1337" s="1"/>
      </t>
    </mdx>
    <mdx n="33" f="v">
      <t c="4">
        <n x="1066"/>
        <n x="0"/>
        <n x="7"/>
        <n x="1337" s="1"/>
      </t>
    </mdx>
    <mdx n="33" f="v">
      <t c="4">
        <n x="1118"/>
        <n x="0"/>
        <n x="32"/>
        <n x="1337" s="1"/>
      </t>
    </mdx>
    <mdx n="33" f="v">
      <t c="4">
        <n x="1237"/>
        <n x="0"/>
        <n x="32"/>
        <n x="1337" s="1"/>
      </t>
    </mdx>
    <mdx n="33" f="v">
      <t c="4">
        <n x="1074"/>
        <n x="14"/>
        <n x="7"/>
        <n x="1337" s="1"/>
      </t>
    </mdx>
    <mdx n="33" f="v">
      <t c="4" si="9">
        <n x="502"/>
        <n x="14"/>
        <n x="7"/>
        <n x="1337" s="1"/>
      </t>
    </mdx>
    <mdx n="33" f="v">
      <t c="4">
        <n x="663"/>
        <n x="14"/>
        <n x="7"/>
        <n x="1337" s="1"/>
      </t>
    </mdx>
    <mdx n="33" f="v">
      <t c="4">
        <n x="772"/>
        <n x="14"/>
        <n x="7"/>
        <n x="1337" s="1"/>
      </t>
    </mdx>
    <mdx n="33" f="v">
      <t c="4">
        <n x="843"/>
        <n x="1"/>
        <n x="7"/>
        <n x="1337" s="1"/>
      </t>
    </mdx>
    <mdx n="33" f="v">
      <t c="3">
        <n x="869"/>
        <n x="1336"/>
        <n x="1337" s="1"/>
      </t>
    </mdx>
    <mdx n="33" f="v">
      <t c="4" si="10">
        <n x="892"/>
        <n x="11"/>
        <n x="32"/>
        <n x="1337" s="1"/>
      </t>
    </mdx>
    <mdx n="33" f="v">
      <t c="4">
        <n x="915"/>
        <n x="12"/>
        <n x="32"/>
        <n x="1337" s="1"/>
      </t>
    </mdx>
    <mdx n="33" f="v">
      <t c="4" si="10">
        <n x="939"/>
        <n x="0"/>
        <n x="32"/>
        <n x="1337" s="1"/>
      </t>
    </mdx>
    <mdx n="33" f="v">
      <t c="4" si="10">
        <n x="979"/>
        <n x="0"/>
        <n x="32"/>
        <n x="1337" s="1"/>
      </t>
    </mdx>
    <mdx n="33" f="v">
      <t c="4" si="9">
        <n x="1030"/>
        <n x="12"/>
        <n x="7"/>
        <n x="1337" s="1"/>
      </t>
    </mdx>
    <mdx n="33" f="v">
      <t c="3">
        <n x="1081"/>
        <n x="1336"/>
        <n x="1337" s="1"/>
      </t>
    </mdx>
    <mdx n="33" f="v">
      <t c="4">
        <n x="1145"/>
        <n x="12"/>
        <n x="7"/>
        <n x="1337" s="1"/>
      </t>
    </mdx>
    <mdx n="33" f="v">
      <t c="4">
        <n x="1273"/>
        <n x="12"/>
        <n x="7"/>
        <n x="1337" s="1"/>
      </t>
    </mdx>
    <mdx n="33" f="v">
      <t c="4">
        <n x="1001"/>
        <n x="14"/>
        <n x="7"/>
        <n x="1337" s="1"/>
      </t>
    </mdx>
    <mdx n="33" f="v">
      <t c="4" si="9">
        <n x="467"/>
        <n x="14"/>
        <n x="7"/>
        <n x="1337" s="1"/>
      </t>
    </mdx>
    <mdx n="33" f="v">
      <t c="4">
        <n x="163"/>
        <n x="14"/>
        <n x="7"/>
        <n x="1337" s="1"/>
      </t>
    </mdx>
    <mdx n="33" f="v">
      <t c="4">
        <n x="981"/>
        <n x="11"/>
        <n x="7"/>
        <n x="1337" s="1"/>
      </t>
    </mdx>
    <mdx n="33" f="v">
      <t c="4">
        <n x="816"/>
        <n x="0"/>
        <n x="32"/>
        <n x="1337" s="1"/>
      </t>
    </mdx>
    <mdx n="33" f="v">
      <t c="4">
        <n x="925"/>
        <n x="1"/>
        <n x="32"/>
        <n x="1337" s="1"/>
      </t>
    </mdx>
    <mdx n="33" f="v">
      <t c="3">
        <n x="1102"/>
        <n x="1336"/>
        <n x="1337" s="1"/>
      </t>
    </mdx>
    <mdx n="33" f="v">
      <t c="4">
        <n x="319"/>
        <n x="14"/>
        <n x="7"/>
        <n x="1337" s="1"/>
      </t>
    </mdx>
    <mdx n="33" f="v">
      <t c="4" si="9">
        <n x="959"/>
        <n x="11"/>
        <n x="7"/>
        <n x="1337" s="1"/>
      </t>
    </mdx>
    <mdx n="33" f="v">
      <t c="4">
        <n x="336"/>
        <n x="11"/>
        <n x="7"/>
        <n x="1337" s="1"/>
      </t>
    </mdx>
    <mdx n="33" f="v">
      <t c="4">
        <n x="111"/>
        <n x="11"/>
        <n x="7"/>
        <n x="1337" s="1"/>
      </t>
    </mdx>
    <mdx n="33" f="v">
      <t c="4" si="9">
        <n x="567"/>
        <n x="1"/>
        <n x="7"/>
        <n x="1337" s="1"/>
      </t>
    </mdx>
    <mdx n="33" f="v">
      <t c="4">
        <n x="309"/>
        <n x="1"/>
        <n x="7"/>
        <n x="1337" s="1"/>
      </t>
    </mdx>
    <mdx n="33" f="v">
      <t c="4">
        <n x="1021"/>
        <n x="11"/>
        <n x="32"/>
        <n x="1337" s="1"/>
      </t>
    </mdx>
    <mdx n="33" f="v">
      <t c="4">
        <n x="430"/>
        <n x="11"/>
        <n x="32"/>
        <n x="1337" s="1"/>
      </t>
    </mdx>
    <mdx n="33" f="v">
      <t c="4">
        <n x="110"/>
        <n x="11"/>
        <n x="32"/>
        <n x="1337" s="1"/>
      </t>
    </mdx>
    <mdx n="33" f="v">
      <t c="4">
        <n x="1100"/>
        <n x="12"/>
        <n x="32"/>
        <n x="1337" s="1"/>
      </t>
    </mdx>
    <mdx n="33" f="v">
      <t c="4" si="10">
        <n x="529"/>
        <n x="12"/>
        <n x="32"/>
        <n x="1337" s="1"/>
      </t>
    </mdx>
    <mdx n="33" f="v">
      <t c="4">
        <n x="284"/>
        <n x="12"/>
        <n x="32"/>
        <n x="1337" s="1"/>
      </t>
    </mdx>
    <mdx n="33" f="v">
      <t c="4" si="10">
        <n x="1074"/>
        <n x="14"/>
        <n x="32"/>
        <n x="1337" s="1"/>
      </t>
    </mdx>
    <mdx n="33" f="v">
      <t c="4">
        <n x="823"/>
        <n x="1"/>
        <n x="32"/>
        <n x="1337" s="1"/>
      </t>
    </mdx>
    <mdx n="33" f="v">
      <t c="4">
        <n x="927"/>
        <n x="12"/>
        <n x="7"/>
        <n x="1337" s="1"/>
      </t>
    </mdx>
    <mdx n="33" f="v">
      <t c="3">
        <n x="1106"/>
        <n x="1336"/>
        <n x="1337" s="1"/>
      </t>
    </mdx>
    <mdx n="33" f="v">
      <t c="4">
        <n x="309"/>
        <n x="14"/>
        <n x="7"/>
        <n x="1337" s="1"/>
      </t>
    </mdx>
    <mdx n="33" f="v">
      <t c="4">
        <n x="453"/>
        <n x="11"/>
        <n x="7"/>
        <n x="1337" s="1"/>
      </t>
    </mdx>
    <mdx n="33" f="v">
      <t c="4">
        <n x="331"/>
        <n x="11"/>
        <n x="7"/>
        <n x="1337" s="1"/>
      </t>
    </mdx>
    <mdx n="33" f="v">
      <t c="4">
        <n x="71"/>
        <n x="11"/>
        <n x="7"/>
        <n x="1337" s="1"/>
      </t>
    </mdx>
    <mdx n="33" f="v">
      <t c="4">
        <n x="562"/>
        <n x="1"/>
        <n x="7"/>
        <n x="1337" s="1"/>
      </t>
    </mdx>
    <mdx n="33" f="v">
      <t c="4">
        <n x="304"/>
        <n x="1"/>
        <n x="7"/>
        <n x="1337" s="1"/>
      </t>
    </mdx>
    <mdx n="33" f="v">
      <t c="4">
        <n x="1016"/>
        <n x="11"/>
        <n x="32"/>
        <n x="1337" s="1"/>
      </t>
    </mdx>
    <mdx n="33" f="v">
      <t c="4">
        <n x="425"/>
        <n x="11"/>
        <n x="32"/>
        <n x="1337" s="1"/>
      </t>
    </mdx>
    <mdx n="33" f="v">
      <t c="4">
        <n x="105"/>
        <n x="11"/>
        <n x="32"/>
        <n x="1337" s="1"/>
      </t>
    </mdx>
    <mdx n="33" f="v">
      <t c="4" si="10">
        <n x="708"/>
        <n x="14"/>
        <n x="32"/>
        <n x="1337" s="1"/>
      </t>
    </mdx>
    <mdx n="33" f="v">
      <t c="4">
        <n x="1120"/>
        <n x="12"/>
        <n x="7"/>
        <n x="1337" s="1"/>
      </t>
    </mdx>
    <mdx n="33" f="v">
      <t c="4" si="10">
        <n x="882"/>
        <n x="14"/>
        <n x="32"/>
        <n x="1337" s="1"/>
      </t>
    </mdx>
    <mdx n="33" f="v">
      <t c="4">
        <n x="1019"/>
        <n x="1"/>
        <n x="32"/>
        <n x="1337" s="1"/>
      </t>
    </mdx>
    <mdx n="33" f="v">
      <t c="4">
        <n x="1054"/>
        <n x="14"/>
        <n x="7"/>
        <n x="1337" s="1"/>
      </t>
    </mdx>
    <mdx n="33" f="v">
      <t c="4" si="10">
        <n x="846"/>
        <n x="0"/>
        <n x="32"/>
        <n x="1337" s="1"/>
      </t>
    </mdx>
    <mdx n="33" f="v">
      <t c="4" si="10">
        <n x="941"/>
        <n x="0"/>
        <n x="32"/>
        <n x="1337" s="1"/>
      </t>
    </mdx>
    <mdx n="33" f="v">
      <t c="4">
        <n x="1155"/>
        <n x="12"/>
        <n x="7"/>
        <n x="1337" s="1"/>
      </t>
    </mdx>
    <mdx n="33" f="v">
      <t c="4">
        <n x="137"/>
        <n x="14"/>
        <n x="7"/>
        <n x="1337" s="1"/>
      </t>
    </mdx>
    <mdx n="33" f="v">
      <t c="3">
        <n x="1118"/>
        <n x="1336"/>
        <n x="1337" s="1"/>
      </t>
    </mdx>
    <mdx n="33" f="v">
      <t c="4">
        <n x="91"/>
        <n x="11"/>
        <n x="7"/>
        <n x="1337" s="1"/>
      </t>
    </mdx>
    <mdx n="33" f="v">
      <t c="4">
        <n x="410"/>
        <n x="11"/>
        <n x="32"/>
        <n x="1337" s="1"/>
      </t>
    </mdx>
    <mdx n="33" f="v">
      <t c="4">
        <n x="273"/>
        <n x="12"/>
        <n x="32"/>
        <n x="1337" s="1"/>
      </t>
    </mdx>
    <mdx n="33" f="v">
      <t c="3">
        <n x="1122"/>
        <n x="1336"/>
        <n x="1337" s="1"/>
      </t>
    </mdx>
    <mdx n="33" f="v">
      <t c="4">
        <n x="546"/>
        <n x="11"/>
        <n x="7"/>
        <n x="1337" s="1"/>
      </t>
    </mdx>
    <mdx n="33" f="v">
      <t c="4">
        <n x="192"/>
        <n x="11"/>
        <n x="7"/>
        <n x="1337" s="1"/>
      </t>
    </mdx>
    <mdx n="33" f="v">
      <t c="4" si="9">
        <n x="582"/>
        <n x="1"/>
        <n x="7"/>
        <n x="1337" s="1"/>
      </t>
    </mdx>
    <mdx n="33" f="v">
      <t c="4">
        <n x="216"/>
        <n x="1"/>
        <n x="7"/>
        <n x="1337" s="1"/>
      </t>
    </mdx>
    <mdx n="33" f="v">
      <t c="4">
        <n x="529"/>
        <n x="11"/>
        <n x="32"/>
        <n x="1337" s="1"/>
      </t>
    </mdx>
    <mdx n="33" f="v">
      <t c="4">
        <n x="125"/>
        <n x="11"/>
        <n x="32"/>
        <n x="1337" s="1"/>
      </t>
    </mdx>
    <mdx n="33" f="v">
      <t c="4">
        <n x="1087"/>
        <n x="12"/>
        <n x="32"/>
        <n x="1337" s="1"/>
      </t>
    </mdx>
    <mdx n="33" f="v">
      <t c="4">
        <n x="516"/>
        <n x="12"/>
        <n x="32"/>
        <n x="1337" s="1"/>
      </t>
    </mdx>
    <mdx n="33" f="v">
      <t c="4">
        <n x="240"/>
        <n x="12"/>
        <n x="32"/>
        <n x="1337" s="1"/>
      </t>
    </mdx>
    <mdx n="33" f="v">
      <t c="4">
        <n x="837"/>
        <n x="14"/>
        <n x="7"/>
        <n x="1337" s="1"/>
      </t>
    </mdx>
    <mdx n="33" f="v">
      <t c="4" si="10">
        <n x="934"/>
        <n x="12"/>
        <n x="32"/>
        <n x="1337" s="1"/>
      </t>
    </mdx>
    <mdx n="33" f="v">
      <t c="4">
        <n x="1123"/>
        <n x="1"/>
        <n x="7"/>
        <n x="1337" s="1"/>
      </t>
    </mdx>
    <mdx n="33" f="v">
      <t c="4">
        <n x="298"/>
        <n x="14"/>
        <n x="7"/>
        <n x="1337" s="1"/>
      </t>
    </mdx>
    <mdx n="33" f="v">
      <t c="4">
        <n x="608"/>
        <n x="11"/>
        <n x="7"/>
        <n x="1337" s="1"/>
      </t>
    </mdx>
    <mdx n="33" f="v">
      <t c="4">
        <n x="310"/>
        <n x="11"/>
        <n x="7"/>
        <n x="1337" s="1"/>
      </t>
    </mdx>
    <mdx n="33" f="v">
      <t c="4">
        <n x="68"/>
        <n x="11"/>
        <n x="7"/>
        <n x="1337" s="1"/>
      </t>
    </mdx>
    <mdx n="33" f="v">
      <t c="4">
        <n x="541"/>
        <n x="1"/>
        <n x="7"/>
        <n x="1337" s="1"/>
      </t>
    </mdx>
    <mdx n="33" f="v">
      <t c="4">
        <n x="286"/>
        <n x="1"/>
        <n x="7"/>
        <n x="1337" s="1"/>
      </t>
    </mdx>
    <mdx n="33" f="v">
      <t c="4">
        <n x="995"/>
        <n x="11"/>
        <n x="32"/>
        <n x="1337" s="1"/>
      </t>
    </mdx>
    <mdx n="33" f="v">
      <t c="4" si="10">
        <n x="472"/>
        <n x="0"/>
        <n x="32"/>
        <n x="1337" s="1"/>
      </t>
    </mdx>
    <mdx n="33" f="v">
      <t c="4">
        <n x="716"/>
        <n x="12"/>
        <n x="32"/>
        <n x="1337" s="1"/>
      </t>
    </mdx>
    <mdx n="33" f="v">
      <t c="4" si="9">
        <n x="519"/>
        <n x="0"/>
        <n x="7"/>
        <n x="1337" s="1"/>
      </t>
    </mdx>
    <mdx n="33" f="v">
      <t c="4">
        <n x="607"/>
        <n x="1"/>
        <n x="32"/>
        <n x="1337" s="1"/>
      </t>
    </mdx>
    <mdx n="33" f="v">
      <t c="4">
        <n x="739"/>
        <n x="0"/>
        <n x="7"/>
        <n x="1337" s="1"/>
      </t>
    </mdx>
    <mdx n="33" f="v">
      <t c="4" si="10">
        <n x="472"/>
        <n x="1"/>
        <n x="32"/>
        <n x="1337" s="1"/>
      </t>
    </mdx>
    <mdx n="33" f="v">
      <t c="4" si="10">
        <n x="1025"/>
        <n x="0"/>
        <n x="32"/>
        <n x="1337" s="1"/>
      </t>
    </mdx>
    <mdx n="33" f="v">
      <t c="4" si="10">
        <n x="479"/>
        <n x="0"/>
        <n x="32"/>
        <n x="1337" s="1"/>
      </t>
    </mdx>
    <mdx n="33" f="v">
      <t c="4">
        <n x="804"/>
        <n x="12"/>
        <n x="32"/>
        <n x="1337" s="1"/>
      </t>
    </mdx>
    <mdx n="33" f="v">
      <t c="4" si="10">
        <n x="958"/>
        <n x="1"/>
        <n x="32"/>
        <n x="1337" s="1"/>
      </t>
    </mdx>
    <mdx n="33" f="v">
      <t c="4">
        <n x="1023"/>
        <n x="14"/>
        <n x="7"/>
        <n x="1337" s="1"/>
      </t>
    </mdx>
    <mdx n="33" f="v">
      <t c="4">
        <n x="636"/>
        <n x="11"/>
        <n x="7"/>
        <n x="1337" s="1"/>
      </t>
    </mdx>
    <mdx n="33" f="v">
      <t c="4" si="10">
        <n x="805"/>
        <n x="14"/>
        <n x="32"/>
        <n x="1337" s="1"/>
      </t>
    </mdx>
    <mdx n="33" f="v">
      <t c="4">
        <n x="674"/>
        <n x="11"/>
        <n x="7"/>
        <n x="1337" s="1"/>
      </t>
    </mdx>
    <mdx n="33" f="v">
      <t c="4" si="10">
        <n x="791"/>
        <n x="14"/>
        <n x="32"/>
        <n x="1337" s="1"/>
      </t>
    </mdx>
    <mdx n="33" f="v">
      <t c="4" si="10">
        <n x="765"/>
        <n x="0"/>
        <n x="32"/>
        <n x="1337" s="1"/>
      </t>
    </mdx>
    <mdx n="33" f="v">
      <t c="4">
        <n x="914"/>
        <n x="12"/>
        <n x="7"/>
        <n x="1337" s="1"/>
      </t>
    </mdx>
    <mdx n="33" f="v">
      <t c="4">
        <n x="1077"/>
        <n x="0"/>
        <n x="7"/>
        <n x="1337" s="1"/>
      </t>
    </mdx>
    <mdx n="33" f="v">
      <t c="4" si="9">
        <n x="458"/>
        <n x="14"/>
        <n x="7"/>
        <n x="1337" s="1"/>
      </t>
    </mdx>
    <mdx n="33" f="v">
      <t c="4" si="10">
        <n x="840"/>
        <n x="14"/>
        <n x="32"/>
        <n x="1337" s="1"/>
      </t>
    </mdx>
    <mdx n="33" f="v">
      <t c="4">
        <n x="818"/>
        <n x="1"/>
        <n x="7"/>
        <n x="1337" s="1"/>
      </t>
    </mdx>
    <mdx n="33" f="v">
      <t c="4">
        <n x="917"/>
        <n x="0"/>
        <n x="7"/>
        <n x="1337" s="1"/>
      </t>
    </mdx>
    <mdx n="33" f="v">
      <t c="4" si="10">
        <n x="844"/>
        <n x="0"/>
        <n x="32"/>
        <n x="1337" s="1"/>
      </t>
    </mdx>
    <mdx n="33" f="v">
      <t c="4" si="10">
        <n x="959"/>
        <n x="1"/>
        <n x="32"/>
        <n x="1337" s="1"/>
      </t>
    </mdx>
    <mdx n="33" f="v">
      <t c="4" si="10">
        <n x="1225"/>
        <n x="0"/>
        <n x="32"/>
        <n x="1337" s="1"/>
      </t>
    </mdx>
    <mdx n="33" f="v">
      <t c="4">
        <n x="762"/>
        <n x="11"/>
        <n x="7"/>
        <n x="1337" s="1"/>
      </t>
    </mdx>
    <mdx n="33" f="v">
      <t c="4" si="10">
        <n x="858"/>
        <n x="1"/>
        <n x="32"/>
        <n x="1337" s="1"/>
      </t>
    </mdx>
    <mdx n="33" f="v">
      <t c="4" si="10">
        <n x="890"/>
        <n x="1"/>
        <n x="32"/>
        <n x="1337" s="1"/>
      </t>
    </mdx>
    <mdx n="33" f="v">
      <t c="4">
        <n x="920"/>
        <n x="11"/>
        <n x="7"/>
        <n x="1337" s="1"/>
      </t>
    </mdx>
    <mdx n="33" f="v">
      <t c="4">
        <n x="955"/>
        <n x="12"/>
        <n x="32"/>
        <n x="1337" s="1"/>
      </t>
    </mdx>
    <mdx n="33" f="v">
      <t c="3">
        <n x="1025"/>
        <n x="1336"/>
        <n x="1337" s="1"/>
      </t>
    </mdx>
    <mdx n="33" f="v">
      <t c="4" si="10">
        <n x="1092"/>
        <n x="1"/>
        <n x="32"/>
        <n x="1337" s="1"/>
      </t>
    </mdx>
    <mdx n="33" f="v">
      <t c="4">
        <n x="1213"/>
        <n x="12"/>
        <n x="7"/>
        <n x="1337" s="1"/>
      </t>
    </mdx>
    <mdx n="33" f="v">
      <t c="4">
        <n x="1025"/>
        <n x="14"/>
        <n x="7"/>
        <n x="1337" s="1"/>
      </t>
    </mdx>
    <mdx n="33" f="v">
      <t c="4">
        <n x="350"/>
        <n x="14"/>
        <n x="7"/>
        <n x="1337" s="1"/>
      </t>
    </mdx>
    <mdx n="33" f="v">
      <t c="4">
        <n x="1101"/>
        <n x="11"/>
        <n x="7"/>
        <n x="1337" s="1"/>
      </t>
    </mdx>
    <mdx n="33" f="v">
      <t c="4" si="10">
        <n x="777"/>
        <n x="14"/>
        <n x="32"/>
        <n x="1337" s="1"/>
      </t>
    </mdx>
    <mdx n="33" f="v">
      <t c="4" si="10">
        <n x="947"/>
        <n x="12"/>
        <n x="32"/>
        <n x="1337" s="1"/>
      </t>
    </mdx>
    <mdx n="33" f="v">
      <t c="4">
        <n x="1120"/>
        <n x="14"/>
        <n x="7"/>
        <n x="1337" s="1"/>
      </t>
    </mdx>
    <mdx n="33" f="v">
      <t c="4">
        <n x="991"/>
        <n x="11"/>
        <n x="7"/>
        <n x="1337" s="1"/>
      </t>
    </mdx>
    <mdx n="33" f="v">
      <t c="4">
        <n x="254"/>
        <n x="11"/>
        <n x="7"/>
        <n x="1337" s="1"/>
      </t>
    </mdx>
    <mdx n="33" f="v">
      <t c="4">
        <n x="1024"/>
        <n x="1"/>
        <n x="7"/>
        <n x="1337" s="1"/>
      </t>
    </mdx>
    <mdx n="33" f="v">
      <t c="4">
        <n x="333"/>
        <n x="1"/>
        <n x="7"/>
        <n x="1337" s="1"/>
      </t>
    </mdx>
    <mdx n="33" f="v">
      <t c="4">
        <n x="965"/>
        <n x="11"/>
        <n x="32"/>
        <n x="1337" s="1"/>
      </t>
    </mdx>
    <mdx n="33" f="v">
      <t c="4">
        <n x="309"/>
        <n x="11"/>
        <n x="32"/>
        <n x="1337" s="1"/>
      </t>
    </mdx>
    <mdx n="33" f="v">
      <t c="4" si="10">
        <n x="1224"/>
        <n x="12"/>
        <n x="32"/>
        <n x="1337" s="1"/>
      </t>
    </mdx>
    <mdx n="33" f="v">
      <t c="4" si="10">
        <n x="980"/>
        <n x="12"/>
        <n x="32"/>
        <n x="1337" s="1"/>
      </t>
    </mdx>
    <mdx n="33" f="v">
      <t c="4">
        <n x="393"/>
        <n x="12"/>
        <n x="32"/>
        <n x="1337" s="1"/>
      </t>
    </mdx>
    <mdx n="33" f="v">
      <t c="4">
        <n x="137"/>
        <n x="12"/>
        <n x="32"/>
        <n x="1337" s="1"/>
      </t>
    </mdx>
    <mdx n="33" f="v">
      <t c="4" si="10">
        <n x="618"/>
        <n x="14"/>
        <n x="32"/>
        <n x="1337" s="1"/>
      </t>
    </mdx>
    <mdx n="33" f="v">
      <t c="4">
        <n x="877"/>
        <n x="1"/>
        <n x="7"/>
        <n x="1337" s="1"/>
      </t>
    </mdx>
    <mdx n="33" f="v">
      <t c="4" si="10">
        <n x="997"/>
        <n x="1"/>
        <n x="32"/>
        <n x="1337" s="1"/>
      </t>
    </mdx>
    <mdx n="33" f="v">
      <t c="4">
        <n x="1320"/>
        <n x="0"/>
        <n x="32"/>
        <n x="1337" s="1"/>
      </t>
    </mdx>
    <mdx n="33" f="v">
      <t c="6" si="10">
        <n x="15"/>
        <n x="1337" s="1"/>
        <n x="40"/>
        <n x="32"/>
        <n x="23"/>
        <n x="0"/>
      </t>
    </mdx>
    <mdx n="33" f="v">
      <t c="4">
        <n x="691"/>
        <n x="11"/>
        <n x="7"/>
        <n x="1337" s="1"/>
      </t>
    </mdx>
    <mdx n="33" f="v">
      <t c="4">
        <n x="819"/>
        <n x="12"/>
        <n x="7"/>
        <n x="1337" s="1"/>
      </t>
    </mdx>
    <mdx n="33" f="v">
      <t c="4">
        <n x="743"/>
        <n x="11"/>
        <n x="32"/>
        <n x="1337" s="1"/>
      </t>
    </mdx>
    <mdx n="33" f="v">
      <t c="4">
        <n x="842"/>
        <n x="11"/>
        <n x="7"/>
        <n x="1337" s="1"/>
      </t>
    </mdx>
    <mdx n="33" f="v">
      <t c="4" si="10">
        <n x="872"/>
        <n x="1"/>
        <n x="32"/>
        <n x="1337" s="1"/>
      </t>
    </mdx>
    <mdx n="33" f="v">
      <t c="4">
        <n x="985"/>
        <n x="0"/>
        <n x="7"/>
        <n x="1337" s="1"/>
      </t>
    </mdx>
    <mdx n="33" f="v">
      <t c="4">
        <n x="1290"/>
        <n x="12"/>
        <n x="7"/>
        <n x="1337" s="1"/>
      </t>
    </mdx>
    <mdx n="33" f="v">
      <t c="4" si="10">
        <n x="674"/>
        <n x="1"/>
        <n x="32"/>
        <n x="1337" s="1"/>
      </t>
    </mdx>
    <mdx n="33" f="v">
      <t c="4">
        <n x="812"/>
        <n x="0"/>
        <n x="7"/>
        <n x="1337" s="1"/>
      </t>
    </mdx>
    <mdx n="33" f="v">
      <t c="3">
        <n x="862"/>
        <n x="1336"/>
        <n x="1337" s="1"/>
      </t>
    </mdx>
    <mdx n="33" f="v">
      <t c="4">
        <n x="893"/>
        <n x="11"/>
        <n x="32"/>
        <n x="1337" s="1"/>
      </t>
    </mdx>
    <mdx n="33" f="v">
      <t c="4">
        <n x="918"/>
        <n x="14"/>
        <n x="7"/>
        <n x="1337" s="1"/>
      </t>
    </mdx>
    <mdx n="33" f="v">
      <t c="4">
        <n x="942"/>
        <n x="14"/>
        <n x="7"/>
        <n x="1337" s="1"/>
      </t>
    </mdx>
    <mdx n="33" f="v">
      <t c="4" si="10">
        <n x="986"/>
        <n x="0"/>
        <n x="32"/>
        <n x="1337" s="1"/>
      </t>
    </mdx>
    <mdx n="33" f="v">
      <t c="4">
        <n x="1037"/>
        <n x="12"/>
        <n x="7"/>
        <n x="1337" s="1"/>
      </t>
    </mdx>
    <mdx n="33" f="v">
      <t c="3">
        <n x="1088"/>
        <n x="1336"/>
        <n x="1337" s="1"/>
      </t>
    </mdx>
    <mdx n="33" f="v">
      <t c="4" si="10">
        <n x="1163"/>
        <n x="0"/>
        <n x="32"/>
        <n x="1337" s="1"/>
      </t>
    </mdx>
    <mdx n="33" f="v">
      <t c="4" si="10">
        <n x="1291"/>
        <n x="0"/>
        <n x="32"/>
        <n x="1337" s="1"/>
      </t>
    </mdx>
    <mdx n="33" f="v">
      <t c="4">
        <n x="966"/>
        <n x="14"/>
        <n x="7"/>
        <n x="1337" s="1"/>
      </t>
    </mdx>
    <mdx n="33" f="v">
      <t c="4">
        <n x="371"/>
        <n x="14"/>
        <n x="7"/>
        <n x="1337" s="1"/>
      </t>
    </mdx>
    <mdx n="33" f="v">
      <t c="4" si="10">
        <n x="717"/>
        <n x="12"/>
        <n x="32"/>
        <n x="1337" s="1"/>
      </t>
    </mdx>
    <mdx n="33" f="v">
      <t c="4">
        <n x="817"/>
        <n x="12"/>
        <n x="7"/>
        <n x="1337" s="1"/>
      </t>
    </mdx>
    <mdx n="33" f="v">
      <t c="4" si="10">
        <n x="855"/>
        <n x="12"/>
        <n x="32"/>
        <n x="1337" s="1"/>
      </t>
    </mdx>
    <mdx n="33" f="v">
      <t c="4">
        <n x="879"/>
        <n x="0"/>
        <n x="32"/>
        <n x="1337" s="1"/>
      </t>
    </mdx>
    <mdx n="33" f="v">
      <t c="4" si="10">
        <n x="902"/>
        <n x="1"/>
        <n x="32"/>
        <n x="1337" s="1"/>
      </t>
    </mdx>
    <mdx n="33" f="v">
      <t c="4" si="10">
        <n x="925"/>
        <n x="14"/>
        <n x="32"/>
        <n x="1337" s="1"/>
      </t>
    </mdx>
    <mdx n="33" f="v">
      <t c="4" si="10">
        <n x="952"/>
        <n x="0"/>
        <n x="32"/>
        <n x="1337" s="1"/>
      </t>
    </mdx>
    <mdx n="33" f="v">
      <t c="4">
        <n x="1000"/>
        <n x="1"/>
        <n x="32"/>
        <n x="1337" s="1"/>
      </t>
    </mdx>
    <mdx n="33" f="v">
      <t c="4">
        <n x="1051"/>
        <n x="0"/>
        <n x="7"/>
        <n x="1337" s="1"/>
      </t>
    </mdx>
    <mdx n="33" f="v">
      <t c="4">
        <n x="1103"/>
        <n x="0"/>
        <n x="32"/>
        <n x="1337" s="1"/>
      </t>
    </mdx>
    <mdx n="33" f="v">
      <t c="4">
        <n x="1199"/>
        <n x="12"/>
        <n x="7"/>
        <n x="1337" s="1"/>
      </t>
    </mdx>
    <mdx n="33" f="v">
      <t c="4">
        <n x="1327"/>
        <n x="12"/>
        <n x="7"/>
        <n x="1337" s="1"/>
      </t>
    </mdx>
    <mdx n="33" f="v">
      <t c="4" si="9">
        <n x="577"/>
        <n x="14"/>
        <n x="7"/>
        <n x="1337" s="1"/>
      </t>
    </mdx>
    <mdx n="33" f="v">
      <t c="4">
        <n x="264"/>
        <n x="14"/>
        <n x="7"/>
        <n x="1337" s="1"/>
      </t>
    </mdx>
    <mdx n="33" f="v">
      <t c="4">
        <n x="1323"/>
        <n x="11"/>
        <n x="7"/>
        <n x="1337" s="1"/>
      </t>
    </mdx>
    <mdx n="33" f="v">
      <t c="4">
        <n x="557"/>
        <n x="11"/>
        <n x="7"/>
        <n x="1337" s="1"/>
      </t>
    </mdx>
    <mdx n="33" f="v">
      <t c="4" si="10">
        <n x="871"/>
        <n x="11"/>
        <n x="32"/>
        <n x="1337" s="1"/>
      </t>
    </mdx>
    <mdx n="33" f="v">
      <t c="4" si="10">
        <n x="984"/>
        <n x="0"/>
        <n x="32"/>
        <n x="1337" s="1"/>
      </t>
    </mdx>
    <mdx n="33" f="v">
      <t c="4" si="10">
        <n x="1286"/>
        <n x="0"/>
        <n x="32"/>
        <n x="1337" s="1"/>
      </t>
    </mdx>
    <mdx n="33" f="v">
      <t c="4">
        <n x="57"/>
        <n x="14"/>
        <n x="7"/>
        <n x="1337" s="1"/>
      </t>
    </mdx>
    <mdx n="33" f="v">
      <t c="4">
        <n x="506"/>
        <n x="11"/>
        <n x="7"/>
        <n x="1337" s="1"/>
      </t>
    </mdx>
    <mdx n="33" f="v">
      <t c="4">
        <n x="256"/>
        <n x="11"/>
        <n x="7"/>
        <n x="1337" s="1"/>
      </t>
    </mdx>
    <mdx n="33" f="v">
      <t c="4" si="9">
        <n x="1052"/>
        <n x="1"/>
        <n x="7"/>
        <n x="1337" s="1"/>
      </t>
    </mdx>
    <mdx n="33" f="v">
      <t c="4">
        <n x="458"/>
        <n x="1"/>
        <n x="7"/>
        <n x="1337" s="1"/>
      </t>
    </mdx>
    <mdx n="33" f="v">
      <t c="4">
        <n x="137"/>
        <n x="1"/>
        <n x="7"/>
        <n x="1337" s="1"/>
      </t>
    </mdx>
    <mdx n="33" f="v">
      <t c="4" si="10">
        <n x="578"/>
        <n x="11"/>
        <n x="32"/>
        <n x="1337" s="1"/>
      </t>
    </mdx>
    <mdx n="33" f="v">
      <t c="4">
        <n x="321"/>
        <n x="11"/>
        <n x="32"/>
        <n x="1337" s="1"/>
      </t>
    </mdx>
    <mdx n="33" f="v">
      <t c="4">
        <n x="1236"/>
        <n x="12"/>
        <n x="32"/>
        <n x="1337" s="1"/>
      </t>
    </mdx>
    <mdx n="33" f="v">
      <t c="4">
        <n x="992"/>
        <n x="12"/>
        <n x="32"/>
        <n x="1337" s="1"/>
      </t>
    </mdx>
    <mdx n="33" f="v">
      <t c="4" si="10">
        <n x="441"/>
        <n x="12"/>
        <n x="32"/>
        <n x="1337" s="1"/>
      </t>
    </mdx>
    <mdx n="33" f="v">
      <t c="4">
        <n x="157"/>
        <n x="12"/>
        <n x="32"/>
        <n x="1337" s="1"/>
      </t>
    </mdx>
    <mdx n="33" f="v">
      <t c="4">
        <n x="966"/>
        <n x="14"/>
        <n x="32"/>
        <n x="1337" s="1"/>
      </t>
    </mdx>
    <mdx n="33" f="v">
      <t c="4" si="10">
        <n x="873"/>
        <n x="1"/>
        <n x="32"/>
        <n x="1337" s="1"/>
      </t>
    </mdx>
    <mdx n="33" f="v">
      <t c="4" si="10">
        <n x="988"/>
        <n x="0"/>
        <n x="32"/>
        <n x="1337" s="1"/>
      </t>
    </mdx>
    <mdx n="33" f="v">
      <t c="4" si="10">
        <n x="1296"/>
        <n x="0"/>
        <n x="32"/>
        <n x="1337" s="1"/>
      </t>
    </mdx>
    <mdx n="33" f="v">
      <t c="4">
        <n x="193"/>
        <n x="0"/>
        <n x="7"/>
        <n x="1337" s="1"/>
      </t>
    </mdx>
    <mdx n="33" f="v">
      <t c="4">
        <n x="678"/>
        <n x="12"/>
        <n x="7"/>
        <n x="1337" s="1"/>
      </t>
    </mdx>
    <mdx n="33" f="v">
      <t c="3">
        <n x="320"/>
        <n x="1336"/>
        <n x="1337" s="1"/>
      </t>
    </mdx>
    <mdx n="33" f="v">
      <t c="4" si="10">
        <n x="756"/>
        <n x="14"/>
        <n x="32"/>
        <n x="1337" s="1"/>
      </t>
    </mdx>
    <mdx n="33" f="v">
      <t c="4" si="9">
        <n x="467"/>
        <n x="0"/>
        <n x="7"/>
        <n x="1337" s="1"/>
      </t>
    </mdx>
    <mdx n="33" f="v">
      <t c="4">
        <n x="885"/>
        <n x="0"/>
        <n x="7"/>
        <n x="1337" s="1"/>
      </t>
    </mdx>
    <mdx n="33" f="v">
      <t c="4">
        <n x="1014"/>
        <n x="1"/>
        <n x="32"/>
        <n x="1337" s="1"/>
      </t>
    </mdx>
    <mdx n="33" f="v">
      <t c="4">
        <n x="1079"/>
        <n x="14"/>
        <n x="7"/>
        <n x="1337" s="1"/>
      </t>
    </mdx>
    <mdx n="33" f="v">
      <t c="4">
        <n x="699"/>
        <n x="14"/>
        <n x="7"/>
        <n x="1337" s="1"/>
      </t>
    </mdx>
    <mdx n="33" f="v">
      <t c="4">
        <n x="829"/>
        <n x="11"/>
        <n x="32"/>
        <n x="1337" s="1"/>
      </t>
    </mdx>
    <mdx n="33" f="v">
      <t c="4">
        <n x="866"/>
        <n x="14"/>
        <n x="32"/>
        <n x="1337" s="1"/>
      </t>
    </mdx>
    <mdx n="33" f="v">
      <t c="4">
        <n x="897"/>
        <n x="11"/>
        <n x="7"/>
        <n x="1337" s="1"/>
      </t>
    </mdx>
    <mdx n="33" f="v">
      <t c="3">
        <n x="922"/>
        <n x="1336"/>
        <n x="1337" s="1"/>
      </t>
    </mdx>
    <mdx n="33" f="v">
      <t c="4" si="10">
        <n x="947"/>
        <n x="14"/>
        <n x="32"/>
        <n x="1337" s="1"/>
      </t>
    </mdx>
    <mdx n="33" f="v">
      <t c="4">
        <n x="993"/>
        <n x="12"/>
        <n x="7"/>
        <n x="1337" s="1"/>
      </t>
    </mdx>
    <mdx n="33" f="v">
      <t c="3">
        <n x="1044"/>
        <n x="1336"/>
        <n x="1337" s="1"/>
      </t>
    </mdx>
    <mdx n="33" f="v">
      <t c="4">
        <n x="1095"/>
        <n x="1"/>
        <n x="32"/>
        <n x="1337" s="1"/>
      </t>
    </mdx>
    <mdx n="33" f="v">
      <t c="4">
        <n x="1181"/>
        <n x="0"/>
        <n x="32"/>
        <n x="1337" s="1"/>
      </t>
    </mdx>
    <mdx n="33" f="v">
      <t c="4" si="10">
        <n x="1309"/>
        <n x="0"/>
        <n x="32"/>
        <n x="1337" s="1"/>
      </t>
    </mdx>
    <mdx n="33" f="v">
      <t c="4">
        <n x="614"/>
        <n x="14"/>
        <n x="7"/>
        <n x="1337" s="1"/>
      </t>
    </mdx>
    <mdx n="33" f="v">
      <t c="6" si="9">
        <n x="15"/>
        <n x="1337" s="1"/>
        <n x="40"/>
        <n x="7"/>
        <n x="18"/>
        <n x="0"/>
      </t>
    </mdx>
    <mdx n="33" f="v">
      <t c="4">
        <n x="730"/>
        <n x="11"/>
        <n x="7"/>
        <n x="1337" s="1"/>
      </t>
    </mdx>
    <mdx n="33" f="v">
      <t c="4">
        <n x="829"/>
        <n x="1"/>
        <n x="7"/>
        <n x="1337" s="1"/>
      </t>
    </mdx>
    <mdx n="33" f="v">
      <t c="4">
        <n x="859"/>
        <n x="0"/>
        <n x="32"/>
        <n x="1337" s="1"/>
      </t>
    </mdx>
    <mdx n="33" f="v">
      <t c="4" si="10">
        <n x="882"/>
        <n x="1"/>
        <n x="32"/>
        <n x="1337" s="1"/>
      </t>
    </mdx>
    <mdx n="33" f="v">
      <t c="4">
        <n x="905"/>
        <n x="14"/>
        <n x="32"/>
        <n x="1337" s="1"/>
      </t>
    </mdx>
    <mdx n="33" f="v">
      <t c="4">
        <n x="928"/>
        <n x="11"/>
        <n x="7"/>
        <n x="1337" s="1"/>
      </t>
    </mdx>
    <mdx n="33" f="v">
      <t c="4">
        <n x="956"/>
        <n x="11"/>
        <n x="7"/>
        <n x="1337" s="1"/>
      </t>
    </mdx>
    <mdx n="33" f="v">
      <t c="4">
        <n x="1007"/>
        <n x="0"/>
        <n x="7"/>
        <n x="1337" s="1"/>
      </t>
    </mdx>
    <mdx n="33" f="v">
      <t c="4" si="10">
        <n x="1059"/>
        <n x="0"/>
        <n x="32"/>
        <n x="1337" s="1"/>
      </t>
    </mdx>
    <mdx n="33" f="v">
      <t c="4">
        <n x="1110"/>
        <n x="12"/>
        <n x="7"/>
        <n x="1337" s="1"/>
      </t>
    </mdx>
    <mdx n="33" f="v">
      <t c="4">
        <n x="1217"/>
        <n x="12"/>
        <n x="7"/>
        <n x="1337" s="1"/>
      </t>
    </mdx>
    <mdx n="33" f="v">
      <t c="4">
        <n x="1113"/>
        <n x="14"/>
        <n x="7"/>
        <n x="1337" s="1"/>
      </t>
    </mdx>
    <mdx n="33" f="v">
      <t c="4">
        <n x="541"/>
        <n x="14"/>
        <n x="7"/>
        <n x="1337" s="1"/>
      </t>
    </mdx>
    <mdx n="33" f="v">
      <t c="4">
        <n x="293"/>
        <n x="14"/>
        <n x="7"/>
        <n x="1337" s="1"/>
      </t>
    </mdx>
    <mdx n="33" f="v">
      <t c="4">
        <n x="1093"/>
        <n x="11"/>
        <n x="7"/>
        <n x="1337" s="1"/>
      </t>
    </mdx>
    <mdx n="33" f="v">
      <t c="4">
        <n x="399"/>
        <n x="12"/>
        <n x="7"/>
        <n x="1337" s="1"/>
      </t>
    </mdx>
    <mdx n="33" f="v">
      <t c="4" si="10">
        <n x="884"/>
        <n x="14"/>
        <n x="32"/>
        <n x="1337" s="1"/>
      </t>
    </mdx>
    <mdx n="33" f="v">
      <t c="4">
        <n x="1012"/>
        <n x="0"/>
        <n x="7"/>
        <n x="1337" s="1"/>
      </t>
    </mdx>
    <mdx n="33" f="v">
      <t c="4">
        <n x="1088"/>
        <n x="14"/>
        <n x="7"/>
        <n x="1337" s="1"/>
      </t>
    </mdx>
    <mdx n="33" f="v">
      <t c="4">
        <n x="1118"/>
        <n x="11"/>
        <n x="7"/>
        <n x="1337" s="1"/>
      </t>
    </mdx>
    <mdx n="33" f="v">
      <t c="4">
        <n x="466"/>
        <n x="11"/>
        <n x="7"/>
        <n x="1337" s="1"/>
      </t>
    </mdx>
    <mdx n="33" f="v">
      <t c="4">
        <n x="205"/>
        <n x="11"/>
        <n x="7"/>
        <n x="1337" s="1"/>
      </t>
    </mdx>
    <mdx n="33" f="v">
      <t c="4">
        <n x="1016"/>
        <n x="1"/>
        <n x="7"/>
        <n x="1337" s="1"/>
      </t>
    </mdx>
    <mdx n="33" f="v">
      <t c="4">
        <n x="422"/>
        <n x="1"/>
        <n x="7"/>
        <n x="1337" s="1"/>
      </t>
    </mdx>
    <mdx n="33" f="v">
      <t c="4">
        <n x="100"/>
        <n x="1"/>
        <n x="7"/>
        <n x="1337" s="1"/>
      </t>
    </mdx>
    <mdx n="33" f="v">
      <t c="4">
        <n x="542"/>
        <n x="11"/>
        <n x="32"/>
        <n x="1337" s="1"/>
      </t>
    </mdx>
    <mdx n="33" f="v">
      <t c="4">
        <n x="289"/>
        <n x="11"/>
        <n x="32"/>
        <n x="1337" s="1"/>
      </t>
    </mdx>
    <mdx n="33" f="v">
      <t c="4">
        <n x="1200"/>
        <n x="12"/>
        <n x="32"/>
        <n x="1337" s="1"/>
      </t>
    </mdx>
    <mdx n="33" f="v">
      <t c="4">
        <n x="956"/>
        <n x="12"/>
        <n x="32"/>
        <n x="1337" s="1"/>
      </t>
    </mdx>
    <mdx n="33" f="v">
      <t c="4">
        <n x="364"/>
        <n x="12"/>
        <n x="32"/>
        <n x="1337" s="1"/>
      </t>
    </mdx>
    <mdx n="33" f="v">
      <t c="4">
        <n x="71"/>
        <n x="12"/>
        <n x="32"/>
        <n x="1337" s="1"/>
      </t>
    </mdx>
    <mdx n="33" f="v">
      <t c="4" si="9">
        <n x="502"/>
        <n x="12"/>
        <n x="7"/>
        <n x="1337" s="1"/>
      </t>
    </mdx>
    <mdx n="33" f="v">
      <t c="4">
        <n x="886"/>
        <n x="0"/>
        <n x="7"/>
        <n x="1337" s="1"/>
      </t>
    </mdx>
    <mdx n="33" f="v">
      <t c="4">
        <n x="1016"/>
        <n x="0"/>
        <n x="7"/>
        <n x="1337" s="1"/>
      </t>
    </mdx>
    <mdx n="33" f="v">
      <t c="4">
        <n x="1068"/>
        <n x="14"/>
        <n x="7"/>
        <n x="1337" s="1"/>
      </t>
    </mdx>
    <mdx n="33" f="v">
      <t c="4">
        <n x="1108"/>
        <n x="11"/>
        <n x="7"/>
        <n x="1337" s="1"/>
      </t>
    </mdx>
    <mdx n="33" f="v">
      <t c="4">
        <n x="446"/>
        <n x="11"/>
        <n x="7"/>
        <n x="1337" s="1"/>
      </t>
    </mdx>
    <mdx n="33" f="v">
      <t c="4">
        <n x="200"/>
        <n x="11"/>
        <n x="7"/>
        <n x="1337" s="1"/>
      </t>
    </mdx>
    <mdx n="33" f="v">
      <t c="4">
        <n x="1011"/>
        <n x="1"/>
        <n x="7"/>
        <n x="1337" s="1"/>
      </t>
    </mdx>
    <mdx n="33" f="v">
      <t c="4">
        <n x="417"/>
        <n x="1"/>
        <n x="7"/>
        <n x="1337" s="1"/>
      </t>
    </mdx>
    <mdx n="33" f="v">
      <t c="4">
        <n x="95"/>
        <n x="1"/>
        <n x="7"/>
        <n x="1337" s="1"/>
      </t>
    </mdx>
    <mdx n="33" f="v">
      <t c="4">
        <n x="537"/>
        <n x="11"/>
        <n x="32"/>
        <n x="1337" s="1"/>
      </t>
    </mdx>
    <mdx n="33" f="v">
      <t c="4">
        <n x="284"/>
        <n x="11"/>
        <n x="32"/>
        <n x="1337" s="1"/>
      </t>
    </mdx>
    <mdx n="33" f="v">
      <t c="4">
        <n x="656"/>
        <n x="14"/>
        <n x="7"/>
        <n x="1337" s="1"/>
      </t>
    </mdx>
    <mdx n="33" f="v">
      <t c="4" si="10">
        <n x="863"/>
        <n x="14"/>
        <n x="32"/>
        <n x="1337" s="1"/>
      </t>
    </mdx>
    <mdx n="33" f="v">
      <t c="4" si="10">
        <n x="800"/>
        <n x="12"/>
        <n x="32"/>
        <n x="1337" s="1"/>
      </t>
    </mdx>
    <mdx n="33" f="v">
      <t c="4" si="10">
        <n x="940"/>
        <n x="0"/>
        <n x="32"/>
        <n x="1337" s="1"/>
      </t>
    </mdx>
    <mdx n="33" f="v">
      <t c="4" si="10">
        <n x="1151"/>
        <n x="0"/>
        <n x="32"/>
        <n x="1337" s="1"/>
      </t>
    </mdx>
    <mdx n="33" f="v">
      <t c="4" si="10">
        <n x="709"/>
        <n x="0"/>
        <n x="32"/>
        <n x="1337" s="1"/>
      </t>
    </mdx>
    <mdx n="33" f="v">
      <t c="4">
        <n x="900"/>
        <n x="12"/>
        <n x="7"/>
        <n x="1337" s="1"/>
      </t>
    </mdx>
    <mdx n="33" f="v">
      <t c="4">
        <n x="1047"/>
        <n x="0"/>
        <n x="32"/>
        <n x="1337" s="1"/>
      </t>
    </mdx>
    <mdx n="33" f="v">
      <t c="4">
        <n x="601"/>
        <n x="14"/>
        <n x="7"/>
        <n x="1337" s="1"/>
      </t>
    </mdx>
    <mdx n="33" f="v">
      <t c="4" si="10">
        <n x="862"/>
        <n x="12"/>
        <n x="32"/>
        <n x="1337" s="1"/>
      </t>
    </mdx>
    <mdx n="33" f="v">
      <t c="4">
        <n x="531"/>
        <n x="11"/>
        <n x="7"/>
        <n x="1337" s="1"/>
      </t>
    </mdx>
    <mdx n="33" f="v">
      <t c="4">
        <n x="172"/>
        <n x="1"/>
        <n x="7"/>
        <n x="1337" s="1"/>
      </t>
    </mdx>
    <mdx n="33" f="v">
      <t c="4">
        <n x="1016"/>
        <n x="12"/>
        <n x="32"/>
        <n x="1337" s="1"/>
      </t>
    </mdx>
    <mdx n="33" f="v">
      <t c="4" si="10">
        <n x="864"/>
        <n x="14"/>
        <n x="32"/>
        <n x="1337" s="1"/>
      </t>
    </mdx>
    <mdx n="33" f="v">
      <t c="4" si="9">
        <n x="1064"/>
        <n x="11"/>
        <n x="7"/>
        <n x="1337" s="1"/>
      </t>
    </mdx>
    <mdx n="33" f="v">
      <t c="4">
        <n x="327"/>
        <n x="11"/>
        <n x="7"/>
        <n x="1337" s="1"/>
      </t>
    </mdx>
    <mdx n="33" f="v">
      <t c="4">
        <n x="1067"/>
        <n x="1"/>
        <n x="7"/>
        <n x="1337" s="1"/>
      </t>
    </mdx>
    <mdx n="33" f="v">
      <t c="4">
        <n x="389"/>
        <n x="1"/>
        <n x="7"/>
        <n x="1337" s="1"/>
      </t>
    </mdx>
    <mdx n="33" f="v">
      <t c="4">
        <n x="1012"/>
        <n x="11"/>
        <n x="32"/>
        <n x="1337" s="1"/>
      </t>
    </mdx>
    <mdx n="33" f="v">
      <t c="4">
        <n x="336"/>
        <n x="11"/>
        <n x="32"/>
        <n x="1337" s="1"/>
      </t>
    </mdx>
    <mdx n="33" f="v">
      <t c="4">
        <n x="1187"/>
        <n x="12"/>
        <n x="32"/>
        <n x="1337" s="1"/>
      </t>
    </mdx>
    <mdx n="33" f="v">
      <t c="4">
        <n x="422"/>
        <n x="12"/>
        <n x="32"/>
        <n x="1337" s="1"/>
      </t>
    </mdx>
    <mdx n="33" f="v">
      <t c="4">
        <n x="351"/>
        <n x="12"/>
        <n x="32"/>
        <n x="1337" s="1"/>
      </t>
    </mdx>
    <mdx n="33" f="v">
      <t c="4">
        <n x="678"/>
        <n x="1"/>
        <n x="7"/>
        <n x="1337" s="1"/>
      </t>
    </mdx>
    <mdx n="33" f="v">
      <t c="4">
        <n x="894"/>
        <n x="0"/>
        <n x="32"/>
        <n x="1337" s="1"/>
      </t>
    </mdx>
    <mdx n="33" f="v">
      <t c="4">
        <n x="1033"/>
        <n x="1"/>
        <n x="32"/>
        <n x="1337" s="1"/>
      </t>
    </mdx>
    <mdx n="33" f="v">
      <t c="4">
        <n x="984"/>
        <n x="14"/>
        <n x="7"/>
        <n x="1337" s="1"/>
      </t>
    </mdx>
    <mdx n="33" f="v">
      <t c="4">
        <n x="1074"/>
        <n x="11"/>
        <n x="7"/>
        <n x="1337" s="1"/>
      </t>
    </mdx>
    <mdx n="33" f="v">
      <t c="4">
        <n x="443"/>
        <n x="11"/>
        <n x="7"/>
        <n x="1337" s="1"/>
      </t>
    </mdx>
    <mdx n="33" f="v">
      <t c="4">
        <n x="179"/>
        <n x="11"/>
        <n x="7"/>
        <n x="1337" s="1"/>
      </t>
    </mdx>
    <mdx n="33" f="v">
      <t c="4">
        <n x="990"/>
        <n x="1"/>
        <n x="7"/>
        <n x="1337" s="1"/>
      </t>
    </mdx>
    <mdx n="33" f="v">
      <t c="4">
        <n x="396"/>
        <n x="1"/>
        <n x="7"/>
        <n x="1337" s="1"/>
      </t>
    </mdx>
    <mdx n="33" f="v">
      <t c="4">
        <n x="1107"/>
        <n x="11"/>
        <n x="32"/>
        <n x="1337" s="1"/>
      </t>
    </mdx>
    <mdx n="33" f="v">
      <t c="6" si="10">
        <n x="15"/>
        <n x="1337" s="1"/>
        <n x="41"/>
        <n x="32"/>
        <n x="21"/>
        <n x="0"/>
      </t>
    </mdx>
    <mdx n="33" f="v">
      <t c="4">
        <n x="554"/>
        <n x="0"/>
        <n x="7"/>
        <n x="1337" s="1"/>
      </t>
    </mdx>
    <mdx n="33" f="v">
      <t c="4" si="10">
        <n x="786"/>
        <n x="0"/>
        <n x="32"/>
        <n x="1337" s="1"/>
      </t>
    </mdx>
    <mdx n="33" f="v">
      <t c="4" si="9">
        <n x="505"/>
        <n x="12"/>
        <n x="7"/>
        <n x="1337" s="1"/>
      </t>
    </mdx>
    <mdx n="33" f="v">
      <t c="4" si="10">
        <n x="691"/>
        <n x="14"/>
        <n x="32"/>
        <n x="1337" s="1"/>
      </t>
    </mdx>
    <mdx n="33" f="v">
      <t c="4">
        <n x="701"/>
        <n x="14"/>
        <n x="7"/>
        <n x="1337" s="1"/>
      </t>
    </mdx>
    <mdx n="33" f="v">
      <t c="4">
        <n x="936"/>
        <n x="1"/>
        <n x="7"/>
        <n x="1337" s="1"/>
      </t>
    </mdx>
    <mdx n="33" f="v">
      <t c="4">
        <n x="703"/>
        <n x="0"/>
        <n x="7"/>
        <n x="1337" s="1"/>
      </t>
    </mdx>
    <mdx n="33" f="v">
      <t c="4">
        <n x="734"/>
        <n x="11"/>
        <n x="32"/>
        <n x="1337" s="1"/>
      </t>
    </mdx>
    <mdx n="33" f="v">
      <t c="4" si="10">
        <n x="937"/>
        <n x="0"/>
        <n x="32"/>
        <n x="1337" s="1"/>
      </t>
    </mdx>
    <mdx n="33" f="v">
      <t c="4" si="9">
        <n x="1310"/>
        <n x="12"/>
        <n x="7"/>
        <n x="1337" s="1"/>
      </t>
    </mdx>
    <mdx n="33" f="v">
      <t c="4">
        <n x="636"/>
        <n x="0"/>
        <n x="7"/>
        <n x="1337" s="1"/>
      </t>
    </mdx>
    <mdx n="33" f="v">
      <t c="4" si="10">
        <n x="752"/>
        <n x="12"/>
        <n x="32"/>
        <n x="1337" s="1"/>
      </t>
    </mdx>
    <mdx n="33" f="v">
      <t c="4">
        <n x="619"/>
        <n x="0"/>
        <n x="7"/>
        <n x="1337" s="1"/>
      </t>
    </mdx>
    <mdx n="33" f="v">
      <t c="4">
        <n x="775"/>
        <n x="11"/>
        <n x="7"/>
        <n x="1337" s="1"/>
      </t>
    </mdx>
    <mdx n="33" f="v">
      <t c="4" si="10">
        <n x="718"/>
        <n x="11"/>
        <n x="32"/>
        <n x="1337" s="1"/>
      </t>
    </mdx>
    <mdx n="33" f="v">
      <t c="4">
        <n x="902"/>
        <n x="11"/>
        <n x="32"/>
        <n x="1337" s="1"/>
      </t>
    </mdx>
    <mdx n="33" f="v">
      <t c="4">
        <n x="1052"/>
        <n x="12"/>
        <n x="7"/>
        <n x="1337" s="1"/>
      </t>
    </mdx>
    <mdx n="33" f="v">
      <t c="4" si="9">
        <n x="575"/>
        <n x="14"/>
        <n x="7"/>
        <n x="1337" s="1"/>
      </t>
    </mdx>
    <mdx n="33" f="v">
      <t c="4">
        <n x="815"/>
        <n x="1"/>
        <n x="32"/>
        <n x="1337" s="1"/>
      </t>
    </mdx>
    <mdx n="33" f="v">
      <t c="4" si="10">
        <n x="686"/>
        <n x="0"/>
        <n x="32"/>
        <n x="1337" s="1"/>
      </t>
    </mdx>
    <mdx n="33" f="v">
      <t c="4">
        <n x="870"/>
        <n x="11"/>
        <n x="7"/>
        <n x="1337" s="1"/>
      </t>
    </mdx>
    <mdx n="33" f="v">
      <t c="4">
        <n x="810"/>
        <n x="14"/>
        <n x="7"/>
        <n x="1337" s="1"/>
      </t>
    </mdx>
    <mdx n="33" f="v">
      <t c="4" si="10">
        <n x="942"/>
        <n x="14"/>
        <n x="32"/>
        <n x="1337" s="1"/>
      </t>
    </mdx>
    <mdx n="33" f="v">
      <t c="4" si="10">
        <n x="1161"/>
        <n x="0"/>
        <n x="32"/>
        <n x="1337" s="1"/>
      </t>
    </mdx>
    <mdx n="33" f="v">
      <t c="4" si="10">
        <n x="716"/>
        <n x="1"/>
        <n x="32"/>
        <n x="1337" s="1"/>
      </t>
    </mdx>
    <mdx n="33" f="v">
      <t c="4" si="9">
        <n x="855"/>
        <n x="0"/>
        <n x="7"/>
        <n x="1337" s="1"/>
      </t>
    </mdx>
    <mdx n="33" f="v">
      <t c="4">
        <n x="885"/>
        <n x="14"/>
        <n x="7"/>
        <n x="1337" s="1"/>
      </t>
    </mdx>
    <mdx n="33" f="v">
      <t c="4">
        <n x="916"/>
        <n x="11"/>
        <n x="32"/>
        <n x="1337" s="1"/>
      </t>
    </mdx>
    <mdx n="33" f="v">
      <t c="4">
        <n x="951"/>
        <n x="1"/>
        <n x="7"/>
        <n x="1337" s="1"/>
      </t>
    </mdx>
    <mdx n="33" f="v">
      <t c="4">
        <n x="1015"/>
        <n x="0"/>
        <n x="7"/>
        <n x="1337" s="1"/>
      </t>
    </mdx>
    <mdx n="33" f="v">
      <t c="4">
        <n x="1083"/>
        <n x="0"/>
        <n x="32"/>
        <n x="1337" s="1"/>
      </t>
    </mdx>
    <mdx n="33" f="v">
      <t c="4">
        <n x="1197"/>
        <n x="12"/>
        <n x="7"/>
        <n x="1337" s="1"/>
      </t>
    </mdx>
    <mdx n="33" f="v">
      <t c="4">
        <n x="1073"/>
        <n x="14"/>
        <n x="7"/>
        <n x="1337" s="1"/>
      </t>
    </mdx>
    <mdx n="33" f="v">
      <t c="4">
        <n x="435"/>
        <n x="14"/>
        <n x="7"/>
        <n x="1337" s="1"/>
      </t>
    </mdx>
    <mdx n="33" f="v">
      <t c="4">
        <n x="1330"/>
        <n x="11"/>
        <n x="7"/>
        <n x="1337" s="1"/>
      </t>
    </mdx>
    <mdx n="33" f="v">
      <t c="4">
        <n x="705"/>
        <n x="0"/>
        <n x="32"/>
        <n x="1337" s="1"/>
      </t>
    </mdx>
    <mdx n="33" f="v">
      <t c="3">
        <n x="928"/>
        <n x="1336"/>
        <n x="1337" s="1"/>
      </t>
    </mdx>
    <mdx n="33" f="v">
      <t c="4">
        <n x="1278"/>
        <n x="0"/>
        <n x="32"/>
        <n x="1337" s="1"/>
      </t>
    </mdx>
    <mdx n="33" f="v">
      <t c="4">
        <n x="1055"/>
        <n x="11"/>
        <n x="7"/>
        <n x="1337" s="1"/>
      </t>
    </mdx>
    <mdx n="33" f="v">
      <t c="4">
        <n x="328"/>
        <n x="11"/>
        <n x="7"/>
        <n x="1337" s="1"/>
      </t>
    </mdx>
    <mdx n="33" f="v">
      <t c="4">
        <n x="1056"/>
        <n x="1"/>
        <n x="7"/>
        <n x="1337" s="1"/>
      </t>
    </mdx>
    <mdx n="33" f="v">
      <t c="4">
        <n x="381"/>
        <n x="1"/>
        <n x="7"/>
        <n x="1337" s="1"/>
      </t>
    </mdx>
    <mdx n="33" f="v">
      <t c="4">
        <n x="1013"/>
        <n x="11"/>
        <n x="32"/>
        <n x="1337" s="1"/>
      </t>
    </mdx>
    <mdx n="33" f="v">
      <t c="4">
        <n x="341"/>
        <n x="11"/>
        <n x="32"/>
        <n x="1337" s="1"/>
      </t>
    </mdx>
    <mdx n="33" f="v">
      <t c="4">
        <n x="1256"/>
        <n x="12"/>
        <n x="32"/>
        <n x="1337" s="1"/>
      </t>
    </mdx>
    <mdx n="33" f="v">
      <t c="4">
        <n x="1012"/>
        <n x="12"/>
        <n x="32"/>
        <n x="1337" s="1"/>
      </t>
    </mdx>
    <mdx n="33" f="v">
      <t c="4">
        <n x="436"/>
        <n x="12"/>
        <n x="32"/>
        <n x="1337" s="1"/>
      </t>
    </mdx>
    <mdx n="33" f="v">
      <t c="4">
        <n x="177"/>
        <n x="12"/>
        <n x="32"/>
        <n x="1337" s="1"/>
      </t>
    </mdx>
    <mdx n="33" f="v">
      <t c="4" si="10">
        <n x="986"/>
        <n x="14"/>
        <n x="32"/>
        <n x="1337" s="1"/>
      </t>
    </mdx>
    <mdx n="33" f="v">
      <t c="4">
        <n x="866"/>
        <n x="0"/>
        <n x="32"/>
        <n x="1337" s="1"/>
      </t>
    </mdx>
    <mdx n="33" f="v">
      <t c="4" si="10">
        <n x="972"/>
        <n x="0"/>
        <n x="32"/>
        <n x="1337" s="1"/>
      </t>
    </mdx>
    <mdx n="33" f="v">
      <t c="4">
        <n x="1256"/>
        <n x="0"/>
        <n x="32"/>
        <n x="1337" s="1"/>
      </t>
    </mdx>
    <mdx n="33" f="v">
      <t c="4">
        <n x="143"/>
        <n x="14"/>
        <n x="7"/>
        <n x="1337" s="1"/>
      </t>
    </mdx>
    <mdx n="33" f="v">
      <t c="4">
        <n x="645"/>
        <n x="1"/>
        <n x="32"/>
        <n x="1337" s="1"/>
      </t>
    </mdx>
    <mdx n="33" f="v">
      <t c="4">
        <n x="771"/>
        <n x="12"/>
        <n x="7"/>
        <n x="1337" s="1"/>
      </t>
    </mdx>
    <mdx n="33" f="v">
      <t c="4">
        <n x="731"/>
        <n x="11"/>
        <n x="7"/>
        <n x="1337" s="1"/>
      </t>
    </mdx>
    <mdx n="33" f="v">
      <t c="3">
        <n x="831"/>
        <n x="1336"/>
        <n x="1337" s="1"/>
      </t>
    </mdx>
    <mdx n="33" f="v">
      <t c="4">
        <n x="860"/>
        <n x="1"/>
        <n x="7"/>
        <n x="1337" s="1"/>
      </t>
    </mdx>
    <mdx n="33" f="v">
      <t c="4">
        <n x="960"/>
        <n x="12"/>
        <n x="7"/>
        <n x="1337" s="1"/>
      </t>
    </mdx>
    <mdx n="33" f="v">
      <t c="4">
        <n x="1226"/>
        <n x="12"/>
        <n x="7"/>
        <n x="1337" s="1"/>
      </t>
    </mdx>
    <mdx n="33" f="v">
      <t c="4">
        <n x="235"/>
        <n x="12"/>
        <n x="7"/>
        <n x="1337" s="1"/>
      </t>
    </mdx>
    <mdx n="33" f="v">
      <t c="4">
        <n x="796"/>
        <n x="0"/>
        <n x="7"/>
        <n x="1337" s="1"/>
      </t>
    </mdx>
    <mdx n="33" f="v">
      <t c="4" si="10">
        <n x="858"/>
        <n x="14"/>
        <n x="32"/>
        <n x="1337" s="1"/>
      </t>
    </mdx>
    <mdx n="33" f="v">
      <t c="4">
        <n x="889"/>
        <n x="11"/>
        <n x="32"/>
        <n x="1337" s="1"/>
      </t>
    </mdx>
    <mdx n="33" f="v">
      <t c="4">
        <n x="916"/>
        <n x="0"/>
        <n x="32"/>
        <n x="1337" s="1"/>
      </t>
    </mdx>
    <mdx n="33" f="v">
      <t c="4" si="10">
        <n x="939"/>
        <n x="1"/>
        <n x="32"/>
        <n x="1337" s="1"/>
      </t>
    </mdx>
    <mdx n="33" f="v">
      <t c="4">
        <n x="979"/>
        <n x="1"/>
        <n x="32"/>
        <n x="1337" s="1"/>
      </t>
    </mdx>
    <mdx n="33" f="v">
      <t c="4" si="9">
        <n x="1030"/>
        <n x="0"/>
        <n x="7"/>
        <n x="1337" s="1"/>
      </t>
    </mdx>
    <mdx n="33" f="v">
      <t c="4">
        <n x="901"/>
        <n x="14"/>
        <n x="7"/>
        <n x="1337" s="1"/>
      </t>
    </mdx>
    <mdx n="33" f="v">
      <t c="4">
        <n x="1118"/>
        <n x="12"/>
        <n x="7"/>
        <n x="1337" s="1"/>
      </t>
    </mdx>
    <mdx n="33" f="v">
      <t c="4">
        <n x="973"/>
        <n x="11"/>
        <n x="7"/>
        <n x="1337" s="1"/>
      </t>
    </mdx>
    <mdx n="33" f="v">
      <t c="4">
        <n x="510"/>
        <n x="11"/>
        <n x="7"/>
        <n x="1337" s="1"/>
      </t>
    </mdx>
    <mdx n="33" f="v">
      <t c="4" si="10">
        <n x="502"/>
        <n x="11"/>
        <n x="32"/>
        <n x="1337" s="1"/>
      </t>
    </mdx>
    <mdx n="33" f="v">
      <t c="4">
        <n x="1076"/>
        <n x="12"/>
        <n x="32"/>
        <n x="1337" s="1"/>
      </t>
    </mdx>
    <mdx n="33" f="v">
      <t c="4">
        <n x="356"/>
        <n x="12"/>
        <n x="32"/>
        <n x="1337" s="1"/>
      </t>
    </mdx>
    <mdx n="33" f="v">
      <t c="4" si="10">
        <n x="1114"/>
        <n x="14"/>
        <n x="32"/>
        <n x="1337" s="1"/>
      </t>
    </mdx>
    <mdx n="33" f="v">
      <t c="4">
        <n x="839"/>
        <n x="0"/>
        <n x="7"/>
        <n x="1337" s="1"/>
      </t>
    </mdx>
    <mdx n="33" f="v">
      <t c="4">
        <n x="1023"/>
        <n x="12"/>
        <n x="7"/>
        <n x="1337" s="1"/>
      </t>
    </mdx>
    <mdx n="33" f="v">
      <t c="4">
        <n x="441"/>
        <n x="14"/>
        <n x="7"/>
        <n x="1337" s="1"/>
      </t>
    </mdx>
    <mdx n="33" f="v">
      <t c="4" si="10">
        <n x="471"/>
        <n x="14"/>
        <n x="32"/>
        <n x="1337" s="1"/>
      </t>
    </mdx>
    <mdx n="33" f="v">
      <t c="4">
        <n x="257"/>
        <n x="12"/>
        <n x="7"/>
        <n x="1337" s="1"/>
      </t>
    </mdx>
    <mdx n="33" f="v">
      <t c="4">
        <n x="782"/>
        <n x="11"/>
        <n x="32"/>
        <n x="1337" s="1"/>
      </t>
    </mdx>
    <mdx n="33" f="v">
      <t c="3">
        <n x="832"/>
        <n x="1336"/>
        <n x="1337" s="1"/>
      </t>
    </mdx>
    <mdx n="33" f="v">
      <t c="3">
        <n x="1011"/>
        <n x="1336"/>
        <n x="1337" s="1"/>
      </t>
    </mdx>
    <mdx n="33" f="v">
      <t c="4">
        <n x="523"/>
        <n x="14"/>
        <n x="7"/>
        <n x="1337" s="1"/>
      </t>
    </mdx>
    <mdx n="33" f="v">
      <t c="4" si="10">
        <n x="759"/>
        <n x="14"/>
        <n x="32"/>
        <n x="1337" s="1"/>
      </t>
    </mdx>
    <mdx n="33" f="v">
      <t c="3">
        <n x="866"/>
        <n x="1336"/>
        <n x="1337" s="1"/>
      </t>
    </mdx>
    <mdx n="33" f="v">
      <t c="4">
        <n x="904"/>
        <n x="0"/>
        <n x="7"/>
        <n x="1337" s="1"/>
      </t>
    </mdx>
    <mdx n="33" f="v">
      <t c="4">
        <n x="933"/>
        <n x="11"/>
        <n x="32"/>
        <n x="1337" s="1"/>
      </t>
    </mdx>
    <mdx n="33" f="v">
      <t c="3">
        <n x="992"/>
        <n x="1336"/>
        <n x="1337" s="1"/>
      </t>
    </mdx>
    <mdx n="33" f="v">
      <t c="3">
        <n x="1056"/>
        <n x="1336"/>
        <n x="1337" s="1"/>
      </t>
    </mdx>
    <mdx n="33" f="v">
      <t c="4">
        <n x="1107"/>
        <n x="1"/>
        <n x="32"/>
        <n x="1337" s="1"/>
      </t>
    </mdx>
    <mdx n="33" f="v">
      <t c="4" si="10">
        <n x="1211"/>
        <n x="0"/>
        <n x="32"/>
        <n x="1337" s="1"/>
      </t>
    </mdx>
    <mdx n="33" f="v">
      <t c="4">
        <n x="1324"/>
        <n x="14"/>
        <n x="7"/>
        <n x="1337" s="1"/>
      </t>
    </mdx>
    <mdx n="33" f="v">
      <t c="4">
        <n x="554"/>
        <n x="14"/>
        <n x="7"/>
        <n x="1337" s="1"/>
      </t>
    </mdx>
    <mdx n="33" f="v">
      <t c="4">
        <n x="550"/>
        <n x="12"/>
        <n x="7"/>
        <n x="1337" s="1"/>
      </t>
    </mdx>
    <mdx n="33" f="v">
      <t c="4">
        <n x="752"/>
        <n x="1"/>
        <n x="7"/>
        <n x="1337" s="1"/>
      </t>
    </mdx>
    <mdx n="33" f="v">
      <t c="4" si="10">
        <n x="837"/>
        <n x="1"/>
        <n x="32"/>
        <n x="1337" s="1"/>
      </t>
    </mdx>
    <mdx n="33" f="v">
      <t c="4" si="10">
        <n x="864"/>
        <n x="11"/>
        <n x="32"/>
        <n x="1337" s="1"/>
      </t>
    </mdx>
    <mdx n="33" f="v">
      <t c="4">
        <n x="887"/>
        <n x="12"/>
        <n x="32"/>
        <n x="1337" s="1"/>
      </t>
    </mdx>
    <mdx n="33" f="v">
      <t c="4" si="10">
        <n x="911"/>
        <n x="0"/>
        <n x="32"/>
        <n x="1337" s="1"/>
      </t>
    </mdx>
    <mdx n="33" f="v">
      <t c="4" si="10">
        <n x="934"/>
        <n x="1"/>
        <n x="32"/>
        <n x="1337" s="1"/>
      </t>
    </mdx>
    <mdx n="33" f="v">
      <t c="4" si="10">
        <n x="968"/>
        <n x="1"/>
        <n x="32"/>
        <n x="1337" s="1"/>
      </t>
    </mdx>
    <mdx n="33" f="v">
      <t c="4">
        <n x="1019"/>
        <n x="0"/>
        <n x="7"/>
        <n x="1337" s="1"/>
      </t>
    </mdx>
    <mdx n="33" f="v">
      <t c="4" si="10">
        <n x="1071"/>
        <n x="0"/>
        <n x="32"/>
        <n x="1337" s="1"/>
      </t>
    </mdx>
    <mdx n="33" f="v">
      <t c="4">
        <n x="1122"/>
        <n x="12"/>
        <n x="7"/>
        <n x="1337" s="1"/>
      </t>
    </mdx>
    <mdx n="33" f="v">
      <t c="4">
        <n x="1247"/>
        <n x="12"/>
        <n x="7"/>
        <n x="1337" s="1"/>
      </t>
    </mdx>
    <mdx n="33" f="v">
      <t c="4">
        <n x="1053"/>
        <n x="14"/>
        <n x="7"/>
        <n x="1337" s="1"/>
      </t>
    </mdx>
    <mdx n="33" f="v">
      <t c="4" si="9">
        <n x="481"/>
        <n x="14"/>
        <n x="7"/>
        <n x="1337" s="1"/>
      </t>
    </mdx>
    <mdx n="33" f="v">
      <t c="4">
        <n x="215"/>
        <n x="14"/>
        <n x="7"/>
        <n x="1337" s="1"/>
      </t>
    </mdx>
    <mdx n="33" f="v">
      <t c="4">
        <n x="1033"/>
        <n x="11"/>
        <n x="7"/>
        <n x="1337" s="1"/>
      </t>
    </mdx>
    <mdx n="33" f="v">
      <t c="4">
        <n x="734"/>
        <n x="12"/>
        <n x="7"/>
        <n x="1337" s="1"/>
      </t>
    </mdx>
    <mdx n="33" f="v">
      <t c="4">
        <n x="906"/>
        <n x="0"/>
        <n x="7"/>
        <n x="1337" s="1"/>
      </t>
    </mdx>
    <mdx n="33" f="v">
      <t c="4" si="9">
        <n x="1060"/>
        <n x="0"/>
        <n x="7"/>
        <n x="1337" s="1"/>
      </t>
    </mdx>
    <mdx n="33" f="v">
      <t c="4" si="9">
        <n x="532"/>
        <n x="14"/>
        <n x="7"/>
        <n x="1337" s="1"/>
      </t>
    </mdx>
    <mdx n="33" f="v">
      <t c="4">
        <n x="1028"/>
        <n x="11"/>
        <n x="7"/>
        <n x="1337" s="1"/>
      </t>
    </mdx>
    <mdx n="33" f="v">
      <t c="4">
        <n x="392"/>
        <n x="11"/>
        <n x="7"/>
        <n x="1337" s="1"/>
      </t>
    </mdx>
    <mdx n="33" f="v">
      <t c="4">
        <n x="140"/>
        <n x="11"/>
        <n x="7"/>
        <n x="1337" s="1"/>
      </t>
    </mdx>
    <mdx n="33" f="v">
      <t c="4">
        <n x="619"/>
        <n x="1"/>
        <n x="7"/>
        <n x="1337" s="1"/>
      </t>
    </mdx>
    <mdx n="33" f="v">
      <t c="4">
        <n x="361"/>
        <n x="1"/>
        <n x="7"/>
        <n x="1337" s="1"/>
      </t>
    </mdx>
    <mdx n="33" f="v">
      <t c="4" si="10">
        <n x="1073"/>
        <n x="11"/>
        <n x="32"/>
        <n x="1337" s="1"/>
      </t>
    </mdx>
    <mdx n="33" f="v">
      <t c="4" si="10">
        <n x="482"/>
        <n x="11"/>
        <n x="32"/>
        <n x="1337" s="1"/>
      </t>
    </mdx>
    <mdx n="33" f="v">
      <t c="4">
        <n x="178"/>
        <n x="11"/>
        <n x="32"/>
        <n x="1337" s="1"/>
      </t>
    </mdx>
    <mdx n="33" f="v">
      <t c="4" si="10">
        <n x="1140"/>
        <n x="12"/>
        <n x="32"/>
        <n x="1337" s="1"/>
      </t>
    </mdx>
    <mdx n="33" f="v">
      <t c="4" si="10">
        <n x="581"/>
        <n x="12"/>
        <n x="32"/>
        <n x="1337" s="1"/>
      </t>
    </mdx>
    <mdx n="33" f="v">
      <t c="4">
        <n x="304"/>
        <n x="12"/>
        <n x="32"/>
        <n x="1337" s="1"/>
      </t>
    </mdx>
    <mdx n="33" f="v">
      <t c="4" si="10">
        <n x="1335"/>
        <n x="14"/>
        <n x="32"/>
        <n x="1337" s="1"/>
      </t>
    </mdx>
    <mdx n="33" f="v">
      <t c="4">
        <n x="741"/>
        <n x="0"/>
        <n x="7"/>
        <n x="1337" s="1"/>
      </t>
    </mdx>
    <mdx n="33" f="v">
      <t c="3">
        <n x="908"/>
        <n x="1336"/>
        <n x="1337" s="1"/>
      </t>
    </mdx>
    <mdx n="33" f="v">
      <t c="4">
        <n x="1064"/>
        <n x="0"/>
        <n x="7"/>
        <n x="1337" s="1"/>
      </t>
    </mdx>
    <mdx n="33" f="v">
      <t c="4" si="9">
        <n x="512"/>
        <n x="14"/>
        <n x="7"/>
        <n x="1337" s="1"/>
      </t>
    </mdx>
    <mdx n="33" f="v">
      <t c="4">
        <n x="167"/>
        <n x="1"/>
        <n x="32"/>
        <n x="1337" s="1"/>
      </t>
    </mdx>
    <mdx n="33" f="v">
      <t c="4" si="10">
        <n x="830"/>
        <n x="1"/>
        <n x="32"/>
        <n x="1337" s="1"/>
      </t>
    </mdx>
    <mdx n="33" f="v">
      <t c="3">
        <n x="689"/>
        <n x="1336"/>
        <n x="1337" s="1"/>
      </t>
    </mdx>
    <mdx n="33" f="v">
      <t c="4">
        <n x="797"/>
        <n x="12"/>
        <n x="32"/>
        <n x="1337" s="1"/>
      </t>
    </mdx>
    <mdx n="33" f="v">
      <t c="4" si="10">
        <n x="796"/>
        <n x="0"/>
        <n x="32"/>
        <n x="1337" s="1"/>
      </t>
    </mdx>
    <mdx n="33" f="v">
      <t c="4">
        <n x="920"/>
        <n x="1"/>
        <n x="32"/>
        <n x="1337" s="1"/>
      </t>
    </mdx>
    <mdx n="33" f="v">
      <t c="3">
        <n x="1091"/>
        <n x="1336"/>
        <n x="1337" s="1"/>
      </t>
    </mdx>
    <mdx n="33" f="v">
      <t c="4">
        <n x="356"/>
        <n x="14"/>
        <n x="7"/>
        <n x="1337" s="1"/>
      </t>
    </mdx>
    <mdx n="33" f="v">
      <t c="4">
        <n x="746"/>
        <n x="11"/>
        <n x="32"/>
        <n x="1337" s="1"/>
      </t>
    </mdx>
    <mdx n="33" f="v">
      <t c="4">
        <n x="845"/>
        <n x="11"/>
        <n x="32"/>
        <n x="1337" s="1"/>
      </t>
    </mdx>
    <mdx n="33" f="v">
      <t c="3">
        <n x="878"/>
        <n x="1336"/>
        <n x="1337" s="1"/>
      </t>
    </mdx>
    <mdx n="33" f="v">
      <t c="4">
        <n x="907"/>
        <n x="1"/>
        <n x="7"/>
        <n x="1337" s="1"/>
      </t>
    </mdx>
    <mdx n="33" f="v">
      <t c="4">
        <n x="930"/>
        <n x="14"/>
        <n x="7"/>
        <n x="1337" s="1"/>
      </t>
    </mdx>
    <mdx n="33" f="v">
      <t c="4">
        <n x="961"/>
        <n x="12"/>
        <n x="7"/>
        <n x="1337" s="1"/>
      </t>
    </mdx>
    <mdx n="33" f="v">
      <t c="3">
        <n x="1012"/>
        <n x="1336"/>
        <n x="1337" s="1"/>
      </t>
    </mdx>
    <mdx n="33" f="v">
      <t c="4">
        <n x="1063"/>
        <n x="1"/>
        <n x="32"/>
        <n x="1337" s="1"/>
      </t>
    </mdx>
    <mdx n="33" f="v">
      <t c="4" si="9">
        <n x="1114"/>
        <n x="0"/>
        <n x="7"/>
        <n x="1337" s="1"/>
      </t>
    </mdx>
    <mdx n="33" f="v">
      <t c="4" si="10">
        <n x="1229"/>
        <n x="0"/>
        <n x="32"/>
        <n x="1337" s="1"/>
      </t>
    </mdx>
    <mdx n="33" f="v">
      <t c="4">
        <n x="1090"/>
        <n x="14"/>
        <n x="7"/>
        <n x="1337" s="1"/>
      </t>
    </mdx>
    <mdx n="33" f="v">
      <t c="4" si="9">
        <n x="518"/>
        <n x="14"/>
        <n x="7"/>
        <n x="1337" s="1"/>
      </t>
    </mdx>
    <mdx n="33" f="v">
      <t c="4">
        <n x="640"/>
        <n x="1"/>
        <n x="7"/>
        <n x="1337" s="1"/>
      </t>
    </mdx>
    <mdx n="33" f="v">
      <t c="4" si="10">
        <n x="765"/>
        <n x="12"/>
        <n x="32"/>
        <n x="1337" s="1"/>
      </t>
    </mdx>
    <mdx n="33" f="v">
      <t c="4">
        <n x="841"/>
        <n x="1"/>
        <n x="7"/>
        <n x="1337" s="1"/>
      </t>
    </mdx>
    <mdx n="33" f="v">
      <t c="4">
        <n x="867"/>
        <n x="12"/>
        <n x="32"/>
        <n x="1337" s="1"/>
      </t>
    </mdx>
    <mdx n="33" f="v">
      <t c="4" si="10">
        <n x="891"/>
        <n x="0"/>
        <n x="32"/>
        <n x="1337" s="1"/>
      </t>
    </mdx>
    <mdx n="33" f="v">
      <t c="4">
        <n x="914"/>
        <n x="1"/>
        <n x="32"/>
        <n x="1337" s="1"/>
      </t>
    </mdx>
    <mdx n="33" f="v">
      <t c="4" si="10">
        <n x="937"/>
        <n x="14"/>
        <n x="32"/>
        <n x="1337" s="1"/>
      </t>
    </mdx>
    <mdx n="33" f="v">
      <t c="4">
        <n x="975"/>
        <n x="0"/>
        <n x="7"/>
        <n x="1337" s="1"/>
      </t>
    </mdx>
    <mdx n="33" f="v">
      <t c="4">
        <n x="1027"/>
        <n x="0"/>
        <n x="32"/>
        <n x="1337" s="1"/>
      </t>
    </mdx>
    <mdx n="33" f="v">
      <t c="4">
        <n x="1078"/>
        <n x="12"/>
        <n x="7"/>
        <n x="1337" s="1"/>
      </t>
    </mdx>
    <mdx n="33" f="v">
      <t c="4">
        <n x="1137"/>
        <n x="12"/>
        <n x="7"/>
        <n x="1337" s="1"/>
      </t>
    </mdx>
    <mdx n="33" f="v">
      <t c="4">
        <n x="1265"/>
        <n x="12"/>
        <n x="7"/>
        <n x="1337" s="1"/>
      </t>
    </mdx>
    <mdx n="33" f="v">
      <t c="4">
        <n x="1017"/>
        <n x="14"/>
        <n x="7"/>
        <n x="1337" s="1"/>
      </t>
    </mdx>
    <mdx n="33" f="v">
      <t c="4">
        <n x="450"/>
        <n x="14"/>
        <n x="7"/>
        <n x="1337" s="1"/>
      </t>
    </mdx>
    <mdx n="33" f="v">
      <t c="4">
        <n x="179"/>
        <n x="14"/>
        <n x="7"/>
        <n x="1337" s="1"/>
      </t>
    </mdx>
    <mdx n="33" f="v">
      <t c="4">
        <n x="997"/>
        <n x="11"/>
        <n x="7"/>
        <n x="1337" s="1"/>
      </t>
    </mdx>
    <mdx n="33" f="v">
      <t c="4" si="10">
        <n x="792"/>
        <n x="12"/>
        <n x="32"/>
        <n x="1337" s="1"/>
      </t>
    </mdx>
    <mdx n="33" f="v">
      <t c="4">
        <n x="919"/>
        <n x="11"/>
        <n x="32"/>
        <n x="1337" s="1"/>
      </t>
    </mdx>
    <mdx n="33" f="v">
      <t c="4">
        <n x="1089"/>
        <n x="1"/>
        <n x="32"/>
        <n x="1337" s="1"/>
      </t>
    </mdx>
    <mdx n="33" f="v">
      <t c="4">
        <n x="365"/>
        <n x="14"/>
        <n x="7"/>
        <n x="1337" s="1"/>
      </t>
    </mdx>
    <mdx n="33" f="v">
      <t c="4">
        <n x="980"/>
        <n x="11"/>
        <n x="7"/>
        <n x="1337" s="1"/>
      </t>
    </mdx>
    <mdx n="33" f="v">
      <t c="4">
        <n x="352"/>
        <n x="11"/>
        <n x="7"/>
        <n x="1337" s="1"/>
      </t>
    </mdx>
    <mdx n="33" f="v">
      <t c="4">
        <n x="127"/>
        <n x="11"/>
        <n x="7"/>
        <n x="1337" s="1"/>
      </t>
    </mdx>
    <mdx n="33" f="v">
      <t c="4">
        <n x="583"/>
        <n x="1"/>
        <n x="7"/>
        <n x="1337" s="1"/>
      </t>
    </mdx>
    <mdx n="33" f="v">
      <t c="4">
        <n x="325"/>
        <n x="1"/>
        <n x="7"/>
        <n x="1337" s="1"/>
      </t>
    </mdx>
    <mdx n="33" f="v">
      <t c="4">
        <n x="1037"/>
        <n x="11"/>
        <n x="32"/>
        <n x="1337" s="1"/>
      </t>
    </mdx>
    <mdx n="33" f="v">
      <t c="4" si="10">
        <n x="446"/>
        <n x="11"/>
        <n x="32"/>
        <n x="1337" s="1"/>
      </t>
    </mdx>
    <mdx n="33" f="v">
      <t c="4">
        <n x="126"/>
        <n x="11"/>
        <n x="32"/>
        <n x="1337" s="1"/>
      </t>
    </mdx>
    <mdx n="33" f="v">
      <t c="4" si="10">
        <n x="1116"/>
        <n x="12"/>
        <n x="32"/>
        <n x="1337" s="1"/>
      </t>
    </mdx>
    <mdx n="33" f="v">
      <t c="4">
        <n x="545"/>
        <n x="12"/>
        <n x="32"/>
        <n x="1337" s="1"/>
      </t>
    </mdx>
    <mdx n="33" f="v">
      <t c="4">
        <n x="300"/>
        <n x="12"/>
        <n x="32"/>
        <n x="1337" s="1"/>
      </t>
    </mdx>
    <mdx n="33" f="v">
      <t c="4" si="10">
        <n x="1090"/>
        <n x="14"/>
        <n x="32"/>
        <n x="1337" s="1"/>
      </t>
    </mdx>
    <mdx n="33" f="v">
      <t c="4" si="10">
        <n x="800"/>
        <n x="0"/>
        <n x="32"/>
        <n x="1337" s="1"/>
      </t>
    </mdx>
    <mdx n="33" f="v">
      <t c="4">
        <n x="921"/>
        <n x="1"/>
        <n x="32"/>
        <n x="1337" s="1"/>
      </t>
    </mdx>
    <mdx n="33" f="v">
      <t c="4">
        <n x="1093"/>
        <n x="1"/>
        <n x="32"/>
        <n x="1337" s="1"/>
      </t>
    </mdx>
    <mdx n="33" f="v">
      <t c="4">
        <n x="345"/>
        <n x="14"/>
        <n x="7"/>
        <n x="1337" s="1"/>
      </t>
    </mdx>
    <mdx n="33" f="v">
      <t c="4">
        <n x="974"/>
        <n x="11"/>
        <n x="7"/>
        <n x="1337" s="1"/>
      </t>
    </mdx>
    <mdx n="33" f="v">
      <t c="4">
        <n x="347"/>
        <n x="11"/>
        <n x="7"/>
        <n x="1337" s="1"/>
      </t>
    </mdx>
    <mdx n="33" f="v">
      <t c="4">
        <n x="122"/>
        <n x="11"/>
        <n x="7"/>
        <n x="1337" s="1"/>
      </t>
    </mdx>
    <mdx n="33" f="v">
      <t c="4" si="9">
        <n x="578"/>
        <n x="1"/>
        <n x="7"/>
        <n x="1337" s="1"/>
      </t>
    </mdx>
    <mdx n="33" f="v">
      <t c="4">
        <n x="320"/>
        <n x="1"/>
        <n x="7"/>
        <n x="1337" s="1"/>
      </t>
    </mdx>
    <mdx n="33" f="v">
      <t c="4">
        <n x="1032"/>
        <n x="11"/>
        <n x="32"/>
        <n x="1337" s="1"/>
      </t>
    </mdx>
    <mdx n="33" f="v">
      <t c="4">
        <n x="441"/>
        <n x="11"/>
        <n x="32"/>
        <n x="1337" s="1"/>
      </t>
    </mdx>
    <mdx n="33" f="v">
      <t c="4">
        <n x="121"/>
        <n x="11"/>
        <n x="32"/>
        <n x="1337" s="1"/>
      </t>
    </mdx>
    <mdx n="33" f="v">
      <t c="4">
        <n x="660"/>
        <n x="1"/>
        <n x="7"/>
        <n x="1337" s="1"/>
      </t>
    </mdx>
    <mdx n="33" f="v">
      <t c="4">
        <n x="1069"/>
        <n x="0"/>
        <n x="32"/>
        <n x="1337" s="1"/>
      </t>
    </mdx>
    <mdx n="33" f="v">
      <t c="4">
        <n x="874"/>
        <n x="14"/>
        <n x="7"/>
        <n x="1337" s="1"/>
      </t>
    </mdx>
    <mdx n="33" f="v">
      <t c="4">
        <n x="1006"/>
        <n x="0"/>
        <n x="7"/>
        <n x="1337" s="1"/>
      </t>
    </mdx>
    <mdx n="33" f="v">
      <t c="4">
        <n x="1118"/>
        <n x="14"/>
        <n x="7"/>
        <n x="1337" s="1"/>
      </t>
    </mdx>
    <mdx n="33" f="v">
      <t c="4">
        <n x="838"/>
        <n x="1"/>
        <n x="32"/>
        <n x="1337" s="1"/>
      </t>
    </mdx>
    <mdx n="33" f="v">
      <t c="4">
        <n x="935"/>
        <n x="0"/>
        <n x="32"/>
        <n x="1337" s="1"/>
      </t>
    </mdx>
    <mdx n="33" f="v">
      <t c="4">
        <n x="1123"/>
        <n x="0"/>
        <n x="7"/>
        <n x="1337" s="1"/>
      </t>
    </mdx>
    <mdx n="33" f="v">
      <t c="4">
        <n x="207"/>
        <n x="14"/>
        <n x="7"/>
        <n x="1337" s="1"/>
      </t>
    </mdx>
    <mdx n="33" f="v">
      <t c="4">
        <n x="1067"/>
        <n x="12"/>
        <n x="7"/>
        <n x="1337" s="1"/>
      </t>
    </mdx>
    <mdx n="33" f="v">
      <t c="4">
        <n x="65"/>
        <n x="11"/>
        <n x="7"/>
        <n x="1337" s="1"/>
      </t>
    </mdx>
    <mdx n="33" f="v">
      <t c="4">
        <n x="474"/>
        <n x="11"/>
        <n x="32"/>
        <n x="1337" s="1"/>
      </t>
    </mdx>
    <mdx n="33" f="v">
      <t c="4">
        <n x="254"/>
        <n x="12"/>
        <n x="32"/>
        <n x="1337" s="1"/>
      </t>
    </mdx>
    <mdx n="33" f="v">
      <t c="4">
        <n x="1071"/>
        <n x="12"/>
        <n x="7"/>
        <n x="1337" s="1"/>
      </t>
    </mdx>
    <mdx n="33" f="v">
      <t c="4" si="9">
        <n x="578"/>
        <n x="11"/>
        <n x="7"/>
        <n x="1337" s="1"/>
      </t>
    </mdx>
    <mdx n="33" f="v">
      <t c="4">
        <n x="212"/>
        <n x="11"/>
        <n x="7"/>
        <n x="1337" s="1"/>
      </t>
    </mdx>
    <mdx n="33" f="v">
      <t c="4">
        <n x="602"/>
        <n x="1"/>
        <n x="7"/>
        <n x="1337" s="1"/>
      </t>
    </mdx>
    <mdx n="33" f="v">
      <t c="4">
        <n x="186"/>
        <n x="1"/>
        <n x="7"/>
        <n x="1337" s="1"/>
      </t>
    </mdx>
    <mdx n="33" f="v">
      <t c="4">
        <n x="549"/>
        <n x="11"/>
        <n x="32"/>
        <n x="1337" s="1"/>
      </t>
    </mdx>
    <mdx n="33" f="v">
      <t c="4">
        <n x="145"/>
        <n x="11"/>
        <n x="32"/>
        <n x="1337" s="1"/>
      </t>
    </mdx>
    <mdx n="33" f="v">
      <t c="4">
        <n x="1103"/>
        <n x="12"/>
        <n x="32"/>
        <n x="1337" s="1"/>
      </t>
    </mdx>
    <mdx n="33" f="v">
      <t c="4" si="10">
        <n x="532"/>
        <n x="12"/>
        <n x="32"/>
        <n x="1337" s="1"/>
      </t>
    </mdx>
    <mdx n="33" f="v">
      <t c="4">
        <n x="287"/>
        <n x="12"/>
        <n x="32"/>
        <n x="1337" s="1"/>
      </t>
    </mdx>
    <mdx n="33" f="v">
      <t c="4">
        <n x="829"/>
        <n x="11"/>
        <n x="7"/>
        <n x="1337" s="1"/>
      </t>
    </mdx>
    <mdx n="33" f="v">
      <t c="4">
        <n x="928"/>
        <n x="14"/>
        <n x="7"/>
        <n x="1337" s="1"/>
      </t>
    </mdx>
    <mdx n="33" f="v">
      <t c="3">
        <n x="1110"/>
        <n x="1336"/>
        <n x="1337" s="1"/>
      </t>
    </mdx>
    <mdx n="33" f="v">
      <t c="4">
        <n x="268"/>
        <n x="14"/>
        <n x="7"/>
        <n x="1337" s="1"/>
      </t>
    </mdx>
    <mdx n="33" f="v">
      <t c="4">
        <n x="429"/>
        <n x="11"/>
        <n x="7"/>
        <n x="1337" s="1"/>
      </t>
    </mdx>
    <mdx n="33" f="v">
      <t c="4">
        <n x="326"/>
        <n x="11"/>
        <n x="7"/>
        <n x="1337" s="1"/>
      </t>
    </mdx>
    <mdx n="33" f="v">
      <t c="4">
        <n x="51"/>
        <n x="11"/>
        <n x="7"/>
        <n x="1337" s="1"/>
      </t>
    </mdx>
    <mdx n="33" f="v">
      <t c="4">
        <n x="557"/>
        <n x="1"/>
        <n x="7"/>
        <n x="1337" s="1"/>
      </t>
    </mdx>
    <mdx n="33" f="v">
      <t c="4">
        <n x="300"/>
        <n x="1"/>
        <n x="7"/>
        <n x="1337" s="1"/>
      </t>
    </mdx>
    <mdx n="33" f="v">
      <t c="4">
        <n x="1011"/>
        <n x="11"/>
        <n x="32"/>
        <n x="1337" s="1"/>
      </t>
    </mdx>
    <mdx n="33" f="v">
      <t c="4">
        <n x="420"/>
        <n x="11"/>
        <n x="32"/>
        <n x="1337" s="1"/>
      </t>
    </mdx>
    <mdx n="33" f="v">
      <t c="4">
        <n x="100"/>
        <n x="11"/>
        <n x="32"/>
        <n x="1337" s="1"/>
      </t>
    </mdx>
    <mdx n="33" f="v">
      <t c="4" si="10">
        <n x="1090"/>
        <n x="12"/>
        <n x="32"/>
        <n x="1337" s="1"/>
      </t>
    </mdx>
    <mdx n="33" f="v">
      <t c="4" si="10">
        <n x="519"/>
        <n x="12"/>
        <n x="32"/>
        <n x="1337" s="1"/>
      </t>
    </mdx>
    <mdx n="33" f="v">
      <t c="4">
        <n x="252"/>
        <n x="12"/>
        <n x="32"/>
        <n x="1337" s="1"/>
      </t>
    </mdx>
    <mdx n="33" f="v">
      <t c="4" si="10">
        <n x="1064"/>
        <n x="14"/>
        <n x="32"/>
        <n x="1337" s="1"/>
      </t>
    </mdx>
    <mdx n="33" f="v">
      <t c="4" si="10">
        <n x="472"/>
        <n x="14"/>
        <n x="32"/>
        <n x="1337" s="1"/>
      </t>
    </mdx>
    <mdx n="33" f="v">
      <t c="4">
        <n x="151"/>
        <n x="14"/>
        <n x="32"/>
        <n x="1337" s="1"/>
      </t>
    </mdx>
    <mdx n="33" f="v">
      <t c="3">
        <n x="986"/>
        <n x="1336"/>
        <n x="1337" s="1"/>
      </t>
    </mdx>
    <mdx n="33" f="v">
      <t c="4">
        <n x="244"/>
        <n x="11"/>
        <n x="7"/>
        <n x="1337" s="1"/>
      </t>
    </mdx>
    <mdx n="33" f="v">
      <t c="4" si="10">
        <n x="575"/>
        <n x="11"/>
        <n x="32"/>
        <n x="1337" s="1"/>
      </t>
    </mdx>
    <mdx n="33" f="v">
      <t c="4" si="10">
        <n x="429"/>
        <n x="12"/>
        <n x="32"/>
        <n x="1337" s="1"/>
      </t>
    </mdx>
    <mdx n="33" f="v">
      <t c="4">
        <n x="530"/>
        <n x="14"/>
        <n x="32"/>
        <n x="1337" s="1"/>
      </t>
    </mdx>
    <mdx n="33" f="v">
      <t c="4">
        <n x="124"/>
        <n x="14"/>
        <n x="32"/>
        <n x="1337" s="1"/>
      </t>
    </mdx>
    <mdx n="33" f="v">
      <t c="3">
        <n x="149"/>
        <n x="1336"/>
        <n x="1337" s="1"/>
      </t>
    </mdx>
    <mdx n="33" f="v">
      <t c="4">
        <n x="1176"/>
        <n x="0"/>
        <n x="7"/>
        <n x="1337" s="1"/>
      </t>
    </mdx>
    <mdx n="33" f="v">
      <t c="4">
        <n x="48"/>
        <n x="0"/>
        <n x="7"/>
        <n x="1337" s="1"/>
      </t>
    </mdx>
    <mdx n="33" f="v">
      <t c="4" si="10">
        <n x="489"/>
        <n x="14"/>
        <n x="32"/>
        <n x="1337" s="1"/>
      </t>
    </mdx>
    <mdx n="33" f="v">
      <t c="4">
        <n x="1149"/>
        <n x="0"/>
        <n x="7"/>
        <n x="1337" s="1"/>
      </t>
    </mdx>
    <mdx n="33" f="v">
      <t c="4" si="10">
        <n x="1332"/>
        <n x="0"/>
        <n x="32"/>
        <n x="1337" s="1"/>
      </t>
    </mdx>
    <mdx n="33" f="v">
      <t c="4">
        <n x="1029"/>
        <n x="1"/>
        <n x="7"/>
        <n x="1337" s="1"/>
      </t>
    </mdx>
    <mdx n="33" f="v">
      <t c="4">
        <n x="298"/>
        <n x="11"/>
        <n x="32"/>
        <n x="1337" s="1"/>
      </t>
    </mdx>
    <mdx n="33" f="v">
      <t c="4">
        <n x="86"/>
        <n x="12"/>
        <n x="32"/>
        <n x="1337" s="1"/>
      </t>
    </mdx>
    <mdx n="33" f="v">
      <t c="4">
        <n x="437"/>
        <n x="14"/>
        <n x="32"/>
        <n x="1337" s="1"/>
      </t>
    </mdx>
    <mdx n="33" f="v">
      <t c="4">
        <n x="286"/>
        <n x="1"/>
        <n x="32"/>
        <n x="1337" s="1"/>
      </t>
    </mdx>
    <mdx n="33" f="v">
      <t c="3">
        <n x="65"/>
        <n x="1336"/>
        <n x="1337" s="1"/>
      </t>
    </mdx>
    <mdx n="33" f="v">
      <t c="4">
        <n x="943"/>
        <n x="0"/>
        <n x="7"/>
        <n x="1337" s="1"/>
      </t>
    </mdx>
    <mdx n="33" f="v">
      <t c="4" si="10">
        <n x="1157"/>
        <n x="12"/>
        <n x="32"/>
        <n x="1337" s="1"/>
      </t>
    </mdx>
    <mdx n="33" f="v">
      <t c="4">
        <n x="60"/>
        <n x="1"/>
        <n x="32"/>
        <n x="1337" s="1"/>
      </t>
    </mdx>
    <mdx n="33" f="v">
      <t c="4">
        <n x="881"/>
        <n x="1"/>
        <n x="32"/>
        <n x="1337" s="1"/>
      </t>
    </mdx>
    <mdx n="33" f="v">
      <t c="4" si="9">
        <n x="479"/>
        <n x="11"/>
        <n x="7"/>
        <n x="1337" s="1"/>
      </t>
    </mdx>
    <mdx n="33" f="v">
      <t c="4">
        <n x="691"/>
        <n x="1"/>
        <n x="7"/>
        <n x="1337" s="1"/>
      </t>
    </mdx>
    <mdx n="33" f="v">
      <t c="4">
        <n x="1094"/>
        <n x="1"/>
        <n x="32"/>
        <n x="1337" s="1"/>
      </t>
    </mdx>
    <mdx n="33" f="v">
      <t c="4">
        <n x="878"/>
        <n x="14"/>
        <n x="7"/>
        <n x="1337" s="1"/>
      </t>
    </mdx>
    <mdx n="33" f="v">
      <t c="4">
        <n x="1013"/>
        <n x="12"/>
        <n x="7"/>
        <n x="1337" s="1"/>
      </t>
    </mdx>
    <mdx n="33" f="v">
      <t c="4">
        <n x="1086"/>
        <n x="14"/>
        <n x="7"/>
        <n x="1337" s="1"/>
      </t>
    </mdx>
    <mdx n="33" f="v">
      <t c="3">
        <n x="842"/>
        <n x="1336"/>
        <n x="1337" s="1"/>
      </t>
    </mdx>
    <mdx n="33" f="v">
      <t c="4">
        <n x="937"/>
        <n x="14"/>
        <n x="7"/>
        <n x="1337" s="1"/>
      </t>
    </mdx>
    <mdx n="33" f="v">
      <t c="4">
        <n x="1139"/>
        <n x="12"/>
        <n x="7"/>
        <n x="1337" s="1"/>
      </t>
    </mdx>
    <mdx n="33" f="v">
      <t c="4">
        <n x="175"/>
        <n x="14"/>
        <n x="7"/>
        <n x="1337" s="1"/>
      </t>
    </mdx>
    <mdx n="33" f="v">
      <t c="4">
        <n x="1092"/>
        <n x="0"/>
        <n x="7"/>
        <n x="1337" s="1"/>
      </t>
    </mdx>
    <mdx n="33" f="v">
      <t c="4">
        <n x="123"/>
        <n x="11"/>
        <n x="7"/>
        <n x="1337" s="1"/>
      </t>
    </mdx>
    <mdx n="33" f="v">
      <t c="4">
        <n x="442"/>
        <n x="11"/>
        <n x="32"/>
        <n x="1337" s="1"/>
      </t>
    </mdx>
    <mdx n="33" f="v">
      <t c="4">
        <n x="296"/>
        <n x="12"/>
        <n x="32"/>
        <n x="1337" s="1"/>
      </t>
    </mdx>
    <mdx n="33" f="v">
      <t c="4">
        <n x="1096"/>
        <n x="0"/>
        <n x="7"/>
        <n x="1337" s="1"/>
      </t>
    </mdx>
    <mdx n="33" f="v">
      <t c="4">
        <n x="562"/>
        <n x="11"/>
        <n x="7"/>
        <n x="1337" s="1"/>
      </t>
    </mdx>
    <mdx n="33" f="v">
      <t c="4">
        <n x="204"/>
        <n x="11"/>
        <n x="7"/>
        <n x="1337" s="1"/>
      </t>
    </mdx>
    <mdx n="33" f="v">
      <t c="4" si="9">
        <n x="590"/>
        <n x="1"/>
        <n x="7"/>
        <n x="1337" s="1"/>
      </t>
    </mdx>
    <mdx n="33" f="v">
      <t c="4">
        <n x="203"/>
        <n x="1"/>
        <n x="7"/>
        <n x="1337" s="1"/>
      </t>
    </mdx>
    <mdx n="33" f="v">
      <t c="6" si="10">
        <n x="15"/>
        <n x="1337" s="1"/>
        <n x="38"/>
        <n x="32"/>
        <n x="19"/>
        <n x="2"/>
      </t>
    </mdx>
    <mdx n="33" f="v">
      <t c="4" si="10">
        <n x="764"/>
        <n x="0"/>
        <n x="32"/>
        <n x="1337" s="1"/>
      </t>
    </mdx>
    <mdx n="33" f="v">
      <t c="4">
        <n x="837"/>
        <n x="12"/>
        <n x="32"/>
        <n x="1337" s="1"/>
      </t>
    </mdx>
    <mdx n="33" f="v">
      <t c="3">
        <n x="696"/>
        <n x="1336"/>
        <n x="1337" s="1"/>
      </t>
    </mdx>
    <mdx n="33" f="v">
      <t c="4">
        <n x="873"/>
        <n x="0"/>
        <n x="7"/>
        <n x="1337" s="1"/>
      </t>
    </mdx>
    <mdx n="33" f="v">
      <t c="4" si="10">
        <n x="896"/>
        <n x="0"/>
        <n x="32"/>
        <n x="1337" s="1"/>
      </t>
    </mdx>
    <mdx n="33" f="v">
      <t c="4">
        <n x="1074"/>
        <n x="0"/>
        <n x="7"/>
        <n x="1337" s="1"/>
      </t>
    </mdx>
    <mdx n="33" f="v">
      <t c="4" si="10">
        <n x="907"/>
        <n x="12"/>
        <n x="32"/>
        <n x="1337" s="1"/>
      </t>
    </mdx>
    <mdx n="33" f="v">
      <t c="4">
        <n x="1141"/>
        <n x="12"/>
        <n x="7"/>
        <n x="1337" s="1"/>
      </t>
    </mdx>
    <mdx n="33" f="v">
      <t c="4">
        <n x="593"/>
        <n x="11"/>
        <n x="7"/>
        <n x="1337" s="1"/>
      </t>
    </mdx>
    <mdx n="33" f="v">
      <t c="4">
        <n x="451"/>
        <n x="11"/>
        <n x="7"/>
        <n x="1337" s="1"/>
      </t>
    </mdx>
    <mdx n="33" f="v">
      <t c="4">
        <n x="438"/>
        <n x="11"/>
        <n x="32"/>
        <n x="1337" s="1"/>
      </t>
    </mdx>
    <mdx n="33" f="v">
      <t c="4">
        <n x="260"/>
        <n x="12"/>
        <n x="32"/>
        <n x="1337" s="1"/>
      </t>
    </mdx>
    <mdx n="33" f="v">
      <t c="4">
        <n x="1112"/>
        <n x="0"/>
        <n x="7"/>
        <n x="1337" s="1"/>
      </t>
    </mdx>
    <mdx n="33" f="v">
      <t c="4" si="9">
        <n x="696"/>
        <n x="14"/>
        <n x="7"/>
        <n x="1337" s="1"/>
      </t>
    </mdx>
    <mdx n="33" f="v">
      <t c="4">
        <n x="1101"/>
        <n x="0"/>
        <n x="32"/>
        <n x="1337" s="1"/>
      </t>
    </mdx>
    <mdx n="33" f="v">
      <t c="4">
        <n x="879"/>
        <n x="1"/>
        <n x="7"/>
        <n x="1337" s="1"/>
      </t>
    </mdx>
    <mdx n="33" f="v">
      <t c="4">
        <n x="1014"/>
        <n x="0"/>
        <n x="7"/>
        <n x="1337" s="1"/>
      </t>
    </mdx>
    <mdx n="33" f="v">
      <t c="4">
        <n x="1078"/>
        <n x="14"/>
        <n x="7"/>
        <n x="1337" s="1"/>
      </t>
    </mdx>
    <mdx n="33" f="v">
      <t c="4">
        <n x="843"/>
        <n x="12"/>
        <n x="7"/>
        <n x="1337" s="1"/>
      </t>
    </mdx>
    <mdx n="33" f="v">
      <t c="4">
        <n x="938"/>
        <n x="1"/>
        <n x="7"/>
        <n x="1337" s="1"/>
      </t>
    </mdx>
    <mdx n="33" f="v">
      <t c="4">
        <n x="1143"/>
        <n x="12"/>
        <n x="7"/>
        <n x="1337" s="1"/>
      </t>
    </mdx>
    <mdx n="33" f="v">
      <t c="4">
        <n x="167"/>
        <n x="14"/>
        <n x="7"/>
        <n x="1337" s="1"/>
      </t>
    </mdx>
    <mdx n="33" f="v">
      <t c="4">
        <n x="1099"/>
        <n x="12"/>
        <n x="7"/>
        <n x="1337" s="1"/>
      </t>
    </mdx>
    <mdx n="33" f="v">
      <t c="4">
        <n x="115"/>
        <n x="11"/>
        <n x="7"/>
        <n x="1337" s="1"/>
      </t>
    </mdx>
    <mdx n="33" f="v">
      <t c="4">
        <n x="434"/>
        <n x="11"/>
        <n x="32"/>
        <n x="1337" s="1"/>
      </t>
    </mdx>
    <mdx n="33" f="v">
      <t c="4">
        <n x="288"/>
        <n x="12"/>
        <n x="32"/>
        <n x="1337" s="1"/>
      </t>
    </mdx>
    <mdx n="33" f="v">
      <t c="4">
        <n x="1103"/>
        <n x="12"/>
        <n x="7"/>
        <n x="1337" s="1"/>
      </t>
    </mdx>
    <mdx n="33" f="v">
      <t c="4">
        <n x="714"/>
        <n x="0"/>
        <n x="7"/>
        <n x="1337" s="1"/>
      </t>
    </mdx>
    <mdx n="33" f="v">
      <t c="4">
        <n x="1138"/>
        <n x="12"/>
        <n x="7"/>
        <n x="1337" s="1"/>
      </t>
    </mdx>
    <mdx n="33" f="v">
      <t c="4" si="10">
        <n x="884"/>
        <n x="0"/>
        <n x="32"/>
        <n x="1337" s="1"/>
      </t>
    </mdx>
    <mdx n="33" f="v">
      <t c="4">
        <n x="1022"/>
        <n x="0"/>
        <n x="32"/>
        <n x="1337" s="1"/>
      </t>
    </mdx>
    <mdx n="33" f="v">
      <t c="4" si="9">
        <n x="1042"/>
        <n x="14"/>
        <n x="7"/>
        <n x="1337" s="1"/>
      </t>
    </mdx>
    <mdx n="33" f="v">
      <t c="4" si="10">
        <n x="847"/>
        <n x="11"/>
        <n x="32"/>
        <n x="1337" s="1"/>
      </t>
    </mdx>
    <mdx n="33" f="v">
      <t c="4">
        <n x="942"/>
        <n x="1"/>
        <n x="7"/>
        <n x="1337" s="1"/>
      </t>
    </mdx>
    <mdx n="33" f="v">
      <t c="4">
        <n x="1161"/>
        <n x="12"/>
        <n x="7"/>
        <n x="1337" s="1"/>
      </t>
    </mdx>
    <mdx n="33" f="v">
      <t c="4">
        <n x="103"/>
        <n x="14"/>
        <n x="7"/>
        <n x="1337" s="1"/>
      </t>
    </mdx>
    <mdx n="33" f="v">
      <t c="4" si="10">
        <n x="1134"/>
        <n x="0"/>
        <n x="32"/>
        <n x="1337" s="1"/>
      </t>
    </mdx>
    <mdx n="33" f="v">
      <t c="4">
        <n x="1335"/>
        <n x="1"/>
        <n x="7"/>
        <n x="1337" s="1"/>
      </t>
    </mdx>
    <mdx n="33" f="v">
      <t c="4">
        <n x="398"/>
        <n x="11"/>
        <n x="32"/>
        <n x="1337" s="1"/>
      </t>
    </mdx>
    <mdx n="33" f="v">
      <t c="4">
        <n x="225"/>
        <n x="12"/>
        <n x="32"/>
        <n x="1337" s="1"/>
      </t>
    </mdx>
    <mdx n="33" f="v">
      <t c="4" si="10">
        <n x="1144"/>
        <n x="0"/>
        <n x="32"/>
        <n x="1337" s="1"/>
      </t>
    </mdx>
    <mdx n="33" f="v">
      <t c="4">
        <n x="1328"/>
        <n x="1"/>
        <n x="7"/>
        <n x="1337" s="1"/>
      </t>
    </mdx>
    <mdx n="33" f="v">
      <t c="4">
        <n x="393"/>
        <n x="11"/>
        <n x="32"/>
        <n x="1337" s="1"/>
      </t>
    </mdx>
    <mdx n="33" f="v">
      <t c="3">
        <n x="898"/>
        <n x="1336"/>
        <n x="1337" s="1"/>
      </t>
    </mdx>
    <mdx n="33" f="v">
      <t c="3">
        <n x="957"/>
        <n x="1336"/>
        <n x="1337" s="1"/>
      </t>
    </mdx>
    <mdx n="33" f="v">
      <t c="4">
        <n x="1012"/>
        <n x="1"/>
        <n x="7"/>
        <n x="1337" s="1"/>
      </t>
    </mdx>
    <mdx n="33" f="v">
      <t c="4">
        <n x="501"/>
        <n x="11"/>
        <n x="7"/>
        <n x="1337" s="1"/>
      </t>
    </mdx>
    <mdx n="33" f="v">
      <t c="4" si="10">
        <n x="485"/>
        <n x="11"/>
        <n x="32"/>
        <n x="1337" s="1"/>
      </t>
    </mdx>
    <mdx n="33" f="v">
      <t c="4">
        <n x="148"/>
        <n x="12"/>
        <n x="32"/>
        <n x="1337" s="1"/>
      </t>
    </mdx>
    <mdx n="33" f="v">
      <t c="4">
        <n x="216"/>
        <n x="14"/>
        <n x="7"/>
        <n x="1337" s="1"/>
      </t>
    </mdx>
    <mdx n="33" f="v">
      <t c="4">
        <n x="509"/>
        <n x="1"/>
        <n x="7"/>
        <n x="1337" s="1"/>
      </t>
    </mdx>
    <mdx n="33" f="v">
      <t c="4">
        <n x="436"/>
        <n x="11"/>
        <n x="32"/>
        <n x="1337" s="1"/>
      </t>
    </mdx>
    <mdx n="33" f="v">
      <t c="4">
        <n x="1254"/>
        <n x="12"/>
        <n x="32"/>
        <n x="1337" s="1"/>
      </t>
    </mdx>
    <mdx n="33" f="v">
      <t c="4">
        <n x="615"/>
        <n x="12"/>
        <n x="32"/>
        <n x="1337" s="1"/>
      </t>
    </mdx>
    <mdx n="33" f="v">
      <t c="4">
        <n x="290"/>
        <n x="12"/>
        <n x="32"/>
        <n x="1337" s="1"/>
      </t>
    </mdx>
    <mdx n="33" f="v">
      <t c="4" si="10">
        <n x="984"/>
        <n x="14"/>
        <n x="32"/>
        <n x="1337" s="1"/>
      </t>
    </mdx>
    <mdx n="33" f="v">
      <t c="4">
        <n x="310"/>
        <n x="14"/>
        <n x="32"/>
        <n x="1337" s="1"/>
      </t>
    </mdx>
    <mdx n="33" f="v">
      <t c="4">
        <n x="943"/>
        <n x="12"/>
        <n x="7"/>
        <n x="1337" s="1"/>
      </t>
    </mdx>
    <mdx n="33" f="v">
      <t c="4">
        <n x="985"/>
        <n x="1"/>
        <n x="7"/>
        <n x="1337" s="1"/>
      </t>
    </mdx>
    <mdx n="33" f="v">
      <t c="4">
        <n x="1117"/>
        <n x="12"/>
        <n x="32"/>
        <n x="1337" s="1"/>
      </t>
    </mdx>
    <mdx n="33" f="v">
      <t c="4">
        <n x="551"/>
        <n x="14"/>
        <n x="32"/>
        <n x="1337" s="1"/>
      </t>
    </mdx>
    <mdx n="33" f="v">
      <t c="4">
        <n x="90"/>
        <n x="1"/>
        <n x="32"/>
        <n x="1337" s="1"/>
      </t>
    </mdx>
    <mdx n="33" f="v">
      <t c="4">
        <n x="1272"/>
        <n x="0"/>
        <n x="7"/>
        <n x="1337" s="1"/>
      </t>
    </mdx>
    <mdx n="33" f="v">
      <t c="4">
        <n x="63"/>
        <n x="0"/>
        <n x="7"/>
        <n x="1337" s="1"/>
      </t>
    </mdx>
    <mdx n="33" f="v">
      <t c="4" si="10">
        <n x="109"/>
        <n x="14"/>
        <n x="32"/>
        <n x="1337" s="1"/>
      </t>
    </mdx>
    <mdx n="33" f="v">
      <t c="4">
        <n x="926"/>
        <n x="0"/>
        <n x="7"/>
        <n x="1337" s="1"/>
      </t>
    </mdx>
    <mdx n="33" f="v">
      <t c="4">
        <n x="1093"/>
        <n x="1"/>
        <n x="7"/>
        <n x="1337" s="1"/>
      </t>
    </mdx>
    <mdx n="33" f="v">
      <t c="4">
        <n x="1149"/>
        <n x="12"/>
        <n x="32"/>
        <n x="1337" s="1"/>
      </t>
    </mdx>
    <mdx n="33" f="v">
      <t c="4" si="10">
        <n x="566"/>
        <n x="14"/>
        <n x="32"/>
        <n x="1337" s="1"/>
      </t>
    </mdx>
    <mdx n="33" f="v">
      <t c="4" si="10">
        <n x="781"/>
        <n x="1"/>
        <n x="32"/>
        <n x="1337" s="1"/>
      </t>
    </mdx>
    <mdx n="33" f="v">
      <t c="4">
        <n x="1283"/>
        <n x="0"/>
        <n x="7"/>
        <n x="1337" s="1"/>
      </t>
    </mdx>
    <mdx n="33" f="v">
      <t c="4" si="9">
        <n x="508"/>
        <n x="1"/>
        <n x="7"/>
        <n x="1337" s="1"/>
      </t>
    </mdx>
    <mdx n="33" f="v">
      <t c="4">
        <n x="120"/>
        <n x="1"/>
        <n x="32"/>
        <n x="1337" s="1"/>
      </t>
    </mdx>
    <mdx n="33" f="v">
      <t c="4">
        <n x="1056"/>
        <n x="0"/>
        <n x="7"/>
        <n x="1337" s="1"/>
      </t>
    </mdx>
    <mdx n="33" f="v">
      <t c="4">
        <n x="277"/>
        <n x="12"/>
        <n x="7"/>
        <n x="1337" s="1"/>
      </t>
    </mdx>
    <mdx n="33" f="v">
      <t c="3">
        <n x="1043"/>
        <n x="1336"/>
        <n x="1337" s="1"/>
      </t>
    </mdx>
    <mdx n="33" f="v">
      <t c="4">
        <n x="913"/>
        <n x="11"/>
        <n x="7"/>
        <n x="1337" s="1"/>
      </t>
    </mdx>
    <mdx n="33" f="v">
      <t c="4">
        <n x="1167"/>
        <n x="0"/>
        <n x="32"/>
        <n x="1337" s="1"/>
      </t>
    </mdx>
    <mdx n="33" f="v">
      <t c="4">
        <n x="834"/>
        <n x="0"/>
        <n x="7"/>
        <n x="1337" s="1"/>
      </t>
    </mdx>
    <mdx n="33" f="v">
      <t c="3">
        <n x="989"/>
        <n x="1336"/>
        <n x="1337" s="1"/>
      </t>
    </mdx>
    <mdx n="33" f="v">
      <t c="4" si="9">
        <n x="569"/>
        <n x="14"/>
        <n x="7"/>
        <n x="1337" s="1"/>
      </t>
    </mdx>
    <mdx n="33" f="v">
      <t c="4">
        <n x="1041"/>
        <n x="1"/>
        <n x="32"/>
        <n x="1337" s="1"/>
      </t>
    </mdx>
    <mdx n="33" f="v">
      <t c="4">
        <n x="515"/>
        <n x="1"/>
        <n x="7"/>
        <n x="1337" s="1"/>
      </t>
    </mdx>
    <mdx n="33" f="v">
      <t c="4">
        <n x="984"/>
        <n x="12"/>
        <n x="32"/>
        <n x="1337" s="1"/>
      </t>
    </mdx>
    <mdx n="33" f="v">
      <t c="4" si="10">
        <n x="1045"/>
        <n x="1"/>
        <n x="32"/>
        <n x="1337" s="1"/>
      </t>
    </mdx>
    <mdx n="33" f="v">
      <t c="4">
        <n x="447"/>
        <n x="11"/>
        <n x="7"/>
        <n x="1337" s="1"/>
      </t>
    </mdx>
    <mdx n="33" f="v">
      <t c="4">
        <n x="1055"/>
        <n x="1"/>
        <n x="7"/>
        <n x="1337" s="1"/>
      </t>
    </mdx>
    <mdx n="33" f="v">
      <t c="4">
        <n x="169"/>
        <n x="1"/>
        <n x="7"/>
        <n x="1337" s="1"/>
      </t>
    </mdx>
    <mdx n="33" f="v">
      <t c="4" si="10">
        <n x="477"/>
        <n x="11"/>
        <n x="32"/>
        <n x="1337" s="1"/>
      </t>
    </mdx>
    <mdx n="33" f="v">
      <t c="4" si="10">
        <n x="1303"/>
        <n x="12"/>
        <n x="32"/>
        <n x="1337" s="1"/>
      </t>
    </mdx>
    <mdx n="33" f="v">
      <t c="4">
        <n x="1047"/>
        <n x="12"/>
        <n x="32"/>
        <n x="1337" s="1"/>
      </t>
    </mdx>
    <mdx n="33" f="v">
      <t c="4">
        <n x="476"/>
        <n x="12"/>
        <n x="32"/>
        <n x="1337" s="1"/>
      </t>
    </mdx>
    <mdx n="33" f="v">
      <t c="4">
        <n x="212"/>
        <n x="12"/>
        <n x="32"/>
        <n x="1337" s="1"/>
      </t>
    </mdx>
    <mdx n="33" f="v">
      <t c="3">
        <n x="856"/>
        <n x="1336"/>
        <n x="1337" s="1"/>
      </t>
    </mdx>
    <mdx n="33" f="v">
      <t c="4" si="10">
        <n x="952"/>
        <n x="12"/>
        <n x="32"/>
        <n x="1337" s="1"/>
      </t>
    </mdx>
    <mdx n="33" f="v">
      <t c="4">
        <n x="1202"/>
        <n x="0"/>
        <n x="32"/>
        <n x="1337" s="1"/>
      </t>
    </mdx>
    <mdx n="33" f="v">
      <t c="4">
        <n x="200"/>
        <n x="14"/>
        <n x="7"/>
        <n x="1337" s="1"/>
      </t>
    </mdx>
    <mdx n="33" f="v">
      <t c="4">
        <n x="555"/>
        <n x="11"/>
        <n x="7"/>
        <n x="1337" s="1"/>
      </t>
    </mdx>
    <mdx n="33" f="v">
      <t c="4">
        <n x="301"/>
        <n x="11"/>
        <n x="7"/>
        <n x="1337" s="1"/>
      </t>
    </mdx>
    <mdx n="33" f="v">
      <t c="4">
        <n x="1094"/>
        <n x="1"/>
        <n x="7"/>
        <n x="1337" s="1"/>
      </t>
    </mdx>
    <mdx n="33" f="v">
      <t c="4" si="9">
        <n x="501"/>
        <n x="1"/>
        <n x="7"/>
        <n x="1337" s="1"/>
      </t>
    </mdx>
    <mdx n="33" f="v">
      <t c="4">
        <n x="183"/>
        <n x="1"/>
        <n x="7"/>
        <n x="1337" s="1"/>
      </t>
    </mdx>
    <mdx n="33" f="v">
      <t c="4">
        <n x="955"/>
        <n x="11"/>
        <n x="32"/>
        <n x="1337" s="1"/>
      </t>
    </mdx>
    <mdx n="33" f="v">
      <t c="4">
        <n x="363"/>
        <n x="11"/>
        <n x="32"/>
        <n x="1337" s="1"/>
      </t>
    </mdx>
    <mdx n="33" f="v">
      <t c="4">
        <n x="1278"/>
        <n x="12"/>
        <n x="32"/>
        <n x="1337" s="1"/>
      </t>
    </mdx>
    <mdx n="33" f="v">
      <t c="4" si="10">
        <n x="1034"/>
        <n x="12"/>
        <n x="32"/>
        <n x="1337" s="1"/>
      </t>
    </mdx>
    <mdx n="33" f="v">
      <t c="4" si="10">
        <n x="439"/>
        <n x="12"/>
        <n x="32"/>
        <n x="1337" s="1"/>
      </t>
    </mdx>
    <mdx n="33" f="v">
      <t c="4">
        <n x="199"/>
        <n x="12"/>
        <n x="32"/>
        <n x="1337" s="1"/>
      </t>
    </mdx>
    <mdx n="33" f="v">
      <t c="4" si="10">
        <n x="1008"/>
        <n x="14"/>
        <n x="32"/>
        <n x="1337" s="1"/>
      </t>
    </mdx>
    <mdx n="33" f="v">
      <t c="4" si="10">
        <n x="415"/>
        <n x="14"/>
        <n x="32"/>
        <n x="1337" s="1"/>
      </t>
    </mdx>
    <mdx n="33" f="v">
      <t c="4">
        <n x="95"/>
        <n x="14"/>
        <n x="32"/>
        <n x="1337" s="1"/>
      </t>
    </mdx>
    <mdx n="33" f="v">
      <t c="4" si="10">
        <n x="1228"/>
        <n x="0"/>
        <n x="32"/>
        <n x="1337" s="1"/>
      </t>
    </mdx>
    <mdx n="33" f="v">
      <t c="4">
        <n x="1081"/>
        <n x="1"/>
        <n x="7"/>
        <n x="1337" s="1"/>
      </t>
    </mdx>
    <mdx n="33" f="v">
      <t c="4">
        <n x="350"/>
        <n x="11"/>
        <n x="32"/>
        <n x="1337" s="1"/>
      </t>
    </mdx>
    <mdx n="33" f="v">
      <t c="4">
        <n x="186"/>
        <n x="12"/>
        <n x="32"/>
        <n x="1337" s="1"/>
      </t>
    </mdx>
    <mdx n="33" f="v">
      <t c="4">
        <n x="454"/>
        <n x="14"/>
        <n x="32"/>
        <n x="1337" s="1"/>
      </t>
    </mdx>
    <mdx n="33" f="v">
      <t c="4">
        <n x="303"/>
        <n x="1"/>
        <n x="32"/>
        <n x="1337" s="1"/>
      </t>
    </mdx>
    <mdx n="33" f="v">
      <t c="3">
        <n x="90"/>
        <n x="1336"/>
        <n x="1337" s="1"/>
      </t>
    </mdx>
    <mdx n="33" f="v">
      <t c="4">
        <n x="948"/>
        <n x="0"/>
        <n x="7"/>
        <n x="1337" s="1"/>
      </t>
    </mdx>
    <mdx n="33" f="v">
      <t c="4" si="10">
        <n x="1074"/>
        <n x="11"/>
        <n x="32"/>
        <n x="1337" s="1"/>
      </t>
    </mdx>
    <mdx n="33" f="v">
      <t c="4">
        <n x="174"/>
        <n x="14"/>
        <n x="32"/>
        <n x="1337" s="1"/>
      </t>
    </mdx>
    <mdx n="33" f="v">
      <t c="4">
        <n x="75"/>
        <n x="0"/>
        <n x="7"/>
        <n x="1337" s="1"/>
      </t>
    </mdx>
    <mdx n="33" f="v">
      <t c="4">
        <n x="109"/>
        <n x="14"/>
        <n x="7"/>
        <n x="1337" s="1"/>
      </t>
    </mdx>
    <mdx n="33" f="v">
      <t c="4">
        <n x="467"/>
        <n x="1"/>
        <n x="7"/>
        <n x="1337" s="1"/>
      </t>
    </mdx>
    <mdx n="33" f="v">
      <t c="4" si="10">
        <n x="1245"/>
        <n x="12"/>
        <n x="32"/>
        <n x="1337" s="1"/>
      </t>
    </mdx>
    <mdx n="33" f="v">
      <t c="4" si="10">
        <n x="1091"/>
        <n x="14"/>
        <n x="32"/>
        <n x="1337" s="1"/>
      </t>
    </mdx>
    <mdx n="33" f="v">
      <t c="4">
        <n x="361"/>
        <n x="14"/>
        <n x="32"/>
        <n x="1337" s="1"/>
      </t>
    </mdx>
    <mdx n="33" f="v">
      <t c="4">
        <n x="104"/>
        <n x="1"/>
        <n x="32"/>
        <n x="1337" s="1"/>
      </t>
    </mdx>
    <mdx n="33" f="v">
      <t c="4" si="9">
        <n x="1307"/>
        <n x="0"/>
        <n x="7"/>
        <n x="1337" s="1"/>
      </t>
    </mdx>
    <mdx n="33" f="v">
      <t c="4">
        <n x="153"/>
        <n x="0"/>
        <n x="7"/>
        <n x="1337" s="1"/>
      </t>
    </mdx>
    <mdx n="33" f="v">
      <t c="4">
        <n x="190"/>
        <n x="12"/>
        <n x="32"/>
        <n x="1337" s="1"/>
      </t>
    </mdx>
    <mdx n="33" f="v">
      <t c="3">
        <n x="77"/>
        <n x="1336"/>
        <n x="1337" s="1"/>
      </t>
    </mdx>
    <mdx n="33" f="v">
      <t c="4" si="10">
        <n x="980"/>
        <n x="0"/>
        <n x="32"/>
        <n x="1337" s="1"/>
      </t>
    </mdx>
    <mdx n="33" f="v">
      <t c="4">
        <n x="276"/>
        <n x="11"/>
        <n x="7"/>
        <n x="1337" s="1"/>
      </t>
    </mdx>
    <mdx n="33" f="v">
      <t c="4">
        <n x="583"/>
        <n x="11"/>
        <n x="32"/>
        <n x="1337" s="1"/>
      </t>
    </mdx>
    <mdx n="33" f="v">
      <t c="4">
        <n x="461"/>
        <n x="12"/>
        <n x="32"/>
        <n x="1337" s="1"/>
      </t>
    </mdx>
    <mdx n="33" f="v">
      <t c="4" si="10">
        <n x="533"/>
        <n x="14"/>
        <n x="32"/>
        <n x="1337" s="1"/>
      </t>
    </mdx>
    <mdx n="33" f="v">
      <t c="4">
        <n x="126"/>
        <n x="14"/>
        <n x="32"/>
        <n x="1337" s="1"/>
      </t>
    </mdx>
    <mdx n="33" f="v">
      <t c="3">
        <n x="155"/>
        <n x="1336"/>
        <n x="1337" s="1"/>
      </t>
    </mdx>
    <mdx n="33" f="v">
      <t c="4">
        <n x="1178"/>
        <n x="0"/>
        <n x="7"/>
        <n x="1337" s="1"/>
      </t>
    </mdx>
    <mdx n="33" f="v">
      <t c="4" si="10">
        <n x="830"/>
        <n x="14"/>
        <n x="32"/>
        <n x="1337" s="1"/>
      </t>
    </mdx>
    <mdx n="33" f="v">
      <t c="4">
        <n x="586"/>
        <n x="11"/>
        <n x="7"/>
        <n x="1337" s="1"/>
      </t>
    </mdx>
    <mdx n="33" f="v">
      <t c="4" si="10">
        <n x="961"/>
        <n x="12"/>
        <n x="32"/>
        <n x="1337" s="1"/>
      </t>
    </mdx>
    <mdx n="33" f="v">
      <t c="3">
        <n x="778"/>
        <n x="1336"/>
        <n x="1337" s="1"/>
      </t>
    </mdx>
    <mdx n="33" f="v">
      <t c="4">
        <n x="740"/>
        <n x="14"/>
        <n x="32"/>
        <n x="1337" s="1"/>
      </t>
    </mdx>
    <mdx n="33" f="v">
      <t c="4">
        <n x="892"/>
        <n x="0"/>
        <n x="7"/>
        <n x="1337" s="1"/>
      </t>
    </mdx>
    <mdx n="33" f="v">
      <t c="4">
        <n x="974"/>
        <n x="14"/>
        <n x="7"/>
        <n x="1337" s="1"/>
      </t>
    </mdx>
    <mdx n="33" f="v">
      <t c="4" si="10">
        <n x="951"/>
        <n x="0"/>
        <n x="32"/>
        <n x="1337" s="1"/>
      </t>
    </mdx>
    <mdx n="33" f="v">
      <t c="4">
        <n x="55"/>
        <n x="14"/>
        <n x="7"/>
        <n x="1337" s="1"/>
      </t>
    </mdx>
    <mdx n="33" f="v">
      <t c="4">
        <n x="1060"/>
        <n x="1"/>
        <n x="7"/>
        <n x="1337" s="1"/>
      </t>
    </mdx>
    <mdx n="33" f="v">
      <t c="4">
        <n x="165"/>
        <n x="12"/>
        <n x="32"/>
        <n x="1337" s="1"/>
      </t>
    </mdx>
    <mdx n="33" f="v">
      <t c="4">
        <n x="517"/>
        <n x="11"/>
        <n x="7"/>
        <n x="1337" s="1"/>
      </t>
    </mdx>
    <mdx n="33" f="v">
      <t c="4">
        <n x="554"/>
        <n x="1"/>
        <n x="7"/>
        <n x="1337" s="1"/>
      </t>
    </mdx>
    <mdx n="33" f="v">
      <t c="4" si="10">
        <n x="501"/>
        <n x="11"/>
        <n x="32"/>
        <n x="1337" s="1"/>
      </t>
    </mdx>
    <mdx n="33" f="v">
      <t c="4" si="10">
        <n x="1067"/>
        <n x="12"/>
        <n x="32"/>
        <n x="1337" s="1"/>
      </t>
    </mdx>
    <mdx n="33" f="v">
      <t c="4">
        <n x="221"/>
        <n x="12"/>
        <n x="32"/>
        <n x="1337" s="1"/>
      </t>
    </mdx>
    <mdx n="33" f="v">
      <t c="4">
        <n x="942"/>
        <n x="12"/>
        <n x="32"/>
        <n x="1337" s="1"/>
      </t>
    </mdx>
    <mdx n="33" f="v">
      <t c="4">
        <n x="251"/>
        <n x="14"/>
        <n x="7"/>
        <n x="1337" s="1"/>
      </t>
    </mdx>
    <mdx n="33" f="v">
      <t c="4">
        <n x="229"/>
        <n x="11"/>
        <n x="7"/>
        <n x="1337" s="1"/>
      </t>
    </mdx>
    <mdx n="33" f="v">
      <t c="4">
        <n x="521"/>
        <n x="1"/>
        <n x="7"/>
        <n x="1337" s="1"/>
      </t>
    </mdx>
    <mdx n="33" f="v">
      <t c="4">
        <n x="608"/>
        <n x="11"/>
        <n x="32"/>
        <n x="1337" s="1"/>
      </t>
    </mdx>
    <mdx n="33" f="v">
      <t c="4">
        <n x="1013"/>
        <n x="1"/>
        <n x="7"/>
        <n x="1337" s="1"/>
      </t>
    </mdx>
    <mdx n="33" f="v">
      <t c="4" si="9">
        <n x="1135"/>
        <n x="0"/>
        <n x="7"/>
        <n x="1337" s="1"/>
      </t>
    </mdx>
    <mdx n="33" f="v">
      <t c="4">
        <n x="1014"/>
        <n x="11"/>
        <n x="32"/>
        <n x="1337" s="1"/>
      </t>
    </mdx>
    <mdx n="33" f="v">
      <t c="4">
        <n x="122"/>
        <n x="1"/>
        <n x="32"/>
        <n x="1337" s="1"/>
      </t>
    </mdx>
    <mdx n="33" f="v">
      <t c="4">
        <n x="1030"/>
        <n x="11"/>
        <n x="7"/>
        <n x="1337" s="1"/>
      </t>
    </mdx>
    <mdx n="33" f="v">
      <t c="4" si="10">
        <n x="805"/>
        <n x="0"/>
        <n x="32"/>
        <n x="1337" s="1"/>
      </t>
    </mdx>
    <mdx n="33" f="v">
      <t c="3">
        <n x="669"/>
        <n x="1336"/>
        <n x="1337" s="1"/>
      </t>
    </mdx>
    <mdx n="33" f="v">
      <t c="4">
        <n x="821"/>
        <n x="11"/>
        <n x="7"/>
        <n x="1337" s="1"/>
      </t>
    </mdx>
    <mdx n="33" f="v">
      <t c="4" si="10">
        <n x="882"/>
        <n x="0"/>
        <n x="32"/>
        <n x="1337" s="1"/>
      </t>
    </mdx>
    <mdx n="33" f="v">
      <t c="4">
        <n x="287"/>
        <n x="1"/>
        <n x="7"/>
        <n x="1337" s="1"/>
      </t>
    </mdx>
    <mdx n="33" f="v">
      <t c="4" si="10">
        <n x="488"/>
        <n x="12"/>
        <n x="32"/>
        <n x="1337" s="1"/>
      </t>
    </mdx>
    <mdx n="33" f="v">
      <t c="4" si="10">
        <n x="1242"/>
        <n x="0"/>
        <n x="32"/>
        <n x="1337" s="1"/>
      </t>
    </mdx>
    <mdx n="33" f="v">
      <t c="4">
        <n x="1042"/>
        <n x="1"/>
        <n x="7"/>
        <n x="1337" s="1"/>
      </t>
    </mdx>
    <mdx n="33" f="v">
      <t c="4">
        <n x="283"/>
        <n x="11"/>
        <n x="32"/>
        <n x="1337" s="1"/>
      </t>
    </mdx>
    <mdx n="33" f="v">
      <t c="4">
        <n x="131"/>
        <n x="12"/>
        <n x="32"/>
        <n x="1337" s="1"/>
      </t>
    </mdx>
    <mdx n="33" f="v">
      <t c="4">
        <n x="1088"/>
        <n x="11"/>
        <n x="7"/>
        <n x="1337" s="1"/>
      </t>
    </mdx>
    <mdx n="33" f="v">
      <t c="4">
        <n x="171"/>
        <n x="14"/>
        <n x="32"/>
        <n x="1337" s="1"/>
      </t>
    </mdx>
    <mdx n="33" f="v">
      <t c="4" si="10">
        <n x="1063"/>
        <n x="14"/>
        <n x="32"/>
        <n x="1337" s="1"/>
      </t>
    </mdx>
    <mdx n="33" f="v">
      <t c="4" si="10">
        <n x="507"/>
        <n x="11"/>
        <n x="32"/>
        <n x="1337" s="1"/>
      </t>
    </mdx>
    <mdx n="33" f="v">
      <t c="3">
        <n x="284"/>
        <n x="1336"/>
        <n x="1337" s="1"/>
      </t>
    </mdx>
    <mdx n="33" f="v">
      <t c="4" si="10">
        <n x="703"/>
        <n x="14"/>
        <n x="32"/>
        <n x="1337" s="1"/>
      </t>
    </mdx>
    <mdx n="33" f="v">
      <t c="4" si="10">
        <n x="586"/>
        <n x="12"/>
        <n x="32"/>
        <n x="1337" s="1"/>
      </t>
    </mdx>
    <mdx n="33" f="v">
      <t c="4">
        <n x="103"/>
        <n x="1"/>
        <n x="32"/>
        <n x="1337" s="1"/>
      </t>
    </mdx>
    <mdx n="33" f="v">
      <t c="4">
        <n x="935"/>
        <n x="12"/>
        <n x="7"/>
        <n x="1337" s="1"/>
      </t>
    </mdx>
    <mdx n="33" f="v">
      <t c="3">
        <n x="134"/>
        <n x="1336"/>
        <n x="1337" s="1"/>
      </t>
    </mdx>
    <mdx n="33" f="v">
      <t c="4" si="10">
        <n x="1030"/>
        <n x="1"/>
        <n x="32"/>
        <n x="1337" s="1"/>
      </t>
    </mdx>
    <mdx n="33" f="v">
      <t c="4">
        <n x="997"/>
        <n x="12"/>
        <n x="7"/>
        <n x="1337" s="1"/>
      </t>
    </mdx>
    <mdx n="33" f="v">
      <t c="4">
        <n x="832"/>
        <n x="11"/>
        <n x="32"/>
        <n x="1337" s="1"/>
      </t>
    </mdx>
    <mdx n="33" f="v">
      <t c="4">
        <n x="1114"/>
        <n x="12"/>
        <n x="7"/>
        <n x="1337" s="1"/>
      </t>
    </mdx>
    <mdx n="33" f="v">
      <t c="4">
        <n x="1028"/>
        <n x="0"/>
        <n x="7"/>
        <n x="1337" s="1"/>
      </t>
    </mdx>
    <mdx n="33" f="v">
      <t c="4">
        <n x="522"/>
        <n x="11"/>
        <n x="32"/>
        <n x="1337" s="1"/>
      </t>
    </mdx>
    <mdx n="33" f="v">
      <t c="4" si="9">
        <n x="1032"/>
        <n x="0"/>
        <n x="7"/>
        <n x="1337" s="1"/>
      </t>
    </mdx>
    <mdx n="33" f="v">
      <t c="4">
        <n x="85"/>
        <n x="11"/>
        <n x="7"/>
        <n x="1337" s="1"/>
      </t>
    </mdx>
    <mdx n="33" f="v">
      <t c="4">
        <n x="177"/>
        <n x="1"/>
        <n x="7"/>
        <n x="1337" s="1"/>
      </t>
    </mdx>
    <mdx n="33" f="v">
      <t c="4">
        <n x="174"/>
        <n x="11"/>
        <n x="32"/>
        <n x="1337" s="1"/>
      </t>
    </mdx>
    <mdx n="33" f="v">
      <t c="4">
        <n x="544"/>
        <n x="12"/>
        <n x="32"/>
        <n x="1337" s="1"/>
      </t>
    </mdx>
    <mdx n="33" f="v">
      <t c="4">
        <n x="813"/>
        <n x="12"/>
        <n x="7"/>
        <n x="1337" s="1"/>
      </t>
    </mdx>
    <mdx n="33" f="v">
      <t c="4">
        <n x="1100"/>
        <n x="0"/>
        <n x="7"/>
        <n x="1337" s="1"/>
      </t>
    </mdx>
    <mdx n="33" f="v">
      <t c="4">
        <n x="962"/>
        <n x="11"/>
        <n x="7"/>
        <n x="1337" s="1"/>
      </t>
    </mdx>
    <mdx n="33" f="v">
      <t c="4">
        <n x="113"/>
        <n x="11"/>
        <n x="7"/>
        <n x="1337" s="1"/>
      </t>
    </mdx>
    <mdx n="33" f="v">
      <t c="4">
        <n x="311"/>
        <n x="1"/>
        <n x="7"/>
        <n x="1337" s="1"/>
      </t>
    </mdx>
    <mdx n="33" f="v">
      <t c="4">
        <n x="432"/>
        <n x="11"/>
        <n x="32"/>
        <n x="1337" s="1"/>
      </t>
    </mdx>
    <mdx n="33" f="v">
      <t c="4">
        <n x="1102"/>
        <n x="12"/>
        <n x="32"/>
        <n x="1337" s="1"/>
      </t>
    </mdx>
    <mdx n="33" f="v">
      <t c="4">
        <n x="286"/>
        <n x="12"/>
        <n x="32"/>
        <n x="1337" s="1"/>
      </t>
    </mdx>
    <mdx n="33" f="v">
      <t c="4" si="10">
        <n x="484"/>
        <n x="14"/>
        <n x="32"/>
        <n x="1337" s="1"/>
      </t>
    </mdx>
    <mdx n="33" f="v">
      <t c="4">
        <n x="951"/>
        <n x="12"/>
        <n x="7"/>
        <n x="1337" s="1"/>
      </t>
    </mdx>
    <mdx n="33" f="v">
      <t c="4" si="10">
        <n x="958"/>
        <n x="11"/>
        <n x="32"/>
        <n x="1337" s="1"/>
      </t>
    </mdx>
    <mdx n="33" f="v">
      <t c="4" si="10">
        <n x="546"/>
        <n x="14"/>
        <n x="32"/>
        <n x="1337" s="1"/>
      </t>
    </mdx>
    <mdx n="33" f="v">
      <t c="3">
        <n x="281"/>
        <n x="1336"/>
        <n x="1337" s="1"/>
      </t>
    </mdx>
    <mdx n="33" f="v">
      <t c="4">
        <n x="88"/>
        <n x="0"/>
        <n x="7"/>
        <n x="1337" s="1"/>
      </t>
    </mdx>
    <mdx n="33" f="v">
      <t c="4">
        <n x="1185"/>
        <n x="0"/>
        <n x="7"/>
        <n x="1337" s="1"/>
      </t>
    </mdx>
    <mdx n="33" f="v">
      <t c="4">
        <n x="1077"/>
        <n x="1"/>
        <n x="7"/>
        <n x="1337" s="1"/>
      </t>
    </mdx>
    <mdx n="33" f="v">
      <t c="4">
        <n x="182"/>
        <n x="12"/>
        <n x="32"/>
        <n x="1337" s="1"/>
      </t>
    </mdx>
    <mdx n="33" f="v">
      <t c="4" si="10">
        <n x="302"/>
        <n x="1"/>
        <n x="32"/>
        <n x="1337" s="1"/>
      </t>
    </mdx>
    <mdx n="33" f="v">
      <t c="4" si="9">
        <n x="944"/>
        <n x="0"/>
        <n x="7"/>
        <n x="1337" s="1"/>
      </t>
    </mdx>
    <mdx n="33" f="v">
      <t c="4">
        <n x="110"/>
        <n x="1"/>
        <n x="32"/>
        <n x="1337" s="1"/>
      </t>
    </mdx>
    <mdx n="33" f="v">
      <t c="4">
        <n x="527"/>
        <n x="11"/>
        <n x="7"/>
        <n x="1337" s="1"/>
      </t>
    </mdx>
    <mdx n="33" f="v">
      <t c="4">
        <n x="374"/>
        <n x="11"/>
        <n x="32"/>
        <n x="1337" s="1"/>
      </t>
    </mdx>
    <mdx n="33" f="v">
      <t c="4" si="10">
        <n x="1073"/>
        <n x="14"/>
        <n x="32"/>
        <n x="1337" s="1"/>
      </t>
    </mdx>
    <mdx n="33" f="v">
      <t c="4">
        <n x="156"/>
        <n x="14"/>
        <n x="32"/>
        <n x="1337" s="1"/>
      </t>
    </mdx>
    <mdx n="33" f="v">
      <t c="3">
        <n x="102"/>
        <n x="1336"/>
        <n x="1337" s="1"/>
      </t>
    </mdx>
    <mdx n="33" f="v">
      <t c="4">
        <n x="135"/>
        <n x="0"/>
        <n x="7"/>
        <n x="1337" s="1"/>
      </t>
    </mdx>
    <mdx n="33" f="v">
      <t c="4">
        <n x="1096"/>
        <n x="11"/>
        <n x="7"/>
        <n x="1337" s="1"/>
      </t>
    </mdx>
    <mdx n="33" f="v">
      <t c="4" si="10">
        <n x="1119"/>
        <n x="14"/>
        <n x="32"/>
        <n x="1337" s="1"/>
      </t>
    </mdx>
    <mdx n="33" f="v">
      <t c="4">
        <n x="122"/>
        <n x="0"/>
        <n x="7"/>
        <n x="1337" s="1"/>
      </t>
    </mdx>
    <mdx n="33" f="v">
      <t c="3">
        <n x="838"/>
        <n x="1336"/>
        <n x="1337" s="1"/>
      </t>
    </mdx>
    <mdx n="33" f="v">
      <t c="4" si="10">
        <n x="1207"/>
        <n x="0"/>
        <n x="32"/>
        <n x="1337" s="1"/>
      </t>
    </mdx>
    <mdx n="33" f="v">
      <t c="4">
        <n x="910"/>
        <n x="1"/>
        <n x="32"/>
        <n x="1337" s="1"/>
      </t>
    </mdx>
    <mdx n="33" f="v">
      <t c="4">
        <n x="489"/>
        <n x="14"/>
        <n x="7"/>
        <n x="1337" s="1"/>
      </t>
    </mdx>
    <mdx n="33" f="v">
      <t c="4">
        <n x="424"/>
        <n x="11"/>
        <n x="7"/>
        <n x="1337" s="1"/>
      </t>
    </mdx>
    <mdx n="33" f="v">
      <t c="4">
        <n x="77"/>
        <n x="12"/>
        <n x="32"/>
        <n x="1337" s="1"/>
      </t>
    </mdx>
    <mdx n="33" f="v">
      <t c="4" si="9">
        <n x="1031"/>
        <n x="1"/>
        <n x="7"/>
        <n x="1337" s="1"/>
      </t>
    </mdx>
    <mdx n="33" f="v">
      <t c="4" si="10">
        <n x="472"/>
        <n x="12"/>
        <n x="32"/>
        <n x="1337" s="1"/>
      </t>
    </mdx>
    <mdx n="33" f="v">
      <t c="4">
        <n x="550"/>
        <n x="11"/>
        <n x="7"/>
        <n x="1337" s="1"/>
      </t>
    </mdx>
    <mdx n="33" f="v">
      <t c="4" si="10">
        <n x="488"/>
        <n x="11"/>
        <n x="32"/>
        <n x="1337" s="1"/>
      </t>
    </mdx>
    <mdx n="33" f="v">
      <t c="4">
        <n x="310"/>
        <n x="12"/>
        <n x="32"/>
        <n x="1337" s="1"/>
      </t>
    </mdx>
    <mdx n="33" f="v">
      <t c="4">
        <n x="1065"/>
        <n x="1"/>
        <n x="7"/>
        <n x="1337" s="1"/>
      </t>
    </mdx>
    <mdx n="33" f="v">
      <t c="4">
        <n x="1244"/>
        <n x="0"/>
        <n x="7"/>
        <n x="1337" s="1"/>
      </t>
    </mdx>
    <mdx n="33" f="v">
      <t c="4">
        <n x="571"/>
        <n x="11"/>
        <n x="32"/>
        <n x="1337" s="1"/>
      </t>
    </mdx>
    <mdx n="33" f="v">
      <t c="4">
        <n x="1175"/>
        <n x="0"/>
        <n x="7"/>
        <n x="1337" s="1"/>
      </t>
    </mdx>
    <mdx n="33" f="v">
      <t c="4">
        <n x="163"/>
        <n x="1"/>
        <n x="7"/>
        <n x="1337" s="1"/>
      </t>
    </mdx>
    <mdx n="33" f="v">
      <t c="4">
        <n x="108"/>
        <n x="1"/>
        <n x="32"/>
        <n x="1337" s="1"/>
      </t>
    </mdx>
    <mdx n="33" f="v">
      <t c="4">
        <n x="523"/>
        <n x="11"/>
        <n x="7"/>
        <n x="1337" s="1"/>
      </t>
    </mdx>
    <mdx n="33" f="v">
      <t c="4" si="10">
        <n x="611"/>
        <n x="12"/>
        <n x="32"/>
        <n x="1337" s="1"/>
      </t>
    </mdx>
    <mdx n="33" f="v">
      <t c="4">
        <n x="1101"/>
        <n x="1"/>
        <n x="32"/>
        <n x="1337" s="1"/>
      </t>
    </mdx>
    <mdx n="33" f="v">
      <t c="3">
        <n x="949"/>
        <n x="1336"/>
        <n x="1337" s="1"/>
      </t>
    </mdx>
    <mdx n="33" f="v">
      <t c="4" si="10">
        <n x="450"/>
        <n x="1"/>
        <n x="32"/>
        <n x="1337" s="1"/>
      </t>
    </mdx>
    <mdx n="33" f="v">
      <t c="4">
        <n x="804"/>
        <n x="12"/>
        <n x="7"/>
        <n x="1337" s="1"/>
      </t>
    </mdx>
    <mdx n="33" f="v">
      <t c="4">
        <n x="446"/>
        <n x="0"/>
        <n x="7"/>
        <n x="1337" s="1"/>
      </t>
    </mdx>
    <mdx n="33" f="v">
      <t c="4">
        <n x="694"/>
        <n x="1"/>
        <n x="7"/>
        <n x="1337" s="1"/>
      </t>
    </mdx>
    <mdx n="33" f="v">
      <t c="4" si="10">
        <n x="792"/>
        <n x="0"/>
        <n x="32"/>
        <n x="1337" s="1"/>
      </t>
    </mdx>
    <mdx n="33" f="v">
      <t c="4">
        <n x="936"/>
        <n x="0"/>
        <n x="32"/>
        <n x="1337" s="1"/>
      </t>
    </mdx>
    <mdx n="33" f="v">
      <t c="4" si="10">
        <n x="884"/>
        <n x="11"/>
        <n x="32"/>
        <n x="1337" s="1"/>
      </t>
    </mdx>
    <mdx n="33" f="v">
      <t c="4">
        <n x="1079"/>
        <n x="0"/>
        <n x="7"/>
        <n x="1337" s="1"/>
      </t>
    </mdx>
    <mdx n="33" f="v">
      <t c="4">
        <n x="86"/>
        <n x="14"/>
        <n x="7"/>
        <n x="1337" s="1"/>
      </t>
    </mdx>
    <mdx n="33" f="v">
      <t c="4">
        <n x="1076"/>
        <n x="11"/>
        <n x="7"/>
        <n x="1337" s="1"/>
      </t>
    </mdx>
    <mdx n="33" f="v">
      <t c="4" si="10">
        <n x="1029"/>
        <n x="11"/>
        <n x="32"/>
        <n x="1337" s="1"/>
      </t>
    </mdx>
    <mdx n="33" f="v">
      <t c="4">
        <n x="415"/>
        <n x="12"/>
        <n x="32"/>
        <n x="1337" s="1"/>
      </t>
    </mdx>
    <mdx n="33" f="v">
      <t c="4">
        <n x="959"/>
        <n x="12"/>
        <n x="7"/>
        <n x="1337" s="1"/>
      </t>
    </mdx>
    <mdx n="33" f="v">
      <t c="4">
        <n x="747"/>
        <n x="0"/>
        <n x="32"/>
        <n x="1337" s="1"/>
      </t>
    </mdx>
    <mdx n="33" f="v">
      <t c="4">
        <n x="950"/>
        <n x="11"/>
        <n x="7"/>
        <n x="1337" s="1"/>
      </t>
    </mdx>
    <mdx n="33" f="v">
      <t c="4" si="9">
        <n x="856"/>
        <n x="0"/>
        <n x="7"/>
        <n x="1337" s="1"/>
      </t>
    </mdx>
    <mdx n="33" f="v">
      <t c="3">
        <n x="976"/>
        <n x="1336"/>
        <n x="1337" s="1"/>
      </t>
    </mdx>
    <mdx n="33" f="v">
      <t c="4" si="10">
        <n x="1267"/>
        <n x="0"/>
        <n x="32"/>
        <n x="1337" s="1"/>
      </t>
    </mdx>
    <mdx n="33" f="v">
      <t c="4">
        <n x="799"/>
        <n x="1"/>
        <n x="7"/>
        <n x="1337" s="1"/>
      </t>
    </mdx>
    <mdx n="33" f="v">
      <t c="3">
        <n x="921"/>
        <n x="1336"/>
        <n x="1337" s="1"/>
      </t>
    </mdx>
    <mdx n="33" f="v">
      <t c="3">
        <n x="1093"/>
        <n x="1336"/>
        <n x="1337" s="1"/>
      </t>
    </mdx>
    <mdx n="33" f="v">
      <t c="4">
        <n x="346"/>
        <n x="14"/>
        <n x="7"/>
        <n x="1337" s="1"/>
      </t>
    </mdx>
    <mdx n="33" f="v">
      <t c="4">
        <n x="949"/>
        <n x="12"/>
        <n x="32"/>
        <n x="1337" s="1"/>
      </t>
    </mdx>
    <mdx n="33" f="v">
      <t c="4">
        <n x="238"/>
        <n x="11"/>
        <n x="7"/>
        <n x="1337" s="1"/>
      </t>
    </mdx>
    <mdx n="33" f="v">
      <t c="4">
        <n x="961"/>
        <n x="11"/>
        <n x="32"/>
        <n x="1337" s="1"/>
      </t>
    </mdx>
    <mdx n="33" f="v">
      <t c="4" si="10">
        <n x="463"/>
        <n x="12"/>
        <n x="32"/>
        <n x="1337" s="1"/>
      </t>
    </mdx>
    <mdx n="33" f="v">
      <t c="4" si="9">
        <n x="952"/>
        <n x="12"/>
        <n x="7"/>
        <n x="1337" s="1"/>
      </t>
    </mdx>
    <mdx n="33" f="v">
      <t c="4">
        <n x="805"/>
        <n x="1"/>
        <n x="7"/>
        <n x="1337" s="1"/>
      </t>
    </mdx>
    <mdx n="33" f="v">
      <t c="4">
        <n x="976"/>
        <n x="12"/>
        <n x="7"/>
        <n x="1337" s="1"/>
      </t>
    </mdx>
    <mdx n="33" f="v">
      <t c="4">
        <n x="860"/>
        <n x="12"/>
        <n x="32"/>
        <n x="1337" s="1"/>
      </t>
    </mdx>
    <mdx n="33" f="v">
      <t c="4" si="10">
        <n x="983"/>
        <n x="1"/>
        <n x="32"/>
        <n x="1337" s="1"/>
      </t>
    </mdx>
    <mdx n="33" f="v">
      <t c="4">
        <n x="1285"/>
        <n x="0"/>
        <n x="32"/>
        <n x="1337" s="1"/>
      </t>
    </mdx>
    <mdx n="33" f="v">
      <t c="4">
        <n x="812"/>
        <n x="12"/>
        <n x="32"/>
        <n x="1337" s="1"/>
      </t>
    </mdx>
    <mdx n="33" f="v">
      <t c="4">
        <n x="924"/>
        <n x="11"/>
        <n x="32"/>
        <n x="1337" s="1"/>
      </t>
    </mdx>
    <mdx n="33" f="v">
      <t c="4">
        <n x="1100"/>
        <n x="1"/>
        <n x="32"/>
        <n x="1337" s="1"/>
      </t>
    </mdx>
    <mdx n="33" f="v">
      <t c="4">
        <n x="310"/>
        <n x="14"/>
        <n x="7"/>
        <n x="1337" s="1"/>
      </t>
    </mdx>
    <mdx n="33" f="v">
      <t c="3">
        <n x="974"/>
        <n x="1336"/>
        <n x="1337" s="1"/>
      </t>
    </mdx>
    <mdx n="33" f="v">
      <t c="4">
        <n x="239"/>
        <n x="11"/>
        <n x="7"/>
        <n x="1337" s="1"/>
      </t>
    </mdx>
    <mdx n="33" f="v">
      <t c="4" si="10">
        <n x="590"/>
        <n x="11"/>
        <n x="32"/>
        <n x="1337" s="1"/>
      </t>
    </mdx>
    <mdx n="33" f="v">
      <t c="4">
        <n x="404"/>
        <n x="12"/>
        <n x="32"/>
        <n x="1337" s="1"/>
      </t>
    </mdx>
    <mdx n="33" f="v">
      <t c="3">
        <n x="978"/>
        <n x="1336"/>
        <n x="1337" s="1"/>
      </t>
    </mdx>
    <mdx n="33" f="v">
      <t c="4">
        <n x="219"/>
        <n x="11"/>
        <n x="7"/>
        <n x="1337" s="1"/>
      </t>
    </mdx>
    <mdx n="33" f="v">
      <t c="4" si="10">
        <n x="585"/>
        <n x="11"/>
        <n x="32"/>
        <n x="1337" s="1"/>
      </t>
    </mdx>
    <mdx n="33" f="v">
      <t c="4">
        <n x="701"/>
        <n x="0"/>
        <n x="7"/>
        <n x="1337" s="1"/>
      </t>
    </mdx>
    <mdx n="33" f="v">
      <t c="4" si="9">
        <n x="882"/>
        <n x="1"/>
        <n x="7"/>
        <n x="1337" s="1"/>
      </t>
    </mdx>
    <mdx n="33" f="v">
      <t c="4">
        <n x="1110"/>
        <n x="11"/>
        <n x="7"/>
        <n x="1337" s="1"/>
      </t>
    </mdx>
    <mdx n="33" f="v">
      <t c="4">
        <n x="125"/>
        <n x="14"/>
        <n x="7"/>
        <n x="1337" s="1"/>
      </t>
    </mdx>
    <mdx n="33" f="v">
      <t c="4">
        <n x="1076"/>
        <n x="11"/>
        <n x="32"/>
        <n x="1337" s="1"/>
      </t>
    </mdx>
    <mdx n="33" f="v">
      <t c="4">
        <n x="437"/>
        <n x="12"/>
        <n x="32"/>
        <n x="1337" s="1"/>
      </t>
    </mdx>
    <mdx n="33" f="v">
      <t c="4" si="10">
        <n x="1314"/>
        <n x="0"/>
        <n x="32"/>
        <n x="1337" s="1"/>
      </t>
    </mdx>
    <mdx n="33" f="v">
      <t c="4">
        <n x="1038"/>
        <n x="1"/>
        <n x="7"/>
        <n x="1337" s="1"/>
      </t>
    </mdx>
    <mdx n="33" f="v">
      <t c="4">
        <n x="500"/>
        <n x="11"/>
        <n x="32"/>
        <n x="1337" s="1"/>
      </t>
    </mdx>
    <mdx n="33" f="v">
      <t c="4" si="10">
        <n x="1323"/>
        <n x="12"/>
        <n x="32"/>
        <n x="1337" s="1"/>
      </t>
    </mdx>
    <mdx n="33" f="v">
      <t c="4">
        <n x="994"/>
        <n x="12"/>
        <n x="32"/>
        <n x="1337" s="1"/>
      </t>
    </mdx>
    <mdx n="33" f="v">
      <t c="4">
        <n x="322"/>
        <n x="12"/>
        <n x="32"/>
        <n x="1337" s="1"/>
      </t>
    </mdx>
    <mdx n="33" f="v">
      <t c="4">
        <n x="932"/>
        <n x="11"/>
        <n x="32"/>
        <n x="1337" s="1"/>
      </t>
    </mdx>
    <mdx n="33" f="v">
      <t c="4">
        <n x="1277"/>
        <n x="12"/>
        <n x="7"/>
        <n x="1337" s="1"/>
      </t>
    </mdx>
    <mdx n="33" f="v">
      <t c="4" si="10">
        <n x="870"/>
        <n x="0"/>
        <n x="32"/>
        <n x="1337" s="1"/>
      </t>
    </mdx>
    <mdx n="33" f="v">
      <t c="4">
        <n x="165"/>
        <n x="11"/>
        <n x="7"/>
        <n x="1337" s="1"/>
      </t>
    </mdx>
    <mdx n="33" f="v">
      <t c="4">
        <n x="150"/>
        <n x="11"/>
        <n x="32"/>
        <n x="1337" s="1"/>
      </t>
    </mdx>
    <mdx n="33" f="v">
      <t c="4">
        <n x="442"/>
        <n x="12"/>
        <n x="32"/>
        <n x="1337" s="1"/>
      </t>
    </mdx>
    <mdx n="33" f="v">
      <t c="4">
        <n x="238"/>
        <n x="12"/>
        <n x="32"/>
        <n x="1337" s="1"/>
      </t>
    </mdx>
    <mdx n="33" f="v">
      <t c="4" si="10">
        <n x="1050"/>
        <n x="14"/>
        <n x="32"/>
        <n x="1337" s="1"/>
      </t>
    </mdx>
    <mdx n="33" f="v">
      <t c="4" si="10">
        <n x="889"/>
        <n x="1"/>
        <n x="32"/>
        <n x="1337" s="1"/>
      </t>
    </mdx>
    <mdx n="33" f="v">
      <t c="3">
        <n x="1074"/>
        <n x="1336"/>
        <n x="1337" s="1"/>
      </t>
    </mdx>
    <mdx n="33" f="v">
      <t c="4">
        <n x="292"/>
        <n x="14"/>
        <n x="7"/>
        <n x="1337" s="1"/>
      </t>
    </mdx>
    <mdx n="33" f="v">
      <t c="4" si="10">
        <n x="664"/>
        <n x="1"/>
        <n x="32"/>
        <n x="1337" s="1"/>
      </t>
    </mdx>
    <mdx n="33" f="v">
      <t c="4">
        <n x="644"/>
        <n x="1"/>
        <n x="7"/>
        <n x="1337" s="1"/>
      </t>
    </mdx>
    <mdx n="33" f="v">
      <t c="4" si="9">
        <n x="807"/>
        <n x="14"/>
        <n x="7"/>
        <n x="1337" s="1"/>
      </t>
    </mdx>
    <mdx n="33" f="v">
      <t c="4">
        <n x="883"/>
        <n x="14"/>
        <n x="7"/>
        <n x="1337" s="1"/>
      </t>
    </mdx>
    <mdx n="33" f="v">
      <t c="4">
        <n x="1062"/>
        <n x="1"/>
        <n x="32"/>
        <n x="1337" s="1"/>
      </t>
    </mdx>
    <mdx n="33" f="v">
      <t c="4">
        <n x="254"/>
        <n x="14"/>
        <n x="7"/>
        <n x="1337" s="1"/>
      </t>
    </mdx>
    <mdx n="33" f="v">
      <t c="4">
        <n x="828"/>
        <n x="0"/>
        <n x="7"/>
        <n x="1337" s="1"/>
      </t>
    </mdx>
    <mdx n="33" f="v">
      <t c="4">
        <n x="873"/>
        <n x="11"/>
        <n x="7"/>
        <n x="1337" s="1"/>
      </t>
    </mdx>
    <mdx n="33" f="v">
      <t c="3">
        <n x="910"/>
        <n x="1336"/>
        <n x="1337" s="1"/>
      </t>
    </mdx>
    <mdx n="33" f="v">
      <t c="4">
        <n x="946"/>
        <n x="14"/>
        <n x="7"/>
        <n x="1337" s="1"/>
      </t>
    </mdx>
    <mdx n="33" f="v">
      <t c="4">
        <n x="1005"/>
        <n x="12"/>
        <n x="7"/>
        <n x="1337" s="1"/>
      </t>
    </mdx>
    <mdx n="33" f="v">
      <t c="4">
        <n x="1069"/>
        <n x="12"/>
        <n x="7"/>
        <n x="1337" s="1"/>
      </t>
    </mdx>
    <mdx n="33" f="v">
      <t c="3">
        <n x="1120"/>
        <n x="1336"/>
        <n x="1337" s="1"/>
      </t>
    </mdx>
    <mdx n="33" f="v">
      <t c="4" si="10">
        <n x="1243"/>
        <n x="0"/>
        <n x="32"/>
        <n x="1337" s="1"/>
      </t>
    </mdx>
    <mdx n="33" f="v">
      <t c="4">
        <n x="1062"/>
        <n x="14"/>
        <n x="7"/>
        <n x="1337" s="1"/>
      </t>
    </mdx>
    <mdx n="33" f="v">
      <t c="4" si="9">
        <n x="490"/>
        <n x="14"/>
        <n x="7"/>
        <n x="1337" s="1"/>
      </t>
    </mdx>
    <mdx n="33" f="v">
      <t c="4" si="10">
        <n x="675"/>
        <n x="0"/>
        <n x="32"/>
        <n x="1337" s="1"/>
      </t>
    </mdx>
    <mdx n="33" f="v">
      <t c="4">
        <n x="778"/>
        <n x="14"/>
        <n x="7"/>
        <n x="1337" s="1"/>
      </t>
    </mdx>
    <mdx n="33" f="v">
      <t c="4">
        <n x="845"/>
        <n x="12"/>
        <n x="7"/>
        <n x="1337" s="1"/>
      </t>
    </mdx>
    <mdx n="33" f="v">
      <t c="4">
        <n x="870"/>
        <n x="1"/>
        <n x="32"/>
        <n x="1337" s="1"/>
      </t>
    </mdx>
    <mdx n="33" f="v">
      <t c="4">
        <n x="893"/>
        <n x="14"/>
        <n x="32"/>
        <n x="1337" s="1"/>
      </t>
    </mdx>
    <mdx n="33" f="v">
      <t c="4">
        <n x="916"/>
        <n x="11"/>
        <n x="7"/>
        <n x="1337" s="1"/>
      </t>
    </mdx>
    <mdx n="33" f="v">
      <t c="4">
        <n x="940"/>
        <n x="12"/>
        <n x="7"/>
        <n x="1337" s="1"/>
      </t>
    </mdx>
    <mdx n="33" f="v">
      <t c="3">
        <n x="981"/>
        <n x="1336"/>
        <n x="1337" s="1"/>
      </t>
    </mdx>
    <mdx n="33" f="v">
      <t c="4" si="10">
        <n x="1032"/>
        <n x="1"/>
        <n x="32"/>
        <n x="1337" s="1"/>
      </t>
    </mdx>
    <mdx n="33" f="v">
      <t c="4">
        <n x="1083"/>
        <n x="0"/>
        <n x="7"/>
        <n x="1337" s="1"/>
      </t>
    </mdx>
    <mdx n="33" f="v">
      <t c="4">
        <n x="1151"/>
        <n x="12"/>
        <n x="7"/>
        <n x="1337" s="1"/>
      </t>
    </mdx>
    <mdx n="33" f="v">
      <t c="4">
        <n x="1279"/>
        <n x="12"/>
        <n x="7"/>
        <n x="1337" s="1"/>
      </t>
    </mdx>
    <mdx n="33" f="v">
      <t c="4">
        <n x="989"/>
        <n x="14"/>
        <n x="7"/>
        <n x="1337" s="1"/>
      </t>
    </mdx>
    <mdx n="33" f="v">
      <t c="4">
        <n x="419"/>
        <n x="14"/>
        <n x="7"/>
        <n x="1337" s="1"/>
      </t>
    </mdx>
    <mdx n="33" f="v">
      <t c="4">
        <n x="153"/>
        <n x="14"/>
        <n x="7"/>
        <n x="1337" s="1"/>
      </t>
    </mdx>
    <mdx n="33" f="v">
      <t c="4">
        <n x="969"/>
        <n x="11"/>
        <n x="7"/>
        <n x="1337" s="1"/>
      </t>
    </mdx>
    <mdx n="33" f="v">
      <t c="4">
        <n x="831"/>
        <n x="12"/>
        <n x="7"/>
        <n x="1337" s="1"/>
      </t>
    </mdx>
    <mdx n="33" f="v">
      <t c="4">
        <n x="929"/>
        <n x="1"/>
        <n x="7"/>
        <n x="1337" s="1"/>
      </t>
    </mdx>
    <mdx n="33" f="v">
      <t c="4" si="10">
        <n x="1112"/>
        <n x="0"/>
        <n x="32"/>
        <n x="1337" s="1"/>
      </t>
    </mdx>
    <mdx n="33" f="v">
      <t c="4">
        <n x="252"/>
        <n x="14"/>
        <n x="7"/>
        <n x="1337" s="1"/>
      </t>
    </mdx>
    <mdx n="33" f="v">
      <t c="4">
        <n x="417"/>
        <n x="11"/>
        <n x="7"/>
        <n x="1337" s="1"/>
      </t>
    </mdx>
    <mdx n="33" f="v">
      <t c="4">
        <n x="324"/>
        <n x="11"/>
        <n x="7"/>
        <n x="1337" s="1"/>
      </t>
    </mdx>
    <mdx n="33" f="v">
      <t c="4">
        <n x="107"/>
        <n x="11"/>
        <n x="7"/>
        <n x="1337" s="1"/>
      </t>
    </mdx>
    <mdx n="33" f="v">
      <t c="4">
        <n x="555"/>
        <n x="1"/>
        <n x="7"/>
        <n x="1337" s="1"/>
      </t>
    </mdx>
    <mdx n="33" f="v">
      <t c="4">
        <n x="189"/>
        <n x="1"/>
        <n x="7"/>
        <n x="1337" s="1"/>
      </t>
    </mdx>
    <mdx n="33" f="v">
      <t c="4">
        <n x="1009"/>
        <n x="11"/>
        <n x="32"/>
        <n x="1337" s="1"/>
      </t>
    </mdx>
    <mdx n="33" f="v">
      <t c="4">
        <n x="418"/>
        <n x="11"/>
        <n x="32"/>
        <n x="1337" s="1"/>
      </t>
    </mdx>
    <mdx n="33" f="v">
      <t c="4">
        <n x="98"/>
        <n x="11"/>
        <n x="32"/>
        <n x="1337" s="1"/>
      </t>
    </mdx>
    <mdx n="33" f="v">
      <t c="4">
        <n x="1088"/>
        <n x="12"/>
        <n x="32"/>
        <n x="1337" s="1"/>
      </t>
    </mdx>
    <mdx n="33" f="v">
      <t c="4" si="10">
        <n x="517"/>
        <n x="12"/>
        <n x="32"/>
        <n x="1337" s="1"/>
      </t>
    </mdx>
    <mdx n="33" f="v">
      <t c="4">
        <n x="244"/>
        <n x="12"/>
        <n x="32"/>
        <n x="1337" s="1"/>
      </t>
    </mdx>
    <mdx n="33" f="v">
      <t c="4">
        <n x="1062"/>
        <n x="14"/>
        <n x="32"/>
        <n x="1337" s="1"/>
      </t>
    </mdx>
    <mdx n="33" f="v">
      <t c="4" si="10">
        <n x="833"/>
        <n x="14"/>
        <n x="32"/>
        <n x="1337" s="1"/>
      </t>
    </mdx>
    <mdx n="33" f="v">
      <t c="4">
        <n x="931"/>
        <n x="11"/>
        <n x="32"/>
        <n x="1337" s="1"/>
      </t>
    </mdx>
    <mdx n="33" f="v">
      <t c="4" si="10">
        <n x="1116"/>
        <n x="0"/>
        <n x="32"/>
        <n x="1337" s="1"/>
      </t>
    </mdx>
    <mdx n="33" f="v">
      <t c="4">
        <n x="273"/>
        <n x="14"/>
        <n x="7"/>
        <n x="1337" s="1"/>
      </t>
    </mdx>
    <mdx n="33" f="v">
      <t c="4" si="10">
        <n x="586"/>
        <n x="0"/>
        <n x="32"/>
        <n x="1337" s="1"/>
      </t>
    </mdx>
    <mdx n="33" f="v">
      <t c="4" si="10">
        <n x="729"/>
        <n x="14"/>
        <n x="32"/>
        <n x="1337" s="1"/>
      </t>
    </mdx>
    <mdx n="33" f="v">
      <t c="4">
        <n x="721"/>
        <n x="1"/>
        <n x="7"/>
        <n x="1337" s="1"/>
      </t>
    </mdx>
    <mdx n="33" f="v">
      <t c="4">
        <n x="821"/>
        <n x="0"/>
        <n x="32"/>
        <n x="1337" s="1"/>
      </t>
    </mdx>
    <mdx n="33" f="v">
      <t c="4">
        <n x="849"/>
        <n x="1"/>
        <n x="7"/>
        <n x="1337" s="1"/>
      </t>
    </mdx>
    <mdx n="33" f="v">
      <t c="4">
        <n x="944"/>
        <n x="11"/>
        <n x="7"/>
        <n x="1337" s="1"/>
      </t>
    </mdx>
    <mdx n="33" f="v">
      <t c="4">
        <n x="1170"/>
        <n x="12"/>
        <n x="7"/>
        <n x="1337" s="1"/>
      </t>
    </mdx>
    <mdx n="33" f="v">
      <t c="4">
        <n x="132"/>
        <n x="14"/>
        <n x="7"/>
        <n x="1337" s="1"/>
      </t>
    </mdx>
    <mdx n="33" f="v">
      <t c="4" si="10">
        <n x="780"/>
        <n x="14"/>
        <n x="32"/>
        <n x="1337" s="1"/>
      </t>
    </mdx>
    <mdx n="33" f="v">
      <t c="4" si="9">
        <n x="854"/>
        <n x="14"/>
        <n x="7"/>
        <n x="1337" s="1"/>
      </t>
    </mdx>
    <mdx n="33" f="v">
      <t c="3">
        <n x="886"/>
        <n x="1336"/>
        <n x="1337" s="1"/>
      </t>
    </mdx>
    <mdx n="33" f="v">
      <t c="4">
        <n x="913"/>
        <n x="11"/>
        <n x="32"/>
        <n x="1337" s="1"/>
      </t>
    </mdx>
    <mdx n="33" f="v">
      <t c="4">
        <n x="936"/>
        <n x="12"/>
        <n x="32"/>
        <n x="1337" s="1"/>
      </t>
    </mdx>
    <mdx n="33" f="v">
      <t c="4" si="10">
        <n x="974"/>
        <n x="0"/>
        <n x="32"/>
        <n x="1337" s="1"/>
      </t>
    </mdx>
    <mdx n="33" f="v">
      <t c="4" si="9">
        <n x="1025"/>
        <n x="12"/>
        <n x="7"/>
        <n x="1337" s="1"/>
      </t>
    </mdx>
    <mdx n="33" f="v">
      <t c="3">
        <n x="1076"/>
        <n x="1336"/>
        <n x="1337" s="1"/>
      </t>
    </mdx>
    <mdx n="33" f="v">
      <t c="4" si="10">
        <n x="1133"/>
        <n x="0"/>
        <n x="32"/>
        <n x="1337" s="1"/>
      </t>
    </mdx>
    <mdx n="33" f="v">
      <t c="4" si="10">
        <n x="1261"/>
        <n x="0"/>
        <n x="32"/>
        <n x="1337" s="1"/>
      </t>
    </mdx>
    <mdx n="33" f="v">
      <t c="4">
        <n x="1026"/>
        <n x="14"/>
        <n x="7"/>
        <n x="1337" s="1"/>
      </t>
    </mdx>
    <mdx n="33" f="v">
      <t c="4">
        <n x="401"/>
        <n x="14"/>
        <n x="7"/>
        <n x="1337" s="1"/>
      </t>
    </mdx>
    <mdx n="33" f="v">
      <t c="4">
        <n x="695"/>
        <n x="1"/>
        <n x="7"/>
        <n x="1337" s="1"/>
      </t>
    </mdx>
    <mdx n="33" f="v">
      <t c="4" si="10">
        <n x="795"/>
        <n x="1"/>
        <n x="32"/>
        <n x="1337" s="1"/>
      </t>
    </mdx>
    <mdx n="33" f="v">
      <t c="4" si="10">
        <n x="849"/>
        <n x="11"/>
        <n x="32"/>
        <n x="1337" s="1"/>
      </t>
    </mdx>
    <mdx n="33" f="v">
      <t c="4" si="10">
        <n x="873"/>
        <n x="14"/>
        <n x="32"/>
        <n x="1337" s="1"/>
      </t>
    </mdx>
    <mdx n="33" f="v">
      <t c="4">
        <n x="896"/>
        <n x="11"/>
        <n x="7"/>
        <n x="1337" s="1"/>
      </t>
    </mdx>
    <mdx n="33" f="v">
      <t c="4">
        <n x="920"/>
        <n x="12"/>
        <n x="7"/>
        <n x="1337" s="1"/>
      </t>
    </mdx>
    <mdx n="33" f="v">
      <t c="4">
        <n x="944"/>
        <n x="1"/>
        <n x="7"/>
        <n x="1337" s="1"/>
      </t>
    </mdx>
    <mdx n="33" f="v">
      <t c="4">
        <n x="988"/>
        <n x="1"/>
        <n x="32"/>
        <n x="1337" s="1"/>
      </t>
    </mdx>
    <mdx n="33" f="v">
      <t c="4" si="9">
        <n x="1039"/>
        <n x="0"/>
        <n x="7"/>
        <n x="1337" s="1"/>
      </t>
    </mdx>
    <mdx n="33" f="v">
      <t c="4" si="10">
        <n x="1091"/>
        <n x="0"/>
        <n x="32"/>
        <n x="1337" s="1"/>
      </t>
    </mdx>
    <mdx n="33" f="v">
      <t c="4">
        <n x="1169"/>
        <n x="12"/>
        <n x="7"/>
        <n x="1337" s="1"/>
      </t>
    </mdx>
    <mdx n="33" f="v">
      <t c="4">
        <n x="1297"/>
        <n x="12"/>
        <n x="7"/>
        <n x="1337" s="1"/>
      </t>
    </mdx>
    <mdx n="33" f="v">
      <t c="4">
        <n x="456"/>
        <n x="14"/>
        <n x="7"/>
        <n x="1337" s="1"/>
      </t>
    </mdx>
    <mdx n="33" f="v">
      <t c="4">
        <n x="358"/>
        <n x="14"/>
        <n x="7"/>
        <n x="1337" s="1"/>
      </t>
    </mdx>
    <mdx n="33" f="v">
      <t c="4">
        <n x="53"/>
        <n x="14"/>
        <n x="7"/>
        <n x="1337" s="1"/>
      </t>
    </mdx>
    <mdx n="33" f="v">
      <t c="4">
        <n x="617"/>
        <n x="11"/>
        <n x="7"/>
        <n x="1337" s="1"/>
      </t>
    </mdx>
    <mdx n="33" f="v">
      <t c="4" si="10">
        <n x="848"/>
        <n x="14"/>
        <n x="32"/>
        <n x="1337" s="1"/>
      </t>
    </mdx>
    <mdx n="33" f="v">
      <t c="4">
        <n x="943"/>
        <n x="12"/>
        <n x="32"/>
        <n x="1337" s="1"/>
      </t>
    </mdx>
    <mdx n="33" f="v">
      <t c="4">
        <n x="1166"/>
        <n x="0"/>
        <n x="32"/>
        <n x="1337" s="1"/>
      </t>
    </mdx>
    <mdx n="33" f="v">
      <t c="4">
        <n x="235"/>
        <n x="14"/>
        <n x="7"/>
        <n x="1337" s="1"/>
      </t>
    </mdx>
    <mdx n="33" f="v">
      <t c="4">
        <n x="579"/>
        <n x="11"/>
        <n x="7"/>
        <n x="1337" s="1"/>
      </t>
    </mdx>
    <mdx n="33" f="v">
      <t c="4">
        <n x="221"/>
        <n x="11"/>
        <n x="7"/>
        <n x="1337" s="1"/>
      </t>
    </mdx>
    <mdx n="33" f="v">
      <t c="4">
        <n x="1112"/>
        <n x="1"/>
        <n x="7"/>
        <n x="1337" s="1"/>
      </t>
    </mdx>
    <mdx n="33" f="v">
      <t c="4" si="9">
        <n x="519"/>
        <n x="1"/>
        <n x="7"/>
        <n x="1337" s="1"/>
      </t>
    </mdx>
    <mdx n="33" f="v">
      <t c="4">
        <n x="190"/>
        <n x="1"/>
        <n x="7"/>
        <n x="1337" s="1"/>
      </t>
    </mdx>
    <mdx n="33" f="v">
      <t c="4" si="10">
        <n x="973"/>
        <n x="11"/>
        <n x="32"/>
        <n x="1337" s="1"/>
      </t>
    </mdx>
    <mdx n="33" f="v">
      <t c="4">
        <n x="381"/>
        <n x="11"/>
        <n x="32"/>
        <n x="1337" s="1"/>
      </t>
    </mdx>
    <mdx n="33" f="v">
      <t c="4" si="10">
        <n x="1296"/>
        <n x="12"/>
        <n x="32"/>
        <n x="1337" s="1"/>
      </t>
    </mdx>
    <mdx n="33" f="v">
      <t c="4" si="10">
        <n x="1052"/>
        <n x="12"/>
        <n x="32"/>
        <n x="1337" s="1"/>
      </t>
    </mdx>
    <mdx n="33" f="v">
      <t c="4" si="10">
        <n x="481"/>
        <n x="12"/>
        <n x="32"/>
        <n x="1337" s="1"/>
      </t>
    </mdx>
    <mdx n="33" f="v">
      <t c="4">
        <n x="217"/>
        <n x="12"/>
        <n x="32"/>
        <n x="1337" s="1"/>
      </t>
    </mdx>
    <mdx n="33" f="v">
      <t c="4">
        <n x="1026"/>
        <n x="14"/>
        <n x="32"/>
        <n x="1337" s="1"/>
      </t>
    </mdx>
    <mdx n="33" f="v">
      <t c="4" si="10">
        <n x="851"/>
        <n x="0"/>
        <n x="32"/>
        <n x="1337" s="1"/>
      </t>
    </mdx>
    <mdx n="33" f="v">
      <t c="4">
        <n x="946"/>
        <n x="12"/>
        <n x="7"/>
        <n x="1337" s="1"/>
      </t>
    </mdx>
    <mdx n="33" f="v">
      <t c="4" si="10">
        <n x="1176"/>
        <n x="0"/>
        <n x="32"/>
        <n x="1337" s="1"/>
      </t>
    </mdx>
    <mdx n="33" f="v">
      <t c="4">
        <n x="134"/>
        <n x="14"/>
        <n x="7"/>
        <n x="1337" s="1"/>
      </t>
    </mdx>
    <mdx n="33" f="v">
      <t c="4">
        <n x="572"/>
        <n x="11"/>
        <n x="7"/>
        <n x="1337" s="1"/>
      </t>
    </mdx>
    <mdx n="33" f="v">
      <t c="4">
        <n x="266"/>
        <n x="11"/>
        <n x="7"/>
        <n x="1337" s="1"/>
      </t>
    </mdx>
    <mdx n="33" f="v">
      <t c="4">
        <n x="1107"/>
        <n x="1"/>
        <n x="7"/>
        <n x="1337" s="1"/>
      </t>
    </mdx>
    <mdx n="33" f="v">
      <t c="4">
        <n x="514"/>
        <n x="1"/>
        <n x="7"/>
        <n x="1337" s="1"/>
      </t>
    </mdx>
    <mdx n="33" f="v">
      <t c="4">
        <n x="170"/>
        <n x="1"/>
        <n x="7"/>
        <n x="1337" s="1"/>
      </t>
    </mdx>
    <mdx n="33" f="v">
      <t c="4" si="10">
        <n x="968"/>
        <n x="11"/>
        <n x="32"/>
        <n x="1337" s="1"/>
      </t>
    </mdx>
    <mdx n="33" f="v">
      <t c="4">
        <n x="376"/>
        <n x="11"/>
        <n x="32"/>
        <n x="1337" s="1"/>
      </t>
    </mdx>
    <mdx n="33" f="v">
      <t c="4" si="10">
        <n x="1291"/>
        <n x="12"/>
        <n x="32"/>
        <n x="1337" s="1"/>
      </t>
    </mdx>
    <mdx n="33" f="v">
      <t c="4" si="10">
        <n x="786"/>
        <n x="11"/>
        <n x="32"/>
        <n x="1337" s="1"/>
      </t>
    </mdx>
    <mdx n="33" f="v">
      <t c="4" si="9">
        <n x="491"/>
        <n x="14"/>
        <n x="7"/>
        <n x="1337" s="1"/>
      </t>
    </mdx>
    <mdx n="33" f="v">
      <t c="4">
        <n x="905"/>
        <n x="12"/>
        <n x="7"/>
        <n x="1337" s="1"/>
      </t>
    </mdx>
    <mdx n="33" f="v">
      <t c="4" si="10">
        <n x="1058"/>
        <n x="0"/>
        <n x="32"/>
        <n x="1337" s="1"/>
      </t>
    </mdx>
    <mdx n="33" f="v">
      <t c="4">
        <n x="546"/>
        <n x="14"/>
        <n x="7"/>
        <n x="1337" s="1"/>
      </t>
    </mdx>
    <mdx n="33" f="v">
      <t c="3">
        <n x="865"/>
        <n x="1336"/>
        <n x="1337" s="1"/>
      </t>
    </mdx>
    <mdx n="33" f="v">
      <t c="4">
        <n x="970"/>
        <n x="12"/>
        <n x="7"/>
        <n x="1337" s="1"/>
      </t>
    </mdx>
    <mdx n="33" f="v">
      <t c="4">
        <n x="1251"/>
        <n x="12"/>
        <n x="7"/>
        <n x="1337" s="1"/>
      </t>
    </mdx>
    <mdx n="33" f="v">
      <t c="4">
        <n x="1025"/>
        <n x="11"/>
        <n x="7"/>
        <n x="1337" s="1"/>
      </t>
    </mdx>
    <mdx n="33" f="v">
      <t c="4" si="9">
        <n x="500"/>
        <n x="14"/>
        <n x="7"/>
        <n x="1337" s="1"/>
      </t>
    </mdx>
    <mdx n="33" f="v">
      <t c="4">
        <n x="611"/>
        <n x="1"/>
        <n x="7"/>
        <n x="1337" s="1"/>
      </t>
    </mdx>
    <mdx n="33" f="v">
      <t c="4">
        <n x="155"/>
        <n x="11"/>
        <n x="32"/>
        <n x="1337" s="1"/>
      </t>
    </mdx>
    <mdx n="33" f="v">
      <t c="4" si="10">
        <n x="1118"/>
        <n x="14"/>
        <n x="32"/>
        <n x="1337" s="1"/>
      </t>
    </mdx>
    <mdx n="33" f="v">
      <t c="4" si="9">
        <n x="480"/>
        <n x="14"/>
        <n x="7"/>
        <n x="1337" s="1"/>
      </t>
    </mdx>
    <mdx n="33" f="v">
      <t c="4">
        <n x="477"/>
        <n x="11"/>
        <n x="7"/>
        <n x="1337" s="1"/>
      </t>
    </mdx>
    <mdx n="33" f="v">
      <t c="4">
        <n x="96"/>
        <n x="11"/>
        <n x="7"/>
        <n x="1337" s="1"/>
      </t>
    </mdx>
    <mdx n="33" f="v">
      <t c="4" si="9">
        <n x="518"/>
        <n x="1"/>
        <n x="7"/>
        <n x="1337" s="1"/>
      </t>
    </mdx>
    <mdx n="33" f="v">
      <t c="4">
        <n x="107"/>
        <n x="1"/>
        <n x="7"/>
        <n x="1337" s="1"/>
      </t>
    </mdx>
    <mdx n="33" f="v">
      <t c="4" si="10">
        <n x="465"/>
        <n x="11"/>
        <n x="32"/>
        <n x="1337" s="1"/>
      </t>
    </mdx>
    <mdx n="33" f="v">
      <t c="4">
        <n x="1295"/>
        <n x="12"/>
        <n x="32"/>
        <n x="1337" s="1"/>
      </t>
    </mdx>
    <mdx n="33" f="v">
      <t c="4" si="10">
        <n x="1039"/>
        <n x="12"/>
        <n x="32"/>
        <n x="1337" s="1"/>
      </t>
    </mdx>
    <mdx n="33" f="v">
      <t c="4" si="10">
        <n x="459"/>
        <n x="12"/>
        <n x="32"/>
        <n x="1337" s="1"/>
      </t>
    </mdx>
    <mdx n="33" f="v">
      <t c="4">
        <n x="204"/>
        <n x="12"/>
        <n x="32"/>
        <n x="1337" s="1"/>
      </t>
    </mdx>
    <mdx n="33" f="v">
      <t c="4">
        <n x="859"/>
        <n x="12"/>
        <n x="7"/>
        <n x="1337" s="1"/>
      </t>
    </mdx>
    <mdx n="33" f="v">
      <t c="4">
        <n x="956"/>
        <n x="14"/>
        <n x="7"/>
        <n x="1337" s="1"/>
      </t>
    </mdx>
    <mdx n="33" f="v">
      <t c="4" si="10">
        <n x="1218"/>
        <n x="0"/>
        <n x="32"/>
        <n x="1337" s="1"/>
      </t>
    </mdx>
    <mdx n="33" f="v">
      <t c="4">
        <n x="184"/>
        <n x="14"/>
        <n x="7"/>
        <n x="1337" s="1"/>
      </t>
    </mdx>
    <mdx n="33" f="v">
      <t c="4">
        <n x="544"/>
        <n x="11"/>
        <n x="7"/>
        <n x="1337" s="1"/>
      </t>
    </mdx>
    <mdx n="33" f="v">
      <t c="4">
        <n x="293"/>
        <n x="11"/>
        <n x="7"/>
        <n x="1337" s="1"/>
      </t>
    </mdx>
    <mdx n="33" f="v">
      <t c="4">
        <n x="1086"/>
        <n x="1"/>
        <n x="7"/>
        <n x="1337" s="1"/>
      </t>
    </mdx>
    <mdx n="33" f="v">
      <t c="4" si="9">
        <n x="493"/>
        <n x="1"/>
        <n x="7"/>
        <n x="1337" s="1"/>
      </t>
    </mdx>
    <mdx n="33" f="v">
      <t c="4">
        <n x="212"/>
        <n x="1"/>
        <n x="7"/>
        <n x="1337" s="1"/>
      </t>
    </mdx>
    <mdx n="33" f="v">
      <t c="4">
        <n x="612"/>
        <n x="11"/>
        <n x="32"/>
        <n x="1337" s="1"/>
      </t>
    </mdx>
    <mdx n="33" f="v">
      <t c="4">
        <n x="355"/>
        <n x="11"/>
        <n x="32"/>
        <n x="1337" s="1"/>
      </t>
    </mdx>
    <mdx n="33" f="v">
      <t c="4">
        <n x="1270"/>
        <n x="12"/>
        <n x="32"/>
        <n x="1337" s="1"/>
      </t>
    </mdx>
    <mdx n="33" f="v">
      <t c="4">
        <n x="1026"/>
        <n x="12"/>
        <n x="32"/>
        <n x="1337" s="1"/>
      </t>
    </mdx>
    <mdx n="33" f="v">
      <t c="4">
        <n x="407"/>
        <n x="12"/>
        <n x="32"/>
        <n x="1337" s="1"/>
      </t>
    </mdx>
    <mdx n="33" f="v">
      <t c="4">
        <n x="191"/>
        <n x="12"/>
        <n x="32"/>
        <n x="1337" s="1"/>
      </t>
    </mdx>
    <mdx n="33" f="v">
      <t c="4" si="10">
        <n x="1000"/>
        <n x="14"/>
        <n x="32"/>
        <n x="1337" s="1"/>
      </t>
    </mdx>
    <mdx n="33" f="v">
      <t c="4">
        <n x="407"/>
        <n x="14"/>
        <n x="32"/>
        <n x="1337" s="1"/>
      </t>
    </mdx>
    <mdx n="33" f="v">
      <t c="4">
        <n x="949"/>
        <n x="1"/>
        <n x="32"/>
        <n x="1337" s="1"/>
      </t>
    </mdx>
    <mdx n="33" f="v">
      <t c="4" si="10">
        <n x="1292"/>
        <n x="0"/>
        <n x="32"/>
        <n x="1337" s="1"/>
      </t>
    </mdx>
    <mdx n="33" f="v">
      <t c="4">
        <n x="1049"/>
        <n x="1"/>
        <n x="7"/>
        <n x="1337" s="1"/>
      </t>
    </mdx>
    <mdx n="33" f="v">
      <t c="4">
        <n x="318"/>
        <n x="11"/>
        <n x="32"/>
        <n x="1337" s="1"/>
      </t>
    </mdx>
    <mdx n="33" f="v">
      <t c="4">
        <n x="78"/>
        <n x="12"/>
        <n x="32"/>
        <n x="1337" s="1"/>
      </t>
    </mdx>
    <mdx n="33" f="v">
      <t c="4">
        <n x="444"/>
        <n x="14"/>
        <n x="32"/>
        <n x="1337" s="1"/>
      </t>
    </mdx>
    <mdx n="33" f="v">
      <t c="4">
        <n x="292"/>
        <n x="1"/>
        <n x="32"/>
        <n x="1337" s="1"/>
      </t>
    </mdx>
    <mdx n="33" f="v">
      <t c="3">
        <n x="75"/>
        <n x="1336"/>
        <n x="1337" s="1"/>
      </t>
    </mdx>
    <mdx n="33" f="v">
      <t c="4">
        <n x="946"/>
        <n x="0"/>
        <n x="7"/>
        <n x="1337" s="1"/>
      </t>
    </mdx>
    <mdx n="33" f="v">
      <t c="4">
        <n x="978"/>
        <n x="11"/>
        <n x="32"/>
        <n x="1337" s="1"/>
      </t>
    </mdx>
    <mdx n="33" f="v">
      <t c="4">
        <n x="217"/>
        <n x="14"/>
        <n x="32"/>
        <n x="1337" s="1"/>
      </t>
    </mdx>
    <mdx n="33" f="v">
      <t c="4">
        <n x="68"/>
        <n x="0"/>
        <n x="7"/>
        <n x="1337" s="1"/>
      </t>
    </mdx>
    <mdx n="33" f="v">
      <t c="4">
        <n x="83"/>
        <n x="14"/>
        <n x="7"/>
        <n x="1337" s="1"/>
      </t>
    </mdx>
    <mdx n="33" f="v">
      <t c="4">
        <n x="435"/>
        <n x="1"/>
        <n x="7"/>
        <n x="1337" s="1"/>
      </t>
    </mdx>
    <mdx n="33" f="v">
      <t c="4" si="10">
        <n x="1213"/>
        <n x="12"/>
        <n x="32"/>
        <n x="1337" s="1"/>
      </t>
    </mdx>
    <mdx n="33" f="v">
      <t c="4">
        <n x="1075"/>
        <n x="14"/>
        <n x="32"/>
        <n x="1337" s="1"/>
      </t>
    </mdx>
    <mdx n="33" f="v">
      <t c="4">
        <n x="351"/>
        <n x="14"/>
        <n x="32"/>
        <n x="1337" s="1"/>
      </t>
    </mdx>
    <mdx n="33" f="v">
      <t c="4">
        <n x="97"/>
        <n x="1"/>
        <n x="32"/>
        <n x="1337" s="1"/>
      </t>
    </mdx>
    <mdx n="33" f="v">
      <t c="4">
        <n x="1299"/>
        <n x="0"/>
        <n x="7"/>
        <n x="1337" s="1"/>
      </t>
    </mdx>
    <mdx n="33" f="v">
      <t c="4">
        <n x="137"/>
        <n x="0"/>
        <n x="7"/>
        <n x="1337" s="1"/>
      </t>
    </mdx>
    <mdx n="33" f="v">
      <t c="4">
        <n x="59"/>
        <n x="12"/>
        <n x="32"/>
        <n x="1337" s="1"/>
      </t>
    </mdx>
    <mdx n="33" f="v">
      <t c="3">
        <n x="70"/>
        <n x="1336"/>
        <n x="1337" s="1"/>
      </t>
    </mdx>
    <mdx n="33" f="v">
      <t c="4">
        <n x="1005"/>
        <n x="1"/>
        <n x="32"/>
        <n x="1337" s="1"/>
      </t>
    </mdx>
    <mdx n="33" f="v">
      <t c="4">
        <n x="214"/>
        <n x="11"/>
        <n x="7"/>
        <n x="1337" s="1"/>
      </t>
    </mdx>
    <mdx n="33" f="v">
      <t c="3">
        <n x="799"/>
        <n x="1336"/>
        <n x="1337" s="1"/>
      </t>
    </mdx>
    <mdx n="33" f="v">
      <t c="4">
        <n x="340"/>
        <n x="14"/>
        <n x="7"/>
        <n x="1337" s="1"/>
      </t>
    </mdx>
    <mdx n="33" f="v">
      <t c="4" si="10">
        <n x="908"/>
        <n x="0"/>
        <n x="32"/>
        <n x="1337" s="1"/>
      </t>
    </mdx>
    <mdx n="33" f="v">
      <t c="3">
        <n x="1064"/>
        <n x="1336"/>
        <n x="1337" s="1"/>
      </t>
    </mdx>
    <mdx n="33" f="v">
      <t c="4">
        <n x="514"/>
        <n x="14"/>
        <n x="7"/>
        <n x="1337" s="1"/>
      </t>
    </mdx>
    <mdx n="33" f="v">
      <t c="4">
        <n x="868"/>
        <n x="12"/>
        <n x="7"/>
        <n x="1337" s="1"/>
      </t>
    </mdx>
    <mdx n="33" f="v">
      <t c="4" si="10">
        <n x="976"/>
        <n x="1"/>
        <n x="32"/>
        <n x="1337" s="1"/>
      </t>
    </mdx>
    <mdx n="33" f="v">
      <t c="4">
        <n x="1267"/>
        <n x="12"/>
        <n x="7"/>
        <n x="1337" s="1"/>
      </t>
    </mdx>
    <mdx n="33" f="v">
      <t c="4">
        <n x="993"/>
        <n x="11"/>
        <n x="7"/>
        <n x="1337" s="1"/>
      </t>
    </mdx>
    <mdx n="33" f="v">
      <t c="4">
        <n x="349"/>
        <n x="14"/>
        <n x="7"/>
        <n x="1337" s="1"/>
      </t>
    </mdx>
    <mdx n="33" f="v">
      <t c="4">
        <n x="579"/>
        <n x="1"/>
        <n x="7"/>
        <n x="1337" s="1"/>
      </t>
    </mdx>
    <mdx n="33" f="v">
      <t c="4">
        <n x="122"/>
        <n x="11"/>
        <n x="32"/>
        <n x="1337" s="1"/>
      </t>
    </mdx>
    <mdx n="33" f="v">
      <t c="4" si="10">
        <n x="1086"/>
        <n x="14"/>
        <n x="32"/>
        <n x="1337" s="1"/>
      </t>
    </mdx>
    <mdx n="33" f="v">
      <t c="4">
        <n x="333"/>
        <n x="14"/>
        <n x="7"/>
        <n x="1337" s="1"/>
      </t>
    </mdx>
    <mdx n="33" f="v">
      <t c="4">
        <n x="462"/>
        <n x="11"/>
        <n x="7"/>
        <n x="1337" s="1"/>
      </t>
    </mdx>
    <mdx n="33" f="v">
      <t c="4">
        <n x="54"/>
        <n x="11"/>
        <n x="7"/>
        <n x="1337" s="1"/>
      </t>
    </mdx>
    <mdx n="33" f="v">
      <t c="4" si="9">
        <n x="506"/>
        <n x="1"/>
        <n x="7"/>
        <n x="1337" s="1"/>
      </t>
    </mdx>
    <mdx n="33" f="v">
      <t c="4">
        <n x="99"/>
        <n x="1"/>
        <n x="7"/>
        <n x="1337" s="1"/>
      </t>
    </mdx>
    <mdx n="33" f="v">
      <t c="6" si="9">
        <n x="15"/>
        <n x="1337" s="1"/>
        <n x="39"/>
        <n x="7"/>
        <n x="6"/>
        <n x="3"/>
      </t>
    </mdx>
    <mdx n="33" f="v">
      <t c="3">
        <n x="625"/>
        <n x="1336"/>
        <n x="1337" s="1"/>
      </t>
    </mdx>
    <mdx n="33" f="v">
      <t c="3">
        <n x="899"/>
        <n x="1336"/>
        <n x="1337" s="1"/>
      </t>
    </mdx>
    <mdx n="33" f="v">
      <t c="4" si="10">
        <n x="820"/>
        <n x="14"/>
        <n x="32"/>
        <n x="1337" s="1"/>
      </t>
    </mdx>
    <mdx n="33" f="v">
      <t c="4">
        <n x="988"/>
        <n x="12"/>
        <n x="7"/>
        <n x="1337" s="1"/>
      </t>
    </mdx>
    <mdx n="33" f="v">
      <t c="4">
        <n x="818"/>
        <n x="12"/>
        <n x="7"/>
        <n x="1337" s="1"/>
      </t>
    </mdx>
    <mdx n="33" f="v">
      <t c="4">
        <n x="433"/>
        <n x="14"/>
        <n x="7"/>
        <n x="1337" s="1"/>
      </t>
    </mdx>
    <mdx n="33" f="v">
      <t c="4" si="10">
        <n x="938"/>
        <n x="1"/>
        <n x="32"/>
        <n x="1337" s="1"/>
      </t>
    </mdx>
    <mdx n="33" f="v">
      <t c="4">
        <n x="1309"/>
        <n x="12"/>
        <n x="7"/>
        <n x="1337" s="1"/>
      </t>
    </mdx>
    <mdx n="33" f="v">
      <t c="4">
        <n x="893"/>
        <n x="1"/>
        <n x="32"/>
        <n x="1337" s="1"/>
      </t>
    </mdx>
    <mdx n="33" f="v">
      <t c="4">
        <n x="119"/>
        <n x="11"/>
        <n x="7"/>
        <n x="1337" s="1"/>
      </t>
    </mdx>
    <mdx n="33" f="v">
      <t c="4">
        <n x="102"/>
        <n x="11"/>
        <n x="32"/>
        <n x="1337" s="1"/>
      </t>
    </mdx>
    <mdx n="33" f="v">
      <t c="4" si="10">
        <n x="1066"/>
        <n x="14"/>
        <n x="32"/>
        <n x="1337" s="1"/>
      </t>
    </mdx>
    <mdx n="33" f="v">
      <t c="4">
        <n x="244"/>
        <n x="14"/>
        <n x="7"/>
        <n x="1337" s="1"/>
      </t>
    </mdx>
    <mdx n="33" f="v">
      <t c="4">
        <n x="802"/>
        <n x="12"/>
        <n x="7"/>
        <n x="1337" s="1"/>
      </t>
    </mdx>
    <mdx n="33" f="v">
      <t c="4">
        <n x="308"/>
        <n x="14"/>
        <n x="7"/>
        <n x="1337" s="1"/>
      </t>
    </mdx>
    <mdx n="33" f="v">
      <t c="4">
        <n x="908"/>
        <n x="12"/>
        <n x="32"/>
        <n x="1337" s="1"/>
      </t>
    </mdx>
    <mdx n="33" f="v">
      <t c="4" si="10">
        <n x="1066"/>
        <n x="0"/>
        <n x="32"/>
        <n x="1337" s="1"/>
      </t>
    </mdx>
    <mdx n="33" f="v">
      <t c="4" si="9">
        <n x="506"/>
        <n x="14"/>
        <n x="7"/>
        <n x="1337" s="1"/>
      </t>
    </mdx>
    <mdx n="33" f="v">
      <t c="4">
        <n x="868"/>
        <n x="11"/>
        <n x="7"/>
        <n x="1337" s="1"/>
      </t>
    </mdx>
    <mdx n="33" f="v">
      <t c="4">
        <n x="978"/>
        <n x="12"/>
        <n x="7"/>
        <n x="1337" s="1"/>
      </t>
    </mdx>
    <mdx n="33" f="v">
      <t c="4">
        <n x="1271"/>
        <n x="12"/>
        <n x="7"/>
        <n x="1337" s="1"/>
      </t>
    </mdx>
    <mdx n="33" f="v">
      <t c="4">
        <n x="985"/>
        <n x="11"/>
        <n x="7"/>
        <n x="1337" s="1"/>
      </t>
    </mdx>
    <mdx n="33" f="v">
      <t c="4">
        <n x="327"/>
        <n x="14"/>
        <n x="7"/>
        <n x="1337" s="1"/>
      </t>
    </mdx>
    <mdx n="33" f="v">
      <t c="4">
        <n x="571"/>
        <n x="1"/>
        <n x="7"/>
        <n x="1337" s="1"/>
      </t>
    </mdx>
    <mdx n="33" f="v">
      <t c="4">
        <n x="114"/>
        <n x="11"/>
        <n x="32"/>
        <n x="1337" s="1"/>
      </t>
    </mdx>
    <mdx n="33" f="v">
      <t c="4" si="10">
        <n x="1078"/>
        <n x="14"/>
        <n x="32"/>
        <n x="1337" s="1"/>
      </t>
    </mdx>
    <mdx n="33" f="v">
      <t c="4">
        <n x="317"/>
        <n x="14"/>
        <n x="7"/>
        <n x="1337" s="1"/>
      </t>
    </mdx>
    <mdx n="33" f="v">
      <t c="3">
        <n x="815"/>
        <n x="1336"/>
        <n x="1337" s="1"/>
      </t>
    </mdx>
    <mdx n="33" f="v">
      <t c="4">
        <n x="177"/>
        <n x="14"/>
        <n x="7"/>
        <n x="1337" s="1"/>
      </t>
    </mdx>
    <mdx n="33" f="v">
      <t c="4">
        <n x="912"/>
        <n x="0"/>
        <n x="32"/>
        <n x="1337" s="1"/>
      </t>
    </mdx>
    <mdx n="33" f="v">
      <t c="4">
        <n x="1073"/>
        <n x="12"/>
        <n x="7"/>
        <n x="1337" s="1"/>
      </t>
    </mdx>
    <mdx n="33" f="v">
      <t c="4" si="9">
        <n x="465"/>
        <n x="14"/>
        <n x="7"/>
        <n x="1337" s="1"/>
      </t>
    </mdx>
    <mdx n="33" f="v">
      <t c="4">
        <n x="872"/>
        <n x="12"/>
        <n x="7"/>
        <n x="1337" s="1"/>
      </t>
    </mdx>
    <mdx n="33" f="v">
      <t c="3">
        <n x="985"/>
        <n x="1336"/>
        <n x="1337" s="1"/>
      </t>
    </mdx>
    <mdx n="33" f="v">
      <t c="4">
        <n x="1289"/>
        <n x="12"/>
        <n x="7"/>
        <n x="1337" s="1"/>
      </t>
    </mdx>
    <mdx n="33" f="v">
      <t c="4">
        <n x="441"/>
        <n x="11"/>
        <n x="7"/>
        <n x="1337" s="1"/>
      </t>
    </mdx>
    <mdx n="33" f="v">
      <t c="4">
        <n x="286"/>
        <n x="14"/>
        <n x="7"/>
        <n x="1337" s="1"/>
      </t>
    </mdx>
    <mdx n="33" f="v">
      <t c="4">
        <n x="535"/>
        <n x="1"/>
        <n x="7"/>
        <n x="1337" s="1"/>
      </t>
    </mdx>
    <mdx n="33" f="v">
      <t c="4">
        <n x="1312"/>
        <n x="12"/>
        <n x="32"/>
        <n x="1337" s="1"/>
      </t>
    </mdx>
    <mdx n="33" f="v">
      <t c="4" si="10">
        <n x="1042"/>
        <n x="14"/>
        <n x="32"/>
        <n x="1337" s="1"/>
      </t>
    </mdx>
    <mdx n="33" f="v">
      <t c="4">
        <n x="258"/>
        <n x="14"/>
        <n x="7"/>
        <n x="1337" s="1"/>
      </t>
    </mdx>
    <mdx n="33" f="v">
      <t c="4">
        <n x="530"/>
        <n x="1"/>
        <n x="7"/>
        <n x="1337" s="1"/>
      </t>
    </mdx>
    <mdx n="33" f="v">
      <t c="4" si="10">
        <n x="1307"/>
        <n x="12"/>
        <n x="32"/>
        <n x="1337" s="1"/>
      </t>
    </mdx>
    <mdx n="33" f="v">
      <t c="4">
        <n x="1045"/>
        <n x="12"/>
        <n x="7"/>
        <n x="1337" s="1"/>
      </t>
    </mdx>
    <mdx n="33" f="v">
      <t c="4" si="9">
        <n x="1219"/>
        <n x="12"/>
        <n x="7"/>
        <n x="1337" s="1"/>
      </t>
    </mdx>
    <mdx n="33" f="v">
      <t c="4">
        <n x="285"/>
        <n x="11"/>
        <n x="32"/>
        <n x="1337" s="1"/>
      </t>
    </mdx>
    <mdx n="33" f="v">
      <t c="4">
        <n x="146"/>
        <n x="11"/>
        <n x="7"/>
        <n x="1337" s="1"/>
      </t>
    </mdx>
    <mdx n="33" f="v">
      <t c="4" si="10">
        <n x="1316"/>
        <n x="12"/>
        <n x="32"/>
        <n x="1337" s="1"/>
      </t>
    </mdx>
    <mdx n="33" f="v">
      <t c="4" si="10">
        <n x="853"/>
        <n x="1"/>
        <n x="32"/>
        <n x="1337" s="1"/>
      </t>
    </mdx>
    <mdx n="33" f="v">
      <t c="4">
        <n x="566"/>
        <n x="11"/>
        <n x="7"/>
        <n x="1337" s="1"/>
      </t>
    </mdx>
    <mdx n="33" f="v">
      <t c="4">
        <n x="215"/>
        <n x="1"/>
        <n x="7"/>
        <n x="1337" s="1"/>
      </t>
    </mdx>
    <mdx n="33" f="v">
      <t c="4">
        <n x="339"/>
        <n x="11"/>
        <n x="32"/>
        <n x="1337" s="1"/>
      </t>
    </mdx>
    <mdx n="33" f="v">
      <t c="4">
        <n x="1174"/>
        <n x="12"/>
        <n x="32"/>
        <n x="1337" s="1"/>
      </t>
    </mdx>
    <mdx n="33" f="v">
      <t c="4" si="10">
        <n x="535"/>
        <n x="12"/>
        <n x="32"/>
        <n x="1337" s="1"/>
      </t>
    </mdx>
    <mdx n="33" f="v">
      <t c="4">
        <n x="175"/>
        <n x="12"/>
        <n x="32"/>
        <n x="1337" s="1"/>
      </t>
    </mdx>
    <mdx n="33" f="v">
      <t c="4" si="10">
        <n x="568"/>
        <n x="14"/>
        <n x="32"/>
        <n x="1337" s="1"/>
      </t>
    </mdx>
    <mdx n="33" f="v">
      <t c="4">
        <n x="193"/>
        <n x="14"/>
        <n x="32"/>
        <n x="1337" s="1"/>
      </t>
    </mdx>
    <mdx n="33" f="v">
      <t c="4">
        <n x="964"/>
        <n x="14"/>
        <n x="7"/>
        <n x="1337" s="1"/>
      </t>
    </mdx>
    <mdx n="33" f="v">
      <t c="4">
        <n x="326"/>
        <n x="1"/>
        <n x="7"/>
        <n x="1337" s="1"/>
      </t>
    </mdx>
    <mdx n="33" f="v">
      <t c="4">
        <n x="482"/>
        <n x="12"/>
        <n x="32"/>
        <n x="1337" s="1"/>
      </t>
    </mdx>
    <mdx n="33" f="v">
      <t c="4">
        <n x="422"/>
        <n x="14"/>
        <n x="32"/>
        <n x="1337" s="1"/>
      </t>
    </mdx>
    <mdx n="33" f="v">
      <t c="4">
        <n x="85"/>
        <n x="1"/>
        <n x="32"/>
        <n x="1337" s="1"/>
      </t>
    </mdx>
    <mdx n="33" f="v">
      <t c="4">
        <n x="1192"/>
        <n x="0"/>
        <n x="7"/>
        <n x="1337" s="1"/>
      </t>
    </mdx>
    <mdx n="33" f="v">
      <t c="4">
        <n x="435"/>
        <n x="11"/>
        <n x="32"/>
        <n x="1337" s="1"/>
      </t>
    </mdx>
    <mdx n="33" f="v">
      <t c="3">
        <n x="112"/>
        <n x="1336"/>
        <n x="1337" s="1"/>
      </t>
    </mdx>
    <mdx n="33" f="v">
      <t c="4" si="10">
        <n x="1204"/>
        <n x="0"/>
        <n x="32"/>
        <n x="1337" s="1"/>
      </t>
    </mdx>
    <mdx n="33" f="v">
      <t c="4">
        <n x="370"/>
        <n x="1"/>
        <n x="7"/>
        <n x="1337" s="1"/>
      </t>
    </mdx>
    <mdx n="33" f="v">
      <t c="4" si="10">
        <n x="526"/>
        <n x="12"/>
        <n x="32"/>
        <n x="1337" s="1"/>
      </t>
    </mdx>
    <mdx n="33" f="v">
      <t c="4" si="10">
        <n x="458"/>
        <n x="14"/>
        <n x="32"/>
        <n x="1337" s="1"/>
      </t>
    </mdx>
    <mdx n="33" f="v">
      <t c="4">
        <n x="64"/>
        <n x="1"/>
        <n x="32"/>
        <n x="1337" s="1"/>
      </t>
    </mdx>
    <mdx n="33" f="v">
      <t c="4">
        <n x="1203"/>
        <n x="0"/>
        <n x="7"/>
        <n x="1337" s="1"/>
      </t>
    </mdx>
    <mdx n="33" f="v">
      <t c="4">
        <n x="115"/>
        <n x="11"/>
        <n x="32"/>
        <n x="1337" s="1"/>
      </t>
    </mdx>
    <mdx n="33" f="v">
      <t c="4">
        <n x="1297"/>
        <n x="0"/>
        <n x="7"/>
        <n x="1337" s="1"/>
      </t>
    </mdx>
    <mdx n="33" f="v">
      <t c="4">
        <n x="305"/>
        <n x="14"/>
        <n x="7"/>
        <n x="1337" s="1"/>
      </t>
    </mdx>
    <mdx n="33" f="v">
      <t c="4">
        <n x="571"/>
        <n x="0"/>
        <n x="7"/>
        <n x="1337" s="1"/>
      </t>
    </mdx>
    <mdx n="33" f="v">
      <t c="4">
        <n x="116"/>
        <n x="14"/>
        <n x="7"/>
        <n x="1337" s="1"/>
      </t>
    </mdx>
    <mdx n="33" f="v">
      <t c="4" si="9">
        <n x="943"/>
        <n x="14"/>
        <n x="7"/>
        <n x="1337" s="1"/>
      </t>
    </mdx>
    <mdx n="33" f="v">
      <t c="4">
        <n x="1327"/>
        <n x="0"/>
        <n x="32"/>
        <n x="1337" s="1"/>
      </t>
    </mdx>
    <mdx n="33" f="v">
      <t c="4">
        <n x="873"/>
        <n x="14"/>
        <n x="7"/>
        <n x="1337" s="1"/>
      </t>
    </mdx>
    <mdx n="33" f="v">
      <t c="3">
        <n x="1053"/>
        <n x="1336"/>
        <n x="1337" s="1"/>
      </t>
    </mdx>
    <mdx n="33" f="v">
      <t c="4">
        <n x="247"/>
        <n x="14"/>
        <n x="7"/>
        <n x="1337" s="1"/>
      </t>
    </mdx>
    <mdx n="33" f="v">
      <t c="4">
        <n x="150"/>
        <n x="14"/>
        <n x="7"/>
        <n x="1337" s="1"/>
      </t>
    </mdx>
    <mdx n="33" f="v">
      <t c="4">
        <n x="129"/>
        <n x="1"/>
        <n x="7"/>
        <n x="1337" s="1"/>
      </t>
    </mdx>
    <mdx n="33" f="v">
      <t c="4">
        <n x="328"/>
        <n x="12"/>
        <n x="32"/>
        <n x="1337" s="1"/>
      </t>
    </mdx>
    <mdx n="33" f="v">
      <t c="4">
        <n x="48"/>
        <n x="14"/>
        <n x="7"/>
        <n x="1337" s="1"/>
      </t>
    </mdx>
    <mdx n="33" f="v">
      <t c="4">
        <n x="319"/>
        <n x="11"/>
        <n x="7"/>
        <n x="1337" s="1"/>
      </t>
    </mdx>
    <mdx n="33" f="v">
      <t c="4">
        <n x="614"/>
        <n x="1"/>
        <n x="7"/>
        <n x="1337" s="1"/>
      </t>
    </mdx>
    <mdx n="33" f="v">
      <t c="4">
        <n x="1108"/>
        <n x="11"/>
        <n x="32"/>
        <n x="1337" s="1"/>
      </t>
    </mdx>
    <mdx n="33" f="v">
      <t c="4">
        <n x="389"/>
        <n x="11"/>
        <n x="32"/>
        <n x="1337" s="1"/>
      </t>
    </mdx>
    <mdx n="33" f="v">
      <t c="4" si="10">
        <n x="1227"/>
        <n x="12"/>
        <n x="32"/>
        <n x="1337" s="1"/>
      </t>
    </mdx>
    <mdx n="33" f="v">
      <t c="4" si="10">
        <n x="983"/>
        <n x="12"/>
        <n x="32"/>
        <n x="1337" s="1"/>
      </t>
    </mdx>
    <mdx n="33" f="v">
      <t c="4">
        <n x="405"/>
        <n x="12"/>
        <n x="32"/>
        <n x="1337" s="1"/>
      </t>
    </mdx>
    <mdx n="33" f="v">
      <t c="4">
        <n x="143"/>
        <n x="12"/>
        <n x="32"/>
        <n x="1337" s="1"/>
      </t>
    </mdx>
    <mdx n="33" f="v">
      <t c="4">
        <n x="879"/>
        <n x="11"/>
        <n x="32"/>
        <n x="1337" s="1"/>
      </t>
    </mdx>
    <mdx n="33" f="v">
      <t c="4">
        <n x="1001"/>
        <n x="1"/>
        <n x="32"/>
        <n x="1337" s="1"/>
      </t>
    </mdx>
    <mdx n="33" f="v">
      <t c="4" si="10">
        <n x="1330"/>
        <n x="0"/>
        <n x="32"/>
        <n x="1337" s="1"/>
      </t>
    </mdx>
    <mdx n="33" f="v">
      <t c="4">
        <n x="92"/>
        <n x="14"/>
        <n x="7"/>
        <n x="1337" s="1"/>
      </t>
    </mdx>
    <mdx n="33" f="v">
      <t c="4" si="9">
        <n x="484"/>
        <n x="11"/>
        <n x="7"/>
        <n x="1337" s="1"/>
      </t>
    </mdx>
    <mdx n="33" f="v">
      <t c="4">
        <n x="135"/>
        <n x="11"/>
        <n x="7"/>
        <n x="1337" s="1"/>
      </t>
    </mdx>
    <mdx n="33" f="v">
      <t c="4">
        <n x="1030"/>
        <n x="1"/>
        <n x="7"/>
        <n x="1337" s="1"/>
      </t>
    </mdx>
    <mdx n="33" f="v">
      <t c="4">
        <n x="436"/>
        <n x="1"/>
        <n x="7"/>
        <n x="1337" s="1"/>
      </t>
    </mdx>
    <mdx n="33" f="v">
      <t c="4">
        <n x="115"/>
        <n x="1"/>
        <n x="7"/>
        <n x="1337" s="1"/>
      </t>
    </mdx>
    <mdx n="33" f="v">
      <t c="4">
        <n x="556"/>
        <n x="11"/>
        <n x="32"/>
        <n x="1337" s="1"/>
      </t>
    </mdx>
    <mdx n="33" f="v">
      <t c="4">
        <n x="303"/>
        <n x="11"/>
        <n x="32"/>
        <n x="1337" s="1"/>
      </t>
    </mdx>
    <mdx n="33" f="v">
      <t c="4" si="10">
        <n x="1214"/>
        <n x="12"/>
        <n x="32"/>
        <n x="1337" s="1"/>
      </t>
    </mdx>
    <mdx n="33" f="v">
      <t c="4">
        <n x="970"/>
        <n x="12"/>
        <n x="32"/>
        <n x="1337" s="1"/>
      </t>
    </mdx>
    <mdx n="33" f="v">
      <t c="4">
        <n x="378"/>
        <n x="12"/>
        <n x="32"/>
        <n x="1337" s="1"/>
      </t>
    </mdx>
    <mdx n="33" f="v">
      <t c="4">
        <n x="109"/>
        <n x="12"/>
        <n x="32"/>
        <n x="1337" s="1"/>
      </t>
    </mdx>
    <mdx n="33" f="v">
      <t c="4" si="10">
        <n x="608"/>
        <n x="14"/>
        <n x="32"/>
        <n x="1337" s="1"/>
      </t>
    </mdx>
    <mdx n="33" f="v">
      <t c="4">
        <n x="350"/>
        <n x="14"/>
        <n x="32"/>
        <n x="1337" s="1"/>
      </t>
    </mdx>
    <mdx n="33" f="v">
      <t c="4">
        <n x="285"/>
        <n x="1"/>
        <n x="32"/>
        <n x="1337" s="1"/>
      </t>
    </mdx>
    <mdx n="33" f="v">
      <t c="4">
        <n x="174"/>
        <n x="14"/>
        <n x="7"/>
        <n x="1337" s="1"/>
      </t>
    </mdx>
    <mdx n="33" f="v">
      <t c="4" si="9">
        <n x="488"/>
        <n x="1"/>
        <n x="7"/>
        <n x="1337" s="1"/>
      </t>
    </mdx>
    <mdx n="33" f="v">
      <t c="4">
        <n x="1265"/>
        <n x="12"/>
        <n x="32"/>
        <n x="1337" s="1"/>
      </t>
    </mdx>
    <mdx n="33" f="v">
      <t c="4">
        <n x="1101"/>
        <n x="14"/>
        <n x="32"/>
        <n x="1337" s="1"/>
      </t>
    </mdx>
    <mdx n="33" f="v">
      <t c="4">
        <n x="368"/>
        <n x="14"/>
        <n x="32"/>
        <n x="1337" s="1"/>
      </t>
    </mdx>
    <mdx n="33" f="v">
      <t c="4">
        <n x="130"/>
        <n x="1"/>
        <n x="32"/>
        <n x="1337" s="1"/>
      </t>
    </mdx>
    <mdx n="33" f="v">
      <t c="4">
        <n x="1312"/>
        <n x="0"/>
        <n x="7"/>
        <n x="1337" s="1"/>
      </t>
    </mdx>
    <mdx n="33" f="v">
      <t c="4">
        <n x="154"/>
        <n x="0"/>
        <n x="7"/>
        <n x="1337" s="1"/>
      </t>
    </mdx>
    <mdx n="33" f="v">
      <t c="4">
        <n x="1141"/>
        <n x="12"/>
        <n x="32"/>
        <n x="1337" s="1"/>
      </t>
    </mdx>
    <mdx n="33" f="v">
      <t c="4">
        <n x="84"/>
        <n x="1"/>
        <n x="32"/>
        <n x="1337" s="1"/>
      </t>
    </mdx>
    <mdx n="33" f="v">
      <t c="3">
        <n x="868"/>
        <n x="1336"/>
        <n x="1337" s="1"/>
      </t>
    </mdx>
    <mdx n="33" f="v">
      <t c="4">
        <n x="515"/>
        <n x="11"/>
        <n x="7"/>
        <n x="1337" s="1"/>
      </t>
    </mdx>
    <mdx n="33" f="v">
      <t c="4">
        <n x="146"/>
        <n x="1"/>
        <n x="7"/>
        <n x="1337" s="1"/>
      </t>
    </mdx>
    <mdx n="33" f="v">
      <t c="4">
        <n x="1001"/>
        <n x="12"/>
        <n x="32"/>
        <n x="1337" s="1"/>
      </t>
    </mdx>
    <mdx n="33" f="v">
      <t c="4" si="10">
        <n x="963"/>
        <n x="14"/>
        <n x="32"/>
        <n x="1337" s="1"/>
      </t>
    </mdx>
    <mdx n="33" f="v">
      <t c="4">
        <n x="198"/>
        <n x="14"/>
        <n x="32"/>
        <n x="1337" s="1"/>
      </t>
    </mdx>
    <mdx n="33" f="v">
      <t c="3">
        <n x="947"/>
        <n x="1336"/>
        <n x="1337" s="1"/>
      </t>
    </mdx>
    <mdx n="33" f="v">
      <t c="4">
        <n x="1243"/>
        <n x="0"/>
        <n x="7"/>
        <n x="1337" s="1"/>
      </t>
    </mdx>
    <mdx n="33" f="v">
      <t c="4" si="9">
        <n x="472"/>
        <n x="14"/>
        <n x="7"/>
        <n x="1337" s="1"/>
      </t>
    </mdx>
    <mdx n="33" f="v">
      <t c="4">
        <n x="531"/>
        <n x="14"/>
        <n x="32"/>
        <n x="1337" s="1"/>
      </t>
    </mdx>
    <mdx n="33" f="v">
      <t c="4">
        <n x="1177"/>
        <n x="0"/>
        <n x="7"/>
        <n x="1337" s="1"/>
      </t>
    </mdx>
    <mdx n="33" f="v">
      <t c="4">
        <n x="1276"/>
        <n x="0"/>
        <n x="32"/>
        <n x="1337" s="1"/>
      </t>
    </mdx>
    <mdx n="33" f="v">
      <t c="4">
        <n x="1057"/>
        <n x="1"/>
        <n x="7"/>
        <n x="1337" s="1"/>
      </t>
    </mdx>
    <mdx n="33" f="v">
      <t c="4">
        <n x="326"/>
        <n x="11"/>
        <n x="32"/>
        <n x="1337" s="1"/>
      </t>
    </mdx>
    <mdx n="33" f="v">
      <t c="4">
        <n x="162"/>
        <n x="12"/>
        <n x="32"/>
        <n x="1337" s="1"/>
      </t>
    </mdx>
    <mdx n="33" f="v">
      <t c="4" si="10">
        <n x="446"/>
        <n x="14"/>
        <n x="32"/>
        <n x="1337" s="1"/>
      </t>
    </mdx>
    <mdx n="33" f="v">
      <t c="4">
        <n x="295"/>
        <n x="1"/>
        <n x="32"/>
        <n x="1337" s="1"/>
      </t>
    </mdx>
    <mdx n="33" f="v">
      <t c="3">
        <n x="79"/>
        <n x="1336"/>
        <n x="1337" s="1"/>
      </t>
    </mdx>
    <mdx n="33" f="v">
      <t c="4" si="9">
        <n x="954"/>
        <n x="0"/>
        <n x="7"/>
        <n x="1337" s="1"/>
      </t>
    </mdx>
    <mdx n="33" f="v">
      <t c="4">
        <n x="929"/>
        <n x="1"/>
        <n x="32"/>
        <n x="1337" s="1"/>
      </t>
    </mdx>
    <mdx n="33" f="v">
      <t c="4">
        <n x="241"/>
        <n x="11"/>
        <n x="7"/>
        <n x="1337" s="1"/>
      </t>
    </mdx>
    <mdx n="33" f="v">
      <t c="4">
        <n x="1047"/>
        <n x="14"/>
        <n x="32"/>
        <n x="1337" s="1"/>
      </t>
    </mdx>
    <mdx n="33" f="v">
      <t c="4">
        <n x="1277"/>
        <n x="0"/>
        <n x="7"/>
        <n x="1337" s="1"/>
      </t>
    </mdx>
    <mdx n="33" f="v">
      <t c="4" si="9">
        <n x="869"/>
        <n x="0"/>
        <n x="7"/>
        <n x="1337" s="1"/>
      </t>
    </mdx>
    <mdx n="33" f="v">
      <t c="4" si="9">
        <n x="941"/>
        <n x="14"/>
        <n x="7"/>
        <n x="1337" s="1"/>
      </t>
    </mdx>
    <mdx n="33" f="v">
      <t c="4">
        <n x="714"/>
        <n x="11"/>
        <n x="7"/>
        <n x="1337" s="1"/>
      </t>
    </mdx>
    <mdx n="33" f="v">
      <t c="4">
        <n x="1050"/>
        <n x="12"/>
        <n x="7"/>
        <n x="1337" s="1"/>
      </t>
    </mdx>
    <mdx n="33" f="v">
      <t c="4" si="10">
        <n x="868"/>
        <n x="14"/>
        <n x="32"/>
        <n x="1337" s="1"/>
      </t>
    </mdx>
    <mdx n="33" f="v">
      <t c="4">
        <n x="145"/>
        <n x="1"/>
        <n x="7"/>
        <n x="1337" s="1"/>
      </t>
    </mdx>
    <mdx n="33" f="v">
      <t c="4">
        <n x="870"/>
        <n x="0"/>
        <n x="7"/>
        <n x="1337" s="1"/>
      </t>
    </mdx>
    <mdx n="33" f="v">
      <t c="4">
        <n x="323"/>
        <n x="11"/>
        <n x="7"/>
        <n x="1337" s="1"/>
      </t>
    </mdx>
    <mdx n="33" f="v">
      <t c="4">
        <n x="380"/>
        <n x="1"/>
        <n x="7"/>
        <n x="1337" s="1"/>
      </t>
    </mdx>
    <mdx n="33" f="v">
      <t c="4">
        <n x="332"/>
        <n x="11"/>
        <n x="32"/>
        <n x="1337" s="1"/>
      </t>
    </mdx>
    <mdx n="33" f="v">
      <t c="4">
        <n x="406"/>
        <n x="12"/>
        <n x="32"/>
        <n x="1337" s="1"/>
      </t>
    </mdx>
    <mdx n="33" f="v">
      <t c="4" si="9">
        <n x="688"/>
        <n x="0"/>
        <n x="7"/>
        <n x="1337" s="1"/>
      </t>
    </mdx>
    <mdx n="33" f="v">
      <t c="4">
        <n x="1036"/>
        <n x="0"/>
        <n x="7"/>
        <n x="1337" s="1"/>
      </t>
    </mdx>
    <mdx n="33" f="v">
      <t c="4">
        <n x="1068"/>
        <n x="11"/>
        <n x="7"/>
        <n x="1337" s="1"/>
      </t>
    </mdx>
    <mdx n="33" f="v">
      <t c="4">
        <n x="175"/>
        <n x="11"/>
        <n x="7"/>
        <n x="1337" s="1"/>
      </t>
    </mdx>
    <mdx n="33" f="v">
      <t c="4">
        <n x="359"/>
        <n x="1"/>
        <n x="7"/>
        <n x="1337" s="1"/>
      </t>
    </mdx>
    <mdx n="33" f="v">
      <t c="4">
        <n x="448"/>
        <n x="11"/>
        <n x="32"/>
        <n x="1337" s="1"/>
      </t>
    </mdx>
    <mdx n="33" f="v">
      <t c="4">
        <n x="510"/>
        <n x="12"/>
        <n x="32"/>
        <n x="1337" s="1"/>
      </t>
    </mdx>
    <mdx n="33" f="v">
      <t c="4">
        <n x="56"/>
        <n x="12"/>
        <n x="32"/>
        <n x="1337" s="1"/>
      </t>
    </mdx>
    <mdx n="33" f="v">
      <t c="4" si="10">
        <n x="602"/>
        <n x="12"/>
        <n x="32"/>
        <n x="1337" s="1"/>
      </t>
    </mdx>
    <mdx n="33" f="v">
      <t c="3">
        <n x="80"/>
        <n x="1336"/>
        <n x="1337" s="1"/>
      </t>
    </mdx>
    <mdx n="33" f="v">
      <t c="4">
        <n x="579"/>
        <n x="11"/>
        <n x="32"/>
        <n x="1337" s="1"/>
      </t>
    </mdx>
    <mdx n="33" f="v">
      <t c="4">
        <n x="237"/>
        <n x="14"/>
        <n x="7"/>
        <n x="1337" s="1"/>
      </t>
    </mdx>
    <mdx n="33" f="v">
      <t c="4">
        <n x="892"/>
        <n x="11"/>
        <n x="7"/>
        <n x="1337" s="1"/>
      </t>
    </mdx>
    <mdx n="33" f="v">
      <t c="4">
        <n x="461"/>
        <n x="11"/>
        <n x="7"/>
        <n x="1337" s="1"/>
      </t>
    </mdx>
    <mdx n="33" f="v">
      <t c="4">
        <n x="1043"/>
        <n x="11"/>
        <n x="7"/>
        <n x="1337" s="1"/>
      </t>
    </mdx>
    <mdx n="33" f="v">
      <t c="4" si="10">
        <n x="577"/>
        <n x="11"/>
        <n x="32"/>
        <n x="1337" s="1"/>
      </t>
    </mdx>
    <mdx n="33" f="v">
      <t c="4">
        <n x="58"/>
        <n x="12"/>
        <n x="32"/>
        <n x="1337" s="1"/>
      </t>
    </mdx>
    <mdx n="33" f="v">
      <t c="4">
        <n x="160"/>
        <n x="14"/>
        <n x="7"/>
        <n x="1337" s="1"/>
      </t>
    </mdx>
    <mdx n="33" f="v">
      <t c="4">
        <n x="448"/>
        <n x="1"/>
        <n x="7"/>
        <n x="1337" s="1"/>
      </t>
    </mdx>
    <mdx n="33" f="v">
      <t c="4">
        <n x="1194"/>
        <n x="12"/>
        <n x="32"/>
        <n x="1337" s="1"/>
      </t>
    </mdx>
    <mdx n="33" f="v">
      <t c="4" si="10">
        <n x="588"/>
        <n x="14"/>
        <n x="32"/>
        <n x="1337" s="1"/>
      </t>
    </mdx>
    <mdx n="33" f="v">
      <t c="4">
        <n x="209"/>
        <n x="1"/>
        <n x="7"/>
        <n x="1337" s="1"/>
      </t>
    </mdx>
    <mdx n="33" f="v">
      <t c="3">
        <n x="788"/>
        <n x="1336"/>
        <n x="1337" s="1"/>
      </t>
    </mdx>
    <mdx n="33" f="v">
      <t c="4">
        <n x="1301"/>
        <n x="0"/>
        <n x="7"/>
        <n x="1337" s="1"/>
      </t>
    </mdx>
    <mdx n="33" f="v">
      <t c="4">
        <n x="329"/>
        <n x="12"/>
        <n x="32"/>
        <n x="1337" s="1"/>
      </t>
    </mdx>
    <mdx n="33" f="v">
      <t c="4">
        <n x="1191"/>
        <n x="0"/>
        <n x="7"/>
        <n x="1337" s="1"/>
      </t>
    </mdx>
    <mdx n="33" f="v">
      <t c="4">
        <n x="570"/>
        <n x="11"/>
        <n x="7"/>
        <n x="1337" s="1"/>
      </t>
    </mdx>
    <mdx n="33" f="v">
      <t c="4" si="10">
        <n x="1081"/>
        <n x="14"/>
        <n x="32"/>
        <n x="1337" s="1"/>
      </t>
    </mdx>
    <mdx n="33" f="v">
      <t c="3">
        <n x="71"/>
        <n x="1336"/>
        <n x="1337" s="1"/>
      </t>
    </mdx>
    <mdx n="33" f="v">
      <t c="4">
        <n x="564"/>
        <n x="11"/>
        <n x="7"/>
        <n x="1337" s="1"/>
      </t>
    </mdx>
    <mdx n="33" f="v">
      <t c="4">
        <n x="424"/>
        <n x="1"/>
        <n x="32"/>
        <n x="1337" s="1"/>
      </t>
    </mdx>
    <mdx n="33" f="v">
      <t c="4">
        <n x="708"/>
        <n x="1"/>
        <n x="7"/>
        <n x="1337" s="1"/>
      </t>
    </mdx>
    <mdx n="33" f="v">
      <t c="4">
        <n x="1099"/>
        <n x="1"/>
        <n x="32"/>
        <n x="1337" s="1"/>
      </t>
    </mdx>
    <mdx n="33" f="v">
      <t c="4">
        <n x="884"/>
        <n x="12"/>
        <n x="7"/>
        <n x="1337" s="1"/>
      </t>
    </mdx>
    <mdx n="33" f="v">
      <t c="4">
        <n x="1093"/>
        <n x="14"/>
        <n x="7"/>
        <n x="1337" s="1"/>
      </t>
    </mdx>
    <mdx n="33" f="v">
      <t c="4">
        <n x="1082"/>
        <n x="11"/>
        <n x="7"/>
        <n x="1337" s="1"/>
      </t>
    </mdx>
    <mdx n="33" f="v">
      <t c="4">
        <n x="1180"/>
        <n x="12"/>
        <n x="32"/>
        <n x="1337" s="1"/>
      </t>
    </mdx>
    <mdx n="33" f="v">
      <t c="4">
        <n x="82"/>
        <n x="14"/>
        <n x="7"/>
        <n x="1337" s="1"/>
      </t>
    </mdx>
    <mdx n="33" f="v">
      <t c="4">
        <n x="1334"/>
        <n x="1"/>
        <n x="7"/>
        <n x="1337" s="1"/>
      </t>
    </mdx>
    <mdx n="33" f="v">
      <t c="4">
        <n x="1072"/>
        <n x="11"/>
        <n x="32"/>
        <n x="1337" s="1"/>
      </t>
    </mdx>
    <mdx n="33" f="v">
      <t c="4">
        <n x="1231"/>
        <n x="12"/>
        <n x="32"/>
        <n x="1337" s="1"/>
      </t>
    </mdx>
    <mdx n="33" f="v">
      <t c="4">
        <n x="421"/>
        <n x="12"/>
        <n x="32"/>
        <n x="1337" s="1"/>
      </t>
    </mdx>
    <mdx n="33" f="v">
      <t c="4" si="10">
        <n x="878"/>
        <n x="0"/>
        <n x="32"/>
        <n x="1337" s="1"/>
      </t>
    </mdx>
    <mdx n="33" f="v">
      <t c="4" si="10">
        <n x="1322"/>
        <n x="0"/>
        <n x="32"/>
        <n x="1337" s="1"/>
      </t>
    </mdx>
    <mdx n="33" f="v">
      <t c="4" si="9">
        <n x="488"/>
        <n x="11"/>
        <n x="7"/>
        <n x="1337" s="1"/>
      </t>
    </mdx>
    <mdx n="33" f="v">
      <t c="4">
        <n x="1034"/>
        <n x="1"/>
        <n x="7"/>
        <n x="1337" s="1"/>
      </t>
    </mdx>
    <mdx n="33" f="v">
      <t c="4">
        <n x="119"/>
        <n x="1"/>
        <n x="7"/>
        <n x="1337" s="1"/>
      </t>
    </mdx>
    <mdx n="33" f="v">
      <t c="4">
        <n x="302"/>
        <n x="11"/>
        <n x="32"/>
        <n x="1337" s="1"/>
      </t>
    </mdx>
    <mdx n="33" f="v">
      <t c="4" si="10">
        <n x="974"/>
        <n x="12"/>
        <n x="32"/>
        <n x="1337" s="1"/>
      </t>
    </mdx>
    <mdx n="33" f="v">
      <t c="4">
        <n x="155"/>
        <n x="12"/>
        <n x="32"/>
        <n x="1337" s="1"/>
      </t>
    </mdx>
    <mdx n="33" f="v">
      <t c="4">
        <n x="354"/>
        <n x="14"/>
        <n x="32"/>
        <n x="1337" s="1"/>
      </t>
    </mdx>
    <mdx n="33" f="v">
      <t c="4">
        <n x="206"/>
        <n x="14"/>
        <n x="7"/>
        <n x="1337" s="1"/>
      </t>
    </mdx>
    <mdx n="33" f="v">
      <t c="4">
        <n x="1281"/>
        <n x="12"/>
        <n x="32"/>
        <n x="1337" s="1"/>
      </t>
    </mdx>
    <mdx n="33" f="v">
      <t c="4">
        <n x="373"/>
        <n x="14"/>
        <n x="32"/>
        <n x="1337" s="1"/>
      </t>
    </mdx>
    <mdx n="33" f="v">
      <t c="4">
        <n x="1316"/>
        <n x="0"/>
        <n x="7"/>
        <n x="1337" s="1"/>
      </t>
    </mdx>
    <mdx n="33" f="v">
      <t c="4">
        <n x="1189"/>
        <n x="12"/>
        <n x="32"/>
        <n x="1337" s="1"/>
      </t>
    </mdx>
    <mdx n="33" f="v">
      <t c="4">
        <n x="862"/>
        <n x="0"/>
        <n x="7"/>
        <n x="1337" s="1"/>
      </t>
    </mdx>
    <mdx n="33" f="v">
      <t c="4">
        <n x="176"/>
        <n x="1"/>
        <n x="7"/>
        <n x="1337" s="1"/>
      </t>
    </mdx>
    <mdx n="33" f="v">
      <t c="4" si="10">
        <n x="971"/>
        <n x="14"/>
        <n x="32"/>
        <n x="1337" s="1"/>
      </t>
    </mdx>
    <mdx n="33" f="v">
      <t c="3">
        <n x="950"/>
        <n x="1336"/>
        <n x="1337" s="1"/>
      </t>
    </mdx>
    <mdx n="33" f="v">
      <t c="4">
        <n x="64"/>
        <n x="0"/>
        <n x="7"/>
        <n x="1337" s="1"/>
      </t>
    </mdx>
    <mdx n="33" f="v">
      <t c="4">
        <n x="1189"/>
        <n x="0"/>
        <n x="7"/>
        <n x="1337" s="1"/>
      </t>
    </mdx>
    <mdx n="33" f="v">
      <t c="4">
        <n x="1105"/>
        <n x="1"/>
        <n x="7"/>
        <n x="1337" s="1"/>
      </t>
    </mdx>
    <mdx n="33" f="v">
      <t c="4">
        <n x="1209"/>
        <n x="12"/>
        <n x="32"/>
        <n x="1337" s="1"/>
      </t>
    </mdx>
    <mdx n="33" f="v">
      <t c="4" si="10">
        <n x="581"/>
        <n x="14"/>
        <n x="32"/>
        <n x="1337" s="1"/>
      </t>
    </mdx>
    <mdx n="33" f="v">
      <t c="4" si="10">
        <n x="772"/>
        <n x="1"/>
        <n x="32"/>
        <n x="1337" s="1"/>
      </t>
    </mdx>
    <mdx n="33" f="v">
      <t c="4">
        <n x="1298"/>
        <n x="0"/>
        <n x="7"/>
        <n x="1337" s="1"/>
      </t>
    </mdx>
    <mdx n="33" f="v">
      <t c="4">
        <n x="54"/>
        <n x="0"/>
        <n x="7"/>
        <n x="1337" s="1"/>
      </t>
    </mdx>
    <mdx n="33" f="v">
      <t c="4">
        <n x="341"/>
        <n x="11"/>
        <n x="7"/>
        <n x="1337" s="1"/>
      </t>
    </mdx>
    <mdx n="33" f="v">
      <t c="4">
        <n x="375"/>
        <n x="14"/>
        <n x="32"/>
        <n x="1337" s="1"/>
      </t>
    </mdx>
    <mdx n="33" f="v">
      <t c="4">
        <n x="778"/>
        <n x="11"/>
        <n x="32"/>
        <n x="1337" s="1"/>
      </t>
    </mdx>
    <mdx n="33" f="v">
      <t c="4">
        <n x="903"/>
        <n x="1"/>
        <n x="7"/>
        <n x="1337" s="1"/>
      </t>
    </mdx>
    <mdx n="33" f="v">
      <t c="4">
        <n x="562"/>
        <n x="14"/>
        <n x="7"/>
        <n x="1337" s="1"/>
      </t>
    </mdx>
    <mdx n="33" f="v">
      <t c="4" si="10">
        <n x="967"/>
        <n x="0"/>
        <n x="32"/>
        <n x="1337" s="1"/>
      </t>
    </mdx>
    <mdx n="33" f="v">
      <t c="4">
        <n x="1041"/>
        <n x="11"/>
        <n x="7"/>
        <n x="1337" s="1"/>
      </t>
    </mdx>
    <mdx n="33" f="v">
      <t c="4">
        <n x="964"/>
        <n x="1"/>
        <n x="7"/>
        <n x="1337" s="1"/>
      </t>
    </mdx>
    <mdx n="33" f="v">
      <t c="4">
        <n x="905"/>
        <n x="1"/>
        <n x="32"/>
        <n x="1337" s="1"/>
      </t>
    </mdx>
    <mdx n="33" f="v">
      <t c="4">
        <n x="116"/>
        <n x="1"/>
        <n x="7"/>
        <n x="1337" s="1"/>
      </t>
    </mdx>
    <mdx n="33" f="v">
      <t c="4">
        <n x="725"/>
        <n x="0"/>
        <n x="7"/>
        <n x="1337" s="1"/>
      </t>
    </mdx>
    <mdx n="33" f="v">
      <t c="4">
        <n x="297"/>
        <n x="11"/>
        <n x="7"/>
        <n x="1337" s="1"/>
      </t>
    </mdx>
    <mdx n="33" f="v">
      <t c="4">
        <n x="202"/>
        <n x="11"/>
        <n x="32"/>
        <n x="1337" s="1"/>
      </t>
    </mdx>
    <mdx n="33" f="v">
      <t c="4" si="10">
        <n x="1004"/>
        <n x="14"/>
        <n x="32"/>
        <n x="1337" s="1"/>
      </t>
    </mdx>
    <mdx n="33" f="v">
      <t c="4">
        <n x="1005"/>
        <n x="12"/>
        <n x="32"/>
        <n x="1337" s="1"/>
      </t>
    </mdx>
    <mdx n="33" f="v">
      <t c="4">
        <n x="1026"/>
        <n x="11"/>
        <n x="32"/>
        <n x="1337" s="1"/>
      </t>
    </mdx>
    <mdx n="33" f="v">
      <t c="4">
        <n x="1083"/>
        <n x="14"/>
        <n x="32"/>
        <n x="1337" s="1"/>
      </t>
    </mdx>
    <mdx n="33" f="v">
      <t c="4">
        <n x="82"/>
        <n x="12"/>
        <n x="32"/>
        <n x="1337" s="1"/>
      </t>
    </mdx>
    <mdx n="33" f="v">
      <t c="4" si="10">
        <n x="1029"/>
        <n x="12"/>
        <n x="32"/>
        <n x="1337" s="1"/>
      </t>
    </mdx>
    <mdx n="33" f="v">
      <t c="3">
        <n x="125"/>
        <n x="1336"/>
        <n x="1337" s="1"/>
      </t>
    </mdx>
    <mdx n="33" f="v">
      <t c="4" si="10">
        <n x="467"/>
        <n x="12"/>
        <n x="32"/>
        <n x="1337" s="1"/>
      </t>
    </mdx>
    <mdx n="33" f="v">
      <t c="4">
        <n x="140"/>
        <n x="12"/>
        <n x="32"/>
        <n x="1337" s="1"/>
      </t>
    </mdx>
    <mdx n="33" f="v">
      <t c="4">
        <n x="310"/>
        <n x="1"/>
        <n x="7"/>
        <n x="1337" s="1"/>
      </t>
    </mdx>
    <mdx n="33" f="v">
      <t c="3">
        <n x="637"/>
        <n x="1336"/>
        <n x="1337" s="1"/>
      </t>
    </mdx>
    <mdx n="33" f="v">
      <t c="4">
        <n x="628"/>
        <n x="1"/>
        <n x="32"/>
        <n x="1337" s="1"/>
      </t>
    </mdx>
    <mdx n="33" f="v">
      <t c="4">
        <n x="705"/>
        <n x="0"/>
        <n x="7"/>
        <n x="1337" s="1"/>
      </t>
    </mdx>
    <mdx n="33" f="v">
      <t c="4" si="10">
        <n x="729"/>
        <n x="11"/>
        <n x="32"/>
        <n x="1337" s="1"/>
      </t>
    </mdx>
    <mdx n="33" f="v">
      <t c="4">
        <n x="896"/>
        <n x="1"/>
        <n x="7"/>
        <n x="1337" s="1"/>
      </t>
    </mdx>
    <mdx n="33" f="v">
      <t c="3" fi="0">
        <n x="560"/>
        <n x="1336"/>
        <n x="1337" s="1"/>
      </t>
    </mdx>
    <mdx n="33" f="v">
      <t c="4" si="10">
        <n x="1129"/>
        <n x="0"/>
        <n x="32"/>
        <n x="1337" s="1"/>
      </t>
    </mdx>
    <mdx n="33" f="v">
      <t c="4">
        <n x="915"/>
        <n x="0"/>
        <n x="32"/>
        <n x="1337" s="1"/>
      </t>
    </mdx>
    <mdx n="33" f="v">
      <t c="4">
        <n x="1181"/>
        <n x="12"/>
        <n x="7"/>
        <n x="1337" s="1"/>
      </t>
    </mdx>
    <mdx n="33" f="v">
      <t c="4">
        <n x="672"/>
        <n x="11"/>
        <n x="7"/>
        <n x="1337" s="1"/>
      </t>
    </mdx>
    <mdx n="33" f="v">
      <t c="4">
        <n x="344"/>
        <n x="11"/>
        <n x="7"/>
        <n x="1337" s="1"/>
      </t>
    </mdx>
    <mdx n="33" f="v">
      <t c="4">
        <n x="357"/>
        <n x="11"/>
        <n x="32"/>
        <n x="1337" s="1"/>
      </t>
    </mdx>
    <mdx n="33" f="v">
      <t c="4">
        <n x="193"/>
        <n x="12"/>
        <n x="32"/>
        <n x="1337" s="1"/>
      </t>
    </mdx>
    <mdx n="33" f="v">
      <t c="4" si="10">
        <n x="1224"/>
        <n x="0"/>
        <n x="32"/>
        <n x="1337" s="1"/>
      </t>
    </mdx>
    <mdx n="33" f="v">
      <t c="4">
        <n x="726"/>
        <n x="0"/>
        <n x="32"/>
        <n x="1337" s="1"/>
      </t>
    </mdx>
    <mdx n="33" f="v">
      <t c="4">
        <n x="1194"/>
        <n x="12"/>
        <n x="7"/>
        <n x="1337" s="1"/>
      </t>
    </mdx>
    <mdx n="33" f="v">
      <t c="4">
        <n x="887"/>
        <n x="1"/>
        <n x="7"/>
        <n x="1337" s="1"/>
      </t>
    </mdx>
    <mdx n="33" f="v">
      <t c="4" si="10">
        <n x="1027"/>
        <n x="1"/>
        <n x="32"/>
        <n x="1337" s="1"/>
      </t>
    </mdx>
    <mdx n="33" f="v">
      <t c="4">
        <n x="1014"/>
        <n x="14"/>
        <n x="7"/>
        <n x="1337" s="1"/>
      </t>
    </mdx>
    <mdx n="33" f="v">
      <t c="4">
        <n x="850"/>
        <n x="14"/>
        <n x="7"/>
        <n x="1337" s="1"/>
      </t>
    </mdx>
    <mdx n="33" f="v">
      <t c="4" si="10">
        <n x="946"/>
        <n x="0"/>
        <n x="32"/>
        <n x="1337" s="1"/>
      </t>
    </mdx>
    <mdx n="33" f="v">
      <t c="4">
        <n x="1175"/>
        <n x="12"/>
        <n x="7"/>
        <n x="1337" s="1"/>
      </t>
    </mdx>
    <mdx n="33" f="v">
      <t c="4">
        <n x="122"/>
        <n x="14"/>
        <n x="7"/>
        <n x="1337" s="1"/>
      </t>
    </mdx>
    <mdx n="33" f="v">
      <t c="4" si="10">
        <n x="1190"/>
        <n x="0"/>
        <n x="32"/>
        <n x="1337" s="1"/>
      </t>
    </mdx>
    <mdx n="33" f="v">
      <t c="4">
        <n x="1100"/>
        <n x="1"/>
        <n x="7"/>
        <n x="1337" s="1"/>
      </t>
    </mdx>
    <mdx n="33" f="v">
      <t c="4">
        <n x="369"/>
        <n x="11"/>
        <n x="32"/>
        <n x="1337" s="1"/>
      </t>
    </mdx>
    <mdx n="33" f="v">
      <t c="4">
        <n x="205"/>
        <n x="12"/>
        <n x="32"/>
        <n x="1337" s="1"/>
      </t>
    </mdx>
    <mdx n="33" f="v">
      <t c="4" si="10">
        <n x="1200"/>
        <n x="0"/>
        <n x="32"/>
        <n x="1337" s="1"/>
      </t>
    </mdx>
    <mdx n="33" f="v">
      <t c="4">
        <n x="739"/>
        <n x="12"/>
        <n x="7"/>
        <n x="1337" s="1"/>
      </t>
    </mdx>
    <mdx n="33" f="v">
      <t c="4">
        <n x="1266"/>
        <n x="12"/>
        <n x="7"/>
        <n x="1337" s="1"/>
      </t>
    </mdx>
    <mdx n="33" f="v">
      <t c="4" si="10">
        <n x="892"/>
        <n x="0"/>
        <n x="32"/>
        <n x="1337" s="1"/>
      </t>
    </mdx>
    <mdx n="33" f="v">
      <t c="4">
        <n x="1034"/>
        <n x="0"/>
        <n x="7"/>
        <n x="1337" s="1"/>
      </t>
    </mdx>
    <mdx n="33" f="v">
      <t c="4">
        <n x="978"/>
        <n x="14"/>
        <n x="7"/>
        <n x="1337" s="1"/>
      </t>
    </mdx>
    <mdx n="33" f="v">
      <t c="4">
        <n x="854"/>
        <n x="1"/>
        <n x="7"/>
        <n x="1337" s="1"/>
      </t>
    </mdx>
    <mdx n="33" f="v">
      <t c="4">
        <n x="950"/>
        <n x="1"/>
        <n x="7"/>
        <n x="1337" s="1"/>
      </t>
    </mdx>
    <mdx n="33" f="v">
      <t c="4">
        <n x="1193"/>
        <n x="12"/>
        <n x="7"/>
        <n x="1337" s="1"/>
      </t>
    </mdx>
    <mdx n="33" f="v">
      <t c="4">
        <n x="71"/>
        <n x="14"/>
        <n x="7"/>
        <n x="1337" s="1"/>
      </t>
    </mdx>
    <mdx n="33" f="v">
      <t c="4" si="10">
        <n x="1262"/>
        <n x="0"/>
        <n x="32"/>
        <n x="1337" s="1"/>
      </t>
    </mdx>
    <mdx n="33" f="v">
      <t c="4">
        <n x="1064"/>
        <n x="1"/>
        <n x="7"/>
        <n x="1337" s="1"/>
      </t>
    </mdx>
    <mdx n="33" f="v">
      <t c="4">
        <n x="333"/>
        <n x="11"/>
        <n x="32"/>
        <n x="1337" s="1"/>
      </t>
    </mdx>
    <mdx n="33" f="v">
      <t c="4">
        <n x="169"/>
        <n x="12"/>
        <n x="32"/>
        <n x="1337" s="1"/>
      </t>
    </mdx>
    <mdx n="33" f="v">
      <t c="4" si="10">
        <n x="1272"/>
        <n x="0"/>
        <n x="32"/>
        <n x="1337" s="1"/>
      </t>
    </mdx>
    <mdx n="33" f="v">
      <t c="4">
        <n x="1059"/>
        <n x="1"/>
        <n x="7"/>
        <n x="1337" s="1"/>
      </t>
    </mdx>
    <mdx n="33" f="v">
      <t c="4">
        <n x="328"/>
        <n x="11"/>
        <n x="32"/>
        <n x="1337" s="1"/>
      </t>
    </mdx>
    <mdx n="33" f="v">
      <t c="4">
        <n x="922"/>
        <n x="14"/>
        <n x="32"/>
        <n x="1337" s="1"/>
      </t>
    </mdx>
    <mdx n="33" f="v">
      <t c="4" si="10">
        <n x="1008"/>
        <n x="1"/>
        <n x="32"/>
        <n x="1337" s="1"/>
      </t>
    </mdx>
    <mdx n="33" f="v">
      <t c="4">
        <n x="418"/>
        <n x="1"/>
        <n x="7"/>
        <n x="1337" s="1"/>
      </t>
    </mdx>
    <mdx n="33" f="v">
      <t c="4">
        <n x="404"/>
        <n x="11"/>
        <n x="7"/>
        <n x="1337" s="1"/>
      </t>
    </mdx>
    <mdx n="33" f="v">
      <t c="4">
        <n x="401"/>
        <n x="11"/>
        <n x="32"/>
        <n x="1337" s="1"/>
      </t>
    </mdx>
    <mdx n="33" f="v">
      <t c="4">
        <n x="156"/>
        <n x="12"/>
        <n x="32"/>
        <n x="1337" s="1"/>
      </t>
    </mdx>
    <mdx n="33" f="v">
      <t c="4">
        <n x="74"/>
        <n x="14"/>
        <n x="7"/>
        <n x="1337" s="1"/>
      </t>
    </mdx>
    <mdx n="33" f="v">
      <t c="4">
        <n x="444"/>
        <n x="1"/>
        <n x="7"/>
        <n x="1337" s="1"/>
      </t>
    </mdx>
    <mdx n="33" f="v">
      <t c="4">
        <n x="404"/>
        <n x="11"/>
        <n x="32"/>
        <n x="1337" s="1"/>
      </t>
    </mdx>
    <mdx n="33" f="v">
      <t c="4" si="10">
        <n x="1238"/>
        <n x="12"/>
        <n x="32"/>
        <n x="1337" s="1"/>
      </t>
    </mdx>
    <mdx n="33" f="v">
      <t c="4" si="10">
        <n x="599"/>
        <n x="12"/>
        <n x="32"/>
        <n x="1337" s="1"/>
      </t>
    </mdx>
    <mdx n="33" f="v">
      <t c="4">
        <n x="980"/>
        <n x="1"/>
        <n x="32"/>
        <n x="1337" s="1"/>
      </t>
    </mdx>
    <mdx n="33" f="v">
      <t c="4" si="9">
        <n x="581"/>
        <n x="14"/>
        <n x="7"/>
        <n x="1337" s="1"/>
      </t>
    </mdx>
    <mdx n="33" f="v">
      <t c="4">
        <n x="1044"/>
        <n x="0"/>
        <n x="7"/>
        <n x="1337" s="1"/>
      </t>
    </mdx>
    <mdx n="33" f="v">
      <t c="4">
        <n x="559"/>
        <n x="1"/>
        <n x="7"/>
        <n x="1337" s="1"/>
      </t>
    </mdx>
    <mdx n="33" f="v">
      <t c="4">
        <n x="1192"/>
        <n x="12"/>
        <n x="32"/>
        <n x="1337" s="1"/>
      </t>
    </mdx>
    <mdx n="33" f="v">
      <t c="4" si="10">
        <n x="569"/>
        <n x="12"/>
        <n x="32"/>
        <n x="1337" s="1"/>
      </t>
    </mdx>
    <mdx n="33" f="v">
      <t c="4">
        <n x="257"/>
        <n x="12"/>
        <n x="32"/>
        <n x="1337" s="1"/>
      </t>
    </mdx>
    <mdx n="33" f="v">
      <t c="4" si="10">
        <n x="604"/>
        <n x="1"/>
        <n x="32"/>
        <n x="1337" s="1"/>
      </t>
    </mdx>
    <mdx n="33" f="v">
      <t c="4">
        <n x="912"/>
        <n x="14"/>
        <n x="32"/>
        <n x="1337" s="1"/>
      </t>
    </mdx>
    <mdx n="33" f="v">
      <t c="4" si="10">
        <n x="1128"/>
        <n x="0"/>
        <n x="32"/>
        <n x="1337" s="1"/>
      </t>
    </mdx>
    <mdx n="33" f="v">
      <t c="4">
        <n x="93"/>
        <n x="12"/>
        <n x="7"/>
        <n x="1337" s="1"/>
      </t>
    </mdx>
    <mdx n="33" f="v">
      <t c="4" si="10">
        <n x="773"/>
        <n x="0"/>
        <n x="32"/>
        <n x="1337" s="1"/>
      </t>
    </mdx>
    <mdx n="33" f="v">
      <t c="4" si="10">
        <n x="704"/>
        <n x="14"/>
        <n x="32"/>
        <n x="1337" s="1"/>
      </t>
    </mdx>
    <mdx n="33" f="v">
      <t c="4">
        <n x="310"/>
        <n x="0"/>
        <n x="7"/>
        <n x="1337" s="1"/>
      </t>
    </mdx>
    <mdx n="33" f="v">
      <t c="3">
        <n x="907"/>
        <n x="1336"/>
        <n x="1337" s="1"/>
      </t>
    </mdx>
    <mdx n="33" f="v">
      <t c="4">
        <n x="1113"/>
        <n x="0"/>
        <n x="7"/>
        <n x="1337" s="1"/>
      </t>
    </mdx>
    <mdx n="33" f="v">
      <t c="4" si="10">
        <n x="697"/>
        <n x="0"/>
        <n x="32"/>
        <n x="1337" s="1"/>
      </t>
    </mdx>
    <mdx n="33" f="v">
      <t c="4">
        <n x="839"/>
        <n x="1"/>
        <n x="7"/>
        <n x="1337" s="1"/>
      </t>
    </mdx>
    <mdx n="33" f="v">
      <t c="4">
        <n x="881"/>
        <n x="11"/>
        <n x="7"/>
        <n x="1337" s="1"/>
      </t>
    </mdx>
    <mdx n="33" f="v">
      <t c="4">
        <n x="921"/>
        <n x="11"/>
        <n x="7"/>
        <n x="1337" s="1"/>
      </t>
    </mdx>
    <mdx n="33" f="v">
      <t c="4" si="9">
        <n x="954"/>
        <n x="14"/>
        <n x="7"/>
        <n x="1337" s="1"/>
      </t>
    </mdx>
    <mdx n="33" f="v">
      <t c="4">
        <n x="1018"/>
        <n x="0"/>
        <n x="32"/>
        <n x="1337" s="1"/>
      </t>
    </mdx>
    <mdx n="33" f="v">
      <t c="4">
        <n x="1082"/>
        <n x="0"/>
        <n x="32"/>
        <n x="1337" s="1"/>
      </t>
    </mdx>
    <mdx n="33" f="v">
      <t c="4">
        <n x="1147"/>
        <n x="0"/>
        <n x="32"/>
        <n x="1337" s="1"/>
      </t>
    </mdx>
    <mdx n="33" f="v">
      <t c="4" si="10">
        <n x="1275"/>
        <n x="0"/>
        <n x="32"/>
        <n x="1337" s="1"/>
      </t>
    </mdx>
    <mdx n="33" f="v">
      <t c="4">
        <n x="998"/>
        <n x="14"/>
        <n x="7"/>
        <n x="1337" s="1"/>
      </t>
    </mdx>
    <mdx n="33" f="v">
      <t c="4">
        <n x="455"/>
        <n x="14"/>
        <n x="7"/>
        <n x="1337" s="1"/>
      </t>
    </mdx>
    <mdx n="33" f="v">
      <t c="4">
        <n x="706"/>
        <n x="12"/>
        <n x="7"/>
        <n x="1337" s="1"/>
      </t>
    </mdx>
    <mdx n="33" f="v">
      <t c="4" si="10">
        <n x="805"/>
        <n x="11"/>
        <n x="32"/>
        <n x="1337" s="1"/>
      </t>
    </mdx>
    <mdx n="33" f="v">
      <t c="4">
        <n x="852"/>
        <n x="11"/>
        <n x="7"/>
        <n x="1337" s="1"/>
      </t>
    </mdx>
    <mdx n="33" f="v">
      <t c="4">
        <n x="876"/>
        <n x="12"/>
        <n x="7"/>
        <n x="1337" s="1"/>
      </t>
    </mdx>
    <mdx n="33" f="v">
      <t c="4">
        <n x="899"/>
        <n x="0"/>
        <n x="7"/>
        <n x="1337" s="1"/>
      </t>
    </mdx>
    <mdx n="33" f="v">
      <t c="4">
        <n x="922"/>
        <n x="1"/>
        <n x="7"/>
        <n x="1337" s="1"/>
      </t>
    </mdx>
    <mdx n="33" f="v">
      <t c="4" si="10">
        <n x="948"/>
        <n x="0"/>
        <n x="32"/>
        <n x="1337" s="1"/>
      </t>
    </mdx>
    <mdx n="33" f="v">
      <t c="4">
        <n x="994"/>
        <n x="12"/>
        <n x="7"/>
        <n x="1337" s="1"/>
      </t>
    </mdx>
    <mdx n="33" f="v">
      <t c="3">
        <n x="1045"/>
        <n x="1336"/>
        <n x="1337" s="1"/>
      </t>
    </mdx>
    <mdx n="33" f="v">
      <t c="4">
        <n x="1096"/>
        <n x="1"/>
        <n x="32"/>
        <n x="1337" s="1"/>
      </t>
    </mdx>
    <mdx n="33" f="v">
      <t c="4">
        <n x="1183"/>
        <n x="12"/>
        <n x="7"/>
        <n x="1337" s="1"/>
      </t>
    </mdx>
    <mdx n="33" f="v">
      <t c="4">
        <n x="1311"/>
        <n x="12"/>
        <n x="7"/>
        <n x="1337" s="1"/>
      </t>
    </mdx>
    <mdx n="33" f="v">
      <t c="4" si="9">
        <n x="609"/>
        <n x="14"/>
        <n x="7"/>
        <n x="1337" s="1"/>
      </t>
    </mdx>
    <mdx n="33" f="v">
      <t c="4">
        <n x="330"/>
        <n x="14"/>
        <n x="7"/>
        <n x="1337" s="1"/>
      </t>
    </mdx>
    <mdx n="33" f="v">
      <t c="4">
        <n x="70"/>
        <n x="14"/>
        <n x="7"/>
        <n x="1337" s="1"/>
      </t>
    </mdx>
    <mdx n="33" f="v">
      <t c="4">
        <n x="589"/>
        <n x="11"/>
        <n x="7"/>
        <n x="1337" s="1"/>
      </t>
    </mdx>
    <mdx n="33" f="v">
      <t c="4">
        <n x="859"/>
        <n x="11"/>
        <n x="7"/>
        <n x="1337" s="1"/>
      </t>
    </mdx>
    <mdx n="33" f="v">
      <t c="3">
        <n x="958"/>
        <n x="1336"/>
        <n x="1337" s="1"/>
      </t>
    </mdx>
    <mdx n="33" f="v">
      <t c="4">
        <n x="1222"/>
        <n x="0"/>
        <n x="32"/>
        <n x="1337" s="1"/>
      </t>
    </mdx>
    <mdx n="33" f="v">
      <t c="4">
        <n x="180"/>
        <n x="14"/>
        <n x="7"/>
        <n x="1337" s="1"/>
      </t>
    </mdx>
    <mdx n="33" f="v">
      <t c="4">
        <n x="542"/>
        <n x="11"/>
        <n x="7"/>
        <n x="1337" s="1"/>
      </t>
    </mdx>
    <mdx n="33" f="v">
      <t c="4">
        <n x="291"/>
        <n x="11"/>
        <n x="7"/>
        <n x="1337" s="1"/>
      </t>
    </mdx>
    <mdx n="33" f="v">
      <t c="4">
        <n x="1084"/>
        <n x="1"/>
        <n x="7"/>
        <n x="1337" s="1"/>
      </t>
    </mdx>
    <mdx n="33" f="v">
      <t c="4" si="9">
        <n x="491"/>
        <n x="1"/>
        <n x="7"/>
        <n x="1337" s="1"/>
      </t>
    </mdx>
    <mdx n="33" f="v">
      <t c="4">
        <n x="204"/>
        <n x="1"/>
        <n x="7"/>
        <n x="1337" s="1"/>
      </t>
    </mdx>
    <mdx n="33" f="v">
      <t c="4">
        <n x="610"/>
        <n x="11"/>
        <n x="32"/>
        <n x="1337" s="1"/>
      </t>
    </mdx>
    <mdx n="33" f="v">
      <t c="4">
        <n x="353"/>
        <n x="11"/>
        <n x="32"/>
        <n x="1337" s="1"/>
      </t>
    </mdx>
    <mdx n="33" f="v">
      <t c="4">
        <n x="1268"/>
        <n x="12"/>
        <n x="32"/>
        <n x="1337" s="1"/>
      </t>
    </mdx>
    <mdx n="33" f="v">
      <t c="4">
        <n x="1024"/>
        <n x="12"/>
        <n x="32"/>
        <n x="1337" s="1"/>
      </t>
    </mdx>
    <mdx n="33" f="v">
      <t c="4">
        <n x="399"/>
        <n x="12"/>
        <n x="32"/>
        <n x="1337" s="1"/>
      </t>
    </mdx>
    <mdx n="33" f="v">
      <t c="4">
        <n x="189"/>
        <n x="12"/>
        <n x="32"/>
        <n x="1337" s="1"/>
      </t>
    </mdx>
    <mdx n="33" f="v">
      <t c="4" si="10">
        <n x="998"/>
        <n x="14"/>
        <n x="32"/>
        <n x="1337" s="1"/>
      </t>
    </mdx>
    <mdx n="33" f="v">
      <t c="4">
        <n x="861"/>
        <n x="1"/>
        <n x="7"/>
        <n x="1337" s="1"/>
      </t>
    </mdx>
    <mdx n="33" f="v">
      <t c="3">
        <n x="962"/>
        <n x="1336"/>
        <n x="1337" s="1"/>
      </t>
    </mdx>
    <mdx n="33" f="v">
      <t c="4" si="10">
        <n x="1232"/>
        <n x="0"/>
        <n x="32"/>
        <n x="1337" s="1"/>
      </t>
    </mdx>
    <mdx n="33" f="v">
      <t c="4">
        <n x="171"/>
        <n x="0"/>
        <n x="32"/>
        <n x="1337" s="1"/>
      </t>
    </mdx>
    <mdx n="33" f="v">
      <t c="6" si="9">
        <n x="15"/>
        <n x="1337" s="1"/>
        <n x="42"/>
        <n x="7"/>
        <n x="6"/>
        <n x="0"/>
      </t>
    </mdx>
    <mdx n="33" f="v">
      <t c="4">
        <n x="820"/>
        <n x="14"/>
        <n x="7"/>
        <n x="1337" s="1"/>
      </t>
    </mdx>
    <mdx n="33" f="v">
      <t c="4">
        <n x="744"/>
        <n x="14"/>
        <n x="7"/>
        <n x="1337" s="1"/>
      </t>
    </mdx>
    <mdx n="33" f="v">
      <t c="4">
        <n x="844"/>
        <n x="1"/>
        <n x="32"/>
        <n x="1337" s="1"/>
      </t>
    </mdx>
    <mdx n="33" f="v">
      <t c="4">
        <n x="873"/>
        <n x="12"/>
        <n x="32"/>
        <n x="1337" s="1"/>
      </t>
    </mdx>
    <mdx n="33" f="v">
      <t c="4" si="10">
        <n x="989"/>
        <n x="0"/>
        <n x="32"/>
        <n x="1337" s="1"/>
      </t>
    </mdx>
    <mdx n="33" f="v">
      <t c="4">
        <n x="1298"/>
        <n x="12"/>
        <n x="7"/>
        <n x="1337" s="1"/>
      </t>
    </mdx>
    <mdx n="33" f="v">
      <t c="3">
        <n x="677"/>
        <n x="1336"/>
        <n x="1337" s="1"/>
      </t>
    </mdx>
    <mdx n="33" f="v">
      <t c="4">
        <n x="813"/>
        <n x="11"/>
        <n x="7"/>
        <n x="1337" s="1"/>
      </t>
    </mdx>
    <mdx n="33" f="v">
      <t c="4">
        <n x="862"/>
        <n x="14"/>
        <n x="7"/>
        <n x="1337" s="1"/>
      </t>
    </mdx>
    <mdx n="33" f="v">
      <t c="4">
        <n x="893"/>
        <n x="11"/>
        <n x="7"/>
        <n x="1337" s="1"/>
      </t>
    </mdx>
    <mdx n="33" f="v">
      <t c="4">
        <n x="919"/>
        <n x="1"/>
        <n x="32"/>
        <n x="1337" s="1"/>
      </t>
    </mdx>
    <mdx n="33" f="v">
      <t c="4" si="10">
        <n x="943"/>
        <n x="14"/>
        <n x="32"/>
        <n x="1337" s="1"/>
      </t>
    </mdx>
    <mdx n="33" f="v">
      <t c="4">
        <n x="986"/>
        <n x="0"/>
        <n x="7"/>
        <n x="1337" s="1"/>
      </t>
    </mdx>
    <mdx n="33" f="v">
      <t c="4" si="10">
        <n x="1038"/>
        <n x="0"/>
        <n x="32"/>
        <n x="1337" s="1"/>
      </t>
    </mdx>
    <mdx n="33" f="v">
      <t c="4">
        <n x="1089"/>
        <n x="12"/>
        <n x="7"/>
        <n x="1337" s="1"/>
      </t>
    </mdx>
    <mdx n="33" f="v">
      <t c="4" si="10">
        <n x="1165"/>
        <n x="0"/>
        <n x="32"/>
        <n x="1337" s="1"/>
      </t>
    </mdx>
    <mdx n="33" f="v">
      <t c="4">
        <n x="1293"/>
        <n x="0"/>
        <n x="32"/>
        <n x="1337" s="1"/>
      </t>
    </mdx>
    <mdx n="33" f="v">
      <t c="4">
        <n x="962"/>
        <n x="14"/>
        <n x="7"/>
        <n x="1337" s="1"/>
      </t>
    </mdx>
    <mdx n="33" f="v">
      <t c="4">
        <n x="367"/>
        <n x="14"/>
        <n x="7"/>
        <n x="1337" s="1"/>
      </t>
    </mdx>
    <mdx n="33" f="v">
      <t c="3">
        <n x="719"/>
        <n x="1336"/>
        <n x="1337" s="1"/>
      </t>
    </mdx>
    <mdx n="33" f="v">
      <t c="4">
        <n x="818"/>
        <n x="14"/>
        <n x="32"/>
        <n x="1337" s="1"/>
      </t>
    </mdx>
    <mdx n="33" f="v">
      <t c="4" si="9">
        <n x="856"/>
        <n x="12"/>
        <n x="7"/>
        <n x="1337" s="1"/>
      </t>
    </mdx>
    <mdx n="33" f="v">
      <t c="4">
        <n x="879"/>
        <n x="0"/>
        <n x="7"/>
        <n x="1337" s="1"/>
      </t>
    </mdx>
    <mdx n="33" f="v">
      <t c="4">
        <n x="902"/>
        <n x="1"/>
        <n x="7"/>
        <n x="1337" s="1"/>
      </t>
    </mdx>
    <mdx n="33" f="v">
      <t c="4">
        <n x="925"/>
        <n x="14"/>
        <n x="7"/>
        <n x="1337" s="1"/>
      </t>
    </mdx>
    <mdx n="33" f="v">
      <t c="4">
        <n x="952"/>
        <n x="1"/>
        <n x="7"/>
        <n x="1337" s="1"/>
      </t>
    </mdx>
    <mdx n="33" f="v">
      <t c="3">
        <n x="1001"/>
        <n x="1336"/>
        <n x="1337" s="1"/>
      </t>
    </mdx>
    <mdx n="33" f="v">
      <t c="4" si="10">
        <n x="1052"/>
        <n x="1"/>
        <n x="32"/>
        <n x="1337" s="1"/>
      </t>
    </mdx>
    <mdx n="33" f="v">
      <t c="4">
        <n x="1103"/>
        <n x="0"/>
        <n x="7"/>
        <n x="1337" s="1"/>
      </t>
    </mdx>
    <mdx n="33" f="v">
      <t c="4">
        <n x="1201"/>
        <n x="12"/>
        <n x="7"/>
        <n x="1337" s="1"/>
      </t>
    </mdx>
    <mdx n="33" f="v">
      <t c="4">
        <n x="1329"/>
        <n x="12"/>
        <n x="7"/>
        <n x="1337" s="1"/>
      </t>
    </mdx>
    <mdx n="33" f="v">
      <t c="4">
        <n x="573"/>
        <n x="14"/>
        <n x="7"/>
        <n x="1337" s="1"/>
      </t>
    </mdx>
    <mdx n="33" f="v">
      <t c="4">
        <n x="248"/>
        <n x="14"/>
        <n x="7"/>
        <n x="1337" s="1"/>
      </t>
    </mdx>
    <mdx n="33" f="v">
      <t c="4">
        <n x="1318"/>
        <n x="11"/>
        <n x="7"/>
        <n x="1337" s="1"/>
      </t>
    </mdx>
    <mdx n="33" f="v">
      <t c="4">
        <n x="553"/>
        <n x="11"/>
        <n x="7"/>
        <n x="1337" s="1"/>
      </t>
    </mdx>
    <mdx n="33" f="v">
      <t c="4">
        <n x="872"/>
        <n x="14"/>
        <n x="7"/>
        <n x="1337" s="1"/>
      </t>
    </mdx>
    <mdx n="33" f="v">
      <t c="4">
        <n x="987"/>
        <n x="12"/>
        <n x="7"/>
        <n x="1337" s="1"/>
      </t>
    </mdx>
    <mdx n="33" f="v">
      <t c="4" si="10">
        <n x="1294"/>
        <n x="0"/>
        <n x="32"/>
        <n x="1337" s="1"/>
      </t>
    </mdx>
    <mdx n="33" f="v">
      <t c="4">
        <n x="127"/>
        <n x="14"/>
        <n x="7"/>
        <n x="1337" s="1"/>
      </t>
    </mdx>
    <mdx n="33" f="v">
      <t c="4" si="9">
        <n x="502"/>
        <n x="11"/>
        <n x="7"/>
        <n x="1337" s="1"/>
      </t>
    </mdx>
    <mdx n="33" f="v">
      <t c="4">
        <n x="240"/>
        <n x="11"/>
        <n x="7"/>
        <n x="1337" s="1"/>
      </t>
    </mdx>
    <mdx n="33" f="v">
      <t c="4">
        <n x="1048"/>
        <n x="1"/>
        <n x="7"/>
        <n x="1337" s="1"/>
      </t>
    </mdx>
    <mdx n="33" f="v">
      <t c="4">
        <n x="454"/>
        <n x="1"/>
        <n x="7"/>
        <n x="1337" s="1"/>
      </t>
    </mdx>
    <mdx n="33" f="v">
      <t c="4">
        <n x="133"/>
        <n x="1"/>
        <n x="7"/>
        <n x="1337" s="1"/>
      </t>
    </mdx>
    <mdx n="33" f="v">
      <t c="4" si="10">
        <n x="574"/>
        <n x="11"/>
        <n x="32"/>
        <n x="1337" s="1"/>
      </t>
    </mdx>
    <mdx n="33" f="v">
      <t c="4">
        <n x="317"/>
        <n x="11"/>
        <n x="32"/>
        <n x="1337" s="1"/>
      </t>
    </mdx>
    <mdx n="33" f="v">
      <t c="4">
        <n x="1232"/>
        <n x="12"/>
        <n x="32"/>
        <n x="1337" s="1"/>
      </t>
    </mdx>
    <mdx n="33" f="v">
      <t c="4" si="10">
        <n x="988"/>
        <n x="12"/>
        <n x="32"/>
        <n x="1337" s="1"/>
      </t>
    </mdx>
    <mdx n="33" f="v">
      <t c="4">
        <n x="425"/>
        <n x="12"/>
        <n x="32"/>
        <n x="1337" s="1"/>
      </t>
    </mdx>
    <mdx n="33" f="v">
      <t c="4">
        <n x="62"/>
        <n x="12"/>
        <n x="32"/>
        <n x="1337" s="1"/>
      </t>
    </mdx>
    <mdx n="33" f="v">
      <t c="4" si="10">
        <n x="962"/>
        <n x="14"/>
        <n x="32"/>
        <n x="1337" s="1"/>
      </t>
    </mdx>
    <mdx n="33" f="v">
      <t c="4">
        <n x="874"/>
        <n x="12"/>
        <n x="32"/>
        <n x="1337" s="1"/>
      </t>
    </mdx>
    <mdx n="33" f="v">
      <t c="4">
        <n x="991"/>
        <n x="12"/>
        <n x="7"/>
        <n x="1337" s="1"/>
      </t>
    </mdx>
    <mdx n="33" f="v">
      <t c="4" si="10">
        <n x="1304"/>
        <n x="0"/>
        <n x="32"/>
        <n x="1337" s="1"/>
      </t>
    </mdx>
    <mdx n="33" f="v">
      <t c="4">
        <n x="117"/>
        <n x="14"/>
        <n x="7"/>
        <n x="1337" s="1"/>
      </t>
    </mdx>
    <mdx n="33" f="v">
      <t c="4">
        <n x="497"/>
        <n x="11"/>
        <n x="7"/>
        <n x="1337" s="1"/>
      </t>
    </mdx>
    <mdx n="33" f="v">
      <t c="4">
        <n x="220"/>
        <n x="11"/>
        <n x="7"/>
        <n x="1337" s="1"/>
      </t>
    </mdx>
    <mdx n="33" f="v">
      <t c="4">
        <n x="1043"/>
        <n x="1"/>
        <n x="7"/>
        <n x="1337" s="1"/>
      </t>
    </mdx>
    <mdx n="33" f="v">
      <t c="4">
        <n x="449"/>
        <n x="1"/>
        <n x="7"/>
        <n x="1337" s="1"/>
      </t>
    </mdx>
    <mdx n="33" f="v">
      <t c="4">
        <n x="128"/>
        <n x="1"/>
        <n x="7"/>
        <n x="1337" s="1"/>
      </t>
    </mdx>
    <mdx n="33" f="v">
      <t c="4" si="10">
        <n x="569"/>
        <n x="11"/>
        <n x="32"/>
        <n x="1337" s="1"/>
      </t>
    </mdx>
    <mdx n="33" f="v">
      <t c="4">
        <n x="312"/>
        <n x="11"/>
        <n x="32"/>
        <n x="1337" s="1"/>
      </t>
    </mdx>
    <mdx n="33" f="v">
      <t c="4">
        <n x="516"/>
        <n x="12"/>
        <n x="7"/>
        <n x="1337" s="1"/>
      </t>
    </mdx>
    <mdx n="33" f="v">
      <t c="4" si="10">
        <n x="749"/>
        <n x="0"/>
        <n x="32"/>
        <n x="1337" s="1"/>
      </t>
    </mdx>
    <mdx n="33" f="v">
      <t c="4">
        <n x="731"/>
        <n x="14"/>
        <n x="7"/>
        <n x="1337" s="1"/>
      </t>
    </mdx>
    <mdx n="33" f="v">
      <t c="4">
        <n x="928"/>
        <n x="0"/>
        <n x="7"/>
        <n x="1337" s="1"/>
      </t>
    </mdx>
    <mdx n="33" f="v">
      <t c="4">
        <n x="1109"/>
        <n x="12"/>
        <n x="7"/>
        <n x="1337" s="1"/>
      </t>
    </mdx>
    <mdx n="33" f="v">
      <t c="4" si="9">
        <n x="575"/>
        <n x="0"/>
        <n x="7"/>
        <n x="1337" s="1"/>
      </t>
    </mdx>
    <mdx n="33" f="v">
      <t c="4" si="10">
        <n x="888"/>
        <n x="11"/>
        <n x="32"/>
        <n x="1337" s="1"/>
      </t>
    </mdx>
    <mdx n="33" f="v">
      <t c="3">
        <n x="1021"/>
        <n x="1336"/>
        <n x="1337" s="1"/>
      </t>
    </mdx>
    <mdx n="33" f="v">
      <t c="4">
        <n x="1045"/>
        <n x="14"/>
        <n x="7"/>
        <n x="1337" s="1"/>
      </t>
    </mdx>
    <mdx n="33" f="v">
      <t c="4">
        <n x="745"/>
        <n x="12"/>
        <n x="32"/>
        <n x="1337" s="1"/>
      </t>
    </mdx>
    <mdx n="33" f="v">
      <t c="4">
        <n x="1018"/>
        <n x="11"/>
        <n x="7"/>
        <n x="1337" s="1"/>
      </t>
    </mdx>
    <mdx n="33" f="v">
      <t c="4">
        <n x="353"/>
        <n x="1"/>
        <n x="7"/>
        <n x="1337" s="1"/>
      </t>
    </mdx>
    <mdx n="33" f="v">
      <t c="4">
        <n x="1132"/>
        <n x="12"/>
        <n x="32"/>
        <n x="1337" s="1"/>
      </t>
    </mdx>
    <mdx n="33" f="v">
      <t c="4" si="10">
        <n x="753"/>
        <n x="0"/>
        <n x="32"/>
        <n x="1337" s="1"/>
      </t>
    </mdx>
    <mdx n="33" f="v">
      <t c="4">
        <n x="1327"/>
        <n x="11"/>
        <n x="7"/>
        <n x="1337" s="1"/>
      </t>
    </mdx>
    <mdx n="33" f="v">
      <t c="4">
        <n x="371"/>
        <n x="11"/>
        <n x="7"/>
        <n x="1337" s="1"/>
      </t>
    </mdx>
    <mdx n="33" f="v">
      <t c="4">
        <n x="1111"/>
        <n x="1"/>
        <n x="7"/>
        <n x="1337" s="1"/>
      </t>
    </mdx>
    <mdx n="33" f="v">
      <t c="4">
        <n x="429"/>
        <n x="1"/>
        <n x="7"/>
        <n x="1337" s="1"/>
      </t>
    </mdx>
    <mdx n="33" f="v">
      <t c="4" si="10">
        <n x="1056"/>
        <n x="11"/>
        <n x="32"/>
        <n x="1337" s="1"/>
      </t>
    </mdx>
    <mdx n="33" f="v">
      <t c="4">
        <n x="380"/>
        <n x="11"/>
        <n x="32"/>
        <n x="1337" s="1"/>
      </t>
    </mdx>
    <mdx n="33" f="v">
      <t c="4" si="10">
        <n x="1219"/>
        <n x="12"/>
        <n x="32"/>
        <n x="1337" s="1"/>
      </t>
    </mdx>
    <mdx n="33" f="v">
      <t c="4">
        <n x="975"/>
        <n x="12"/>
        <n x="32"/>
        <n x="1337" s="1"/>
      </t>
    </mdx>
    <mdx n="33" f="v">
      <t c="4" si="10">
        <n x="383"/>
        <n x="12"/>
        <n x="32"/>
        <n x="1337" s="1"/>
      </t>
    </mdx>
    <mdx n="33" f="v">
      <t c="5" si="10">
        <n x="15"/>
        <n x="1337" s="1"/>
        <n x="44"/>
        <n x="32"/>
        <n x="3"/>
      </t>
    </mdx>
    <mdx n="33" f="v">
      <t c="4" si="9">
        <n x="882"/>
        <n x="0"/>
        <n x="7"/>
        <n x="1337" s="1"/>
      </t>
    </mdx>
    <mdx n="33" f="v">
      <t c="4" si="10">
        <n x="1008"/>
        <n x="0"/>
        <n x="32"/>
        <n x="1337" s="1"/>
      </t>
    </mdx>
    <mdx n="33" f="v">
      <t c="4">
        <n x="1112"/>
        <n x="14"/>
        <n x="7"/>
        <n x="1337" s="1"/>
      </t>
    </mdx>
    <mdx n="33" f="v">
      <t c="4">
        <n x="1325"/>
        <n x="11"/>
        <n x="7"/>
        <n x="1337" s="1"/>
      </t>
    </mdx>
    <mdx n="33" f="v">
      <t c="4">
        <n x="476"/>
        <n x="11"/>
        <n x="7"/>
        <n x="1337" s="1"/>
      </t>
    </mdx>
    <mdx n="33" f="v">
      <t c="4">
        <n x="211"/>
        <n x="11"/>
        <n x="7"/>
        <n x="1337" s="1"/>
      </t>
    </mdx>
    <mdx n="33" f="v">
      <t c="4">
        <n x="1022"/>
        <n x="1"/>
        <n x="7"/>
        <n x="1337" s="1"/>
      </t>
    </mdx>
    <mdx n="33" f="v">
      <t c="4">
        <n x="428"/>
        <n x="1"/>
        <n x="7"/>
        <n x="1337" s="1"/>
      </t>
    </mdx>
    <mdx n="33" f="v">
      <t c="4">
        <n x="106"/>
        <n x="1"/>
        <n x="7"/>
        <n x="1337" s="1"/>
      </t>
    </mdx>
    <mdx n="33" f="v">
      <t c="4">
        <n x="548"/>
        <n x="11"/>
        <n x="32"/>
        <n x="1337" s="1"/>
      </t>
    </mdx>
    <mdx n="33" f="v">
      <t c="4">
        <n x="295"/>
        <n x="11"/>
        <n x="32"/>
        <n x="1337" s="1"/>
      </t>
    </mdx>
    <mdx n="33" f="v">
      <t c="4">
        <n x="1206"/>
        <n x="12"/>
        <n x="32"/>
        <n x="1337" s="1"/>
      </t>
    </mdx>
    <mdx n="33" f="v">
      <t c="4" si="10">
        <n x="962"/>
        <n x="12"/>
        <n x="32"/>
        <n x="1337" s="1"/>
      </t>
    </mdx>
    <mdx n="33" f="v">
      <t c="4">
        <n x="370"/>
        <n x="12"/>
        <n x="32"/>
        <n x="1337" s="1"/>
      </t>
    </mdx>
    <mdx n="33" f="v">
      <t c="4">
        <n x="93"/>
        <n x="12"/>
        <n x="32"/>
        <n x="1337" s="1"/>
      </t>
    </mdx>
    <mdx n="33" f="v">
      <t c="4" si="10">
        <n x="600"/>
        <n x="14"/>
        <n x="32"/>
        <n x="1337" s="1"/>
      </t>
    </mdx>
    <mdx n="33" f="v">
      <t c="4">
        <n x="342"/>
        <n x="14"/>
        <n x="32"/>
        <n x="1337" s="1"/>
      </t>
    </mdx>
    <mdx n="33" f="v">
      <t c="4">
        <n x="119"/>
        <n x="1"/>
        <n x="32"/>
        <n x="1337" s="1"/>
      </t>
    </mdx>
    <mdx n="33" f="v">
      <t c="4">
        <n x="129"/>
        <n x="14"/>
        <n x="7"/>
        <n x="1337" s="1"/>
      </t>
    </mdx>
    <mdx n="33" f="v">
      <t c="4">
        <n x="455"/>
        <n x="1"/>
        <n x="7"/>
        <n x="1337" s="1"/>
      </t>
    </mdx>
    <mdx n="33" f="v">
      <t c="4" si="10">
        <n x="1233"/>
        <n x="12"/>
        <n x="32"/>
        <n x="1337" s="1"/>
      </t>
    </mdx>
    <mdx n="33" f="v">
      <t c="4" si="10">
        <n x="1085"/>
        <n x="14"/>
        <n x="32"/>
        <n x="1337" s="1"/>
      </t>
    </mdx>
    <mdx n="33" f="v">
      <t c="4">
        <n x="357"/>
        <n x="14"/>
        <n x="32"/>
        <n x="1337" s="1"/>
      </t>
    </mdx>
    <mdx n="33" f="v">
      <t c="4">
        <n x="107"/>
        <n x="1"/>
        <n x="32"/>
        <n x="1337" s="1"/>
      </t>
    </mdx>
    <mdx n="33" f="v">
      <t c="4">
        <n x="1304"/>
        <n x="0"/>
        <n x="7"/>
        <n x="1337" s="1"/>
      </t>
    </mdx>
    <mdx n="33" f="v">
      <t c="4">
        <n x="147"/>
        <n x="0"/>
        <n x="7"/>
        <n x="1337" s="1"/>
      </t>
    </mdx>
    <mdx n="33" f="v">
      <t c="4">
        <n x="1057"/>
        <n x="12"/>
        <n x="32"/>
        <n x="1337" s="1"/>
      </t>
    </mdx>
    <mdx n="33" f="v">
      <t c="4">
        <n x="52"/>
        <n x="1"/>
        <n x="32"/>
        <n x="1337" s="1"/>
      </t>
    </mdx>
    <mdx n="33" f="v">
      <t c="4">
        <n x="879"/>
        <n x="11"/>
        <n x="7"/>
        <n x="1337" s="1"/>
      </t>
    </mdx>
    <mdx n="33" f="v">
      <t c="4" si="9">
        <n x="483"/>
        <n x="11"/>
        <n x="7"/>
        <n x="1337" s="1"/>
      </t>
    </mdx>
    <mdx n="33" f="v">
      <t c="4">
        <n x="114"/>
        <n x="1"/>
        <n x="7"/>
        <n x="1337" s="1"/>
      </t>
    </mdx>
    <mdx n="33" f="v">
      <t c="4" si="10">
        <n x="969"/>
        <n x="12"/>
        <n x="32"/>
        <n x="1337" s="1"/>
      </t>
    </mdx>
    <mdx n="33" f="v">
      <t c="4" si="10">
        <n x="611"/>
        <n x="14"/>
        <n x="32"/>
        <n x="1337" s="1"/>
      </t>
    </mdx>
    <mdx n="33" f="v">
      <t c="4">
        <n x="207"/>
        <n x="14"/>
        <n x="32"/>
        <n x="1337" s="1"/>
      </t>
    </mdx>
    <mdx n="33" f="v">
      <t c="3">
        <n x="945"/>
        <n x="1336"/>
        <n x="1337" s="1"/>
      </t>
    </mdx>
    <mdx n="33" f="v">
      <t c="4">
        <n x="1235"/>
        <n x="0"/>
        <n x="7"/>
        <n x="1337" s="1"/>
      </t>
    </mdx>
    <mdx n="33" f="v">
      <t c="4">
        <n x="109"/>
        <n x="11"/>
        <n x="7"/>
        <n x="1337" s="1"/>
      </t>
    </mdx>
    <mdx n="33" f="v">
      <t c="4" si="10">
        <n x="499"/>
        <n x="14"/>
        <n x="32"/>
        <n x="1337" s="1"/>
      </t>
    </mdx>
    <mdx n="33" f="v">
      <t c="4">
        <n x="1153"/>
        <n x="0"/>
        <n x="7"/>
        <n x="1337" s="1"/>
      </t>
    </mdx>
    <mdx n="33" f="v">
      <t c="4">
        <n x="1320"/>
        <n x="14"/>
        <n x="7"/>
        <n x="1337" s="1"/>
      </t>
    </mdx>
    <mdx n="33" f="v">
      <t c="4">
        <n x="228"/>
        <n x="11"/>
        <n x="32"/>
        <n x="1337" s="1"/>
      </t>
    </mdx>
    <mdx n="33" f="v">
      <t c="4">
        <n x="801"/>
        <n x="11"/>
        <n x="7"/>
        <n x="1337" s="1"/>
      </t>
    </mdx>
    <mdx n="33" f="v">
      <t c="4">
        <n x="747"/>
        <n x="14"/>
        <n x="7"/>
        <n x="1337" s="1"/>
      </t>
    </mdx>
    <mdx n="33" f="v">
      <t c="4" si="10">
        <n x="931"/>
        <n x="1"/>
        <n x="32"/>
        <n x="1337" s="1"/>
      </t>
    </mdx>
    <mdx n="33" f="v">
      <t c="4" si="10">
        <n x="1115"/>
        <n x="1"/>
        <n x="32"/>
        <n x="1337" s="1"/>
      </t>
    </mdx>
    <mdx n="33" f="v">
      <t c="4">
        <n x="646"/>
        <n x="11"/>
        <n x="32"/>
        <n x="1337" s="1"/>
      </t>
    </mdx>
    <mdx n="33" f="v">
      <t c="4">
        <n x="891"/>
        <n x="0"/>
        <n x="7"/>
        <n x="1337" s="1"/>
      </t>
    </mdx>
    <mdx n="33" f="v">
      <t c="4">
        <n x="1027"/>
        <n x="0"/>
        <n x="7"/>
        <n x="1337" s="1"/>
      </t>
    </mdx>
    <mdx n="33" f="v">
      <t c="4">
        <n x="1013"/>
        <n x="14"/>
        <n x="7"/>
        <n x="1337" s="1"/>
      </t>
    </mdx>
    <mdx n="33" f="v">
      <t c="4" si="10">
        <n x="798"/>
        <n x="14"/>
        <n x="32"/>
        <n x="1337" s="1"/>
      </t>
    </mdx>
    <mdx n="33" f="v">
      <t c="4">
        <n x="975"/>
        <n x="11"/>
        <n x="7"/>
        <n x="1337" s="1"/>
      </t>
    </mdx>
    <mdx n="33" f="v">
      <t c="4">
        <n x="321"/>
        <n x="1"/>
        <n x="7"/>
        <n x="1337" s="1"/>
      </t>
    </mdx>
    <mdx n="33" f="v">
      <t c="4" si="10">
        <n x="1112"/>
        <n x="12"/>
        <n x="32"/>
        <n x="1337" s="1"/>
      </t>
    </mdx>
    <mdx n="33" f="v">
      <t c="4">
        <n x="805"/>
        <n x="11"/>
        <n x="7"/>
        <n x="1337" s="1"/>
      </t>
    </mdx>
    <mdx n="33" f="v">
      <t c="4">
        <n x="1116"/>
        <n x="11"/>
        <n x="7"/>
        <n x="1337" s="1"/>
      </t>
    </mdx>
    <mdx n="33" f="v">
      <t c="4">
        <n x="359"/>
        <n x="11"/>
        <n x="7"/>
        <n x="1337" s="1"/>
      </t>
    </mdx>
    <mdx n="33" f="v">
      <t c="4">
        <n x="1099"/>
        <n x="1"/>
        <n x="7"/>
        <n x="1337" s="1"/>
      </t>
    </mdx>
    <mdx n="33" f="v">
      <t c="4">
        <n x="421"/>
        <n x="1"/>
        <n x="7"/>
        <n x="1337" s="1"/>
      </t>
    </mdx>
    <mdx n="33" f="v">
      <t c="4" si="10">
        <n x="1044"/>
        <n x="11"/>
        <n x="32"/>
        <n x="1337" s="1"/>
      </t>
    </mdx>
    <mdx n="33" f="v">
      <t c="4">
        <n x="685"/>
        <n x="1"/>
        <n x="32"/>
        <n x="1337" s="1"/>
      </t>
    </mdx>
    <mdx n="33" f="v">
      <t c="4">
        <n x="762"/>
        <n x="12"/>
        <n x="7"/>
        <n x="1337" s="1"/>
      </t>
    </mdx>
    <mdx n="33" f="v">
      <t c="4">
        <n x="1112"/>
        <n x="12"/>
        <n x="7"/>
        <n x="1337" s="1"/>
      </t>
    </mdx>
    <mdx n="33" f="v">
      <t c="4" si="10">
        <n x="744"/>
        <n x="14"/>
        <n x="32"/>
        <n x="1337" s="1"/>
      </t>
    </mdx>
    <mdx n="33" f="v">
      <t c="4">
        <n x="1296"/>
        <n x="12"/>
        <n x="7"/>
        <n x="1337" s="1"/>
      </t>
    </mdx>
    <mdx n="33" f="v">
      <t c="4">
        <n x="141"/>
        <n x="14"/>
        <n x="7"/>
        <n x="1337" s="1"/>
      </t>
    </mdx>
    <mdx n="33" f="v">
      <t c="4">
        <n x="842"/>
        <n x="1"/>
        <n x="7"/>
        <n x="1337" s="1"/>
      </t>
    </mdx>
    <mdx n="33" f="v">
      <t c="3">
        <n x="993"/>
        <n x="1336"/>
        <n x="1337" s="1"/>
      </t>
    </mdx>
    <mdx n="33" f="v">
      <t c="4">
        <n x="517"/>
        <n x="14"/>
        <n x="7"/>
        <n x="1337" s="1"/>
      </t>
    </mdx>
    <mdx n="33" f="v">
      <t c="4" si="10">
        <n x="1096"/>
        <n x="0"/>
        <n x="32"/>
        <n x="1337" s="1"/>
      </t>
    </mdx>
    <mdx n="33" f="v">
      <t c="4">
        <n x="495"/>
        <n x="1"/>
        <n x="7"/>
        <n x="1337" s="1"/>
      </t>
    </mdx>
    <mdx n="33" f="v">
      <t c="4">
        <n x="1092"/>
        <n x="12"/>
        <n x="32"/>
        <n x="1337" s="1"/>
      </t>
    </mdx>
    <mdx n="33" f="v">
      <t c="4">
        <n x="831"/>
        <n x="1"/>
        <n x="7"/>
        <n x="1337" s="1"/>
      </t>
    </mdx>
    <mdx n="33" f="v">
      <t c="4">
        <n x="326"/>
        <n x="0"/>
        <n x="32"/>
        <n x="1337" s="1"/>
      </t>
    </mdx>
    <mdx n="33" f="v">
      <t c="4">
        <n x="813"/>
        <n x="11"/>
        <n x="32"/>
        <n x="1337" s="1"/>
      </t>
    </mdx>
    <mdx n="33" f="v">
      <t c="4" si="10">
        <n x="752"/>
        <n x="1"/>
        <n x="32"/>
        <n x="1337" s="1"/>
      </t>
    </mdx>
    <mdx n="33" f="v">
      <t c="4" si="10">
        <n x="932"/>
        <n x="0"/>
        <n x="32"/>
        <n x="1337" s="1"/>
      </t>
    </mdx>
    <mdx n="33" f="v">
      <t c="4">
        <n x="1117"/>
        <n x="12"/>
        <n x="7"/>
        <n x="1337" s="1"/>
      </t>
    </mdx>
    <mdx n="33" f="v">
      <t c="4">
        <n x="658"/>
        <n x="12"/>
        <n x="7"/>
        <n x="1337" s="1"/>
      </t>
    </mdx>
    <mdx n="33" f="v">
      <t c="4">
        <n x="892"/>
        <n x="12"/>
        <n x="7"/>
        <n x="1337" s="1"/>
      </t>
    </mdx>
    <mdx n="33" f="v">
      <t c="3">
        <n x="1029"/>
        <n x="1336"/>
        <n x="1337" s="1"/>
      </t>
    </mdx>
    <mdx n="33" f="v">
      <t c="4">
        <n x="1005"/>
        <n x="14"/>
        <n x="7"/>
        <n x="1337" s="1"/>
      </t>
    </mdx>
    <mdx n="33" f="v">
      <t c="3">
        <n x="810"/>
        <n x="1336"/>
        <n x="1337" s="1"/>
      </t>
    </mdx>
    <mdx n="33" f="v">
      <t c="4">
        <n x="964"/>
        <n x="11"/>
        <n x="7"/>
        <n x="1337" s="1"/>
      </t>
    </mdx>
    <mdx n="33" f="v">
      <t c="4">
        <n x="313"/>
        <n x="1"/>
        <n x="7"/>
        <n x="1337" s="1"/>
      </t>
    </mdx>
    <mdx n="33" f="v">
      <t c="4">
        <n x="1104"/>
        <n x="12"/>
        <n x="32"/>
        <n x="1337" s="1"/>
      </t>
    </mdx>
    <mdx n="33" f="v">
      <t c="4">
        <n x="817"/>
        <n x="11"/>
        <n x="32"/>
        <n x="1337" s="1"/>
      </t>
    </mdx>
    <mdx n="33" f="v">
      <t c="4" si="9">
        <n x="534"/>
        <n x="0"/>
        <n x="7"/>
        <n x="1337" s="1"/>
      </t>
    </mdx>
    <mdx n="33" f="v">
      <t c="4">
        <n x="841"/>
        <n x="14"/>
        <n x="7"/>
        <n x="1337" s="1"/>
      </t>
    </mdx>
    <mdx n="33" f="v">
      <t c="4" si="10">
        <n x="770"/>
        <n x="14"/>
        <n x="32"/>
        <n x="1337" s="1"/>
      </t>
    </mdx>
    <mdx n="33" f="v">
      <t c="4">
        <n x="935"/>
        <n x="1"/>
        <n x="32"/>
        <n x="1337" s="1"/>
      </t>
    </mdx>
    <mdx n="33" f="v">
      <t c="4" si="10">
        <n x="1125"/>
        <n x="0"/>
        <n x="32"/>
        <n x="1337" s="1"/>
      </t>
    </mdx>
    <mdx n="33" f="v">
      <t c="4">
        <n x="687"/>
        <n x="14"/>
        <n x="7"/>
        <n x="1337" s="1"/>
      </t>
    </mdx>
    <mdx n="33" f="v">
      <t c="4">
        <n x="895"/>
        <n x="0"/>
        <n x="7"/>
        <n x="1337" s="1"/>
      </t>
    </mdx>
    <mdx n="33" f="v">
      <t c="4" si="10">
        <n x="1036"/>
        <n x="1"/>
        <n x="32"/>
        <n x="1337" s="1"/>
      </t>
    </mdx>
    <mdx n="33" f="v">
      <t c="4" si="9">
        <n x="969"/>
        <n x="14"/>
        <n x="7"/>
        <n x="1337" s="1"/>
      </t>
    </mdx>
    <mdx n="33" f="v">
      <t c="4">
        <n x="840"/>
        <n x="11"/>
        <n x="7"/>
        <n x="1337" s="1"/>
      </t>
    </mdx>
    <mdx n="33" f="v">
      <t c="4">
        <n x="600"/>
        <n x="11"/>
        <n x="7"/>
        <n x="1337" s="1"/>
      </t>
    </mdx>
    <mdx n="33" f="v">
      <t c="4">
        <n x="193"/>
        <n x="1"/>
        <n x="7"/>
        <n x="1337" s="1"/>
      </t>
    </mdx>
    <mdx n="33" f="v">
      <t c="4">
        <n x="1068"/>
        <n x="12"/>
        <n x="32"/>
        <n x="1337" s="1"/>
      </t>
    </mdx>
    <mdx n="33" f="v">
      <t c="4">
        <n x="843"/>
        <n x="1"/>
        <n x="32"/>
        <n x="1337" s="1"/>
      </t>
    </mdx>
    <mdx n="33" f="v">
      <t c="4">
        <n x="594"/>
        <n x="11"/>
        <n x="7"/>
        <n x="1337" s="1"/>
      </t>
    </mdx>
    <mdx n="33" f="v">
      <t c="4">
        <n x="165"/>
        <n x="1"/>
        <n x="7"/>
        <n x="1337" s="1"/>
      </t>
    </mdx>
    <mdx n="33" f="v">
      <t c="4" si="10">
        <n x="758"/>
        <n x="0"/>
        <n x="32"/>
        <n x="1337" s="1"/>
      </t>
    </mdx>
    <mdx n="33" f="v">
      <t c="4">
        <n x="610"/>
        <n x="14"/>
        <n x="7"/>
        <n x="1337" s="1"/>
      </t>
    </mdx>
    <mdx n="33" f="v">
      <t c="4">
        <n x="1089"/>
        <n x="11"/>
        <n x="7"/>
        <n x="1337" s="1"/>
      </t>
    </mdx>
    <mdx n="33" f="v">
      <t c="4">
        <n x="55"/>
        <n x="12"/>
        <n x="32"/>
        <n x="1337" s="1"/>
      </t>
    </mdx>
    <mdx n="33" f="v">
      <t c="4" si="9">
        <n x="538"/>
        <n x="1"/>
        <n x="7"/>
        <n x="1337" s="1"/>
      </t>
    </mdx>
    <mdx n="33" f="v">
      <t c="4">
        <n x="1055"/>
        <n x="12"/>
        <n x="32"/>
        <n x="1337" s="1"/>
      </t>
    </mdx>
    <mdx n="33" f="v">
      <t c="4" si="10">
        <n x="948"/>
        <n x="12"/>
        <n x="32"/>
        <n x="1337" s="1"/>
      </t>
    </mdx>
    <mdx n="33" f="v">
      <t c="4">
        <n x="246"/>
        <n x="11"/>
        <n x="7"/>
        <n x="1337" s="1"/>
      </t>
    </mdx>
    <mdx n="33" f="v">
      <t c="4">
        <n x="963"/>
        <n x="11"/>
        <n x="32"/>
        <n x="1337" s="1"/>
      </t>
    </mdx>
    <mdx n="33" f="v">
      <t c="4">
        <n x="188"/>
        <n x="11"/>
        <n x="32"/>
        <n x="1337" s="1"/>
      </t>
    </mdx>
    <mdx n="33" f="v">
      <t c="4">
        <n x="1106"/>
        <n x="12"/>
        <n x="32"/>
        <n x="1337" s="1"/>
      </t>
    </mdx>
    <mdx n="33" f="v">
      <t c="4">
        <n x="428"/>
        <n x="12"/>
        <n x="32"/>
        <n x="1337" s="1"/>
      </t>
    </mdx>
    <mdx n="33" f="v">
      <t c="4">
        <n x="111"/>
        <n x="12"/>
        <n x="32"/>
        <n x="1337" s="1"/>
      </t>
    </mdx>
    <mdx n="33" f="v">
      <t c="4" si="10">
        <n x="488"/>
        <n x="14"/>
        <n x="32"/>
        <n x="1337" s="1"/>
      </t>
    </mdx>
    <mdx n="33" f="v">
      <t c="4" si="10">
        <n x="786"/>
        <n x="1"/>
        <n x="32"/>
        <n x="1337" s="1"/>
      </t>
    </mdx>
    <mdx n="33" f="v">
      <t c="4">
        <n x="982"/>
        <n x="11"/>
        <n x="7"/>
        <n x="1337" s="1"/>
      </t>
    </mdx>
    <mdx n="33" f="v">
      <t c="4" si="10">
        <n x="974"/>
        <n x="11"/>
        <n x="32"/>
        <n x="1337" s="1"/>
      </t>
    </mdx>
    <mdx n="33" f="v">
      <t c="4">
        <n x="51"/>
        <n x="12"/>
        <n x="32"/>
        <n x="1337" s="1"/>
      </t>
    </mdx>
    <mdx n="33" f="v">
      <t c="4">
        <n x="315"/>
        <n x="14"/>
        <n x="32"/>
        <n x="1337" s="1"/>
      </t>
    </mdx>
    <mdx n="33" f="v">
      <t c="3">
        <n x="285"/>
        <n x="1336"/>
        <n x="1337" s="1"/>
      </t>
    </mdx>
    <mdx n="33" f="v">
      <t c="4">
        <n x="774"/>
        <n x="0"/>
        <n x="7"/>
        <n x="1337" s="1"/>
      </t>
    </mdx>
    <mdx n="33" f="v">
      <t c="4">
        <n x="337"/>
        <n x="12"/>
        <n x="32"/>
        <n x="1337" s="1"/>
      </t>
    </mdx>
    <mdx n="33" f="v">
      <t c="4">
        <n x="1197"/>
        <n x="0"/>
        <n x="7"/>
        <n x="1337" s="1"/>
      </t>
    </mdx>
    <mdx n="33" f="v">
      <t c="4">
        <n x="1040"/>
        <n x="11"/>
        <n x="7"/>
        <n x="1337" s="1"/>
      </t>
    </mdx>
    <mdx n="33" f="v">
      <t c="4">
        <n x="1018"/>
        <n x="11"/>
        <n x="32"/>
        <n x="1337" s="1"/>
      </t>
    </mdx>
    <mdx n="33" f="v">
      <t c="4">
        <n x="198"/>
        <n x="12"/>
        <n x="32"/>
        <n x="1337" s="1"/>
      </t>
    </mdx>
    <mdx n="33" f="v">
      <t c="4">
        <n x="329"/>
        <n x="14"/>
        <n x="32"/>
        <n x="1337" s="1"/>
      </t>
    </mdx>
    <mdx n="33" f="v">
      <t c="3">
        <n x="296"/>
        <n x="1336"/>
        <n x="1337" s="1"/>
      </t>
    </mdx>
    <mdx n="33" f="v">
      <t c="4">
        <n x="1335"/>
        <n x="0"/>
        <n x="7"/>
        <n x="1337" s="1"/>
      </t>
    </mdx>
    <mdx n="33" f="v">
      <t c="4" si="10">
        <n x="1079"/>
        <n x="14"/>
        <n x="32"/>
        <n x="1337" s="1"/>
      </t>
    </mdx>
    <mdx n="33" f="v">
      <t c="4">
        <n x="281"/>
        <n x="0"/>
        <n x="7"/>
        <n x="1337" s="1"/>
      </t>
    </mdx>
    <mdx n="33" f="v">
      <t c="4">
        <n x="548"/>
        <n x="11"/>
        <n x="7"/>
        <n x="1337" s="1"/>
      </t>
    </mdx>
    <mdx n="33" f="v">
      <t c="4">
        <n x="822"/>
        <n x="11"/>
        <n x="32"/>
        <n x="1337" s="1"/>
      </t>
    </mdx>
    <mdx n="33" f="v">
      <t c="4">
        <n x="816"/>
        <n x="12"/>
        <n x="32"/>
        <n x="1337" s="1"/>
      </t>
    </mdx>
    <mdx n="33" f="v">
      <t c="3">
        <n x="1000"/>
        <n x="1336"/>
        <n x="1337" s="1"/>
      </t>
    </mdx>
    <mdx n="33" f="v">
      <t c="4" si="9">
        <n x="470"/>
        <n x="14"/>
        <n x="7"/>
        <n x="1337" s="1"/>
      </t>
    </mdx>
    <mdx n="33" f="v">
      <t c="4" si="10">
        <n x="903"/>
        <n x="0"/>
        <n x="32"/>
        <n x="1337" s="1"/>
      </t>
    </mdx>
    <mdx n="33" f="v">
      <t c="3">
        <n x="1117"/>
        <n x="1336"/>
        <n x="1337" s="1"/>
      </t>
    </mdx>
    <mdx n="33" f="v">
      <t c="4">
        <n x="613"/>
        <n x="11"/>
        <n x="7"/>
        <n x="1337" s="1"/>
      </t>
    </mdx>
    <mdx n="33" f="v">
      <t c="4" si="9">
        <n x="498"/>
        <n x="11"/>
        <n x="7"/>
        <n x="1337" s="1"/>
      </t>
    </mdx>
    <mdx n="33" f="v">
      <t c="4">
        <n x="506"/>
        <n x="11"/>
        <n x="32"/>
        <n x="1337" s="1"/>
      </t>
    </mdx>
    <mdx n="33" f="v">
      <t c="4" si="10">
        <n x="1022"/>
        <n x="14"/>
        <n x="32"/>
        <n x="1337" s="1"/>
      </t>
    </mdx>
    <mdx n="33" f="v">
      <t c="4">
        <n x="1048"/>
        <n x="11"/>
        <n x="7"/>
        <n x="1337" s="1"/>
      </t>
    </mdx>
    <mdx n="33" f="v">
      <t c="4">
        <n x="141"/>
        <n x="11"/>
        <n x="7"/>
        <n x="1337" s="1"/>
      </t>
    </mdx>
    <mdx n="33" f="v">
      <t c="4" si="9">
        <n x="486"/>
        <n x="1"/>
        <n x="7"/>
        <n x="1337" s="1"/>
      </t>
    </mdx>
    <mdx n="33" f="v">
      <t c="4">
        <n x="1004"/>
        <n x="11"/>
        <n x="32"/>
        <n x="1337" s="1"/>
      </t>
    </mdx>
    <mdx n="33" f="v">
      <t c="4">
        <n x="304"/>
        <n x="11"/>
        <n x="32"/>
        <n x="1337" s="1"/>
      </t>
    </mdx>
    <mdx n="33" f="v">
      <t c="4">
        <n x="1163"/>
        <n x="12"/>
        <n x="32"/>
        <n x="1337" s="1"/>
      </t>
    </mdx>
    <mdx n="33" f="v">
      <t c="4" si="10">
        <n x="604"/>
        <n x="12"/>
        <n x="32"/>
        <n x="1337" s="1"/>
      </t>
    </mdx>
    <mdx n="33" f="v">
      <t c="4" si="10">
        <n x="327"/>
        <n x="12"/>
        <n x="32"/>
        <n x="1337" s="1"/>
      </t>
    </mdx>
    <mdx n="33" f="v">
      <t c="4">
        <n x="719"/>
        <n x="14"/>
        <n x="32"/>
        <n x="1337" s="1"/>
      </t>
    </mdx>
    <mdx n="33" f="v">
      <t c="4">
        <n x="902"/>
        <n x="12"/>
        <n x="32"/>
        <n x="1337" s="1"/>
      </t>
    </mdx>
    <mdx n="33" f="v">
      <t c="4">
        <n x="1052"/>
        <n x="0"/>
        <n x="7"/>
        <n x="1337" s="1"/>
      </t>
    </mdx>
    <mdx n="33" f="v">
      <t c="4">
        <n x="572"/>
        <n x="14"/>
        <n x="7"/>
        <n x="1337" s="1"/>
      </t>
    </mdx>
    <mdx n="33" f="v">
      <t c="4">
        <n x="1042"/>
        <n x="11"/>
        <n x="7"/>
        <n x="1337" s="1"/>
      </t>
    </mdx>
    <mdx n="33" f="v">
      <t c="4">
        <n x="432"/>
        <n x="11"/>
        <n x="7"/>
        <n x="1337" s="1"/>
      </t>
    </mdx>
    <mdx n="33" f="v">
      <t c="4">
        <n x="89"/>
        <n x="11"/>
        <n x="7"/>
        <n x="1337" s="1"/>
      </t>
    </mdx>
    <mdx n="33" f="v">
      <t c="4">
        <n x="966"/>
        <n x="1"/>
        <n x="7"/>
        <n x="1337" s="1"/>
      </t>
    </mdx>
    <mdx n="33" f="v">
      <t c="4">
        <n x="371"/>
        <n x="1"/>
        <n x="7"/>
        <n x="1337" s="1"/>
      </t>
    </mdx>
    <mdx n="33" f="v">
      <t c="4">
        <n x="1083"/>
        <n x="11"/>
        <n x="32"/>
        <n x="1337" s="1"/>
      </t>
    </mdx>
    <mdx n="33" f="v">
      <t c="4" si="10">
        <n x="492"/>
        <n x="11"/>
        <n x="32"/>
        <n x="1337" s="1"/>
      </t>
    </mdx>
    <mdx n="33" f="v">
      <t c="4">
        <n x="157"/>
        <n x="11"/>
        <n x="32"/>
        <n x="1337" s="1"/>
      </t>
    </mdx>
    <mdx n="33" f="v">
      <t c="4">
        <n x="1150"/>
        <n x="12"/>
        <n x="32"/>
        <n x="1337" s="1"/>
      </t>
    </mdx>
    <mdx n="33" f="v">
      <t c="4" si="10">
        <n x="591"/>
        <n x="12"/>
        <n x="32"/>
        <n x="1337" s="1"/>
      </t>
    </mdx>
    <mdx n="33" f="v">
      <t c="4">
        <n x="314"/>
        <n x="12"/>
        <n x="32"/>
        <n x="1337" s="1"/>
      </t>
    </mdx>
    <mdx n="33" f="v">
      <t c="4">
        <n x="85"/>
        <n x="12"/>
        <n x="32"/>
        <n x="1337" s="1"/>
      </t>
    </mdx>
    <mdx n="33" f="v">
      <t c="4" si="10">
        <n x="544"/>
        <n x="14"/>
        <n x="32"/>
        <n x="1337" s="1"/>
      </t>
    </mdx>
    <mdx n="33" f="v">
      <t c="4">
        <n x="290"/>
        <n x="14"/>
        <n x="32"/>
        <n x="1337" s="1"/>
      </t>
    </mdx>
    <mdx n="33" f="v">
      <t c="4">
        <n x="860"/>
        <n x="14"/>
        <n x="7"/>
        <n x="1337" s="1"/>
      </t>
    </mdx>
    <mdx n="33" f="v">
      <t c="4">
        <n x="538"/>
        <n x="11"/>
        <n x="7"/>
        <n x="1337" s="1"/>
      </t>
    </mdx>
    <mdx n="33" f="v">
      <t c="4">
        <n x="192"/>
        <n x="1"/>
        <n x="7"/>
        <n x="1337" s="1"/>
      </t>
    </mdx>
    <mdx n="33" f="v">
      <t c="4">
        <n x="1021"/>
        <n x="12"/>
        <n x="32"/>
        <n x="1337" s="1"/>
      </t>
    </mdx>
    <mdx n="33" f="v">
      <t c="4" si="10">
        <n x="973"/>
        <n x="14"/>
        <n x="32"/>
        <n x="1337" s="1"/>
      </t>
    </mdx>
    <mdx n="33" f="v">
      <t c="4">
        <n x="287"/>
        <n x="14"/>
        <n x="32"/>
        <n x="1337" s="1"/>
      </t>
    </mdx>
    <mdx n="33" f="v">
      <t c="3">
        <n x="954"/>
        <n x="1336"/>
        <n x="1337" s="1"/>
      </t>
    </mdx>
    <mdx n="33" f="v">
      <t c="4">
        <n x="1248"/>
        <n x="0"/>
        <n x="7"/>
        <n x="1337" s="1"/>
      </t>
    </mdx>
    <mdx n="33" f="v">
      <t c="4">
        <n x="81"/>
        <n x="0"/>
        <n x="7"/>
        <n x="1337" s="1"/>
      </t>
    </mdx>
    <mdx n="33" f="v">
      <t c="4">
        <n x="126"/>
        <n x="12"/>
        <n x="32"/>
        <n x="1337" s="1"/>
      </t>
    </mdx>
    <mdx n="33" f="v">
      <t c="3">
        <n x="53"/>
        <n x="1336"/>
        <n x="1337" s="1"/>
      </t>
    </mdx>
    <mdx n="33" f="v">
      <t c="4">
        <n x="976"/>
        <n x="0"/>
        <n x="7"/>
        <n x="1337" s="1"/>
      </t>
    </mdx>
    <mdx n="33" f="v">
      <t c="4">
        <n x="227"/>
        <n x="11"/>
        <n x="7"/>
        <n x="1337" s="1"/>
      </t>
    </mdx>
    <mdx n="33" f="v">
      <t c="4">
        <n x="587"/>
        <n x="11"/>
        <n x="32"/>
        <n x="1337" s="1"/>
      </t>
    </mdx>
    <mdx n="33" f="v">
      <t c="4">
        <n x="392"/>
        <n x="12"/>
        <n x="32"/>
        <n x="1337" s="1"/>
      </t>
    </mdx>
    <mdx n="33" f="v">
      <t c="4" si="10">
        <n x="534"/>
        <n x="14"/>
        <n x="32"/>
        <n x="1337" s="1"/>
      </t>
    </mdx>
    <mdx n="33" f="v">
      <t c="4">
        <n x="128"/>
        <n x="14"/>
        <n x="32"/>
        <n x="1337" s="1"/>
      </t>
    </mdx>
    <mdx n="33" f="v">
      <t c="3">
        <n x="116"/>
        <n x="1336"/>
        <n x="1337" s="1"/>
      </t>
    </mdx>
    <mdx n="33" f="v">
      <t c="4">
        <n x="1179"/>
        <n x="0"/>
        <n x="7"/>
        <n x="1337" s="1"/>
      </t>
    </mdx>
    <mdx n="33" f="v">
      <t c="4">
        <n x="111"/>
        <n x="1"/>
        <n x="7"/>
        <n x="1337" s="1"/>
      </t>
    </mdx>
    <mdx n="33" f="v">
      <t c="4">
        <n x="202"/>
        <n x="14"/>
        <n x="32"/>
        <n x="1337" s="1"/>
      </t>
    </mdx>
    <mdx n="33" f="v">
      <t c="4">
        <n x="59"/>
        <n x="0"/>
        <n x="7"/>
        <n x="1337" s="1"/>
      </t>
    </mdx>
    <mdx n="33" f="v">
      <t c="4">
        <n x="93"/>
        <n x="14"/>
        <n x="7"/>
        <n x="1337" s="1"/>
      </t>
    </mdx>
    <mdx n="33" f="v">
      <t c="4">
        <n x="463"/>
        <n x="1"/>
        <n x="7"/>
        <n x="1337" s="1"/>
      </t>
    </mdx>
    <mdx n="33" f="v">
      <t c="4" si="10">
        <n x="1241"/>
        <n x="12"/>
        <n x="32"/>
        <n x="1337" s="1"/>
      </t>
    </mdx>
    <mdx n="33" f="v">
      <t c="4">
        <n x="1089"/>
        <n x="14"/>
        <n x="32"/>
        <n x="1337" s="1"/>
      </t>
    </mdx>
    <mdx n="33" f="v">
      <t c="4">
        <n x="360"/>
        <n x="14"/>
        <n x="32"/>
        <n x="1337" s="1"/>
      </t>
    </mdx>
    <mdx n="33" f="v">
      <t c="4">
        <n x="96"/>
        <n x="1"/>
        <n x="32"/>
        <n x="1337" s="1"/>
      </t>
    </mdx>
    <mdx n="33" f="v">
      <t c="4">
        <n x="1306"/>
        <n x="0"/>
        <n x="7"/>
        <n x="1337" s="1"/>
      </t>
    </mdx>
    <mdx n="33" f="v">
      <t c="4">
        <n x="151"/>
        <n x="0"/>
        <n x="7"/>
        <n x="1337" s="1"/>
      </t>
    </mdx>
    <mdx n="33" f="v">
      <t c="4">
        <n x="1111"/>
        <n x="12"/>
        <n x="7"/>
        <n x="1337" s="1"/>
      </t>
    </mdx>
    <mdx n="33" f="v">
      <t c="4">
        <n x="1021"/>
        <n x="1"/>
        <n x="7"/>
        <n x="1337" s="1"/>
      </t>
    </mdx>
    <mdx n="33" f="v">
      <t c="4">
        <n x="413"/>
        <n x="14"/>
        <n x="32"/>
        <n x="1337" s="1"/>
      </t>
    </mdx>
    <mdx n="33" f="v">
      <t c="4">
        <n x="301"/>
        <n x="0"/>
        <n x="7"/>
        <n x="1337" s="1"/>
      </t>
    </mdx>
    <mdx n="33" f="v">
      <t c="4">
        <n x="1274"/>
        <n x="12"/>
        <n x="7"/>
        <n x="1337" s="1"/>
      </t>
    </mdx>
    <mdx n="33" f="v">
      <t c="4" si="10">
        <n x="1035"/>
        <n x="1"/>
        <n x="32"/>
        <n x="1337" s="1"/>
      </t>
    </mdx>
    <mdx n="33" f="v">
      <t c="4" si="10">
        <n x="855"/>
        <n x="0"/>
        <n x="32"/>
        <n x="1337" s="1"/>
      </t>
    </mdx>
    <mdx n="33" f="v">
      <t c="4">
        <n x="1195"/>
        <n x="12"/>
        <n x="7"/>
        <n x="1337" s="1"/>
      </t>
    </mdx>
    <mdx n="33" f="v">
      <t c="4">
        <n x="1270"/>
        <n x="0"/>
        <n x="32"/>
        <n x="1337" s="1"/>
      </t>
    </mdx>
    <mdx n="33" f="v">
      <t c="4">
        <n x="329"/>
        <n x="11"/>
        <n x="32"/>
        <n x="1337" s="1"/>
      </t>
    </mdx>
    <mdx n="33" f="v">
      <t c="4" si="10">
        <n x="1280"/>
        <n x="0"/>
        <n x="32"/>
        <n x="1337" s="1"/>
      </t>
    </mdx>
    <mdx n="33" f="v">
      <t c="4">
        <n x="164"/>
        <n x="11"/>
        <n x="7"/>
        <n x="1337" s="1"/>
      </t>
    </mdx>
    <mdx n="33" f="v">
      <t c="4">
        <n x="148"/>
        <n x="1"/>
        <n x="7"/>
        <n x="1337" s="1"/>
      </t>
    </mdx>
    <mdx n="33" f="v">
      <t c="4">
        <n x="97"/>
        <n x="11"/>
        <n x="32"/>
        <n x="1337" s="1"/>
      </t>
    </mdx>
    <mdx n="33" f="v">
      <t c="4">
        <n x="496"/>
        <n x="12"/>
        <n x="32"/>
        <n x="1337" s="1"/>
      </t>
    </mdx>
    <mdx n="33" f="v">
      <t c="4">
        <n x="847"/>
        <n x="1"/>
        <n x="7"/>
        <n x="1337" s="1"/>
      </t>
    </mdx>
    <mdx n="33" f="v">
      <t c="4" si="10">
        <n x="1162"/>
        <n x="0"/>
        <n x="32"/>
        <n x="1337" s="1"/>
      </t>
    </mdx>
    <mdx n="33" f="v">
      <t c="4">
        <n x="582"/>
        <n x="11"/>
        <n x="7"/>
        <n x="1337" s="1"/>
      </t>
    </mdx>
    <mdx n="33" f="v">
      <t c="4">
        <n x="1114"/>
        <n x="1"/>
        <n x="7"/>
        <n x="1337" s="1"/>
      </t>
    </mdx>
    <mdx n="33" f="v">
      <t c="4">
        <n x="196"/>
        <n x="1"/>
        <n x="7"/>
        <n x="1337" s="1"/>
      </t>
    </mdx>
    <mdx n="33" f="v">
      <t c="4">
        <n x="1266"/>
        <n x="12"/>
        <n x="32"/>
        <n x="1337" s="1"/>
      </t>
    </mdx>
    <mdx n="33" f="v">
      <t c="4">
        <n x="432"/>
        <n x="14"/>
        <n x="32"/>
        <n x="1337" s="1"/>
      </t>
    </mdx>
    <mdx n="33" f="v">
      <t c="4">
        <n x="149"/>
        <n x="0"/>
        <n x="7"/>
        <n x="1337" s="1"/>
      </t>
    </mdx>
    <mdx n="33" f="v">
      <t c="4" si="10">
        <n x="969"/>
        <n x="14"/>
        <n x="32"/>
        <n x="1337" s="1"/>
      </t>
    </mdx>
    <mdx n="33" f="v">
      <t c="4">
        <n x="1138"/>
        <n x="0"/>
        <n x="7"/>
        <n x="1337" s="1"/>
      </t>
    </mdx>
    <mdx n="33" f="v">
      <t c="4">
        <n x="327"/>
        <n x="14"/>
        <n x="32"/>
        <n x="1337" s="1"/>
      </t>
    </mdx>
    <mdx n="33" f="v">
      <t c="4">
        <n x="921"/>
        <n x="12"/>
        <n x="7"/>
        <n x="1337" s="1"/>
      </t>
    </mdx>
    <mdx n="33" f="v">
      <t c="4" si="10">
        <n x="1031"/>
        <n x="0"/>
        <n x="32"/>
        <n x="1337" s="1"/>
      </t>
    </mdx>
    <mdx n="33" f="v">
      <t c="4">
        <n x="113"/>
        <n x="1"/>
        <n x="7"/>
        <n x="1337" s="1"/>
      </t>
    </mdx>
    <mdx n="33" f="v">
      <t c="4">
        <n x="218"/>
        <n x="11"/>
        <n x="7"/>
        <n x="1337" s="1"/>
      </t>
    </mdx>
    <mdx n="33" f="v">
      <t c="4">
        <n x="129"/>
        <n x="11"/>
        <n x="32"/>
        <n x="1337" s="1"/>
      </t>
    </mdx>
    <mdx n="33" f="v">
      <t c="4">
        <n x="863"/>
        <n x="11"/>
        <n x="32"/>
        <n x="1337" s="1"/>
      </t>
    </mdx>
    <mdx n="33" f="v">
      <t c="4">
        <n x="528"/>
        <n x="11"/>
        <n x="7"/>
        <n x="1337" s="1"/>
      </t>
    </mdx>
    <mdx n="33" f="v">
      <t c="4">
        <n x="94"/>
        <n x="1"/>
        <n x="7"/>
        <n x="1337" s="1"/>
      </t>
    </mdx>
    <mdx n="33" f="v">
      <t c="4" si="10">
        <n x="982"/>
        <n x="12"/>
        <n x="32"/>
        <n x="1337" s="1"/>
      </t>
    </mdx>
    <mdx n="33" f="v">
      <t c="4">
        <n x="330"/>
        <n x="14"/>
        <n x="32"/>
        <n x="1337" s="1"/>
      </t>
    </mdx>
    <mdx n="33" f="v">
      <t c="4">
        <n x="414"/>
        <n x="12"/>
        <n x="32"/>
        <n x="1337" s="1"/>
      </t>
    </mdx>
    <mdx n="33" f="v">
      <t c="4">
        <n x="1228"/>
        <n x="0"/>
        <n x="7"/>
        <n x="1337" s="1"/>
      </t>
    </mdx>
    <mdx n="33" f="v">
      <t c="4">
        <n x="1040"/>
        <n x="0"/>
        <n x="7"/>
        <n x="1337" s="1"/>
      </t>
    </mdx>
    <mdx n="33" f="v">
      <t c="4" si="10">
        <n x="507"/>
        <n x="14"/>
        <n x="32"/>
        <n x="1337" s="1"/>
      </t>
    </mdx>
    <mdx n="33" f="v">
      <t c="4">
        <n x="346"/>
        <n x="1"/>
        <n x="7"/>
        <n x="1337" s="1"/>
      </t>
    </mdx>
    <mdx n="33" f="v">
      <t c="4">
        <n x="544"/>
        <n x="1"/>
        <n x="7"/>
        <n x="1337" s="1"/>
      </t>
    </mdx>
    <mdx n="33" f="v">
      <t c="4" si="10">
        <n x="474"/>
        <n x="14"/>
        <n x="32"/>
        <n x="1337" s="1"/>
      </t>
    </mdx>
    <mdx n="33" f="v">
      <t c="4">
        <n x="1198"/>
        <n x="0"/>
        <n x="7"/>
        <n x="1337" s="1"/>
      </t>
    </mdx>
    <mdx n="33" f="v">
      <t c="4" si="10">
        <n x="1122"/>
        <n x="11"/>
        <n x="32"/>
        <n x="1337" s="1"/>
      </t>
    </mdx>
    <mdx n="33" f="v">
      <t c="4">
        <n x="504"/>
        <n x="1"/>
        <n x="32"/>
        <n x="1337" s="1"/>
      </t>
    </mdx>
    <mdx n="33" f="v">
      <t c="4">
        <n x="869"/>
        <n x="12"/>
        <n x="7"/>
        <n x="1337" s="1"/>
      </t>
    </mdx>
    <mdx n="33" f="v">
      <t c="4">
        <n x="1319"/>
        <n x="0"/>
        <n x="32"/>
        <n x="1337" s="1"/>
      </t>
    </mdx>
    <mdx n="33" f="v">
      <t c="4">
        <n x="930"/>
        <n x="1"/>
        <n x="7"/>
        <n x="1337" s="1"/>
      </t>
    </mdx>
    <mdx n="33" f="v">
      <t c="4">
        <n x="246"/>
        <n x="14"/>
        <n x="7"/>
        <n x="1337" s="1"/>
      </t>
    </mdx>
    <mdx n="33" f="v">
      <t c="4">
        <n x="185"/>
        <n x="11"/>
        <n x="7"/>
        <n x="1337" s="1"/>
      </t>
    </mdx>
    <mdx n="33" f="v">
      <t c="4">
        <n x="344"/>
        <n x="12"/>
        <n x="32"/>
        <n x="1337" s="1"/>
      </t>
    </mdx>
    <mdx n="33" f="v">
      <t c="4">
        <n x="599"/>
        <n x="11"/>
        <n x="7"/>
        <n x="1337" s="1"/>
      </t>
    </mdx>
    <mdx n="33" f="v">
      <t c="4">
        <n x="618"/>
        <n x="1"/>
        <n x="7"/>
        <n x="1337" s="1"/>
      </t>
    </mdx>
    <mdx n="33" f="v">
      <t c="4">
        <n x="565"/>
        <n x="11"/>
        <n x="32"/>
        <n x="1337" s="1"/>
      </t>
    </mdx>
    <mdx n="33" f="v">
      <t c="4" si="10">
        <n x="1115"/>
        <n x="12"/>
        <n x="32"/>
        <n x="1337" s="1"/>
      </t>
    </mdx>
    <mdx n="33" f="v">
      <t c="4">
        <n x="299"/>
        <n x="12"/>
        <n x="32"/>
        <n x="1337" s="1"/>
      </t>
    </mdx>
    <mdx n="33" f="v">
      <t c="4" si="10">
        <n x="924"/>
        <n x="14"/>
        <n x="32"/>
        <n x="1337" s="1"/>
      </t>
    </mdx>
    <mdx n="33" f="v">
      <t c="4">
        <n x="323"/>
        <n x="14"/>
        <n x="7"/>
        <n x="1337" s="1"/>
      </t>
    </mdx>
    <mdx n="33" f="v">
      <t c="4">
        <n x="338"/>
        <n x="11"/>
        <n x="7"/>
        <n x="1337" s="1"/>
      </t>
    </mdx>
    <mdx n="33" f="v">
      <t c="4">
        <n x="569"/>
        <n x="1"/>
        <n x="7"/>
        <n x="1337" s="1"/>
      </t>
    </mdx>
    <mdx n="33" f="v">
      <t c="4">
        <n x="1023"/>
        <n x="11"/>
        <n x="32"/>
        <n x="1337" s="1"/>
      </t>
    </mdx>
    <mdx n="33" f="v">
      <t c="4">
        <n x="112"/>
        <n x="11"/>
        <n x="32"/>
        <n x="1337" s="1"/>
      </t>
    </mdx>
    <mdx n="33" f="v">
      <t c="4">
        <n x="531"/>
        <n x="12"/>
        <n x="32"/>
        <n x="1337" s="1"/>
      </t>
    </mdx>
    <mdx n="33" f="v">
      <t c="4">
        <n x="1076"/>
        <n x="14"/>
        <n x="32"/>
        <n x="1337" s="1"/>
      </t>
    </mdx>
    <mdx n="33" f="v">
      <t c="4">
        <n x="177"/>
        <n x="14"/>
        <n x="32"/>
        <n x="1337" s="1"/>
      </t>
    </mdx>
    <mdx n="33" f="v">
      <t c="4">
        <n x="226"/>
        <n x="11"/>
        <n x="7"/>
        <n x="1337" s="1"/>
      </t>
    </mdx>
    <mdx n="33" f="v">
      <t c="4" si="10">
        <n x="451"/>
        <n x="12"/>
        <n x="32"/>
        <n x="1337" s="1"/>
      </t>
    </mdx>
    <mdx n="33" f="v">
      <t c="4">
        <n x="140"/>
        <n x="14"/>
        <n x="32"/>
        <n x="1337" s="1"/>
      </t>
    </mdx>
    <mdx n="33" f="v">
      <t c="4">
        <n x="1188"/>
        <n x="0"/>
        <n x="7"/>
        <n x="1337" s="1"/>
      </t>
    </mdx>
    <mdx n="33" f="v">
      <t c="4">
        <n x="537"/>
        <n x="14"/>
        <n x="32"/>
        <n x="1337" s="1"/>
      </t>
    </mdx>
    <mdx n="33" f="v">
      <t c="4" si="10">
        <n x="1236"/>
        <n x="0"/>
        <n x="32"/>
        <n x="1337" s="1"/>
      </t>
    </mdx>
    <mdx n="33" f="v">
      <t c="4">
        <n x="346"/>
        <n x="11"/>
        <n x="32"/>
        <n x="1337" s="1"/>
      </t>
    </mdx>
    <mdx n="33" f="v">
      <t c="4" si="10">
        <n x="453"/>
        <n x="14"/>
        <n x="32"/>
        <n x="1337" s="1"/>
      </t>
    </mdx>
    <mdx n="33" f="v">
      <t c="3">
        <n x="89"/>
        <n x="1336"/>
        <n x="1337" s="1"/>
      </t>
    </mdx>
    <mdx n="33" f="v">
      <t c="4">
        <n x="1301"/>
        <n x="12"/>
        <n x="32"/>
        <n x="1337" s="1"/>
      </t>
    </mdx>
    <mdx n="33" f="v">
      <t c="4">
        <n x="863"/>
        <n x="11"/>
        <n x="7"/>
        <n x="1337" s="1"/>
      </t>
    </mdx>
    <mdx n="33" f="v">
      <t c="4">
        <n x="431"/>
        <n x="1"/>
        <n x="7"/>
        <n x="1337" s="1"/>
      </t>
    </mdx>
    <mdx n="33" f="v">
      <t c="4" si="10">
        <n x="570"/>
        <n x="12"/>
        <n x="32"/>
        <n x="1337" s="1"/>
      </t>
    </mdx>
    <mdx n="33" f="v">
      <t c="4">
        <n x="462"/>
        <n x="14"/>
        <n x="32"/>
        <n x="1337" s="1"/>
      </t>
    </mdx>
    <mdx n="33" f="v">
      <t c="4">
        <n x="95"/>
        <n x="1"/>
        <n x="32"/>
        <n x="1337" s="1"/>
      </t>
    </mdx>
    <mdx n="33" f="v">
      <t c="4">
        <n x="1214"/>
        <n x="0"/>
        <n x="7"/>
        <n x="1337" s="1"/>
      </t>
    </mdx>
    <mdx n="33" f="v">
      <t c="4">
        <n x="911"/>
        <n x="11"/>
        <n x="7"/>
        <n x="1337" s="1"/>
      </t>
    </mdx>
    <mdx n="33" f="v">
      <t c="4">
        <n x="957"/>
        <n x="1"/>
        <n x="7"/>
        <n x="1337" s="1"/>
      </t>
    </mdx>
    <mdx n="33" f="v">
      <t c="4">
        <n x="141"/>
        <n x="1"/>
        <n x="32"/>
        <n x="1337" s="1"/>
      </t>
    </mdx>
    <mdx n="33" f="v">
      <t c="4">
        <n x="904"/>
        <n x="1"/>
        <n x="32"/>
        <n x="1337" s="1"/>
      </t>
    </mdx>
    <mdx n="33" f="v">
      <t c="4" si="9">
        <n x="953"/>
        <n x="14"/>
        <n x="7"/>
        <n x="1337" s="1"/>
      </t>
    </mdx>
    <mdx n="33" f="v">
      <t c="4" si="10">
        <n x="749"/>
        <n x="12"/>
        <n x="32"/>
        <n x="1337" s="1"/>
      </t>
    </mdx>
    <mdx n="33" f="v">
      <t c="3">
        <n x="1069"/>
        <n x="1336"/>
        <n x="1337" s="1"/>
      </t>
    </mdx>
    <mdx n="33" f="v">
      <t c="4">
        <n x="903"/>
        <n x="11"/>
        <n x="32"/>
        <n x="1337" s="1"/>
      </t>
    </mdx>
    <mdx n="33" f="v">
      <t c="4">
        <n x="1081"/>
        <n x="11"/>
        <n x="32"/>
        <n x="1337" s="1"/>
      </t>
    </mdx>
    <mdx n="33" f="v">
      <t c="4">
        <n x="1011"/>
        <n x="11"/>
        <n x="7"/>
        <n x="1337" s="1"/>
      </t>
    </mdx>
    <mdx n="33" f="v">
      <t c="4">
        <n x="301"/>
        <n x="11"/>
        <n x="32"/>
        <n x="1337" s="1"/>
      </t>
    </mdx>
    <mdx n="33" f="v">
      <t c="4" si="10">
        <n x="954"/>
        <n x="12"/>
        <n x="32"/>
        <n x="1337" s="1"/>
      </t>
    </mdx>
    <mdx n="33" f="v">
      <t c="4">
        <n x="962"/>
        <n x="1"/>
        <n x="7"/>
        <n x="1337" s="1"/>
      </t>
    </mdx>
    <mdx n="33" f="v">
      <t c="4" si="10">
        <n x="1274"/>
        <n x="12"/>
        <n x="32"/>
        <n x="1337" s="1"/>
      </t>
    </mdx>
    <mdx n="33" f="v">
      <t c="4">
        <n x="286"/>
        <n x="14"/>
        <n x="32"/>
        <n x="1337" s="1"/>
      </t>
    </mdx>
    <mdx n="33" f="v">
      <t c="4" si="10">
        <n x="449"/>
        <n x="14"/>
        <n x="32"/>
        <n x="1337" s="1"/>
      </t>
    </mdx>
    <mdx n="33" f="v">
      <t c="3">
        <n x="78"/>
        <n x="1336"/>
        <n x="1337" s="1"/>
      </t>
    </mdx>
    <mdx n="33" f="v">
      <t c="4">
        <n x="356"/>
        <n x="14"/>
        <n x="32"/>
        <n x="1337" s="1"/>
      </t>
    </mdx>
    <mdx n="33" f="v">
      <t c="4">
        <n x="76"/>
        <n x="0"/>
        <n x="7"/>
        <n x="1337" s="1"/>
      </t>
    </mdx>
    <mdx n="33" f="v">
      <t c="4">
        <n x="977"/>
        <n x="14"/>
        <n x="32"/>
        <n x="1337" s="1"/>
      </t>
    </mdx>
    <mdx n="33" f="v">
      <t c="4">
        <n x="1166"/>
        <n x="0"/>
        <n x="7"/>
        <n x="1337" s="1"/>
      </t>
    </mdx>
    <mdx n="33" f="v">
      <t c="3">
        <n x="151"/>
        <n x="1336"/>
        <n x="1337" s="1"/>
      </t>
    </mdx>
    <mdx n="33" f="v">
      <t c="4" si="10">
        <n x="564"/>
        <n x="14"/>
        <n x="32"/>
        <n x="1337" s="1"/>
      </t>
    </mdx>
    <mdx n="33" f="v">
      <t c="4">
        <n x="285"/>
        <n x="12"/>
        <n x="32"/>
        <n x="1337" s="1"/>
      </t>
    </mdx>
    <mdx n="33" f="v">
      <t c="4" si="9">
        <n x="660"/>
        <n x="12"/>
        <n x="7"/>
        <n x="1337" s="1"/>
      </t>
    </mdx>
    <mdx n="33" f="v">
      <t c="4">
        <n x="802"/>
        <n x="1"/>
        <n x="7"/>
        <n x="1337" s="1"/>
      </t>
    </mdx>
    <mdx n="33" f="v">
      <t c="4">
        <n x="929"/>
        <n x="12"/>
        <n x="32"/>
        <n x="1337" s="1"/>
      </t>
    </mdx>
    <mdx n="33" f="v">
      <t c="3" fi="0">
        <n x="549"/>
        <n x="1336"/>
        <n x="1337" s="1"/>
      </t>
    </mdx>
    <mdx n="33" f="v">
      <t c="3">
        <n x="1039"/>
        <n x="1336"/>
        <n x="1337" s="1"/>
      </t>
    </mdx>
    <mdx n="33" f="v">
      <t c="4">
        <n x="845"/>
        <n x="11"/>
        <n x="7"/>
        <n x="1337" s="1"/>
      </t>
    </mdx>
    <mdx n="33" f="v">
      <t c="4" si="10">
        <n x="691"/>
        <n x="12"/>
        <n x="32"/>
        <n x="1337" s="1"/>
      </t>
    </mdx>
    <mdx n="33" f="v">
      <t c="4">
        <n x="947"/>
        <n x="1"/>
        <n x="7"/>
        <n x="1337" s="1"/>
      </t>
    </mdx>
    <mdx n="33" f="v">
      <t c="4">
        <n x="1089"/>
        <n x="14"/>
        <n x="7"/>
        <n x="1337" s="1"/>
      </t>
    </mdx>
    <mdx n="33" f="v">
      <t c="4">
        <n x="922"/>
        <n x="0"/>
        <n x="7"/>
        <n x="1337" s="1"/>
      </t>
    </mdx>
    <mdx n="33" f="v">
      <t c="4">
        <n x="1088"/>
        <n x="1"/>
        <n x="7"/>
        <n x="1337" s="1"/>
      </t>
    </mdx>
    <mdx n="33" f="v">
      <t c="4">
        <n x="1272"/>
        <n x="12"/>
        <n x="32"/>
        <n x="1337" s="1"/>
      </t>
    </mdx>
    <mdx n="33" f="v">
      <t c="4" si="10">
        <n x="1002"/>
        <n x="14"/>
        <n x="32"/>
        <n x="1337" s="1"/>
      </t>
    </mdx>
    <mdx n="33" f="v">
      <t c="4">
        <n x="178"/>
        <n x="14"/>
        <n x="7"/>
        <n x="1337" s="1"/>
      </t>
    </mdx>
    <mdx n="33" f="v">
      <t c="4">
        <n x="825"/>
        <n x="0"/>
        <n x="7"/>
        <n x="1337" s="1"/>
      </t>
    </mdx>
    <mdx n="33" f="v">
      <t c="4">
        <n x="63"/>
        <n x="14"/>
        <n x="7"/>
        <n x="1337" s="1"/>
      </t>
    </mdx>
    <mdx n="33" f="v">
      <t c="4">
        <n x="914"/>
        <n x="14"/>
        <n x="32"/>
        <n x="1337" s="1"/>
      </t>
    </mdx>
    <mdx n="33" f="v">
      <t c="4">
        <n x="1078"/>
        <n x="0"/>
        <n x="7"/>
        <n x="1337" s="1"/>
      </t>
    </mdx>
    <mdx n="33" f="v">
      <t c="4">
        <n x="438"/>
        <n x="14"/>
        <n x="7"/>
        <n x="1337" s="1"/>
      </t>
    </mdx>
    <mdx n="33" f="v">
      <t c="4">
        <n x="874"/>
        <n x="1"/>
        <n x="7"/>
        <n x="1337" s="1"/>
      </t>
    </mdx>
    <mdx n="33" f="v">
      <t c="4">
        <n x="991"/>
        <n x="0"/>
        <n x="32"/>
        <n x="1337" s="1"/>
      </t>
    </mdx>
    <mdx n="33" f="v">
      <t c="4">
        <n x="1303"/>
        <n x="12"/>
        <n x="7"/>
        <n x="1337" s="1"/>
      </t>
    </mdx>
    <mdx n="33" f="v">
      <t c="4">
        <n x="605"/>
        <n x="11"/>
        <n x="7"/>
        <n x="1337" s="1"/>
      </t>
    </mdx>
    <mdx n="33" f="v">
      <t c="4">
        <n x="212"/>
        <n x="14"/>
        <n x="7"/>
        <n x="1337" s="1"/>
      </t>
    </mdx>
    <mdx n="33" f="v">
      <t c="4" si="9">
        <n x="507"/>
        <n x="1"/>
        <n x="7"/>
        <n x="1337" s="1"/>
      </t>
    </mdx>
    <mdx n="33" f="v">
      <t c="4">
        <n x="1284"/>
        <n x="12"/>
        <n x="32"/>
        <n x="1337" s="1"/>
      </t>
    </mdx>
    <mdx n="33" f="v">
      <t c="4" si="10">
        <n x="1014"/>
        <n x="14"/>
        <n x="32"/>
        <n x="1337" s="1"/>
      </t>
    </mdx>
    <mdx n="33" f="v">
      <t c="4">
        <n x="202"/>
        <n x="14"/>
        <n x="7"/>
        <n x="1337" s="1"/>
      </t>
    </mdx>
    <mdx n="33" f="v">
      <t c="4">
        <n x="838"/>
        <n x="11"/>
        <n x="32"/>
        <n x="1337" s="1"/>
      </t>
    </mdx>
    <mdx n="33" f="v">
      <t c="4">
        <n x="633"/>
        <n x="0"/>
        <n x="7"/>
        <n x="1337" s="1"/>
      </t>
    </mdx>
    <mdx n="33" f="v">
      <t c="4">
        <n x="917"/>
        <n x="11"/>
        <n x="7"/>
        <n x="1337" s="1"/>
      </t>
    </mdx>
    <mdx n="33" f="v">
      <t c="4" si="10">
        <n x="1086"/>
        <n x="0"/>
        <n x="32"/>
        <n x="1337" s="1"/>
      </t>
    </mdx>
    <mdx n="33" f="v">
      <t c="4">
        <n x="383"/>
        <n x="14"/>
        <n x="7"/>
        <n x="1337" s="1"/>
      </t>
    </mdx>
    <mdx n="33" f="v">
      <t c="4">
        <n x="877"/>
        <n x="14"/>
        <n x="7"/>
        <n x="1337" s="1"/>
      </t>
    </mdx>
    <mdx n="33" f="v">
      <t c="4">
        <n x="998"/>
        <n x="12"/>
        <n x="7"/>
        <n x="1337" s="1"/>
      </t>
    </mdx>
    <mdx n="33" f="v">
      <t c="4">
        <n x="1321"/>
        <n x="12"/>
        <n x="7"/>
        <n x="1337" s="1"/>
      </t>
    </mdx>
    <mdx n="33" f="v">
      <t c="4">
        <n x="569"/>
        <n x="11"/>
        <n x="7"/>
        <n x="1337" s="1"/>
      </t>
    </mdx>
    <mdx n="33" f="v">
      <t c="4">
        <n x="88"/>
        <n x="14"/>
        <n x="7"/>
        <n x="1337" s="1"/>
      </t>
    </mdx>
    <mdx n="33" f="v">
      <t c="4">
        <n x="470"/>
        <n x="1"/>
        <n x="7"/>
        <n x="1337" s="1"/>
      </t>
    </mdx>
    <mdx n="33" f="v">
      <t c="4">
        <n x="1248"/>
        <n x="12"/>
        <n x="32"/>
        <n x="1337" s="1"/>
      </t>
    </mdx>
    <mdx n="33" f="v">
      <t c="4">
        <n x="978"/>
        <n x="14"/>
        <n x="32"/>
        <n x="1337" s="1"/>
      </t>
    </mdx>
    <mdx n="33" f="v">
      <t c="4">
        <n x="101"/>
        <n x="14"/>
        <n x="7"/>
        <n x="1337" s="1"/>
      </t>
    </mdx>
    <mdx n="33" f="v">
      <t c="4">
        <n x="465"/>
        <n x="1"/>
        <n x="7"/>
        <n x="1337" s="1"/>
      </t>
    </mdx>
    <mdx n="33" f="v">
      <t c="4">
        <n x="235"/>
        <n x="0"/>
        <n x="32"/>
        <n x="1337" s="1"/>
      </t>
    </mdx>
    <mdx n="33" f="v">
      <t c="3">
        <n x="1096"/>
        <n x="1336"/>
        <n x="1337" s="1"/>
      </t>
    </mdx>
    <mdx n="33" f="v">
      <t c="4">
        <n x="1109"/>
        <n x="14"/>
        <n x="7"/>
        <n x="1337" s="1"/>
      </t>
    </mdx>
    <mdx n="33" f="v">
      <t c="4">
        <n x="1196"/>
        <n x="12"/>
        <n x="32"/>
        <n x="1337" s="1"/>
      </t>
    </mdx>
    <mdx n="33" f="v">
      <t c="4">
        <n x="56"/>
        <n x="11"/>
        <n x="7"/>
        <n x="1337" s="1"/>
      </t>
    </mdx>
    <mdx n="33" f="v">
      <t c="4" si="10">
        <n x="1235"/>
        <n x="12"/>
        <n x="32"/>
        <n x="1337" s="1"/>
      </t>
    </mdx>
    <mdx n="33" f="v">
      <t c="4" si="10">
        <n x="876"/>
        <n x="14"/>
        <n x="32"/>
        <n x="1337" s="1"/>
      </t>
    </mdx>
    <mdx n="33" f="v">
      <t c="4" si="9">
        <n x="492"/>
        <n x="11"/>
        <n x="7"/>
        <n x="1337" s="1"/>
      </t>
    </mdx>
    <mdx n="33" f="v">
      <t c="4">
        <n x="123"/>
        <n x="1"/>
        <n x="7"/>
        <n x="1337" s="1"/>
      </t>
    </mdx>
    <mdx n="33" f="v">
      <t c="4">
        <n x="323"/>
        <n x="11"/>
        <n x="32"/>
        <n x="1337" s="1"/>
      </t>
    </mdx>
    <mdx n="33" f="v">
      <t c="4" si="10">
        <n x="1158"/>
        <n x="12"/>
        <n x="32"/>
        <n x="1337" s="1"/>
      </t>
    </mdx>
    <mdx n="33" f="v">
      <t c="4">
        <n x="503"/>
        <n x="12"/>
        <n x="32"/>
        <n x="1337" s="1"/>
      </t>
    </mdx>
    <mdx n="33" f="v">
      <t c="4" si="10">
        <n x="1051"/>
        <n x="0"/>
        <n x="32"/>
        <n x="1337" s="1"/>
      </t>
    </mdx>
    <mdx n="33" f="v">
      <t c="4">
        <n x="231"/>
        <n x="14"/>
        <n x="7"/>
        <n x="1337" s="1"/>
      </t>
    </mdx>
    <mdx n="33" f="v">
      <t c="4">
        <n x="303"/>
        <n x="14"/>
        <n x="7"/>
        <n x="1337" s="1"/>
      </t>
    </mdx>
    <mdx n="33" f="v">
      <t c="4">
        <n x="141"/>
        <n x="1"/>
        <n x="7"/>
        <n x="1337" s="1"/>
      </t>
    </mdx>
    <mdx n="33" f="v">
      <t c="4" si="10">
        <n x="1128"/>
        <n x="12"/>
        <n x="32"/>
        <n x="1337" s="1"/>
      </t>
    </mdx>
    <mdx n="33" f="v">
      <t c="4" si="10">
        <n x="505"/>
        <n x="12"/>
        <n x="32"/>
        <n x="1337" s="1"/>
      </t>
    </mdx>
    <mdx n="33" f="v">
      <t c="4">
        <n x="129"/>
        <n x="12"/>
        <n x="32"/>
        <n x="1337" s="1"/>
      </t>
    </mdx>
    <mdx n="33" f="v">
      <t c="4" si="9">
        <n x="758"/>
        <n x="11"/>
        <n x="7"/>
        <n x="1337" s="1"/>
      </t>
    </mdx>
    <mdx n="33" f="v">
      <t c="4">
        <n x="935"/>
        <n x="11"/>
        <n x="7"/>
        <n x="1337" s="1"/>
      </t>
    </mdx>
    <mdx n="33" f="v">
      <t c="4" si="9">
        <n x="1036"/>
        <n x="14"/>
        <n x="7"/>
        <n x="1337" s="1"/>
      </t>
    </mdx>
    <mdx n="33" f="v">
      <t c="4">
        <n x="301"/>
        <n x="0"/>
        <n x="32"/>
        <n x="1337" s="1"/>
      </t>
    </mdx>
    <mdx n="33" f="v">
      <t c="4">
        <n x="658"/>
        <n x="11"/>
        <n x="7"/>
        <n x="1337" s="1"/>
      </t>
    </mdx>
    <mdx n="33" f="v">
      <t c="4">
        <n x="755"/>
        <n x="12"/>
        <n x="7"/>
        <n x="1337" s="1"/>
      </t>
    </mdx>
    <mdx n="33" f="v">
      <t c="4">
        <n x="737"/>
        <n x="0"/>
        <n x="7"/>
        <n x="1337" s="1"/>
      </t>
    </mdx>
    <mdx n="33" f="v">
      <t c="4">
        <n x="930"/>
        <n x="11"/>
        <n x="32"/>
        <n x="1337" s="1"/>
      </t>
    </mdx>
    <mdx n="33" f="v">
      <t c="4">
        <n x="1095"/>
        <n x="14"/>
        <n x="7"/>
        <n x="1337" s="1"/>
      </t>
    </mdx>
    <mdx n="33" f="v">
      <t c="4">
        <n x="729"/>
        <n x="0"/>
        <n x="32"/>
        <n x="1337" s="1"/>
      </t>
    </mdx>
    <mdx n="33" f="v">
      <t c="4">
        <n x="849"/>
        <n x="11"/>
        <n x="7"/>
        <n x="1337" s="1"/>
      </t>
    </mdx>
    <mdx n="33" f="v">
      <t c="4">
        <n x="897"/>
        <n x="12"/>
        <n x="7"/>
        <n x="1337" s="1"/>
      </t>
    </mdx>
    <mdx n="33" f="v">
      <t c="4">
        <n x="927"/>
        <n x="1"/>
        <n x="7"/>
        <n x="1337" s="1"/>
      </t>
    </mdx>
    <mdx n="33" f="v">
      <t c="4">
        <n x="966"/>
        <n x="0"/>
        <n x="7"/>
        <n x="1337" s="1"/>
      </t>
    </mdx>
    <mdx n="33" f="v">
      <t c="4" si="10">
        <n x="1043"/>
        <n x="1"/>
        <n x="32"/>
        <n x="1337" s="1"/>
      </t>
    </mdx>
    <mdx n="33" f="v">
      <t c="4">
        <n x="1094"/>
        <n x="0"/>
        <n x="7"/>
        <n x="1337" s="1"/>
      </t>
    </mdx>
    <mdx n="33" f="v">
      <t c="4" si="10">
        <n x="1179"/>
        <n x="0"/>
        <n x="32"/>
        <n x="1337" s="1"/>
      </t>
    </mdx>
    <mdx n="33" f="v">
      <t c="4" si="10">
        <n x="1307"/>
        <n x="0"/>
        <n x="32"/>
        <n x="1337" s="1"/>
      </t>
    </mdx>
    <mdx n="33" f="v">
      <t c="4">
        <n x="618"/>
        <n x="14"/>
        <n x="7"/>
        <n x="1337" s="1"/>
      </t>
    </mdx>
    <mdx n="33" f="v">
      <t c="4">
        <n x="339"/>
        <n x="14"/>
        <n x="7"/>
        <n x="1337" s="1"/>
      </t>
    </mdx>
    <mdx n="33" f="v">
      <t c="4">
        <n x="729"/>
        <n x="0"/>
        <n x="7"/>
        <n x="1337" s="1"/>
      </t>
    </mdx>
    <mdx n="33" f="v">
      <t c="4">
        <n x="828"/>
        <n x="12"/>
        <n x="32"/>
        <n x="1337" s="1"/>
      </t>
    </mdx>
    <mdx n="33" f="v">
      <t c="4">
        <n x="858"/>
        <n x="1"/>
        <n x="7"/>
        <n x="1337" s="1"/>
      </t>
    </mdx>
    <mdx n="33" f="v">
      <t c="4">
        <n x="881"/>
        <n x="14"/>
        <n x="7"/>
        <n x="1337" s="1"/>
      </t>
    </mdx>
    <mdx n="33" f="v">
      <t c="3">
        <n x="905"/>
        <n x="1336"/>
        <n x="1337" s="1"/>
      </t>
    </mdx>
    <mdx n="33" f="v">
      <t c="4">
        <n x="928"/>
        <n x="11"/>
        <n x="32"/>
        <n x="1337" s="1"/>
      </t>
    </mdx>
    <mdx n="33" f="v">
      <t c="4">
        <n x="956"/>
        <n x="0"/>
        <n x="7"/>
        <n x="1337" s="1"/>
      </t>
    </mdx>
    <mdx n="33" f="v">
      <t c="4">
        <n x="1007"/>
        <n x="0"/>
        <n x="32"/>
        <n x="1337" s="1"/>
      </t>
    </mdx>
    <mdx n="33" f="v">
      <t c="4">
        <n x="1058"/>
        <n x="12"/>
        <n x="7"/>
        <n x="1337" s="1"/>
      </t>
    </mdx>
    <mdx n="33" f="v">
      <t c="3">
        <n x="1109"/>
        <n x="1336"/>
        <n x="1337" s="1"/>
      </t>
    </mdx>
    <mdx n="33" f="v">
      <t c="4">
        <n x="1215"/>
        <n x="12"/>
        <n x="7"/>
        <n x="1337" s="1"/>
      </t>
    </mdx>
    <mdx n="33" f="v">
      <t c="4">
        <n x="1117"/>
        <n x="14"/>
        <n x="7"/>
        <n x="1337" s="1"/>
      </t>
    </mdx>
    <mdx n="33" f="v">
      <t c="4">
        <n x="545"/>
        <n x="14"/>
        <n x="7"/>
        <n x="1337" s="1"/>
      </t>
    </mdx>
    <mdx n="33" f="v">
      <t c="4">
        <n x="297"/>
        <n x="14"/>
        <n x="7"/>
        <n x="1337" s="1"/>
      </t>
    </mdx>
    <mdx n="33" f="v">
      <t c="4">
        <n x="1097"/>
        <n x="11"/>
        <n x="7"/>
        <n x="1337" s="1"/>
      </t>
    </mdx>
    <mdx n="33" f="v">
      <t c="4">
        <n x="219"/>
        <n x="12"/>
        <n x="7"/>
        <n x="1337" s="1"/>
      </t>
    </mdx>
    <mdx n="33" f="v">
      <t c="4">
        <n x="883"/>
        <n x="12"/>
        <n x="7"/>
        <n x="1337" s="1"/>
      </t>
    </mdx>
    <mdx n="33" f="v">
      <t c="4">
        <n x="1009"/>
        <n x="1"/>
        <n x="32"/>
        <n x="1337" s="1"/>
      </t>
    </mdx>
    <mdx n="33" f="v">
      <t c="4">
        <n x="1104"/>
        <n x="14"/>
        <n x="7"/>
        <n x="1337" s="1"/>
      </t>
    </mdx>
    <mdx n="33" f="v">
      <t c="4">
        <n x="1319"/>
        <n x="11"/>
        <n x="7"/>
        <n x="1337" s="1"/>
      </t>
    </mdx>
    <mdx n="33" f="v">
      <t c="4">
        <n x="474"/>
        <n x="11"/>
        <n x="7"/>
        <n x="1337" s="1"/>
      </t>
    </mdx>
    <mdx n="33" f="v">
      <t c="4">
        <n x="209"/>
        <n x="11"/>
        <n x="7"/>
        <n x="1337" s="1"/>
      </t>
    </mdx>
    <mdx n="33" f="v">
      <t c="4">
        <n x="1020"/>
        <n x="1"/>
        <n x="7"/>
        <n x="1337" s="1"/>
      </t>
    </mdx>
    <mdx n="33" f="v">
      <t c="4">
        <n x="426"/>
        <n x="1"/>
        <n x="7"/>
        <n x="1337" s="1"/>
      </t>
    </mdx>
    <mdx n="33" f="v">
      <t c="4">
        <n x="104"/>
        <n x="1"/>
        <n x="7"/>
        <n x="1337" s="1"/>
      </t>
    </mdx>
    <mdx n="33" f="v">
      <t c="4">
        <n x="546"/>
        <n x="11"/>
        <n x="32"/>
        <n x="1337" s="1"/>
      </t>
    </mdx>
    <mdx n="33" f="v">
      <t c="4" si="10">
        <n x="293"/>
        <n x="11"/>
        <n x="32"/>
        <n x="1337" s="1"/>
      </t>
    </mdx>
    <mdx n="33" f="v">
      <t c="4">
        <n x="1204"/>
        <n x="12"/>
        <n x="32"/>
        <n x="1337" s="1"/>
      </t>
    </mdx>
    <mdx n="33" f="v">
      <t c="4" si="10">
        <n x="960"/>
        <n x="12"/>
        <n x="32"/>
        <n x="1337" s="1"/>
      </t>
    </mdx>
    <mdx n="33" f="v">
      <t c="4">
        <n x="368"/>
        <n x="12"/>
        <n x="32"/>
        <n x="1337" s="1"/>
      </t>
    </mdx>
    <mdx n="33" f="v">
      <t c="4">
        <n x="87"/>
        <n x="12"/>
        <n x="32"/>
        <n x="1337" s="1"/>
      </t>
    </mdx>
    <mdx n="33" f="v">
      <t c="4" si="10">
        <n x="446"/>
        <n x="1"/>
        <n x="32"/>
        <n x="1337" s="1"/>
      </t>
    </mdx>
    <mdx n="33" f="v">
      <t c="4">
        <n x="884"/>
        <n x="14"/>
        <n x="7"/>
        <n x="1337" s="1"/>
      </t>
    </mdx>
    <mdx n="33" f="v">
      <t c="4" si="10">
        <n x="1013"/>
        <n x="1"/>
        <n x="32"/>
        <n x="1337" s="1"/>
      </t>
    </mdx>
    <mdx n="33" f="v">
      <t c="4">
        <n x="1084"/>
        <n x="14"/>
        <n x="7"/>
        <n x="1337" s="1"/>
      </t>
    </mdx>
    <mdx n="33" f="v">
      <t c="4" si="10">
        <n x="464"/>
        <n x="0"/>
        <n x="32"/>
        <n x="1337" s="1"/>
      </t>
    </mdx>
    <mdx n="33" f="v">
      <t c="4">
        <n x="730"/>
        <n x="14"/>
        <n x="7"/>
        <n x="1337" s="1"/>
      </t>
    </mdx>
    <mdx n="33" f="v">
      <t c="4" si="9">
        <n x="555"/>
        <n x="0"/>
        <n x="7"/>
        <n x="1337" s="1"/>
      </t>
    </mdx>
    <mdx n="33" f="v">
      <t c="4">
        <n x="768"/>
        <n x="11"/>
        <n x="32"/>
        <n x="1337" s="1"/>
      </t>
    </mdx>
    <mdx n="33" f="v">
      <t c="4" si="9">
        <n x="696"/>
        <n x="1"/>
        <n x="7"/>
        <n x="1337" s="1"/>
      </t>
    </mdx>
    <mdx n="33" f="v">
      <t c="4" si="10">
        <n x="897"/>
        <n x="0"/>
        <n x="32"/>
        <n x="1337" s="1"/>
      </t>
    </mdx>
    <mdx n="33" f="v">
      <t c="4">
        <n x="1040"/>
        <n x="12"/>
        <n x="7"/>
        <n x="1337" s="1"/>
      </t>
    </mdx>
    <mdx n="33" f="v">
      <t c="4">
        <n x="448"/>
        <n x="14"/>
        <n x="7"/>
        <n x="1337" s="1"/>
      </t>
    </mdx>
    <mdx n="33" f="v">
      <t c="4">
        <n x="714"/>
        <n x="11"/>
        <n x="32"/>
        <n x="1337" s="1"/>
      </t>
    </mdx>
    <mdx n="33" f="v">
      <t c="4">
        <n x="835"/>
        <n x="1"/>
        <n x="32"/>
        <n x="1337" s="1"/>
      </t>
    </mdx>
    <mdx n="33" f="v">
      <t c="4" si="10">
        <n x="870"/>
        <n x="14"/>
        <n x="32"/>
        <n x="1337" s="1"/>
      </t>
    </mdx>
    <mdx n="33" f="v">
      <t c="4">
        <n x="901"/>
        <n x="11"/>
        <n x="32"/>
        <n x="1337" s="1"/>
      </t>
    </mdx>
    <mdx n="33" f="v">
      <t c="4">
        <n x="925"/>
        <n x="12"/>
        <n x="7"/>
        <n x="1337" s="1"/>
      </t>
    </mdx>
    <mdx n="33" f="v">
      <t c="4" si="10">
        <n x="951"/>
        <n x="14"/>
        <n x="32"/>
        <n x="1337" s="1"/>
      </t>
    </mdx>
    <mdx n="33" f="v">
      <t c="4" si="10">
        <n x="999"/>
        <n x="1"/>
        <n x="32"/>
        <n x="1337" s="1"/>
      </t>
    </mdx>
    <mdx n="33" f="v">
      <t c="4" si="9">
        <n x="1050"/>
        <n x="0"/>
        <n x="7"/>
        <n x="1337" s="1"/>
      </t>
    </mdx>
    <mdx n="33" f="v">
      <t c="4">
        <n x="1102"/>
        <n x="0"/>
        <n x="32"/>
        <n x="1337" s="1"/>
      </t>
    </mdx>
    <mdx n="33" f="v">
      <t c="4" si="10">
        <n x="1197"/>
        <n x="0"/>
        <n x="32"/>
        <n x="1337" s="1"/>
      </t>
    </mdx>
    <mdx n="33" f="v">
      <t c="4" si="10">
        <n x="1325"/>
        <n x="0"/>
        <n x="32"/>
        <n x="1337" s="1"/>
      </t>
    </mdx>
    <mdx n="33" f="v">
      <t c="4" si="9">
        <n x="582"/>
        <n x="14"/>
        <n x="7"/>
        <n x="1337" s="1"/>
      </t>
    </mdx>
    <mdx n="33" f="v">
      <t c="3">
        <n x="459"/>
        <n x="1336"/>
        <n x="1337" s="1"/>
      </t>
    </mdx>
    <mdx n="33" f="v">
      <t c="4">
        <n x="742"/>
        <n x="11"/>
        <n x="32"/>
        <n x="1337" s="1"/>
      </t>
    </mdx>
    <mdx n="33" f="v">
      <t c="4">
        <n x="833"/>
        <n x="14"/>
        <n x="7"/>
        <n x="1337" s="1"/>
      </t>
    </mdx>
    <mdx n="33" f="v">
      <t c="4">
        <n x="861"/>
        <n x="14"/>
        <n x="7"/>
        <n x="1337" s="1"/>
      </t>
    </mdx>
    <mdx n="33" f="v">
      <t c="3">
        <n x="885"/>
        <n x="1336"/>
        <n x="1337" s="1"/>
      </t>
    </mdx>
    <mdx n="33" f="v">
      <t c="4">
        <n x="908"/>
        <n x="11"/>
        <n x="32"/>
        <n x="1337" s="1"/>
      </t>
    </mdx>
    <mdx n="33" f="v">
      <t c="4" si="10">
        <n x="931"/>
        <n x="12"/>
        <n x="32"/>
        <n x="1337" s="1"/>
      </t>
    </mdx>
    <mdx n="33" f="v">
      <t c="4" si="10">
        <n x="963"/>
        <n x="0"/>
        <n x="32"/>
        <n x="1337" s="1"/>
      </t>
    </mdx>
    <mdx n="33" f="v">
      <t c="4">
        <n x="1014"/>
        <n x="12"/>
        <n x="7"/>
        <n x="1337" s="1"/>
      </t>
    </mdx>
    <mdx n="33" f="v">
      <t c="3">
        <n x="1065"/>
        <n x="1336"/>
        <n x="1337" s="1"/>
      </t>
    </mdx>
    <mdx n="33" f="v">
      <t c="4">
        <n x="1116"/>
        <n x="1"/>
        <n x="32"/>
        <n x="1337" s="1"/>
      </t>
    </mdx>
    <mdx n="33" f="v">
      <t c="4">
        <n x="1233"/>
        <n x="12"/>
        <n x="7"/>
        <n x="1337" s="1"/>
      </t>
    </mdx>
    <mdx n="33" f="v">
      <t c="4">
        <n x="1081"/>
        <n x="14"/>
        <n x="7"/>
        <n x="1337" s="1"/>
      </t>
    </mdx>
    <mdx n="33" f="v">
      <t c="4">
        <n x="509"/>
        <n x="14"/>
        <n x="7"/>
        <n x="1337" s="1"/>
      </t>
    </mdx>
    <mdx n="33" f="v">
      <t c="4">
        <n x="263"/>
        <n x="14"/>
        <n x="7"/>
        <n x="1337" s="1"/>
      </t>
    </mdx>
    <mdx n="33" f="v">
      <t c="4">
        <n x="1061"/>
        <n x="11"/>
        <n x="7"/>
        <n x="1337" s="1"/>
      </t>
    </mdx>
    <mdx n="33" f="v">
      <t c="4">
        <n x="692"/>
        <n x="1"/>
        <n x="32"/>
        <n x="1337" s="1"/>
      </t>
    </mdx>
    <mdx n="33" f="v">
      <t c="3">
        <n x="896"/>
        <n x="1336"/>
        <n x="1337" s="1"/>
      </t>
    </mdx>
    <mdx n="33" f="v">
      <t c="3">
        <n x="1038"/>
        <n x="1336"/>
        <n x="1337" s="1"/>
      </t>
    </mdx>
    <mdx n="33" f="v">
      <t c="4">
        <n x="960"/>
        <n x="14"/>
        <n x="7"/>
        <n x="1337" s="1"/>
      </t>
    </mdx>
    <mdx n="33" f="v">
      <t c="4">
        <n x="1066"/>
        <n x="11"/>
        <n x="7"/>
        <n x="1337" s="1"/>
      </t>
    </mdx>
    <mdx n="33" f="v">
      <t c="4">
        <n x="419"/>
        <n x="11"/>
        <n x="7"/>
        <n x="1337" s="1"/>
      </t>
    </mdx>
    <mdx n="33" f="v">
      <t c="4">
        <n x="173"/>
        <n x="11"/>
        <n x="7"/>
        <n x="1337" s="1"/>
      </t>
    </mdx>
    <mdx n="33" f="v">
      <t c="4">
        <n x="984"/>
        <n x="1"/>
        <n x="7"/>
        <n x="1337" s="1"/>
      </t>
    </mdx>
    <mdx n="33" f="v">
      <t c="4">
        <n x="390"/>
        <n x="1"/>
        <n x="7"/>
        <n x="1337" s="1"/>
      </t>
    </mdx>
    <mdx n="33" f="v">
      <t c="4">
        <n x="1101"/>
        <n x="11"/>
        <n x="32"/>
        <n x="1337" s="1"/>
      </t>
    </mdx>
    <mdx n="33" f="v">
      <t c="4">
        <n x="510"/>
        <n x="11"/>
        <n x="32"/>
        <n x="1337" s="1"/>
      </t>
    </mdx>
    <mdx n="33" f="v">
      <t c="4">
        <n x="164"/>
        <n x="11"/>
        <n x="32"/>
        <n x="1337" s="1"/>
      </t>
    </mdx>
    <mdx n="33" f="v">
      <t c="4">
        <n x="1168"/>
        <n x="12"/>
        <n x="32"/>
        <n x="1337" s="1"/>
      </t>
    </mdx>
    <mdx n="33" f="v">
      <t c="4" si="10">
        <n x="609"/>
        <n x="12"/>
        <n x="32"/>
        <n x="1337" s="1"/>
      </t>
    </mdx>
    <mdx n="33" f="v">
      <t c="4">
        <n x="332"/>
        <n x="12"/>
        <n x="32"/>
        <n x="1337" s="1"/>
      </t>
    </mdx>
    <mdx n="33" f="v">
      <t c="4">
        <n x="68"/>
        <n x="12"/>
        <n x="32"/>
        <n x="1337" s="1"/>
      </t>
    </mdx>
    <mdx n="33" f="v">
      <t c="4">
        <n x="700"/>
        <n x="1"/>
        <n x="7"/>
        <n x="1337" s="1"/>
      </t>
    </mdx>
    <mdx n="33" f="v">
      <t c="4" si="10">
        <n x="898"/>
        <n x="0"/>
        <n x="32"/>
        <n x="1337" s="1"/>
      </t>
    </mdx>
    <mdx n="33" f="v">
      <t c="3">
        <n x="1042"/>
        <n x="1336"/>
        <n x="1337" s="1"/>
      </t>
    </mdx>
    <mdx n="33" f="v">
      <t c="4">
        <n x="404"/>
        <n x="14"/>
        <n x="7"/>
        <n x="1337" s="1"/>
      </t>
    </mdx>
    <mdx n="33" f="v">
      <t c="4">
        <n x="1059"/>
        <n x="11"/>
        <n x="7"/>
        <n x="1337" s="1"/>
      </t>
    </mdx>
    <mdx n="33" f="v">
      <t c="4">
        <n x="399"/>
        <n x="11"/>
        <n x="7"/>
        <n x="1337" s="1"/>
      </t>
    </mdx>
    <mdx n="33" f="v">
      <t c="4">
        <n x="168"/>
        <n x="11"/>
        <n x="7"/>
        <n x="1337" s="1"/>
      </t>
    </mdx>
    <mdx n="33" f="v">
      <t c="4">
        <n x="979"/>
        <n x="1"/>
        <n x="7"/>
        <n x="1337" s="1"/>
      </t>
    </mdx>
    <mdx n="33" f="v">
      <t c="4">
        <n x="384"/>
        <n x="1"/>
        <n x="7"/>
        <n x="1337" s="1"/>
      </t>
    </mdx>
    <mdx n="33" f="v">
      <t c="4">
        <n x="1096"/>
        <n x="11"/>
        <n x="32"/>
        <n x="1337" s="1"/>
      </t>
    </mdx>
    <mdx n="33" f="v">
      <t c="4">
        <n x="505"/>
        <n x="11"/>
        <n x="32"/>
        <n x="1337" s="1"/>
      </t>
    </mdx>
    <mdx n="33" f="v">
      <t c="4">
        <n x="209"/>
        <n x="11"/>
        <n x="32"/>
        <n x="1337" s="1"/>
      </t>
    </mdx>
    <mdx n="33" f="v">
      <t c="4">
        <n x="789"/>
        <n x="0"/>
        <n x="32"/>
        <n x="1337" s="1"/>
      </t>
    </mdx>
    <mdx n="33" f="v">
      <t c="4">
        <n x="910"/>
        <n x="12"/>
        <n x="7"/>
        <n x="1337" s="1"/>
      </t>
    </mdx>
    <mdx n="33" f="v">
      <t c="4">
        <n x="841"/>
        <n x="12"/>
        <n x="7"/>
        <n x="1337" s="1"/>
      </t>
    </mdx>
    <mdx n="33" f="v">
      <t c="4">
        <n x="956"/>
        <n x="0"/>
        <n x="32"/>
        <n x="1337" s="1"/>
      </t>
    </mdx>
    <mdx n="33" f="v">
      <t c="4">
        <n x="1215"/>
        <n x="0"/>
        <n x="32"/>
        <n x="1337" s="1"/>
      </t>
    </mdx>
    <mdx n="33" f="v">
      <t c="4" si="10">
        <n x="755"/>
        <n x="14"/>
        <n x="32"/>
        <n x="1337" s="1"/>
      </t>
    </mdx>
    <mdx n="33" f="v">
      <t c="4" si="10">
        <n x="911"/>
        <n x="12"/>
        <n x="32"/>
        <n x="1337" s="1"/>
      </t>
    </mdx>
    <mdx n="33" f="v">
      <t c="4" si="10">
        <n x="1072"/>
        <n x="1"/>
        <n x="32"/>
        <n x="1337" s="1"/>
      </t>
    </mdx>
    <mdx n="33" f="v">
      <t c="4" si="9">
        <n x="473"/>
        <n x="14"/>
        <n x="7"/>
        <n x="1337" s="1"/>
      </t>
    </mdx>
    <mdx n="33" f="v">
      <t c="4" si="10">
        <n x="909"/>
        <n x="1"/>
        <n x="32"/>
        <n x="1337" s="1"/>
      </t>
    </mdx>
    <mdx n="33" f="v">
      <t c="4">
        <n x="380"/>
        <n x="11"/>
        <n x="7"/>
        <n x="1337" s="1"/>
      </t>
    </mdx>
    <mdx n="33" f="v">
      <t c="4">
        <n x="1065"/>
        <n x="11"/>
        <n x="32"/>
        <n x="1337" s="1"/>
      </t>
    </mdx>
    <mdx n="33" f="v">
      <t c="4" si="10">
        <n x="573"/>
        <n x="12"/>
        <n x="32"/>
        <n x="1337" s="1"/>
      </t>
    </mdx>
    <mdx n="33" f="v">
      <t c="4">
        <n x="911"/>
        <n x="12"/>
        <n x="7"/>
        <n x="1337" s="1"/>
      </t>
    </mdx>
    <mdx n="33" f="v">
      <t c="4">
        <n x="1006"/>
        <n x="11"/>
        <n x="7"/>
        <n x="1337" s="1"/>
      </t>
    </mdx>
    <mdx n="33" f="v">
      <t c="4">
        <n x="281"/>
        <n x="11"/>
        <n x="7"/>
        <n x="1337" s="1"/>
      </t>
    </mdx>
    <mdx n="33" f="v">
      <t c="4">
        <n x="1023"/>
        <n x="1"/>
        <n x="7"/>
        <n x="1337" s="1"/>
      </t>
    </mdx>
    <mdx n="33" f="v">
      <t c="4">
        <n x="344"/>
        <n x="1"/>
        <n x="7"/>
        <n x="1337" s="1"/>
      </t>
    </mdx>
    <mdx n="33" f="v">
      <t c="4" si="10">
        <n x="972"/>
        <n x="11"/>
        <n x="32"/>
        <n x="1337" s="1"/>
      </t>
    </mdx>
    <mdx n="33" f="v">
      <t c="4">
        <n x="296"/>
        <n x="11"/>
        <n x="32"/>
        <n x="1337" s="1"/>
      </t>
    </mdx>
    <mdx n="33" f="v">
      <t c="4">
        <n x="1155"/>
        <n x="12"/>
        <n x="32"/>
        <n x="1337" s="1"/>
      </t>
    </mdx>
    <mdx n="33" f="v">
      <t c="4" si="10">
        <n x="596"/>
        <n x="12"/>
        <n x="32"/>
        <n x="1337" s="1"/>
      </t>
    </mdx>
    <mdx n="33" f="v">
      <t c="4">
        <n x="319"/>
        <n x="12"/>
        <n x="32"/>
        <n x="1337" s="1"/>
      </t>
    </mdx>
    <mdx n="33" f="v">
      <t c="3">
        <n x="731"/>
        <n x="1336"/>
        <n x="1337" s="1"/>
      </t>
    </mdx>
    <mdx n="33" f="v">
      <t c="4">
        <n x="905"/>
        <n x="1"/>
        <n x="7"/>
        <n x="1337" s="1"/>
      </t>
    </mdx>
    <mdx n="33" f="v">
      <t c="4">
        <n x="1059"/>
        <n x="12"/>
        <n x="7"/>
        <n x="1337" s="1"/>
      </t>
    </mdx>
    <mdx n="33" f="v">
      <t c="4">
        <n x="540"/>
        <n x="14"/>
        <n x="7"/>
        <n x="1337" s="1"/>
      </t>
    </mdx>
    <mdx n="33" f="v">
      <t c="4">
        <n x="1031"/>
        <n x="11"/>
        <n x="7"/>
        <n x="1337" s="1"/>
      </t>
    </mdx>
    <mdx n="33" f="v">
      <t c="4">
        <n x="400"/>
        <n x="11"/>
        <n x="7"/>
        <n x="1337" s="1"/>
      </t>
    </mdx>
    <mdx n="33" f="v">
      <t c="4">
        <n x="144"/>
        <n x="11"/>
        <n x="7"/>
        <n x="1337" s="1"/>
      </t>
    </mdx>
    <mdx n="33" f="v">
      <t c="4">
        <n x="958"/>
        <n x="1"/>
        <n x="7"/>
        <n x="1337" s="1"/>
      </t>
    </mdx>
    <mdx n="33" f="v">
      <t c="4">
        <n x="363"/>
        <n x="1"/>
        <n x="7"/>
        <n x="1337" s="1"/>
      </t>
    </mdx>
    <mdx n="33" f="v">
      <t c="4">
        <n x="1075"/>
        <n x="11"/>
        <n x="32"/>
        <n x="1337" s="1"/>
      </t>
    </mdx>
    <mdx n="33" f="v">
      <t c="4" si="10">
        <n x="484"/>
        <n x="11"/>
        <n x="32"/>
        <n x="1337" s="1"/>
      </t>
    </mdx>
    <mdx n="33" f="v">
      <t c="4">
        <n x="186"/>
        <n x="11"/>
        <n x="32"/>
        <n x="1337" s="1"/>
      </t>
    </mdx>
    <mdx n="33" f="v">
      <t c="4">
        <n x="1142"/>
        <n x="12"/>
        <n x="32"/>
        <n x="1337" s="1"/>
      </t>
    </mdx>
    <mdx n="33" f="v">
      <t c="4" si="10">
        <n x="583"/>
        <n x="12"/>
        <n x="32"/>
        <n x="1337" s="1"/>
      </t>
    </mdx>
    <mdx n="33" f="v">
      <t c="4">
        <n x="306"/>
        <n x="12"/>
        <n x="32"/>
        <n x="1337" s="1"/>
      </t>
    </mdx>
    <mdx n="33" f="v">
      <t c="4">
        <n x="53"/>
        <n x="12"/>
        <n x="32"/>
        <n x="1337" s="1"/>
      </t>
    </mdx>
    <mdx n="33" f="v">
      <t c="4" si="10">
        <n x="536"/>
        <n x="14"/>
        <n x="32"/>
        <n x="1337" s="1"/>
      </t>
    </mdx>
    <mdx n="33" f="v">
      <t c="4">
        <n x="282"/>
        <n x="14"/>
        <n x="32"/>
        <n x="1337" s="1"/>
      </t>
    </mdx>
    <mdx n="33" f="v">
      <t c="4" si="10">
        <n x="872"/>
        <n x="14"/>
        <n x="32"/>
        <n x="1337" s="1"/>
      </t>
    </mdx>
    <mdx n="33" f="v">
      <t c="4">
        <n x="503"/>
        <n x="11"/>
        <n x="7"/>
        <n x="1337" s="1"/>
      </t>
    </mdx>
    <mdx n="33" f="v">
      <t c="4">
        <n x="134"/>
        <n x="1"/>
        <n x="7"/>
        <n x="1337" s="1"/>
      </t>
    </mdx>
    <mdx n="33" f="v">
      <t c="4" si="10">
        <n x="989"/>
        <n x="12"/>
        <n x="32"/>
        <n x="1337" s="1"/>
      </t>
    </mdx>
    <mdx n="33" f="v">
      <t c="4">
        <n x="957"/>
        <n x="14"/>
        <n x="32"/>
        <n x="1337" s="1"/>
      </t>
    </mdx>
    <mdx n="33" f="v">
      <t c="4">
        <n x="186"/>
        <n x="14"/>
        <n x="32"/>
        <n x="1337" s="1"/>
      </t>
    </mdx>
    <mdx n="33" f="v">
      <t c="3">
        <n x="948"/>
        <n x="1336"/>
        <n x="1337" s="1"/>
      </t>
    </mdx>
    <mdx n="33" f="v">
      <t c="4">
        <n x="1240"/>
        <n x="0"/>
        <n x="7"/>
        <n x="1337" s="1"/>
      </t>
    </mdx>
    <mdx n="33" f="v">
      <t c="4">
        <n x="65"/>
        <n x="0"/>
        <n x="7"/>
        <n x="1337" s="1"/>
      </t>
    </mdx>
    <mdx n="33" f="v">
      <t c="4">
        <n x="81"/>
        <n x="12"/>
        <n x="32"/>
        <n x="1337" s="1"/>
      </t>
    </mdx>
    <mdx n="33" f="v">
      <t c="3">
        <n x="54"/>
        <n x="1336"/>
        <n x="1337" s="1"/>
      </t>
    </mdx>
    <mdx n="33" f="v">
      <t c="3">
        <n x="1002"/>
        <n x="1336"/>
        <n x="1337" s="1"/>
      </t>
    </mdx>
    <mdx n="33" f="v">
      <t c="4">
        <n x="69"/>
        <n x="11"/>
        <n x="7"/>
        <n x="1337" s="1"/>
      </t>
    </mdx>
    <mdx n="33" f="v">
      <t c="4">
        <n x="555"/>
        <n x="11"/>
        <n x="32"/>
        <n x="1337" s="1"/>
      </t>
    </mdx>
    <mdx n="33" f="v">
      <t c="4">
        <n x="377"/>
        <n x="12"/>
        <n x="32"/>
        <n x="1337" s="1"/>
      </t>
    </mdx>
    <mdx n="33" f="v">
      <t c="4">
        <n x="523"/>
        <n x="14"/>
        <n x="32"/>
        <n x="1337" s="1"/>
      </t>
    </mdx>
    <mdx n="33" f="v">
      <t c="4">
        <n x="117"/>
        <n x="14"/>
        <n x="32"/>
        <n x="1337" s="1"/>
      </t>
    </mdx>
    <mdx n="33" f="v">
      <t c="3">
        <n x="139"/>
        <n x="1336"/>
        <n x="1337" s="1"/>
      </t>
    </mdx>
    <mdx n="33" f="v">
      <t c="4">
        <n x="1171"/>
        <n x="0"/>
        <n x="7"/>
        <n x="1337" s="1"/>
      </t>
    </mdx>
    <mdx n="33" f="v">
      <t c="4">
        <n x="1090"/>
        <n x="11"/>
        <n x="32"/>
        <n x="1337" s="1"/>
      </t>
    </mdx>
    <mdx n="33" f="v">
      <t c="4">
        <n x="172"/>
        <n x="14"/>
        <n x="32"/>
        <n x="1337" s="1"/>
      </t>
    </mdx>
    <mdx n="33" f="v">
      <t c="4">
        <n x="52"/>
        <n x="0"/>
        <n x="7"/>
        <n x="1337" s="1"/>
      </t>
    </mdx>
    <mdx n="33" f="v">
      <t c="4">
        <n x="51"/>
        <n x="14"/>
        <n x="7"/>
        <n x="1337" s="1"/>
      </t>
    </mdx>
    <mdx n="33" f="v">
      <t c="4">
        <n x="247"/>
        <n x="12"/>
        <n x="7"/>
        <n x="1337" s="1"/>
      </t>
    </mdx>
    <mdx n="33" f="v">
      <t c="4">
        <n x="921"/>
        <n x="12"/>
        <n x="32"/>
        <n x="1337" s="1"/>
      </t>
    </mdx>
    <mdx n="33" f="v">
      <t c="4">
        <n x="845"/>
        <n x="14"/>
        <n x="7"/>
        <n x="1337" s="1"/>
      </t>
    </mdx>
    <mdx n="33" f="v">
      <t c="4" si="10">
        <n x="962"/>
        <n x="0"/>
        <n x="32"/>
        <n x="1337" s="1"/>
      </t>
    </mdx>
    <mdx n="33" f="v">
      <t c="4" si="10">
        <n x="1231"/>
        <n x="0"/>
        <n x="32"/>
        <n x="1337" s="1"/>
      </t>
    </mdx>
    <mdx n="33" f="v">
      <t c="3">
        <n x="767"/>
        <n x="1336"/>
        <n x="1337" s="1"/>
      </t>
    </mdx>
    <mdx n="33" f="v">
      <t c="4">
        <n x="914"/>
        <n x="1"/>
        <n x="7"/>
        <n x="1337" s="1"/>
      </t>
    </mdx>
    <mdx n="33" f="v">
      <t c="4" si="10">
        <n x="1079"/>
        <n x="0"/>
        <n x="32"/>
        <n x="1337" s="1"/>
      </t>
    </mdx>
    <mdx n="33" f="v">
      <t c="4">
        <n x="434"/>
        <n x="14"/>
        <n x="7"/>
        <n x="1337" s="1"/>
      </t>
    </mdx>
    <mdx n="33" f="v">
      <t c="4">
        <n x="920"/>
        <n x="14"/>
        <n x="7"/>
        <n x="1337" s="1"/>
      </t>
    </mdx>
    <mdx n="33" f="v">
      <t c="4">
        <n x="348"/>
        <n x="11"/>
        <n x="7"/>
        <n x="1337" s="1"/>
      </t>
    </mdx>
    <mdx n="33" f="v">
      <t c="4">
        <n x="1033"/>
        <n x="11"/>
        <n x="32"/>
        <n x="1337" s="1"/>
      </t>
    </mdx>
    <mdx n="33" f="v">
      <t c="4" si="10">
        <n x="541"/>
        <n x="12"/>
        <n x="32"/>
        <n x="1337" s="1"/>
      </t>
    </mdx>
    <mdx n="33" f="v">
      <t c="4">
        <n x="922"/>
        <n x="12"/>
        <n x="32"/>
        <n x="1337" s="1"/>
      </t>
    </mdx>
    <mdx n="33" f="v">
      <t c="4">
        <n x="990"/>
        <n x="11"/>
        <n x="7"/>
        <n x="1337" s="1"/>
      </t>
    </mdx>
    <mdx n="33" f="v">
      <t c="4">
        <n x="234"/>
        <n x="11"/>
        <n x="7"/>
        <n x="1337" s="1"/>
      </t>
    </mdx>
    <mdx n="33" f="v">
      <t c="4">
        <n x="1015"/>
        <n x="1"/>
        <n x="7"/>
        <n x="1337" s="1"/>
      </t>
    </mdx>
    <mdx n="33" f="v">
      <t c="4">
        <n x="332"/>
        <n x="1"/>
        <n x="7"/>
        <n x="1337" s="1"/>
      </t>
    </mdx>
    <mdx n="33" f="v">
      <t c="4">
        <n x="960"/>
        <n x="11"/>
        <n x="32"/>
        <n x="1337" s="1"/>
      </t>
    </mdx>
    <mdx n="33" f="v">
      <t c="4">
        <n x="634"/>
        <n x="14"/>
        <n x="7"/>
        <n x="1337" s="1"/>
      </t>
    </mdx>
    <mdx n="33" f="v">
      <t c="4" si="10">
        <n x="631"/>
        <n x="0"/>
        <n x="32"/>
        <n x="1337" s="1"/>
      </t>
    </mdx>
    <mdx n="33" f="v">
      <t c="4">
        <n x="621"/>
        <n x="12"/>
        <n x="32"/>
        <n x="1337" s="1"/>
      </t>
    </mdx>
    <mdx n="33" f="v">
      <t c="4">
        <n x="843"/>
        <n x="14"/>
        <n x="7"/>
        <n x="1337" s="1"/>
      </t>
    </mdx>
    <mdx n="33" f="v">
      <t c="4">
        <n x="691"/>
        <n x="1"/>
        <n x="32"/>
        <n x="1337" s="1"/>
      </t>
    </mdx>
    <mdx n="33" f="v">
      <t c="4">
        <n x="912"/>
        <n x="12"/>
        <n x="32"/>
        <n x="1337" s="1"/>
      </t>
    </mdx>
    <mdx n="33" f="v">
      <t c="4" si="10">
        <n x="875"/>
        <n x="12"/>
        <n x="32"/>
        <n x="1337" s="1"/>
      </t>
    </mdx>
    <mdx n="33" f="v">
      <t c="4">
        <n x="1063"/>
        <n x="0"/>
        <n x="7"/>
        <n x="1337" s="1"/>
      </t>
    </mdx>
    <mdx n="33" f="v">
      <t c="4">
        <n x="171"/>
        <n x="14"/>
        <n x="7"/>
        <n x="1337" s="1"/>
      </t>
    </mdx>
    <mdx n="33" f="v">
      <t c="4">
        <n x="188"/>
        <n x="14"/>
        <n x="7"/>
        <n x="1337" s="1"/>
      </t>
    </mdx>
    <mdx n="33" f="v">
      <t c="4">
        <n x="1109"/>
        <n x="11"/>
        <n x="32"/>
        <n x="1337" s="1"/>
      </t>
    </mdx>
    <mdx n="33" f="v">
      <t c="4" si="10">
        <n x="521"/>
        <n x="12"/>
        <n x="32"/>
        <n x="1337" s="1"/>
      </t>
    </mdx>
    <mdx n="33" f="v">
      <t c="4" si="10">
        <n x="930"/>
        <n x="0"/>
        <n x="32"/>
        <n x="1337" s="1"/>
      </t>
    </mdx>
    <mdx n="33" f="v">
      <t c="4" si="10">
        <n x="500"/>
        <n x="1"/>
        <n x="32"/>
        <n x="1337" s="1"/>
      </t>
    </mdx>
    <mdx n="33" f="v">
      <t c="4">
        <n x="924"/>
        <n x="1"/>
        <n x="7"/>
        <n x="1337" s="1"/>
      </t>
    </mdx>
    <mdx n="33" f="v">
      <t c="4">
        <n x="847"/>
        <n x="0"/>
        <n x="7"/>
        <n x="1337" s="1"/>
      </t>
    </mdx>
    <mdx n="33" f="v">
      <t c="4">
        <n x="963"/>
        <n x="1"/>
        <n x="32"/>
        <n x="1337" s="1"/>
      </t>
    </mdx>
    <mdx n="33" f="v">
      <t c="4">
        <n x="1235"/>
        <n x="0"/>
        <n x="32"/>
        <n x="1337" s="1"/>
      </t>
    </mdx>
    <mdx n="33" f="v">
      <t c="4">
        <n x="770"/>
        <n x="14"/>
        <n x="7"/>
        <n x="1337" s="1"/>
      </t>
    </mdx>
    <mdx n="33" f="v">
      <t c="4">
        <n x="915"/>
        <n x="0"/>
        <n x="7"/>
        <n x="1337" s="1"/>
      </t>
    </mdx>
    <mdx n="33" f="v">
      <t c="4" si="10">
        <n x="1080"/>
        <n x="1"/>
        <n x="32"/>
        <n x="1337" s="1"/>
      </t>
    </mdx>
    <mdx n="33" f="v">
      <t c="4">
        <n x="402"/>
        <n x="14"/>
        <n x="7"/>
        <n x="1337" s="1"/>
      </t>
    </mdx>
    <mdx n="33" f="v">
      <t c="4">
        <n x="923"/>
        <n x="11"/>
        <n x="7"/>
        <n x="1337" s="1"/>
      </t>
    </mdx>
    <mdx n="33" f="v">
      <t c="4">
        <n x="340"/>
        <n x="11"/>
        <n x="7"/>
        <n x="1337" s="1"/>
      </t>
    </mdx>
    <mdx n="33" f="v">
      <t c="4">
        <n x="1025"/>
        <n x="11"/>
        <n x="32"/>
        <n x="1337" s="1"/>
      </t>
    </mdx>
    <mdx n="33" f="v">
      <t c="4" si="10">
        <n x="533"/>
        <n x="12"/>
        <n x="32"/>
        <n x="1337" s="1"/>
      </t>
    </mdx>
    <mdx n="33" f="v">
      <t c="4">
        <n x="925"/>
        <n x="1"/>
        <n x="7"/>
        <n x="1337" s="1"/>
      </t>
    </mdx>
    <mdx n="33" f="v">
      <t c="4">
        <n x="706"/>
        <n x="1"/>
        <n x="32"/>
        <n x="1337" s="1"/>
      </t>
    </mdx>
    <mdx n="33" f="v">
      <t c="4" si="10">
        <n x="937"/>
        <n x="12"/>
        <n x="32"/>
        <n x="1337" s="1"/>
      </t>
    </mdx>
    <mdx n="33" f="v">
      <t c="4">
        <n x="853"/>
        <n x="12"/>
        <n x="7"/>
        <n x="1337" s="1"/>
      </t>
    </mdx>
    <mdx n="33" f="v">
      <t c="4">
        <n x="970"/>
        <n x="0"/>
        <n x="7"/>
        <n x="1337" s="1"/>
      </t>
    </mdx>
    <mdx n="33" f="v">
      <t c="4" si="10">
        <n x="1253"/>
        <n x="0"/>
        <n x="32"/>
        <n x="1337" s="1"/>
      </t>
    </mdx>
    <mdx n="33" f="v">
      <t c="4">
        <n x="788"/>
        <n x="14"/>
        <n x="7"/>
        <n x="1337" s="1"/>
      </t>
    </mdx>
    <mdx n="33" f="v">
      <t c="4">
        <n x="918"/>
        <n x="1"/>
        <n x="7"/>
        <n x="1337" s="1"/>
      </t>
    </mdx>
    <mdx n="33" f="v">
      <t c="4">
        <n x="1087"/>
        <n x="0"/>
        <n x="7"/>
        <n x="1337" s="1"/>
      </t>
    </mdx>
    <mdx n="33" f="v">
      <t c="4">
        <n x="374"/>
        <n x="14"/>
        <n x="7"/>
        <n x="1337" s="1"/>
      </t>
    </mdx>
    <mdx n="33" f="v">
      <t c="4">
        <n x="936"/>
        <n x="14"/>
        <n x="7"/>
        <n x="1337" s="1"/>
      </t>
    </mdx>
    <mdx n="33" f="v">
      <t c="4">
        <n x="304"/>
        <n x="11"/>
        <n x="7"/>
        <n x="1337" s="1"/>
      </t>
    </mdx>
    <mdx n="33" f="v">
      <t c="4">
        <n x="989"/>
        <n x="11"/>
        <n x="32"/>
        <n x="1337" s="1"/>
      </t>
    </mdx>
    <mdx n="33" f="v">
      <t c="4">
        <n x="497"/>
        <n x="12"/>
        <n x="32"/>
        <n x="1337" s="1"/>
      </t>
    </mdx>
    <mdx n="33" f="v">
      <t c="4" si="10">
        <n x="938"/>
        <n x="12"/>
        <n x="32"/>
        <n x="1337" s="1"/>
      </t>
    </mdx>
    <mdx n="33" f="v">
      <t c="4">
        <n x="265"/>
        <n x="11"/>
        <n x="7"/>
        <n x="1337" s="1"/>
      </t>
    </mdx>
    <mdx n="33" f="v">
      <t c="4">
        <n x="984"/>
        <n x="11"/>
        <n x="32"/>
        <n x="1337" s="1"/>
      </t>
    </mdx>
    <mdx n="33" f="v">
      <t c="4">
        <n x="1063"/>
        <n x="14"/>
        <n x="7"/>
        <n x="1337" s="1"/>
      </t>
    </mdx>
    <mdx n="33" f="v">
      <t c="4">
        <n x="859"/>
        <n x="0"/>
        <n x="7"/>
        <n x="1337" s="1"/>
      </t>
    </mdx>
    <mdx n="33" f="v">
      <t c="4">
        <n x="1072"/>
        <n x="14"/>
        <n x="7"/>
        <n x="1337" s="1"/>
      </t>
    </mdx>
    <mdx n="33" f="v">
      <t c="4" si="9">
        <n x="1052"/>
        <n x="14"/>
        <n x="7"/>
        <n x="1337" s="1"/>
      </t>
    </mdx>
    <mdx n="33" f="v">
      <t c="4">
        <n x="132"/>
        <n x="1"/>
        <n x="7"/>
        <n x="1337" s="1"/>
      </t>
    </mdx>
    <mdx n="33" f="v">
      <t c="4" si="10">
        <n x="484"/>
        <n x="12"/>
        <n x="32"/>
        <n x="1337" s="1"/>
      </t>
    </mdx>
    <mdx n="33" f="v">
      <t c="4" si="10">
        <n x="1186"/>
        <n x="0"/>
        <n x="32"/>
        <n x="1337" s="1"/>
      </t>
    </mdx>
    <mdx n="33" f="v">
      <t c="4">
        <n x="1102"/>
        <n x="1"/>
        <n x="7"/>
        <n x="1337" s="1"/>
      </t>
    </mdx>
    <mdx n="33" f="v">
      <t c="4">
        <n x="516"/>
        <n x="11"/>
        <n x="32"/>
        <n x="1337" s="1"/>
      </t>
    </mdx>
    <mdx n="33" f="v">
      <t c="4">
        <n x="116"/>
        <n x="11"/>
        <n x="32"/>
        <n x="1337" s="1"/>
      </t>
    </mdx>
    <mdx n="33" f="v">
      <t c="4">
        <n x="1010"/>
        <n x="12"/>
        <n x="32"/>
        <n x="1337" s="1"/>
      </t>
    </mdx>
    <mdx n="33" f="v">
      <t c="4">
        <n x="338"/>
        <n x="12"/>
        <n x="32"/>
        <n x="1337" s="1"/>
      </t>
    </mdx>
    <mdx n="33" f="v">
      <t c="4" si="10">
        <n x="1080"/>
        <n x="14"/>
        <n x="32"/>
        <n x="1337" s="1"/>
      </t>
    </mdx>
    <mdx n="33" f="v">
      <t c="4">
        <n x="391"/>
        <n x="14"/>
        <n x="32"/>
        <n x="1337" s="1"/>
      </t>
    </mdx>
    <mdx n="33" f="v">
      <t c="4" si="10">
        <n x="791"/>
        <n x="1"/>
        <n x="32"/>
        <n x="1337" s="1"/>
      </t>
    </mdx>
    <mdx n="33" f="v">
      <t c="4">
        <n x="225"/>
        <n x="11"/>
        <n x="7"/>
        <n x="1337" s="1"/>
      </t>
    </mdx>
    <mdx n="33" f="v">
      <t c="4">
        <n x="168"/>
        <n x="11"/>
        <n x="32"/>
        <n x="1337" s="1"/>
      </t>
    </mdx>
    <mdx n="33" f="v">
      <t c="4" si="10">
        <n x="1021"/>
        <n x="14"/>
        <n x="32"/>
        <n x="1337" s="1"/>
      </t>
    </mdx>
    <mdx n="33" f="v">
      <t c="4">
        <n x="145"/>
        <n x="14"/>
        <n x="32"/>
        <n x="1337" s="1"/>
      </t>
    </mdx>
    <mdx n="33" f="v">
      <t c="3">
        <n x="84"/>
        <n x="1336"/>
        <n x="1337" s="1"/>
      </t>
    </mdx>
    <mdx n="33" f="v">
      <t c="4">
        <n x="136"/>
        <n x="0"/>
        <n x="7"/>
        <n x="1337" s="1"/>
      </t>
    </mdx>
    <mdx n="33" f="v">
      <t c="4" si="10">
        <n x="553"/>
        <n x="14"/>
        <n x="32"/>
        <n x="1337" s="1"/>
      </t>
    </mdx>
    <mdx n="33" f="v">
      <t c="4">
        <n x="721"/>
        <n x="0"/>
        <n x="32"/>
        <n x="1337" s="1"/>
      </t>
    </mdx>
    <mdx n="33" f="v">
      <t c="4">
        <n x="333"/>
        <n x="11"/>
        <n x="7"/>
        <n x="1337" s="1"/>
      </t>
    </mdx>
    <mdx n="33" f="v">
      <t c="4">
        <n x="362"/>
        <n x="11"/>
        <n x="32"/>
        <n x="1337" s="1"/>
      </t>
    </mdx>
    <mdx n="33" f="v">
      <t c="4" si="10">
        <n x="1043"/>
        <n x="14"/>
        <n x="32"/>
        <n x="1337" s="1"/>
      </t>
    </mdx>
    <mdx n="33" f="v">
      <t c="4">
        <n x="165"/>
        <n x="14"/>
        <n x="32"/>
        <n x="1337" s="1"/>
      </t>
    </mdx>
    <mdx n="33" f="v">
      <t c="3">
        <n x="96"/>
        <n x="1336"/>
        <n x="1337" s="1"/>
      </t>
    </mdx>
    <mdx n="33" f="v">
      <t c="4">
        <n x="105"/>
        <n x="0"/>
        <n x="7"/>
        <n x="1337" s="1"/>
      </t>
    </mdx>
    <mdx n="33" f="v">
      <t c="4">
        <n x="369"/>
        <n x="14"/>
        <n x="32"/>
        <n x="1337" s="1"/>
      </t>
    </mdx>
    <mdx n="33" f="v">
      <t c="4" si="10">
        <n x="858"/>
        <n x="0"/>
        <n x="32"/>
        <n x="1337" s="1"/>
      </t>
    </mdx>
    <mdx n="33" f="v">
      <t c="4">
        <n x="150"/>
        <n x="11"/>
        <n x="7"/>
        <n x="1337" s="1"/>
      </t>
    </mdx>
    <mdx n="33" f="v">
      <t c="3">
        <n x="875"/>
        <n x="1336"/>
        <n x="1337" s="1"/>
      </t>
    </mdx>
    <mdx n="33" f="v">
      <t c="4">
        <n x="870"/>
        <n x="14"/>
        <n x="7"/>
        <n x="1337" s="1"/>
      </t>
    </mdx>
    <mdx n="33" f="v">
      <t c="4">
        <n x="1077"/>
        <n x="12"/>
        <n x="7"/>
        <n x="1337" s="1"/>
      </t>
    </mdx>
    <mdx n="33" f="v">
      <t c="4">
        <n x="720"/>
        <n x="1"/>
        <n x="7"/>
        <n x="1337" s="1"/>
      </t>
    </mdx>
    <mdx n="33" f="v">
      <t c="4">
        <n x="932"/>
        <n x="12"/>
        <n x="7"/>
        <n x="1337" s="1"/>
      </t>
    </mdx>
    <mdx n="33" f="v">
      <t c="4">
        <n x="1299"/>
        <n x="12"/>
        <n x="7"/>
        <n x="1337" s="1"/>
      </t>
    </mdx>
    <mdx n="33" f="v">
      <t c="4">
        <n x="874"/>
        <n x="0"/>
        <n x="7"/>
        <n x="1337" s="1"/>
      </t>
    </mdx>
    <mdx n="33" f="v">
      <t c="4">
        <n x="169"/>
        <n x="11"/>
        <n x="7"/>
        <n x="1337" s="1"/>
      </t>
    </mdx>
    <mdx n="33" f="v">
      <t c="4">
        <n x="1292"/>
        <n x="12"/>
        <n x="32"/>
        <n x="1337" s="1"/>
      </t>
    </mdx>
    <mdx n="33" f="v">
      <t c="3">
        <n x="876"/>
        <n x="1336"/>
        <n x="1337" s="1"/>
      </t>
    </mdx>
    <mdx n="33" f="v">
      <t c="4">
        <n x="588"/>
        <n x="11"/>
        <n x="7"/>
        <n x="1337" s="1"/>
      </t>
    </mdx>
    <mdx n="33" f="v">
      <t c="4">
        <n x="114"/>
        <n x="11"/>
        <n x="7"/>
        <n x="1337" s="1"/>
      </t>
    </mdx>
    <mdx n="33" f="v">
      <t c="4">
        <n x="376"/>
        <n x="1"/>
        <n x="7"/>
        <n x="1337" s="1"/>
      </t>
    </mdx>
    <mdx n="33" f="v">
      <t c="4">
        <n x="561"/>
        <n x="11"/>
        <n x="32"/>
        <n x="1337" s="1"/>
      </t>
    </mdx>
    <mdx n="33" f="v">
      <t c="4">
        <n x="158"/>
        <n x="11"/>
        <n x="32"/>
        <n x="1337" s="1"/>
      </t>
    </mdx>
    <mdx n="33" f="v">
      <t c="4">
        <n x="1111"/>
        <n x="12"/>
        <n x="32"/>
        <n x="1337" s="1"/>
      </t>
    </mdx>
    <mdx n="33" f="v">
      <t c="4" si="10">
        <n x="540"/>
        <n x="12"/>
        <n x="32"/>
        <n x="1337" s="1"/>
      </t>
    </mdx>
    <mdx n="33" f="v">
      <t c="4">
        <n x="295"/>
        <n x="12"/>
        <n x="32"/>
        <n x="1337" s="1"/>
      </t>
    </mdx>
    <mdx n="33" f="v">
      <t c="4">
        <n x="818"/>
        <n x="14"/>
        <n x="7"/>
        <n x="1337" s="1"/>
      </t>
    </mdx>
    <mdx n="33" f="v">
      <t c="4" si="10">
        <n x="926"/>
        <n x="0"/>
        <n x="32"/>
        <n x="1337" s="1"/>
      </t>
    </mdx>
    <mdx n="33" f="v">
      <t c="4">
        <n x="1104"/>
        <n x="0"/>
        <n x="32"/>
        <n x="1337" s="1"/>
      </t>
    </mdx>
    <mdx n="33" f="v">
      <t c="4">
        <n x="315"/>
        <n x="14"/>
        <n x="7"/>
        <n x="1337" s="1"/>
      </t>
    </mdx>
    <mdx n="33" f="v">
      <t c="4">
        <n x="469"/>
        <n x="11"/>
        <n x="7"/>
        <n x="1337" s="1"/>
      </t>
    </mdx>
    <mdx n="33" f="v">
      <t c="4">
        <n x="334"/>
        <n x="11"/>
        <n x="7"/>
        <n x="1337" s="1"/>
      </t>
    </mdx>
    <mdx n="33" f="v">
      <t c="4">
        <n x="83"/>
        <n x="11"/>
        <n x="7"/>
        <n x="1337" s="1"/>
      </t>
    </mdx>
    <mdx n="33" f="v">
      <t c="4">
        <n x="565"/>
        <n x="1"/>
        <n x="7"/>
        <n x="1337" s="1"/>
      </t>
    </mdx>
    <mdx n="33" f="v">
      <t c="4">
        <n x="307"/>
        <n x="1"/>
        <n x="7"/>
        <n x="1337" s="1"/>
      </t>
    </mdx>
    <mdx n="33" f="v">
      <t c="4">
        <n x="1019"/>
        <n x="11"/>
        <n x="32"/>
        <n x="1337" s="1"/>
      </t>
    </mdx>
    <mdx n="33" f="v">
      <t c="4">
        <n x="428"/>
        <n x="11"/>
        <n x="32"/>
        <n x="1337" s="1"/>
      </t>
    </mdx>
    <mdx n="33" f="v">
      <t c="4">
        <n x="108"/>
        <n x="11"/>
        <n x="32"/>
        <n x="1337" s="1"/>
      </t>
    </mdx>
    <mdx n="33" f="v">
      <t c="4">
        <n x="1098"/>
        <n x="12"/>
        <n x="32"/>
        <n x="1337" s="1"/>
      </t>
    </mdx>
    <mdx n="33" f="v">
      <t c="4" si="10">
        <n x="527"/>
        <n x="12"/>
        <n x="32"/>
        <n x="1337" s="1"/>
      </t>
    </mdx>
    <mdx n="33" f="v">
      <t c="4">
        <n x="282"/>
        <n x="12"/>
        <n x="32"/>
        <n x="1337" s="1"/>
      </t>
    </mdx>
    <mdx n="33" f="v">
      <t c="4" si="10">
        <n x="1072"/>
        <n x="14"/>
        <n x="32"/>
        <n x="1337" s="1"/>
      </t>
    </mdx>
    <mdx n="33" f="v">
      <t c="4" si="10">
        <n x="480"/>
        <n x="14"/>
        <n x="32"/>
        <n x="1337" s="1"/>
      </t>
    </mdx>
    <mdx n="33" f="v">
      <t c="4">
        <n x="161"/>
        <n x="14"/>
        <n x="32"/>
        <n x="1337" s="1"/>
      </t>
    </mdx>
    <mdx n="33" f="v">
      <t c="4">
        <n x="960"/>
        <n x="0"/>
        <n x="7"/>
        <n x="1337" s="1"/>
      </t>
    </mdx>
    <mdx n="33" f="v">
      <t c="4">
        <n x="288"/>
        <n x="11"/>
        <n x="7"/>
        <n x="1337" s="1"/>
      </t>
    </mdx>
    <mdx n="33" f="v">
      <t c="4">
        <n x="607"/>
        <n x="11"/>
        <n x="32"/>
        <n x="1337" s="1"/>
      </t>
    </mdx>
    <mdx n="33" f="v">
      <t c="4">
        <n x="387"/>
        <n x="12"/>
        <n x="32"/>
        <n x="1337" s="1"/>
      </t>
    </mdx>
    <mdx n="33" f="v">
      <t c="4" si="10">
        <n x="541"/>
        <n x="14"/>
        <n x="32"/>
        <n x="1337" s="1"/>
      </t>
    </mdx>
    <mdx n="33" f="v">
      <t c="4">
        <n x="134"/>
        <n x="14"/>
        <n x="32"/>
        <n x="1337" s="1"/>
      </t>
    </mdx>
    <mdx n="33" f="v">
      <t c="3">
        <n x="124"/>
        <n x="1336"/>
        <n x="1337" s="1"/>
      </t>
    </mdx>
    <mdx n="33" f="v">
      <t c="4">
        <n x="1184"/>
        <n x="0"/>
        <n x="7"/>
        <n x="1337" s="1"/>
      </t>
    </mdx>
    <mdx n="33" f="v">
      <t c="4">
        <n x="72"/>
        <n x="0"/>
        <n x="7"/>
        <n x="1337" s="1"/>
      </t>
    </mdx>
    <mdx n="33" f="v">
      <t c="4" si="10">
        <n x="521"/>
        <n x="14"/>
        <n x="32"/>
        <n x="1337" s="1"/>
      </t>
    </mdx>
    <mdx n="33" f="v">
      <t c="4">
        <n x="1173"/>
        <n x="0"/>
        <n x="7"/>
        <n x="1337" s="1"/>
      </t>
    </mdx>
    <mdx n="33" f="v">
      <t c="4" si="10">
        <n x="1268"/>
        <n x="0"/>
        <n x="32"/>
        <n x="1337" s="1"/>
      </t>
    </mdx>
    <mdx n="33" f="v">
      <t c="4">
        <n x="1061"/>
        <n x="1"/>
        <n x="7"/>
        <n x="1337" s="1"/>
      </t>
    </mdx>
    <mdx n="33" f="v">
      <t c="4">
        <n x="330"/>
        <n x="11"/>
        <n x="32"/>
        <n x="1337" s="1"/>
      </t>
    </mdx>
    <mdx n="33" f="v">
      <t c="4">
        <n x="166"/>
        <n x="12"/>
        <n x="32"/>
        <n x="1337" s="1"/>
      </t>
    </mdx>
    <mdx n="33" f="v">
      <t c="4" si="10">
        <n x="448"/>
        <n x="14"/>
        <n x="32"/>
        <n x="1337" s="1"/>
      </t>
    </mdx>
    <mdx n="33" f="v">
      <t c="4">
        <n x="296"/>
        <n x="1"/>
        <n x="32"/>
        <n x="1337" s="1"/>
      </t>
    </mdx>
    <mdx n="33" f="v">
      <t c="3">
        <n x="81"/>
        <n x="1336"/>
        <n x="1337" s="1"/>
      </t>
    </mdx>
    <mdx n="33" f="v">
      <t c="4" si="9">
        <n x="941"/>
        <n x="0"/>
        <n x="7"/>
        <n x="1337" s="1"/>
      </t>
    </mdx>
    <mdx n="33" f="v">
      <t c="4">
        <n x="1253"/>
        <n x="12"/>
        <n x="32"/>
        <n x="1337" s="1"/>
      </t>
    </mdx>
    <mdx n="33" f="v">
      <t c="4">
        <n x="133"/>
        <n x="1"/>
        <n x="32"/>
        <n x="1337" s="1"/>
      </t>
    </mdx>
    <mdx n="33" f="v">
      <t c="4">
        <n x="869"/>
        <n x="1"/>
        <n x="7"/>
        <n x="1337" s="1"/>
      </t>
    </mdx>
    <mdx n="33" f="v">
      <t c="4" si="9">
        <n x="511"/>
        <n x="11"/>
        <n x="7"/>
        <n x="1337" s="1"/>
      </t>
    </mdx>
    <mdx n="33" f="v">
      <t c="4">
        <n x="142"/>
        <n x="1"/>
        <n x="7"/>
        <n x="1337" s="1"/>
      </t>
    </mdx>
    <mdx n="33" f="v">
      <t c="4" si="10">
        <n x="997"/>
        <n x="12"/>
        <n x="32"/>
        <n x="1337" s="1"/>
      </t>
    </mdx>
    <mdx n="33" f="v">
      <t c="4" si="10">
        <n x="961"/>
        <n x="14"/>
        <n x="32"/>
        <n x="1337" s="1"/>
      </t>
    </mdx>
    <mdx n="33" f="v">
      <t c="4">
        <n x="182"/>
        <n x="14"/>
        <n x="32"/>
        <n x="1337" s="1"/>
      </t>
    </mdx>
    <mdx n="33" f="v">
      <t c="3">
        <n x="943"/>
        <n x="1336"/>
        <n x="1337" s="1"/>
      </t>
    </mdx>
    <mdx n="33" f="v">
      <t c="4">
        <n x="1242"/>
        <n x="0"/>
        <n x="7"/>
        <n x="1337" s="1"/>
      </t>
    </mdx>
    <mdx n="33" f="v">
      <t c="4">
        <n x="69"/>
        <n x="0"/>
        <n x="7"/>
        <n x="1337" s="1"/>
      </t>
    </mdx>
    <mdx n="33" f="v">
      <t c="4">
        <n x="275"/>
        <n x="14"/>
        <n x="7"/>
        <n x="1337" s="1"/>
      </t>
    </mdx>
    <mdx n="33" f="v">
      <t c="4">
        <n x="531"/>
        <n x="11"/>
        <n x="32"/>
        <n x="1337" s="1"/>
      </t>
    </mdx>
    <mdx n="33" f="v">
      <t c="4" si="10">
        <n x="946"/>
        <n x="1"/>
        <n x="32"/>
        <n x="1337" s="1"/>
      </t>
    </mdx>
    <mdx n="33" f="v">
      <t c="3">
        <n x="680"/>
        <n x="1336"/>
        <n x="1337" s="1"/>
      </t>
    </mdx>
    <mdx n="33" f="v">
      <t c="4" si="10">
        <n x="808"/>
        <n x="0"/>
        <n x="32"/>
        <n x="1337" s="1"/>
      </t>
    </mdx>
    <mdx n="33" f="v">
      <t c="4">
        <n x="1159"/>
        <n x="0"/>
        <n x="32"/>
        <n x="1337" s="1"/>
      </t>
    </mdx>
    <mdx n="33" f="v">
      <t c="4">
        <n x="901"/>
        <n x="14"/>
        <n x="32"/>
        <n x="1337" s="1"/>
      </t>
    </mdx>
    <mdx n="33" f="v">
      <t c="4" si="9">
        <n x="585"/>
        <n x="14"/>
        <n x="7"/>
        <n x="1337" s="1"/>
      </t>
    </mdx>
    <mdx n="33" f="v">
      <t c="4">
        <n x="514"/>
        <n x="11"/>
        <n x="7"/>
        <n x="1337" s="1"/>
      </t>
    </mdx>
    <mdx n="33" f="v">
      <t c="4">
        <n x="1000"/>
        <n x="12"/>
        <n x="32"/>
        <n x="1337" s="1"/>
      </t>
    </mdx>
    <mdx n="33" f="v">
      <t c="4">
        <n x="1054"/>
        <n x="11"/>
        <n x="7"/>
        <n x="1337" s="1"/>
      </t>
    </mdx>
    <mdx n="33" f="v">
      <t c="4">
        <n x="1063"/>
        <n x="1"/>
        <n x="7"/>
        <n x="1337" s="1"/>
      </t>
    </mdx>
    <mdx n="33" f="v">
      <t c="4">
        <n x="1008"/>
        <n x="11"/>
        <n x="32"/>
        <n x="1337" s="1"/>
      </t>
    </mdx>
    <mdx n="33" f="v">
      <t c="4">
        <n x="1183"/>
        <n x="12"/>
        <n x="32"/>
        <n x="1337" s="1"/>
      </t>
    </mdx>
    <mdx n="33" f="v">
      <t c="4">
        <n x="347"/>
        <n x="12"/>
        <n x="32"/>
        <n x="1337" s="1"/>
      </t>
    </mdx>
    <mdx n="33" f="v">
      <t c="4">
        <n x="895"/>
        <n x="11"/>
        <n x="32"/>
        <n x="1337" s="1"/>
      </t>
    </mdx>
    <mdx n="33" f="v">
      <t c="4">
        <n x="968"/>
        <n x="14"/>
        <n x="7"/>
        <n x="1337" s="1"/>
      </t>
    </mdx>
    <mdx n="33" f="v">
      <t c="4">
        <n x="427"/>
        <n x="11"/>
        <n x="7"/>
        <n x="1337" s="1"/>
      </t>
    </mdx>
    <mdx n="33" f="v">
      <t c="4">
        <n x="986"/>
        <n x="1"/>
        <n x="7"/>
        <n x="1337" s="1"/>
      </t>
    </mdx>
    <mdx n="33" f="v">
      <t c="4" si="10">
        <n x="1071"/>
        <n x="11"/>
        <n x="32"/>
        <n x="1337" s="1"/>
      </t>
    </mdx>
    <mdx n="33" f="v">
      <t c="4">
        <n x="215"/>
        <n x="14"/>
        <n x="32"/>
        <n x="1337" s="1"/>
      </t>
    </mdx>
    <mdx n="33" f="v">
      <t c="4">
        <n x="67"/>
        <n x="1"/>
        <n x="32"/>
        <n x="1337" s="1"/>
      </t>
    </mdx>
    <mdx n="33" f="v">
      <t c="4">
        <n x="313"/>
        <n x="11"/>
        <n x="7"/>
        <n x="1337" s="1"/>
      </t>
    </mdx>
    <mdx n="33" f="v">
      <t c="4">
        <n x="333"/>
        <n x="14"/>
        <n x="32"/>
        <n x="1337" s="1"/>
      </t>
    </mdx>
    <mdx n="33" f="v">
      <t c="4" si="10">
        <n x="808"/>
        <n x="12"/>
        <n x="32"/>
        <n x="1337" s="1"/>
      </t>
    </mdx>
    <mdx n="33" f="v">
      <t c="4">
        <n x="783"/>
        <n x="0"/>
        <n x="7"/>
        <n x="1337" s="1"/>
      </t>
    </mdx>
    <mdx n="33" f="v">
      <t c="4">
        <n x="1118"/>
        <n x="0"/>
        <n x="7"/>
        <n x="1337" s="1"/>
      </t>
    </mdx>
    <mdx n="33" f="v">
      <t c="4">
        <n x="1321"/>
        <n x="14"/>
        <n x="7"/>
        <n x="1337" s="1"/>
      </t>
    </mdx>
    <mdx n="33" f="v">
      <t c="4" si="10">
        <n x="968"/>
        <n x="12"/>
        <n x="32"/>
        <n x="1337" s="1"/>
      </t>
    </mdx>
    <mdx n="33" f="v">
      <t c="4">
        <n x="967"/>
        <n x="1"/>
        <n x="7"/>
        <n x="1337" s="1"/>
      </t>
    </mdx>
    <mdx n="33" f="v">
      <t c="4" si="10">
        <n x="1091"/>
        <n x="12"/>
        <n x="32"/>
        <n x="1337" s="1"/>
      </t>
    </mdx>
    <mdx n="33" f="v">
      <t c="4" si="10">
        <n x="946"/>
        <n x="12"/>
        <n x="32"/>
        <n x="1337" s="1"/>
      </t>
    </mdx>
    <mdx n="33" f="v">
      <t c="4">
        <n x="153"/>
        <n x="11"/>
        <n x="7"/>
        <n x="1337" s="1"/>
      </t>
    </mdx>
    <mdx n="33" f="v">
      <t c="4">
        <n x="536"/>
        <n x="11"/>
        <n x="32"/>
        <n x="1337" s="1"/>
      </t>
    </mdx>
    <mdx n="33" f="v">
      <t c="4" si="10">
        <n x="401"/>
        <n x="12"/>
        <n x="32"/>
        <n x="1337" s="1"/>
      </t>
    </mdx>
    <mdx n="33" f="v">
      <t c="4">
        <n x="624"/>
        <n x="1"/>
        <n x="7"/>
        <n x="1337" s="1"/>
      </t>
    </mdx>
    <mdx n="33" f="v">
      <t c="4" si="10">
        <n x="599"/>
        <n x="14"/>
        <n x="32"/>
        <n x="1337" s="1"/>
      </t>
    </mdx>
    <mdx n="33" f="v">
      <t c="4">
        <n x="82"/>
        <n x="0"/>
        <n x="7"/>
        <n x="1337" s="1"/>
      </t>
    </mdx>
    <mdx n="33" f="v">
      <t c="4">
        <n x="274"/>
        <n x="11"/>
        <n x="7"/>
        <n x="1337" s="1"/>
      </t>
    </mdx>
    <mdx n="33" f="v">
      <t c="4">
        <n x="101"/>
        <n x="14"/>
        <n x="32"/>
        <n x="1337" s="1"/>
      </t>
    </mdx>
    <mdx n="33" f="v">
      <t c="4">
        <n x="130"/>
        <n x="14"/>
        <n x="32"/>
        <n x="1337" s="1"/>
      </t>
    </mdx>
    <mdx n="33" f="v">
      <t c="4" si="10">
        <n x="487"/>
        <n x="11"/>
        <n x="32"/>
        <n x="1337" s="1"/>
      </t>
    </mdx>
    <mdx n="33" f="v">
      <t c="4">
        <n x="190"/>
        <n x="14"/>
        <n x="32"/>
        <n x="1337" s="1"/>
      </t>
    </mdx>
    <mdx n="33" f="v">
      <t c="4">
        <n x="97"/>
        <n x="0"/>
        <n x="7"/>
        <n x="1337" s="1"/>
      </t>
    </mdx>
    <mdx n="33" f="v">
      <t c="4" si="10">
        <n x="579"/>
        <n x="14"/>
        <n x="32"/>
        <n x="1337" s="1"/>
      </t>
    </mdx>
    <mdx n="33" f="v">
      <t c="4">
        <n x="666"/>
        <n x="11"/>
        <n x="7"/>
        <n x="1337" s="1"/>
      </t>
    </mdx>
    <mdx n="33" f="v">
      <t c="4" si="10">
        <n x="924"/>
        <n x="0"/>
        <n x="32"/>
        <n x="1337" s="1"/>
      </t>
    </mdx>
    <mdx n="33" f="v">
      <t c="3">
        <n x="336"/>
        <n x="1336"/>
        <n x="1337" s="1"/>
      </t>
    </mdx>
    <mdx n="33" f="v">
      <t c="4">
        <n x="1011"/>
        <n x="0"/>
        <n x="7"/>
        <n x="1337" s="1"/>
      </t>
    </mdx>
    <mdx n="33" f="v">
      <t c="4">
        <n x="653"/>
        <n x="12"/>
        <n x="32"/>
        <n x="1337" s="1"/>
      </t>
    </mdx>
    <mdx n="33" f="v">
      <t c="4">
        <n x="402"/>
        <n x="1"/>
        <n x="7"/>
        <n x="1337" s="1"/>
      </t>
    </mdx>
    <mdx n="33" f="v">
      <t c="4" si="10">
        <n x="675"/>
        <n x="12"/>
        <n x="32"/>
        <n x="1337" s="1"/>
      </t>
    </mdx>
    <mdx n="33" f="v">
      <t c="4">
        <n x="388"/>
        <n x="11"/>
        <n x="7"/>
        <n x="1337" s="1"/>
      </t>
    </mdx>
    <mdx n="33" f="v">
      <t c="4">
        <n x="445"/>
        <n x="1"/>
        <n x="7"/>
        <n x="1337" s="1"/>
      </t>
    </mdx>
    <mdx n="33" f="v">
      <t c="4">
        <n x="397"/>
        <n x="11"/>
        <n x="32"/>
        <n x="1337" s="1"/>
      </t>
    </mdx>
    <mdx n="33" f="v">
      <t c="4" si="10">
        <n x="987"/>
        <n x="12"/>
        <n x="32"/>
        <n x="1337" s="1"/>
      </t>
    </mdx>
    <mdx n="33" f="v">
      <t c="4">
        <n x="151"/>
        <n x="12"/>
        <n x="32"/>
        <n x="1337" s="1"/>
      </t>
    </mdx>
    <mdx n="33" f="v">
      <t c="3">
        <n x="998"/>
        <n x="1336"/>
        <n x="1337" s="1"/>
      </t>
    </mdx>
    <mdx n="33" f="v">
      <t c="4">
        <n x="108"/>
        <n x="14"/>
        <n x="7"/>
        <n x="1337" s="1"/>
      </t>
    </mdx>
    <mdx n="33" f="v">
      <t c="4">
        <n x="133"/>
        <n x="11"/>
        <n x="7"/>
        <n x="1337" s="1"/>
      </t>
    </mdx>
    <mdx n="33" f="v">
      <t c="4">
        <n x="440"/>
        <n x="1"/>
        <n x="7"/>
        <n x="1337" s="1"/>
      </t>
    </mdx>
    <mdx n="33" f="v">
      <t c="4">
        <n x="560"/>
        <n x="11"/>
        <n x="32"/>
        <n x="1337" s="1"/>
      </t>
    </mdx>
    <mdx n="33" f="v">
      <t c="4" si="10">
        <n x="1218"/>
        <n x="12"/>
        <n x="32"/>
        <n x="1337" s="1"/>
      </t>
    </mdx>
    <mdx n="33" f="v">
      <t c="4">
        <n x="382"/>
        <n x="12"/>
        <n x="32"/>
        <n x="1337" s="1"/>
      </t>
    </mdx>
    <mdx n="33" f="v">
      <t c="4" si="10">
        <n x="612"/>
        <n x="14"/>
        <n x="32"/>
        <n x="1337" s="1"/>
      </t>
    </mdx>
    <mdx n="33" f="v">
      <t c="4">
        <n x="289"/>
        <n x="1"/>
        <n x="32"/>
        <n x="1337" s="1"/>
      </t>
    </mdx>
    <mdx n="33" f="v">
      <t c="4">
        <n x="504"/>
        <n x="1"/>
        <n x="7"/>
        <n x="1337" s="1"/>
      </t>
    </mdx>
    <mdx n="33" f="v">
      <t c="4" si="10">
        <n x="1109"/>
        <n x="14"/>
        <n x="32"/>
        <n x="1337" s="1"/>
      </t>
    </mdx>
    <mdx n="33" f="v">
      <t c="4">
        <n x="139"/>
        <n x="1"/>
        <n x="32"/>
        <n x="1337" s="1"/>
      </t>
    </mdx>
    <mdx n="33" f="v">
      <t c="4">
        <n x="126"/>
        <n x="0"/>
        <n x="7"/>
        <n x="1337" s="1"/>
      </t>
    </mdx>
    <mdx n="33" f="v">
      <t c="4">
        <n x="109"/>
        <n x="1"/>
        <n x="32"/>
        <n x="1337" s="1"/>
      </t>
    </mdx>
    <mdx n="33" f="v">
      <t c="4">
        <n x="532"/>
        <n x="11"/>
        <n x="7"/>
        <n x="1337" s="1"/>
      </t>
    </mdx>
    <mdx n="33" f="v">
      <t c="4" si="10">
        <n x="1017"/>
        <n x="12"/>
        <n x="32"/>
        <n x="1337" s="1"/>
      </t>
    </mdx>
    <mdx n="33" f="v">
      <t c="4">
        <n x="285"/>
        <n x="14"/>
        <n x="32"/>
        <n x="1337" s="1"/>
      </t>
    </mdx>
    <mdx n="33" f="v">
      <t c="4">
        <n x="1247"/>
        <n x="0"/>
        <n x="7"/>
        <n x="1337" s="1"/>
      </t>
    </mdx>
    <mdx n="33" f="v">
      <t c="4" si="10">
        <n x="547"/>
        <n x="14"/>
        <n x="32"/>
        <n x="1337" s="1"/>
      </t>
    </mdx>
    <mdx n="33" f="v">
      <t c="4" si="10">
        <n x="1244"/>
        <n x="0"/>
        <n x="32"/>
        <n x="1337" s="1"/>
      </t>
    </mdx>
    <mdx n="33" f="v">
      <t c="4">
        <n x="1062"/>
        <n x="11"/>
        <n x="32"/>
        <n x="1337" s="1"/>
      </t>
    </mdx>
    <mdx n="33" f="v">
      <t c="4">
        <n x="210"/>
        <n x="12"/>
        <n x="32"/>
        <n x="1337" s="1"/>
      </t>
    </mdx>
    <mdx n="33" f="v">
      <t c="4">
        <n x="349"/>
        <n x="14"/>
        <n x="32"/>
        <n x="1337" s="1"/>
      </t>
    </mdx>
    <mdx n="33" f="v">
      <t c="3">
        <n x="782"/>
        <n x="1336"/>
        <n x="1337" s="1"/>
      </t>
    </mdx>
    <mdx n="33" f="v">
      <t c="4">
        <n x="1126"/>
        <n x="0"/>
        <n x="7"/>
        <n x="1337" s="1"/>
      </t>
    </mdx>
    <mdx n="33" f="v">
      <t c="4" si="10">
        <n x="1156"/>
        <n x="0"/>
        <n x="32"/>
        <n x="1337" s="1"/>
      </t>
    </mdx>
    <mdx n="33" f="v">
      <t c="4">
        <n x="131"/>
        <n x="11"/>
        <n x="32"/>
        <n x="1337" s="1"/>
      </t>
    </mdx>
    <mdx n="33" f="v">
      <t c="4">
        <n x="1317"/>
        <n x="0"/>
        <n x="7"/>
        <n x="1337" s="1"/>
      </t>
    </mdx>
    <mdx n="33" f="v">
      <t c="4" si="9">
        <n x="555"/>
        <n x="14"/>
        <n x="7"/>
        <n x="1337" s="1"/>
      </t>
    </mdx>
    <mdx n="33" f="v">
      <t c="4">
        <n x="1054"/>
        <n x="0"/>
        <n x="7"/>
        <n x="1337" s="1"/>
      </t>
    </mdx>
    <mdx n="33" f="v">
      <t c="4" si="10">
        <n x="863"/>
        <n x="12"/>
        <n x="32"/>
        <n x="1337" s="1"/>
      </t>
    </mdx>
    <mdx n="33" f="v">
      <t c="4">
        <n x="1243"/>
        <n x="12"/>
        <n x="7"/>
        <n x="1337" s="1"/>
      </t>
    </mdx>
    <mdx n="33" f="v">
      <t c="4" si="9">
        <n x="564"/>
        <n x="14"/>
        <n x="7"/>
        <n x="1337" s="1"/>
      </t>
    </mdx>
    <mdx n="33" f="v">
      <t c="4">
        <n x="210"/>
        <n x="11"/>
        <n x="32"/>
        <n x="1337" s="1"/>
      </t>
    </mdx>
    <mdx n="33" f="v">
      <t c="4">
        <n x="233"/>
        <n x="11"/>
        <n x="7"/>
        <n x="1337" s="1"/>
      </t>
    </mdx>
    <mdx n="33" f="v">
      <t c="4" si="10">
        <n x="1043"/>
        <n x="12"/>
        <n x="32"/>
        <n x="1337" s="1"/>
      </t>
    </mdx>
    <mdx n="33" f="v">
      <t c="4">
        <n x="556"/>
        <n x="14"/>
        <n x="7"/>
        <n x="1337" s="1"/>
      </t>
    </mdx>
    <mdx n="33" f="v">
      <t c="4">
        <n x="167"/>
        <n x="1"/>
        <n x="7"/>
        <n x="1337" s="1"/>
      </t>
    </mdx>
    <mdx n="33" f="v">
      <t c="4" si="10">
        <n x="1030"/>
        <n x="12"/>
        <n x="32"/>
        <n x="1337" s="1"/>
      </t>
    </mdx>
    <mdx n="33" f="v">
      <t c="4">
        <n x="866"/>
        <n x="12"/>
        <n x="32"/>
        <n x="1337" s="1"/>
      </t>
    </mdx>
    <mdx n="33" f="v">
      <t c="3">
        <n x="951"/>
        <n x="1336"/>
        <n x="1337" s="1"/>
      </t>
    </mdx>
    <mdx n="33" f="v">
      <t c="4">
        <n x="121"/>
        <n x="14"/>
        <n x="7"/>
        <n x="1337" s="1"/>
      </t>
    </mdx>
    <mdx n="33" f="v">
      <t c="3">
        <n x="147"/>
        <n x="1336"/>
        <n x="1337" s="1"/>
      </t>
    </mdx>
    <mdx n="33" f="v">
      <t c="4">
        <n x="145"/>
        <n x="11"/>
        <n x="7"/>
        <n x="1337" s="1"/>
      </t>
    </mdx>
    <mdx n="33" f="v">
      <t c="4">
        <n x="398"/>
        <n x="14"/>
        <n x="32"/>
        <n x="1337" s="1"/>
      </t>
    </mdx>
    <mdx n="33" f="v">
      <t c="4">
        <n x="853"/>
        <n x="1"/>
        <n x="7"/>
        <n x="1337" s="1"/>
      </t>
    </mdx>
    <mdx n="33" f="v">
      <t c="4">
        <n x="319"/>
        <n x="11"/>
        <n x="32"/>
        <n x="1337" s="1"/>
      </t>
    </mdx>
    <mdx n="33" f="v">
      <t c="4">
        <n x="115"/>
        <n x="14"/>
        <n x="32"/>
        <n x="1337" s="1"/>
      </t>
    </mdx>
    <mdx n="33" f="v">
      <t c="4">
        <n x="309"/>
        <n x="14"/>
        <n x="32"/>
        <n x="1337" s="1"/>
      </t>
    </mdx>
    <mdx n="33" f="v">
      <t c="4" si="10">
        <n x="750"/>
        <n x="14"/>
        <n x="32"/>
        <n x="1337" s="1"/>
      </t>
    </mdx>
    <mdx n="33" f="v">
      <t c="4">
        <n x="913"/>
        <n x="0"/>
        <n x="7"/>
        <n x="1337" s="1"/>
      </t>
    </mdx>
    <mdx n="33" f="v">
      <t c="4">
        <n x="1262"/>
        <n x="12"/>
        <n x="7"/>
        <n x="1337" s="1"/>
      </t>
    </mdx>
    <mdx n="33" f="v">
      <t c="4">
        <n x="767"/>
        <n x="11"/>
        <n x="7"/>
        <n x="1337" s="1"/>
      </t>
    </mdx>
    <mdx n="33" f="v">
      <t c="4" si="9">
        <n x="464"/>
        <n x="14"/>
        <n x="7"/>
        <n x="1337" s="1"/>
      </t>
    </mdx>
    <mdx n="33" f="v">
      <t c="4" si="10">
        <n x="774"/>
        <n x="14"/>
        <n x="32"/>
        <n x="1337" s="1"/>
      </t>
    </mdx>
    <mdx n="33" f="v">
      <t c="4">
        <n x="852"/>
        <n x="0"/>
        <n x="7"/>
        <n x="1337" s="1"/>
      </t>
    </mdx>
    <mdx n="33" f="v">
      <t c="4">
        <n x="1012"/>
        <n x="1"/>
        <n x="32"/>
        <n x="1337" s="1"/>
      </t>
    </mdx>
    <mdx n="33" f="v">
      <t c="4">
        <n x="418"/>
        <n x="14"/>
        <n x="7"/>
        <n x="1337" s="1"/>
      </t>
    </mdx>
    <mdx n="33" f="v">
      <t c="4" si="10">
        <n x="1214"/>
        <n x="0"/>
        <n x="32"/>
        <n x="1337" s="1"/>
      </t>
    </mdx>
    <mdx n="33" f="v">
      <t c="4">
        <n x="398"/>
        <n x="1"/>
        <n x="7"/>
        <n x="1337" s="1"/>
      </t>
    </mdx>
    <mdx n="33" f="v">
      <t c="4" si="10">
        <n x="1028"/>
        <n x="12"/>
        <n x="32"/>
        <n x="1337" s="1"/>
      </t>
    </mdx>
    <mdx n="33" f="v">
      <t c="3">
        <n x="860"/>
        <n x="1336"/>
        <n x="1337" s="1"/>
      </t>
    </mdx>
    <mdx n="33" f="v">
      <t c="4">
        <n x="622"/>
        <n x="0"/>
        <n x="32"/>
        <n x="1337" s="1"/>
      </t>
    </mdx>
    <mdx n="33" f="v">
      <t c="4">
        <n x="854"/>
        <n x="11"/>
        <n x="7"/>
        <n x="1337" s="1"/>
      </t>
    </mdx>
    <mdx n="33" f="v">
      <t c="4" si="10">
        <n x="788"/>
        <n x="14"/>
        <n x="32"/>
        <n x="1337" s="1"/>
      </t>
    </mdx>
    <mdx n="33" f="v">
      <t c="4">
        <n x="937"/>
        <n x="11"/>
        <n x="7"/>
        <n x="1337" s="1"/>
      </t>
    </mdx>
    <mdx n="33" f="v">
      <t c="4">
        <n x="1139"/>
        <n x="0"/>
        <n x="32"/>
        <n x="1337" s="1"/>
      </t>
    </mdx>
    <mdx n="33" f="v">
      <t c="4" si="10">
        <n x="700"/>
        <n x="1"/>
        <n x="32"/>
        <n x="1337" s="1"/>
      </t>
    </mdx>
    <mdx n="33" f="v">
      <t c="4">
        <n x="897"/>
        <n x="14"/>
        <n x="7"/>
        <n x="1337" s="1"/>
      </t>
    </mdx>
    <mdx n="33" f="v">
      <t c="4">
        <n x="1042"/>
        <n x="12"/>
        <n x="7"/>
        <n x="1337" s="1"/>
      </t>
    </mdx>
    <mdx n="33" f="v">
      <t c="4">
        <n x="408"/>
        <n x="14"/>
        <n x="7"/>
        <n x="1337" s="1"/>
      </t>
    </mdx>
    <mdx n="33" f="v">
      <t c="4" si="10">
        <n x="854"/>
        <n x="0"/>
        <n x="32"/>
        <n x="1337" s="1"/>
      </t>
    </mdx>
    <mdx n="33" f="v">
      <t c="4">
        <n x="563"/>
        <n x="11"/>
        <n x="7"/>
        <n x="1337" s="1"/>
      </t>
    </mdx>
    <mdx n="33" f="v">
      <t c="4">
        <n x="207"/>
        <n x="1"/>
        <n x="7"/>
        <n x="1337" s="1"/>
      </t>
    </mdx>
    <mdx n="33" f="v">
      <t c="4">
        <n x="1040"/>
        <n x="12"/>
        <n x="32"/>
        <n x="1337" s="1"/>
      </t>
    </mdx>
    <mdx n="33" f="v">
      <t c="4">
        <n x="855"/>
        <n x="11"/>
        <n x="7"/>
        <n x="1337" s="1"/>
      </t>
    </mdx>
    <mdx n="33" f="v">
      <t c="4" si="9">
        <n x="674"/>
        <n x="0"/>
        <n x="7"/>
        <n x="1337" s="1"/>
      </t>
    </mdx>
    <mdx n="33" f="v">
      <t c="4">
        <n x="867"/>
        <n x="14"/>
        <n x="7"/>
        <n x="1337" s="1"/>
      </t>
    </mdx>
    <mdx n="33" f="v">
      <t c="4" si="10">
        <n x="806"/>
        <n x="14"/>
        <n x="32"/>
        <n x="1337" s="1"/>
      </t>
    </mdx>
    <mdx n="33" f="v">
      <t c="4" si="10">
        <n x="941"/>
        <n x="14"/>
        <n x="32"/>
        <n x="1337" s="1"/>
      </t>
    </mdx>
    <mdx n="33" f="v">
      <t c="4" si="10">
        <n x="1157"/>
        <n x="0"/>
        <n x="32"/>
        <n x="1337" s="1"/>
      </t>
    </mdx>
    <mdx n="33" f="v">
      <t c="4">
        <n x="713"/>
        <n x="0"/>
        <n x="7"/>
        <n x="1337" s="1"/>
      </t>
    </mdx>
    <mdx n="33" f="v">
      <t c="3">
        <n x="901"/>
        <n x="1336"/>
        <n x="1337" s="1"/>
      </t>
    </mdx>
    <mdx n="33" f="v">
      <t c="3">
        <n x="1049"/>
        <n x="1336"/>
        <n x="1337" s="1"/>
      </t>
    </mdx>
    <mdx n="33" f="v">
      <t c="4" si="9">
        <n x="589"/>
        <n x="14"/>
        <n x="7"/>
        <n x="1337" s="1"/>
      </t>
    </mdx>
    <mdx n="33" f="v">
      <t c="4">
        <n x="867"/>
        <n x="12"/>
        <n x="7"/>
        <n x="1337" s="1"/>
      </t>
    </mdx>
    <mdx n="33" f="v">
      <t c="4">
        <n x="518"/>
        <n x="11"/>
        <n x="7"/>
        <n x="1337" s="1"/>
      </t>
    </mdx>
    <mdx n="33" f="v">
      <t c="4">
        <n x="149"/>
        <n x="1"/>
        <n x="7"/>
        <n x="1337" s="1"/>
      </t>
    </mdx>
    <mdx n="33" f="v">
      <t c="4" si="10">
        <n x="1004"/>
        <n x="12"/>
        <n x="32"/>
        <n x="1337" s="1"/>
      </t>
    </mdx>
    <mdx n="33" f="v">
      <t c="4">
        <n x="868"/>
        <n x="14"/>
        <n x="7"/>
        <n x="1337" s="1"/>
      </t>
    </mdx>
    <mdx n="33" f="v">
      <t c="4">
        <n x="513"/>
        <n x="11"/>
        <n x="7"/>
        <n x="1337" s="1"/>
      </t>
    </mdx>
    <mdx n="33" f="v">
      <t c="4">
        <n x="144"/>
        <n x="1"/>
        <n x="7"/>
        <n x="1337" s="1"/>
      </t>
    </mdx>
    <mdx n="33" f="v">
      <t c="4" si="9">
        <n x="518"/>
        <n x="12"/>
        <n x="7"/>
        <n x="1337" s="1"/>
      </t>
    </mdx>
    <mdx n="33" f="v">
      <t c="4">
        <n x="155"/>
        <n x="12"/>
        <n x="7"/>
        <n x="1337" s="1"/>
      </t>
    </mdx>
    <mdx n="33" f="v">
      <t c="3">
        <n x="489"/>
        <n x="1336"/>
        <n x="1337" s="1"/>
      </t>
    </mdx>
    <mdx n="33" f="v">
      <t c="3" fi="0">
        <n x="553"/>
        <n x="1336"/>
        <n x="1337" s="1"/>
      </t>
    </mdx>
    <mdx n="33" f="v">
      <t c="4">
        <n x="453"/>
        <n x="1"/>
        <n x="7"/>
        <n x="1337" s="1"/>
      </t>
    </mdx>
    <mdx n="33" f="v">
      <t c="4">
        <n x="991"/>
        <n x="12"/>
        <n x="32"/>
        <n x="1337" s="1"/>
      </t>
    </mdx>
    <mdx n="33" f="v">
      <t c="4">
        <n x="995"/>
        <n x="12"/>
        <n x="7"/>
        <n x="1337" s="1"/>
      </t>
    </mdx>
    <mdx n="33" f="v">
      <t c="4">
        <n x="147"/>
        <n x="11"/>
        <n x="7"/>
        <n x="1337" s="1"/>
      </t>
    </mdx>
    <mdx n="33" f="v">
      <t c="4">
        <n x="580"/>
        <n x="11"/>
        <n x="32"/>
        <n x="1337" s="1"/>
      </t>
    </mdx>
    <mdx n="33" f="v">
      <t c="4">
        <n x="189"/>
        <n x="11"/>
        <n x="32"/>
        <n x="1337" s="1"/>
      </t>
    </mdx>
    <mdx n="33" f="v">
      <t c="4">
        <n x="1074"/>
        <n x="12"/>
        <n x="32"/>
        <n x="1337" s="1"/>
      </t>
    </mdx>
    <mdx n="33" f="v">
      <t c="4" si="10">
        <n x="449"/>
        <n x="12"/>
        <n x="32"/>
        <n x="1337" s="1"/>
      </t>
    </mdx>
    <mdx n="33" f="v">
      <t c="4">
        <n x="102"/>
        <n x="12"/>
        <n x="32"/>
        <n x="1337" s="1"/>
      </t>
    </mdx>
    <mdx n="33" f="v">
      <t c="4">
        <n x="455"/>
        <n x="14"/>
        <n x="32"/>
        <n x="1337" s="1"/>
      </t>
    </mdx>
    <mdx n="33" f="v">
      <t c="4">
        <n x="789"/>
        <n x="1"/>
        <n x="32"/>
        <n x="1337" s="1"/>
      </t>
    </mdx>
    <mdx n="33" f="v">
      <t c="4">
        <n x="580"/>
        <n x="11"/>
        <n x="7"/>
        <n x="1337" s="1"/>
      </t>
    </mdx>
    <mdx n="33" f="v">
      <t c="4" si="10">
        <n x="511"/>
        <n x="11"/>
        <n x="32"/>
        <n x="1337" s="1"/>
      </t>
    </mdx>
    <mdx n="33" f="v">
      <t c="4">
        <n x="48"/>
        <n x="12"/>
        <n x="32"/>
        <n x="1337" s="1"/>
      </t>
    </mdx>
    <mdx n="33" f="v">
      <t c="4">
        <n x="297"/>
        <n x="14"/>
        <n x="32"/>
        <n x="1337" s="1"/>
      </t>
    </mdx>
    <mdx n="33" f="v">
      <t c="3">
        <n x="154"/>
        <n x="1336"/>
        <n x="1337" s="1"/>
      </t>
    </mdx>
    <mdx n="33" f="v">
      <t c="4">
        <n x="300"/>
        <n x="0"/>
        <n x="7"/>
        <n x="1337" s="1"/>
      </t>
    </mdx>
    <mdx n="33" f="v">
      <t c="4">
        <n x="158"/>
        <n x="12"/>
        <n x="32"/>
        <n x="1337" s="1"/>
      </t>
    </mdx>
    <mdx n="33" f="v">
      <t c="4">
        <n x="769"/>
        <n x="0"/>
        <n x="7"/>
        <n x="1337" s="1"/>
      </t>
    </mdx>
    <mdx n="33" f="v">
      <t c="4">
        <n x="465"/>
        <n x="11"/>
        <n x="7"/>
        <n x="1337" s="1"/>
      </t>
    </mdx>
    <mdx n="33" f="v">
      <t c="4">
        <n x="619"/>
        <n x="11"/>
        <n x="32"/>
        <n x="1337" s="1"/>
      </t>
    </mdx>
    <mdx n="33" f="v">
      <t c="4">
        <n x="122"/>
        <n x="12"/>
        <n x="32"/>
        <n x="1337" s="1"/>
      </t>
    </mdx>
    <mdx n="33" f="v">
      <t c="4">
        <n x="308"/>
        <n x="14"/>
        <n x="32"/>
        <n x="1337" s="1"/>
      </t>
    </mdx>
    <mdx n="33" f="v">
      <t c="3">
        <n x="280"/>
        <n x="1336"/>
        <n x="1337" s="1"/>
      </t>
    </mdx>
    <mdx n="33" f="v">
      <t c="4">
        <n x="775"/>
        <n x="0"/>
        <n x="7"/>
        <n x="1337" s="1"/>
      </t>
    </mdx>
    <mdx n="33" f="v">
      <t c="4" si="10">
        <n x="983"/>
        <n x="14"/>
        <n x="32"/>
        <n x="1337" s="1"/>
      </t>
    </mdx>
    <mdx n="33" f="v">
      <t c="4">
        <n x="108"/>
        <n x="0"/>
        <n x="7"/>
        <n x="1337" s="1"/>
      </t>
    </mdx>
    <mdx n="33" f="v">
      <t c="4">
        <n x="412"/>
        <n x="11"/>
        <n x="7"/>
        <n x="1337" s="1"/>
      </t>
    </mdx>
    <mdx n="33" f="v">
      <t c="4" si="10">
        <n x="845"/>
        <n x="12"/>
        <n x="32"/>
        <n x="1337" s="1"/>
      </t>
    </mdx>
    <mdx n="33" f="v">
      <t c="4">
        <n x="835"/>
        <n x="12"/>
        <n x="32"/>
        <n x="1337" s="1"/>
      </t>
    </mdx>
    <mdx n="33" f="v">
      <t c="4">
        <n x="1026"/>
        <n x="0"/>
        <n x="32"/>
        <n x="1337" s="1"/>
      </t>
    </mdx>
    <mdx n="33" f="v">
      <t c="4">
        <n x="363"/>
        <n x="14"/>
        <n x="7"/>
        <n x="1337" s="1"/>
      </t>
    </mdx>
    <mdx n="33" f="v">
      <t c="4">
        <n x="908"/>
        <n x="11"/>
        <n x="7"/>
        <n x="1337" s="1"/>
      </t>
    </mdx>
    <mdx n="33" f="v">
      <t c="4">
        <n x="1171"/>
        <n x="12"/>
        <n x="7"/>
        <n x="1337" s="1"/>
      </t>
    </mdx>
    <mdx n="33" f="v">
      <t c="4">
        <n x="549"/>
        <n x="11"/>
        <n x="7"/>
        <n x="1337" s="1"/>
      </t>
    </mdx>
    <mdx n="33" f="v">
      <t c="4">
        <n x="403"/>
        <n x="11"/>
        <n x="7"/>
        <n x="1337" s="1"/>
      </t>
    </mdx>
    <mdx n="33" f="v">
      <t c="4">
        <n x="377"/>
        <n x="11"/>
        <n x="32"/>
        <n x="1337" s="1"/>
      </t>
    </mdx>
    <mdx n="33" f="v">
      <t c="4" si="10">
        <n x="958"/>
        <n x="14"/>
        <n x="32"/>
        <n x="1337" s="1"/>
      </t>
    </mdx>
    <mdx n="33" f="v">
      <t c="4">
        <n x="1022"/>
        <n x="11"/>
        <n x="7"/>
        <n x="1337" s="1"/>
      </t>
    </mdx>
    <mdx n="33" f="v">
      <t c="4">
        <n x="180"/>
        <n x="11"/>
        <n x="7"/>
        <n x="1337" s="1"/>
      </t>
    </mdx>
    <mdx n="33" f="v">
      <t c="4">
        <n x="461"/>
        <n x="1"/>
        <n x="7"/>
        <n x="1337" s="1"/>
      </t>
    </mdx>
    <mdx n="33" f="v">
      <t c="4" si="10">
        <n x="980"/>
        <n x="11"/>
        <n x="32"/>
        <n x="1337" s="1"/>
      </t>
    </mdx>
    <mdx n="33" f="v">
      <t c="4">
        <n x="288"/>
        <n x="11"/>
        <n x="32"/>
        <n x="1337" s="1"/>
      </t>
    </mdx>
    <mdx n="33" f="v">
      <t c="4">
        <n x="1147"/>
        <n x="12"/>
        <n x="32"/>
        <n x="1337" s="1"/>
      </t>
    </mdx>
    <mdx n="33" f="v">
      <t c="4" si="10">
        <n x="588"/>
        <n x="12"/>
        <n x="32"/>
        <n x="1337" s="1"/>
      </t>
    </mdx>
    <mdx n="33" f="v">
      <t c="4">
        <n x="311"/>
        <n x="12"/>
        <n x="32"/>
        <n x="1337" s="1"/>
      </t>
    </mdx>
    <mdx n="33" f="v">
      <t c="4">
        <n x="742"/>
        <n x="11"/>
        <n x="7"/>
        <n x="1337" s="1"/>
      </t>
    </mdx>
    <mdx n="33" f="v">
      <t c="4" si="10">
        <n x="908"/>
        <n x="14"/>
        <n x="32"/>
        <n x="1337" s="1"/>
      </t>
    </mdx>
    <mdx n="33" f="v">
      <t c="4" si="10">
        <n x="1065"/>
        <n x="1"/>
        <n x="32"/>
        <n x="1337" s="1"/>
      </t>
    </mdx>
    <mdx n="33" f="v">
      <t c="4" si="9">
        <n x="508"/>
        <n x="14"/>
        <n x="7"/>
        <n x="1337" s="1"/>
      </t>
    </mdx>
    <mdx n="33" f="v">
      <t c="4">
        <n x="1020"/>
        <n x="11"/>
        <n x="7"/>
        <n x="1337" s="1"/>
      </t>
    </mdx>
    <mdx n="33" f="v">
      <t c="4">
        <n x="382"/>
        <n x="11"/>
        <n x="7"/>
        <n x="1337" s="1"/>
      </t>
    </mdx>
    <mdx n="33" f="v">
      <t c="4">
        <n x="154"/>
        <n x="11"/>
        <n x="7"/>
        <n x="1337" s="1"/>
      </t>
    </mdx>
    <mdx n="33" f="v">
      <t c="4">
        <n x="613"/>
        <n x="1"/>
        <n x="7"/>
        <n x="1337" s="1"/>
      </t>
    </mdx>
    <mdx n="33" f="v">
      <t c="4">
        <n x="355"/>
        <n x="1"/>
        <n x="7"/>
        <n x="1337" s="1"/>
      </t>
    </mdx>
    <mdx n="33" f="v">
      <t c="4" si="10">
        <n x="1067"/>
        <n x="11"/>
        <n x="32"/>
        <n x="1337" s="1"/>
      </t>
    </mdx>
    <mdx n="33" f="v">
      <t c="4">
        <n x="476"/>
        <n x="11"/>
        <n x="32"/>
        <n x="1337" s="1"/>
      </t>
    </mdx>
    <mdx n="33" f="v">
      <t c="4">
        <n x="159"/>
        <n x="11"/>
        <n x="32"/>
        <n x="1337" s="1"/>
      </t>
    </mdx>
    <mdx n="33" f="v">
      <t c="4" si="10">
        <n x="1134"/>
        <n x="12"/>
        <n x="32"/>
        <n x="1337" s="1"/>
      </t>
    </mdx>
    <mdx n="33" f="v">
      <t c="4" si="10">
        <n x="575"/>
        <n x="12"/>
        <n x="32"/>
        <n x="1337" s="1"/>
      </t>
    </mdx>
    <mdx n="33" f="v">
      <t c="4">
        <n x="262"/>
        <n x="12"/>
        <n x="32"/>
        <n x="1337" s="1"/>
      </t>
    </mdx>
    <mdx n="33" f="v">
      <t c="4" si="10">
        <n x="1120"/>
        <n x="14"/>
        <n x="32"/>
        <n x="1337" s="1"/>
      </t>
    </mdx>
    <mdx n="33" f="v">
      <t c="4" si="10">
        <n x="528"/>
        <n x="14"/>
        <n x="32"/>
        <n x="1337" s="1"/>
      </t>
    </mdx>
    <mdx n="33" f="v">
      <t c="4">
        <n x="206"/>
        <n x="14"/>
        <n x="32"/>
        <n x="1337" s="1"/>
      </t>
    </mdx>
    <mdx n="33" f="v">
      <t c="3">
        <n x="884"/>
        <n x="1336"/>
        <n x="1337" s="1"/>
      </t>
    </mdx>
    <mdx n="33" f="v">
      <t c="4">
        <n x="470"/>
        <n x="11"/>
        <n x="7"/>
        <n x="1337" s="1"/>
      </t>
    </mdx>
    <mdx n="33" f="v">
      <t c="4">
        <n x="101"/>
        <n x="1"/>
        <n x="7"/>
        <n x="1337" s="1"/>
      </t>
    </mdx>
    <mdx n="33" f="v">
      <t c="4">
        <n x="957"/>
        <n x="12"/>
        <n x="32"/>
        <n x="1337" s="1"/>
      </t>
    </mdx>
    <mdx n="33" f="v">
      <t c="4" si="10">
        <n x="605"/>
        <n x="14"/>
        <n x="32"/>
        <n x="1337" s="1"/>
      </t>
    </mdx>
    <mdx n="33" f="v">
      <t c="4">
        <n x="249"/>
        <n x="12"/>
        <n x="32"/>
        <n x="1337" s="1"/>
      </t>
    </mdx>
    <mdx n="33" f="v">
      <t c="4">
        <n x="552"/>
        <n x="14"/>
        <n x="32"/>
        <n x="1337" s="1"/>
      </t>
    </mdx>
    <mdx n="33" f="v">
      <t c="4" si="9">
        <n x="848"/>
        <n x="12"/>
        <n x="7"/>
        <n x="1337" s="1"/>
      </t>
    </mdx>
    <mdx n="33" f="v">
      <t c="4">
        <n x="584"/>
        <n x="1"/>
        <n x="7"/>
        <n x="1337" s="1"/>
      </t>
    </mdx>
    <mdx n="33" f="v">
      <t c="4">
        <n x="333"/>
        <n x="12"/>
        <n x="32"/>
        <n x="1337" s="1"/>
      </t>
    </mdx>
    <mdx n="33" f="v">
      <t c="4">
        <n x="102"/>
        <n x="14"/>
        <n x="32"/>
        <n x="1337" s="1"/>
      </t>
    </mdx>
    <mdx n="33" f="v">
      <t c="4">
        <n x="1256"/>
        <n x="0"/>
        <n x="7"/>
        <n x="1337" s="1"/>
      </t>
    </mdx>
    <mdx n="33" f="v">
      <t c="4">
        <n x="184"/>
        <n x="11"/>
        <n x="32"/>
        <n x="1337" s="1"/>
      </t>
    </mdx>
    <mdx n="33" f="v">
      <t c="4">
        <n x="820"/>
        <n x="0"/>
        <n x="7"/>
        <n x="1337" s="1"/>
      </t>
    </mdx>
    <mdx n="33" f="v">
      <t c="4">
        <n x="965"/>
        <n x="1"/>
        <n x="7"/>
        <n x="1337" s="1"/>
      </t>
    </mdx>
    <mdx n="33" f="v">
      <t c="4">
        <n x="435"/>
        <n x="12"/>
        <n x="32"/>
        <n x="1337" s="1"/>
      </t>
    </mdx>
    <mdx n="33" f="v">
      <t c="4">
        <n x="138"/>
        <n x="14"/>
        <n x="32"/>
        <n x="1337" s="1"/>
      </t>
    </mdx>
    <mdx n="33" f="v">
      <t c="4">
        <n x="1267"/>
        <n x="0"/>
        <n x="7"/>
        <n x="1337" s="1"/>
      </t>
    </mdx>
    <mdx n="33" f="v">
      <t c="4">
        <n x="977"/>
        <n x="12"/>
        <n x="32"/>
        <n x="1337" s="1"/>
      </t>
    </mdx>
    <mdx n="33" f="v">
      <t c="4" si="10">
        <n x="904"/>
        <n x="14"/>
        <n x="32"/>
        <n x="1337" s="1"/>
      </t>
    </mdx>
    <mdx n="33" f="v">
      <t c="4">
        <n x="736"/>
        <n x="12"/>
        <n x="32"/>
        <n x="1337" s="1"/>
      </t>
    </mdx>
    <mdx n="33" f="v">
      <t c="4" si="9">
        <n x="680"/>
        <n x="12"/>
        <n x="7"/>
        <n x="1337" s="1"/>
      </t>
    </mdx>
    <mdx n="33" f="v">
      <t c="4" si="10">
        <n x="1090"/>
        <n x="0"/>
        <n x="32"/>
        <n x="1337" s="1"/>
      </t>
    </mdx>
    <mdx n="33" f="v">
      <t c="4" si="9">
        <n x="849"/>
        <n x="14"/>
        <n x="7"/>
        <n x="1337" s="1"/>
      </t>
    </mdx>
    <mdx n="33" f="v">
      <t c="4">
        <n x="1066"/>
        <n x="12"/>
        <n x="7"/>
        <n x="1337" s="1"/>
      </t>
    </mdx>
    <mdx n="33" f="v">
      <t c="4">
        <n x="897"/>
        <n x="1"/>
        <n x="7"/>
        <n x="1337" s="1"/>
      </t>
    </mdx>
    <mdx n="33" f="v">
      <t c="4">
        <n x="450"/>
        <n x="1"/>
        <n x="7"/>
        <n x="1337" s="1"/>
      </t>
    </mdx>
    <mdx n="33" f="v">
      <t c="4">
        <n x="213"/>
        <n x="12"/>
        <n x="32"/>
        <n x="1337" s="1"/>
      </t>
    </mdx>
    <mdx n="33" f="v">
      <t c="4">
        <n x="535"/>
        <n x="11"/>
        <n x="7"/>
        <n x="1337" s="1"/>
      </t>
    </mdx>
    <mdx n="33" f="v">
      <t c="4">
        <n x="1035"/>
        <n x="1"/>
        <n x="7"/>
        <n x="1337" s="1"/>
      </t>
    </mdx>
    <mdx n="33" f="v">
      <t c="4" si="10">
        <n x="1088"/>
        <n x="11"/>
        <n x="32"/>
        <n x="1337" s="1"/>
      </t>
    </mdx>
    <mdx n="33" f="v">
      <t c="4">
        <n x="133"/>
        <n x="11"/>
        <n x="32"/>
        <n x="1337" s="1"/>
      </t>
    </mdx>
    <mdx n="33" f="v">
      <t c="4" si="10">
        <n x="1031"/>
        <n x="12"/>
        <n x="32"/>
        <n x="1337" s="1"/>
      </t>
    </mdx>
    <mdx n="33" f="v">
      <t c="4">
        <n x="375"/>
        <n x="12"/>
        <n x="32"/>
        <n x="1337" s="1"/>
      </t>
    </mdx>
    <mdx n="33" f="v">
      <t c="4" si="10">
        <n x="834"/>
        <n x="0"/>
        <n x="32"/>
        <n x="1337" s="1"/>
      </t>
    </mdx>
    <mdx n="33" f="v">
      <t c="4">
        <n x="963"/>
        <n x="12"/>
        <n x="7"/>
        <n x="1337" s="1"/>
      </t>
    </mdx>
    <mdx n="33" f="v">
      <t c="4">
        <n x="1080"/>
        <n x="14"/>
        <n x="7"/>
        <n x="1337" s="1"/>
      </t>
    </mdx>
    <mdx n="33" f="v">
      <t c="4">
        <n x="619"/>
        <n x="11"/>
        <n x="7"/>
        <n x="1337" s="1"/>
      </t>
    </mdx>
    <mdx n="33" f="v">
      <t c="4">
        <n x="285"/>
        <n x="11"/>
        <n x="7"/>
        <n x="1337" s="1"/>
      </t>
    </mdx>
    <mdx n="33" f="v">
      <t c="4">
        <n x="1014"/>
        <n x="1"/>
        <n x="7"/>
        <n x="1337" s="1"/>
      </t>
    </mdx>
    <mdx n="33" f="v">
      <t c="4">
        <n x="294"/>
        <n x="1"/>
        <n x="7"/>
        <n x="1337" s="1"/>
      </t>
    </mdx>
    <mdx n="33" f="v">
      <t c="4">
        <n x="604"/>
        <n x="11"/>
        <n x="32"/>
        <n x="1337" s="1"/>
      </t>
    </mdx>
    <mdx n="33" f="v">
      <t c="4">
        <n x="287"/>
        <n x="11"/>
        <n x="32"/>
        <n x="1337" s="1"/>
      </t>
    </mdx>
    <mdx n="33" f="v">
      <t c="4">
        <n x="1082"/>
        <n x="12"/>
        <n x="32"/>
        <n x="1337" s="1"/>
      </t>
    </mdx>
    <mdx n="33" f="v">
      <t c="4" si="10">
        <n x="460"/>
        <n x="12"/>
        <n x="32"/>
        <n x="1337" s="1"/>
      </t>
    </mdx>
    <mdx n="33" f="v">
      <t c="4">
        <n x="63"/>
        <n x="12"/>
        <n x="32"/>
        <n x="1337" s="1"/>
      </t>
    </mdx>
    <mdx n="33" f="v">
      <t c="4" si="10">
        <n x="463"/>
        <n x="14"/>
        <n x="32"/>
        <n x="1337" s="1"/>
      </t>
    </mdx>
    <mdx n="33" f="v">
      <t c="4" si="10">
        <n x="951"/>
        <n x="1"/>
        <n x="32"/>
        <n x="1337" s="1"/>
      </t>
    </mdx>
    <mdx n="33" f="v">
      <t c="4">
        <n x="1120"/>
        <n x="11"/>
        <n x="7"/>
        <n x="1337" s="1"/>
      </t>
    </mdx>
    <mdx n="33" f="v">
      <t c="4">
        <n x="543"/>
        <n x="11"/>
        <n x="32"/>
        <n x="1337" s="1"/>
      </t>
    </mdx>
    <mdx n="33" f="v">
      <t c="4">
        <n x="103"/>
        <n x="12"/>
        <n x="32"/>
        <n x="1337" s="1"/>
      </t>
    </mdx>
    <mdx n="33" f="v">
      <t c="4">
        <n x="347"/>
        <n x="14"/>
        <n x="32"/>
        <n x="1337" s="1"/>
      </t>
    </mdx>
    <mdx n="33" f="v">
      <t c="4">
        <n x="91"/>
        <n x="1"/>
        <n x="32"/>
        <n x="1337" s="1"/>
      </t>
    </mdx>
    <mdx n="33" f="v">
      <t c="4" si="9">
        <n x="1296"/>
        <n x="0"/>
        <n x="7"/>
        <n x="1337" s="1"/>
      </t>
    </mdx>
    <mdx n="33" f="v">
      <t c="4">
        <n x="131"/>
        <n x="0"/>
        <n x="7"/>
        <n x="1337" s="1"/>
      </t>
    </mdx>
    <mdx n="33" f="v">
      <t c="4">
        <n x="430"/>
        <n x="12"/>
        <n x="32"/>
        <n x="1337" s="1"/>
      </t>
    </mdx>
    <mdx n="33" f="v">
      <t c="3">
        <n x="1333"/>
        <n x="1336"/>
        <n x="1337" s="1"/>
      </t>
    </mdx>
    <mdx n="33" f="v">
      <t c="4" si="10">
        <n x="891"/>
        <n x="11"/>
        <n x="32"/>
        <n x="1337" s="1"/>
      </t>
    </mdx>
    <mdx n="33" f="v">
      <t c="4">
        <n x="390"/>
        <n x="11"/>
        <n x="7"/>
        <n x="1337" s="1"/>
      </t>
    </mdx>
    <mdx n="33" f="v">
      <t c="4">
        <n x="1114"/>
        <n x="11"/>
        <n x="32"/>
        <n x="1337" s="1"/>
      </t>
    </mdx>
    <mdx n="33" f="v">
      <t c="4">
        <n x="398"/>
        <n x="12"/>
        <n x="32"/>
        <n x="1337" s="1"/>
      </t>
    </mdx>
    <mdx n="33" f="v">
      <t c="4" si="10">
        <n x="598"/>
        <n x="14"/>
        <n x="32"/>
        <n x="1337" s="1"/>
      </t>
    </mdx>
    <mdx n="33" f="v">
      <t c="4">
        <n x="167"/>
        <n x="14"/>
        <n x="32"/>
        <n x="1337" s="1"/>
      </t>
    </mdx>
    <mdx n="33" f="v">
      <t c="3">
        <n x="784"/>
        <n x="1336"/>
        <n x="1337" s="1"/>
      </t>
    </mdx>
    <mdx n="33" f="v">
      <t c="4">
        <n x="1227"/>
        <n x="0"/>
        <n x="7"/>
        <n x="1337" s="1"/>
      </t>
    </mdx>
    <mdx n="33" f="v">
      <t c="4">
        <n x="1085"/>
        <n x="1"/>
        <n x="7"/>
        <n x="1337" s="1"/>
      </t>
    </mdx>
    <mdx n="33" f="v">
      <t c="4" si="10">
        <n x="466"/>
        <n x="14"/>
        <n x="32"/>
        <n x="1337" s="1"/>
      </t>
    </mdx>
    <mdx n="33" f="v">
      <t c="4" si="9">
        <n x="1129"/>
        <n x="0"/>
        <n x="7"/>
        <n x="1337" s="1"/>
      </t>
    </mdx>
    <mdx n="33" f="v">
      <t c="4">
        <n x="996"/>
        <n x="14"/>
        <n x="7"/>
        <n x="1337" s="1"/>
      </t>
    </mdx>
    <mdx n="33" f="v">
      <t c="4">
        <n x="993"/>
        <n x="1"/>
        <n x="7"/>
        <n x="1337" s="1"/>
      </t>
    </mdx>
    <mdx n="33" f="v">
      <t c="4">
        <n x="200"/>
        <n x="11"/>
        <n x="32"/>
        <n x="1337" s="1"/>
      </t>
    </mdx>
    <mdx n="33" f="v">
      <t c="4">
        <n x="67"/>
        <n x="12"/>
        <n x="32"/>
        <n x="1337" s="1"/>
      </t>
    </mdx>
    <mdx n="33" f="v">
      <t c="4">
        <n x="425"/>
        <n x="14"/>
        <n x="32"/>
        <n x="1337" s="1"/>
      </t>
    </mdx>
    <mdx n="33" f="v">
      <t c="4">
        <n x="155"/>
        <n x="1"/>
        <n x="32"/>
        <n x="1337" s="1"/>
      </t>
    </mdx>
    <mdx n="33" f="v">
      <t c="3">
        <n x="88"/>
        <n x="1336"/>
        <n x="1337" s="1"/>
      </t>
    </mdx>
    <mdx n="33" f="v">
      <t c="4">
        <n x="782"/>
        <n x="0"/>
        <n x="7"/>
        <n x="1337" s="1"/>
      </t>
    </mdx>
    <mdx n="33" f="v">
      <t c="4">
        <n x="957"/>
        <n x="1"/>
        <n x="32"/>
        <n x="1337" s="1"/>
      </t>
    </mdx>
    <mdx n="33" f="v">
      <t c="4">
        <n x="260"/>
        <n x="11"/>
        <n x="7"/>
        <n x="1337" s="1"/>
      </t>
    </mdx>
    <mdx n="33" f="v">
      <t c="4">
        <n x="615"/>
        <n x="14"/>
        <n x="32"/>
        <n x="1337" s="1"/>
      </t>
    </mdx>
    <mdx n="33" f="v">
      <t c="4">
        <n x="1229"/>
        <n x="0"/>
        <n x="7"/>
        <n x="1337" s="1"/>
      </t>
    </mdx>
    <mdx n="33" f="v">
      <t c="4">
        <n x="915"/>
        <n x="14"/>
        <n x="7"/>
        <n x="1337" s="1"/>
      </t>
    </mdx>
    <mdx n="33" f="v">
      <t c="4" si="9">
        <n x="958"/>
        <n x="0"/>
        <n x="7"/>
        <n x="1337" s="1"/>
      </t>
    </mdx>
    <mdx n="33" f="v">
      <t c="4">
        <n x="761"/>
        <n x="0"/>
        <n x="7"/>
        <n x="1337" s="1"/>
      </t>
    </mdx>
    <mdx n="33" f="v">
      <t c="4">
        <n x="1075"/>
        <n x="0"/>
        <n x="7"/>
        <n x="1337" s="1"/>
      </t>
    </mdx>
    <mdx n="33" f="v">
      <t c="4">
        <n x="915"/>
        <n x="12"/>
        <n x="7"/>
        <n x="1337" s="1"/>
      </t>
    </mdx>
    <mdx n="33" f="v">
      <t c="4">
        <n x="1049"/>
        <n x="11"/>
        <n x="32"/>
        <n x="1337" s="1"/>
      </t>
    </mdx>
    <mdx n="33" f="v">
      <t c="4">
        <n x="916"/>
        <n x="14"/>
        <n x="7"/>
        <n x="1337" s="1"/>
      </t>
    </mdx>
    <mdx n="33" f="v">
      <t c="4">
        <n x="250"/>
        <n x="11"/>
        <n x="7"/>
        <n x="1337" s="1"/>
      </t>
    </mdx>
    <mdx n="33" f="v">
      <t c="4">
        <n x="340"/>
        <n x="1"/>
        <n x="7"/>
        <n x="1337" s="1"/>
      </t>
    </mdx>
    <mdx n="33" f="v">
      <t c="4">
        <n x="292"/>
        <n x="11"/>
        <n x="32"/>
        <n x="1337" s="1"/>
      </t>
    </mdx>
    <mdx n="33" f="v">
      <t c="4" si="10">
        <n x="592"/>
        <n x="12"/>
        <n x="32"/>
        <n x="1337" s="1"/>
      </t>
    </mdx>
    <mdx n="33" f="v">
      <t c="4">
        <n x="737"/>
        <n x="0"/>
        <n x="32"/>
        <n x="1337" s="1"/>
      </t>
    </mdx>
    <mdx n="33" f="v">
      <t c="3">
        <n x="1062"/>
        <n x="1336"/>
        <n x="1337" s="1"/>
      </t>
    </mdx>
    <mdx n="33" f="v">
      <t c="4">
        <n x="1026"/>
        <n x="11"/>
        <n x="7"/>
        <n x="1337" s="1"/>
      </t>
    </mdx>
    <mdx n="33" f="v">
      <t c="4">
        <n x="136"/>
        <n x="11"/>
        <n x="7"/>
        <n x="1337" s="1"/>
      </t>
    </mdx>
    <mdx n="33" f="v">
      <t c="4">
        <n x="327"/>
        <n x="1"/>
        <n x="7"/>
        <n x="1337" s="1"/>
      </t>
    </mdx>
    <mdx n="33" f="v">
      <t c="4">
        <n x="383"/>
        <n x="11"/>
        <n x="32"/>
        <n x="1337" s="1"/>
      </t>
    </mdx>
    <mdx n="33" f="v">
      <t c="4">
        <n x="99"/>
        <n x="12"/>
        <n x="32"/>
        <n x="1337" s="1"/>
      </t>
    </mdx>
    <mdx n="33" f="v">
      <t c="4">
        <n x="353"/>
        <n x="14"/>
        <n x="32"/>
        <n x="1337" s="1"/>
      </t>
    </mdx>
    <mdx n="33" f="v">
      <t c="4">
        <n x="440"/>
        <n x="12"/>
        <n x="32"/>
        <n x="1337" s="1"/>
      </t>
    </mdx>
    <mdx n="33" f="v">
      <t c="4" si="9">
        <n x="1310"/>
        <n x="0"/>
        <n x="7"/>
        <n x="1337" s="1"/>
      </t>
    </mdx>
    <mdx n="33" f="v">
      <t c="4" si="10">
        <n x="993"/>
        <n x="12"/>
        <n x="32"/>
        <n x="1337" s="1"/>
      </t>
    </mdx>
    <mdx n="33" f="v">
      <t c="4">
        <n x="824"/>
        <n x="0"/>
        <n x="32"/>
        <n x="1337" s="1"/>
      </t>
    </mdx>
    <mdx n="33" f="v">
      <t c="4">
        <n x="916"/>
        <n x="12"/>
        <n x="7"/>
        <n x="1337" s="1"/>
      </t>
    </mdx>
    <mdx n="33" f="v">
      <t c="4">
        <n x="332"/>
        <n x="11"/>
        <n x="7"/>
        <n x="1337" s="1"/>
      </t>
    </mdx>
    <mdx n="33" f="v">
      <t c="4">
        <n x="556"/>
        <n x="11"/>
        <n x="7"/>
        <n x="1337" s="1"/>
      </t>
    </mdx>
    <mdx n="33" f="v">
      <t c="4" si="10">
        <n x="493"/>
        <n x="11"/>
        <n x="32"/>
        <n x="1337" s="1"/>
      </t>
    </mdx>
    <mdx n="33" f="v">
      <t c="4" si="10">
        <n x="515"/>
        <n x="0"/>
        <n x="32"/>
        <n x="1337" s="1"/>
      </t>
    </mdx>
    <mdx n="33" f="v">
      <t c="4">
        <n x="1106"/>
        <n x="11"/>
        <n x="7"/>
        <n x="1337" s="1"/>
      </t>
    </mdx>
    <mdx n="33" f="v">
      <t c="4">
        <n x="383"/>
        <n x="1"/>
        <n x="7"/>
        <n x="1337" s="1"/>
      </t>
    </mdx>
    <mdx n="33" f="v">
      <t c="4" si="10">
        <n x="1162"/>
        <n x="12"/>
        <n x="32"/>
        <n x="1337" s="1"/>
      </t>
    </mdx>
    <mdx n="33" f="v">
      <t c="4" si="10">
        <n x="524"/>
        <n x="14"/>
        <n x="32"/>
        <n x="1337" s="1"/>
      </t>
    </mdx>
    <mdx n="33" f="v">
      <t c="4">
        <n x="990"/>
        <n x="11"/>
        <n x="32"/>
        <n x="1337" s="1"/>
      </t>
    </mdx>
    <mdx n="33" f="v">
      <t c="3">
        <n x="117"/>
        <n x="1336"/>
        <n x="1337" s="1"/>
      </t>
    </mdx>
    <mdx n="33" f="v">
      <t c="4">
        <n x="950"/>
        <n x="0"/>
        <n x="7"/>
        <n x="1337" s="1"/>
      </t>
    </mdx>
    <mdx n="33" f="v">
      <t c="4">
        <n x="130"/>
        <n x="12"/>
        <n x="32"/>
        <n x="1337" s="1"/>
      </t>
    </mdx>
    <mdx n="33" f="v">
      <t c="4" si="9">
        <n x="1127"/>
        <n x="0"/>
        <n x="7"/>
        <n x="1337" s="1"/>
      </t>
    </mdx>
    <mdx n="33" f="v">
      <t c="4">
        <n x="258"/>
        <n x="11"/>
        <n x="7"/>
        <n x="1337" s="1"/>
      </t>
    </mdx>
    <mdx n="33" f="v">
      <t c="4" si="10">
        <n x="1001"/>
        <n x="14"/>
        <n x="32"/>
        <n x="1337" s="1"/>
      </t>
    </mdx>
    <mdx n="33" f="v">
      <t c="4">
        <n x="1326"/>
        <n x="0"/>
        <n x="7"/>
        <n x="1337" s="1"/>
      </t>
    </mdx>
    <mdx n="33" f="v">
      <t c="4">
        <n x="373"/>
        <n x="11"/>
        <n x="7"/>
        <n x="1337" s="1"/>
      </t>
    </mdx>
    <mdx n="33" f="v">
      <t c="4">
        <n x="547"/>
        <n x="1"/>
        <n x="32"/>
        <n x="1337" s="1"/>
      </t>
    </mdx>
    <mdx n="33" f="v">
      <t c="4" si="10">
        <n x="772"/>
        <n x="14"/>
        <n x="32"/>
        <n x="1337" s="1"/>
      </t>
    </mdx>
    <mdx n="33" f="v">
      <t c="4" si="10">
        <n x="1127"/>
        <n x="0"/>
        <n x="32"/>
        <n x="1337" s="1"/>
      </t>
    </mdx>
    <mdx n="33" f="v">
      <t c="4" si="10">
        <n x="895"/>
        <n x="12"/>
        <n x="32"/>
        <n x="1337" s="1"/>
      </t>
    </mdx>
    <mdx n="33" f="v">
      <t c="4">
        <n x="965"/>
        <n x="14"/>
        <n x="7"/>
        <n x="1337" s="1"/>
      </t>
    </mdx>
    <mdx n="33" f="v">
      <t c="4">
        <n x="595"/>
        <n x="11"/>
        <n x="7"/>
        <n x="1337" s="1"/>
      </t>
    </mdx>
    <mdx n="33" f="v">
      <t c="4">
        <n x="1064"/>
        <n x="12"/>
        <n x="32"/>
        <n x="1337" s="1"/>
      </t>
    </mdx>
    <mdx n="33" f="v">
      <t c="4">
        <n x="1086"/>
        <n x="11"/>
        <n x="7"/>
        <n x="1337" s="1"/>
      </t>
    </mdx>
    <mdx n="33" f="v">
      <t c="4">
        <n x="1083"/>
        <n x="1"/>
        <n x="7"/>
        <n x="1337" s="1"/>
      </t>
    </mdx>
    <mdx n="33" f="v">
      <t c="4">
        <n x="1028"/>
        <n x="11"/>
        <n x="32"/>
        <n x="1337" s="1"/>
      </t>
    </mdx>
    <mdx n="33" f="v">
      <t c="4">
        <n x="1199"/>
        <n x="12"/>
        <n x="32"/>
        <n x="1337" s="1"/>
      </t>
    </mdx>
    <mdx n="33" f="v">
      <t c="4">
        <n x="363"/>
        <n x="12"/>
        <n x="32"/>
        <n x="1337" s="1"/>
      </t>
    </mdx>
    <mdx n="33" f="v">
      <t c="4">
        <n x="889"/>
        <n x="1"/>
        <n x="7"/>
        <n x="1337" s="1"/>
      </t>
    </mdx>
    <mdx n="33" f="v">
      <t c="4" si="9">
        <n x="1032"/>
        <n x="14"/>
        <n x="7"/>
        <n x="1337" s="1"/>
      </t>
    </mdx>
    <mdx n="33" f="v">
      <t c="4">
        <n x="410"/>
        <n x="11"/>
        <n x="7"/>
        <n x="1337" s="1"/>
      </t>
    </mdx>
    <mdx n="33" f="v">
      <t c="4">
        <n x="1002"/>
        <n x="1"/>
        <n x="7"/>
        <n x="1337" s="1"/>
      </t>
    </mdx>
    <mdx n="33" f="v">
      <t c="4" si="10">
        <n x="1119"/>
        <n x="11"/>
        <n x="32"/>
        <n x="1337" s="1"/>
      </t>
    </mdx>
    <mdx n="33" f="v">
      <t c="4">
        <n x="175"/>
        <n x="11"/>
        <n x="32"/>
        <n x="1337" s="1"/>
      </t>
    </mdx>
    <mdx n="33" f="v">
      <t c="4">
        <n x="418"/>
        <n x="12"/>
        <n x="32"/>
        <n x="1337" s="1"/>
      </t>
    </mdx>
    <mdx n="33" f="v">
      <t c="4">
        <n x="123"/>
        <n x="12"/>
        <n x="32"/>
        <n x="1337" s="1"/>
      </t>
    </mdx>
    <mdx n="33" f="v">
      <t c="4">
        <n x="322"/>
        <n x="14"/>
        <n x="32"/>
        <n x="1337" s="1"/>
      </t>
    </mdx>
    <mdx n="33" f="v">
      <t c="4">
        <n x="1046"/>
        <n x="11"/>
        <n x="7"/>
        <n x="1337" s="1"/>
      </t>
    </mdx>
    <mdx n="33" f="v">
      <t c="4">
        <n x="1153"/>
        <n x="12"/>
        <n x="32"/>
        <n x="1337" s="1"/>
      </t>
    </mdx>
    <mdx n="33" f="v">
      <t c="4">
        <n x="331"/>
        <n x="14"/>
        <n x="32"/>
        <n x="1337" s="1"/>
      </t>
    </mdx>
    <mdx n="33" f="v">
      <t c="4">
        <n x="1284"/>
        <n x="0"/>
        <n x="7"/>
        <n x="1337" s="1"/>
      </t>
    </mdx>
    <mdx n="33" f="v">
      <t c="4" si="10">
        <n x="502"/>
        <n x="12"/>
        <n x="32"/>
        <n x="1337" s="1"/>
      </t>
    </mdx>
    <mdx n="33" f="v">
      <t c="4">
        <n x="908"/>
        <n x="14"/>
        <n x="7"/>
        <n x="1337" s="1"/>
      </t>
    </mdx>
    <mdx n="33" f="v">
      <t c="4" si="10">
        <n x="1066"/>
        <n x="11"/>
        <n x="32"/>
        <n x="1337" s="1"/>
      </t>
    </mdx>
    <mdx n="33" f="v">
      <t c="4" si="10">
        <n x="582"/>
        <n x="14"/>
        <n x="32"/>
        <n x="1337" s="1"/>
      </t>
    </mdx>
    <mdx n="33" f="v">
      <t c="3">
        <n x="786"/>
        <n x="1336"/>
        <n x="1337" s="1"/>
      </t>
    </mdx>
    <mdx n="33" f="v">
      <t c="4">
        <n x="973"/>
        <n x="1"/>
        <n x="7"/>
        <n x="1337" s="1"/>
      </t>
    </mdx>
    <mdx n="33" f="v">
      <t c="4">
        <n x="778"/>
        <n x="0"/>
        <n x="7"/>
        <n x="1337" s="1"/>
      </t>
    </mdx>
    <mdx n="33" f="v">
      <t c="4">
        <n x="1025"/>
        <n x="1"/>
        <n x="7"/>
        <n x="1337" s="1"/>
      </t>
    </mdx>
    <mdx n="33" f="v">
      <t c="4" si="10">
        <n x="1129"/>
        <n x="12"/>
        <n x="32"/>
        <n x="1337" s="1"/>
      </t>
    </mdx>
    <mdx n="33" f="v">
      <t c="4" si="10">
        <n x="549"/>
        <n x="14"/>
        <n x="32"/>
        <n x="1337" s="1"/>
      </t>
    </mdx>
    <mdx n="33" f="v">
      <t c="4">
        <n x="284"/>
        <n x="1"/>
        <n x="32"/>
        <n x="1337" s="1"/>
      </t>
    </mdx>
    <mdx n="33" f="v">
      <t c="4">
        <n x="1278"/>
        <n x="0"/>
        <n x="7"/>
        <n x="1337" s="1"/>
      </t>
    </mdx>
    <mdx n="33" f="v">
      <t c="4">
        <n x="755"/>
        <n x="14"/>
        <n x="7"/>
        <n x="1337" s="1"/>
      </t>
    </mdx>
    <mdx n="33" f="v">
      <t c="4">
        <n x="292"/>
        <n x="11"/>
        <n x="7"/>
        <n x="1337" s="1"/>
      </t>
    </mdx>
    <mdx n="33" f="v">
      <t c="4">
        <n x="178"/>
        <n x="14"/>
        <n x="32"/>
        <n x="1337" s="1"/>
      </t>
    </mdx>
    <mdx n="33" f="v">
      <t c="4">
        <n x="758"/>
        <n x="1"/>
        <n x="7"/>
        <n x="1337" s="1"/>
      </t>
    </mdx>
    <mdx n="33" f="v">
      <t c="4" si="10">
        <n x="857"/>
        <n x="11"/>
        <n x="32"/>
        <n x="1337" s="1"/>
      </t>
    </mdx>
    <mdx n="33" f="v">
      <t c="4">
        <n x="1271"/>
        <n x="0"/>
        <n x="32"/>
        <n x="1337" s="1"/>
      </t>
    </mdx>
    <mdx n="33" f="v">
      <t c="4">
        <n x="921"/>
        <n x="14"/>
        <n x="7"/>
        <n x="1337" s="1"/>
      </t>
    </mdx>
    <mdx n="33" f="v">
      <t c="4">
        <n x="338"/>
        <n x="14"/>
        <n x="7"/>
        <n x="1337" s="1"/>
      </t>
    </mdx>
    <mdx n="33" f="v">
      <t c="4">
        <n x="299"/>
        <n x="11"/>
        <n x="7"/>
        <n x="1337" s="1"/>
      </t>
    </mdx>
    <mdx n="33" f="v">
      <t c="4">
        <n x="431"/>
        <n x="12"/>
        <n x="32"/>
        <n x="1337" s="1"/>
      </t>
    </mdx>
    <mdx n="33" f="v">
      <t c="4" si="9">
        <n x="958"/>
        <n x="11"/>
        <n x="7"/>
        <n x="1337" s="1"/>
      </t>
    </mdx>
    <mdx n="33" f="v">
      <t c="4">
        <n x="987"/>
        <n x="1"/>
        <n x="7"/>
        <n x="1337" s="1"/>
      </t>
    </mdx>
    <mdx n="33" f="v">
      <t c="4">
        <n x="597"/>
        <n x="11"/>
        <n x="32"/>
        <n x="1337" s="1"/>
      </t>
    </mdx>
    <mdx n="33" f="v">
      <t c="4" si="10">
        <n x="1127"/>
        <n x="12"/>
        <n x="32"/>
        <n x="1337" s="1"/>
      </t>
    </mdx>
    <mdx n="33" f="v">
      <t c="4">
        <n x="234"/>
        <n x="12"/>
        <n x="32"/>
        <n x="1337" s="1"/>
      </t>
    </mdx>
    <mdx n="33" f="v">
      <t c="4">
        <n x="915"/>
        <n x="11"/>
        <n x="7"/>
        <n x="1337" s="1"/>
      </t>
    </mdx>
    <mdx n="33" f="v">
      <t c="4" si="9">
        <n x="463"/>
        <n x="14"/>
        <n x="7"/>
        <n x="1337" s="1"/>
      </t>
    </mdx>
    <mdx n="33" f="v">
      <t c="4">
        <n x="362"/>
        <n x="11"/>
        <n x="7"/>
        <n x="1337" s="1"/>
      </t>
    </mdx>
    <mdx n="33" f="v">
      <t c="4">
        <n x="593"/>
        <n x="1"/>
        <n x="7"/>
        <n x="1337" s="1"/>
      </t>
    </mdx>
    <mdx n="33" f="v">
      <t c="4">
        <n x="1047"/>
        <n x="11"/>
        <n x="32"/>
        <n x="1337" s="1"/>
      </t>
    </mdx>
    <mdx n="33" f="v">
      <t c="4">
        <n x="136"/>
        <n x="11"/>
        <n x="32"/>
        <n x="1337" s="1"/>
      </t>
    </mdx>
    <mdx n="33" f="v">
      <t c="4" si="10">
        <n x="555"/>
        <n x="12"/>
        <n x="32"/>
        <n x="1337" s="1"/>
      </t>
    </mdx>
    <mdx n="33" f="v">
      <t c="4">
        <n x="1100"/>
        <n x="14"/>
        <n x="32"/>
        <n x="1337" s="1"/>
      </t>
    </mdx>
    <mdx n="33" f="v">
      <t c="4">
        <n x="208"/>
        <n x="14"/>
        <n x="32"/>
        <n x="1337" s="1"/>
      </t>
    </mdx>
    <mdx n="33" f="v">
      <t c="4">
        <n x="369"/>
        <n x="11"/>
        <n x="7"/>
        <n x="1337" s="1"/>
      </t>
    </mdx>
    <mdx n="33" f="v">
      <t c="4" si="10">
        <n x="562"/>
        <n x="12"/>
        <n x="32"/>
        <n x="1337" s="1"/>
      </t>
    </mdx>
    <mdx n="33" f="v">
      <t c="4">
        <n x="213"/>
        <n x="14"/>
        <n x="32"/>
        <n x="1337" s="1"/>
      </t>
    </mdx>
    <mdx n="33" f="v">
      <t c="4">
        <n x="1212"/>
        <n x="0"/>
        <n x="7"/>
        <n x="1337" s="1"/>
      </t>
    </mdx>
    <mdx n="33" f="v">
      <t c="4" si="10">
        <n x="967"/>
        <n x="14"/>
        <n x="32"/>
        <n x="1337" s="1"/>
      </t>
    </mdx>
    <mdx n="33" f="v">
      <t c="4">
        <n x="1092"/>
        <n x="0"/>
        <n x="32"/>
        <n x="1337" s="1"/>
      </t>
    </mdx>
    <mdx n="33" f="v">
      <t c="4">
        <n x="443"/>
        <n x="11"/>
        <n x="32"/>
        <n x="1337" s="1"/>
      </t>
    </mdx>
    <mdx n="33" f="v">
      <t c="4" si="10">
        <n x="486"/>
        <n x="14"/>
        <n x="32"/>
        <n x="1337" s="1"/>
      </t>
    </mdx>
    <mdx n="33" f="v">
      <t c="3">
        <n x="138"/>
        <n x="1336"/>
        <n x="1337" s="1"/>
      </t>
    </mdx>
    <mdx n="33" f="v">
      <t c="4">
        <n x="816"/>
        <n x="14"/>
        <n x="32"/>
        <n x="1337" s="1"/>
      </t>
    </mdx>
    <mdx n="33" f="v">
      <t c="4">
        <n x="405"/>
        <n x="14"/>
        <n x="7"/>
        <n x="1337" s="1"/>
      </t>
    </mdx>
    <mdx n="33" f="v">
      <t c="4">
        <n x="283"/>
        <n x="14"/>
        <n x="7"/>
        <n x="1337" s="1"/>
      </t>
    </mdx>
    <mdx n="33" f="v">
      <t c="4">
        <n x="820"/>
        <n x="1"/>
        <n x="7"/>
        <n x="1337" s="1"/>
      </t>
    </mdx>
    <mdx n="33" f="v">
      <t c="4">
        <n x="61"/>
        <n x="14"/>
        <n x="7"/>
        <n x="1337" s="1"/>
      </t>
    </mdx>
    <mdx n="33" f="v">
      <t c="4">
        <n x="885"/>
        <n x="12"/>
        <n x="7"/>
        <n x="1337" s="1"/>
      </t>
    </mdx>
    <mdx n="33" f="v">
      <t c="4">
        <n x="868"/>
        <n x="11"/>
        <n x="32"/>
        <n x="1337" s="1"/>
      </t>
    </mdx>
    <mdx n="33" f="v">
      <t c="4" si="10">
        <n x="1044"/>
        <n x="1"/>
        <n x="32"/>
        <n x="1337" s="1"/>
      </t>
    </mdx>
    <mdx n="33" f="v">
      <t c="4">
        <n x="230"/>
        <n x="14"/>
        <n x="7"/>
        <n x="1337" s="1"/>
      </t>
    </mdx>
    <mdx n="33" f="v">
      <t c="4">
        <n x="335"/>
        <n x="14"/>
        <n x="7"/>
        <n x="1337" s="1"/>
      </t>
    </mdx>
    <mdx n="33" f="v">
      <t c="4">
        <n x="159"/>
        <n x="1"/>
        <n x="7"/>
        <n x="1337" s="1"/>
      </t>
    </mdx>
    <mdx n="33" f="v">
      <t c="4" si="10">
        <n x="585"/>
        <n x="12"/>
        <n x="32"/>
        <n x="1337" s="1"/>
      </t>
    </mdx>
    <mdx n="33" f="v">
      <t c="4" si="10">
        <n x="906"/>
        <n x="12"/>
        <n x="32"/>
        <n x="1337" s="1"/>
      </t>
    </mdx>
    <mdx n="33" f="v">
      <t c="4">
        <n x="748"/>
        <n x="0"/>
        <n x="7"/>
        <n x="1337" s="1"/>
      </t>
    </mdx>
    <mdx n="33" f="v">
      <t c="4">
        <n x="901"/>
        <n x="0"/>
        <n x="7"/>
        <n x="1337" s="1"/>
      </t>
    </mdx>
    <mdx n="33" f="v">
      <t c="3">
        <n x="837"/>
        <n x="1336"/>
        <n x="1337" s="1"/>
      </t>
    </mdx>
    <mdx n="33" f="v">
      <t c="4">
        <n x="952"/>
        <n x="14"/>
        <n x="7"/>
        <n x="1337" s="1"/>
      </t>
    </mdx>
    <mdx n="33" f="v">
      <t c="4">
        <n x="1203"/>
        <n x="0"/>
        <n x="32"/>
        <n x="1337" s="1"/>
      </t>
    </mdx>
    <mdx n="33" f="v">
      <t c="4">
        <n x="746"/>
        <n x="11"/>
        <n x="7"/>
        <n x="1337" s="1"/>
      </t>
    </mdx>
    <mdx n="33" f="v">
      <t c="4" si="10">
        <n x="909"/>
        <n x="14"/>
        <n x="32"/>
        <n x="1337" s="1"/>
      </t>
    </mdx>
    <mdx n="33" f="v">
      <t c="4">
        <n x="1067"/>
        <n x="0"/>
        <n x="7"/>
        <n x="1337" s="1"/>
      </t>
    </mdx>
    <mdx n="33" f="v">
      <t c="4">
        <n x="497"/>
        <n x="14"/>
        <n x="7"/>
        <n x="1337" s="1"/>
      </t>
    </mdx>
    <mdx n="33" f="v">
      <t c="4">
        <n x="900"/>
        <n x="14"/>
        <n x="32"/>
        <n x="1337" s="1"/>
      </t>
    </mdx>
    <mdx n="33" f="v">
      <t c="4">
        <n x="456"/>
        <n x="11"/>
        <n x="7"/>
        <n x="1337" s="1"/>
      </t>
    </mdx>
    <mdx n="33" f="v">
      <t c="4">
        <n x="1089"/>
        <n x="11"/>
        <n x="32"/>
        <n x="1337" s="1"/>
      </t>
    </mdx>
    <mdx n="33" f="v">
      <t c="4" si="10">
        <n x="597"/>
        <n x="12"/>
        <n x="32"/>
        <n x="1337" s="1"/>
      </t>
    </mdx>
    <mdx n="33" f="v">
      <t c="4">
        <n x="902"/>
        <n x="0"/>
        <n x="7"/>
        <n x="1337" s="1"/>
      </t>
    </mdx>
    <mdx n="33" f="v">
      <t c="4" si="10">
        <n x="807"/>
        <n x="0"/>
        <n x="32"/>
        <n x="1337" s="1"/>
      </t>
    </mdx>
    <mdx n="33" f="v">
      <t c="4">
        <n x="914"/>
        <n x="11"/>
        <n x="32"/>
        <n x="1337" s="1"/>
      </t>
    </mdx>
    <mdx n="33" f="v">
      <t c="4" si="10">
        <n x="843"/>
        <n x="0"/>
        <n x="32"/>
        <n x="1337" s="1"/>
      </t>
    </mdx>
    <mdx n="33" f="v">
      <t c="4" si="10">
        <n x="958"/>
        <n x="0"/>
        <n x="32"/>
        <n x="1337" s="1"/>
      </t>
    </mdx>
    <mdx n="33" f="v">
      <t c="4" si="10">
        <n x="1221"/>
        <n x="0"/>
        <n x="32"/>
        <n x="1337" s="1"/>
      </t>
    </mdx>
    <mdx n="33" f="v">
      <t c="4" si="9">
        <n x="759"/>
        <n x="14"/>
        <n x="7"/>
        <n x="1337" s="1"/>
      </t>
    </mdx>
    <mdx n="33" f="v">
      <t c="4">
        <n x="912"/>
        <n x="11"/>
        <n x="7"/>
        <n x="1337" s="1"/>
      </t>
    </mdx>
    <mdx n="33" f="v">
      <t c="4">
        <n x="1075"/>
        <n x="0"/>
        <n x="32"/>
        <n x="1337" s="1"/>
      </t>
    </mdx>
    <mdx n="33" f="v">
      <t c="4">
        <n x="429"/>
        <n x="14"/>
        <n x="7"/>
        <n x="1337" s="1"/>
      </t>
    </mdx>
    <mdx n="33" f="v">
      <t c="4">
        <n x="913"/>
        <n x="1"/>
        <n x="7"/>
        <n x="1337" s="1"/>
      </t>
    </mdx>
    <mdx n="33" f="v">
      <t c="4">
        <n x="368"/>
        <n x="11"/>
        <n x="7"/>
        <n x="1337" s="1"/>
      </t>
    </mdx>
    <mdx n="33" f="v">
      <t c="4">
        <n x="1053"/>
        <n x="11"/>
        <n x="32"/>
        <n x="1337" s="1"/>
      </t>
    </mdx>
    <mdx n="33" f="v">
      <t c="4" si="10">
        <n x="561"/>
        <n x="12"/>
        <n x="32"/>
        <n x="1337" s="1"/>
      </t>
    </mdx>
    <mdx n="33" f="v">
      <t c="4">
        <n x="915"/>
        <n x="11"/>
        <n x="32"/>
        <n x="1337" s="1"/>
      </t>
    </mdx>
    <mdx n="33" f="v">
      <t c="4">
        <n x="363"/>
        <n x="11"/>
        <n x="7"/>
        <n x="1337" s="1"/>
      </t>
    </mdx>
    <mdx n="33" f="v">
      <t c="4">
        <n x="1048"/>
        <n x="11"/>
        <n x="32"/>
        <n x="1337" s="1"/>
      </t>
    </mdx>
    <mdx n="33" f="v">
      <t c="4">
        <n x="1017"/>
        <n x="0"/>
        <n x="7"/>
        <n x="1337" s="1"/>
      </t>
    </mdx>
    <mdx n="33" f="v">
      <t c="4">
        <n x="830"/>
        <n x="0"/>
        <n x="7"/>
        <n x="1337" s="1"/>
      </t>
    </mdx>
    <mdx n="33" f="v">
      <t c="4">
        <n x="1016"/>
        <n x="0"/>
        <n x="32"/>
        <n x="1337" s="1"/>
      </t>
    </mdx>
    <mdx n="33" f="v">
      <t c="4" si="10">
        <n x="1020"/>
        <n x="0"/>
        <n x="32"/>
        <n x="1337" s="1"/>
      </t>
    </mdx>
    <mdx n="33" f="v">
      <t c="4">
        <n x="283"/>
        <n x="1"/>
        <n x="7"/>
        <n x="1337" s="1"/>
      </t>
    </mdx>
    <mdx n="33" f="v">
      <t c="4">
        <n x="548"/>
        <n x="12"/>
        <n x="32"/>
        <n x="1337" s="1"/>
      </t>
    </mdx>
    <mdx n="33" f="v">
      <t c="4">
        <n x="1097"/>
        <n x="1"/>
        <n x="32"/>
        <n x="1337" s="1"/>
      </t>
    </mdx>
    <mdx n="33" f="v">
      <t c="4">
        <n x="117"/>
        <n x="11"/>
        <n x="7"/>
        <n x="1337" s="1"/>
      </t>
    </mdx>
    <mdx n="33" f="v">
      <t c="4">
        <n x="532"/>
        <n x="11"/>
        <n x="32"/>
        <n x="1337" s="1"/>
      </t>
    </mdx>
    <mdx n="33" f="v">
      <t c="4">
        <n x="132"/>
        <n x="11"/>
        <n x="32"/>
        <n x="1337" s="1"/>
      </t>
    </mdx>
    <mdx n="33" f="v">
      <t c="4" si="10">
        <n x="1042"/>
        <n x="12"/>
        <n x="32"/>
        <n x="1337" s="1"/>
      </t>
    </mdx>
    <mdx n="33" f="v">
      <t c="4" si="10">
        <n x="354"/>
        <n x="12"/>
        <n x="32"/>
        <n x="1337" s="1"/>
      </t>
    </mdx>
    <mdx n="33" f="v">
      <t c="4" si="10">
        <n x="1096"/>
        <n x="14"/>
        <n x="32"/>
        <n x="1337" s="1"/>
      </t>
    </mdx>
    <mdx n="33" f="v">
      <t c="4">
        <n x="423"/>
        <n x="14"/>
        <n x="32"/>
        <n x="1337" s="1"/>
      </t>
    </mdx>
    <mdx n="33" f="v">
      <t c="4" si="10">
        <n x="690"/>
        <n x="1"/>
        <n x="32"/>
        <n x="1337" s="1"/>
      </t>
    </mdx>
    <mdx n="33" f="v">
      <t c="4">
        <n x="353"/>
        <n x="11"/>
        <n x="7"/>
        <n x="1337" s="1"/>
      </t>
    </mdx>
    <mdx n="33" f="v">
      <t c="4">
        <n x="382"/>
        <n x="11"/>
        <n x="32"/>
        <n x="1337" s="1"/>
      </t>
    </mdx>
    <mdx n="33" f="v">
      <t c="4" si="10">
        <n x="1053"/>
        <n x="14"/>
        <n x="32"/>
        <n x="1337" s="1"/>
      </t>
    </mdx>
    <mdx n="33" f="v">
      <t c="4">
        <n x="189"/>
        <n x="14"/>
        <n x="32"/>
        <n x="1337" s="1"/>
      </t>
    </mdx>
    <mdx n="33" f="v">
      <t c="3">
        <n x="106"/>
        <n x="1336"/>
        <n x="1337" s="1"/>
      </t>
    </mdx>
    <mdx n="33" f="v">
      <t c="4">
        <n x="128"/>
        <n x="0"/>
        <n x="7"/>
        <n x="1337" s="1"/>
      </t>
    </mdx>
    <mdx n="33" f="v">
      <t c="4">
        <n x="607"/>
        <n x="14"/>
        <n x="32"/>
        <n x="1337" s="1"/>
      </t>
    </mdx>
    <mdx n="33" f="v">
      <t c="4">
        <n x="125"/>
        <n x="0"/>
        <n x="7"/>
        <n x="1337" s="1"/>
      </t>
    </mdx>
    <mdx n="33" f="v">
      <t c="4">
        <n x="428"/>
        <n x="11"/>
        <n x="7"/>
        <n x="1337" s="1"/>
      </t>
    </mdx>
    <mdx n="33" f="v">
      <t c="4">
        <n x="427"/>
        <n x="11"/>
        <n x="32"/>
        <n x="1337" s="1"/>
      </t>
    </mdx>
    <mdx n="33" f="v">
      <t c="4" si="10">
        <n x="1107"/>
        <n x="14"/>
        <n x="32"/>
        <n x="1337" s="1"/>
      </t>
    </mdx>
    <mdx n="33" f="v">
      <t c="4">
        <n x="184"/>
        <n x="14"/>
        <n x="32"/>
        <n x="1337" s="1"/>
      </t>
    </mdx>
    <mdx n="33" f="v">
      <t c="3">
        <n x="131"/>
        <n x="1336"/>
        <n x="1337" s="1"/>
      </t>
    </mdx>
    <mdx n="33" f="v">
      <t c="4">
        <n x="109"/>
        <n x="0"/>
        <n x="7"/>
        <n x="1337" s="1"/>
      </t>
    </mdx>
    <mdx n="33" f="v">
      <t c="4">
        <n x="434"/>
        <n x="14"/>
        <n x="32"/>
        <n x="1337" s="1"/>
      </t>
    </mdx>
    <mdx n="33" f="v">
      <t c="3">
        <n x="826"/>
        <n x="1336"/>
        <n x="1337" s="1"/>
      </t>
    </mdx>
    <mdx n="33" f="v">
      <t c="4">
        <n x="296"/>
        <n x="11"/>
        <n x="7"/>
        <n x="1337" s="1"/>
      </t>
    </mdx>
    <mdx n="33" f="v">
      <t c="4" si="9">
        <n x="851"/>
        <n x="1"/>
        <n x="7"/>
        <n x="1337" s="1"/>
      </t>
    </mdx>
    <mdx n="33" f="v">
      <t c="4" si="10">
        <n x="863"/>
        <n x="1"/>
        <n x="32"/>
        <n x="1337" s="1"/>
      </t>
    </mdx>
    <mdx n="33" f="v">
      <t c="4" si="10">
        <n x="1051"/>
        <n x="1"/>
        <n x="32"/>
        <n x="1337" s="1"/>
      </t>
    </mdx>
    <mdx n="33" f="v">
      <t c="4">
        <n x="697"/>
        <n x="0"/>
        <n x="7"/>
        <n x="1337" s="1"/>
      </t>
    </mdx>
    <mdx n="33" f="v">
      <t c="4">
        <n x="926"/>
        <n x="1"/>
        <n x="32"/>
        <n x="1337" s="1"/>
      </t>
    </mdx>
    <mdx n="33" f="v">
      <t c="4">
        <n x="1235"/>
        <n x="12"/>
        <n x="7"/>
        <n x="1337" s="1"/>
      </t>
    </mdx>
    <mdx n="33" f="v">
      <t c="4" si="10">
        <n x="850"/>
        <n x="14"/>
        <n x="32"/>
        <n x="1337" s="1"/>
      </t>
    </mdx>
    <mdx n="33" f="v">
      <t c="4">
        <n x="224"/>
        <n x="11"/>
        <n x="7"/>
        <n x="1337" s="1"/>
      </t>
    </mdx>
    <mdx n="33" f="v">
      <t c="4">
        <n x="213"/>
        <n x="11"/>
        <n x="32"/>
        <n x="1337" s="1"/>
      </t>
    </mdx>
    <mdx n="33" f="v">
      <t c="4">
        <n x="852"/>
        <n x="14"/>
        <n x="7"/>
        <n x="1337" s="1"/>
      </t>
    </mdx>
    <mdx n="33" f="v">
      <t c="4">
        <n x="389"/>
        <n x="11"/>
        <n x="7"/>
        <n x="1337" s="1"/>
      </t>
    </mdx>
    <mdx n="33" f="v">
      <t c="4">
        <n x="61"/>
        <n x="11"/>
        <n x="7"/>
        <n x="1337" s="1"/>
      </t>
    </mdx>
    <mdx n="33" f="v">
      <t c="4">
        <n x="397"/>
        <n x="1"/>
        <n x="7"/>
        <n x="1337" s="1"/>
      </t>
    </mdx>
    <mdx n="33" f="v">
      <t c="4">
        <n x="581"/>
        <n x="11"/>
        <n x="32"/>
        <n x="1337" s="1"/>
      </t>
    </mdx>
    <mdx n="33" f="v">
      <t c="4">
        <n x="177"/>
        <n x="11"/>
        <n x="32"/>
        <n x="1337" s="1"/>
      </t>
    </mdx>
    <mdx n="33" f="v">
      <t c="4" si="10">
        <n x="1322"/>
        <n x="12"/>
        <n x="32"/>
        <n x="1337" s="1"/>
      </t>
    </mdx>
    <mdx n="33" f="v">
      <t c="4">
        <n x="556"/>
        <n x="12"/>
        <n x="32"/>
        <n x="1337" s="1"/>
      </t>
    </mdx>
    <mdx n="33" f="v">
      <t c="4">
        <n x="255"/>
        <n x="12"/>
        <n x="32"/>
        <n x="1337" s="1"/>
      </t>
    </mdx>
    <mdx n="33" f="v">
      <t c="4">
        <n x="795"/>
        <n x="1"/>
        <n x="7"/>
        <n x="1337" s="1"/>
      </t>
    </mdx>
    <mdx n="33" f="v">
      <t c="3">
        <n x="920"/>
        <n x="1336"/>
        <n x="1337" s="1"/>
      </t>
    </mdx>
    <mdx n="33" f="v">
      <t c="4">
        <n x="1091"/>
        <n x="12"/>
        <n x="7"/>
        <n x="1337" s="1"/>
      </t>
    </mdx>
    <mdx n="33" f="v">
      <t c="4">
        <n x="357"/>
        <n x="14"/>
        <n x="7"/>
        <n x="1337" s="1"/>
      </t>
    </mdx>
    <mdx n="33" f="v">
      <t c="4">
        <n x="978"/>
        <n x="11"/>
        <n x="7"/>
        <n x="1337" s="1"/>
      </t>
    </mdx>
    <mdx n="33" f="v">
      <t c="4">
        <n x="350"/>
        <n x="11"/>
        <n x="7"/>
        <n x="1337" s="1"/>
      </t>
    </mdx>
    <mdx n="33" f="v">
      <t c="4">
        <n x="125"/>
        <n x="11"/>
        <n x="7"/>
        <n x="1337" s="1"/>
      </t>
    </mdx>
    <mdx n="33" f="v">
      <t c="4" si="9">
        <n x="581"/>
        <n x="1"/>
        <n x="7"/>
        <n x="1337" s="1"/>
      </t>
    </mdx>
    <mdx n="33" f="v">
      <t c="4">
        <n x="323"/>
        <n x="1"/>
        <n x="7"/>
        <n x="1337" s="1"/>
      </t>
    </mdx>
    <mdx n="33" f="v">
      <t c="4">
        <n x="1035"/>
        <n x="11"/>
        <n x="32"/>
        <n x="1337" s="1"/>
      </t>
    </mdx>
    <mdx n="33" f="v">
      <t c="4">
        <n x="444"/>
        <n x="11"/>
        <n x="32"/>
        <n x="1337" s="1"/>
      </t>
    </mdx>
    <mdx n="33" f="v">
      <t c="4">
        <n x="124"/>
        <n x="11"/>
        <n x="32"/>
        <n x="1337" s="1"/>
      </t>
    </mdx>
    <mdx n="33" f="v">
      <t c="4">
        <n x="1114"/>
        <n x="12"/>
        <n x="32"/>
        <n x="1337" s="1"/>
      </t>
    </mdx>
    <mdx n="33" f="v">
      <t c="4">
        <n x="543"/>
        <n x="12"/>
        <n x="32"/>
        <n x="1337" s="1"/>
      </t>
    </mdx>
    <mdx n="33" f="v">
      <t c="4">
        <n x="298"/>
        <n x="12"/>
        <n x="32"/>
        <n x="1337" s="1"/>
      </t>
    </mdx>
    <mdx n="33" f="v">
      <t c="4" si="10">
        <n x="1088"/>
        <n x="14"/>
        <n x="32"/>
        <n x="1337" s="1"/>
      </t>
    </mdx>
    <mdx n="33" f="v">
      <t c="4">
        <n x="496"/>
        <n x="14"/>
        <n x="32"/>
        <n x="1337" s="1"/>
      </t>
    </mdx>
    <mdx n="33" f="v">
      <t c="4">
        <n x="160"/>
        <n x="14"/>
        <n x="32"/>
        <n x="1337" s="1"/>
      </t>
    </mdx>
    <mdx n="33" f="v">
      <t c="4" si="10">
        <n x="930"/>
        <n x="12"/>
        <n x="32"/>
        <n x="1337" s="1"/>
      </t>
    </mdx>
    <mdx n="33" f="v">
      <t c="4">
        <n x="321"/>
        <n x="11"/>
        <n x="7"/>
        <n x="1337" s="1"/>
      </t>
    </mdx>
    <mdx n="33" f="v">
      <t c="4">
        <n x="1006"/>
        <n x="11"/>
        <n x="32"/>
        <n x="1337" s="1"/>
      </t>
    </mdx>
    <mdx n="33" f="v">
      <t c="4" si="10">
        <n x="514"/>
        <n x="12"/>
        <n x="32"/>
        <n x="1337" s="1"/>
      </t>
    </mdx>
    <mdx n="33" f="v">
      <t c="4" si="10">
        <n x="562"/>
        <n x="14"/>
        <n x="32"/>
        <n x="1337" s="1"/>
      </t>
    </mdx>
    <mdx n="33" f="v">
      <t c="4">
        <n x="158"/>
        <n x="14"/>
        <n x="32"/>
        <n x="1337" s="1"/>
      </t>
    </mdx>
    <mdx n="33" f="v">
      <t c="3">
        <n x="293"/>
        <n x="1336"/>
        <n x="1337" s="1"/>
      </t>
    </mdx>
    <mdx n="33" f="v">
      <t c="4">
        <n x="1200"/>
        <n x="0"/>
        <n x="7"/>
        <n x="1337" s="1"/>
      </t>
    </mdx>
    <mdx n="33" f="v">
      <t c="4">
        <n x="96"/>
        <n x="0"/>
        <n x="7"/>
        <n x="1337" s="1"/>
      </t>
    </mdx>
    <mdx n="33" f="v">
      <t c="4" si="10">
        <n x="574"/>
        <n x="14"/>
        <n x="32"/>
        <n x="1337" s="1"/>
      </t>
    </mdx>
    <mdx n="33" f="v">
      <t c="4">
        <n x="1221"/>
        <n x="0"/>
        <n x="7"/>
        <n x="1337" s="1"/>
      </t>
    </mdx>
    <mdx n="33" f="v">
      <t c="4" si="10">
        <n x="1140"/>
        <n x="0"/>
        <n x="32"/>
        <n x="1337" s="1"/>
      </t>
    </mdx>
    <mdx n="33" f="v">
      <t c="4">
        <n x="1330"/>
        <n x="1"/>
        <n x="7"/>
        <n x="1337" s="1"/>
      </t>
    </mdx>
    <mdx n="33" f="v">
      <t c="4">
        <n x="395"/>
        <n x="11"/>
        <n x="32"/>
        <n x="1337" s="1"/>
      </t>
    </mdx>
    <mdx n="33" f="v">
      <t c="4">
        <n x="142"/>
        <n x="12"/>
        <n x="32"/>
        <n x="1337" s="1"/>
      </t>
    </mdx>
    <mdx n="33" f="v">
      <t c="4">
        <n x="469"/>
        <n x="14"/>
        <n x="32"/>
        <n x="1337" s="1"/>
      </t>
    </mdx>
    <mdx n="33" f="v">
      <t c="4">
        <n x="779"/>
        <n x="1"/>
        <n x="32"/>
        <n x="1337" s="1"/>
      </t>
    </mdx>
    <mdx n="33" f="v">
      <t c="3">
        <n x="93"/>
        <n x="1336"/>
        <n x="1337" s="1"/>
      </t>
    </mdx>
    <mdx n="33" f="v">
      <t c="4">
        <n x="1131"/>
        <n x="0"/>
        <n x="7"/>
        <n x="1337" s="1"/>
      </t>
    </mdx>
    <mdx n="33" f="v">
      <t c="4">
        <n x="171"/>
        <n x="11"/>
        <n x="32"/>
        <n x="1337" s="1"/>
      </t>
    </mdx>
    <mdx n="33" f="v">
      <t c="4">
        <n x="283"/>
        <n x="1"/>
        <n x="32"/>
        <n x="1337" s="1"/>
      </t>
    </mdx>
    <mdx n="33" f="v">
      <t c="3">
        <n x="844"/>
        <n x="1336"/>
        <n x="1337" s="1"/>
      </t>
    </mdx>
    <mdx n="33" f="v">
      <t c="4">
        <n x="591"/>
        <n x="11"/>
        <n x="7"/>
        <n x="1337" s="1"/>
      </t>
    </mdx>
    <mdx n="33" f="v">
      <t c="4">
        <n x="201"/>
        <n x="1"/>
        <n x="7"/>
        <n x="1337" s="1"/>
      </t>
    </mdx>
    <mdx n="33" f="v">
      <t c="4">
        <n x="1061"/>
        <n x="12"/>
        <n x="32"/>
        <n x="1337" s="1"/>
      </t>
    </mdx>
    <mdx n="33" f="v">
      <t c="4" si="10">
        <n x="993"/>
        <n x="14"/>
        <n x="32"/>
        <n x="1337" s="1"/>
      </t>
    </mdx>
    <mdx n="33" f="v">
      <t c="4">
        <n x="194"/>
        <n x="14"/>
        <n x="32"/>
        <n x="1337" s="1"/>
      </t>
    </mdx>
    <mdx n="33" f="v">
      <t c="4">
        <n x="57"/>
        <n x="1"/>
        <n x="32"/>
        <n x="1337" s="1"/>
      </t>
    </mdx>
    <mdx n="33" f="v">
      <t c="4">
        <n x="1258"/>
        <n x="0"/>
        <n x="7"/>
        <n x="1337" s="1"/>
      </t>
    </mdx>
    <mdx n="33" f="v">
      <t c="4">
        <n x="102"/>
        <n x="0"/>
        <n x="7"/>
        <n x="1337" s="1"/>
      </t>
    </mdx>
    <mdx n="33" f="v">
      <t c="4" si="9">
        <n x="536"/>
        <n x="14"/>
        <n x="7"/>
        <n x="1337" s="1"/>
      </t>
    </mdx>
    <mdx n="33" f="v">
      <t c="4">
        <n x="1058"/>
        <n x="11"/>
        <n x="32"/>
        <n x="1337" s="1"/>
      </t>
    </mdx>
    <mdx n="33" f="v">
      <t c="4">
        <n x="152"/>
        <n x="14"/>
        <n x="32"/>
        <n x="1337" s="1"/>
      </t>
    </mdx>
    <mdx n="33" f="v">
      <t c="4" si="10">
        <n x="655"/>
        <n x="12"/>
        <n x="32"/>
        <n x="1337" s="1"/>
      </t>
    </mdx>
    <mdx n="33" f="v">
      <t c="4">
        <n x="740"/>
        <n x="1"/>
        <n x="7"/>
        <n x="1337" s="1"/>
      </t>
    </mdx>
    <mdx n="33" f="v">
      <t c="3">
        <n x="1112"/>
        <n x="1336"/>
        <n x="1337" s="1"/>
      </t>
    </mdx>
    <mdx n="33" f="v">
      <t c="4">
        <n x="889"/>
        <n x="14"/>
        <n x="7"/>
        <n x="1337" s="1"/>
      </t>
    </mdx>
    <mdx n="33" f="v">
      <t c="4">
        <n x="1029"/>
        <n x="14"/>
        <n x="7"/>
        <n x="1337" s="1"/>
      </t>
    </mdx>
    <mdx n="33" f="v">
      <t c="4">
        <n x="996"/>
        <n x="11"/>
        <n x="7"/>
        <n x="1337" s="1"/>
      </t>
    </mdx>
    <mdx n="33" f="v">
      <t c="4">
        <n x="1324"/>
        <n x="12"/>
        <n x="32"/>
        <n x="1337" s="1"/>
      </t>
    </mdx>
    <mdx n="33" f="v">
      <t c="4">
        <n x="1316"/>
        <n x="11"/>
        <n x="7"/>
        <n x="1337" s="1"/>
      </t>
    </mdx>
    <mdx n="33" f="v">
      <t c="4">
        <n x="1103"/>
        <n x="1"/>
        <n x="7"/>
        <n x="1337" s="1"/>
      </t>
    </mdx>
    <mdx n="33" f="v">
      <t c="4" si="10">
        <n x="1052"/>
        <n x="11"/>
        <n x="32"/>
        <n x="1337" s="1"/>
      </t>
    </mdx>
    <mdx n="33" f="v">
      <t c="4">
        <n x="1215"/>
        <n x="12"/>
        <n x="32"/>
        <n x="1337" s="1"/>
      </t>
    </mdx>
    <mdx n="33" f="v">
      <t c="4">
        <n x="379"/>
        <n x="12"/>
        <n x="32"/>
        <n x="1337" s="1"/>
      </t>
    </mdx>
    <mdx n="33" f="v">
      <t c="4" si="9">
        <n x="883"/>
        <n x="11"/>
        <n x="7"/>
        <n x="1337" s="1"/>
      </t>
    </mdx>
    <mdx n="33" f="v">
      <t c="4">
        <n x="1096"/>
        <n x="14"/>
        <n x="7"/>
        <n x="1337" s="1"/>
      </t>
    </mdx>
    <mdx n="33" f="v">
      <t c="4">
        <n x="472"/>
        <n x="11"/>
        <n x="7"/>
        <n x="1337" s="1"/>
      </t>
    </mdx>
    <mdx n="33" f="v">
      <t c="4">
        <n x="1018"/>
        <n x="1"/>
        <n x="7"/>
        <n x="1337" s="1"/>
      </t>
    </mdx>
    <mdx n="33" f="v">
      <t c="4">
        <n x="1103"/>
        <n x="11"/>
        <n x="32"/>
        <n x="1337" s="1"/>
      </t>
    </mdx>
    <mdx n="33" f="v">
      <t c="4" si="10">
        <n x="990"/>
        <n x="12"/>
        <n x="32"/>
        <n x="1337" s="1"/>
      </t>
    </mdx>
    <mdx n="33" f="v">
      <t c="4">
        <n x="131"/>
        <n x="1"/>
        <n x="32"/>
        <n x="1337" s="1"/>
      </t>
    </mdx>
    <mdx n="33" f="v">
      <t c="4">
        <n x="1104"/>
        <n x="11"/>
        <n x="7"/>
        <n x="1337" s="1"/>
      </t>
    </mdx>
    <mdx n="33" f="v">
      <t c="4">
        <n x="420"/>
        <n x="14"/>
        <n x="32"/>
        <n x="1337" s="1"/>
      </t>
    </mdx>
    <mdx n="33" f="v">
      <t c="4">
        <n x="77"/>
        <n x="0"/>
        <n x="7"/>
        <n x="1337" s="1"/>
      </t>
    </mdx>
    <mdx n="33" f="v">
      <t c="4">
        <n x="1293"/>
        <n x="0"/>
        <n x="7"/>
        <n x="1337" s="1"/>
      </t>
    </mdx>
    <mdx n="33" f="v">
      <t c="4">
        <n x="1067"/>
        <n x="1"/>
        <n x="32"/>
        <n x="1337" s="1"/>
      </t>
    </mdx>
    <mdx n="33" f="v">
      <t c="4">
        <n x="1211"/>
        <n x="12"/>
        <n x="7"/>
        <n x="1337" s="1"/>
      </t>
    </mdx>
    <mdx n="33" f="v">
      <t c="4" si="10">
        <n x="1212"/>
        <n x="12"/>
        <n x="32"/>
        <n x="1337" s="1"/>
      </t>
    </mdx>
    <mdx n="33" f="v">
      <t c="4">
        <n x="1051"/>
        <n x="1"/>
        <n x="7"/>
        <n x="1337" s="1"/>
      </t>
    </mdx>
    <mdx n="33" f="v">
      <t c="4" si="10">
        <n x="1143"/>
        <n x="12"/>
        <n x="32"/>
        <n x="1337" s="1"/>
      </t>
    </mdx>
    <mdx n="33" f="v">
      <t c="4">
        <n x="921"/>
        <n x="1"/>
        <n x="7"/>
        <n x="1337" s="1"/>
      </t>
    </mdx>
    <mdx n="33" f="v">
      <t c="4">
        <n x="262"/>
        <n x="11"/>
        <n x="7"/>
        <n x="1337" s="1"/>
      </t>
    </mdx>
    <mdx n="33" f="v">
      <t c="4">
        <n x="600"/>
        <n x="11"/>
        <n x="32"/>
        <n x="1337" s="1"/>
      </t>
    </mdx>
    <mdx n="33" f="v">
      <t c="4">
        <n x="475"/>
        <n x="12"/>
        <n x="32"/>
        <n x="1337" s="1"/>
      </t>
    </mdx>
    <mdx n="33" f="v">
      <t c="4" si="10">
        <n x="948"/>
        <n x="1"/>
        <n x="32"/>
        <n x="1337" s="1"/>
      </t>
    </mdx>
    <mdx n="33" f="v">
      <t c="4" si="10">
        <n x="1061"/>
        <n x="14"/>
        <n x="32"/>
        <n x="1337" s="1"/>
      </t>
    </mdx>
    <mdx n="33" f="v">
      <t c="4">
        <n x="115"/>
        <n x="0"/>
        <n x="7"/>
        <n x="1337" s="1"/>
      </t>
    </mdx>
    <mdx n="33" f="v">
      <t c="4" si="9">
        <n x="575"/>
        <n x="11"/>
        <n x="7"/>
        <n x="1337" s="1"/>
      </t>
    </mdx>
    <mdx n="33" f="v">
      <t c="4" si="10">
        <n x="204"/>
        <n x="14"/>
        <n x="32"/>
        <n x="1337" s="1"/>
      </t>
    </mdx>
    <mdx n="33" f="v">
      <t c="4" si="10">
        <n x="450"/>
        <n x="14"/>
        <n x="32"/>
        <n x="1337" s="1"/>
      </t>
    </mdx>
    <mdx n="33" f="v">
      <t c="4">
        <n x="998"/>
        <n x="11"/>
        <n x="32"/>
        <n x="1337" s="1"/>
      </t>
    </mdx>
    <mdx n="33" f="v">
      <t c="4">
        <n x="328"/>
        <n x="14"/>
        <n x="32"/>
        <n x="1337" s="1"/>
      </t>
    </mdx>
    <mdx n="33" f="v">
      <t c="4">
        <n x="290"/>
        <n x="0"/>
        <n x="7"/>
        <n x="1337" s="1"/>
      </t>
    </mdx>
    <mdx n="33" f="v">
      <t c="4">
        <n x="118"/>
        <n x="12"/>
        <n x="32"/>
        <n x="1337" s="1"/>
      </t>
    </mdx>
    <mdx n="33" f="v">
      <t c="4">
        <n x="816"/>
        <n x="1"/>
        <n x="7"/>
        <n x="1337" s="1"/>
      </t>
    </mdx>
    <mdx n="33" f="v">
      <t c="4">
        <n x="912"/>
        <n x="0"/>
        <n x="7"/>
        <n x="1337" s="1"/>
      </t>
    </mdx>
    <mdx n="33" f="v">
      <t c="4">
        <n x="449"/>
        <n x="14"/>
        <n x="7"/>
        <n x="1337" s="1"/>
      </t>
    </mdx>
    <mdx n="33" f="v">
      <t c="4">
        <n x="986"/>
        <n x="12"/>
        <n x="7"/>
        <n x="1337" s="1"/>
      </t>
    </mdx>
    <mdx n="33" f="v">
      <t c="4">
        <n x="425"/>
        <n x="11"/>
        <n x="7"/>
        <n x="1337" s="1"/>
      </t>
    </mdx>
    <mdx n="33" f="v">
      <t c="4">
        <n x="531"/>
        <n x="1"/>
        <n x="7"/>
        <n x="1337" s="1"/>
      </t>
    </mdx>
    <mdx n="33" f="v">
      <t c="4" si="10">
        <n x="1038"/>
        <n x="14"/>
        <n x="32"/>
        <n x="1337" s="1"/>
      </t>
    </mdx>
    <mdx n="33" f="v">
      <t c="4">
        <n x="398"/>
        <n x="11"/>
        <n x="7"/>
        <n x="1337" s="1"/>
      </t>
    </mdx>
    <mdx n="33" f="v">
      <t c="4">
        <n x="490"/>
        <n x="1"/>
        <n x="7"/>
        <n x="1337" s="1"/>
      </t>
    </mdx>
    <mdx n="33" f="v">
      <t c="4">
        <n x="437"/>
        <n x="11"/>
        <n x="32"/>
        <n x="1337" s="1"/>
      </t>
    </mdx>
    <mdx n="33" f="v">
      <t c="4">
        <n x="1019"/>
        <n x="12"/>
        <n x="32"/>
        <n x="1337" s="1"/>
      </t>
    </mdx>
    <mdx n="33" f="v">
      <t c="4">
        <n x="184"/>
        <n x="12"/>
        <n x="32"/>
        <n x="1337" s="1"/>
      </t>
    </mdx>
    <mdx n="33" f="v">
      <t c="4">
        <n x="972"/>
        <n x="0"/>
        <n x="7"/>
        <n x="1337" s="1"/>
      </t>
    </mdx>
    <mdx n="33" f="v">
      <t c="4">
        <n x="139"/>
        <n x="14"/>
        <n x="7"/>
        <n x="1337" s="1"/>
      </t>
    </mdx>
    <mdx n="33" f="v">
      <t c="4">
        <n x="247"/>
        <n x="11"/>
        <n x="7"/>
        <n x="1337" s="1"/>
      </t>
    </mdx>
    <mdx n="33" f="v">
      <t c="4">
        <n x="473"/>
        <n x="1"/>
        <n x="7"/>
        <n x="1337" s="1"/>
      </t>
    </mdx>
    <mdx n="33" f="v">
      <t c="4">
        <n x="592"/>
        <n x="11"/>
        <n x="32"/>
        <n x="1337" s="1"/>
      </t>
    </mdx>
    <mdx n="33" f="v">
      <t c="4">
        <n x="1250"/>
        <n x="12"/>
        <n x="32"/>
        <n x="1337" s="1"/>
      </t>
    </mdx>
    <mdx n="33" f="v">
      <t c="4">
        <n x="412"/>
        <n x="12"/>
        <n x="32"/>
        <n x="1337" s="1"/>
      </t>
    </mdx>
    <mdx n="33" f="v">
      <t c="4" si="10">
        <n x="980"/>
        <n x="14"/>
        <n x="32"/>
        <n x="1337" s="1"/>
      </t>
    </mdx>
    <mdx n="33" f="v">
      <t c="4" si="10">
        <n x="770"/>
        <n x="1"/>
        <n x="32"/>
        <n x="1337" s="1"/>
      </t>
    </mdx>
    <mdx n="33" f="v">
      <t c="4">
        <n x="969"/>
        <n x="1"/>
        <n x="7"/>
        <n x="1337" s="1"/>
      </t>
    </mdx>
    <mdx n="33" f="v">
      <t c="4">
        <n x="124"/>
        <n x="12"/>
        <n x="32"/>
        <n x="1337" s="1"/>
      </t>
    </mdx>
    <mdx n="33" f="v">
      <t c="4">
        <n x="148"/>
        <n x="1"/>
        <n x="32"/>
        <n x="1337" s="1"/>
      </t>
    </mdx>
    <mdx n="33" f="v">
      <t c="4">
        <n x="779"/>
        <n x="0"/>
        <n x="7"/>
        <n x="1337" s="1"/>
      </t>
    </mdx>
    <mdx n="33" f="v">
      <t c="4">
        <n x="93"/>
        <n x="14"/>
        <n x="32"/>
        <n x="1337" s="1"/>
      </t>
    </mdx>
    <mdx n="33" f="v">
      <t c="4">
        <n x="1019"/>
        <n x="11"/>
        <n x="7"/>
        <n x="1337" s="1"/>
      </t>
    </mdx>
    <mdx n="33" f="v">
      <t c="4" si="10">
        <n x="1133"/>
        <n x="12"/>
        <n x="32"/>
        <n x="1337" s="1"/>
      </t>
    </mdx>
    <mdx n="33" f="v">
      <t c="4">
        <n x="324"/>
        <n x="14"/>
        <n x="32"/>
        <n x="1337" s="1"/>
      </t>
    </mdx>
    <mdx n="33" f="v">
      <t c="4">
        <n x="1279"/>
        <n x="0"/>
        <n x="7"/>
        <n x="1337" s="1"/>
      </t>
    </mdx>
    <mdx n="33" f="v">
      <t c="4">
        <n x="1055"/>
        <n x="14"/>
        <n x="32"/>
        <n x="1337" s="1"/>
      </t>
    </mdx>
    <mdx n="33" f="v">
      <t c="4">
        <n x="1069"/>
        <n x="1"/>
        <n x="32"/>
        <n x="1337" s="1"/>
      </t>
    </mdx>
    <mdx n="33" f="v">
      <t c="4">
        <n x="109"/>
        <n x="1"/>
        <n x="7"/>
        <n x="1337" s="1"/>
      </t>
    </mdx>
    <mdx n="33" f="v">
      <t c="4">
        <n x="242"/>
        <n x="12"/>
        <n x="32"/>
        <n x="1337" s="1"/>
      </t>
    </mdx>
    <mdx n="33" f="v">
      <t c="4">
        <n x="376"/>
        <n x="14"/>
        <n x="32"/>
        <n x="1337" s="1"/>
      </t>
    </mdx>
    <mdx n="33" f="v">
      <t c="3">
        <n x="941"/>
        <n x="1336"/>
        <n x="1337" s="1"/>
      </t>
    </mdx>
    <mdx n="33" f="v">
      <t c="4">
        <n x="1150"/>
        <n x="0"/>
        <n x="7"/>
        <n x="1337" s="1"/>
      </t>
    </mdx>
    <mdx n="33" f="v">
      <t c="4">
        <n x="1072"/>
        <n x="0"/>
        <n x="7"/>
        <n x="1337" s="1"/>
      </t>
    </mdx>
    <mdx n="33" f="v">
      <t c="4">
        <n x="451"/>
        <n x="11"/>
        <n x="32"/>
        <n x="1337" s="1"/>
      </t>
    </mdx>
    <mdx n="33" f="v">
      <t c="3">
        <n x="109"/>
        <n x="1336"/>
        <n x="1337" s="1"/>
      </t>
    </mdx>
    <mdx n="33" f="v">
      <t c="4" si="10">
        <n x="857"/>
        <n x="12"/>
        <n x="32"/>
        <n x="1337" s="1"/>
      </t>
    </mdx>
    <mdx n="33" f="v">
      <t c="4" si="10">
        <n x="938"/>
        <n x="14"/>
        <n x="32"/>
        <n x="1337" s="1"/>
      </t>
    </mdx>
    <mdx n="33" f="v">
      <t c="3">
        <n x="703"/>
        <n x="1336"/>
        <n x="1337" s="1"/>
      </t>
    </mdx>
    <mdx n="33" f="v">
      <t c="4" si="9">
        <n x="1043"/>
        <n x="0"/>
        <n x="7"/>
        <n x="1337" s="1"/>
      </t>
    </mdx>
    <mdx n="33" f="v">
      <t c="4" si="9">
        <n x="856"/>
        <n x="14"/>
        <n x="7"/>
        <n x="1337" s="1"/>
      </t>
    </mdx>
    <mdx n="33" f="v">
      <t c="4">
        <n x="175"/>
        <n x="1"/>
        <n x="7"/>
        <n x="1337" s="1"/>
      </t>
    </mdx>
    <mdx n="33" f="v">
      <t c="4" si="10">
        <n x="858"/>
        <n x="12"/>
        <n x="32"/>
        <n x="1337" s="1"/>
      </t>
    </mdx>
    <mdx n="33" f="v">
      <t c="4">
        <n x="335"/>
        <n x="11"/>
        <n x="7"/>
        <n x="1337" s="1"/>
      </t>
    </mdx>
    <mdx n="33" f="v">
      <t c="4">
        <n x="393"/>
        <n x="1"/>
        <n x="7"/>
        <n x="1337" s="1"/>
      </t>
    </mdx>
    <mdx n="33" f="v">
      <t c="4">
        <n x="340"/>
        <n x="11"/>
        <n x="32"/>
        <n x="1337" s="1"/>
      </t>
    </mdx>
    <mdx n="33" f="v">
      <t c="4">
        <n x="438"/>
        <n x="12"/>
        <n x="32"/>
        <n x="1337" s="1"/>
      </t>
    </mdx>
    <mdx n="33" f="v">
      <t c="4" si="9">
        <n x="665"/>
        <n x="0"/>
        <n x="7"/>
        <n x="1337" s="1"/>
      </t>
    </mdx>
    <mdx n="33" f="v">
      <t c="3">
        <n x="1030"/>
        <n x="1336"/>
        <n x="1337" s="1"/>
      </t>
    </mdx>
    <mdx n="33" f="v">
      <t c="4">
        <n x="1079"/>
        <n x="11"/>
        <n x="7"/>
        <n x="1337" s="1"/>
      </t>
    </mdx>
    <mdx n="33" f="v">
      <t c="4">
        <n x="183"/>
        <n x="11"/>
        <n x="7"/>
        <n x="1337" s="1"/>
      </t>
    </mdx>
    <mdx n="33" f="v">
      <t c="4">
        <n x="400"/>
        <n x="1"/>
        <n x="7"/>
        <n x="1337" s="1"/>
      </t>
    </mdx>
    <mdx n="33" f="v">
      <t c="4">
        <n x="520"/>
        <n x="11"/>
        <n x="32"/>
        <n x="1337" s="1"/>
      </t>
    </mdx>
    <mdx n="33" f="v">
      <t c="4" si="10">
        <n x="1178"/>
        <n x="12"/>
        <n x="32"/>
        <n x="1337" s="1"/>
      </t>
    </mdx>
    <mdx n="33" f="v">
      <t c="4">
        <n x="342"/>
        <n x="12"/>
        <n x="32"/>
        <n x="1337" s="1"/>
      </t>
    </mdx>
    <mdx n="33" f="v">
      <t c="4">
        <n x="572"/>
        <n x="14"/>
        <n x="32"/>
        <n x="1337" s="1"/>
      </t>
    </mdx>
    <mdx n="33" f="v">
      <t c="4">
        <n x="761"/>
        <n x="12"/>
        <n x="32"/>
        <n x="1337" s="1"/>
      </t>
    </mdx>
    <mdx n="33" f="v">
      <t c="4">
        <n x="342"/>
        <n x="1"/>
        <n x="7"/>
        <n x="1337" s="1"/>
      </t>
    </mdx>
    <mdx n="33" f="v">
      <t c="4" si="10">
        <n x="1029"/>
        <n x="14"/>
        <n x="32"/>
        <n x="1337" s="1"/>
      </t>
    </mdx>
    <mdx n="33" f="v">
      <t c="4">
        <n x="50"/>
        <n x="1"/>
        <n x="32"/>
        <n x="1337" s="1"/>
      </t>
    </mdx>
    <mdx n="33" f="v">
      <t c="4">
        <n x="144"/>
        <n x="0"/>
        <n x="7"/>
        <n x="1337" s="1"/>
      </t>
    </mdx>
    <mdx n="33" f="v">
      <t c="3">
        <n x="286"/>
        <n x="1336"/>
        <n x="1337" s="1"/>
      </t>
    </mdx>
    <mdx n="33" f="v">
      <t c="4">
        <n x="349"/>
        <n x="11"/>
        <n x="7"/>
        <n x="1337" s="1"/>
      </t>
    </mdx>
    <mdx n="33" f="v">
      <t c="4" si="10">
        <n x="542"/>
        <n x="12"/>
        <n x="32"/>
        <n x="1337" s="1"/>
      </t>
    </mdx>
    <mdx n="33" f="v">
      <t c="4">
        <n x="185"/>
        <n x="14"/>
        <n x="32"/>
        <n x="1337" s="1"/>
      </t>
    </mdx>
    <mdx n="33" f="v">
      <t c="4">
        <n x="1207"/>
        <n x="0"/>
        <n x="7"/>
        <n x="1337" s="1"/>
      </t>
    </mdx>
    <mdx n="33" f="v">
      <t c="4" si="10">
        <n x="385"/>
        <n x="14"/>
        <n x="32"/>
        <n x="1337" s="1"/>
      </t>
    </mdx>
    <mdx n="33" f="v">
      <t c="4">
        <n x="337"/>
        <n x="14"/>
        <n x="7"/>
        <n x="1337" s="1"/>
      </t>
    </mdx>
    <mdx n="33" f="v">
      <t c="4">
        <n x="615"/>
        <n x="11"/>
        <n x="32"/>
        <n x="1337" s="1"/>
      </t>
    </mdx>
    <mdx n="33" f="v">
      <t c="4">
        <n x="95"/>
        <n x="12"/>
        <n x="32"/>
        <n x="1337" s="1"/>
      </t>
    </mdx>
    <mdx n="33" f="v">
      <t c="4">
        <n x="312"/>
        <n x="14"/>
        <n x="32"/>
        <n x="1337" s="1"/>
      </t>
    </mdx>
    <mdx n="33" f="v">
      <t c="3">
        <n x="217"/>
        <n x="1336"/>
        <n x="1337" s="1"/>
      </t>
    </mdx>
    <mdx n="33" f="v">
      <t c="4">
        <n x="773"/>
        <n x="0"/>
        <n x="7"/>
        <n x="1337" s="1"/>
      </t>
    </mdx>
    <mdx n="33" f="v">
      <t c="4">
        <n x="1044"/>
        <n x="14"/>
        <n x="7"/>
        <n x="1337" s="1"/>
      </t>
    </mdx>
    <mdx n="33" f="v">
      <t c="4">
        <n x="1041"/>
        <n x="12"/>
        <n x="32"/>
        <n x="1337" s="1"/>
      </t>
    </mdx>
    <mdx n="33" f="v">
      <t c="4">
        <n x="1241"/>
        <n x="0"/>
        <n x="7"/>
        <n x="1337" s="1"/>
      </t>
    </mdx>
    <mdx n="33" f="v">
      <t c="4">
        <n x="1138"/>
        <n x="12"/>
        <n x="32"/>
        <n x="1337" s="1"/>
      </t>
    </mdx>
    <mdx n="33" f="v">
      <t c="4">
        <n x="236"/>
        <n x="12"/>
        <n x="32"/>
        <n x="1337" s="1"/>
      </t>
    </mdx>
    <mdx n="33" f="v">
      <t c="4" si="10">
        <n x="467"/>
        <n x="14"/>
        <n x="32"/>
        <n x="1337" s="1"/>
      </t>
    </mdx>
    <mdx n="33" f="v">
      <t c="4">
        <n x="999"/>
        <n x="12"/>
        <n x="7"/>
        <n x="1337" s="1"/>
      </t>
    </mdx>
    <mdx n="33" f="v">
      <t c="4">
        <n x="559"/>
        <n x="11"/>
        <n x="32"/>
        <n x="1337" s="1"/>
      </t>
    </mdx>
    <mdx n="33" f="v">
      <t c="4" si="10">
        <n x="525"/>
        <n x="14"/>
        <n x="32"/>
        <n x="1337" s="1"/>
      </t>
    </mdx>
    <mdx n="33" f="v">
      <t c="3">
        <n x="132"/>
        <n x="1336"/>
        <n x="1337" s="1"/>
      </t>
    </mdx>
    <mdx n="33" f="v">
      <t c="4">
        <n x="330"/>
        <n x="1"/>
        <n x="7"/>
        <n x="1337" s="1"/>
      </t>
    </mdx>
    <mdx n="33" f="v">
      <t c="4" si="10">
        <n x="476"/>
        <n x="1"/>
        <n x="32"/>
        <n x="1337" s="1"/>
      </t>
    </mdx>
    <mdx n="33" f="v">
      <t c="4">
        <n x="411"/>
        <n x="11"/>
        <n x="32"/>
        <n x="1337" s="1"/>
      </t>
    </mdx>
    <mdx n="33" f="v">
      <t c="4" si="10">
        <n x="778"/>
        <n x="1"/>
        <n x="32"/>
        <n x="1337" s="1"/>
      </t>
    </mdx>
    <mdx n="33" f="v">
      <t c="4" si="10">
        <n x="1121"/>
        <n x="12"/>
        <n x="32"/>
        <n x="1337" s="1"/>
      </t>
    </mdx>
    <mdx n="33" f="v">
      <t c="4">
        <n x="438"/>
        <n x="11"/>
        <n x="7"/>
        <n x="1337" s="1"/>
      </t>
    </mdx>
    <mdx n="33" f="v">
      <t c="4">
        <n x="325"/>
        <n x="12"/>
        <n x="32"/>
        <n x="1337" s="1"/>
      </t>
    </mdx>
    <mdx n="33" f="v">
      <t c="4" si="10">
        <n x="940"/>
        <n x="1"/>
        <n x="32"/>
        <n x="1337" s="1"/>
      </t>
    </mdx>
    <mdx n="33" f="v">
      <t c="4">
        <n x="787"/>
        <n x="0"/>
        <n x="7"/>
        <n x="1337" s="1"/>
      </t>
    </mdx>
    <mdx n="33" f="v">
      <t c="4">
        <n x="1069"/>
        <n x="1"/>
        <n x="7"/>
        <n x="1337" s="1"/>
      </t>
    </mdx>
    <mdx n="33" f="v">
      <t c="4">
        <n x="60"/>
        <n x="0"/>
        <n x="7"/>
        <n x="1337" s="1"/>
      </t>
    </mdx>
    <mdx n="33" f="v">
      <t c="3">
        <n x="1016"/>
        <n x="1336"/>
        <n x="1337" s="1"/>
      </t>
    </mdx>
    <mdx n="33" f="v">
      <t c="4">
        <n x="1147"/>
        <n x="12"/>
        <n x="7"/>
        <n x="1337" s="1"/>
      </t>
    </mdx>
    <mdx n="33" f="v">
      <t c="4">
        <n x="1017"/>
        <n x="11"/>
        <n x="32"/>
        <n x="1337" s="1"/>
      </t>
    </mdx>
    <mdx n="33" f="v">
      <t c="4">
        <n x="311"/>
        <n x="11"/>
        <n x="7"/>
        <n x="1337" s="1"/>
      </t>
    </mdx>
    <mdx n="33" f="v">
      <t c="4">
        <n x="405"/>
        <n x="11"/>
        <n x="32"/>
        <n x="1337" s="1"/>
      </t>
    </mdx>
    <mdx n="33" f="v">
      <t c="4">
        <n x="192"/>
        <n x="12"/>
        <n x="32"/>
        <n x="1337" s="1"/>
      </t>
    </mdx>
    <mdx n="33" f="v">
      <t c="4">
        <n x="156"/>
        <n x="14"/>
        <n x="7"/>
        <n x="1337" s="1"/>
      </t>
    </mdx>
    <mdx n="33" f="v">
      <t c="4">
        <n x="545"/>
        <n x="1"/>
        <n x="7"/>
        <n x="1337" s="1"/>
      </t>
    </mdx>
    <mdx n="33" f="v">
      <t c="4">
        <n x="120"/>
        <n x="11"/>
        <n x="32"/>
        <n x="1337" s="1"/>
      </t>
    </mdx>
    <mdx n="33" f="v">
      <t c="4" si="10">
        <n x="1084"/>
        <n x="14"/>
        <n x="32"/>
        <n x="1337" s="1"/>
      </t>
    </mdx>
    <mdx n="33" f="v">
      <t c="4">
        <n x="305"/>
        <n x="11"/>
        <n x="7"/>
        <n x="1337" s="1"/>
      </t>
    </mdx>
    <mdx n="33" f="v">
      <t c="4">
        <n x="301"/>
        <n x="14"/>
        <n x="32"/>
        <n x="1337" s="1"/>
      </t>
    </mdx>
    <mdx n="33" f="v">
      <t c="4">
        <n x="206"/>
        <n x="12"/>
        <n x="32"/>
        <n x="1337" s="1"/>
      </t>
    </mdx>
    <mdx n="33" f="v">
      <t c="4">
        <n x="970"/>
        <n x="11"/>
        <n x="32"/>
        <n x="1337" s="1"/>
      </t>
    </mdx>
    <mdx n="33" f="v">
      <t c="3">
        <n x="130"/>
        <n x="1336"/>
        <n x="1337" s="1"/>
      </t>
    </mdx>
    <mdx n="33" f="v">
      <t c="4">
        <n x="138"/>
        <n x="0"/>
        <n x="7"/>
        <n x="1337" s="1"/>
      </t>
    </mdx>
    <mdx n="33" f="v">
      <t c="4">
        <n x="1145"/>
        <n x="12"/>
        <n x="32"/>
        <n x="1337" s="1"/>
      </t>
    </mdx>
    <mdx n="33" f="v">
      <t c="4">
        <n x="290"/>
        <n x="1"/>
        <n x="32"/>
        <n x="1337" s="1"/>
      </t>
    </mdx>
    <mdx n="33" f="v">
      <t c="4">
        <n x="62"/>
        <n x="0"/>
        <n x="7"/>
        <n x="1337" s="1"/>
      </t>
    </mdx>
    <mdx n="33" f="v">
      <t c="4" si="10">
        <n x="494"/>
        <n x="14"/>
        <n x="32"/>
        <n x="1337" s="1"/>
      </t>
    </mdx>
    <mdx n="33" f="v">
      <t c="4" si="9">
        <n x="544"/>
        <n x="14"/>
        <n x="7"/>
        <n x="1337" s="1"/>
      </t>
    </mdx>
    <mdx n="33" f="v">
      <t c="4">
        <n x="348"/>
        <n x="1"/>
        <n x="7"/>
        <n x="1337" s="1"/>
      </t>
    </mdx>
    <mdx n="33" f="v">
      <t c="4">
        <n x="1159"/>
        <n x="12"/>
        <n x="32"/>
        <n x="1337" s="1"/>
      </t>
    </mdx>
    <mdx n="33" f="v">
      <t c="4">
        <n x="857"/>
        <n x="1"/>
        <n x="7"/>
        <n x="1337" s="1"/>
      </t>
    </mdx>
    <mdx n="33" f="v">
      <t c="4">
        <n x="192"/>
        <n x="14"/>
        <n x="7"/>
        <n x="1337" s="1"/>
      </t>
    </mdx>
    <mdx n="33" f="v">
      <t c="4">
        <n x="1090"/>
        <n x="1"/>
        <n x="7"/>
        <n x="1337" s="1"/>
      </t>
    </mdx>
    <mdx n="33" f="v">
      <t c="4">
        <n x="616"/>
        <n x="11"/>
        <n x="32"/>
        <n x="1337" s="1"/>
      </t>
    </mdx>
    <mdx n="33" f="v">
      <t c="4">
        <n x="423"/>
        <n x="12"/>
        <n x="32"/>
        <n x="1337" s="1"/>
      </t>
    </mdx>
    <mdx n="33" f="v">
      <t c="4" si="10">
        <n x="411"/>
        <n x="14"/>
        <n x="32"/>
        <n x="1337" s="1"/>
      </t>
    </mdx>
    <mdx n="33" f="v">
      <t c="4">
        <n x="150"/>
        <n x="1"/>
        <n x="7"/>
        <n x="1337" s="1"/>
      </t>
    </mdx>
    <mdx n="33" f="v">
      <t c="4">
        <n x="214"/>
        <n x="14"/>
        <n x="32"/>
        <n x="1337" s="1"/>
      </t>
    </mdx>
    <mdx n="33" f="v">
      <t c="4">
        <n x="73"/>
        <n x="0"/>
        <n x="7"/>
        <n x="1337" s="1"/>
      </t>
    </mdx>
    <mdx n="33" f="v">
      <t c="4" si="10">
        <n x="989"/>
        <n x="1"/>
        <n x="32"/>
        <n x="1337" s="1"/>
      </t>
    </mdx>
    <mdx n="33" f="v">
      <t c="4">
        <n x="413"/>
        <n x="12"/>
        <n x="32"/>
        <n x="1337" s="1"/>
      </t>
    </mdx>
    <mdx n="33" f="v">
      <t c="4">
        <n x="1303"/>
        <n x="0"/>
        <n x="7"/>
        <n x="1337" s="1"/>
      </t>
    </mdx>
    <mdx n="33" f="v">
      <t c="3">
        <n x="61"/>
        <n x="1336"/>
        <n x="1337" s="1"/>
      </t>
    </mdx>
    <mdx n="33" f="v">
      <t c="4">
        <n x="535"/>
        <n x="11"/>
        <n x="32"/>
        <n x="1337" s="1"/>
      </t>
    </mdx>
    <mdx n="33" f="v">
      <t c="4">
        <n x="517"/>
        <n x="14"/>
        <n x="32"/>
        <n x="1337" s="1"/>
      </t>
    </mdx>
    <mdx n="33" f="v">
      <t c="3">
        <n x="48"/>
        <n x="1336"/>
        <n x="1337" s="1"/>
      </t>
    </mdx>
    <mdx n="33" f="v">
      <t c="4" si="10">
        <n x="1021"/>
        <n x="1"/>
        <n x="32"/>
        <n x="1337" s="1"/>
      </t>
    </mdx>
    <mdx n="33" f="v">
      <t c="4" si="10">
        <n x="526"/>
        <n x="14"/>
        <n x="32"/>
        <n x="1337" s="1"/>
      </t>
    </mdx>
    <mdx n="33" f="v">
      <t c="4">
        <n x="1298"/>
        <n x="12"/>
        <n x="32"/>
        <n x="1337" s="1"/>
      </t>
    </mdx>
    <mdx n="33" f="v">
      <t c="4">
        <n x="159"/>
        <n x="12"/>
        <n x="32"/>
        <n x="1337" s="1"/>
      </t>
    </mdx>
    <mdx n="33" f="v">
      <t c="4">
        <n x="374"/>
        <n x="14"/>
        <n x="32"/>
        <n x="1337" s="1"/>
      </t>
    </mdx>
    <mdx n="33" f="v">
      <t c="4" si="10">
        <n x="1037"/>
        <n x="1"/>
        <n x="32"/>
        <n x="1337" s="1"/>
      </t>
    </mdx>
    <mdx n="33" f="v">
      <t c="4">
        <n x="194"/>
        <n x="1"/>
        <n x="7"/>
        <n x="1337" s="1"/>
      </t>
    </mdx>
    <mdx n="33" f="v">
      <t c="4" si="10">
        <n x="989"/>
        <n x="14"/>
        <n x="32"/>
        <n x="1337" s="1"/>
      </t>
    </mdx>
    <mdx n="33" f="v">
      <t c="4">
        <n x="116"/>
        <n x="1"/>
        <n x="32"/>
        <n x="1337" s="1"/>
      </t>
    </mdx>
    <mdx n="33" f="v">
      <t c="4">
        <n x="1160"/>
        <n x="0"/>
        <n x="7"/>
        <n x="1337" s="1"/>
      </t>
    </mdx>
    <mdx n="33" f="v">
      <t c="4">
        <n x="424"/>
        <n x="14"/>
        <n x="32"/>
        <n x="1337" s="1"/>
      </t>
    </mdx>
    <mdx n="33" f="v">
      <t c="4">
        <n x="953"/>
        <n x="12"/>
        <n x="7"/>
        <n x="1337" s="1"/>
      </t>
    </mdx>
    <mdx n="33" f="v">
      <t c="4">
        <n x="306"/>
        <n x="1"/>
        <n x="7"/>
        <n x="1337" s="1"/>
      </t>
    </mdx>
    <mdx n="33" f="v">
      <t c="4">
        <n x="1011"/>
        <n x="14"/>
        <n x="32"/>
        <n x="1337" s="1"/>
      </t>
    </mdx>
    <mdx n="33" f="v">
      <t c="4">
        <n x="146"/>
        <n x="1"/>
        <n x="32"/>
        <n x="1337" s="1"/>
      </t>
    </mdx>
    <mdx n="33" f="v">
      <t c="4">
        <n x="1187"/>
        <n x="0"/>
        <n x="7"/>
        <n x="1337" s="1"/>
      </t>
    </mdx>
    <mdx n="33" f="v">
      <t c="4">
        <n x="305"/>
        <n x="14"/>
        <n x="32"/>
        <n x="1337" s="1"/>
      </t>
    </mdx>
    <mdx n="33" f="v">
      <t c="4" si="10">
        <n x="1108"/>
        <n x="0"/>
        <n x="32"/>
        <n x="1337" s="1"/>
      </t>
    </mdx>
    <mdx n="33" f="v">
      <t c="4">
        <n x="723"/>
        <n x="12"/>
        <n x="7"/>
        <n x="1337" s="1"/>
      </t>
    </mdx>
    <mdx n="33" f="v">
      <t c="4">
        <n x="886"/>
        <n x="14"/>
        <n x="32"/>
        <n x="1337" s="1"/>
      </t>
    </mdx>
    <mdx n="33" f="v">
      <t c="4" si="10">
        <n x="1199"/>
        <n x="0"/>
        <n x="32"/>
        <n x="1337" s="1"/>
      </t>
    </mdx>
    <mdx n="33" f="v">
      <t c="4">
        <n x="879"/>
        <n x="12"/>
        <n x="32"/>
        <n x="1337" s="1"/>
      </t>
    </mdx>
    <mdx n="33" f="v">
      <t c="4">
        <n x="1331"/>
        <n x="12"/>
        <n x="7"/>
        <n x="1337" s="1"/>
      </t>
    </mdx>
    <mdx n="33" f="v">
      <t c="4">
        <n x="1174"/>
        <n x="0"/>
        <n x="32"/>
        <n x="1337" s="1"/>
      </t>
    </mdx>
    <mdx n="33" f="v">
      <t c="4">
        <n x="1097"/>
        <n x="11"/>
        <n x="32"/>
        <n x="1337" s="1"/>
      </t>
    </mdx>
    <mdx n="33" f="v">
      <t c="4">
        <n x="899"/>
        <n x="11"/>
        <n x="32"/>
        <n x="1337" s="1"/>
      </t>
    </mdx>
    <mdx n="33" f="v">
      <t c="4">
        <n x="452"/>
        <n x="11"/>
        <n x="7"/>
        <n x="1337" s="1"/>
      </t>
    </mdx>
    <mdx n="33" f="v">
      <t c="4" si="9">
        <n x="570"/>
        <n x="1"/>
        <n x="7"/>
        <n x="1337" s="1"/>
      </t>
    </mdx>
    <mdx n="33" f="v">
      <t c="4">
        <n x="541"/>
        <n x="11"/>
        <n x="32"/>
        <n x="1337" s="1"/>
      </t>
    </mdx>
    <mdx n="33" f="v">
      <t c="4">
        <n x="1283"/>
        <n x="12"/>
        <n x="32"/>
        <n x="1337" s="1"/>
      </t>
    </mdx>
    <mdx n="33" f="v">
      <t c="4" si="10">
        <n x="967"/>
        <n x="12"/>
        <n x="32"/>
        <n x="1337" s="1"/>
      </t>
    </mdx>
    <mdx n="33" f="v">
      <t c="4">
        <n x="272"/>
        <n x="12"/>
        <n x="32"/>
        <n x="1337" s="1"/>
      </t>
    </mdx>
    <mdx n="33" f="v">
      <t c="4" si="10">
        <n x="862"/>
        <n x="0"/>
        <n x="32"/>
        <n x="1337" s="1"/>
      </t>
    </mdx>
    <mdx n="33" f="v">
      <t c="3">
        <n x="1014"/>
        <n x="1336"/>
        <n x="1337" s="1"/>
      </t>
    </mdx>
    <mdx n="33" f="v">
      <t c="4">
        <n x="265"/>
        <n x="14"/>
        <n x="7"/>
        <n x="1337" s="1"/>
      </t>
    </mdx>
    <mdx n="33" f="v">
      <t c="4">
        <n x="534"/>
        <n x="11"/>
        <n x="7"/>
        <n x="1337" s="1"/>
      </t>
    </mdx>
    <mdx n="33" f="v">
      <t c="4">
        <n x="203"/>
        <n x="11"/>
        <n x="7"/>
        <n x="1337" s="1"/>
      </t>
    </mdx>
    <mdx n="33" f="v">
      <t c="4" si="9">
        <n x="549"/>
        <n x="1"/>
        <n x="7"/>
        <n x="1337" s="1"/>
      </t>
    </mdx>
    <mdx n="33" f="v">
      <t c="4">
        <n x="180"/>
        <n x="1"/>
        <n x="7"/>
        <n x="1337" s="1"/>
      </t>
    </mdx>
    <mdx n="33" f="v">
      <t c="4">
        <n x="540"/>
        <n x="11"/>
        <n x="32"/>
        <n x="1337" s="1"/>
      </t>
    </mdx>
    <mdx n="33" f="v">
      <t c="4">
        <n x="92"/>
        <n x="11"/>
        <n x="32"/>
        <n x="1337" s="1"/>
      </t>
    </mdx>
    <mdx n="33" f="v">
      <t c="4">
        <n x="1018"/>
        <n x="12"/>
        <n x="32"/>
        <n x="1337" s="1"/>
      </t>
    </mdx>
    <mdx n="33" f="v">
      <t c="4">
        <n x="362"/>
        <n x="12"/>
        <n x="32"/>
        <n x="1337" s="1"/>
      </t>
    </mdx>
    <mdx n="33" f="v">
      <t c="4" si="10">
        <n x="1056"/>
        <n x="14"/>
        <n x="32"/>
        <n x="1337" s="1"/>
      </t>
    </mdx>
    <mdx n="33" f="v">
      <t c="4">
        <n x="399"/>
        <n x="14"/>
        <n x="32"/>
        <n x="1337" s="1"/>
      </t>
    </mdx>
    <mdx n="33" f="v">
      <t c="4">
        <n x="349"/>
        <n x="12"/>
        <n x="7"/>
        <n x="1337" s="1"/>
      </t>
    </mdx>
    <mdx n="33" f="v">
      <t c="4">
        <n x="206"/>
        <n x="11"/>
        <n x="7"/>
        <n x="1337" s="1"/>
      </t>
    </mdx>
    <mdx n="33" f="v">
      <t c="4">
        <n x="290"/>
        <n x="11"/>
        <n x="32"/>
        <n x="1337" s="1"/>
      </t>
    </mdx>
    <mdx n="33" f="v">
      <t c="4">
        <n x="1069"/>
        <n x="14"/>
        <n x="32"/>
        <n x="1337" s="1"/>
      </t>
    </mdx>
    <mdx n="33" f="v">
      <t c="4">
        <n x="191"/>
        <n x="14"/>
        <n x="32"/>
        <n x="1337" s="1"/>
      </t>
    </mdx>
    <mdx n="33" f="v">
      <t c="3">
        <n x="783"/>
        <n x="1336"/>
        <n x="1337" s="1"/>
      </t>
    </mdx>
    <mdx n="33" f="v">
      <t c="4">
        <n x="1232"/>
        <n x="0"/>
        <n x="7"/>
        <n x="1337" s="1"/>
      </t>
    </mdx>
    <mdx n="33" f="v">
      <t c="4">
        <n x="49"/>
        <n x="0"/>
        <n x="7"/>
        <n x="1337" s="1"/>
      </t>
    </mdx>
    <mdx n="33" f="v">
      <t c="4" si="10">
        <n x="1087"/>
        <n x="14"/>
        <n x="32"/>
        <n x="1337" s="1"/>
      </t>
    </mdx>
    <mdx n="33" f="v">
      <t c="4">
        <n x="1313"/>
        <n x="0"/>
        <n x="7"/>
        <n x="1337" s="1"/>
      </t>
    </mdx>
    <mdx n="33" f="v">
      <t c="4" si="10">
        <n x="1028"/>
        <n x="0"/>
        <n x="32"/>
        <n x="1337" s="1"/>
      </t>
    </mdx>
    <mdx n="33" f="v">
      <t c="4">
        <n x="186"/>
        <n x="11"/>
        <n x="7"/>
        <n x="1337" s="1"/>
      </t>
    </mdx>
    <mdx n="33" f="v">
      <t c="4">
        <n x="523"/>
        <n x="11"/>
        <n x="32"/>
        <n x="1337" s="1"/>
      </t>
    </mdx>
    <mdx n="33" f="v">
      <t c="4">
        <n x="345"/>
        <n x="12"/>
        <n x="32"/>
        <n x="1337" s="1"/>
      </t>
    </mdx>
    <mdx n="33" f="v">
      <t c="4" si="10">
        <n x="513"/>
        <n x="14"/>
        <n x="32"/>
        <n x="1337" s="1"/>
      </t>
    </mdx>
    <mdx n="33" f="v">
      <t c="4">
        <n x="106"/>
        <n x="14"/>
        <n x="32"/>
        <n x="1337" s="1"/>
      </t>
    </mdx>
    <mdx n="33" f="v">
      <t c="3">
        <n x="113"/>
        <n x="1336"/>
        <n x="1337" s="1"/>
      </t>
    </mdx>
    <mdx n="33" f="v">
      <t c="4">
        <n x="1163"/>
        <n x="0"/>
        <n x="7"/>
        <n x="1337" s="1"/>
      </t>
    </mdx>
    <mdx n="33" f="v">
      <t c="4" si="10">
        <n x="994"/>
        <n x="11"/>
        <n x="32"/>
        <n x="1337" s="1"/>
      </t>
    </mdx>
    <mdx n="33" f="v">
      <t c="4">
        <n x="146"/>
        <n x="14"/>
        <n x="32"/>
        <n x="1337" s="1"/>
      </t>
    </mdx>
    <mdx n="33" f="v">
      <t c="4" si="9">
        <n x="669"/>
        <n x="14"/>
        <n x="7"/>
        <n x="1337" s="1"/>
      </t>
    </mdx>
    <mdx n="33" f="v">
      <t c="4">
        <n x="1078"/>
        <n x="11"/>
        <n x="7"/>
        <n x="1337" s="1"/>
      </t>
    </mdx>
    <mdx n="33" f="v">
      <t c="4">
        <n x="399"/>
        <n x="1"/>
        <n x="7"/>
        <n x="1337" s="1"/>
      </t>
    </mdx>
    <mdx n="33" f="v">
      <t c="4">
        <n x="1177"/>
        <n x="12"/>
        <n x="32"/>
        <n x="1337" s="1"/>
      </t>
    </mdx>
    <mdx n="33" f="v">
      <t c="4" si="10">
        <n x="1057"/>
        <n x="14"/>
        <n x="32"/>
        <n x="1337" s="1"/>
      </t>
    </mdx>
    <mdx n="33" f="v">
      <t c="4">
        <n x="339"/>
        <n x="14"/>
        <n x="32"/>
        <n x="1337" s="1"/>
      </t>
    </mdx>
    <mdx n="33" f="v">
      <t c="4">
        <n x="78"/>
        <n x="1"/>
        <n x="32"/>
        <n x="1337" s="1"/>
      </t>
    </mdx>
    <mdx n="33" f="v">
      <t c="4">
        <n x="1290"/>
        <n x="0"/>
        <n x="7"/>
        <n x="1337" s="1"/>
      </t>
    </mdx>
    <mdx n="33" f="v">
      <t c="4">
        <n x="95"/>
        <n x="0"/>
        <n x="7"/>
        <n x="1337" s="1"/>
      </t>
    </mdx>
    <mdx n="33" f="v">
      <t c="4" si="10">
        <n x="1220"/>
        <n x="0"/>
        <n x="32"/>
        <n x="1337" s="1"/>
      </t>
    </mdx>
    <mdx n="33" f="v">
      <t c="4">
        <n x="524"/>
        <n x="1"/>
        <n x="7"/>
        <n x="1337" s="1"/>
      </t>
    </mdx>
    <mdx n="33" f="v">
      <t c="4">
        <n x="343"/>
        <n x="14"/>
        <n x="32"/>
        <n x="1337" s="1"/>
      </t>
    </mdx>
    <mdx n="33" f="v">
      <t c="4">
        <n x="132"/>
        <n x="0"/>
        <n x="7"/>
        <n x="1337" s="1"/>
      </t>
    </mdx>
    <mdx n="33" f="v">
      <t c="4">
        <n x="459"/>
        <n x="14"/>
        <n x="7"/>
        <n x="1337" s="1"/>
      </t>
    </mdx>
    <mdx n="33" f="v">
      <t c="4">
        <n x="1061"/>
        <n x="12"/>
        <n x="7"/>
        <n x="1337" s="1"/>
      </t>
    </mdx>
    <mdx n="33" f="v">
      <t c="4">
        <n x="866"/>
        <n x="1"/>
        <n x="7"/>
        <n x="1337" s="1"/>
      </t>
    </mdx>
    <mdx n="33" f="v">
      <t c="4">
        <n x="1259"/>
        <n x="12"/>
        <n x="7"/>
        <n x="1337" s="1"/>
      </t>
    </mdx>
    <mdx n="33" f="v">
      <t c="4">
        <n x="414"/>
        <n x="14"/>
        <n x="7"/>
        <n x="1337" s="1"/>
      </t>
    </mdx>
    <mdx n="33" f="v">
      <t c="4">
        <n x="138"/>
        <n x="11"/>
        <n x="32"/>
        <n x="1337" s="1"/>
      </t>
    </mdx>
    <mdx n="33" f="v">
      <t c="4">
        <n x="415"/>
        <n x="14"/>
        <n x="7"/>
        <n x="1337" s="1"/>
      </t>
    </mdx>
    <mdx n="33" f="v">
      <t c="4">
        <n x="86"/>
        <n x="11"/>
        <n x="7"/>
        <n x="1337" s="1"/>
      </t>
    </mdx>
    <mdx n="33" f="v">
      <t c="4">
        <n x="103"/>
        <n x="1"/>
        <n x="7"/>
        <n x="1337" s="1"/>
      </t>
    </mdx>
    <mdx n="33" f="v">
      <t c="4">
        <n x="1287"/>
        <n x="12"/>
        <n x="32"/>
        <n x="1337" s="1"/>
      </t>
    </mdx>
    <mdx n="33" f="v">
      <t c="4">
        <n x="443"/>
        <n x="12"/>
        <n x="32"/>
        <n x="1337" s="1"/>
      </t>
    </mdx>
    <mdx n="33" f="v">
      <t c="4">
        <n x="860"/>
        <n x="14"/>
        <n x="32"/>
        <n x="1337" s="1"/>
      </t>
    </mdx>
    <mdx n="33" f="v">
      <t c="4" si="10">
        <n x="1226"/>
        <n x="0"/>
        <n x="32"/>
        <n x="1337" s="1"/>
      </t>
    </mdx>
    <mdx n="33" f="v">
      <t c="4">
        <n x="539"/>
        <n x="11"/>
        <n x="7"/>
        <n x="1337" s="1"/>
      </t>
    </mdx>
    <mdx n="33" f="v">
      <t c="4">
        <n x="1082"/>
        <n x="1"/>
        <n x="7"/>
        <n x="1337" s="1"/>
      </t>
    </mdx>
    <mdx n="33" f="v">
      <t c="4">
        <n x="135"/>
        <n x="1"/>
        <n x="7"/>
        <n x="1337" s="1"/>
      </t>
    </mdx>
    <mdx n="33" f="v">
      <t c="4">
        <n x="1170"/>
        <n x="12"/>
        <n x="32"/>
        <n x="1337" s="1"/>
      </t>
    </mdx>
    <mdx n="33" f="v">
      <t c="4">
        <n x="345"/>
        <n x="14"/>
        <n x="32"/>
        <n x="1337" s="1"/>
      </t>
    </mdx>
    <mdx n="33" f="v">
      <t c="4">
        <n x="887"/>
        <n x="12"/>
        <n x="7"/>
        <n x="1337" s="1"/>
      </t>
    </mdx>
    <mdx n="33" f="v">
      <t c="4" si="10">
        <n x="565"/>
        <n x="14"/>
        <n x="32"/>
        <n x="1337" s="1"/>
      </t>
    </mdx>
    <mdx n="33" f="v">
      <t c="4">
        <n x="294"/>
        <n x="0"/>
        <n x="7"/>
        <n x="1337" s="1"/>
      </t>
    </mdx>
    <mdx n="33" f="v">
      <t c="4">
        <n x="134"/>
        <n x="1"/>
        <n x="32"/>
        <n x="1337" s="1"/>
      </t>
    </mdx>
    <mdx n="33" f="v">
      <t c="4">
        <n x="945"/>
        <n x="14"/>
        <n x="7"/>
        <n x="1337" s="1"/>
      </t>
    </mdx>
    <mdx n="33" f="v">
      <t c="4">
        <n x="1082"/>
        <n x="12"/>
        <n x="7"/>
        <n x="1337" s="1"/>
      </t>
    </mdx>
    <mdx n="33" f="v">
      <t c="4">
        <n x="554"/>
        <n x="11"/>
        <n x="32"/>
        <n x="1337" s="1"/>
      </t>
    </mdx>
    <mdx n="33" f="v">
      <t c="4">
        <n x="156"/>
        <n x="11"/>
        <n x="7"/>
        <n x="1337" s="1"/>
      </t>
    </mdx>
    <mdx n="33" f="v">
      <t c="4">
        <n x="1279"/>
        <n x="12"/>
        <n x="32"/>
        <n x="1337" s="1"/>
      </t>
    </mdx>
    <mdx n="33" f="v">
      <t c="4">
        <n x="886"/>
        <n x="12"/>
        <n x="32"/>
        <n x="1337" s="1"/>
      </t>
    </mdx>
    <mdx n="33" f="v">
      <t c="4">
        <n x="442"/>
        <n x="11"/>
        <n x="7"/>
        <n x="1337" s="1"/>
      </t>
    </mdx>
    <mdx n="33" f="v">
      <t c="4" si="10">
        <n x="1063"/>
        <n x="11"/>
        <n x="32"/>
        <n x="1337" s="1"/>
      </t>
    </mdx>
    <mdx n="33" f="v">
      <t c="4" si="10">
        <n x="603"/>
        <n x="12"/>
        <n x="32"/>
        <n x="1337" s="1"/>
      </t>
    </mdx>
    <mdx n="33" f="v">
      <t c="4">
        <n x="211"/>
        <n x="14"/>
        <n x="32"/>
        <n x="1337" s="1"/>
      </t>
    </mdx>
    <mdx n="33" f="v">
      <t c="4">
        <n x="349"/>
        <n x="12"/>
        <n x="32"/>
        <n x="1337" s="1"/>
      </t>
    </mdx>
    <mdx n="33" f="v">
      <t c="4">
        <n x="1164"/>
        <n x="0"/>
        <n x="7"/>
        <n x="1337" s="1"/>
      </t>
    </mdx>
    <mdx n="33" f="v">
      <t c="4" si="10">
        <n x="1172"/>
        <n x="0"/>
        <n x="32"/>
        <n x="1337" s="1"/>
      </t>
    </mdx>
    <mdx n="33" f="v">
      <t c="4">
        <n x="421"/>
        <n x="14"/>
        <n x="32"/>
        <n x="1337" s="1"/>
      </t>
    </mdx>
    <mdx n="33" f="v">
      <t c="4">
        <n x="182"/>
        <n x="11"/>
        <n x="32"/>
        <n x="1337" s="1"/>
      </t>
    </mdx>
    <mdx n="33" f="v">
      <t c="4">
        <n x="366"/>
        <n x="1"/>
        <n x="7"/>
        <n x="1337" s="1"/>
      </t>
    </mdx>
    <mdx n="33" f="v">
      <t c="4">
        <n x="441"/>
        <n x="14"/>
        <n x="32"/>
        <n x="1337" s="1"/>
      </t>
    </mdx>
    <mdx n="33" f="v">
      <t c="4">
        <n x="1154"/>
        <n x="0"/>
        <n x="7"/>
        <n x="1337" s="1"/>
      </t>
    </mdx>
    <mdx n="33" f="v">
      <t c="4">
        <n x="185"/>
        <n x="11"/>
        <n x="32"/>
        <n x="1337" s="1"/>
      </t>
    </mdx>
    <mdx n="33" f="v">
      <t c="3">
        <n x="716"/>
        <n x="1336"/>
        <n x="1337" s="1"/>
      </t>
    </mdx>
    <mdx n="33" f="v">
      <t c="4" si="10">
        <n x="884"/>
        <n x="12"/>
        <n x="32"/>
        <n x="1337" s="1"/>
      </t>
    </mdx>
    <mdx n="33" f="v">
      <t c="4">
        <n x="1038"/>
        <n x="14"/>
        <n x="7"/>
        <n x="1337" s="1"/>
      </t>
    </mdx>
    <mdx n="33" f="v">
      <t c="4" si="10">
        <n x="943"/>
        <n x="0"/>
        <n x="32"/>
        <n x="1337" s="1"/>
      </t>
    </mdx>
    <mdx n="33" f="v">
      <t c="4">
        <n x="95"/>
        <n x="14"/>
        <n x="7"/>
        <n x="1337" s="1"/>
      </t>
    </mdx>
    <mdx n="33" f="v">
      <t c="4">
        <n x="1329"/>
        <n x="1"/>
        <n x="7"/>
        <n x="1337" s="1"/>
      </t>
    </mdx>
    <mdx n="33" f="v">
      <t c="4">
        <n x="134"/>
        <n x="12"/>
        <n x="32"/>
        <n x="1337" s="1"/>
      </t>
    </mdx>
    <mdx n="33" f="v">
      <t c="4">
        <n x="540"/>
        <n x="11"/>
        <n x="7"/>
        <n x="1337" s="1"/>
      </t>
    </mdx>
    <mdx n="33" f="v">
      <t c="4">
        <n x="574"/>
        <n x="1"/>
        <n x="7"/>
        <n x="1337" s="1"/>
      </t>
    </mdx>
    <mdx n="33" f="v">
      <t c="4">
        <n x="525"/>
        <n x="11"/>
        <n x="32"/>
        <n x="1337" s="1"/>
      </t>
    </mdx>
    <mdx n="33" f="v">
      <t c="4">
        <n x="1083"/>
        <n x="12"/>
        <n x="32"/>
        <n x="1337" s="1"/>
      </t>
    </mdx>
    <mdx n="33" f="v">
      <t c="4">
        <n x="224"/>
        <n x="12"/>
        <n x="32"/>
        <n x="1337" s="1"/>
      </t>
    </mdx>
    <mdx n="33" f="v">
      <t c="3">
        <n x="936"/>
        <n x="1336"/>
        <n x="1337" s="1"/>
      </t>
    </mdx>
    <mdx n="33" f="v">
      <t c="4">
        <n x="290"/>
        <n x="14"/>
        <n x="7"/>
        <n x="1337" s="1"/>
      </t>
    </mdx>
    <mdx n="33" f="v">
      <t c="4">
        <n x="306"/>
        <n x="11"/>
        <n x="7"/>
        <n x="1337" s="1"/>
      </t>
    </mdx>
    <mdx n="33" f="v">
      <t c="4">
        <n x="537"/>
        <n x="1"/>
        <n x="7"/>
        <n x="1337" s="1"/>
      </t>
    </mdx>
    <mdx n="33" f="v">
      <t c="4">
        <n x="991"/>
        <n x="11"/>
        <n x="32"/>
        <n x="1337" s="1"/>
      </t>
    </mdx>
    <mdx n="33" f="v">
      <t c="4" si="10">
        <n x="1314"/>
        <n x="12"/>
        <n x="32"/>
        <n x="1337" s="1"/>
      </t>
    </mdx>
    <mdx n="33" f="v">
      <t c="4" si="10">
        <n x="499"/>
        <n x="12"/>
        <n x="32"/>
        <n x="1337" s="1"/>
      </t>
    </mdx>
    <mdx n="33" f="v">
      <t c="4" si="10">
        <n x="1044"/>
        <n x="14"/>
        <n x="32"/>
        <n x="1337" s="1"/>
      </t>
    </mdx>
    <mdx n="33" f="v">
      <t c="4">
        <n x="131"/>
        <n x="14"/>
        <n x="32"/>
        <n x="1337" s="1"/>
      </t>
    </mdx>
    <mdx n="33" f="v">
      <t c="4">
        <n x="158"/>
        <n x="11"/>
        <n x="7"/>
        <n x="1337" s="1"/>
      </t>
    </mdx>
    <mdx n="33" f="v">
      <t c="4">
        <n x="317"/>
        <n x="12"/>
        <n x="32"/>
        <n x="1337" s="1"/>
      </t>
    </mdx>
    <mdx n="33" f="v">
      <t c="4">
        <n x="97"/>
        <n x="14"/>
        <n x="32"/>
        <n x="1337" s="1"/>
      </t>
    </mdx>
    <mdx n="33" f="v">
      <t c="4">
        <n x="1156"/>
        <n x="0"/>
        <n x="7"/>
        <n x="1337" s="1"/>
      </t>
    </mdx>
    <mdx n="33" f="v">
      <t c="4">
        <n x="408"/>
        <n x="14"/>
        <n x="32"/>
        <n x="1337" s="1"/>
      </t>
    </mdx>
    <mdx n="33" f="v">
      <t c="4">
        <n x="504"/>
        <n x="14"/>
        <n x="7"/>
        <n x="1337" s="1"/>
      </t>
    </mdx>
    <mdx n="33" f="v">
      <t c="4">
        <n x="153"/>
        <n x="11"/>
        <n x="32"/>
        <n x="1337" s="1"/>
      </t>
    </mdx>
    <mdx n="33" f="v">
      <t c="4">
        <n x="410"/>
        <n x="14"/>
        <n x="32"/>
        <n x="1337" s="1"/>
      </t>
    </mdx>
    <mdx n="33" f="v">
      <t c="3">
        <n x="66"/>
        <n x="1336"/>
        <n x="1337" s="1"/>
      </t>
    </mdx>
    <mdx n="33" f="v">
      <t c="4">
        <n x="614"/>
        <n x="12"/>
        <n x="32"/>
        <n x="1337" s="1"/>
      </t>
    </mdx>
    <mdx n="33" f="v">
      <t c="4">
        <n x="910"/>
        <n x="0"/>
        <n x="7"/>
        <n x="1337" s="1"/>
      </t>
    </mdx>
    <mdx n="33" f="v">
      <t c="4">
        <n x="350"/>
        <n x="1"/>
        <n x="7"/>
        <n x="1337" s="1"/>
      </t>
    </mdx>
    <mdx n="33" f="v">
      <t c="4" si="10">
        <n x="474"/>
        <n x="12"/>
        <n x="32"/>
        <n x="1337" s="1"/>
      </t>
    </mdx>
    <mdx n="33" f="v">
      <t c="4" si="10">
        <n x="436"/>
        <n x="14"/>
        <n x="32"/>
        <n x="1337" s="1"/>
      </t>
    </mdx>
    <mdx n="33" f="v">
      <t c="4">
        <n x="54"/>
        <n x="1"/>
        <n x="32"/>
        <n x="1337" s="1"/>
      </t>
    </mdx>
    <mdx n="33" f="v">
      <t c="4">
        <n x="1190"/>
        <n x="0"/>
        <n x="7"/>
        <n x="1337" s="1"/>
      </t>
    </mdx>
    <mdx n="33" f="v">
      <t c="4">
        <n x="941"/>
        <n x="12"/>
        <n x="7"/>
        <n x="1337" s="1"/>
      </t>
    </mdx>
    <mdx n="33" f="v">
      <t c="4">
        <n x="378"/>
        <n x="1"/>
        <n x="7"/>
        <n x="1337" s="1"/>
      </t>
    </mdx>
    <mdx n="33" f="v">
      <t c="3">
        <n x="955"/>
        <n x="1336"/>
        <n x="1337" s="1"/>
      </t>
    </mdx>
    <mdx n="33" f="v">
      <t c="4" si="10">
        <n x="828"/>
        <n x="1"/>
        <n x="32"/>
        <n x="1337" s="1"/>
      </t>
    </mdx>
    <mdx n="33" f="v">
      <t c="4">
        <n x="915"/>
        <n x="1"/>
        <n x="32"/>
        <n x="1337" s="1"/>
      </t>
    </mdx>
    <mdx n="33" f="v">
      <t c="4">
        <n x="406"/>
        <n x="14"/>
        <n x="7"/>
        <n x="1337" s="1"/>
      </t>
    </mdx>
    <mdx n="33" f="v">
      <t c="4">
        <n x="992"/>
        <n x="1"/>
        <n x="32"/>
        <n x="1337" s="1"/>
      </t>
    </mdx>
    <mdx n="33" f="v">
      <t c="4">
        <n x="597"/>
        <n x="11"/>
        <n x="7"/>
        <n x="1337" s="1"/>
      </t>
    </mdx>
    <mdx n="33" f="v">
      <t c="4" si="9">
        <n x="499"/>
        <n x="1"/>
        <n x="7"/>
        <n x="1337" s="1"/>
      </t>
    </mdx>
    <mdx n="33" f="v">
      <t c="4">
        <n x="1006"/>
        <n x="14"/>
        <n x="32"/>
        <n x="1337" s="1"/>
      </t>
    </mdx>
    <mdx n="33" f="v">
      <t c="4">
        <n x="431"/>
        <n x="11"/>
        <n x="7"/>
        <n x="1337" s="1"/>
      </t>
    </mdx>
    <mdx n="33" f="v">
      <t c="4">
        <n x="478"/>
        <n x="1"/>
        <n x="7"/>
        <n x="1337" s="1"/>
      </t>
    </mdx>
    <mdx n="33" f="v">
      <t c="4">
        <n x="429"/>
        <n x="11"/>
        <n x="32"/>
        <n x="1337" s="1"/>
      </t>
    </mdx>
    <mdx n="33" f="v">
      <t c="4">
        <n x="1011"/>
        <n x="12"/>
        <n x="32"/>
        <n x="1337" s="1"/>
      </t>
    </mdx>
    <mdx n="33" f="v">
      <t c="4">
        <n x="176"/>
        <n x="12"/>
        <n x="32"/>
        <n x="1337" s="1"/>
      </t>
    </mdx>
    <mdx n="33" f="v">
      <t c="4">
        <n x="979"/>
        <n x="12"/>
        <n x="7"/>
        <n x="1337" s="1"/>
      </t>
    </mdx>
    <mdx n="33" f="v">
      <t c="4">
        <n x="97"/>
        <n x="14"/>
        <n x="7"/>
        <n x="1337" s="1"/>
      </t>
    </mdx>
    <mdx n="33" f="v">
      <t c="4">
        <n x="280"/>
        <n x="11"/>
        <n x="7"/>
        <n x="1337" s="1"/>
      </t>
    </mdx>
    <mdx n="33" f="v">
      <t c="4">
        <n x="464"/>
        <n x="1"/>
        <n x="7"/>
        <n x="1337" s="1"/>
      </t>
    </mdx>
    <mdx n="33" f="v">
      <t c="4" si="10">
        <n x="584"/>
        <n x="11"/>
        <n x="32"/>
        <n x="1337" s="1"/>
      </t>
    </mdx>
    <mdx n="33" f="v">
      <t c="4">
        <n x="1242"/>
        <n x="12"/>
        <n x="32"/>
        <n x="1337" s="1"/>
      </t>
    </mdx>
    <mdx n="33" f="v">
      <t c="4" si="10">
        <n x="465"/>
        <n x="12"/>
        <n x="32"/>
        <n x="1337" s="1"/>
      </t>
    </mdx>
    <mdx n="33" f="v">
      <t c="4" si="10">
        <n x="972"/>
        <n x="14"/>
        <n x="32"/>
        <n x="1337" s="1"/>
      </t>
    </mdx>
    <mdx n="33" f="v">
      <t c="4" si="10">
        <n x="780"/>
        <n x="1"/>
        <n x="32"/>
        <n x="1337" s="1"/>
      </t>
    </mdx>
    <mdx n="33" f="v">
      <t c="4">
        <n x="600"/>
        <n x="1"/>
        <n x="7"/>
        <n x="1337" s="1"/>
      </t>
    </mdx>
    <mdx n="33" f="v">
      <t c="4">
        <n x="80"/>
        <n x="12"/>
        <n x="32"/>
        <n x="1337" s="1"/>
      </t>
    </mdx>
    <mdx n="33" f="v">
      <t c="4">
        <n x="132"/>
        <n x="1"/>
        <n x="32"/>
        <n x="1337" s="1"/>
      </t>
    </mdx>
    <mdx n="33" f="v">
      <t c="4">
        <n x="768"/>
        <n x="0"/>
        <n x="7"/>
        <n x="1337" s="1"/>
      </t>
    </mdx>
    <mdx n="33" f="v">
      <t c="4">
        <n x="768"/>
        <n x="1"/>
        <n x="32"/>
        <n x="1337" s="1"/>
      </t>
    </mdx>
    <mdx n="33" f="v">
      <t c="4">
        <n x="976"/>
        <n x="11"/>
        <n x="7"/>
        <n x="1337" s="1"/>
      </t>
    </mdx>
    <mdx n="33" f="v">
      <t c="4" si="10">
        <n x="1113"/>
        <n x="12"/>
        <n x="32"/>
        <n x="1337" s="1"/>
      </t>
    </mdx>
    <mdx n="33" f="v">
      <t c="4">
        <n x="313"/>
        <n x="14"/>
        <n x="32"/>
        <n x="1337" s="1"/>
      </t>
    </mdx>
    <mdx n="33" f="v">
      <t c="4">
        <n x="1271"/>
        <n x="0"/>
        <n x="7"/>
        <n x="1337" s="1"/>
      </t>
    </mdx>
    <mdx n="33" f="v">
      <t c="4" si="10">
        <n x="633"/>
        <n x="12"/>
        <n x="32"/>
        <n x="1337" s="1"/>
      </t>
    </mdx>
    <mdx n="33" f="v">
      <t c="3">
        <n x="791"/>
        <n x="1336"/>
        <n x="1337" s="1"/>
      </t>
    </mdx>
    <mdx n="33" f="v">
      <t c="4" si="9">
        <n x="582"/>
        <n x="0"/>
        <n x="7"/>
        <n x="1337" s="1"/>
      </t>
    </mdx>
    <mdx n="33" f="v">
      <t c="3">
        <n x="849"/>
        <n x="1336"/>
        <n x="1337" s="1"/>
      </t>
    </mdx>
    <mdx n="33" f="v">
      <t c="4">
        <n x="872"/>
        <n x="12"/>
        <n x="32"/>
        <n x="1337" s="1"/>
      </t>
    </mdx>
    <mdx n="33" f="v">
      <t c="4">
        <n x="1023"/>
        <n x="1"/>
        <n x="32"/>
        <n x="1337" s="1"/>
      </t>
    </mdx>
    <mdx n="33" f="v">
      <t c="4" si="10">
        <n x="899"/>
        <n x="0"/>
        <n x="32"/>
        <n x="1337" s="1"/>
      </t>
    </mdx>
    <mdx n="33" f="v">
      <t c="4" si="10">
        <n x="1115"/>
        <n x="0"/>
        <n x="32"/>
        <n x="1337" s="1"/>
      </t>
    </mdx>
    <mdx n="33" f="v">
      <t c="4">
        <n x="989"/>
        <n x="11"/>
        <n x="7"/>
        <n x="1337" s="1"/>
      </t>
    </mdx>
    <mdx n="33" f="v">
      <t c="4">
        <n x="547"/>
        <n x="11"/>
        <n x="7"/>
        <n x="1337" s="1"/>
      </t>
    </mdx>
    <mdx n="33" f="v">
      <t c="4" si="10">
        <n x="518"/>
        <n x="11"/>
        <n x="32"/>
        <n x="1337" s="1"/>
      </t>
    </mdx>
    <mdx n="33" f="v">
      <t c="4">
        <n x="308"/>
        <n x="12"/>
        <n x="32"/>
        <n x="1337" s="1"/>
      </t>
    </mdx>
    <mdx n="33" f="v">
      <t c="4">
        <n x="1061"/>
        <n x="1"/>
        <n x="32"/>
        <n x="1337" s="1"/>
      </t>
    </mdx>
    <mdx n="33" f="v">
      <t c="4">
        <n x="607"/>
        <n x="0"/>
        <n x="32"/>
        <n x="1337" s="1"/>
      </t>
    </mdx>
    <mdx n="33" f="v">
      <t c="4">
        <n x="1049"/>
        <n x="0"/>
        <n x="7"/>
        <n x="1337" s="1"/>
      </t>
    </mdx>
    <mdx n="33" f="v">
      <t c="4" si="10">
        <n x="872"/>
        <n x="0"/>
        <n x="32"/>
        <n x="1337" s="1"/>
      </t>
    </mdx>
    <mdx n="33" f="v">
      <t c="4" si="10">
        <n x="1002"/>
        <n x="0"/>
        <n x="32"/>
        <n x="1337" s="1"/>
      </t>
    </mdx>
    <mdx n="33" f="v">
      <t c="4" si="10">
        <n x="1331"/>
        <n x="0"/>
        <n x="32"/>
        <n x="1337" s="1"/>
      </t>
    </mdx>
    <mdx n="33" f="v">
      <t c="4">
        <n x="835"/>
        <n x="0"/>
        <n x="7"/>
        <n x="1337" s="1"/>
      </t>
    </mdx>
    <mdx n="33" f="v">
      <t c="4">
        <n x="932"/>
        <n x="11"/>
        <n x="7"/>
        <n x="1337" s="1"/>
      </t>
    </mdx>
    <mdx n="33" f="v">
      <t c="4" si="10">
        <n x="1119"/>
        <n x="0"/>
        <n x="32"/>
        <n x="1337" s="1"/>
      </t>
    </mdx>
    <mdx n="33" f="v">
      <t c="4">
        <n x="148"/>
        <n x="14"/>
        <n x="7"/>
        <n x="1337" s="1"/>
      </t>
    </mdx>
    <mdx n="33" f="v">
      <t c="4">
        <n x="1048"/>
        <n x="0"/>
        <n x="32"/>
        <n x="1337" s="1"/>
      </t>
    </mdx>
    <mdx n="33" f="v">
      <t c="4">
        <n x="161"/>
        <n x="11"/>
        <n x="7"/>
        <n x="1337" s="1"/>
      </t>
    </mdx>
    <mdx n="33" f="v">
      <t c="4" si="10">
        <n x="498"/>
        <n x="11"/>
        <n x="32"/>
        <n x="1337" s="1"/>
      </t>
    </mdx>
    <mdx n="33" f="v">
      <t c="4">
        <n x="320"/>
        <n x="12"/>
        <n x="32"/>
        <n x="1337" s="1"/>
      </t>
    </mdx>
    <mdx n="33" f="v">
      <t c="4" si="10">
        <n x="1052"/>
        <n x="0"/>
        <n x="32"/>
        <n x="1337" s="1"/>
      </t>
    </mdx>
    <mdx n="33" f="v">
      <t c="4" si="10">
        <n x="676"/>
        <n x="1"/>
        <n x="32"/>
        <n x="1337" s="1"/>
      </t>
    </mdx>
    <mdx n="33" f="v">
      <t c="4">
        <n x="1078"/>
        <n x="1"/>
        <n x="32"/>
        <n x="1337" s="1"/>
      </t>
    </mdx>
    <mdx n="33" f="v">
      <t c="4">
        <n x="876"/>
        <n x="0"/>
        <n x="7"/>
        <n x="1337" s="1"/>
      </t>
    </mdx>
    <mdx n="33" f="v">
      <t c="4">
        <n x="1009"/>
        <n x="12"/>
        <n x="7"/>
        <n x="1337" s="1"/>
      </t>
    </mdx>
    <mdx n="33" f="v">
      <t c="4">
        <n x="1106"/>
        <n x="14"/>
        <n x="7"/>
        <n x="1337" s="1"/>
      </t>
    </mdx>
    <mdx n="33" f="v">
      <t c="4">
        <n x="839"/>
        <n x="12"/>
        <n x="32"/>
        <n x="1337" s="1"/>
      </t>
    </mdx>
    <mdx n="33" f="v">
      <t c="4">
        <n x="936"/>
        <n x="12"/>
        <n x="7"/>
        <n x="1337" s="1"/>
      </t>
    </mdx>
    <mdx n="33" f="v">
      <t c="4">
        <n x="1129"/>
        <n x="12"/>
        <n x="7"/>
        <n x="1337" s="1"/>
      </t>
    </mdx>
    <mdx n="33" f="v">
      <t c="4">
        <n x="195"/>
        <n x="14"/>
        <n x="7"/>
        <n x="1337" s="1"/>
      </t>
    </mdx>
    <mdx n="33" f="v">
      <t c="4">
        <n x="1076"/>
        <n x="0"/>
        <n x="7"/>
        <n x="1337" s="1"/>
      </t>
    </mdx>
    <mdx n="33" f="v">
      <t c="4">
        <n x="90"/>
        <n x="11"/>
        <n x="7"/>
        <n x="1337" s="1"/>
      </t>
    </mdx>
    <mdx n="33" f="v">
      <t c="4">
        <n x="462"/>
        <n x="11"/>
        <n x="32"/>
        <n x="1337" s="1"/>
      </t>
    </mdx>
    <mdx n="33" f="v">
      <t c="4">
        <n x="275"/>
        <n x="12"/>
        <n x="32"/>
        <n x="1337" s="1"/>
      </t>
    </mdx>
    <mdx n="33" f="v">
      <t c="4">
        <n x="1080"/>
        <n x="0"/>
        <n x="7"/>
        <n x="1337" s="1"/>
      </t>
    </mdx>
    <mdx n="33" f="v">
      <t c="4">
        <n x="70"/>
        <n x="11"/>
        <n x="7"/>
        <n x="1337" s="1"/>
      </t>
    </mdx>
    <mdx n="33" f="v">
      <t c="4">
        <n x="457"/>
        <n x="11"/>
        <n x="32"/>
        <n x="1337" s="1"/>
      </t>
    </mdx>
    <mdx n="33" f="v">
      <t c="4">
        <n x="867"/>
        <n x="1"/>
        <n x="32"/>
        <n x="1337" s="1"/>
      </t>
    </mdx>
    <mdx n="33" f="v">
      <t c="3">
        <n x="929"/>
        <n x="1336"/>
        <n x="1337" s="1"/>
      </t>
    </mdx>
    <mdx n="33" f="v">
      <t c="4">
        <n x="201"/>
        <n x="11"/>
        <n x="7"/>
        <n x="1337" s="1"/>
      </t>
    </mdx>
    <mdx n="33" f="v">
      <t c="4">
        <n x="604"/>
        <n x="11"/>
        <n x="7"/>
        <n x="1337" s="1"/>
      </t>
    </mdx>
    <mdx n="33" f="v">
      <t c="4">
        <n x="573"/>
        <n x="11"/>
        <n x="32"/>
        <n x="1337" s="1"/>
      </t>
    </mdx>
    <mdx n="33" f="v">
      <t c="4">
        <n x="223"/>
        <n x="12"/>
        <n x="32"/>
        <n x="1337" s="1"/>
      </t>
    </mdx>
    <mdx n="33" f="v">
      <t c="4">
        <n x="331"/>
        <n x="14"/>
        <n x="7"/>
        <n x="1337" s="1"/>
      </t>
    </mdx>
    <mdx n="33" f="v">
      <t c="4">
        <n x="573"/>
        <n x="1"/>
        <n x="7"/>
        <n x="1337" s="1"/>
      </t>
    </mdx>
    <mdx n="33" f="v">
      <t c="4">
        <n x="452"/>
        <n x="11"/>
        <n x="32"/>
        <n x="1337" s="1"/>
      </t>
    </mdx>
    <mdx n="33" f="v">
      <t c="4">
        <n x="1286"/>
        <n x="12"/>
        <n x="32"/>
        <n x="1337" s="1"/>
      </t>
    </mdx>
    <mdx n="33" f="v">
      <t c="4">
        <n x="434"/>
        <n x="12"/>
        <n x="32"/>
        <n x="1337" s="1"/>
      </t>
    </mdx>
    <mdx n="33" f="v">
      <t c="4">
        <n x="235"/>
        <n x="12"/>
        <n x="32"/>
        <n x="1337" s="1"/>
      </t>
    </mdx>
    <mdx n="33" f="v">
      <t c="4">
        <n x="1016"/>
        <n x="14"/>
        <n x="32"/>
        <n x="1337" s="1"/>
      </t>
    </mdx>
    <mdx n="33" f="v">
      <t c="4">
        <n x="326"/>
        <n x="14"/>
        <n x="32"/>
        <n x="1337" s="1"/>
      </t>
    </mdx>
    <mdx n="33" f="v">
      <t c="4">
        <n x="919"/>
        <n x="12"/>
        <n x="7"/>
        <n x="1337" s="1"/>
      </t>
    </mdx>
    <mdx n="33" f="v">
      <t c="4">
        <n x="1113"/>
        <n x="1"/>
        <n x="7"/>
        <n x="1337" s="1"/>
      </t>
    </mdx>
    <mdx n="33" f="v">
      <t c="4" si="10">
        <n x="1169"/>
        <n x="12"/>
        <n x="32"/>
        <n x="1337" s="1"/>
      </t>
    </mdx>
    <mdx n="33" f="v">
      <t c="4" si="10">
        <n x="573"/>
        <n x="14"/>
        <n x="32"/>
        <n x="1337" s="1"/>
      </t>
    </mdx>
    <mdx n="33" f="v">
      <t c="4" si="10">
        <n x="784"/>
        <n x="1"/>
        <n x="32"/>
        <n x="1337" s="1"/>
      </t>
    </mdx>
    <mdx n="33" f="v">
      <t c="4">
        <n x="1288"/>
        <n x="0"/>
        <n x="7"/>
        <n x="1337" s="1"/>
      </t>
    </mdx>
    <mdx n="33" f="v">
      <t c="4">
        <n x="134"/>
        <n x="0"/>
        <n x="7"/>
        <n x="1337" s="1"/>
      </t>
    </mdx>
    <mdx n="33" f="v">
      <t c="4" si="10">
        <n x="302"/>
        <n x="14"/>
        <n x="32"/>
        <n x="1337" s="1"/>
      </t>
    </mdx>
    <mdx n="33" f="v">
      <t c="4">
        <n x="903"/>
        <n x="12"/>
        <n x="7"/>
        <n x="1337" s="1"/>
      </t>
    </mdx>
    <mdx n="33" f="v">
      <t c="4">
        <n x="79"/>
        <n x="11"/>
        <n x="7"/>
        <n x="1337" s="1"/>
      </t>
    </mdx>
    <mdx n="33" f="v">
      <t c="4">
        <n x="1277"/>
        <n x="12"/>
        <n x="32"/>
        <n x="1337" s="1"/>
      </t>
    </mdx>
    <mdx n="33" f="v">
      <t c="4" si="10">
        <n x="587"/>
        <n x="14"/>
        <n x="32"/>
        <n x="1337" s="1"/>
      </t>
    </mdx>
    <mdx n="33" f="v">
      <t c="4" si="10">
        <n x="944"/>
        <n x="1"/>
        <n x="32"/>
        <n x="1337" s="1"/>
      </t>
    </mdx>
    <mdx n="33" f="v">
      <t c="4" si="9">
        <n x="1315"/>
        <n x="0"/>
        <n x="7"/>
        <n x="1337" s="1"/>
      </t>
    </mdx>
    <mdx n="33" f="v">
      <t c="4">
        <n x="1005"/>
        <n x="1"/>
        <n x="7"/>
        <n x="1337" s="1"/>
      </t>
    </mdx>
    <mdx n="33" f="v">
      <t c="4">
        <n x="788"/>
        <n x="1"/>
        <n x="32"/>
        <n x="1337" s="1"/>
      </t>
    </mdx>
    <mdx n="33" f="v">
      <t c="4">
        <n x="955"/>
        <n x="12"/>
        <n x="7"/>
        <n x="1337" s="1"/>
      </t>
    </mdx>
    <mdx n="33" f="v">
      <t c="4" si="9">
        <n x="598"/>
        <n x="0"/>
        <n x="7"/>
        <n x="1337" s="1"/>
      </t>
    </mdx>
    <mdx n="33" f="v">
      <t c="4">
        <n x="992"/>
        <n x="12"/>
        <n x="7"/>
        <n x="1337" s="1"/>
      </t>
    </mdx>
    <mdx n="33" f="v">
      <t c="3">
        <n x="902"/>
        <n x="1336"/>
        <n x="1337" s="1"/>
      </t>
    </mdx>
    <mdx n="33" f="v">
      <t c="4" si="10">
        <n x="1135"/>
        <n x="0"/>
        <n x="32"/>
        <n x="1337" s="1"/>
      </t>
    </mdx>
    <mdx n="33" f="v">
      <t c="4" si="10">
        <n x="820"/>
        <n x="0"/>
        <n x="32"/>
        <n x="1337" s="1"/>
      </t>
    </mdx>
    <mdx n="33" f="v">
      <t c="4">
        <n x="963"/>
        <n x="0"/>
        <n x="7"/>
        <n x="1337" s="1"/>
      </t>
    </mdx>
    <mdx n="33" f="v">
      <t c="4">
        <n x="440"/>
        <n x="14"/>
        <n x="7"/>
        <n x="1337" s="1"/>
      </t>
    </mdx>
    <mdx n="33" f="v">
      <t c="3">
        <n x="990"/>
        <n x="1336"/>
        <n x="1337" s="1"/>
      </t>
    </mdx>
    <mdx n="33" f="v">
      <t c="4">
        <n x="980"/>
        <n x="1"/>
        <n x="7"/>
        <n x="1337" s="1"/>
      </t>
    </mdx>
    <mdx n="33" f="v">
      <t c="4">
        <n x="1048"/>
        <n x="12"/>
        <n x="32"/>
        <n x="1337" s="1"/>
      </t>
    </mdx>
    <mdx n="33" f="v">
      <t c="3">
        <n x="994"/>
        <n x="1336"/>
        <n x="1337" s="1"/>
      </t>
    </mdx>
    <mdx n="33" f="v">
      <t c="4">
        <n x="489"/>
        <n x="11"/>
        <n x="7"/>
        <n x="1337" s="1"/>
      </t>
    </mdx>
    <mdx n="33" f="v">
      <t c="4">
        <n x="1079"/>
        <n x="1"/>
        <n x="7"/>
        <n x="1337" s="1"/>
      </t>
    </mdx>
    <mdx n="33" f="v">
      <t c="4">
        <n x="295"/>
        <n x="1"/>
        <n x="7"/>
        <n x="1337" s="1"/>
      </t>
    </mdx>
    <mdx n="33" f="v">
      <t c="4">
        <n x="497"/>
        <n x="11"/>
        <n x="32"/>
        <n x="1337" s="1"/>
      </t>
    </mdx>
    <mdx n="33" f="v">
      <t c="4">
        <n x="93"/>
        <n x="11"/>
        <n x="32"/>
        <n x="1337" s="1"/>
      </t>
    </mdx>
    <mdx n="33" f="v">
      <t c="4" si="10">
        <n x="1063"/>
        <n x="12"/>
        <n x="32"/>
        <n x="1337" s="1"/>
      </t>
    </mdx>
    <mdx n="33" f="v">
      <t c="4" si="10">
        <n x="492"/>
        <n x="12"/>
        <n x="32"/>
        <n x="1337" s="1"/>
      </t>
    </mdx>
    <mdx n="33" f="v">
      <t c="4">
        <n x="154"/>
        <n x="12"/>
        <n x="32"/>
        <n x="1337" s="1"/>
      </t>
    </mdx>
    <mdx n="33" f="v">
      <t c="4" si="10">
        <n x="849"/>
        <n x="14"/>
        <n x="32"/>
        <n x="1337" s="1"/>
      </t>
    </mdx>
    <mdx n="33" f="v">
      <t c="4" si="10">
        <n x="944"/>
        <n x="12"/>
        <n x="32"/>
        <n x="1337" s="1"/>
      </t>
    </mdx>
    <mdx n="33" f="v">
      <t c="4" si="10">
        <n x="1170"/>
        <n x="0"/>
        <n x="32"/>
        <n x="1337" s="1"/>
      </t>
    </mdx>
    <mdx n="33" f="v">
      <t c="4">
        <n x="219"/>
        <n x="14"/>
        <n x="7"/>
        <n x="1337" s="1"/>
      </t>
    </mdx>
    <mdx n="33" f="v">
      <t c="4">
        <n x="576"/>
        <n x="11"/>
        <n x="7"/>
        <n x="1337" s="1"/>
      </t>
    </mdx>
    <mdx n="33" f="v">
      <t c="4">
        <n x="278"/>
        <n x="11"/>
        <n x="7"/>
        <n x="1337" s="1"/>
      </t>
    </mdx>
    <mdx n="33" f="v">
      <t c="4">
        <n x="1110"/>
        <n x="1"/>
        <n x="7"/>
        <n x="1337" s="1"/>
      </t>
    </mdx>
    <mdx n="33" f="v">
      <t c="4">
        <n x="517"/>
        <n x="1"/>
        <n x="7"/>
        <n x="1337" s="1"/>
      </t>
    </mdx>
    <mdx n="33" f="v">
      <t c="4">
        <n x="182"/>
        <n x="1"/>
        <n x="7"/>
        <n x="1337" s="1"/>
      </t>
    </mdx>
    <mdx n="33" f="v">
      <t c="4" si="10">
        <n x="971"/>
        <n x="11"/>
        <n x="32"/>
        <n x="1337" s="1"/>
      </t>
    </mdx>
    <mdx n="33" f="v">
      <t c="4">
        <n x="379"/>
        <n x="11"/>
        <n x="32"/>
        <n x="1337" s="1"/>
      </t>
    </mdx>
    <mdx n="33" f="v">
      <t c="4">
        <n x="1294"/>
        <n x="12"/>
        <n x="32"/>
        <n x="1337" s="1"/>
      </t>
    </mdx>
    <mdx n="33" f="v">
      <t c="4" si="10">
        <n x="1050"/>
        <n x="12"/>
        <n x="32"/>
        <n x="1337" s="1"/>
      </t>
    </mdx>
    <mdx n="33" f="v">
      <t c="4" si="10">
        <n x="479"/>
        <n x="12"/>
        <n x="32"/>
        <n x="1337" s="1"/>
      </t>
    </mdx>
    <mdx n="33" f="v">
      <t c="4">
        <n x="215"/>
        <n x="12"/>
        <n x="32"/>
        <n x="1337" s="1"/>
      </t>
    </mdx>
    <mdx n="33" f="v">
      <t c="4" si="10">
        <n x="1024"/>
        <n x="14"/>
        <n x="32"/>
        <n x="1337" s="1"/>
      </t>
    </mdx>
    <mdx n="33" f="v">
      <t c="4">
        <n x="431"/>
        <n x="14"/>
        <n x="32"/>
        <n x="1337" s="1"/>
      </t>
    </mdx>
    <mdx n="33" f="v">
      <t c="4">
        <n x="111"/>
        <n x="14"/>
        <n x="32"/>
        <n x="1337" s="1"/>
      </t>
    </mdx>
    <mdx n="33" f="v">
      <t c="3">
        <n x="1114"/>
        <n x="1336"/>
        <n x="1337" s="1"/>
      </t>
    </mdx>
    <mdx n="33" f="v">
      <t c="4">
        <n x="101"/>
        <n x="11"/>
        <n x="7"/>
        <n x="1337" s="1"/>
      </t>
    </mdx>
    <mdx n="33" f="v">
      <t c="4" si="10">
        <n x="415"/>
        <n x="11"/>
        <n x="32"/>
        <n x="1337" s="1"/>
      </t>
    </mdx>
    <mdx n="33" f="v">
      <t c="4">
        <n x="232"/>
        <n x="12"/>
        <n x="32"/>
        <n x="1337" s="1"/>
      </t>
    </mdx>
    <mdx n="33" f="v">
      <t c="4" si="10">
        <n x="477"/>
        <n x="14"/>
        <n x="32"/>
        <n x="1337" s="1"/>
      </t>
    </mdx>
    <mdx n="33" f="v">
      <t c="4">
        <n x="782"/>
        <n x="1"/>
        <n x="32"/>
        <n x="1337" s="1"/>
      </t>
    </mdx>
    <mdx n="33" f="v">
      <t c="3">
        <n x="119"/>
        <n x="1336"/>
        <n x="1337" s="1"/>
      </t>
    </mdx>
    <mdx n="33" f="v">
      <t c="4">
        <n x="1136"/>
        <n x="0"/>
        <n x="7"/>
        <n x="1337" s="1"/>
      </t>
    </mdx>
    <mdx n="33" f="v">
      <t c="4">
        <n x="285"/>
        <n x="1"/>
        <n x="7"/>
        <n x="1337" s="1"/>
      </t>
    </mdx>
    <mdx n="33" f="v">
      <t c="4">
        <n x="332"/>
        <n x="14"/>
        <n x="32"/>
        <n x="1337" s="1"/>
      </t>
    </mdx>
    <mdx n="33" f="v">
      <t c="4">
        <n x="119"/>
        <n x="0"/>
        <n x="7"/>
        <n x="1337" s="1"/>
      </t>
    </mdx>
    <mdx n="33" f="v">
      <t c="4">
        <n x="274"/>
        <n x="14"/>
        <n x="7"/>
        <n x="1337" s="1"/>
      </t>
    </mdx>
    <mdx n="33" f="v">
      <t c="4">
        <n x="532"/>
        <n x="1"/>
        <n x="7"/>
        <n x="1337" s="1"/>
      </t>
    </mdx>
    <mdx n="33" f="v">
      <t c="4" si="10">
        <n x="1309"/>
        <n x="12"/>
        <n x="32"/>
        <n x="1337" s="1"/>
      </t>
    </mdx>
    <mdx n="33" f="v">
      <t c="4" si="10">
        <n x="1332"/>
        <n x="14"/>
        <n x="32"/>
        <n x="1337" s="1"/>
      </t>
    </mdx>
    <mdx n="33" f="v">
      <t c="4">
        <n x="383"/>
        <n x="14"/>
        <n x="32"/>
        <n x="1337" s="1"/>
      </t>
    </mdx>
    <mdx n="33" f="v">
      <t c="4">
        <n x="94"/>
        <n x="1"/>
        <n x="32"/>
        <n x="1337" s="1"/>
      </t>
    </mdx>
    <mdx n="33" f="v">
      <t c="4">
        <n x="1323"/>
        <n x="0"/>
        <n x="7"/>
        <n x="1337" s="1"/>
      </t>
    </mdx>
    <mdx n="33" f="v">
      <t c="4">
        <n x="287"/>
        <n x="0"/>
        <n x="7"/>
        <n x="1337" s="1"/>
      </t>
    </mdx>
    <mdx n="33" f="v">
      <t c="4">
        <n x="369"/>
        <n x="12"/>
        <n x="32"/>
        <n x="1337" s="1"/>
      </t>
    </mdx>
    <mdx n="33" f="v">
      <t c="3">
        <n x="97"/>
        <n x="1336"/>
        <n x="1337" s="1"/>
      </t>
    </mdx>
    <mdx n="33" f="v">
      <t c="4">
        <n x="939"/>
        <n x="11"/>
        <n x="32"/>
        <n x="1337" s="1"/>
      </t>
    </mdx>
    <mdx n="33" f="v">
      <t c="4">
        <n x="257"/>
        <n x="11"/>
        <n x="7"/>
        <n x="1337" s="1"/>
      </t>
    </mdx>
    <mdx n="33" f="v">
      <t c="4" si="10">
        <n x="982"/>
        <n x="11"/>
        <n x="32"/>
        <n x="1337" s="1"/>
      </t>
    </mdx>
    <mdx n="33" f="v">
      <t c="4">
        <n x="490"/>
        <n x="12"/>
        <n x="32"/>
        <n x="1337" s="1"/>
      </t>
    </mdx>
    <mdx n="33" f="v">
      <t c="4" si="10">
        <n x="554"/>
        <n x="14"/>
        <n x="32"/>
        <n x="1337" s="1"/>
      </t>
    </mdx>
    <mdx n="33" f="v">
      <t c="4">
        <n x="148"/>
        <n x="14"/>
        <n x="32"/>
        <n x="1337" s="1"/>
      </t>
    </mdx>
    <mdx n="33" f="v">
      <t c="3">
        <n x="287"/>
        <n x="1336"/>
        <n x="1337" s="1"/>
      </t>
    </mdx>
    <mdx n="33" f="v">
      <t c="4">
        <n x="1194"/>
        <n x="0"/>
        <n x="7"/>
        <n x="1337" s="1"/>
      </t>
    </mdx>
    <mdx n="33" f="v">
      <t c="4">
        <n x="732"/>
        <n x="1"/>
        <n x="7"/>
        <n x="1337" s="1"/>
      </t>
    </mdx>
    <mdx n="33" f="v">
      <t c="4">
        <n x="987"/>
        <n x="11"/>
        <n x="7"/>
        <n x="1337" s="1"/>
      </t>
    </mdx>
    <mdx n="33" f="v">
      <t c="4">
        <n x="1125"/>
        <n x="12"/>
        <n x="32"/>
        <n x="1337" s="1"/>
      </t>
    </mdx>
    <mdx n="33" f="v">
      <t c="4">
        <n x="63"/>
        <n x="1"/>
        <n x="32"/>
        <n x="1337" s="1"/>
      </t>
    </mdx>
    <mdx n="33" f="v">
      <t c="4" si="9">
        <n x="679"/>
        <n x="14"/>
        <n x="7"/>
        <n x="1337" s="1"/>
      </t>
    </mdx>
    <mdx n="33" f="v">
      <t c="4" si="10">
        <n x="876"/>
        <n x="12"/>
        <n x="32"/>
        <n x="1337" s="1"/>
      </t>
    </mdx>
    <mdx n="33" f="v">
      <t c="4">
        <n x="1102"/>
        <n x="14"/>
        <n x="7"/>
        <n x="1337" s="1"/>
      </t>
    </mdx>
    <mdx n="33" f="v">
      <t c="4">
        <n x="936"/>
        <n x="11"/>
        <n x="32"/>
        <n x="1337" s="1"/>
      </t>
    </mdx>
    <mdx n="33" f="v">
      <t c="4">
        <n x="191"/>
        <n x="14"/>
        <n x="7"/>
        <n x="1337" s="1"/>
      </t>
    </mdx>
    <mdx n="33" f="v">
      <t c="4">
        <n x="74"/>
        <n x="11"/>
        <n x="7"/>
        <n x="1337" s="1"/>
      </t>
    </mdx>
    <mdx n="33" f="v">
      <t c="4">
        <n x="259"/>
        <n x="12"/>
        <n x="32"/>
        <n x="1337" s="1"/>
      </t>
    </mdx>
    <mdx n="33" f="v">
      <t c="4">
        <n x="567"/>
        <n x="11"/>
        <n x="7"/>
        <n x="1337" s="1"/>
      </t>
    </mdx>
    <mdx n="33" f="v">
      <t c="4">
        <n x="598"/>
        <n x="1"/>
        <n x="7"/>
        <n x="1337" s="1"/>
      </t>
    </mdx>
    <mdx n="33" f="v">
      <t c="4">
        <n x="545"/>
        <n x="11"/>
        <n x="32"/>
        <n x="1337" s="1"/>
      </t>
    </mdx>
    <mdx n="33" f="v">
      <t c="4">
        <n x="1099"/>
        <n x="12"/>
        <n x="32"/>
        <n x="1337" s="1"/>
      </t>
    </mdx>
    <mdx n="33" f="v">
      <t c="4">
        <n x="283"/>
        <n x="12"/>
        <n x="32"/>
        <n x="1337" s="1"/>
      </t>
    </mdx>
    <mdx n="33" f="v">
      <t c="4">
        <n x="930"/>
        <n x="0"/>
        <n x="7"/>
        <n x="1337" s="1"/>
      </t>
    </mdx>
    <mdx n="33" f="v">
      <t c="4">
        <n x="236"/>
        <n x="14"/>
        <n x="7"/>
        <n x="1337" s="1"/>
      </t>
    </mdx>
    <mdx n="33" f="v">
      <t c="4">
        <n x="322"/>
        <n x="11"/>
        <n x="7"/>
        <n x="1337" s="1"/>
      </t>
    </mdx>
    <mdx n="33" f="v">
      <t c="4">
        <n x="553"/>
        <n x="1"/>
        <n x="7"/>
        <n x="1337" s="1"/>
      </t>
    </mdx>
    <mdx n="33" f="v">
      <t c="4" si="10">
        <n x="975"/>
        <n x="11"/>
        <n x="32"/>
        <n x="1337" s="1"/>
      </t>
    </mdx>
    <mdx n="33" f="v">
      <t c="4">
        <n x="618"/>
        <n x="11"/>
        <n x="7"/>
        <n x="1337" s="1"/>
      </t>
    </mdx>
    <mdx n="33" f="v">
      <t c="4">
        <n x="1231"/>
        <n x="0"/>
        <n x="7"/>
        <n x="1337" s="1"/>
      </t>
    </mdx>
    <mdx n="33" f="v">
      <t c="4">
        <n x="303"/>
        <n x="1"/>
        <n x="7"/>
        <n x="1337" s="1"/>
      </t>
    </mdx>
    <mdx n="33" f="v">
      <t c="4">
        <n x="300"/>
        <n x="1"/>
        <n x="32"/>
        <n x="1337" s="1"/>
      </t>
    </mdx>
    <mdx n="33" f="v">
      <t c="4">
        <n x="296"/>
        <n x="14"/>
        <n x="7"/>
        <n x="1337" s="1"/>
      </t>
    </mdx>
    <mdx n="33" f="v">
      <t c="4">
        <n x="700"/>
        <n x="14"/>
        <n x="7"/>
        <n x="1337" s="1"/>
      </t>
    </mdx>
    <mdx n="33" f="v">
      <t c="4" si="9">
        <n x="498"/>
        <n x="14"/>
        <n x="7"/>
        <n x="1337" s="1"/>
      </t>
    </mdx>
    <mdx n="33" f="v">
      <t c="4">
        <n x="977"/>
        <n x="11"/>
        <n x="7"/>
        <n x="1337" s="1"/>
      </t>
    </mdx>
    <mdx n="33" f="v">
      <t c="4" si="10">
        <n x="606"/>
        <n x="14"/>
        <n x="32"/>
        <n x="1337" s="1"/>
      </t>
    </mdx>
    <mdx n="33" f="v">
      <t c="4">
        <n x="328"/>
        <n x="1"/>
        <n x="7"/>
        <n x="1337" s="1"/>
      </t>
    </mdx>
    <mdx n="33" f="v">
      <t c="4">
        <n x="552"/>
        <n x="12"/>
        <n x="32"/>
        <n x="1337" s="1"/>
      </t>
    </mdx>
    <mdx n="33" f="v">
      <t c="3">
        <n x="1094"/>
        <n x="1336"/>
        <n x="1337" s="1"/>
      </t>
    </mdx>
    <mdx n="33" f="v">
      <t c="4">
        <n x="1106"/>
        <n x="1"/>
        <n x="7"/>
        <n x="1337" s="1"/>
      </t>
    </mdx>
    <mdx n="33" f="v">
      <t c="4">
        <n x="343"/>
        <n x="11"/>
        <n x="32"/>
        <n x="1337" s="1"/>
      </t>
    </mdx>
    <mdx n="33" f="v">
      <t c="4">
        <n x="211"/>
        <n x="12"/>
        <n x="32"/>
        <n x="1337" s="1"/>
      </t>
    </mdx>
    <mdx n="33" f="v">
      <t c="4">
        <n x="1028"/>
        <n x="14"/>
        <n x="7"/>
        <n x="1337" s="1"/>
      </t>
    </mdx>
    <mdx n="33" f="v">
      <t c="4">
        <n x="341"/>
        <n x="14"/>
        <n x="32"/>
        <n x="1337" s="1"/>
      </t>
    </mdx>
    <mdx n="33" f="v">
      <t c="4">
        <n x="1285"/>
        <n x="12"/>
        <n x="32"/>
        <n x="1337" s="1"/>
      </t>
    </mdx>
    <mdx n="33" f="v">
      <t c="4">
        <n x="178"/>
        <n x="1"/>
        <n x="7"/>
        <n x="1337" s="1"/>
      </t>
    </mdx>
    <mdx n="33" f="v">
      <t c="3">
        <n x="768"/>
        <n x="1336"/>
        <n x="1337" s="1"/>
      </t>
    </mdx>
    <mdx n="33" f="v">
      <t c="4">
        <n x="952"/>
        <n x="0"/>
        <n x="7"/>
        <n x="1337" s="1"/>
      </t>
    </mdx>
    <mdx n="33" f="v">
      <t c="4" si="10">
        <n x="1077"/>
        <n x="12"/>
        <n x="32"/>
        <n x="1337" s="1"/>
      </t>
    </mdx>
    <mdx n="33" f="v">
      <t c="4">
        <n x="144"/>
        <n x="1"/>
        <n x="32"/>
        <n x="1337" s="1"/>
      </t>
    </mdx>
    <mdx n="33" f="v">
      <t c="4">
        <n x="871"/>
        <n x="12"/>
        <n x="7"/>
        <n x="1337" s="1"/>
      </t>
    </mdx>
    <mdx n="33" f="v">
      <t c="4">
        <n x="87"/>
        <n x="1"/>
        <n x="32"/>
        <n x="1337" s="1"/>
      </t>
    </mdx>
    <mdx n="33" f="v">
      <t c="3">
        <n x="939"/>
        <n x="1336"/>
        <n x="1337" s="1"/>
      </t>
    </mdx>
    <mdx n="33" f="v">
      <t c="4">
        <n x="971"/>
        <n x="1"/>
        <n x="32"/>
        <n x="1337" s="1"/>
      </t>
    </mdx>
    <mdx n="33" f="v">
      <t c="4">
        <n x="790"/>
        <n x="14"/>
        <n x="7"/>
        <n x="1337" s="1"/>
      </t>
    </mdx>
    <mdx n="33" f="v">
      <t c="4">
        <n x="1088"/>
        <n x="1"/>
        <n x="32"/>
        <n x="1337" s="1"/>
      </t>
    </mdx>
    <mdx n="33" f="v">
      <t c="4" si="9">
        <n x="938"/>
        <n x="0"/>
        <n x="7"/>
        <n x="1337" s="1"/>
      </t>
    </mdx>
    <mdx n="33" f="v">
      <t c="4">
        <n x="985"/>
        <n x="11"/>
        <n x="32"/>
        <n x="1337" s="1"/>
      </t>
    </mdx>
    <mdx n="33" f="v">
      <t c="4">
        <n x="940"/>
        <n x="0"/>
        <n x="7"/>
        <n x="1337" s="1"/>
      </t>
    </mdx>
    <mdx n="33" f="v">
      <t c="4">
        <n x="290"/>
        <n x="11"/>
        <n x="7"/>
        <n x="1337" s="1"/>
      </t>
    </mdx>
    <mdx n="33" f="v">
      <t c="4">
        <n x="316"/>
        <n x="1"/>
        <n x="7"/>
        <n x="1337" s="1"/>
      </t>
    </mdx>
    <mdx n="33" f="v">
      <t c="4">
        <n x="179"/>
        <n x="11"/>
        <n x="32"/>
        <n x="1337" s="1"/>
      </t>
    </mdx>
    <mdx n="33" f="v">
      <t c="4" si="10">
        <n x="576"/>
        <n x="12"/>
        <n x="32"/>
        <n x="1337" s="1"/>
      </t>
    </mdx>
    <mdx n="33" f="v">
      <t c="4" si="10">
        <n x="760"/>
        <n x="1"/>
        <n x="32"/>
        <n x="1337" s="1"/>
      </t>
    </mdx>
    <mdx n="33" f="v">
      <t c="4">
        <n x="1075"/>
        <n x="12"/>
        <n x="7"/>
        <n x="1337" s="1"/>
      </t>
    </mdx>
    <mdx n="33" f="v">
      <t c="4">
        <n x="1004"/>
        <n x="11"/>
        <n x="7"/>
        <n x="1337" s="1"/>
      </t>
    </mdx>
    <mdx n="33" f="v">
      <t c="4">
        <n x="94"/>
        <n x="11"/>
        <n x="7"/>
        <n x="1337" s="1"/>
      </t>
    </mdx>
    <mdx n="33" f="v">
      <t c="4">
        <n x="343"/>
        <n x="1"/>
        <n x="7"/>
        <n x="1337" s="1"/>
      </t>
    </mdx>
    <mdx n="33" f="v">
      <t c="4">
        <n x="464"/>
        <n x="11"/>
        <n x="32"/>
        <n x="1337" s="1"/>
      </t>
    </mdx>
    <mdx n="33" f="v">
      <t c="4">
        <n x="1334"/>
        <n x="12"/>
        <n x="32"/>
        <n x="1337" s="1"/>
      </t>
    </mdx>
    <mdx n="33" f="v">
      <t c="4">
        <n x="280"/>
        <n x="12"/>
        <n x="32"/>
        <n x="1337" s="1"/>
      </t>
    </mdx>
    <mdx n="33" f="v">
      <t c="4">
        <n x="516"/>
        <n x="14"/>
        <n x="32"/>
        <n x="1337" s="1"/>
      </t>
    </mdx>
    <mdx n="33" f="v">
      <t c="4">
        <n x="901"/>
        <n x="1"/>
        <n x="7"/>
        <n x="1337" s="1"/>
      </t>
    </mdx>
    <mdx n="33" f="v">
      <t c="4">
        <n x="1086"/>
        <n x="11"/>
        <n x="32"/>
        <n x="1337" s="1"/>
      </t>
    </mdx>
    <mdx n="33" f="v">
      <t c="4" si="10">
        <n x="589"/>
        <n x="14"/>
        <n x="32"/>
        <n x="1337" s="1"/>
      </t>
    </mdx>
    <mdx n="33" f="v">
      <t c="3">
        <n x="781"/>
        <n x="1336"/>
        <n x="1337" s="1"/>
      </t>
    </mdx>
    <mdx n="33" f="v">
      <t c="4">
        <n x="66"/>
        <n x="0"/>
        <n x="7"/>
        <n x="1337" s="1"/>
      </t>
    </mdx>
    <mdx n="33" f="v">
      <t c="4">
        <n x="1281"/>
        <n x="0"/>
        <n x="7"/>
        <n x="1337" s="1"/>
      </t>
    </mdx>
    <mdx n="33" f="v">
      <t c="4">
        <n x="81"/>
        <n x="11"/>
        <n x="7"/>
        <n x="1337" s="1"/>
      </t>
    </mdx>
    <mdx n="33" f="v">
      <t c="4">
        <n x="258"/>
        <n x="12"/>
        <n x="32"/>
        <n x="1337" s="1"/>
      </t>
    </mdx>
    <mdx n="33" f="v">
      <t c="4">
        <n x="90"/>
        <n x="14"/>
        <n x="32"/>
        <n x="1337" s="1"/>
      </t>
    </mdx>
    <mdx n="33" f="v">
      <t c="4">
        <n x="1151"/>
        <n x="0"/>
        <n x="7"/>
        <n x="1337" s="1"/>
      </t>
    </mdx>
    <mdx n="33" f="v">
      <t c="4">
        <n x="98"/>
        <n x="14"/>
        <n x="32"/>
        <n x="1337" s="1"/>
      </t>
    </mdx>
    <mdx n="33" f="v">
      <t c="4">
        <n x="1014"/>
        <n x="11"/>
        <n x="7"/>
        <n x="1337" s="1"/>
      </t>
    </mdx>
    <mdx n="33" f="v">
      <t c="4">
        <n x="471"/>
        <n x="11"/>
        <n x="32"/>
        <n x="1337" s="1"/>
      </t>
    </mdx>
    <mdx n="33" f="v">
      <t c="4" si="10">
        <n x="1113"/>
        <n x="14"/>
        <n x="32"/>
        <n x="1337" s="1"/>
      </t>
    </mdx>
    <mdx n="33" f="v">
      <t c="4">
        <n x="203"/>
        <n x="14"/>
        <n x="32"/>
        <n x="1337" s="1"/>
      </t>
    </mdx>
    <mdx n="33" f="v">
      <t c="3">
        <n x="152"/>
        <n x="1336"/>
        <n x="1337" s="1"/>
      </t>
    </mdx>
    <mdx n="33" f="v">
      <t c="4">
        <n x="282"/>
        <n x="0"/>
        <n x="7"/>
        <n x="1337" s="1"/>
      </t>
    </mdx>
    <mdx n="33" f="v">
      <t c="4">
        <n x="182"/>
        <n x="14"/>
        <n x="7"/>
        <n x="1337" s="1"/>
      </t>
    </mdx>
    <mdx n="33" f="v">
      <t c="4">
        <n x="289"/>
        <n x="12"/>
        <n x="32"/>
        <n x="1337" s="1"/>
      </t>
    </mdx>
    <mdx n="33" f="v">
      <t c="4">
        <n x="949"/>
        <n x="0"/>
        <n x="7"/>
        <n x="1337" s="1"/>
      </t>
    </mdx>
    <mdx n="33" f="v">
      <t c="4">
        <n x="1210"/>
        <n x="12"/>
        <n x="7"/>
        <n x="1337" s="1"/>
      </t>
    </mdx>
    <mdx n="33" f="v">
      <t c="4">
        <n x="1029"/>
        <n x="12"/>
        <n x="7"/>
        <n x="1337" s="1"/>
      </t>
    </mdx>
    <mdx n="33" f="v">
      <t c="4">
        <n x="851"/>
        <n x="11"/>
        <n x="7"/>
        <n x="1337" s="1"/>
      </t>
    </mdx>
    <mdx n="33" f="v">
      <t c="4">
        <n x="1179"/>
        <n x="12"/>
        <n x="7"/>
        <n x="1337" s="1"/>
      </t>
    </mdx>
    <mdx n="33" f="v">
      <t c="4">
        <n x="1206"/>
        <n x="0"/>
        <n x="32"/>
        <n x="1337" s="1"/>
      </t>
    </mdx>
    <mdx n="33" f="v">
      <t c="4">
        <n x="361"/>
        <n x="11"/>
        <n x="32"/>
        <n x="1337" s="1"/>
      </t>
    </mdx>
    <mdx n="33" f="v">
      <t c="4" si="10">
        <n x="1216"/>
        <n x="0"/>
        <n x="32"/>
        <n x="1337" s="1"/>
      </t>
    </mdx>
    <mdx n="33" f="v">
      <t c="4">
        <n x="176"/>
        <n x="11"/>
        <n x="7"/>
        <n x="1337" s="1"/>
      </t>
    </mdx>
    <mdx n="33" f="v">
      <t c="4">
        <n x="157"/>
        <n x="1"/>
        <n x="7"/>
        <n x="1337" s="1"/>
      </t>
    </mdx>
    <mdx n="33" f="v">
      <t c="4">
        <n x="109"/>
        <n x="11"/>
        <n x="32"/>
        <n x="1337" s="1"/>
      </t>
    </mdx>
    <mdx n="33" f="v">
      <t c="4">
        <n x="504"/>
        <n x="12"/>
        <n x="32"/>
        <n x="1337" s="1"/>
      </t>
    </mdx>
    <mdx n="33" f="v">
      <t c="4" si="10">
        <n x="843"/>
        <n x="12"/>
        <n x="32"/>
        <n x="1337" s="1"/>
      </t>
    </mdx>
    <mdx n="33" f="v">
      <t c="4">
        <n x="1146"/>
        <n x="0"/>
        <n x="32"/>
        <n x="1337" s="1"/>
      </t>
    </mdx>
    <mdx n="33" f="v">
      <t c="4">
        <n x="592"/>
        <n x="11"/>
        <n x="7"/>
        <n x="1337" s="1"/>
      </t>
    </mdx>
    <mdx n="33" f="v">
      <t c="4">
        <n x="1122"/>
        <n x="1"/>
        <n x="7"/>
        <n x="1337" s="1"/>
      </t>
    </mdx>
    <mdx n="33" f="v">
      <t c="4">
        <n x="217"/>
        <n x="1"/>
        <n x="7"/>
        <n x="1337" s="1"/>
      </t>
    </mdx>
    <mdx n="33" f="v">
      <t c="4">
        <n x="392"/>
        <n x="11"/>
        <n x="32"/>
        <n x="1337" s="1"/>
      </t>
    </mdx>
    <mdx n="33" f="v">
      <t c="4" si="10">
        <n x="1062"/>
        <n x="12"/>
        <n x="32"/>
        <n x="1337" s="1"/>
      </t>
    </mdx>
    <mdx n="33" f="v">
      <t c="4">
        <n x="152"/>
        <n x="12"/>
        <n x="32"/>
        <n x="1337" s="1"/>
      </t>
    </mdx>
    <mdx n="33" f="v">
      <t c="4">
        <n x="443"/>
        <n x="14"/>
        <n x="32"/>
        <n x="1337" s="1"/>
      </t>
    </mdx>
    <mdx n="33" f="v">
      <t c="4">
        <n x="1076"/>
        <n x="0"/>
        <n x="32"/>
        <n x="1337" s="1"/>
      </t>
    </mdx>
    <mdx n="33" f="v">
      <t c="4">
        <n x="463"/>
        <n x="11"/>
        <n x="32"/>
        <n x="1337" s="1"/>
      </t>
    </mdx>
    <mdx n="33" f="v">
      <t c="4" si="10">
        <n x="493"/>
        <n x="14"/>
        <n x="32"/>
        <n x="1337" s="1"/>
      </t>
    </mdx>
    <mdx n="33" f="v">
      <t c="3">
        <n x="148"/>
        <n x="1336"/>
        <n x="1337" s="1"/>
      </t>
    </mdx>
    <mdx n="33" f="v">
      <t c="4">
        <n x="411"/>
        <n x="1"/>
        <n x="7"/>
        <n x="1337" s="1"/>
      </t>
    </mdx>
    <mdx n="33" f="v">
      <t c="4">
        <n x="289"/>
        <n x="0"/>
        <n x="7"/>
        <n x="1337" s="1"/>
      </t>
    </mdx>
    <mdx n="33" f="v">
      <t c="4">
        <n x="580"/>
        <n x="1"/>
        <n x="7"/>
        <n x="1337" s="1"/>
      </t>
    </mdx>
    <mdx n="33" f="v">
      <t c="4">
        <n x="108"/>
        <n x="12"/>
        <n x="32"/>
        <n x="1337" s="1"/>
      </t>
    </mdx>
    <mdx n="33" f="v">
      <t c="4">
        <n x="112"/>
        <n x="1"/>
        <n x="32"/>
        <n x="1337" s="1"/>
      </t>
    </mdx>
    <mdx n="33" f="v">
      <t c="4">
        <n x="299"/>
        <n x="0"/>
        <n x="7"/>
        <n x="1337" s="1"/>
      </t>
    </mdx>
    <mdx n="33" f="v">
      <t c="3">
        <n x="290"/>
        <n x="1336"/>
        <n x="1337" s="1"/>
      </t>
    </mdx>
    <mdx n="33" f="v">
      <t c="4">
        <n x="345"/>
        <n x="11"/>
        <n x="7"/>
        <n x="1337" s="1"/>
      </t>
    </mdx>
    <mdx n="33" f="v">
      <t c="4">
        <n x="282"/>
        <n x="11"/>
        <n x="32"/>
        <n x="1337" s="1"/>
      </t>
    </mdx>
    <mdx n="33" f="v">
      <t c="4" si="10">
        <n x="1017"/>
        <n x="14"/>
        <n x="32"/>
        <n x="1337" s="1"/>
      </t>
    </mdx>
    <mdx n="33" f="v">
      <t c="4">
        <n x="137"/>
        <n x="14"/>
        <n x="32"/>
        <n x="1337" s="1"/>
      </t>
    </mdx>
    <mdx n="33" f="v">
      <t c="3">
        <n x="55"/>
        <n x="1336"/>
        <n x="1337" s="1"/>
      </t>
    </mdx>
    <mdx n="33" f="v">
      <t c="4">
        <n x="129"/>
        <n x="0"/>
        <n x="7"/>
        <n x="1337" s="1"/>
      </t>
    </mdx>
    <mdx n="33" f="v">
      <t c="4">
        <n x="421"/>
        <n x="11"/>
        <n x="7"/>
        <n x="1337" s="1"/>
      </t>
    </mdx>
    <mdx n="33" f="v">
      <t c="4" si="10">
        <n x="975"/>
        <n x="14"/>
        <n x="32"/>
        <n x="1337" s="1"/>
      </t>
    </mdx>
    <mdx n="33" f="v">
      <t c="4">
        <n x="84"/>
        <n x="0"/>
        <n x="7"/>
        <n x="1337" s="1"/>
      </t>
    </mdx>
    <mdx n="33" f="v">
      <t c="4" si="10">
        <n x="958"/>
        <n x="12"/>
        <n x="32"/>
        <n x="1337" s="1"/>
      </t>
    </mdx>
    <mdx n="33" f="v">
      <t c="4">
        <n x="79"/>
        <n x="12"/>
        <n x="32"/>
        <n x="1337" s="1"/>
      </t>
    </mdx>
    <mdx n="33" f="v">
      <t c="4">
        <n x="338"/>
        <n x="14"/>
        <n x="32"/>
        <n x="1337" s="1"/>
      </t>
    </mdx>
    <mdx n="33" f="v">
      <t c="4">
        <n x="104"/>
        <n x="14"/>
        <n x="7"/>
        <n x="1337" s="1"/>
      </t>
    </mdx>
    <mdx n="33" f="v">
      <t c="4" si="10">
        <n x="1217"/>
        <n x="12"/>
        <n x="32"/>
        <n x="1337" s="1"/>
      </t>
    </mdx>
    <mdx n="33" f="v">
      <t c="4">
        <n x="352"/>
        <n x="14"/>
        <n x="32"/>
        <n x="1337" s="1"/>
      </t>
    </mdx>
    <mdx n="33" f="v">
      <t c="4">
        <n x="1268"/>
        <n x="0"/>
        <n x="7"/>
        <n x="1337" s="1"/>
      </t>
    </mdx>
    <mdx n="33" f="v">
      <t c="4">
        <n x="226"/>
        <n x="12"/>
        <n x="32"/>
        <n x="1337" s="1"/>
      </t>
    </mdx>
    <mdx n="33" f="v">
      <t c="4">
        <n x="1117"/>
        <n x="1"/>
        <n x="32"/>
        <n x="1337" s="1"/>
      </t>
    </mdx>
    <mdx n="33" f="v">
      <t c="4">
        <n x="462"/>
        <n x="12"/>
        <n x="32"/>
        <n x="1337" s="1"/>
      </t>
    </mdx>
    <mdx n="33" f="v">
      <t c="3">
        <n x="292"/>
        <n x="1336"/>
        <n x="1337" s="1"/>
      </t>
    </mdx>
    <mdx n="33" f="v">
      <t c="4">
        <n x="173"/>
        <n x="14"/>
        <n x="32"/>
        <n x="1337" s="1"/>
      </t>
    </mdx>
    <mdx n="33" f="v">
      <t c="4" si="9">
        <n x="560"/>
        <n x="1"/>
        <n x="7"/>
        <n x="1337" s="1"/>
      </t>
    </mdx>
    <mdx n="33" f="v">
      <t c="4" si="10">
        <n x="1049"/>
        <n x="14"/>
        <n x="32"/>
        <n x="1337" s="1"/>
      </t>
    </mdx>
    <mdx n="33" f="v">
      <t c="4">
        <n x="73"/>
        <n x="1"/>
        <n x="32"/>
        <n x="1337" s="1"/>
      </t>
    </mdx>
    <mdx n="33" f="v">
      <t c="4" si="10">
        <n x="681"/>
        <n x="14"/>
        <n x="32"/>
        <n x="1337" s="1"/>
      </t>
    </mdx>
    <mdx n="33" f="v">
      <t c="4">
        <n x="353"/>
        <n x="12"/>
        <n x="32"/>
        <n x="1337" s="1"/>
      </t>
    </mdx>
    <mdx n="33" f="v">
      <t c="3">
        <n x="752"/>
        <n x="1336"/>
        <n x="1337" s="1"/>
      </t>
    </mdx>
    <mdx n="33" f="v">
      <t c="4" si="10">
        <n x="1303"/>
        <n x="0"/>
        <n x="32"/>
        <n x="1337" s="1"/>
      </t>
    </mdx>
    <mdx n="33" f="v">
      <t c="4">
        <n x="229"/>
        <n x="14"/>
        <n x="7"/>
        <n x="1337" s="1"/>
      </t>
    </mdx>
    <mdx n="33" f="v">
      <t c="4" si="10">
        <n x="525"/>
        <n x="12"/>
        <n x="32"/>
        <n x="1337" s="1"/>
      </t>
    </mdx>
    <mdx n="33" f="v">
      <t c="4">
        <n x="1095"/>
        <n x="1"/>
        <n x="7"/>
        <n x="1337" s="1"/>
      </t>
    </mdx>
    <mdx n="33" f="v">
      <t c="4">
        <n x="1239"/>
        <n x="12"/>
        <n x="32"/>
        <n x="1337" s="1"/>
      </t>
    </mdx>
    <mdx n="33" f="v">
      <t c="4" si="10">
        <n x="851"/>
        <n x="11"/>
        <n x="32"/>
        <n x="1337" s="1"/>
      </t>
    </mdx>
    <mdx n="33" f="v">
      <t c="4">
        <n x="571"/>
        <n x="11"/>
        <n x="7"/>
        <n x="1337" s="1"/>
      </t>
    </mdx>
    <mdx n="33" f="v">
      <t c="4">
        <n x="290"/>
        <n x="1"/>
        <n x="7"/>
        <n x="1337" s="1"/>
      </t>
    </mdx>
    <mdx n="33" f="v">
      <t c="4">
        <n x="1078"/>
        <n x="12"/>
        <n x="32"/>
        <n x="1337" s="1"/>
      </t>
    </mdx>
    <mdx n="33" f="v">
      <t c="4" si="10">
        <n x="492"/>
        <n x="14"/>
        <n x="32"/>
        <n x="1337" s="1"/>
      </t>
    </mdx>
    <mdx n="33" f="v">
      <t c="4">
        <n x="1118"/>
        <n x="11"/>
        <n x="32"/>
        <n x="1337" s="1"/>
      </t>
    </mdx>
    <mdx n="33" f="v">
      <t c="4">
        <n x="61"/>
        <n x="1"/>
        <n x="32"/>
        <n x="1337" s="1"/>
      </t>
    </mdx>
    <mdx n="33" f="v">
      <t c="3">
        <n x="142"/>
        <n x="1336"/>
        <n x="1337" s="1"/>
      </t>
    </mdx>
    <mdx n="33" f="v">
      <t c="4" si="10">
        <n x="478"/>
        <n x="12"/>
        <n x="32"/>
        <n x="1337" s="1"/>
      </t>
    </mdx>
    <mdx n="33" f="v">
      <t c="4">
        <n x="1159"/>
        <n x="0"/>
        <n x="7"/>
        <n x="1337" s="1"/>
      </t>
    </mdx>
    <mdx n="33" f="v">
      <t c="4" si="9">
        <n x="616"/>
        <n x="14"/>
        <n x="7"/>
        <n x="1337" s="1"/>
      </t>
    </mdx>
    <mdx n="33" f="v">
      <t c="4">
        <n x="139"/>
        <n x="12"/>
        <n x="32"/>
        <n x="1337" s="1"/>
      </t>
    </mdx>
    <mdx n="33" f="v">
      <t c="3">
        <n x="291"/>
        <n x="1336"/>
        <n x="1337" s="1"/>
      </t>
    </mdx>
    <mdx n="33" f="v">
      <t c="4">
        <n x="1124"/>
        <n x="0"/>
        <n x="32"/>
        <n x="1337" s="1"/>
      </t>
    </mdx>
    <mdx n="33" f="v">
      <t c="3">
        <n x="294"/>
        <n x="1336"/>
        <n x="1337" s="1"/>
      </t>
    </mdx>
    <mdx n="33" f="v">
      <t c="4" si="9">
        <n x="485"/>
        <n x="11"/>
        <n x="7"/>
        <n x="1337" s="1"/>
      </t>
    </mdx>
    <mdx n="33" f="v">
      <t c="4" si="10">
        <n x="976"/>
        <n x="11"/>
        <n x="32"/>
        <n x="1337" s="1"/>
      </t>
    </mdx>
    <mdx n="33" f="v">
      <t c="4" si="10">
        <n x="600"/>
        <n x="12"/>
        <n x="32"/>
        <n x="1337" s="1"/>
      </t>
    </mdx>
    <mdx n="33" f="v">
      <t c="3">
        <n x="904"/>
        <n x="1336"/>
        <n x="1337" s="1"/>
      </t>
    </mdx>
    <mdx n="33" f="v">
      <t c="4">
        <n x="1036"/>
        <n x="11"/>
        <n x="7"/>
        <n x="1337" s="1"/>
      </t>
    </mdx>
    <mdx n="33" f="v">
      <t c="4">
        <n x="497"/>
        <n x="1"/>
        <n x="7"/>
        <n x="1337" s="1"/>
      </t>
    </mdx>
    <mdx n="33" f="v">
      <t c="4">
        <n x="359"/>
        <n x="11"/>
        <n x="32"/>
        <n x="1337" s="1"/>
      </t>
    </mdx>
    <mdx n="33" f="v">
      <t c="4">
        <n x="195"/>
        <n x="12"/>
        <n x="32"/>
        <n x="1337" s="1"/>
      </t>
    </mdx>
    <mdx n="33" f="v">
      <t c="4">
        <n x="91"/>
        <n x="14"/>
        <n x="32"/>
        <n x="1337" s="1"/>
      </t>
    </mdx>
    <mdx n="33" f="v">
      <t c="4">
        <n x="334"/>
        <n x="11"/>
        <n x="32"/>
        <n x="1337" s="1"/>
      </t>
    </mdx>
    <mdx n="33" f="v">
      <t c="4">
        <n x="298"/>
        <n x="1"/>
        <n x="32"/>
        <n x="1337" s="1"/>
      </t>
    </mdx>
    <mdx n="33" f="v">
      <t c="4">
        <n x="88"/>
        <n x="12"/>
        <n x="32"/>
        <n x="1337" s="1"/>
      </t>
    </mdx>
    <mdx n="33" f="v">
      <t c="4">
        <n x="228"/>
        <n x="11"/>
        <n x="7"/>
        <n x="1337" s="1"/>
      </t>
    </mdx>
    <mdx n="33" f="v">
      <t c="4" si="10">
        <n x="529"/>
        <n x="14"/>
        <n x="32"/>
        <n x="1337" s="1"/>
      </t>
    </mdx>
    <mdx n="33" f="v">
      <t c="4">
        <n x="145"/>
        <n x="0"/>
        <n x="7"/>
        <n x="1337" s="1"/>
      </t>
    </mdx>
    <mdx n="33" f="v">
      <t c="4">
        <n x="992"/>
        <n x="0"/>
        <n x="7"/>
        <n x="1337" s="1"/>
      </t>
    </mdx>
    <mdx n="33" f="v">
      <t c="4">
        <n x="119"/>
        <n x="11"/>
        <n x="32"/>
        <n x="1337" s="1"/>
      </t>
    </mdx>
    <mdx n="33" f="v">
      <t c="4">
        <n x="289"/>
        <n x="14"/>
        <n x="32"/>
        <n x="1337" s="1"/>
      </t>
    </mdx>
    <mdx n="33" f="v">
      <t c="4">
        <n x="1250"/>
        <n x="0"/>
        <n x="7"/>
        <n x="1337" s="1"/>
      </t>
    </mdx>
    <mdx n="33" f="v">
      <t c="4">
        <n x="260"/>
        <n x="14"/>
        <n x="7"/>
        <n x="1337" s="1"/>
      </t>
    </mdx>
    <mdx n="33" f="v">
      <t c="4">
        <n x="120"/>
        <n x="14"/>
        <n x="32"/>
        <n x="1337" s="1"/>
      </t>
    </mdx>
    <mdx n="33" f="v">
      <t c="4">
        <n x="1048"/>
        <n x="14"/>
        <n x="32"/>
        <n x="1337" s="1"/>
      </t>
    </mdx>
    <mdx n="33" f="v">
      <t c="4">
        <n x="298"/>
        <n x="14"/>
        <n x="32"/>
        <n x="1337" s="1"/>
      </t>
    </mdx>
    <mdx n="33" f="v">
      <t c="4">
        <n x="369"/>
        <n x="14"/>
        <n x="7"/>
        <n x="1337" s="1"/>
      </t>
    </mdx>
    <mdx n="33" f="v">
      <t c="4">
        <n x="127"/>
        <n x="11"/>
        <n x="32"/>
        <n x="1337" s="1"/>
      </t>
    </mdx>
    <mdx n="33" f="v">
      <t c="4">
        <n x="509"/>
        <n x="14"/>
        <n x="32"/>
        <n x="1337" s="1"/>
      </t>
    </mdx>
    <mdx n="33" f="v">
      <t c="4">
        <n x="53"/>
        <n x="1"/>
        <n x="32"/>
        <n x="1337" s="1"/>
      </t>
    </mdx>
    <mdx n="33" f="v">
      <t c="4">
        <n x="98"/>
        <n x="0"/>
        <n x="7"/>
        <n x="1337" s="1"/>
      </t>
    </mdx>
    <mdx n="33" f="v">
      <t c="4" si="10">
        <n x="294"/>
        <n x="1"/>
        <n x="32"/>
        <n x="1337" s="1"/>
      </t>
    </mdx>
    <mdx n="33" f="v">
      <t c="4">
        <n x="568"/>
        <n x="14"/>
        <n x="7"/>
        <n x="1337" s="1"/>
      </t>
    </mdx>
    <mdx n="33" f="v">
      <t c="4">
        <n x="214"/>
        <n x="11"/>
        <n x="32"/>
        <n x="1337" s="1"/>
      </t>
    </mdx>
    <mdx n="33" f="v">
      <t c="4">
        <n x="545"/>
        <n x="14"/>
        <n x="32"/>
        <n x="1337" s="1"/>
      </t>
    </mdx>
    <mdx n="33" f="v">
      <t c="4">
        <n x="75"/>
        <n x="1"/>
        <n x="32"/>
        <n x="1337" s="1"/>
      </t>
    </mdx>
    <mdx n="33" f="v">
      <t c="4">
        <n x="104"/>
        <n x="0"/>
        <n x="7"/>
        <n x="1337" s="1"/>
      </t>
    </mdx>
    <mdx n="33" f="v">
      <t c="3">
        <n x="787"/>
        <n x="1336"/>
        <n x="1337" s="1"/>
      </t>
    </mdx>
    <mdx n="33" f="v">
      <t c="4">
        <n x="190"/>
        <n x="14"/>
        <n x="7"/>
        <n x="1337" s="1"/>
      </t>
    </mdx>
    <mdx n="33" f="v">
      <t c="4">
        <n x="898"/>
        <n x="11"/>
        <n x="32"/>
        <n x="1337" s="1"/>
      </t>
    </mdx>
    <mdx n="33" f="v">
      <t c="4">
        <n x="919"/>
        <n x="1"/>
        <n x="7"/>
        <n x="1337" s="1"/>
      </t>
    </mdx>
    <mdx n="33" f="v">
      <t c="4">
        <n x="1022"/>
        <n x="14"/>
        <n x="7"/>
        <n x="1337" s="1"/>
      </t>
    </mdx>
    <mdx n="33" f="v">
      <t c="4" si="10">
        <n x="945"/>
        <n x="0"/>
        <n x="32"/>
        <n x="1337" s="1"/>
      </t>
    </mdx>
    <mdx n="33" f="v">
      <t c="4" si="9">
        <n x="505"/>
        <n x="14"/>
        <n x="7"/>
        <n x="1337" s="1"/>
      </t>
    </mdx>
    <mdx n="33" f="v">
      <t c="4">
        <n x="119"/>
        <n x="14"/>
        <n x="7"/>
        <n x="1337" s="1"/>
      </t>
    </mdx>
    <mdx n="33" f="v">
      <t c="4" si="10">
        <n x="1228"/>
        <n x="12"/>
        <n x="32"/>
        <n x="1337" s="1"/>
      </t>
    </mdx>
    <mdx n="33" f="v">
      <t c="4" si="10">
        <n x="1184"/>
        <n x="0"/>
        <n x="32"/>
        <n x="1337" s="1"/>
      </t>
    </mdx>
    <mdx n="33" f="v">
      <t c="4">
        <n x="249"/>
        <n x="11"/>
        <n x="7"/>
        <n x="1337" s="1"/>
      </t>
    </mdx>
    <mdx n="33" f="v">
      <t c="4">
        <n x="356"/>
        <n x="1"/>
        <n x="7"/>
        <n x="1337" s="1"/>
      </t>
    </mdx>
    <mdx n="33" f="v">
      <t c="4">
        <n x="453"/>
        <n x="11"/>
        <n x="32"/>
        <n x="1337" s="1"/>
      </t>
    </mdx>
    <mdx n="33" f="v">
      <t c="4">
        <n x="1211"/>
        <n x="12"/>
        <n x="32"/>
        <n x="1337" s="1"/>
      </t>
    </mdx>
    <mdx n="33" f="v">
      <t c="4">
        <n x="524"/>
        <n x="12"/>
        <n x="32"/>
        <n x="1337" s="1"/>
      </t>
    </mdx>
    <mdx n="33" f="v">
      <t c="4">
        <n x="196"/>
        <n x="12"/>
        <n x="32"/>
        <n x="1337" s="1"/>
      </t>
    </mdx>
    <mdx n="33" f="v">
      <t c="4">
        <n x="885"/>
        <n x="1"/>
        <n x="32"/>
        <n x="1337" s="1"/>
      </t>
    </mdx>
    <mdx n="33" f="v">
      <t c="4">
        <n x="1116"/>
        <n x="0"/>
        <n x="7"/>
        <n x="1337" s="1"/>
      </t>
    </mdx>
    <mdx n="33" f="v">
      <t c="4">
        <n x="168"/>
        <n x="14"/>
        <n x="7"/>
        <n x="1337" s="1"/>
      </t>
    </mdx>
    <mdx n="33" f="v">
      <t c="4">
        <n x="458"/>
        <n x="11"/>
        <n x="7"/>
        <n x="1337" s="1"/>
      </t>
    </mdx>
    <mdx n="33" f="v">
      <t c="4">
        <n x="95"/>
        <n x="11"/>
        <n x="7"/>
        <n x="1337" s="1"/>
      </t>
    </mdx>
    <mdx n="33" f="v">
      <t c="4" si="9">
        <n x="485"/>
        <n x="1"/>
        <n x="7"/>
        <n x="1337" s="1"/>
      </t>
    </mdx>
    <mdx n="33" f="v">
      <t c="4">
        <n x="98"/>
        <n x="1"/>
        <n x="7"/>
        <n x="1337" s="1"/>
      </t>
    </mdx>
    <mdx n="33" f="v">
      <t c="4">
        <n x="412"/>
        <n x="11"/>
        <n x="32"/>
        <n x="1337" s="1"/>
      </t>
    </mdx>
    <mdx n="33" f="v">
      <t c="4">
        <n x="1262"/>
        <n x="12"/>
        <n x="32"/>
        <n x="1337" s="1"/>
      </t>
    </mdx>
    <mdx n="33" f="v">
      <t c="4" si="10">
        <n x="466"/>
        <n x="12"/>
        <n x="32"/>
        <n x="1337" s="1"/>
      </t>
    </mdx>
    <mdx n="33" f="v">
      <t c="4">
        <n x="220"/>
        <n x="12"/>
        <n x="32"/>
        <n x="1337" s="1"/>
      </t>
    </mdx>
    <mdx n="33" f="v">
      <t c="4">
        <n x="992"/>
        <n x="14"/>
        <n x="32"/>
        <n x="1337" s="1"/>
      </t>
    </mdx>
    <mdx n="33" f="v">
      <t c="4" si="10">
        <n x="334"/>
        <n x="14"/>
        <n x="32"/>
        <n x="1337" s="1"/>
      </t>
    </mdx>
    <mdx n="33" f="v">
      <t c="4">
        <n x="1012"/>
        <n x="0"/>
        <n x="32"/>
        <n x="1337" s="1"/>
      </t>
    </mdx>
    <mdx n="33" f="v">
      <t c="4">
        <n x="1017"/>
        <n x="1"/>
        <n x="7"/>
        <n x="1337" s="1"/>
      </t>
    </mdx>
    <mdx n="33" f="v">
      <t c="4">
        <n x="1201"/>
        <n x="12"/>
        <n x="32"/>
        <n x="1337" s="1"/>
      </t>
    </mdx>
    <mdx n="33" f="v">
      <t c="4" si="10">
        <n x="519"/>
        <n x="14"/>
        <n x="32"/>
        <n x="1337" s="1"/>
      </t>
    </mdx>
    <mdx n="33" f="v">
      <t c="4">
        <n x="113"/>
        <n x="14"/>
        <n x="32"/>
        <n x="1337" s="1"/>
      </t>
    </mdx>
    <mdx n="33" f="v">
      <t c="3">
        <n x="133"/>
        <n x="1336"/>
        <n x="1337" s="1"/>
      </t>
    </mdx>
    <mdx n="33" f="v">
      <t c="4">
        <n x="1168"/>
        <n x="0"/>
        <n x="7"/>
        <n x="1337" s="1"/>
      </t>
    </mdx>
    <mdx n="33" f="v">
      <t c="4">
        <n x="1053"/>
        <n x="1"/>
        <n x="7"/>
        <n x="1337" s="1"/>
      </t>
    </mdx>
    <mdx n="33" f="v">
      <t c="4" si="10">
        <n x="456"/>
        <n x="14"/>
        <n x="32"/>
        <n x="1337" s="1"/>
      </t>
    </mdx>
    <mdx n="33" f="v">
      <t c="4">
        <n x="1125"/>
        <n x="0"/>
        <n x="7"/>
        <n x="1337" s="1"/>
      </t>
    </mdx>
    <mdx n="33" f="v">
      <t c="4">
        <n x="1012"/>
        <n x="14"/>
        <n x="7"/>
        <n x="1337" s="1"/>
      </t>
    </mdx>
    <mdx n="33" f="v">
      <t c="4">
        <n x="997"/>
        <n x="1"/>
        <n x="7"/>
        <n x="1337" s="1"/>
      </t>
    </mdx>
    <mdx n="33" f="v">
      <t c="4">
        <n x="216"/>
        <n x="11"/>
        <n x="32"/>
        <n x="1337" s="1"/>
      </t>
    </mdx>
    <mdx n="33" f="v">
      <t c="4">
        <n x="75"/>
        <n x="12"/>
        <n x="32"/>
        <n x="1337" s="1"/>
      </t>
    </mdx>
    <mdx n="33" f="v">
      <t c="4">
        <n x="426"/>
        <n x="14"/>
        <n x="32"/>
        <n x="1337" s="1"/>
      </t>
    </mdx>
    <mdx n="33" f="v">
      <t c="4">
        <n x="123"/>
        <n x="1"/>
        <n x="32"/>
        <n x="1337" s="1"/>
      </t>
    </mdx>
    <mdx n="33" f="v">
      <t c="3">
        <n x="49"/>
        <n x="1336"/>
        <n x="1337" s="1"/>
      </t>
    </mdx>
    <mdx n="33" f="v">
      <t c="4">
        <n x="786"/>
        <n x="0"/>
        <n x="7"/>
        <n x="1337" s="1"/>
      </t>
    </mdx>
    <mdx n="33" f="v">
      <t c="4" si="10">
        <n x="1073"/>
        <n x="12"/>
        <n x="32"/>
        <n x="1337" s="1"/>
      </t>
    </mdx>
    <mdx n="33" f="v">
      <t c="4">
        <n x="55"/>
        <n x="1"/>
        <n x="32"/>
        <n x="1337" s="1"/>
      </t>
    </mdx>
    <mdx n="33" f="v">
      <t c="4">
        <n x="892"/>
        <n x="14"/>
        <n x="7"/>
        <n x="1337" s="1"/>
      </t>
    </mdx>
    <mdx n="33" f="v">
      <t c="4">
        <n x="455"/>
        <n x="11"/>
        <n x="7"/>
        <n x="1337" s="1"/>
      </t>
    </mdx>
    <mdx n="33" f="v">
      <t c="4">
        <n x="1110"/>
        <n x="11"/>
        <n x="32"/>
        <n x="1337" s="1"/>
      </t>
    </mdx>
    <mdx n="33" f="v">
      <t c="4" si="10">
        <n x="618"/>
        <n x="12"/>
        <n x="32"/>
        <n x="1337" s="1"/>
      </t>
    </mdx>
    <mdx n="33" f="v">
      <t c="4" si="10">
        <n x="597"/>
        <n x="14"/>
        <n x="32"/>
        <n x="1337" s="1"/>
      </t>
    </mdx>
    <mdx n="33" f="v">
      <t c="4">
        <n x="159"/>
        <n x="14"/>
        <n x="32"/>
        <n x="1337" s="1"/>
      </t>
    </mdx>
    <mdx n="33" f="v">
      <t c="3">
        <n x="780"/>
        <n x="1336"/>
        <n x="1337" s="1"/>
      </t>
    </mdx>
    <mdx n="33" f="v">
      <t c="4">
        <n x="1226"/>
        <n x="0"/>
        <n x="7"/>
        <n x="1337" s="1"/>
      </t>
    </mdx>
    <mdx n="33" f="v">
      <t c="4">
        <n x="78"/>
        <n x="0"/>
        <n x="7"/>
        <n x="1337" s="1"/>
      </t>
    </mdx>
    <mdx n="33" f="v">
      <t c="4">
        <n x="65"/>
        <n x="14"/>
        <n x="7"/>
        <n x="1337" s="1"/>
      </t>
    </mdx>
    <mdx n="33" f="v">
      <t c="4">
        <n x="354"/>
        <n x="11"/>
        <n x="32"/>
        <n x="1337" s="1"/>
      </t>
    </mdx>
    <mdx n="33" f="v">
      <t c="4">
        <n x="111"/>
        <n x="1"/>
        <n x="32"/>
        <n x="1337" s="1"/>
      </t>
    </mdx>
    <mdx n="33" f="v">
      <t c="4">
        <n x="812"/>
        <n x="11"/>
        <n x="7"/>
        <n x="1337" s="1"/>
      </t>
    </mdx>
    <mdx n="33" f="v">
      <t c="4">
        <n x="843"/>
        <n x="11"/>
        <n x="32"/>
        <n x="1337" s="1"/>
      </t>
    </mdx>
    <mdx n="33" f="v">
      <t c="4">
        <n x="1223"/>
        <n x="0"/>
        <n x="32"/>
        <n x="1337" s="1"/>
      </t>
    </mdx>
    <mdx n="33" f="v">
      <t c="3">
        <n x="913"/>
        <n x="1336"/>
        <n x="1337" s="1"/>
      </t>
    </mdx>
    <mdx n="33" f="v">
      <t c="4">
        <n x="413"/>
        <n x="14"/>
        <n x="7"/>
        <n x="1337" s="1"/>
      </t>
    </mdx>
    <mdx n="33" f="v">
      <t c="4">
        <n x="364"/>
        <n x="11"/>
        <n x="7"/>
        <n x="1337" s="1"/>
      </t>
    </mdx>
    <mdx n="33" f="v">
      <t c="4" si="10">
        <n x="557"/>
        <n x="12"/>
        <n x="32"/>
        <n x="1337" s="1"/>
      </t>
    </mdx>
    <mdx n="33" f="v">
      <t c="4">
        <n x="1000"/>
        <n x="11"/>
        <n x="7"/>
        <n x="1337" s="1"/>
      </t>
    </mdx>
    <mdx n="33" f="v">
      <t c="4">
        <n x="1019"/>
        <n x="1"/>
        <n x="7"/>
        <n x="1337" s="1"/>
      </t>
    </mdx>
    <mdx n="33" f="v">
      <t c="4">
        <n x="964"/>
        <n x="11"/>
        <n x="32"/>
        <n x="1337" s="1"/>
      </t>
    </mdx>
    <mdx n="33" f="v">
      <t c="4" si="10">
        <n x="1151"/>
        <n x="12"/>
        <n x="32"/>
        <n x="1337" s="1"/>
      </t>
    </mdx>
    <mdx n="33" f="v">
      <t c="4">
        <n x="315"/>
        <n x="12"/>
        <n x="32"/>
        <n x="1337" s="1"/>
      </t>
    </mdx>
    <mdx n="33" f="v">
      <t c="4">
        <n x="907"/>
        <n x="12"/>
        <n x="7"/>
        <n x="1337" s="1"/>
      </t>
    </mdx>
    <mdx n="33" f="v">
      <t c="4">
        <n x="524"/>
        <n x="14"/>
        <n x="7"/>
        <n x="1337" s="1"/>
      </t>
    </mdx>
    <mdx n="33" f="v">
      <t c="4">
        <n x="302"/>
        <n x="11"/>
        <n x="7"/>
        <n x="1337" s="1"/>
      </t>
    </mdx>
    <mdx n="33" f="v">
      <t c="4">
        <n x="617"/>
        <n x="1"/>
        <n x="7"/>
        <n x="1337" s="1"/>
      </t>
    </mdx>
    <mdx n="33" f="v">
      <t c="4">
        <n x="1039"/>
        <n x="11"/>
        <n x="32"/>
        <n x="1337" s="1"/>
      </t>
    </mdx>
    <mdx n="33" f="v">
      <t c="4" si="10">
        <n x="590"/>
        <n x="14"/>
        <n x="32"/>
        <n x="1337" s="1"/>
      </t>
    </mdx>
    <mdx n="33" f="v">
      <t c="3">
        <n x="129"/>
        <n x="1336"/>
        <n x="1337" s="1"/>
      </t>
    </mdx>
    <mdx n="33" f="v">
      <t c="4">
        <n x="1073"/>
        <n x="1"/>
        <n x="7"/>
        <n x="1337" s="1"/>
      </t>
    </mdx>
    <mdx n="33" f="v">
      <t c="4">
        <n x="200"/>
        <n x="14"/>
        <n x="32"/>
        <n x="1337" s="1"/>
      </t>
    </mdx>
    <mdx n="33" f="v">
      <t c="4">
        <n x="923"/>
        <n x="11"/>
        <n x="32"/>
        <n x="1337" s="1"/>
      </t>
    </mdx>
    <mdx n="33" f="v">
      <t c="4">
        <n x="427"/>
        <n x="12"/>
        <n x="7"/>
        <n x="1337" s="1"/>
      </t>
    </mdx>
    <mdx n="33" f="v">
      <t c="4">
        <n x="1239"/>
        <n x="0"/>
        <n x="32"/>
        <n x="1337" s="1"/>
      </t>
    </mdx>
    <mdx n="33" f="v">
      <t c="4">
        <n x="451"/>
        <n x="14"/>
        <n x="7"/>
        <n x="1337" s="1"/>
      </t>
    </mdx>
    <mdx n="33" f="v">
      <t c="4">
        <n x="376"/>
        <n x="12"/>
        <n x="32"/>
        <n x="1337" s="1"/>
      </t>
    </mdx>
    <mdx n="33" f="v">
      <t c="4" si="9">
        <n x="502"/>
        <n x="1"/>
        <n x="7"/>
        <n x="1337" s="1"/>
      </t>
    </mdx>
    <mdx n="33" f="v">
      <t c="4">
        <n x="1027"/>
        <n x="12"/>
        <n x="32"/>
        <n x="1337" s="1"/>
      </t>
    </mdx>
    <mdx n="33" f="v">
      <t c="4">
        <n x="992"/>
        <n x="0"/>
        <n x="32"/>
        <n x="1337" s="1"/>
      </t>
    </mdx>
    <mdx n="33" f="v">
      <t c="4">
        <n x="167"/>
        <n x="11"/>
        <n x="7"/>
        <n x="1337" s="1"/>
      </t>
    </mdx>
    <mdx n="33" f="v">
      <t c="4">
        <n x="472"/>
        <n x="11"/>
        <n x="32"/>
        <n x="1337" s="1"/>
      </t>
    </mdx>
    <mdx n="33" f="v">
      <t c="4">
        <n x="326"/>
        <n x="12"/>
        <n x="32"/>
        <n x="1337" s="1"/>
      </t>
    </mdx>
    <mdx n="33" f="v">
      <t c="4" si="10">
        <n x="890"/>
        <n x="0"/>
        <n x="32"/>
        <n x="1337" s="1"/>
      </t>
    </mdx>
    <mdx n="33" f="v">
      <t c="4" si="10">
        <n x="514"/>
        <n x="14"/>
        <n x="32"/>
        <n x="1337" s="1"/>
      </t>
    </mdx>
    <mdx n="33" f="v">
      <t c="4">
        <n x="604"/>
        <n x="1"/>
        <n x="7"/>
        <n x="1337" s="1"/>
      </t>
    </mdx>
    <mdx n="33" f="v">
      <t c="4">
        <n x="1109"/>
        <n x="1"/>
        <n x="7"/>
        <n x="1337" s="1"/>
      </t>
    </mdx>
    <mdx n="33" f="v">
      <t c="4">
        <n x="154"/>
        <n x="1"/>
        <n x="32"/>
        <n x="1337" s="1"/>
      </t>
    </mdx>
    <mdx n="33" f="v">
      <t c="3">
        <n x="942"/>
        <n x="1336"/>
        <n x="1337" s="1"/>
      </t>
    </mdx>
    <mdx n="33" f="v">
      <t c="4">
        <n x="198"/>
        <n x="11"/>
        <n x="32"/>
        <n x="1337" s="1"/>
      </t>
    </mdx>
    <mdx n="33" f="v">
      <t c="4">
        <n x="153"/>
        <n x="14"/>
        <n x="32"/>
        <n x="1337" s="1"/>
      </t>
    </mdx>
    <mdx n="33" f="v">
      <t c="4">
        <n x="61"/>
        <n x="0"/>
        <n x="7"/>
        <n x="1337" s="1"/>
      </t>
    </mdx>
    <mdx n="33" f="v">
      <t c="4">
        <n x="392"/>
        <n x="14"/>
        <n x="32"/>
        <n x="1337" s="1"/>
      </t>
    </mdx>
    <mdx n="33" f="v">
      <t c="4">
        <n x="843"/>
        <n x="11"/>
        <n x="7"/>
        <n x="1337" s="1"/>
      </t>
    </mdx>
    <mdx n="33" f="v">
      <t c="4">
        <n x="935"/>
        <n x="1"/>
        <n x="7"/>
        <n x="1337" s="1"/>
      </t>
    </mdx>
    <mdx n="33" f="v">
      <t c="4">
        <n x="689"/>
        <n x="11"/>
        <n x="7"/>
        <n x="1337" s="1"/>
      </t>
    </mdx>
    <mdx n="33" f="v">
      <t c="3">
        <n x="1037"/>
        <n x="1336"/>
        <n x="1337" s="1"/>
      </t>
    </mdx>
    <mdx n="33" f="v">
      <t c="4" si="10">
        <n x="842"/>
        <n x="12"/>
        <n x="32"/>
        <n x="1337" s="1"/>
      </t>
    </mdx>
    <mdx n="33" f="v">
      <t c="4">
        <n x="181"/>
        <n x="1"/>
        <n x="7"/>
        <n x="1337" s="1"/>
      </t>
    </mdx>
    <mdx n="33" f="v">
      <t c="3">
        <n x="845"/>
        <n x="1336"/>
        <n x="1337" s="1"/>
      </t>
    </mdx>
    <mdx n="33" f="v">
      <t c="4">
        <n x="343"/>
        <n x="11"/>
        <n x="7"/>
        <n x="1337" s="1"/>
      </t>
    </mdx>
    <mdx n="33" f="v">
      <t c="4">
        <n x="405"/>
        <n x="1"/>
        <n x="7"/>
        <n x="1337" s="1"/>
      </t>
    </mdx>
    <mdx n="33" f="v">
      <t c="4">
        <n x="352"/>
        <n x="11"/>
        <n x="32"/>
        <n x="1337" s="1"/>
      </t>
    </mdx>
    <mdx n="33" f="v">
      <t c="4" si="10">
        <n x="470"/>
        <n x="12"/>
        <n x="32"/>
        <n x="1337" s="1"/>
      </t>
    </mdx>
    <mdx n="33" f="v">
      <t c="3">
        <n x="617"/>
        <n x="1336"/>
        <n x="1337" s="1"/>
      </t>
    </mdx>
    <mdx n="33" f="v">
      <t c="4" si="10">
        <n x="1024"/>
        <n x="0"/>
        <n x="32"/>
        <n x="1337" s="1"/>
      </t>
    </mdx>
    <mdx n="33" f="v">
      <t c="4">
        <n x="1090"/>
        <n x="11"/>
        <n x="7"/>
        <n x="1337" s="1"/>
      </t>
    </mdx>
    <mdx n="33" f="v">
      <t c="4">
        <n x="191"/>
        <n x="11"/>
        <n x="7"/>
        <n x="1337" s="1"/>
      </t>
    </mdx>
    <mdx n="33" f="v">
      <t c="4">
        <n x="408"/>
        <n x="1"/>
        <n x="7"/>
        <n x="1337" s="1"/>
      </t>
    </mdx>
    <mdx n="33" f="v">
      <t c="4">
        <n x="528"/>
        <n x="11"/>
        <n x="32"/>
        <n x="1337" s="1"/>
      </t>
    </mdx>
    <mdx n="33" f="v">
      <t c="4">
        <n x="1186"/>
        <n x="12"/>
        <n x="32"/>
        <n x="1337" s="1"/>
      </t>
    </mdx>
    <mdx n="33" f="v">
      <t c="4">
        <n x="350"/>
        <n x="12"/>
        <n x="32"/>
        <n x="1337" s="1"/>
      </t>
    </mdx>
    <mdx n="33" f="v">
      <t c="4" si="10">
        <n x="580"/>
        <n x="14"/>
        <n x="32"/>
        <n x="1337" s="1"/>
      </t>
    </mdx>
    <mdx n="33" f="v">
      <t c="3">
        <n x="715"/>
        <n x="1336"/>
        <n x="1337" s="1"/>
      </t>
    </mdx>
    <mdx n="33" f="v">
      <t c="4">
        <n x="374"/>
        <n x="1"/>
        <n x="7"/>
        <n x="1337" s="1"/>
      </t>
    </mdx>
    <mdx n="33" f="v">
      <t c="4" si="10">
        <n x="1045"/>
        <n x="14"/>
        <n x="32"/>
        <n x="1337" s="1"/>
      </t>
    </mdx>
    <mdx n="33" f="v">
      <t c="4">
        <n x="66"/>
        <n x="1"/>
        <n x="32"/>
        <n x="1337" s="1"/>
      </t>
    </mdx>
    <mdx n="33" f="v">
      <t c="4">
        <n x="112"/>
        <n x="0"/>
        <n x="7"/>
        <n x="1337" s="1"/>
      </t>
    </mdx>
    <mdx n="33" f="v">
      <t c="3">
        <n x="769"/>
        <n x="1336"/>
        <n x="1337" s="1"/>
      </t>
    </mdx>
    <mdx n="33" f="v">
      <t c="4">
        <n x="381"/>
        <n x="11"/>
        <n x="7"/>
        <n x="1337" s="1"/>
      </t>
    </mdx>
    <mdx n="33" f="v">
      <t c="4" si="10">
        <n x="574"/>
        <n x="12"/>
        <n x="32"/>
        <n x="1337" s="1"/>
      </t>
    </mdx>
    <mdx n="33" f="v">
      <t c="4">
        <n x="164"/>
        <n x="14"/>
        <n x="32"/>
        <n x="1337" s="1"/>
      </t>
    </mdx>
    <mdx n="33" f="v">
      <t c="4">
        <n x="1215"/>
        <n x="0"/>
        <n x="7"/>
        <n x="1337" s="1"/>
      </t>
    </mdx>
    <mdx n="33" f="v">
      <t c="4">
        <n x="418"/>
        <n x="14"/>
        <n x="32"/>
        <n x="1337" s="1"/>
      </t>
    </mdx>
    <mdx n="33" f="v">
      <t c="4" si="9">
        <n x="488"/>
        <n x="14"/>
        <n x="7"/>
        <n x="1337" s="1"/>
      </t>
    </mdx>
    <mdx n="33" f="v">
      <t c="4">
        <n x="966"/>
        <n x="11"/>
        <n x="32"/>
        <n x="1337" s="1"/>
      </t>
    </mdx>
    <mdx n="33" f="v">
      <t c="4">
        <n x="54"/>
        <n x="12"/>
        <n x="32"/>
        <n x="1337" s="1"/>
      </t>
    </mdx>
    <mdx n="33" f="v">
      <t c="4">
        <n x="323"/>
        <n x="14"/>
        <n x="32"/>
        <n x="1337" s="1"/>
      </t>
    </mdx>
    <mdx n="33" f="v">
      <t c="3">
        <n x="283"/>
        <n x="1336"/>
        <n x="1337" s="1"/>
      </t>
    </mdx>
    <mdx n="33" f="v">
      <t c="4">
        <n x="789"/>
        <n x="0"/>
        <n x="7"/>
        <n x="1337" s="1"/>
      </t>
    </mdx>
    <mdx n="33" f="v">
      <t c="4" si="10">
        <n x="1316"/>
        <n x="0"/>
        <n x="32"/>
        <n x="1337" s="1"/>
      </t>
    </mdx>
    <mdx n="33" f="v">
      <t c="4">
        <n x="1089"/>
        <n x="12"/>
        <n x="32"/>
        <n x="1337" s="1"/>
      </t>
    </mdx>
    <mdx n="33" f="v">
      <t c="4">
        <n x="1253"/>
        <n x="0"/>
        <n x="7"/>
        <n x="1337" s="1"/>
      </t>
    </mdx>
    <mdx n="33" f="v">
      <t c="4">
        <n x="954"/>
        <n x="11"/>
        <n x="7"/>
        <n x="1337" s="1"/>
      </t>
    </mdx>
    <mdx n="33" f="v">
      <t c="4">
        <n x="978"/>
        <n x="0"/>
        <n x="32"/>
        <n x="1337" s="1"/>
      </t>
    </mdx>
    <mdx n="33" f="v">
      <t c="4" si="10">
        <n x="802"/>
        <n x="14"/>
        <n x="32"/>
        <n x="1337" s="1"/>
      </t>
    </mdx>
    <mdx n="33" f="v">
      <t c="4">
        <n x="1095"/>
        <n x="0"/>
        <n x="32"/>
        <n x="1337" s="1"/>
      </t>
    </mdx>
    <mdx n="33" f="v">
      <t c="4" si="10">
        <n x="953"/>
        <n x="12"/>
        <n x="32"/>
        <n x="1337" s="1"/>
      </t>
    </mdx>
    <mdx n="33" f="v">
      <t c="4">
        <n x="618"/>
        <n x="11"/>
        <n x="32"/>
        <n x="1337" s="1"/>
      </t>
    </mdx>
    <mdx n="33" f="v">
      <t c="3">
        <n x="956"/>
        <n x="1336"/>
        <n x="1337" s="1"/>
      </t>
    </mdx>
    <mdx n="33" f="v">
      <t c="4">
        <n x="267"/>
        <n x="11"/>
        <n x="7"/>
        <n x="1337" s="1"/>
      </t>
    </mdx>
    <mdx n="33" f="v">
      <t c="4">
        <n x="308"/>
        <n x="1"/>
        <n x="7"/>
        <n x="1337" s="1"/>
      </t>
    </mdx>
    <mdx n="33" f="v">
      <t c="4">
        <n x="176"/>
        <n x="11"/>
        <n x="32"/>
        <n x="1337" s="1"/>
      </t>
    </mdx>
    <mdx n="33" f="v">
      <t c="4" si="10">
        <n x="568"/>
        <n x="12"/>
        <n x="32"/>
        <n x="1337" s="1"/>
      </t>
    </mdx>
    <mdx n="33" f="v">
      <t c="4" si="10">
        <n x="773"/>
        <n x="14"/>
        <n x="32"/>
        <n x="1337" s="1"/>
      </t>
    </mdx>
    <mdx n="33" f="v">
      <t c="4" si="10">
        <n x="1081"/>
        <n x="1"/>
        <n x="32"/>
        <n x="1337" s="1"/>
      </t>
    </mdx>
    <mdx n="33" f="v">
      <t c="4" si="9">
        <n x="994"/>
        <n x="11"/>
        <n x="7"/>
        <n x="1337" s="1"/>
      </t>
    </mdx>
    <mdx n="33" f="v">
      <t c="4">
        <n x="66"/>
        <n x="11"/>
        <n x="7"/>
        <n x="1337" s="1"/>
      </t>
    </mdx>
    <mdx n="33" f="v">
      <t c="4">
        <n x="335"/>
        <n x="1"/>
        <n x="7"/>
        <n x="1337" s="1"/>
      </t>
    </mdx>
    <mdx n="33" f="v">
      <t c="4">
        <n x="456"/>
        <n x="11"/>
        <n x="32"/>
        <n x="1337" s="1"/>
      </t>
    </mdx>
    <mdx n="33" f="v">
      <t c="4" si="10">
        <n x="1321"/>
        <n x="12"/>
        <n x="32"/>
        <n x="1337" s="1"/>
      </t>
    </mdx>
    <mdx n="33" f="v">
      <t c="4">
        <n x="251"/>
        <n x="12"/>
        <n x="32"/>
        <n x="1337" s="1"/>
      </t>
    </mdx>
    <mdx n="33" f="v">
      <t c="4" si="10">
        <n x="508"/>
        <n x="14"/>
        <n x="32"/>
        <n x="1337" s="1"/>
      </t>
    </mdx>
    <mdx n="33" f="v">
      <t c="4">
        <n x="913"/>
        <n x="1"/>
        <n x="32"/>
        <n x="1337" s="1"/>
      </t>
    </mdx>
    <mdx n="33" f="v">
      <t c="4">
        <n x="1054"/>
        <n x="11"/>
        <n x="32"/>
        <n x="1337" s="1"/>
      </t>
    </mdx>
    <mdx n="33" f="v">
      <t c="4" si="10">
        <n x="578"/>
        <n x="14"/>
        <n x="32"/>
        <n x="1337" s="1"/>
      </t>
    </mdx>
    <mdx n="33" f="v">
      <t c="3">
        <n x="774"/>
        <n x="1336"/>
        <n x="1337" s="1"/>
      </t>
    </mdx>
    <mdx n="33" f="v">
      <t c="4">
        <n x="50"/>
        <n x="0"/>
        <n x="7"/>
        <n x="1337" s="1"/>
      </t>
    </mdx>
    <mdx n="33" f="v">
      <t c="4">
        <n x="1257"/>
        <n x="0"/>
        <n x="7"/>
        <n x="1337" s="1"/>
      </t>
    </mdx>
    <mdx n="33" f="v">
      <t c="4">
        <n x="124"/>
        <n x="11"/>
        <n x="7"/>
        <n x="1337" s="1"/>
      </t>
    </mdx>
    <mdx n="33" f="v">
      <t c="4">
        <n x="297"/>
        <n x="12"/>
        <n x="32"/>
        <n x="1337" s="1"/>
      </t>
    </mdx>
    <mdx n="33" f="v">
      <t c="4">
        <n x="955"/>
        <n x="1"/>
        <n x="32"/>
        <n x="1337" s="1"/>
      </t>
    </mdx>
    <mdx n="33" f="v">
      <t c="6" si="10">
        <n x="15"/>
        <n x="1337" s="1"/>
        <n x="43"/>
        <n x="32"/>
        <n x="23"/>
        <n x="2"/>
      </t>
    </mdx>
    <mdx n="33" f="v">
      <t c="4" si="9">
        <n x="630"/>
        <n x="12"/>
        <n x="7"/>
        <n x="1337" s="1"/>
      </t>
    </mdx>
    <mdx n="33" f="v">
      <t c="3">
        <n x="867"/>
        <n x="1336"/>
        <n x="1337" s="1"/>
      </t>
    </mdx>
    <mdx n="33" f="v">
      <t c="4">
        <n x="728"/>
        <n x="12"/>
        <n x="7"/>
        <n x="1337" s="1"/>
      </t>
    </mdx>
    <mdx n="33" f="v">
      <t c="4">
        <n x="944"/>
        <n x="11"/>
        <n x="32"/>
        <n x="1337" s="1"/>
      </t>
    </mdx>
    <mdx n="33" f="v">
      <t c="4">
        <n x="718"/>
        <n x="0"/>
        <n x="7"/>
        <n x="1337" s="1"/>
      </t>
    </mdx>
    <mdx n="33" f="v">
      <t c="4">
        <n x="1034"/>
        <n x="14"/>
        <n x="7"/>
        <n x="1337" s="1"/>
      </t>
    </mdx>
    <mdx n="33" f="v">
      <t c="4" si="10">
        <n x="931"/>
        <n x="0"/>
        <n x="32"/>
        <n x="1337" s="1"/>
      </t>
    </mdx>
    <mdx n="33" f="v">
      <t c="4">
        <n x="1269"/>
        <n x="12"/>
        <n x="7"/>
        <n x="1337" s="1"/>
      </t>
    </mdx>
    <mdx n="33" f="v">
      <t c="4">
        <n x="858"/>
        <n x="0"/>
        <n x="7"/>
        <n x="1337" s="1"/>
      </t>
    </mdx>
    <mdx n="33" f="v">
      <t c="4">
        <n x="181"/>
        <n x="11"/>
        <n x="7"/>
        <n x="1337" s="1"/>
      </t>
    </mdx>
    <mdx n="33" f="v">
      <t c="4">
        <n x="194"/>
        <n x="11"/>
        <n x="32"/>
        <n x="1337" s="1"/>
      </t>
    </mdx>
    <mdx n="33" f="v">
      <t c="4">
        <n x="61"/>
        <n x="12"/>
        <n x="32"/>
        <n x="1337" s="1"/>
      </t>
    </mdx>
    <mdx n="33" f="v">
      <t c="4" si="9">
        <n x="528"/>
        <n x="14"/>
        <n x="7"/>
        <n x="1337" s="1"/>
      </t>
    </mdx>
    <mdx n="33" f="v">
      <t c="4">
        <n x="774"/>
        <n x="11"/>
        <n x="32"/>
        <n x="1337" s="1"/>
      </t>
    </mdx>
    <mdx n="33" f="v">
      <t c="4">
        <n x="587"/>
        <n x="14"/>
        <n x="7"/>
        <n x="1337" s="1"/>
      </t>
    </mdx>
    <mdx n="33" f="v">
      <t c="4">
        <n x="902"/>
        <n x="14"/>
        <n x="7"/>
        <n x="1337" s="1"/>
      </t>
    </mdx>
    <mdx n="33" f="v">
      <t c="4">
        <n x="1053"/>
        <n x="12"/>
        <n x="7"/>
        <n x="1337" s="1"/>
      </t>
    </mdx>
    <mdx n="33" f="v">
      <t c="4" si="9">
        <n x="570"/>
        <n x="14"/>
        <n x="7"/>
        <n x="1337" s="1"/>
      </t>
    </mdx>
    <mdx n="33" f="v">
      <t c="4" si="10">
        <n x="863"/>
        <n x="0"/>
        <n x="32"/>
        <n x="1337" s="1"/>
      </t>
    </mdx>
    <mdx n="33" f="v">
      <t c="3">
        <n x="965"/>
        <n x="1336"/>
        <n x="1337" s="1"/>
      </t>
    </mdx>
    <mdx n="33" f="v">
      <t c="4">
        <n x="1239"/>
        <n x="12"/>
        <n x="7"/>
        <n x="1337" s="1"/>
      </t>
    </mdx>
    <mdx n="33" f="v">
      <t c="4">
        <n x="1049"/>
        <n x="11"/>
        <n x="7"/>
        <n x="1337" s="1"/>
      </t>
    </mdx>
    <mdx n="33" f="v">
      <t c="4">
        <n x="596"/>
        <n x="14"/>
        <n x="7"/>
        <n x="1337" s="1"/>
      </t>
    </mdx>
    <mdx n="33" f="v">
      <t c="4">
        <n x="972"/>
        <n x="1"/>
        <n x="7"/>
        <n x="1337" s="1"/>
      </t>
    </mdx>
    <mdx n="33" f="v">
      <t c="4">
        <n x="181"/>
        <n x="11"/>
        <n x="32"/>
        <n x="1337" s="1"/>
      </t>
    </mdx>
    <mdx n="33" f="v">
      <t c="4">
        <n x="98"/>
        <n x="12"/>
        <n x="32"/>
        <n x="1337" s="1"/>
      </t>
    </mdx>
    <mdx n="33" f="v">
      <t c="4" si="9">
        <n x="576"/>
        <n x="14"/>
        <n x="7"/>
        <n x="1337" s="1"/>
      </t>
    </mdx>
    <mdx n="33" f="v">
      <t c="4">
        <n x="791"/>
        <n x="14"/>
        <n x="7"/>
        <n x="1337" s="1"/>
      </t>
    </mdx>
    <mdx n="33" f="v">
      <t c="4">
        <n x="442"/>
        <n x="14"/>
        <n x="7"/>
        <n x="1337" s="1"/>
      </t>
    </mdx>
    <mdx n="33" f="v">
      <t c="3">
        <n x="906"/>
        <n x="1336"/>
        <n x="1337" s="1"/>
      </t>
    </mdx>
    <mdx n="33" f="v">
      <t c="3">
        <n x="1060"/>
        <n x="1336"/>
        <n x="1337" s="1"/>
      </t>
    </mdx>
    <mdx n="33" f="v">
      <t c="4" si="9">
        <n x="534"/>
        <n x="14"/>
        <n x="7"/>
        <n x="1337" s="1"/>
      </t>
    </mdx>
    <mdx n="33" f="v">
      <t c="4">
        <n x="866"/>
        <n x="1"/>
        <n x="32"/>
        <n x="1337" s="1"/>
      </t>
    </mdx>
    <mdx n="33" f="v">
      <t c="4" si="10">
        <n x="972"/>
        <n x="1"/>
        <n x="32"/>
        <n x="1337" s="1"/>
      </t>
    </mdx>
    <mdx n="33" f="v">
      <t c="4">
        <n x="1257"/>
        <n x="12"/>
        <n x="7"/>
        <n x="1337" s="1"/>
      </t>
    </mdx>
    <mdx n="33" f="v">
      <t c="4">
        <n x="1013"/>
        <n x="11"/>
        <n x="7"/>
        <n x="1337" s="1"/>
      </t>
    </mdx>
    <mdx n="33" f="v">
      <t c="4">
        <n x="393"/>
        <n x="14"/>
        <n x="7"/>
        <n x="1337" s="1"/>
      </t>
    </mdx>
    <mdx n="33" f="v">
      <t c="4">
        <n x="599"/>
        <n x="1"/>
        <n x="7"/>
        <n x="1337" s="1"/>
      </t>
    </mdx>
    <mdx n="33" f="v">
      <t c="4">
        <n x="142"/>
        <n x="11"/>
        <n x="32"/>
        <n x="1337" s="1"/>
      </t>
    </mdx>
    <mdx n="33" f="v">
      <t c="4" si="10">
        <n x="1106"/>
        <n x="14"/>
        <n x="32"/>
        <n x="1337" s="1"/>
      </t>
    </mdx>
    <mdx n="33" f="v">
      <t c="4">
        <n x="398"/>
        <n x="14"/>
        <n x="7"/>
        <n x="1337" s="1"/>
      </t>
    </mdx>
    <mdx n="33" f="v">
      <t c="4">
        <n x="594"/>
        <n x="1"/>
        <n x="7"/>
        <n x="1337" s="1"/>
      </t>
    </mdx>
    <mdx n="33" f="v">
      <t c="4">
        <n x="137"/>
        <n x="11"/>
        <n x="32"/>
        <n x="1337" s="1"/>
      </t>
    </mdx>
    <mdx n="33" f="v">
      <t c="4">
        <n x="994"/>
        <n x="0"/>
        <n x="32"/>
        <n x="1337" s="1"/>
      </t>
    </mdx>
    <mdx n="33" f="v">
      <t c="4">
        <n x="1111"/>
        <n x="0"/>
        <n x="32"/>
        <n x="1337" s="1"/>
      </t>
    </mdx>
    <mdx n="33" f="v">
      <t c="4">
        <n x="538"/>
        <n x="11"/>
        <n x="32"/>
        <n x="1337" s="1"/>
      </t>
    </mdx>
    <mdx n="33" f="v">
      <t c="4">
        <n x="236"/>
        <n x="11"/>
        <n x="7"/>
        <n x="1337" s="1"/>
      </t>
    </mdx>
    <mdx n="33" f="v">
      <t c="4">
        <n x="190"/>
        <n x="11"/>
        <n x="32"/>
        <n x="1337" s="1"/>
      </t>
    </mdx>
    <mdx n="33" f="v">
      <t c="4">
        <n x="807"/>
        <n x="1"/>
        <n x="32"/>
        <n x="1337" s="1"/>
      </t>
    </mdx>
    <mdx n="33" f="v">
      <t c="4">
        <n x="967"/>
        <n x="11"/>
        <n x="7"/>
        <n x="1337" s="1"/>
      </t>
    </mdx>
    <mdx n="33" f="v">
      <t c="4">
        <n x="315"/>
        <n x="1"/>
        <n x="7"/>
        <n x="1337" s="1"/>
      </t>
    </mdx>
    <mdx n="33" f="v">
      <t c="4">
        <n x="371"/>
        <n x="11"/>
        <n x="32"/>
        <n x="1337" s="1"/>
      </t>
    </mdx>
    <mdx n="33" f="v">
      <t c="4">
        <n x="1190"/>
        <n x="12"/>
        <n x="32"/>
        <n x="1337" s="1"/>
      </t>
    </mdx>
    <mdx n="33" f="v">
      <t c="4">
        <n x="551"/>
        <n x="12"/>
        <n x="32"/>
        <n x="1337" s="1"/>
      </t>
    </mdx>
    <mdx n="33" f="v">
      <t c="4">
        <n x="207"/>
        <n x="12"/>
        <n x="32"/>
        <n x="1337" s="1"/>
      </t>
    </mdx>
    <mdx n="33" f="v">
      <t c="4" si="10">
        <n x="584"/>
        <n x="14"/>
        <n x="32"/>
        <n x="1337" s="1"/>
      </t>
    </mdx>
    <mdx n="33" f="v">
      <t c="4">
        <n x="192"/>
        <n x="14"/>
        <n x="32"/>
        <n x="1337" s="1"/>
      </t>
    </mdx>
    <mdx n="33" f="v">
      <t c="4" si="10">
        <n x="1164"/>
        <n x="0"/>
        <n x="32"/>
        <n x="1337" s="1"/>
      </t>
    </mdx>
    <mdx n="33" f="v">
      <t c="4">
        <n x="391"/>
        <n x="1"/>
        <n x="7"/>
        <n x="1337" s="1"/>
      </t>
    </mdx>
    <mdx n="33" f="v">
      <t c="4" si="10">
        <n x="546"/>
        <n x="12"/>
        <n x="32"/>
        <n x="1337" s="1"/>
      </t>
    </mdx>
    <mdx n="33" f="v">
      <t c="4" si="10">
        <n x="465"/>
        <n x="14"/>
        <n x="32"/>
        <n x="1337" s="1"/>
      </t>
    </mdx>
    <mdx n="33" f="v">
      <t c="4">
        <n x="74"/>
        <n x="1"/>
        <n x="32"/>
        <n x="1337" s="1"/>
      </t>
    </mdx>
    <mdx n="33" f="v">
      <t c="4">
        <n x="1208"/>
        <n x="0"/>
        <n x="7"/>
        <n x="1337" s="1"/>
      </t>
    </mdx>
    <mdx n="33" f="v">
      <t c="4">
        <n x="122"/>
        <n x="1"/>
        <n x="7"/>
        <n x="1337" s="1"/>
      </t>
    </mdx>
    <mdx n="33" f="v">
      <t c="3">
        <n x="771"/>
        <n x="1336"/>
        <n x="1337" s="1"/>
      </t>
    </mdx>
    <mdx n="33" f="v">
      <t c="4">
        <n x="1104"/>
        <n x="0"/>
        <n x="7"/>
        <n x="1337" s="1"/>
      </t>
    </mdx>
    <mdx n="33" f="v">
      <t c="4" si="9">
        <n x="500"/>
        <n x="1"/>
        <n x="7"/>
        <n x="1337" s="1"/>
      </t>
    </mdx>
    <mdx n="33" f="v">
      <t c="4" si="10">
        <n x="590"/>
        <n x="12"/>
        <n x="32"/>
        <n x="1337" s="1"/>
      </t>
    </mdx>
    <mdx n="33" f="v">
      <t c="4" si="10">
        <n x="481"/>
        <n x="14"/>
        <n x="32"/>
        <n x="1337" s="1"/>
      </t>
    </mdx>
    <mdx n="33" f="v">
      <t c="4">
        <n x="137"/>
        <n x="1"/>
        <n x="32"/>
        <n x="1337" s="1"/>
      </t>
    </mdx>
    <mdx n="33" f="v">
      <t c="4">
        <n x="1219"/>
        <n x="0"/>
        <n x="7"/>
        <n x="1337" s="1"/>
      </t>
    </mdx>
    <mdx n="33" f="v">
      <t c="4">
        <n x="370"/>
        <n x="11"/>
        <n x="32"/>
        <n x="1337" s="1"/>
      </t>
    </mdx>
    <mdx n="33" f="v">
      <t c="3">
        <n x="123"/>
        <n x="1336"/>
        <n x="1337" s="1"/>
      </t>
    </mdx>
    <mdx n="33" f="v">
      <t c="4">
        <n x="552"/>
        <n x="14"/>
        <n x="7"/>
        <n x="1337" s="1"/>
      </t>
    </mdx>
    <mdx n="33" f="v">
      <t c="4">
        <n x="823"/>
        <n x="12"/>
        <n x="7"/>
        <n x="1337" s="1"/>
      </t>
    </mdx>
    <mdx n="33" f="v">
      <t c="4">
        <n x="619"/>
        <n x="14"/>
        <n x="7"/>
        <n x="1337" s="1"/>
      </t>
    </mdx>
    <mdx n="33" f="v">
      <t c="4">
        <n x="937"/>
        <n x="12"/>
        <n x="7"/>
        <n x="1337" s="1"/>
      </t>
    </mdx>
    <mdx n="33" f="v">
      <t c="4" si="10">
        <n x="1295"/>
        <n x="0"/>
        <n x="32"/>
        <n x="1337" s="1"/>
      </t>
    </mdx>
    <mdx n="33" f="v">
      <t c="4" si="10">
        <n x="862"/>
        <n x="1"/>
        <n x="32"/>
        <n x="1337" s="1"/>
      </t>
    </mdx>
    <mdx n="33" f="v">
      <t c="4" si="10">
        <n x="1040"/>
        <n x="1"/>
        <n x="32"/>
        <n x="1337" s="1"/>
      </t>
    </mdx>
    <mdx n="33" f="v">
      <t c="4">
        <n x="232"/>
        <n x="14"/>
        <n x="7"/>
        <n x="1337" s="1"/>
      </t>
    </mdx>
    <mdx n="33" f="v">
      <t c="4">
        <n x="420"/>
        <n x="14"/>
        <n x="7"/>
        <n x="1337" s="1"/>
      </t>
    </mdx>
    <mdx n="33" f="v">
      <t c="4">
        <n x="174"/>
        <n x="1"/>
        <n x="7"/>
        <n x="1337" s="1"/>
      </t>
    </mdx>
    <mdx n="33" f="v">
      <t c="4">
        <n x="409"/>
        <n x="12"/>
        <n x="32"/>
        <n x="1337" s="1"/>
      </t>
    </mdx>
    <mdx n="33" f="v">
      <t c="4">
        <n x="608"/>
        <n x="14"/>
        <n x="7"/>
        <n x="1337" s="1"/>
      </t>
    </mdx>
    <mdx n="33" f="v">
      <t c="4">
        <n x="339"/>
        <n x="11"/>
        <n x="7"/>
        <n x="1337" s="1"/>
      </t>
    </mdx>
    <mdx n="33" f="v">
      <t c="4">
        <n x="971"/>
        <n x="1"/>
        <n x="7"/>
        <n x="1337" s="1"/>
      </t>
    </mdx>
    <mdx n="33" f="v">
      <t c="4">
        <n x="120"/>
        <n x="1"/>
        <n x="7"/>
        <n x="1337" s="1"/>
      </t>
    </mdx>
    <mdx n="33" f="v">
      <t c="4">
        <n x="413"/>
        <n x="11"/>
        <n x="32"/>
        <n x="1337" s="1"/>
      </t>
    </mdx>
    <mdx n="33" f="v">
      <t c="4" si="10">
        <n x="1243"/>
        <n x="12"/>
        <n x="32"/>
        <n x="1337" s="1"/>
      </t>
    </mdx>
    <mdx n="33" f="v">
      <t c="4" si="10">
        <n x="999"/>
        <n x="12"/>
        <n x="32"/>
        <n x="1337" s="1"/>
      </t>
    </mdx>
    <mdx n="33" f="v">
      <t c="4">
        <n x="469"/>
        <n x="12"/>
        <n x="32"/>
        <n x="1337" s="1"/>
      </t>
    </mdx>
    <mdx n="33" f="v">
      <t c="4">
        <n x="164"/>
        <n x="12"/>
        <n x="32"/>
        <n x="1337" s="1"/>
      </t>
    </mdx>
    <mdx n="33" f="v">
      <t c="4">
        <n x="873"/>
        <n x="1"/>
        <n x="7"/>
        <n x="1337" s="1"/>
      </t>
    </mdx>
    <mdx n="33" f="v">
      <t c="4" si="9">
        <n x="988"/>
        <n x="0"/>
        <n x="7"/>
        <n x="1337" s="1"/>
      </t>
    </mdx>
    <mdx n="33" f="v">
      <t c="4">
        <n x="1298"/>
        <n x="0"/>
        <n x="32"/>
        <n x="1337" s="1"/>
      </t>
    </mdx>
    <mdx n="33" f="v">
      <t c="4">
        <n x="123"/>
        <n x="14"/>
        <n x="7"/>
        <n x="1337" s="1"/>
      </t>
    </mdx>
    <mdx n="33" f="v">
      <t c="4">
        <n x="500"/>
        <n x="11"/>
        <n x="7"/>
        <n x="1337" s="1"/>
      </t>
    </mdx>
    <mdx n="33" f="v">
      <t c="4">
        <n x="232"/>
        <n x="11"/>
        <n x="7"/>
        <n x="1337" s="1"/>
      </t>
    </mdx>
    <mdx n="33" f="v">
      <t c="4">
        <n x="1046"/>
        <n x="1"/>
        <n x="7"/>
        <n x="1337" s="1"/>
      </t>
    </mdx>
    <mdx n="33" f="v">
      <t c="4">
        <n x="452"/>
        <n x="1"/>
        <n x="7"/>
        <n x="1337" s="1"/>
      </t>
    </mdx>
    <mdx n="33" f="v">
      <t c="4">
        <n x="131"/>
        <n x="1"/>
        <n x="7"/>
        <n x="1337" s="1"/>
      </t>
    </mdx>
    <mdx n="33" f="v">
      <t c="4">
        <n x="572"/>
        <n x="11"/>
        <n x="32"/>
        <n x="1337" s="1"/>
      </t>
    </mdx>
    <mdx n="33" f="v">
      <t c="4">
        <n x="315"/>
        <n x="11"/>
        <n x="32"/>
        <n x="1337" s="1"/>
      </t>
    </mdx>
    <mdx n="33" f="v">
      <t c="4">
        <n x="1230"/>
        <n x="12"/>
        <n x="32"/>
        <n x="1337" s="1"/>
      </t>
    </mdx>
    <mdx n="33" f="v">
      <t c="4" si="10">
        <n x="986"/>
        <n x="12"/>
        <n x="32"/>
        <n x="1337" s="1"/>
      </t>
    </mdx>
    <mdx n="33" f="v">
      <t c="4">
        <n x="417"/>
        <n x="12"/>
        <n x="32"/>
        <n x="1337" s="1"/>
      </t>
    </mdx>
    <mdx n="33" f="v">
      <t c="4">
        <n x="149"/>
        <n x="12"/>
        <n x="32"/>
        <n x="1337" s="1"/>
      </t>
    </mdx>
    <mdx n="33" f="v">
      <t c="4" si="10">
        <n x="960"/>
        <n x="14"/>
        <n x="32"/>
        <n x="1337" s="1"/>
      </t>
    </mdx>
    <mdx n="33" f="v">
      <t c="4">
        <n x="366"/>
        <n x="14"/>
        <n x="32"/>
        <n x="1337" s="1"/>
      </t>
    </mdx>
    <mdx n="33" f="v">
      <t c="4">
        <n x="301"/>
        <n x="1"/>
        <n x="32"/>
        <n x="1337" s="1"/>
      </t>
    </mdx>
    <mdx n="33" f="v">
      <t c="4">
        <n x="228"/>
        <n x="14"/>
        <n x="7"/>
        <n x="1337" s="1"/>
      </t>
    </mdx>
    <mdx n="33" f="v">
      <t c="4">
        <n x="552"/>
        <n x="1"/>
        <n x="7"/>
        <n x="1337" s="1"/>
      </t>
    </mdx>
    <mdx n="33" f="v">
      <t c="4">
        <n x="95"/>
        <n x="11"/>
        <n x="32"/>
        <n x="1337" s="1"/>
      </t>
    </mdx>
    <mdx n="33" f="v">
      <t c="4">
        <n x="73"/>
        <n x="12"/>
        <n x="32"/>
        <n x="1337" s="1"/>
      </t>
    </mdx>
    <mdx n="33" f="v">
      <t c="4">
        <n x="390"/>
        <n x="14"/>
        <n x="32"/>
        <n x="1337" s="1"/>
      </t>
    </mdx>
    <mdx n="33" f="v">
      <t c="4">
        <n x="121"/>
        <n x="1"/>
        <n x="32"/>
        <n x="1337" s="1"/>
      </t>
    </mdx>
    <mdx n="33" f="v">
      <t c="4">
        <n x="1328"/>
        <n x="0"/>
        <n x="7"/>
        <n x="1337" s="1"/>
      </t>
    </mdx>
    <mdx n="33" f="v">
      <t c="4">
        <n x="292"/>
        <n x="0"/>
        <n x="7"/>
        <n x="1337" s="1"/>
      </t>
    </mdx>
    <mdx n="33" f="v">
      <t c="4">
        <n x="99"/>
        <n x="11"/>
        <n x="32"/>
        <n x="1337" s="1"/>
      </t>
    </mdx>
    <mdx n="33" f="v">
      <t c="4">
        <n x="142"/>
        <n x="1"/>
        <n x="32"/>
        <n x="1337" s="1"/>
      </t>
    </mdx>
    <mdx n="33" f="v">
      <t c="4" si="10">
        <n x="842"/>
        <n x="1"/>
        <n x="32"/>
        <n x="1337" s="1"/>
      </t>
    </mdx>
    <mdx n="33" f="v">
      <t c="4">
        <n x="596"/>
        <n x="11"/>
        <n x="7"/>
        <n x="1337" s="1"/>
      </t>
    </mdx>
    <mdx n="33" f="v">
      <t c="4">
        <n x="197"/>
        <n x="1"/>
        <n x="7"/>
        <n x="1337" s="1"/>
      </t>
    </mdx>
    <mdx n="33" f="v">
      <t c="4" si="10">
        <n x="1065"/>
        <n x="12"/>
        <n x="32"/>
        <n x="1337" s="1"/>
      </t>
    </mdx>
    <mdx n="33" f="v">
      <t c="4">
        <n x="995"/>
        <n x="14"/>
        <n x="32"/>
        <n x="1337" s="1"/>
      </t>
    </mdx>
    <mdx n="33" f="v">
      <t c="4">
        <n x="210"/>
        <n x="14"/>
        <n x="32"/>
        <n x="1337" s="1"/>
      </t>
    </mdx>
    <mdx n="33" f="v">
      <t c="4">
        <n x="59"/>
        <n x="1"/>
        <n x="32"/>
        <n x="1337" s="1"/>
      </t>
    </mdx>
    <mdx n="33" f="v">
      <t c="4">
        <n x="1259"/>
        <n x="0"/>
        <n x="7"/>
        <n x="1337" s="1"/>
      </t>
    </mdx>
    <mdx n="33" f="v">
      <t c="4">
        <n x="71"/>
        <n x="0"/>
        <n x="7"/>
        <n x="1337" s="1"/>
      </t>
    </mdx>
    <mdx n="33" f="v">
      <t c="4" si="10">
        <n x="601"/>
        <n x="14"/>
        <n x="32"/>
        <n x="1337" s="1"/>
      </t>
    </mdx>
    <mdx n="33" f="v">
      <t c="4">
        <n x="1225"/>
        <n x="0"/>
        <n x="7"/>
        <n x="1337" s="1"/>
      </t>
    </mdx>
    <mdx n="33" f="v">
      <t c="4" si="10">
        <n x="1148"/>
        <n x="0"/>
        <n x="32"/>
        <n x="1337" s="1"/>
      </t>
    </mdx>
    <mdx n="33" f="v">
      <t c="4" si="9">
        <n x="1121"/>
        <n x="1"/>
        <n x="7"/>
        <n x="1337" s="1"/>
      </t>
    </mdx>
    <mdx n="33" f="v">
      <t c="4">
        <n x="391"/>
        <n x="11"/>
        <n x="32"/>
        <n x="1337" s="1"/>
      </t>
    </mdx>
    <mdx n="33" f="v">
      <t c="4">
        <n x="144"/>
        <n x="12"/>
        <n x="32"/>
        <n x="1337" s="1"/>
      </t>
    </mdx>
    <mdx n="33" f="v">
      <t c="4">
        <n x="468"/>
        <n x="14"/>
        <n x="32"/>
        <n x="1337" s="1"/>
      </t>
    </mdx>
    <mdx n="33" f="v">
      <t c="4" si="10">
        <n x="771"/>
        <n x="1"/>
        <n x="32"/>
        <n x="1337" s="1"/>
      </t>
    </mdx>
    <mdx n="33" f="v">
      <t c="3">
        <n x="110"/>
        <n x="1336"/>
        <n x="1337" s="1"/>
      </t>
    </mdx>
    <mdx n="33" f="v">
      <t c="4">
        <n x="1130"/>
        <n x="0"/>
        <n x="7"/>
        <n x="1337" s="1"/>
      </t>
    </mdx>
    <mdx n="33" f="v">
      <t c="4" si="10">
        <n x="906"/>
        <n x="0"/>
        <n x="32"/>
        <n x="1337" s="1"/>
      </t>
    </mdx>
    <mdx n="33" f="v">
      <t c="4">
        <n x="357"/>
        <n x="11"/>
        <n x="7"/>
        <n x="1337" s="1"/>
      </t>
    </mdx>
    <mdx n="33" f="v">
      <t c="4">
        <n x="100"/>
        <n x="12"/>
        <n x="32"/>
        <n x="1337" s="1"/>
      </t>
    </mdx>
    <mdx n="33" f="v">
      <t c="4">
        <n x="1329"/>
        <n x="0"/>
        <n x="7"/>
        <n x="1337" s="1"/>
      </t>
    </mdx>
    <mdx n="33" f="v">
      <t c="4">
        <n x="773"/>
        <n x="14"/>
        <n x="7"/>
        <n x="1337" s="1"/>
      </t>
    </mdx>
    <mdx n="33" f="v">
      <t c="4">
        <n x="929"/>
        <n x="11"/>
        <n x="7"/>
        <n x="1337" s="1"/>
      </t>
    </mdx>
    <mdx n="33" f="v">
      <t c="3">
        <n x="623"/>
        <n x="1336"/>
        <n x="1337" s="1"/>
      </t>
    </mdx>
    <mdx n="33" f="v">
      <t c="4">
        <n x="1024"/>
        <n x="1"/>
        <n x="32"/>
        <n x="1337" s="1"/>
      </t>
    </mdx>
    <mdx n="33" f="v">
      <t c="4" si="10">
        <n x="769"/>
        <n x="14"/>
        <n x="32"/>
        <n x="1337" s="1"/>
      </t>
    </mdx>
    <mdx n="33" f="v">
      <t c="4">
        <n x="337"/>
        <n x="1"/>
        <n x="7"/>
        <n x="1337" s="1"/>
      </t>
    </mdx>
    <mdx n="33" f="v">
      <t c="4" si="10">
        <n x="779"/>
        <n x="14"/>
        <n x="32"/>
        <n x="1337" s="1"/>
      </t>
    </mdx>
    <mdx n="33" f="v">
      <t c="4">
        <n x="367"/>
        <n x="11"/>
        <n x="7"/>
        <n x="1337" s="1"/>
      </t>
    </mdx>
    <mdx n="33" f="v">
      <t c="4">
        <n x="425"/>
        <n x="1"/>
        <n x="7"/>
        <n x="1337" s="1"/>
      </t>
    </mdx>
    <mdx n="33" f="v">
      <t c="4">
        <n x="372"/>
        <n x="11"/>
        <n x="32"/>
        <n x="1337" s="1"/>
      </t>
    </mdx>
    <mdx n="33" f="v">
      <t c="4">
        <n x="971"/>
        <n x="12"/>
        <n x="32"/>
        <n x="1337" s="1"/>
      </t>
    </mdx>
    <mdx n="33" f="v">
      <t c="4">
        <n x="289"/>
        <n x="0"/>
        <n x="32"/>
        <n x="1337" s="1"/>
      </t>
    </mdx>
    <mdx n="33" f="v">
      <t c="4">
        <n x="1011"/>
        <n x="12"/>
        <n x="7"/>
        <n x="1337" s="1"/>
      </t>
    </mdx>
    <mdx n="33" f="v">
      <t c="4">
        <n x="1122"/>
        <n x="11"/>
        <n x="7"/>
        <n x="1337" s="1"/>
      </t>
    </mdx>
    <mdx n="33" f="v">
      <t c="4">
        <n x="207"/>
        <n x="11"/>
        <n x="7"/>
        <n x="1337" s="1"/>
      </t>
    </mdx>
    <mdx n="33" f="v">
      <t c="4">
        <n x="424"/>
        <n x="1"/>
        <n x="7"/>
        <n x="1337" s="1"/>
      </t>
    </mdx>
    <mdx n="33" f="v">
      <t c="4">
        <n x="480"/>
        <n x="11"/>
        <n x="32"/>
        <n x="1337" s="1"/>
      </t>
    </mdx>
    <mdx n="33" f="v">
      <t c="4">
        <n x="1197"/>
        <n x="12"/>
        <n x="32"/>
        <n x="1337" s="1"/>
      </t>
    </mdx>
    <mdx n="33" f="v">
      <t c="4">
        <n x="322"/>
        <n x="11"/>
        <n x="32"/>
        <n x="1337" s="1"/>
      </t>
    </mdx>
    <mdx n="33" f="v">
      <t c="4" si="10">
        <n x="1161"/>
        <n x="12"/>
        <n x="32"/>
        <n x="1337" s="1"/>
      </t>
    </mdx>
    <mdx n="33" f="v">
      <t c="3">
        <n x="127"/>
        <n x="1336"/>
        <n x="1337" s="1"/>
      </t>
    </mdx>
    <mdx n="33" f="v">
      <t c="4" si="9">
        <n x="476"/>
        <n x="1"/>
        <n x="7"/>
        <n x="1337" s="1"/>
      </t>
    </mdx>
    <mdx n="33" f="v">
      <t c="3">
        <n x="1107"/>
        <n x="1336"/>
        <n x="1337" s="1"/>
      </t>
    </mdx>
    <mdx n="33" f="v">
      <t c="4" si="10">
        <n x="869"/>
        <n x="14"/>
        <n x="32"/>
        <n x="1337" s="1"/>
      </t>
    </mdx>
    <mdx n="33" f="v">
      <t c="4">
        <n x="311"/>
        <n x="14"/>
        <n x="7"/>
        <n x="1337" s="1"/>
      </t>
    </mdx>
    <mdx n="33" f="v">
      <t c="4">
        <n x="81"/>
        <n x="14"/>
        <n x="7"/>
        <n x="1337" s="1"/>
      </t>
    </mdx>
    <mdx n="33" f="v">
      <t c="4">
        <n x="996"/>
        <n x="11"/>
        <n x="32"/>
        <n x="1337" s="1"/>
      </t>
    </mdx>
    <mdx n="33" f="v">
      <t c="4">
        <n x="239"/>
        <n x="12"/>
        <n x="32"/>
        <n x="1337" s="1"/>
      </t>
    </mdx>
    <mdx n="33" f="v">
      <t c="4">
        <n x="233"/>
        <n x="14"/>
        <n x="7"/>
        <n x="1337" s="1"/>
      </t>
    </mdx>
    <mdx n="33" f="v">
      <t c="4" si="9">
        <n x="513"/>
        <n x="1"/>
        <n x="7"/>
        <n x="1337" s="1"/>
      </t>
    </mdx>
    <mdx n="33" f="v">
      <t c="4">
        <n x="1258"/>
        <n x="12"/>
        <n x="32"/>
        <n x="1337" s="1"/>
      </t>
    </mdx>
    <mdx n="33" f="v">
      <t c="4" si="10">
        <n x="988"/>
        <n x="14"/>
        <n x="32"/>
        <n x="1337" s="1"/>
      </t>
    </mdx>
    <mdx n="33" f="v">
      <t c="4">
        <n x="536"/>
        <n x="1"/>
        <n x="7"/>
        <n x="1337" s="1"/>
      </t>
    </mdx>
    <mdx n="33" f="v">
      <t c="4">
        <n x="82"/>
        <n x="1"/>
        <n x="32"/>
        <n x="1337" s="1"/>
      </t>
    </mdx>
    <mdx n="33" f="v">
      <t c="3">
        <n x="952"/>
        <n x="1336"/>
        <n x="1337" s="1"/>
      </t>
    </mdx>
    <mdx n="33" f="v">
      <t c="4" si="10">
        <n x="606"/>
        <n x="12"/>
        <n x="32"/>
        <n x="1337" s="1"/>
      </t>
    </mdx>
    <mdx n="33" f="v">
      <t c="4">
        <n x="1255"/>
        <n x="0"/>
        <n x="7"/>
        <n x="1337" s="1"/>
      </t>
    </mdx>
    <mdx n="33" f="v">
      <t c="4">
        <n x="144"/>
        <n x="14"/>
        <n x="7"/>
        <n x="1337" s="1"/>
      </t>
    </mdx>
    <mdx n="33" f="v">
      <t c="4">
        <n x="120"/>
        <n x="12"/>
        <n x="32"/>
        <n x="1337" s="1"/>
      </t>
    </mdx>
    <mdx n="33" f="v">
      <t c="3">
        <n x="145"/>
        <n x="1336"/>
        <n x="1337" s="1"/>
      </t>
    </mdx>
    <mdx n="33" f="v">
      <t c="4">
        <n x="1322"/>
        <n x="11"/>
        <n x="7"/>
        <n x="1337" s="1"/>
      </t>
    </mdx>
    <mdx n="33" f="v">
      <t c="4">
        <n x="107"/>
        <n x="0"/>
        <n x="7"/>
        <n x="1337" s="1"/>
      </t>
    </mdx>
    <mdx n="33" f="v">
      <t c="4">
        <n x="161"/>
        <n x="14"/>
        <n x="7"/>
        <n x="1337" s="1"/>
      </t>
    </mdx>
    <mdx n="33" f="v">
      <t c="4" si="10">
        <n x="1074"/>
        <n x="0"/>
        <n x="32"/>
        <n x="1337" s="1"/>
      </t>
    </mdx>
    <mdx n="33" f="v">
      <t c="4">
        <n x="872"/>
        <n x="11"/>
        <n x="32"/>
        <n x="1337" s="1"/>
      </t>
    </mdx>
    <mdx n="33" f="v">
      <t c="4">
        <n x="1291"/>
        <n x="12"/>
        <n x="7"/>
        <n x="1337" s="1"/>
      </t>
    </mdx>
    <mdx n="33" f="v">
      <t c="4">
        <n x="266"/>
        <n x="14"/>
        <n x="7"/>
        <n x="1337" s="1"/>
      </t>
    </mdx>
    <mdx n="33" f="v">
      <t c="4" si="10">
        <n x="1308"/>
        <n x="12"/>
        <n x="32"/>
        <n x="1337" s="1"/>
      </t>
    </mdx>
    <mdx n="33" f="v">
      <t c="4">
        <n x="226"/>
        <n x="14"/>
        <n x="7"/>
        <n x="1337" s="1"/>
      </t>
    </mdx>
    <mdx n="33" f="v">
      <t c="4">
        <n x="118"/>
        <n x="11"/>
        <n x="7"/>
        <n x="1337" s="1"/>
      </t>
    </mdx>
    <mdx n="33" f="v">
      <t c="4" si="10">
        <n x="1116"/>
        <n x="11"/>
        <n x="32"/>
        <n x="1337" s="1"/>
      </t>
    </mdx>
    <mdx n="33" f="v">
      <t c="4">
        <n x="1267"/>
        <n x="12"/>
        <n x="32"/>
        <n x="1337" s="1"/>
      </t>
    </mdx>
    <mdx n="33" f="v">
      <t c="4" si="10">
        <n x="464"/>
        <n x="12"/>
        <n x="32"/>
        <n x="1337" s="1"/>
      </t>
    </mdx>
    <mdx n="33" f="v">
      <t c="4">
        <n x="866"/>
        <n x="0"/>
        <n x="7"/>
        <n x="1337" s="1"/>
      </t>
    </mdx>
    <mdx n="33" f="v">
      <t c="4" si="10">
        <n x="1258"/>
        <n x="0"/>
        <n x="32"/>
        <n x="1337" s="1"/>
      </t>
    </mdx>
    <mdx n="33" f="v">
      <t c="4">
        <n x="520"/>
        <n x="11"/>
        <n x="7"/>
        <n x="1337" s="1"/>
      </t>
    </mdx>
    <mdx n="33" f="v">
      <t c="4">
        <n x="1066"/>
        <n x="1"/>
        <n x="7"/>
        <n x="1337" s="1"/>
      </t>
    </mdx>
    <mdx n="33" f="v">
      <t c="4">
        <n x="151"/>
        <n x="1"/>
        <n x="7"/>
        <n x="1337" s="1"/>
      </t>
    </mdx>
    <mdx n="33" f="v">
      <t c="4">
        <n x="335"/>
        <n x="11"/>
        <n x="32"/>
        <n x="1337" s="1"/>
      </t>
    </mdx>
    <mdx n="33" f="v">
      <t c="4">
        <n x="1006"/>
        <n x="12"/>
        <n x="32"/>
        <n x="1337" s="1"/>
      </t>
    </mdx>
    <mdx n="33" f="v">
      <t c="4">
        <n x="171"/>
        <n x="12"/>
        <n x="32"/>
        <n x="1337" s="1"/>
      </t>
    </mdx>
    <mdx n="33" f="v">
      <t c="4">
        <n x="387"/>
        <n x="14"/>
        <n x="32"/>
        <n x="1337" s="1"/>
      </t>
    </mdx>
    <mdx n="33" f="v">
      <t c="4" si="9">
        <n x="584"/>
        <n x="14"/>
        <n x="7"/>
        <n x="1337" s="1"/>
      </t>
    </mdx>
    <mdx n="33" f="v">
      <t c="4">
        <n x="169"/>
        <n x="11"/>
        <n x="32"/>
        <n x="1337" s="1"/>
      </t>
    </mdx>
    <mdx n="33" f="v">
      <t c="4">
        <n x="417"/>
        <n x="14"/>
        <n x="32"/>
        <n x="1337" s="1"/>
      </t>
    </mdx>
    <mdx n="33" f="v">
      <t c="3">
        <n x="76"/>
        <n x="1336"/>
        <n x="1337" s="1"/>
      </t>
    </mdx>
    <mdx n="33" f="v">
      <t c="4">
        <n x="387"/>
        <n x="11"/>
        <n x="32"/>
        <n x="1337" s="1"/>
      </t>
    </mdx>
    <mdx n="33" f="v">
      <t c="4" si="10">
        <n x="744"/>
        <n x="1"/>
        <n x="32"/>
        <n x="1337" s="1"/>
      </t>
    </mdx>
    <mdx n="33" f="v">
      <t c="4">
        <n x="354"/>
        <n x="1"/>
        <n x="7"/>
        <n x="1337" s="1"/>
      </t>
    </mdx>
    <mdx n="33" f="v">
      <t c="4" si="10">
        <n x="1035"/>
        <n x="14"/>
        <n x="32"/>
        <n x="1337" s="1"/>
      </t>
    </mdx>
    <mdx n="33" f="v">
      <t c="4">
        <n x="56"/>
        <n x="1"/>
        <n x="32"/>
        <n x="1337" s="1"/>
      </t>
    </mdx>
    <mdx n="33" f="v">
      <t c="4">
        <n x="150"/>
        <n x="0"/>
        <n x="7"/>
        <n x="1337" s="1"/>
      </t>
    </mdx>
    <mdx n="33" f="v">
      <t c="4">
        <n x="1285"/>
        <n x="0"/>
        <n x="7"/>
        <n x="1337" s="1"/>
      </t>
    </mdx>
    <mdx n="33" f="v">
      <t c="4">
        <n x="108"/>
        <n x="11"/>
        <n x="7"/>
        <n x="1337" s="1"/>
      </t>
    </mdx>
    <mdx n="33" f="v">
      <t c="4" si="10">
        <n x="1289"/>
        <n x="12"/>
        <n x="32"/>
        <n x="1337" s="1"/>
      </t>
    </mdx>
    <mdx n="33" f="v">
      <t c="4" si="10">
        <n x="609"/>
        <n x="14"/>
        <n x="32"/>
        <n x="1337" s="1"/>
      </t>
    </mdx>
    <mdx n="33" f="v">
      <t c="4">
        <n x="1333"/>
        <n x="1"/>
        <n x="32"/>
        <n x="1337" s="1"/>
      </t>
    </mdx>
    <mdx n="33" f="v">
      <t c="4">
        <n x="1318"/>
        <n x="0"/>
        <n x="7"/>
        <n x="1337" s="1"/>
      </t>
    </mdx>
    <mdx n="33" f="v">
      <t c="4">
        <n x="53"/>
        <n x="0"/>
        <n x="7"/>
        <n x="1337" s="1"/>
      </t>
    </mdx>
    <mdx n="33" f="v">
      <t c="4">
        <n x="422"/>
        <n x="11"/>
        <n x="7"/>
        <n x="1337" s="1"/>
      </t>
    </mdx>
    <mdx n="33" f="v">
      <t c="4">
        <n x="461"/>
        <n x="14"/>
        <n x="32"/>
        <n x="1337" s="1"/>
      </t>
    </mdx>
    <mdx n="33" f="v">
      <t c="4">
        <n x="633"/>
        <n x="1"/>
        <n x="7"/>
        <n x="1337" s="1"/>
      </t>
    </mdx>
    <mdx n="33" f="v">
      <t c="4" si="10">
        <n x="793"/>
        <n x="11"/>
        <n x="32"/>
        <n x="1337" s="1"/>
      </t>
    </mdx>
    <mdx n="33" f="v">
      <t c="4" si="10">
        <n x="1143"/>
        <n x="0"/>
        <n x="32"/>
        <n x="1337" s="1"/>
      </t>
    </mdx>
    <mdx n="33" f="v">
      <t c="4">
        <n x="898"/>
        <n x="1"/>
        <n x="7"/>
        <n x="1337" s="1"/>
      </t>
    </mdx>
    <mdx n="33" f="v">
      <t c="4">
        <n x="617"/>
        <n x="14"/>
        <n x="7"/>
        <n x="1337" s="1"/>
      </t>
    </mdx>
    <mdx n="33" f="v">
      <t c="4">
        <n x="552"/>
        <n x="11"/>
        <n x="7"/>
        <n x="1337" s="1"/>
      </t>
    </mdx>
    <mdx n="33" f="v">
      <t c="4" si="10">
        <n x="1032"/>
        <n x="12"/>
        <n x="32"/>
        <n x="1337" s="1"/>
      </t>
    </mdx>
    <mdx n="33" f="v">
      <t c="4">
        <n x="1070"/>
        <n x="11"/>
        <n x="7"/>
        <n x="1337" s="1"/>
      </t>
    </mdx>
    <mdx n="33" f="v">
      <t c="4">
        <n x="1071"/>
        <n x="1"/>
        <n x="7"/>
        <n x="1337" s="1"/>
      </t>
    </mdx>
    <mdx n="33" f="v">
      <t c="4">
        <n x="1020"/>
        <n x="11"/>
        <n x="32"/>
        <n x="1337" s="1"/>
      </t>
    </mdx>
    <mdx n="33" f="v">
      <t c="4">
        <n x="1191"/>
        <n x="12"/>
        <n x="32"/>
        <n x="1337" s="1"/>
      </t>
    </mdx>
    <mdx n="33" f="v">
      <t c="4" si="10">
        <n x="355"/>
        <n x="12"/>
        <n x="32"/>
        <n x="1337" s="1"/>
      </t>
    </mdx>
    <mdx n="33" f="v">
      <t c="4" si="10">
        <n x="892"/>
        <n x="14"/>
        <n x="32"/>
        <n x="1337" s="1"/>
      </t>
    </mdx>
    <mdx n="33" f="v">
      <t c="4">
        <n x="1000"/>
        <n x="14"/>
        <n x="7"/>
        <n x="1337" s="1"/>
      </t>
    </mdx>
    <mdx n="33" f="v">
      <t c="4">
        <n x="459"/>
        <n x="11"/>
        <n x="7"/>
        <n x="1337" s="1"/>
      </t>
    </mdx>
    <mdx n="33" f="v">
      <t c="4">
        <n x="994"/>
        <n x="1"/>
        <n x="7"/>
        <n x="1337" s="1"/>
      </t>
    </mdx>
    <mdx n="33" f="v">
      <t c="4">
        <n x="1111"/>
        <n x="11"/>
        <n x="32"/>
        <n x="1337" s="1"/>
      </t>
    </mdx>
    <mdx n="33" f="v">
      <t c="4">
        <n x="204"/>
        <n x="11"/>
        <n x="32"/>
        <n x="1337" s="1"/>
      </t>
    </mdx>
    <mdx n="33" f="v">
      <t c="4" si="10">
        <n x="619"/>
        <n x="12"/>
        <n x="32"/>
        <n x="1337" s="1"/>
      </t>
    </mdx>
    <mdx n="33" f="v">
      <t c="4">
        <n x="115"/>
        <n x="12"/>
        <n x="32"/>
        <n x="1337" s="1"/>
      </t>
    </mdx>
    <mdx n="33" f="v">
      <t c="4">
        <n x="314"/>
        <n x="14"/>
        <n x="32"/>
        <n x="1337" s="1"/>
      </t>
    </mdx>
    <mdx n="33" f="v">
      <t c="4">
        <n x="1003"/>
        <n x="11"/>
        <n x="7"/>
        <n x="1337" s="1"/>
      </t>
    </mdx>
    <mdx n="33" f="v">
      <t c="4">
        <n x="1332"/>
        <n x="12"/>
        <n x="32"/>
        <n x="1337" s="1"/>
      </t>
    </mdx>
    <mdx n="33" f="v">
      <t c="4">
        <n x="320"/>
        <n x="14"/>
        <n x="32"/>
        <n x="1337" s="1"/>
      </t>
    </mdx>
    <mdx n="33" f="v">
      <t c="4">
        <n x="1276"/>
        <n x="0"/>
        <n x="7"/>
        <n x="1337" s="1"/>
      </t>
    </mdx>
    <mdx n="33" f="v">
      <t c="4" si="10">
        <n x="385"/>
        <n x="12"/>
        <n x="32"/>
        <n x="1337" s="1"/>
      </t>
    </mdx>
    <mdx n="33" f="v">
      <t c="4" si="10">
        <n x="920"/>
        <n x="14"/>
        <n x="32"/>
        <n x="1337" s="1"/>
      </t>
    </mdx>
    <mdx n="33" f="v">
      <t c="4">
        <n x="1034"/>
        <n x="11"/>
        <n x="32"/>
        <n x="1337" s="1"/>
      </t>
    </mdx>
    <mdx n="33" f="v">
      <t c="4" si="10">
        <n x="571"/>
        <n x="14"/>
        <n x="32"/>
        <n x="1337" s="1"/>
      </t>
    </mdx>
    <mdx n="33" f="v">
      <t c="3">
        <n x="300"/>
        <n x="1336"/>
        <n x="1337" s="1"/>
      </t>
    </mdx>
    <mdx n="33" f="v">
      <t c="4">
        <n x="556"/>
        <n x="1"/>
        <n x="7"/>
        <n x="1337" s="1"/>
      </t>
    </mdx>
    <mdx n="33" f="v">
      <t c="4">
        <n x="293"/>
        <n x="0"/>
        <n x="7"/>
        <n x="1337" s="1"/>
      </t>
    </mdx>
    <mdx n="33" f="v">
      <t c="4">
        <n x="1009"/>
        <n x="1"/>
        <n x="7"/>
        <n x="1337" s="1"/>
      </t>
    </mdx>
    <mdx n="33" f="v">
      <t c="4" si="10">
        <n x="1109"/>
        <n x="12"/>
        <n x="32"/>
        <n x="1337" s="1"/>
      </t>
    </mdx>
    <mdx n="33" f="v">
      <t c="4" si="10">
        <n x="543"/>
        <n x="14"/>
        <n x="32"/>
        <n x="1337" s="1"/>
      </t>
    </mdx>
    <mdx n="33" f="v">
      <t c="4">
        <n x="115"/>
        <n x="1"/>
        <n x="32"/>
        <n x="1337" s="1"/>
      </t>
    </mdx>
    <mdx n="33" f="v">
      <t c="4">
        <n x="1270"/>
        <n x="0"/>
        <n x="7"/>
        <n x="1337" s="1"/>
      </t>
    </mdx>
    <mdx n="33" f="v">
      <t c="4" si="10">
        <n x="783"/>
        <n x="14"/>
        <n x="32"/>
        <n x="1337" s="1"/>
      </t>
    </mdx>
    <mdx n="33" f="v">
      <t c="4">
        <n x="259"/>
        <n x="11"/>
        <n x="7"/>
        <n x="1337" s="1"/>
      </t>
    </mdx>
    <mdx n="33" f="v">
      <t c="4">
        <n x="199"/>
        <n x="14"/>
        <n x="32"/>
        <n x="1337" s="1"/>
      </t>
    </mdx>
    <mdx n="33" f="v">
      <t c="4">
        <n x="351"/>
        <n x="11"/>
        <n x="32"/>
        <n x="1337" s="1"/>
      </t>
    </mdx>
    <mdx n="33" f="v">
      <t c="4" si="10">
        <n x="515"/>
        <n x="12"/>
        <n x="32"/>
        <n x="1337" s="1"/>
      </t>
    </mdx>
    <mdx n="33" f="v">
      <t c="4" si="10">
        <n x="1060"/>
        <n x="14"/>
        <n x="32"/>
        <n x="1337" s="1"/>
      </t>
    </mdx>
    <mdx n="33" f="v">
      <t c="4">
        <n x="147"/>
        <n x="14"/>
        <n x="32"/>
        <n x="1337" s="1"/>
      </t>
    </mdx>
    <mdx n="33" f="v">
      <t c="4">
        <n x="53"/>
        <n x="11"/>
        <n x="7"/>
        <n x="1337" s="1"/>
      </t>
    </mdx>
    <mdx n="33" f="v">
      <t c="4">
        <n x="381"/>
        <n x="12"/>
        <n x="32"/>
        <n x="1337" s="1"/>
      </t>
    </mdx>
    <mdx n="33" f="v">
      <t c="4" si="10">
        <n x="952"/>
        <n x="1"/>
        <n x="32"/>
        <n x="1337" s="1"/>
      </t>
    </mdx>
    <mdx n="33" f="v">
      <t c="4">
        <n x="1140"/>
        <n x="0"/>
        <n x="7"/>
        <n x="1337" s="1"/>
      </t>
    </mdx>
    <mdx n="33" f="v">
      <t c="4">
        <n x="162"/>
        <n x="14"/>
        <n x="32"/>
        <n x="1337" s="1"/>
      </t>
    </mdx>
    <mdx n="33" f="v">
      <t c="4">
        <n x="454"/>
        <n x="11"/>
        <n x="7"/>
        <n x="1337" s="1"/>
      </t>
    </mdx>
    <mdx n="33" f="v">
      <t c="4" si="10">
        <n x="1067"/>
        <n x="14"/>
        <n x="32"/>
        <n x="1337" s="1"/>
      </t>
    </mdx>
    <mdx n="33" f="v">
      <t c="4">
        <n x="1263"/>
        <n x="0"/>
        <n x="7"/>
        <n x="1337" s="1"/>
      </t>
    </mdx>
    <mdx n="33" f="v">
      <t c="4">
        <n x="1141"/>
        <n x="0"/>
        <n x="7"/>
        <n x="1337" s="1"/>
      </t>
    </mdx>
    <mdx n="33" f="v">
      <t c="4" si="10">
        <n x="599"/>
        <n x="11"/>
        <n x="32"/>
        <n x="1337" s="1"/>
      </t>
    </mdx>
    <mdx n="33" f="v">
      <t c="4" si="10">
        <n x="479"/>
        <n x="14"/>
        <n x="32"/>
        <n x="1337" s="1"/>
      </t>
    </mdx>
    <mdx n="33" f="v">
      <t c="3">
        <n x="87"/>
        <n x="1336"/>
        <n x="1337" s="1"/>
      </t>
    </mdx>
    <mdx n="33" f="v">
      <t c="3">
        <n x="1034"/>
        <n x="1336"/>
        <n x="1337" s="1"/>
      </t>
    </mdx>
    <mdx n="33" f="v">
      <t c="4">
        <n x="196"/>
        <n x="14"/>
        <n x="32"/>
        <n x="1337" s="1"/>
      </t>
    </mdx>
    <mdx n="33" f="v">
      <t c="4">
        <n x="1327"/>
        <n x="14"/>
        <n x="7"/>
        <n x="1337" s="1"/>
      </t>
    </mdx>
    <mdx n="33" f="v">
      <t c="4">
        <n x="825"/>
        <n x="11"/>
        <n x="7"/>
        <n x="1337" s="1"/>
      </t>
    </mdx>
    <mdx n="33" f="v">
      <t c="4">
        <n x="1003"/>
        <n x="12"/>
        <n x="7"/>
        <n x="1337" s="1"/>
      </t>
    </mdx>
    <mdx n="33" f="v">
      <t c="4">
        <n x="928"/>
        <n x="14"/>
        <n x="32"/>
        <n x="1337" s="1"/>
      </t>
    </mdx>
    <mdx n="33" f="v">
      <t c="4">
        <n x="457"/>
        <n x="1"/>
        <n x="7"/>
        <n x="1337" s="1"/>
      </t>
    </mdx>
    <mdx n="33" f="v">
      <t c="4">
        <n x="995"/>
        <n x="12"/>
        <n x="32"/>
        <n x="1337" s="1"/>
      </t>
    </mdx>
    <mdx n="33" f="v">
      <t c="3">
        <n x="966"/>
        <n x="1336"/>
        <n x="1337" s="1"/>
      </t>
    </mdx>
    <mdx n="33" f="v">
      <t c="4">
        <n x="314"/>
        <n x="11"/>
        <n x="7"/>
        <n x="1337" s="1"/>
      </t>
    </mdx>
    <mdx n="33" f="v">
      <t c="4">
        <n x="1031"/>
        <n x="11"/>
        <n x="32"/>
        <n x="1337" s="1"/>
      </t>
    </mdx>
    <mdx n="33" f="v">
      <t c="4" si="10">
        <n x="507"/>
        <n x="12"/>
        <n x="32"/>
        <n x="1337" s="1"/>
      </t>
    </mdx>
    <mdx n="33" f="v">
      <t c="4">
        <n x="209"/>
        <n x="14"/>
        <n x="32"/>
        <n x="1337" s="1"/>
      </t>
    </mdx>
    <mdx n="33" f="v">
      <t c="4" si="10">
        <n x="1069"/>
        <n x="12"/>
        <n x="32"/>
        <n x="1337" s="1"/>
      </t>
    </mdx>
    <mdx n="33" f="v">
      <t c="4">
        <n x="1260"/>
        <n x="0"/>
        <n x="7"/>
        <n x="1337" s="1"/>
      </t>
    </mdx>
    <mdx n="33" f="v">
      <t c="4">
        <n x="945"/>
        <n x="12"/>
        <n x="7"/>
        <n x="1337" s="1"/>
      </t>
    </mdx>
    <mdx n="33" f="v">
      <t c="4" si="10">
        <n x="550"/>
        <n x="14"/>
        <n x="32"/>
        <n x="1337" s="1"/>
      </t>
    </mdx>
    <mdx n="33" f="v">
      <t c="4" si="10">
        <n x="611"/>
        <n x="11"/>
        <n x="32"/>
        <n x="1337" s="1"/>
      </t>
    </mdx>
    <mdx n="33" f="v">
      <t c="4">
        <n x="961"/>
        <n x="1"/>
        <n x="7"/>
        <n x="1337" s="1"/>
      </t>
    </mdx>
    <mdx n="33" f="v">
      <t c="4">
        <n x="559"/>
        <n x="14"/>
        <n x="32"/>
        <n x="1337" s="1"/>
      </t>
    </mdx>
    <mdx n="33" f="v">
      <t c="4">
        <n x="1302"/>
        <n x="0"/>
        <n x="7"/>
        <n x="1337" s="1"/>
      </t>
    </mdx>
    <mdx n="33" f="v">
      <t c="4">
        <n x="475"/>
        <n x="11"/>
        <n x="7"/>
        <n x="1337" s="1"/>
      </t>
    </mdx>
    <mdx n="33" f="v">
      <t c="4" si="10">
        <n x="760"/>
        <n x="0"/>
        <n x="32"/>
        <n x="1337" s="1"/>
      </t>
    </mdx>
    <mdx n="33" f="v">
      <t c="4">
        <n x="104"/>
        <n x="11"/>
        <n x="7"/>
        <n x="1337" s="1"/>
      </t>
    </mdx>
    <mdx n="33" f="v">
      <t c="4">
        <n x="469"/>
        <n x="11"/>
        <n x="32"/>
        <n x="1337" s="1"/>
      </t>
    </mdx>
    <mdx n="33" f="v">
      <t c="4">
        <n x="323"/>
        <n x="12"/>
        <n x="32"/>
        <n x="1337" s="1"/>
      </t>
    </mdx>
    <mdx n="33" f="v">
      <t c="4" si="10">
        <n x="1056"/>
        <n x="0"/>
        <n x="32"/>
        <n x="1337" s="1"/>
      </t>
    </mdx>
    <mdx n="33" f="v">
      <t c="4">
        <n x="416"/>
        <n x="11"/>
        <n x="7"/>
        <n x="1337" s="1"/>
      </t>
    </mdx>
    <mdx n="33" f="v">
      <t c="4">
        <n x="367"/>
        <n x="1"/>
        <n x="7"/>
        <n x="1337" s="1"/>
      </t>
    </mdx>
    <mdx n="33" f="v">
      <t c="4">
        <n x="1146"/>
        <n x="12"/>
        <n x="32"/>
        <n x="1337" s="1"/>
      </t>
    </mdx>
    <mdx n="33" f="v">
      <t c="4">
        <n x="69"/>
        <n x="12"/>
        <n x="32"/>
        <n x="1337" s="1"/>
      </t>
    </mdx>
    <mdx n="33" f="v">
      <t c="4" si="10">
        <n x="1260"/>
        <n x="0"/>
        <n x="32"/>
        <n x="1337" s="1"/>
      </t>
    </mdx>
    <mdx n="33" f="v">
      <t c="4">
        <n x="170"/>
        <n x="12"/>
        <n x="32"/>
        <n x="1337" s="1"/>
      </t>
    </mdx>
    <mdx n="33" f="v">
      <t c="3">
        <n x="83"/>
        <n x="1336"/>
        <n x="1337" s="1"/>
      </t>
    </mdx>
    <mdx n="33" f="v">
      <t c="4">
        <n x="216"/>
        <n x="14"/>
        <n x="32"/>
        <n x="1337" s="1"/>
      </t>
    </mdx>
    <mdx n="33" f="v">
      <t c="4">
        <n x="451"/>
        <n x="1"/>
        <n x="7"/>
        <n x="1337" s="1"/>
      </t>
    </mdx>
    <mdx n="33" f="v">
      <t c="4">
        <n x="122"/>
        <n x="14"/>
        <n x="32"/>
        <n x="1337" s="1"/>
      </t>
    </mdx>
    <mdx n="33" f="v">
      <t c="4">
        <n x="105"/>
        <n x="1"/>
        <n x="7"/>
        <n x="1337" s="1"/>
      </t>
    </mdx>
    <mdx n="33" f="v">
      <t c="4">
        <n x="113"/>
        <n x="14"/>
        <n x="7"/>
        <n x="1337" s="1"/>
      </t>
    </mdx>
    <mdx n="33" f="v">
      <t c="4">
        <n x="357"/>
        <n x="12"/>
        <n x="32"/>
        <n x="1337" s="1"/>
      </t>
    </mdx>
    <mdx n="33" f="v">
      <t c="4">
        <n x="110"/>
        <n x="14"/>
        <n x="32"/>
        <n x="1337" s="1"/>
      </t>
    </mdx>
    <mdx n="33" f="v">
      <t c="4">
        <n x="298"/>
        <n x="0"/>
        <n x="7"/>
        <n x="1337" s="1"/>
      </t>
    </mdx>
    <mdx n="33" f="v">
      <t c="4">
        <n x="142"/>
        <n x="11"/>
        <n x="7"/>
        <n x="1337" s="1"/>
      </t>
    </mdx>
    <mdx n="33" f="v">
      <t c="4">
        <n x="1169"/>
        <n x="0"/>
        <n x="7"/>
        <n x="1337" s="1"/>
      </t>
    </mdx>
    <mdx n="33" f="v">
      <t c="4" si="10">
        <n x="968"/>
        <n x="14"/>
        <n x="32"/>
        <n x="1337" s="1"/>
      </t>
    </mdx>
    <mdx n="33" f="v">
      <t c="4">
        <n x="135"/>
        <n x="14"/>
        <n x="32"/>
        <n x="1337" s="1"/>
      </t>
    </mdx>
    <mdx n="33" f="v">
      <t c="4">
        <n x="174"/>
        <n x="11"/>
        <n x="7"/>
        <n x="1337" s="1"/>
      </t>
    </mdx>
    <mdx n="33" f="v">
      <t c="4">
        <n x="1053"/>
        <n x="12"/>
        <n x="32"/>
        <n x="1337" s="1"/>
      </t>
    </mdx>
    <mdx n="33" f="v">
      <t c="4" si="10">
        <n x="401"/>
        <n x="14"/>
        <n x="32"/>
        <n x="1337" s="1"/>
      </t>
    </mdx>
    <mdx n="33" f="v">
      <t c="3">
        <n x="52"/>
        <n x="1336"/>
        <n x="1337" s="1"/>
      </t>
    </mdx>
    <mdx n="33" f="v">
      <t c="4">
        <n x="540"/>
        <n x="1"/>
        <n x="7"/>
        <n x="1337" s="1"/>
      </t>
    </mdx>
    <mdx n="33" f="v">
      <t c="3">
        <n x="108"/>
        <n x="1336"/>
        <n x="1337" s="1"/>
      </t>
    </mdx>
    <mdx n="33" f="v">
      <t c="4">
        <n x="300"/>
        <n x="11"/>
        <n x="7"/>
        <n x="1337" s="1"/>
      </t>
    </mdx>
    <mdx n="33" f="v">
      <t c="4">
        <n x="1097"/>
        <n x="12"/>
        <n x="32"/>
        <n x="1337" s="1"/>
      </t>
    </mdx>
    <mdx n="33" f="v">
      <t c="4" si="10">
        <n x="416"/>
        <n x="14"/>
        <n x="32"/>
        <n x="1337" s="1"/>
      </t>
    </mdx>
    <mdx n="33" f="v">
      <t c="3">
        <n x="74"/>
        <n x="1336"/>
        <n x="1337" s="1"/>
      </t>
    </mdx>
    <mdx n="33" f="v">
      <t c="4">
        <n x="205"/>
        <n x="1"/>
        <n x="7"/>
        <n x="1337" s="1"/>
      </t>
    </mdx>
    <mdx n="33" f="v">
      <t c="4">
        <n x="1249"/>
        <n x="0"/>
        <n x="7"/>
        <n x="1337" s="1"/>
      </t>
    </mdx>
    <mdx n="33" f="v">
      <t c="4">
        <n x="351"/>
        <n x="0"/>
        <n x="7"/>
        <n x="1337" s="1"/>
      </t>
    </mdx>
    <mdx n="33" f="v">
      <t c="4">
        <n x="1178"/>
        <n x="12"/>
        <n x="7"/>
        <n x="1337" s="1"/>
      </t>
    </mdx>
    <mdx n="33" f="v">
      <t c="4">
        <n x="951"/>
        <n x="14"/>
        <n x="7"/>
        <n x="1337" s="1"/>
      </t>
    </mdx>
    <mdx n="33" f="v">
      <t c="4">
        <n x="743"/>
        <n x="14"/>
        <n x="7"/>
        <n x="1337" s="1"/>
      </t>
    </mdx>
    <mdx n="33" f="v">
      <t c="4">
        <n x="1002"/>
        <n x="12"/>
        <n x="7"/>
        <n x="1337" s="1"/>
      </t>
    </mdx>
    <mdx n="33" f="v">
      <t c="4">
        <n x="130"/>
        <n x="14"/>
        <n x="7"/>
        <n x="1337" s="1"/>
      </t>
    </mdx>
    <mdx n="33" f="v">
      <t c="4">
        <n x="1108"/>
        <n x="1"/>
        <n x="7"/>
        <n x="1337" s="1"/>
      </t>
    </mdx>
    <mdx n="33" f="v">
      <t c="4" si="10">
        <n x="605"/>
        <n x="12"/>
        <n x="32"/>
        <n x="1337" s="1"/>
      </t>
    </mdx>
    <mdx n="33" f="v">
      <t c="4">
        <n x="56"/>
        <n x="14"/>
        <n x="7"/>
        <n x="1337" s="1"/>
      </t>
    </mdx>
    <mdx n="33" f="v">
      <t c="4">
        <n x="97"/>
        <n x="11"/>
        <n x="7"/>
        <n x="1337" s="1"/>
      </t>
    </mdx>
    <mdx n="33" f="v">
      <t c="4">
        <n x="184"/>
        <n x="1"/>
        <n x="7"/>
        <n x="1337" s="1"/>
      </t>
    </mdx>
    <mdx n="33" f="v">
      <t c="4">
        <n x="368"/>
        <n x="11"/>
        <n x="32"/>
        <n x="1337" s="1"/>
      </t>
    </mdx>
    <mdx n="33" f="v">
      <t c="4">
        <n x="1095"/>
        <n x="12"/>
        <n x="32"/>
        <n x="1337" s="1"/>
      </t>
    </mdx>
    <mdx n="33" f="v">
      <t c="4">
        <n x="427"/>
        <n x="12"/>
        <n x="32"/>
        <n x="1337" s="1"/>
      </t>
    </mdx>
    <mdx n="33" f="v">
      <t c="4">
        <n x="463"/>
        <n x="1"/>
        <n x="32"/>
        <n x="1337" s="1"/>
      </t>
    </mdx>
    <mdx n="33" f="v">
      <t c="4">
        <n x="931"/>
        <n x="11"/>
        <n x="7"/>
        <n x="1337" s="1"/>
      </t>
    </mdx>
    <mdx n="33" f="v">
      <t c="4" si="10">
        <n x="1234"/>
        <n x="0"/>
        <n x="32"/>
        <n x="1337" s="1"/>
      </t>
    </mdx>
    <mdx n="33" f="v">
      <t c="4">
        <n x="1114"/>
        <n x="11"/>
        <n x="7"/>
        <n x="1337" s="1"/>
      </t>
    </mdx>
    <mdx n="33" f="v">
      <t c="4">
        <n x="318"/>
        <n x="11"/>
        <n x="7"/>
        <n x="1337" s="1"/>
      </t>
    </mdx>
    <mdx n="33" f="v">
      <t c="4">
        <n x="1078"/>
        <n x="1"/>
        <n x="7"/>
        <n x="1337" s="1"/>
      </t>
    </mdx>
    <mdx n="33" f="v">
      <t c="4">
        <n x="420"/>
        <n x="1"/>
        <n x="7"/>
        <n x="1337" s="1"/>
      </t>
    </mdx>
    <mdx n="33" f="v">
      <t c="4">
        <n x="1003"/>
        <n x="11"/>
        <n x="32"/>
        <n x="1337" s="1"/>
      </t>
    </mdx>
    <mdx n="33" f="v">
      <t c="4">
        <n x="347"/>
        <n x="11"/>
        <n x="32"/>
        <n x="1337" s="1"/>
      </t>
    </mdx>
    <mdx n="33" f="v">
      <t c="4">
        <n x="1198"/>
        <n x="12"/>
        <n x="32"/>
        <n x="1337" s="1"/>
      </t>
    </mdx>
    <mdx n="33" f="v">
      <t c="4" si="10">
        <n x="511"/>
        <n x="12"/>
        <n x="32"/>
        <n x="1337" s="1"/>
      </t>
    </mdx>
    <mdx n="33" f="v">
      <t c="4">
        <n x="183"/>
        <n x="12"/>
        <n x="32"/>
        <n x="1337" s="1"/>
      </t>
    </mdx>
    <mdx n="33" f="v">
      <t c="4" si="10">
        <n x="592"/>
        <n x="14"/>
        <n x="32"/>
        <n x="1337" s="1"/>
      </t>
    </mdx>
    <mdx n="33" f="v">
      <t c="4">
        <n x="143"/>
        <n x="14"/>
        <n x="32"/>
        <n x="1337" s="1"/>
      </t>
    </mdx>
    <mdx n="33" f="v">
      <t c="4">
        <n x="1092"/>
        <n x="14"/>
        <n x="7"/>
        <n x="1337" s="1"/>
      </t>
    </mdx>
    <mdx n="33" f="v">
      <t c="4">
        <n x="423"/>
        <n x="1"/>
        <n x="7"/>
        <n x="1337" s="1"/>
      </t>
    </mdx>
    <mdx n="33" f="v">
      <t c="4">
        <n x="365"/>
        <n x="12"/>
        <n x="32"/>
        <n x="1337" s="1"/>
      </t>
    </mdx>
    <mdx n="33" f="v">
      <t c="4">
        <n x="433"/>
        <n x="14"/>
        <n x="32"/>
        <n x="1337" s="1"/>
      </t>
    </mdx>
    <mdx n="33" f="v">
      <t c="4">
        <n x="282"/>
        <n x="1"/>
        <n x="32"/>
        <n x="1337" s="1"/>
      </t>
    </mdx>
    <mdx n="33" f="v">
      <t c="3">
        <n x="59"/>
        <n x="1336"/>
        <n x="1337" s="1"/>
      </t>
    </mdx>
    <mdx n="33" f="v">
      <t c="4">
        <n x="781"/>
        <n x="0"/>
        <n x="7"/>
        <n x="1337" s="1"/>
      </t>
    </mdx>
    <mdx n="33" f="v">
      <t c="4">
        <n x="547"/>
        <n x="11"/>
        <n x="32"/>
        <n x="1337" s="1"/>
      </t>
    </mdx>
    <mdx n="33" f="v">
      <t c="4">
        <n x="141"/>
        <n x="14"/>
        <n x="32"/>
        <n x="1337" s="1"/>
      </t>
    </mdx>
    <mdx n="33" f="v">
      <t c="4" si="9">
        <n x="647"/>
        <n x="14"/>
        <n x="7"/>
        <n x="1337" s="1"/>
      </t>
    </mdx>
    <mdx n="33" f="v">
      <t c="4">
        <n x="1083"/>
        <n x="11"/>
        <n x="7"/>
        <n x="1337" s="1"/>
      </t>
    </mdx>
    <mdx n="33" f="v">
      <t c="4">
        <n x="403"/>
        <n x="1"/>
        <n x="7"/>
        <n x="1337" s="1"/>
      </t>
    </mdx>
    <mdx n="33" f="v">
      <t c="4">
        <n x="1181"/>
        <n x="12"/>
        <n x="32"/>
        <n x="1337" s="1"/>
      </t>
    </mdx>
    <mdx n="33" f="v">
      <t c="4" si="10">
        <n x="1059"/>
        <n x="14"/>
        <n x="32"/>
        <n x="1337" s="1"/>
      </t>
    </mdx>
    <mdx n="33" f="v">
      <t c="4">
        <n x="340"/>
        <n x="14"/>
        <n x="32"/>
        <n x="1337" s="1"/>
      </t>
    </mdx>
    <mdx n="33" f="v">
      <t c="4">
        <n x="80"/>
        <n x="1"/>
        <n x="32"/>
        <n x="1337" s="1"/>
      </t>
    </mdx>
    <mdx n="33" f="v">
      <t c="4">
        <n x="1291"/>
        <n x="0"/>
        <n x="7"/>
        <n x="1337" s="1"/>
      </t>
    </mdx>
    <mdx n="33" f="v">
      <t c="4">
        <n x="103"/>
        <n x="0"/>
        <n x="7"/>
        <n x="1337" s="1"/>
      </t>
    </mdx>
    <mdx n="33" f="v">
      <t c="4">
        <n x="49"/>
        <n x="12"/>
        <n x="32"/>
        <n x="1337" s="1"/>
      </t>
    </mdx>
    <mdx n="33" f="v">
      <t c="4">
        <n x="1321"/>
        <n x="0"/>
        <n x="7"/>
        <n x="1337" s="1"/>
      </t>
    </mdx>
    <mdx n="33" f="v">
      <t c="4">
        <n x="1031"/>
        <n x="12"/>
        <n x="7"/>
        <n x="1337" s="1"/>
      </t>
    </mdx>
    <mdx n="33" f="v">
      <t c="4">
        <n x="182"/>
        <n x="11"/>
        <n x="7"/>
        <n x="1337" s="1"/>
      </t>
    </mdx>
    <mdx n="33" f="v">
      <t c="4" si="10">
        <n x="519"/>
        <n x="11"/>
        <n x="32"/>
        <n x="1337" s="1"/>
      </t>
    </mdx>
    <mdx n="33" f="v">
      <t c="4">
        <n x="341"/>
        <n x="12"/>
        <n x="32"/>
        <n x="1337" s="1"/>
      </t>
    </mdx>
    <mdx n="33" f="v">
      <t c="4" si="10">
        <n x="511"/>
        <n x="14"/>
        <n x="32"/>
        <n x="1337" s="1"/>
      </t>
    </mdx>
    <mdx n="33" f="v">
      <t c="4">
        <n x="105"/>
        <n x="14"/>
        <n x="32"/>
        <n x="1337" s="1"/>
      </t>
    </mdx>
    <mdx n="33" f="v">
      <t c="3">
        <n x="105"/>
        <n x="1336"/>
        <n x="1337" s="1"/>
      </t>
    </mdx>
    <mdx n="33" f="v">
      <t c="4">
        <n x="1162"/>
        <n x="0"/>
        <n x="7"/>
        <n x="1337" s="1"/>
      </t>
    </mdx>
    <mdx n="33" f="v">
      <t c="4">
        <n x="859"/>
        <n x="11"/>
        <n x="32"/>
        <n x="1337" s="1"/>
      </t>
    </mdx>
    <mdx n="33" f="v">
      <t c="4" si="9">
        <n x="507"/>
        <n x="11"/>
        <n x="7"/>
        <n x="1337" s="1"/>
      </t>
    </mdx>
    <mdx n="33" f="v">
      <t c="4">
        <n x="445"/>
        <n x="12"/>
        <n x="32"/>
        <n x="1337" s="1"/>
      </t>
    </mdx>
    <mdx n="33" f="v">
      <t c="3">
        <n x="121"/>
        <n x="1336"/>
        <n x="1337" s="1"/>
      </t>
    </mdx>
    <mdx n="33" f="v">
      <t c="4">
        <n x="793"/>
        <n x="0"/>
        <n x="7"/>
        <n x="1337" s="1"/>
      </t>
    </mdx>
    <mdx n="33" f="v">
      <t c="4" si="10">
        <n x="906"/>
        <n x="14"/>
        <n x="32"/>
        <n x="1337" s="1"/>
      </t>
    </mdx>
    <mdx n="33" f="v">
      <t c="4">
        <n x="530"/>
        <n x="14"/>
        <n x="7"/>
        <n x="1337" s="1"/>
      </t>
    </mdx>
    <mdx n="33" f="v">
      <t c="3">
        <n x="973"/>
        <n x="1336"/>
        <n x="1337" s="1"/>
      </t>
    </mdx>
    <mdx n="33" f="v">
      <t c="4">
        <n x="1009"/>
        <n x="11"/>
        <n x="7"/>
        <n x="1337" s="1"/>
      </t>
    </mdx>
    <mdx n="33" f="v">
      <t c="4">
        <n x="595"/>
        <n x="1"/>
        <n x="7"/>
        <n x="1337" s="1"/>
      </t>
    </mdx>
    <mdx n="33" f="v">
      <t c="4">
        <n x="1102"/>
        <n x="14"/>
        <n x="32"/>
        <n x="1337" s="1"/>
      </t>
    </mdx>
    <mdx n="33" f="v">
      <t c="4">
        <n x="473"/>
        <n x="11"/>
        <n x="7"/>
        <n x="1337" s="1"/>
      </t>
    </mdx>
    <mdx n="33" f="v">
      <t c="4">
        <n x="510"/>
        <n x="1"/>
        <n x="7"/>
        <n x="1337" s="1"/>
      </t>
    </mdx>
    <mdx n="33" f="v">
      <t c="4">
        <n x="461"/>
        <n x="11"/>
        <n x="32"/>
        <n x="1337" s="1"/>
      </t>
    </mdx>
    <mdx n="33" f="v">
      <t c="4" si="10">
        <n x="1035"/>
        <n x="12"/>
        <n x="32"/>
        <n x="1337" s="1"/>
      </t>
    </mdx>
    <mdx n="33" f="v">
      <t c="4">
        <n x="200"/>
        <n x="12"/>
        <n x="32"/>
        <n x="1337" s="1"/>
      </t>
    </mdx>
    <mdx n="33" f="v">
      <t c="4" si="10">
        <n x="960"/>
        <n x="0"/>
        <n x="32"/>
        <n x="1337" s="1"/>
      </t>
    </mdx>
    <mdx n="33" f="v">
      <t c="4">
        <n x="176"/>
        <n x="14"/>
        <n x="7"/>
        <n x="1337" s="1"/>
      </t>
    </mdx>
    <mdx n="33" f="v">
      <t c="4">
        <n x="289"/>
        <n x="11"/>
        <n x="7"/>
        <n x="1337" s="1"/>
      </t>
    </mdx>
    <mdx n="33" f="v">
      <t c="4">
        <n x="489"/>
        <n x="1"/>
        <n x="7"/>
        <n x="1337" s="1"/>
      </t>
    </mdx>
    <mdx n="33" f="v">
      <t c="4" si="10">
        <n x="576"/>
        <n x="11"/>
        <n x="32"/>
        <n x="1337" s="1"/>
      </t>
    </mdx>
    <mdx n="33" f="v">
      <t c="4">
        <n x="293"/>
        <n x="1"/>
        <n x="7"/>
        <n x="1337" s="1"/>
      </t>
    </mdx>
    <mdx n="33" f="v">
      <t c="4">
        <n x="291"/>
        <n x="0"/>
        <n x="7"/>
        <n x="1337" s="1"/>
      </t>
    </mdx>
    <mdx n="33" f="v">
      <t c="4">
        <n x="423"/>
        <n x="11"/>
        <n x="32"/>
        <n x="1337" s="1"/>
      </t>
    </mdx>
    <mdx n="33" f="v">
      <t c="3">
        <n x="946"/>
        <n x="1336"/>
        <n x="1337" s="1"/>
      </t>
    </mdx>
    <mdx n="33" f="v">
      <t c="4">
        <n x="396"/>
        <n x="11"/>
        <n x="7"/>
        <n x="1337" s="1"/>
      </t>
    </mdx>
    <mdx n="33" f="v">
      <t c="4">
        <n x="825"/>
        <n x="12"/>
        <n x="7"/>
        <n x="1337" s="1"/>
      </t>
    </mdx>
    <mdx n="33" f="v">
      <t c="4" si="9">
        <n x="774"/>
        <n x="14"/>
        <n x="7"/>
        <n x="1337" s="1"/>
      </t>
    </mdx>
    <mdx n="33" f="v">
      <t c="4" si="10">
        <n x="926"/>
        <n x="12"/>
        <n x="32"/>
        <n x="1337" s="1"/>
      </t>
    </mdx>
    <mdx n="33" f="v">
      <t c="4">
        <n x="1007"/>
        <n x="12"/>
        <n x="7"/>
        <n x="1337" s="1"/>
      </t>
    </mdx>
    <mdx n="33" f="v">
      <t c="4">
        <n x="136"/>
        <n x="1"/>
        <n x="7"/>
        <n x="1337" s="1"/>
      </t>
    </mdx>
    <mdx n="33" f="v">
      <t c="4" si="10">
        <n x="453"/>
        <n x="12"/>
        <n x="32"/>
        <n x="1337" s="1"/>
      </t>
    </mdx>
    <mdx n="33" f="v">
      <t c="4">
        <n x="1064"/>
        <n x="14"/>
        <n x="7"/>
        <n x="1337" s="1"/>
      </t>
    </mdx>
    <mdx n="33" f="v">
      <t c="4">
        <n x="978"/>
        <n x="1"/>
        <n x="7"/>
        <n x="1337" s="1"/>
      </t>
    </mdx>
    <mdx n="33" f="v">
      <t c="4">
        <n x="152"/>
        <n x="11"/>
        <n x="32"/>
        <n x="1337" s="1"/>
      </t>
    </mdx>
    <mdx n="33" f="v">
      <t c="4" si="10">
        <n x="1116"/>
        <n x="14"/>
        <n x="32"/>
        <n x="1337" s="1"/>
      </t>
    </mdx>
    <mdx n="33" f="v">
      <t c="4">
        <n x="406"/>
        <n x="11"/>
        <n x="7"/>
        <n x="1337" s="1"/>
      </t>
    </mdx>
    <mdx n="33" f="v">
      <t c="4">
        <n x="108"/>
        <n x="14"/>
        <n x="32"/>
        <n x="1337" s="1"/>
      </t>
    </mdx>
    <mdx n="33" f="v">
      <t c="4">
        <n x="440"/>
        <n x="14"/>
        <n x="32"/>
        <n x="1337" s="1"/>
      </t>
    </mdx>
    <mdx n="33" f="v">
      <t c="4">
        <n x="217"/>
        <n x="11"/>
        <n x="32"/>
        <n x="1337" s="1"/>
      </t>
    </mdx>
    <mdx n="33" f="v">
      <t c="3">
        <n x="104"/>
        <n x="1336"/>
        <n x="1337" s="1"/>
      </t>
    </mdx>
    <mdx n="33" f="v">
      <t c="4">
        <n x="898"/>
        <n x="12"/>
        <n x="32"/>
        <n x="1337" s="1"/>
      </t>
    </mdx>
    <mdx n="33" f="v">
      <t c="4">
        <n x="397"/>
        <n x="12"/>
        <n x="32"/>
        <n x="1337" s="1"/>
      </t>
    </mdx>
    <mdx n="33" f="v">
      <t c="4">
        <n x="65"/>
        <n x="1"/>
        <n x="32"/>
        <n x="1337" s="1"/>
      </t>
    </mdx>
    <mdx n="33" f="v">
      <t c="4">
        <n x="1047"/>
        <n x="12"/>
        <n x="7"/>
        <n x="1337" s="1"/>
      </t>
    </mdx>
    <mdx n="33" f="v">
      <t c="4">
        <n x="1265"/>
        <n x="0"/>
        <n x="7"/>
        <n x="1337" s="1"/>
      </t>
    </mdx>
    <mdx n="33" f="v">
      <t c="4">
        <n x="1146"/>
        <n x="12"/>
        <n x="7"/>
        <n x="1337" s="1"/>
      </t>
    </mdx>
    <mdx n="33" f="v">
      <t c="4">
        <n x="1022"/>
        <n x="0"/>
        <n x="7"/>
        <n x="1337" s="1"/>
      </t>
    </mdx>
    <mdx n="33" f="v">
      <t c="4" si="10">
        <n x="848"/>
        <n x="0"/>
        <n x="32"/>
        <n x="1337" s="1"/>
      </t>
    </mdx>
    <mdx n="33" f="v">
      <t c="4">
        <n x="1163"/>
        <n x="12"/>
        <n x="7"/>
        <n x="1337" s="1"/>
      </t>
    </mdx>
    <mdx n="33" f="v">
      <t c="4" si="10">
        <n x="1142"/>
        <n x="0"/>
        <n x="32"/>
        <n x="1337" s="1"/>
      </t>
    </mdx>
    <mdx n="33" f="v">
      <t c="4">
        <n x="394"/>
        <n x="11"/>
        <n x="32"/>
        <n x="1337" s="1"/>
      </t>
    </mdx>
    <mdx n="33" f="v">
      <t c="4">
        <n x="1152"/>
        <n x="0"/>
        <n x="32"/>
        <n x="1337" s="1"/>
      </t>
    </mdx>
    <mdx n="33" f="v">
      <t c="4">
        <n x="188"/>
        <n x="11"/>
        <n x="7"/>
        <n x="1337" s="1"/>
      </t>
    </mdx>
    <mdx n="33" f="v">
      <t c="4">
        <n x="200"/>
        <n x="1"/>
        <n x="7"/>
        <n x="1337" s="1"/>
      </t>
    </mdx>
    <mdx n="33" f="v">
      <t c="4">
        <n x="117"/>
        <n x="11"/>
        <n x="32"/>
        <n x="1337" s="1"/>
      </t>
    </mdx>
    <mdx n="33" f="v">
      <t c="4" si="10">
        <n x="512"/>
        <n x="12"/>
        <n x="32"/>
        <n x="1337" s="1"/>
      </t>
    </mdx>
    <mdx n="33" f="v">
      <t c="4">
        <n x="839"/>
        <n x="11"/>
        <n x="7"/>
        <n x="1337" s="1"/>
      </t>
    </mdx>
    <mdx n="33" f="v">
      <t c="4" si="10">
        <n x="1130"/>
        <n x="0"/>
        <n x="32"/>
        <n x="1337" s="1"/>
      </t>
    </mdx>
    <mdx n="33" f="v">
      <t c="4" si="9">
        <n x="603"/>
        <n x="11"/>
        <n x="7"/>
        <n x="1337" s="1"/>
      </t>
    </mdx>
    <mdx n="33" f="v">
      <t c="4">
        <n x="52"/>
        <n x="11"/>
        <n x="7"/>
        <n x="1337" s="1"/>
      </t>
    </mdx>
    <mdx n="33" f="v">
      <t c="4">
        <n x="282"/>
        <n x="1"/>
        <n x="7"/>
        <n x="1337" s="1"/>
      </t>
    </mdx>
    <mdx n="33" f="v">
      <t c="4">
        <n x="400"/>
        <n x="11"/>
        <n x="32"/>
        <n x="1337" s="1"/>
      </t>
    </mdx>
    <mdx n="33" f="v">
      <t c="4" si="10">
        <n x="1070"/>
        <n x="12"/>
        <n x="32"/>
        <n x="1337" s="1"/>
      </t>
    </mdx>
    <mdx n="33" f="v">
      <t c="4" si="10">
        <n x="233"/>
        <n x="12"/>
        <n x="32"/>
        <n x="1337" s="1"/>
      </t>
    </mdx>
    <mdx n="33" f="v">
      <t c="4" si="10">
        <n x="451"/>
        <n x="14"/>
        <n x="32"/>
        <n x="1337" s="1"/>
      </t>
    </mdx>
    <mdx n="33" f="v">
      <t c="3">
        <n x="1050"/>
        <n x="1336"/>
        <n x="1337" s="1"/>
      </t>
    </mdx>
    <mdx n="33" f="v">
      <t c="4" si="10">
        <n x="495"/>
        <n x="11"/>
        <n x="32"/>
        <n x="1337" s="1"/>
      </t>
    </mdx>
    <mdx n="33" f="v">
      <t c="4">
        <n x="503"/>
        <n x="14"/>
        <n x="32"/>
        <n x="1337" s="1"/>
      </t>
    </mdx>
    <mdx n="33" f="v">
      <t c="3">
        <n x="118"/>
        <n x="1336"/>
        <n x="1337" s="1"/>
      </t>
    </mdx>
    <mdx n="33" f="v">
      <t c="4" si="9">
        <n x="492"/>
        <n x="1"/>
        <n x="7"/>
        <n x="1337" s="1"/>
      </t>
    </mdx>
    <mdx n="33" f="v">
      <t c="4">
        <n x="788"/>
        <n x="0"/>
        <n x="7"/>
        <n x="1337" s="1"/>
      </t>
    </mdx>
    <mdx n="33" f="v">
      <t c="4">
        <n x="612"/>
        <n x="1"/>
        <n x="7"/>
        <n x="1337" s="1"/>
      </t>
    </mdx>
    <mdx n="33" f="v">
      <t c="4">
        <n x="114"/>
        <n x="12"/>
        <n x="32"/>
        <n x="1337" s="1"/>
      </t>
    </mdx>
    <mdx n="33" f="v">
      <t c="4">
        <n x="138"/>
        <n x="1"/>
        <n x="32"/>
        <n x="1337" s="1"/>
      </t>
    </mdx>
    <mdx n="33" f="v">
      <t c="4">
        <n x="780"/>
        <n x="0"/>
        <n x="7"/>
        <n x="1337" s="1"/>
      </t>
    </mdx>
    <mdx n="33" f="v">
      <t c="3">
        <n x="785"/>
        <n x="1336"/>
        <n x="1337" s="1"/>
      </t>
    </mdx>
    <mdx n="33" f="v">
      <t c="4">
        <n x="377"/>
        <n x="11"/>
        <n x="7"/>
        <n x="1337" s="1"/>
      </t>
    </mdx>
    <mdx n="33" f="v">
      <t c="4">
        <n x="167"/>
        <n x="11"/>
        <n x="32"/>
        <n x="1337" s="1"/>
      </t>
    </mdx>
    <mdx n="33" f="v">
      <t c="4">
        <n x="1033"/>
        <n x="14"/>
        <n x="32"/>
        <n x="1337" s="1"/>
      </t>
    </mdx>
    <mdx n="33" f="v">
      <t c="4">
        <n x="142"/>
        <n x="14"/>
        <n x="32"/>
        <n x="1337" s="1"/>
      </t>
    </mdx>
    <mdx n="33" f="v">
      <t c="3">
        <n x="63"/>
        <n x="1336"/>
        <n x="1337" s="1"/>
      </t>
    </mdx>
    <mdx n="33" f="v">
      <t c="4">
        <n x="148"/>
        <n x="0"/>
        <n x="7"/>
        <n x="1337" s="1"/>
      </t>
    </mdx>
    <mdx n="33" f="v">
      <t c="4">
        <n x="966"/>
        <n x="11"/>
        <n x="7"/>
        <n x="1337" s="1"/>
      </t>
    </mdx>
    <mdx n="33" f="v">
      <t c="4" si="10">
        <n x="999"/>
        <n x="14"/>
        <n x="32"/>
        <n x="1337" s="1"/>
      </t>
    </mdx>
    <mdx n="33" f="v">
      <t c="4">
        <n x="92"/>
        <n x="0"/>
        <n x="7"/>
        <n x="1337" s="1"/>
      </t>
    </mdx>
    <mdx n="33" f="v">
      <t c="4">
        <n x="1107"/>
        <n x="11"/>
        <n x="7"/>
        <n x="1337" s="1"/>
      </t>
    </mdx>
    <mdx n="33" f="v">
      <t c="3">
        <n x="1080"/>
        <n x="1336"/>
        <n x="1337" s="1"/>
      </t>
    </mdx>
    <mdx n="33" f="v">
      <t c="4">
        <n x="875"/>
        <n x="0"/>
        <n x="7"/>
        <n x="1337" s="1"/>
      </t>
    </mdx>
    <mdx n="33" f="v">
      <t c="4">
        <n x="1307"/>
        <n x="12"/>
        <n x="7"/>
        <n x="1337" s="1"/>
      </t>
    </mdx>
    <mdx n="33" f="v">
      <t c="4">
        <n x="196"/>
        <n x="14"/>
        <n x="7"/>
        <n x="1337" s="1"/>
      </t>
    </mdx>
    <mdx n="33" f="v">
      <t c="4">
        <n x="1276"/>
        <n x="12"/>
        <n x="32"/>
        <n x="1337" s="1"/>
      </t>
    </mdx>
    <mdx n="33" f="v">
      <t c="4">
        <n x="186"/>
        <n x="14"/>
        <n x="7"/>
        <n x="1337" s="1"/>
      </t>
    </mdx>
    <mdx n="33" f="v">
      <t c="4">
        <n x="87"/>
        <n x="11"/>
        <n x="7"/>
        <n x="1337" s="1"/>
      </t>
    </mdx>
    <mdx n="33" f="v">
      <t c="4">
        <n x="1104"/>
        <n x="11"/>
        <n x="32"/>
        <n x="1337" s="1"/>
      </t>
    </mdx>
    <mdx n="33" f="v">
      <t c="4">
        <n x="1255"/>
        <n x="12"/>
        <n x="32"/>
        <n x="1337" s="1"/>
      </t>
    </mdx>
    <mdx n="33" f="v">
      <t c="4">
        <n x="432"/>
        <n x="12"/>
        <n x="32"/>
        <n x="1337" s="1"/>
      </t>
    </mdx>
    <mdx n="33" f="v">
      <t c="4">
        <n x="869"/>
        <n x="1"/>
        <n x="32"/>
        <n x="1337" s="1"/>
      </t>
    </mdx>
    <mdx n="33" f="v">
      <t c="4" si="10">
        <n x="1274"/>
        <n x="0"/>
        <n x="32"/>
        <n x="1337" s="1"/>
      </t>
    </mdx>
    <mdx n="33" f="v">
      <t c="4">
        <n x="512"/>
        <n x="11"/>
        <n x="7"/>
        <n x="1337" s="1"/>
      </t>
    </mdx>
    <mdx n="33" f="v">
      <t c="4">
        <n x="1058"/>
        <n x="1"/>
        <n x="7"/>
        <n x="1337" s="1"/>
      </t>
    </mdx>
    <mdx n="33" f="v">
      <t c="4">
        <n x="143"/>
        <n x="1"/>
        <n x="7"/>
        <n x="1337" s="1"/>
      </t>
    </mdx>
    <mdx n="33" f="v">
      <t c="4">
        <n x="327"/>
        <n x="11"/>
        <n x="32"/>
        <n x="1337" s="1"/>
      </t>
    </mdx>
    <mdx n="33" f="v">
      <t c="4" si="10">
        <n x="998"/>
        <n x="12"/>
        <n x="32"/>
        <n x="1337" s="1"/>
      </t>
    </mdx>
    <mdx n="33" f="v">
      <t c="4">
        <n x="163"/>
        <n x="12"/>
        <n x="32"/>
        <n x="1337" s="1"/>
      </t>
    </mdx>
    <mdx n="33" f="v">
      <t c="4">
        <n x="378"/>
        <n x="14"/>
        <n x="32"/>
        <n x="1337" s="1"/>
      </t>
    </mdx>
    <mdx n="33" f="v">
      <t c="4">
        <n x="409"/>
        <n x="14"/>
        <n x="7"/>
        <n x="1337" s="1"/>
      </t>
    </mdx>
    <mdx n="33" f="v">
      <t c="4">
        <n x="143"/>
        <n x="11"/>
        <n x="32"/>
        <n x="1337" s="1"/>
      </t>
    </mdx>
    <mdx n="33" f="v">
      <t c="4">
        <n x="406"/>
        <n x="14"/>
        <n x="32"/>
        <n x="1337" s="1"/>
      </t>
    </mdx>
    <mdx n="33" f="v">
      <t c="3">
        <n x="60"/>
        <n x="1336"/>
        <n x="1337" s="1"/>
      </t>
    </mdx>
    <mdx n="33" f="v">
      <t c="4">
        <n x="306"/>
        <n x="11"/>
        <n x="32"/>
        <n x="1337" s="1"/>
      </t>
    </mdx>
    <mdx n="33" f="v">
      <t c="4">
        <n x="797"/>
        <n x="12"/>
        <n x="7"/>
        <n x="1337" s="1"/>
      </t>
    </mdx>
    <mdx n="33" f="v">
      <t c="4">
        <n x="322"/>
        <n x="1"/>
        <n x="7"/>
        <n x="1337" s="1"/>
      </t>
    </mdx>
    <mdx n="33" f="v">
      <t c="4">
        <n x="1019"/>
        <n x="14"/>
        <n x="32"/>
        <n x="1337" s="1"/>
      </t>
    </mdx>
    <mdx n="33" f="v">
      <t c="4">
        <n x="83"/>
        <n x="1"/>
        <n x="32"/>
        <n x="1337" s="1"/>
      </t>
    </mdx>
    <mdx n="33" f="v">
      <t c="4" si="10">
        <n x="662"/>
        <n x="1"/>
        <n x="32"/>
        <n x="1337" s="1"/>
      </t>
    </mdx>
    <mdx n="33" f="v">
      <t c="4">
        <n x="790"/>
        <n x="11"/>
        <n x="7"/>
        <n x="1337" s="1"/>
      </t>
    </mdx>
    <mdx n="33" f="v">
      <t c="4" si="10">
        <n x="1045"/>
        <n x="0"/>
        <n x="32"/>
        <n x="1337" s="1"/>
      </t>
    </mdx>
    <mdx n="33" f="v">
      <t c="4" si="10">
        <n x="721"/>
        <n x="1"/>
        <n x="32"/>
        <n x="1337" s="1"/>
      </t>
    </mdx>
    <mdx n="33" f="v">
      <t c="4">
        <n x="1168"/>
        <n x="12"/>
        <n x="7"/>
        <n x="1337" s="1"/>
      </t>
    </mdx>
    <mdx n="33" f="v">
      <t c="4">
        <n x="1154"/>
        <n x="12"/>
        <n x="7"/>
        <n x="1337" s="1"/>
      </t>
    </mdx>
    <mdx n="33" f="v">
      <t c="4">
        <n x="832"/>
        <n x="14"/>
        <n x="7"/>
        <n x="1337" s="1"/>
      </t>
    </mdx>
    <mdx n="33" f="v">
      <t c="3">
        <n x="977"/>
        <n x="1336"/>
        <n x="1337" s="1"/>
      </t>
    </mdx>
    <mdx n="33" f="v">
      <t c="4">
        <n x="613"/>
        <n x="14"/>
        <n x="7"/>
        <n x="1337" s="1"/>
      </t>
    </mdx>
    <mdx n="33" f="v">
      <t c="4" si="10">
        <n x="1032"/>
        <n x="0"/>
        <n x="32"/>
        <n x="1337" s="1"/>
      </t>
    </mdx>
    <mdx n="33" f="v">
      <t c="4" si="9">
        <n x="575"/>
        <n x="1"/>
        <n x="7"/>
        <n x="1337" s="1"/>
      </t>
    </mdx>
    <mdx n="33" f="v">
      <t c="4">
        <n x="1144"/>
        <n x="12"/>
        <n x="32"/>
        <n x="1337" s="1"/>
      </t>
    </mdx>
    <mdx n="33" f="v">
      <t c="4" si="10">
        <n x="735"/>
        <n x="14"/>
        <n x="32"/>
        <n x="1337" s="1"/>
      </t>
    </mdx>
    <mdx n="33" f="v">
      <t c="4" si="10">
        <n x="617"/>
        <n x="1"/>
        <n x="32"/>
        <n x="1337" s="1"/>
      </t>
    </mdx>
    <mdx n="33" f="v">
      <t c="4" si="9">
        <n x="714"/>
        <n x="12"/>
        <n x="7"/>
        <n x="1337" s="1"/>
      </t>
    </mdx>
    <mdx n="33" f="v">
      <t c="4">
        <n x="720"/>
        <n x="1"/>
        <n x="32"/>
        <n x="1337" s="1"/>
      </t>
    </mdx>
    <mdx n="33" f="v">
      <t c="3">
        <n x="926"/>
        <n x="1336"/>
        <n x="1337" s="1"/>
      </t>
    </mdx>
    <mdx n="33" f="v">
      <t c="3">
        <n x="1104"/>
        <n x="1336"/>
        <n x="1337" s="1"/>
      </t>
    </mdx>
    <mdx n="33" f="v">
      <t c="4" si="10">
        <n x="499"/>
        <n x="0"/>
        <n x="32"/>
        <n x="1337" s="1"/>
      </t>
    </mdx>
    <mdx n="33" f="v">
      <t c="4">
        <n x="886"/>
        <n x="1"/>
        <n x="32"/>
        <n x="1337" s="1"/>
      </t>
    </mdx>
    <mdx n="33" f="v">
      <t c="4">
        <n x="1016"/>
        <n x="1"/>
        <n x="32"/>
        <n x="1337" s="1"/>
      </t>
    </mdx>
    <mdx n="33" f="v">
      <t c="4">
        <n x="1069"/>
        <n x="14"/>
        <n x="7"/>
        <n x="1337" s="1"/>
      </t>
    </mdx>
    <mdx n="33" f="v">
      <t c="4">
        <n x="710"/>
        <n x="11"/>
        <n x="7"/>
        <n x="1337" s="1"/>
      </t>
    </mdx>
    <mdx n="33" f="v">
      <t c="4" si="9">
        <n x="1050"/>
        <n x="11"/>
        <n x="7"/>
        <n x="1337" s="1"/>
      </t>
    </mdx>
    <mdx n="33" f="v">
      <t c="4">
        <n x="377"/>
        <n x="1"/>
        <n x="7"/>
        <n x="1337" s="1"/>
      </t>
    </mdx>
    <mdx n="33" f="v">
      <t c="4">
        <n x="1156"/>
        <n x="12"/>
        <n x="32"/>
        <n x="1337" s="1"/>
      </t>
    </mdx>
    <mdx n="33" f="v">
      <t c="4">
        <n x="718"/>
        <n x="12"/>
        <n x="7"/>
        <n x="1337" s="1"/>
      </t>
    </mdx>
    <mdx n="33" f="v">
      <t c="4">
        <n x="642"/>
        <n x="1"/>
        <n x="7"/>
        <n x="1337" s="1"/>
      </t>
    </mdx>
    <mdx n="33" f="v">
      <t c="4">
        <n x="766"/>
        <n x="11"/>
        <n x="32"/>
        <n x="1337" s="1"/>
      </t>
    </mdx>
    <mdx n="33" f="v">
      <t c="4" si="10">
        <n x="737"/>
        <n x="12"/>
        <n x="32"/>
        <n x="1337" s="1"/>
      </t>
    </mdx>
    <mdx n="33" f="v">
      <t c="4">
        <n x="929"/>
        <n x="11"/>
        <n x="32"/>
        <n x="1337" s="1"/>
      </t>
    </mdx>
    <mdx n="33" f="v">
      <t c="4">
        <n x="1111"/>
        <n x="1"/>
        <n x="32"/>
        <n x="1337" s="1"/>
      </t>
    </mdx>
    <mdx n="33" f="v">
      <t c="4">
        <n x="614"/>
        <n x="12"/>
        <n x="7"/>
        <n x="1337" s="1"/>
      </t>
    </mdx>
    <mdx n="33" f="v">
      <t c="4" si="10">
        <n x="889"/>
        <n x="14"/>
        <n x="32"/>
        <n x="1337" s="1"/>
      </t>
    </mdx>
    <mdx n="33" f="v">
      <t c="4">
        <n x="1023"/>
        <n x="0"/>
        <n x="7"/>
        <n x="1337" s="1"/>
      </t>
    </mdx>
    <mdx n="33" f="v">
      <t c="4">
        <n x="1033"/>
        <n x="14"/>
        <n x="7"/>
        <n x="1337" s="1"/>
      </t>
    </mdx>
    <mdx n="33" f="v">
      <t c="3">
        <n x="763"/>
        <n x="1336"/>
        <n x="1337" s="1"/>
      </t>
    </mdx>
    <mdx n="33" f="v">
      <t c="4">
        <n x="1002"/>
        <n x="11"/>
        <n x="7"/>
        <n x="1337" s="1"/>
      </t>
    </mdx>
    <mdx n="33" f="v">
      <t c="4">
        <n x="341"/>
        <n x="1"/>
        <n x="7"/>
        <n x="1337" s="1"/>
      </t>
    </mdx>
    <mdx n="33" f="v">
      <t c="4" si="10">
        <n x="1331"/>
        <n x="12"/>
        <n x="32"/>
        <n x="1337" s="1"/>
      </t>
    </mdx>
    <mdx n="33" f="v">
      <t c="4" si="10">
        <n x="771"/>
        <n x="14"/>
        <n x="32"/>
        <n x="1337" s="1"/>
      </t>
    </mdx>
    <mdx n="33" f="v">
      <t c="4">
        <n x="995"/>
        <n x="11"/>
        <n x="7"/>
        <n x="1337" s="1"/>
      </t>
    </mdx>
    <mdx n="33" f="v">
      <t c="4">
        <n x="336"/>
        <n x="1"/>
        <n x="7"/>
        <n x="1337" s="1"/>
      </t>
    </mdx>
    <mdx n="33" f="v">
      <t c="3">
        <n x="384"/>
        <n x="1336"/>
        <n x="1337" s="1"/>
      </t>
    </mdx>
    <mdx n="33" f="v">
      <t c="4" si="10">
        <n x="1311"/>
        <n x="0"/>
        <n x="32"/>
        <n x="1337" s="1"/>
      </t>
    </mdx>
    <mdx n="33" f="v">
      <t c="4">
        <n x="289"/>
        <n x="14"/>
        <n x="7"/>
        <n x="1337" s="1"/>
      </t>
    </mdx>
    <mdx n="33" f="v">
      <t c="4">
        <n x="360"/>
        <n x="12"/>
        <n x="32"/>
        <n x="1337" s="1"/>
      </t>
    </mdx>
    <mdx n="33" f="v">
      <t c="4">
        <n x="959"/>
        <n x="1"/>
        <n x="7"/>
        <n x="1337" s="1"/>
      </t>
    </mdx>
    <mdx n="33" f="v">
      <t c="4" si="10">
        <n x="1119"/>
        <n x="12"/>
        <n x="32"/>
        <n x="1337" s="1"/>
      </t>
    </mdx>
    <mdx n="33" f="v">
      <t c="4">
        <n x="923"/>
        <n x="12"/>
        <n x="7"/>
        <n x="1337" s="1"/>
      </t>
    </mdx>
    <mdx n="33" f="v">
      <t c="4">
        <n x="342"/>
        <n x="11"/>
        <n x="7"/>
        <n x="1337" s="1"/>
      </t>
    </mdx>
    <mdx n="33" f="v">
      <t c="4">
        <n x="1027"/>
        <n x="11"/>
        <n x="32"/>
        <n x="1337" s="1"/>
      </t>
    </mdx>
    <mdx n="33" f="v">
      <t c="4">
        <n x="187"/>
        <n x="11"/>
        <n x="32"/>
        <n x="1337" s="1"/>
      </t>
    </mdx>
    <mdx n="33" f="v">
      <t c="4" si="10">
        <n x="1122"/>
        <n x="12"/>
        <n x="32"/>
        <n x="1337" s="1"/>
      </t>
    </mdx>
    <mdx n="33" f="v">
      <t c="4" si="10">
        <n x="471"/>
        <n x="12"/>
        <n x="32"/>
        <n x="1337" s="1"/>
      </t>
    </mdx>
    <mdx n="33" f="v">
      <t c="4">
        <n x="127"/>
        <n x="12"/>
        <n x="32"/>
        <n x="1337" s="1"/>
      </t>
    </mdx>
    <mdx n="33" f="v">
      <t c="4">
        <n x="504"/>
        <n x="14"/>
        <n x="32"/>
        <n x="1337" s="1"/>
      </t>
    </mdx>
    <mdx n="33" f="v">
      <t c="4">
        <n x="103"/>
        <n x="14"/>
        <n x="32"/>
        <n x="1337" s="1"/>
      </t>
    </mdx>
    <mdx n="33" f="v">
      <t c="4">
        <n x="1067"/>
        <n x="11"/>
        <n x="7"/>
        <n x="1337" s="1"/>
      </t>
    </mdx>
    <mdx n="33" f="v">
      <t c="4" si="10">
        <n x="1038"/>
        <n x="11"/>
        <n x="32"/>
        <n x="1337" s="1"/>
      </t>
    </mdx>
    <mdx n="33" f="v">
      <t c="4">
        <n x="132"/>
        <n x="12"/>
        <n x="32"/>
        <n x="1337" s="1"/>
      </t>
    </mdx>
    <mdx n="33" f="v">
      <t c="4">
        <n x="336"/>
        <n x="14"/>
        <n x="32"/>
        <n x="1337" s="1"/>
      </t>
    </mdx>
    <mdx n="33" f="v">
      <t c="3">
        <n x="301"/>
        <n x="1336"/>
        <n x="1337" s="1"/>
      </t>
    </mdx>
    <mdx n="33" f="v">
      <t c="4">
        <n x="1128"/>
        <n x="0"/>
        <n x="7"/>
        <n x="1337" s="1"/>
      </t>
    </mdx>
    <mdx n="33" f="v">
      <t c="4" si="10">
        <n x="550"/>
        <n x="12"/>
        <n x="32"/>
        <n x="1337" s="1"/>
      </t>
    </mdx>
    <mdx n="33" f="v">
      <t c="4">
        <n x="1245"/>
        <n x="0"/>
        <n x="7"/>
        <n x="1337" s="1"/>
      </t>
    </mdx>
    <mdx n="33" f="v">
      <t c="4">
        <n x="198"/>
        <n x="14"/>
        <n x="7"/>
        <n x="1337" s="1"/>
      </t>
    </mdx>
    <mdx n="33" f="v">
      <t c="4" si="10">
        <n x="1082"/>
        <n x="11"/>
        <n x="32"/>
        <n x="1337" s="1"/>
      </t>
    </mdx>
    <mdx n="33" f="v">
      <t c="4">
        <n x="281"/>
        <n x="12"/>
        <n x="32"/>
        <n x="1337" s="1"/>
      </t>
    </mdx>
    <mdx n="33" f="v">
      <t c="4">
        <n x="372"/>
        <n x="14"/>
        <n x="32"/>
        <n x="1337" s="1"/>
      </t>
    </mdx>
    <mdx n="33" f="v">
      <t c="3">
        <n x="777"/>
        <n x="1336"/>
        <n x="1337" s="1"/>
      </t>
    </mdx>
    <mdx n="33" f="v">
      <t c="4">
        <n x="1139"/>
        <n x="0"/>
        <n x="7"/>
        <n x="1337" s="1"/>
      </t>
    </mdx>
    <mdx n="33" f="v">
      <t c="4">
        <n x="231"/>
        <n x="12"/>
        <n x="32"/>
        <n x="1337" s="1"/>
      </t>
    </mdx>
    <mdx n="33" f="v">
      <t c="4">
        <n x="951"/>
        <n x="0"/>
        <n x="7"/>
        <n x="1337" s="1"/>
      </t>
    </mdx>
    <mdx n="33" f="v">
      <t c="4">
        <n x="445"/>
        <n x="11"/>
        <n x="7"/>
        <n x="1337" s="1"/>
      </t>
    </mdx>
    <mdx n="33" f="v">
      <t c="4">
        <n x="770"/>
        <n x="11"/>
        <n x="32"/>
        <n x="1337" s="1"/>
      </t>
    </mdx>
    <mdx n="33" f="v">
      <t c="4">
        <n x="782"/>
        <n x="14"/>
        <n x="32"/>
        <n x="1337" s="1"/>
      </t>
    </mdx>
    <mdx n="33" f="v">
      <t c="4">
        <n x="987"/>
        <n x="1"/>
        <n x="32"/>
        <n x="1337" s="1"/>
      </t>
    </mdx>
    <mdx n="33" f="v">
      <t c="4" si="9">
        <n x="578"/>
        <n x="14"/>
        <n x="7"/>
        <n x="1337" s="1"/>
      </t>
    </mdx>
    <mdx n="33" f="v">
      <t c="3">
        <n x="897"/>
        <n x="1336"/>
        <n x="1337" s="1"/>
      </t>
    </mdx>
    <mdx n="33" f="v">
      <t c="4">
        <n x="1104"/>
        <n x="1"/>
        <n x="32"/>
        <n x="1337" s="1"/>
      </t>
    </mdx>
    <mdx n="33" f="v">
      <t c="4" si="9">
        <n x="1057"/>
        <n x="11"/>
        <n x="7"/>
        <n x="1337" s="1"/>
      </t>
    </mdx>
    <mdx n="33" f="v">
      <t c="4">
        <n x="574"/>
        <n x="11"/>
        <n x="7"/>
        <n x="1337" s="1"/>
      </t>
    </mdx>
    <mdx n="33" f="v">
      <t c="4" si="10">
        <n x="570"/>
        <n x="11"/>
        <n x="32"/>
        <n x="1337" s="1"/>
      </t>
    </mdx>
    <mdx n="33" f="v">
      <t c="4">
        <n x="52"/>
        <n x="12"/>
        <n x="32"/>
        <n x="1337" s="1"/>
      </t>
    </mdx>
    <mdx n="33" f="v">
      <t c="4">
        <n x="1075"/>
        <n x="11"/>
        <n x="7"/>
        <n x="1337" s="1"/>
      </t>
    </mdx>
    <mdx n="33" f="v">
      <t c="4">
        <n x="268"/>
        <n x="11"/>
        <n x="7"/>
        <n x="1337" s="1"/>
      </t>
    </mdx>
    <mdx n="33" f="v">
      <t c="4" si="9">
        <n x="526"/>
        <n x="1"/>
        <n x="7"/>
        <n x="1337" s="1"/>
      </t>
    </mdx>
    <mdx n="33" f="v">
      <t c="4">
        <n x="1024"/>
        <n x="11"/>
        <n x="32"/>
        <n x="1337" s="1"/>
      </t>
    </mdx>
    <mdx n="33" f="v">
      <t c="4">
        <n x="324"/>
        <n x="11"/>
        <n x="32"/>
        <n x="1337" s="1"/>
      </t>
    </mdx>
    <mdx n="33" f="v">
      <t c="4" si="10">
        <n x="1179"/>
        <n x="12"/>
        <n x="32"/>
        <n x="1337" s="1"/>
      </t>
    </mdx>
    <mdx n="33" f="v">
      <t c="4">
        <n x="390"/>
        <n x="12"/>
        <n x="32"/>
        <n x="1337" s="1"/>
      </t>
    </mdx>
    <mdx n="33" f="v">
      <t c="4">
        <n x="343"/>
        <n x="12"/>
        <n x="32"/>
        <n x="1337" s="1"/>
      </t>
    </mdx>
    <mdx n="33" f="v">
      <t c="4">
        <n x="696"/>
        <n x="12"/>
        <n x="7"/>
        <n x="1337" s="1"/>
      </t>
    </mdx>
    <mdx n="33" f="v">
      <t c="4">
        <n x="896"/>
        <n x="14"/>
        <n x="7"/>
        <n x="1337" s="1"/>
      </t>
    </mdx>
    <mdx n="33" f="v">
      <t c="4">
        <n x="1040"/>
        <n x="0"/>
        <n x="32"/>
        <n x="1337" s="1"/>
      </t>
    </mdx>
    <mdx n="33" f="v">
      <t c="4">
        <n x="452"/>
        <n x="14"/>
        <n x="7"/>
        <n x="1337" s="1"/>
      </t>
    </mdx>
    <mdx n="33" f="v">
      <t c="4">
        <n x="1063"/>
        <n x="11"/>
        <n x="7"/>
        <n x="1337" s="1"/>
      </t>
    </mdx>
    <mdx n="33" f="v">
      <t c="4">
        <n x="411"/>
        <n x="11"/>
        <n x="7"/>
        <n x="1337" s="1"/>
      </t>
    </mdx>
    <mdx n="33" f="v">
      <t c="4">
        <n x="171"/>
        <n x="11"/>
        <n x="7"/>
        <n x="1337" s="1"/>
      </t>
    </mdx>
    <mdx n="33" f="v">
      <t c="4">
        <n x="982"/>
        <n x="1"/>
        <n x="7"/>
        <n x="1337" s="1"/>
      </t>
    </mdx>
    <mdx n="33" f="v">
      <t c="4">
        <n x="388"/>
        <n x="1"/>
        <n x="7"/>
        <n x="1337" s="1"/>
      </t>
    </mdx>
    <mdx n="33" f="v">
      <t c="4">
        <n x="1099"/>
        <n x="11"/>
        <n x="32"/>
        <n x="1337" s="1"/>
      </t>
    </mdx>
    <mdx n="33" f="v">
      <t c="4">
        <n x="508"/>
        <n x="11"/>
        <n x="32"/>
        <n x="1337" s="1"/>
      </t>
    </mdx>
    <mdx n="33" f="v">
      <t c="4">
        <n x="156"/>
        <n x="11"/>
        <n x="32"/>
        <n x="1337" s="1"/>
      </t>
    </mdx>
    <mdx n="33" f="v">
      <t c="4">
        <n x="1166"/>
        <n x="12"/>
        <n x="32"/>
        <n x="1337" s="1"/>
      </t>
    </mdx>
    <mdx n="33" f="v">
      <t c="4">
        <n x="607"/>
        <n x="12"/>
        <n x="32"/>
        <n x="1337" s="1"/>
      </t>
    </mdx>
    <mdx n="33" f="v">
      <t c="4">
        <n x="330"/>
        <n x="12"/>
        <n x="32"/>
        <n x="1337" s="1"/>
      </t>
    </mdx>
    <mdx n="33" f="v">
      <t c="4">
        <n x="60"/>
        <n x="12"/>
        <n x="32"/>
        <n x="1337" s="1"/>
      </t>
    </mdx>
    <mdx n="33" f="v">
      <t c="4" si="10">
        <n x="560"/>
        <n x="14"/>
        <n x="32"/>
        <n x="1337" s="1"/>
      </t>
    </mdx>
    <mdx n="33" f="v">
      <t c="4">
        <n x="303"/>
        <n x="14"/>
        <n x="32"/>
        <n x="1337" s="1"/>
      </t>
    </mdx>
    <mdx n="33" f="v">
      <t c="4">
        <n x="832"/>
        <n x="14"/>
        <n x="32"/>
        <n x="1337" s="1"/>
      </t>
    </mdx>
    <mdx n="33" f="v">
      <t c="4">
        <n x="401"/>
        <n x="11"/>
        <n x="7"/>
        <n x="1337" s="1"/>
      </t>
    </mdx>
    <mdx n="33" f="v">
      <t c="4">
        <n x="297"/>
        <n x="1"/>
        <n x="7"/>
        <n x="1337" s="1"/>
      </t>
    </mdx>
    <mdx n="33" f="v">
      <t c="4" si="10">
        <n x="1085"/>
        <n x="12"/>
        <n x="32"/>
        <n x="1337" s="1"/>
      </t>
    </mdx>
    <mdx n="33" f="v">
      <t c="4">
        <n x="1005"/>
        <n x="14"/>
        <n x="32"/>
        <n x="1337" s="1"/>
      </t>
    </mdx>
    <mdx n="33" f="v">
      <t c="4">
        <n x="304"/>
        <n x="14"/>
        <n x="32"/>
        <n x="1337" s="1"/>
      </t>
    </mdx>
    <mdx n="33" f="v">
      <t c="4">
        <n x="69"/>
        <n x="1"/>
        <n x="32"/>
        <n x="1337" s="1"/>
      </t>
    </mdx>
    <mdx n="33" f="v">
      <t c="4">
        <n x="1264"/>
        <n x="0"/>
        <n x="7"/>
        <n x="1337" s="1"/>
      </t>
    </mdx>
    <mdx n="33" f="v">
      <t c="4">
        <n x="99"/>
        <n x="0"/>
        <n x="7"/>
        <n x="1337" s="1"/>
      </t>
    </mdx>
    <mdx n="33" f="v">
      <t c="4">
        <n x="248"/>
        <n x="12"/>
        <n x="32"/>
        <n x="1337" s="1"/>
      </t>
    </mdx>
    <mdx n="33" f="v">
      <t c="3">
        <n x="122"/>
        <n x="1336"/>
        <n x="1337" s="1"/>
      </t>
    </mdx>
    <mdx n="33" f="v">
      <t c="4" si="10">
        <n x="938"/>
        <n x="0"/>
        <n x="32"/>
        <n x="1337" s="1"/>
      </t>
    </mdx>
    <mdx n="33" f="v">
      <t c="4">
        <n x="273"/>
        <n x="11"/>
        <n x="7"/>
        <n x="1337" s="1"/>
      </t>
    </mdx>
    <mdx n="33" f="v">
      <t c="4">
        <n x="986"/>
        <n x="11"/>
        <n x="32"/>
        <n x="1337" s="1"/>
      </t>
    </mdx>
    <mdx n="33" f="v">
      <t c="4" si="10">
        <n x="494"/>
        <n x="12"/>
        <n x="32"/>
        <n x="1337" s="1"/>
      </t>
    </mdx>
    <mdx n="33" f="v">
      <t c="4" si="10">
        <n x="555"/>
        <n x="14"/>
        <n x="32"/>
        <n x="1337" s="1"/>
      </t>
    </mdx>
    <mdx n="33" f="v">
      <t c="4">
        <n x="149"/>
        <n x="14"/>
        <n x="32"/>
        <n x="1337" s="1"/>
      </t>
    </mdx>
    <mdx n="33" f="v">
      <t c="3">
        <n x="288"/>
        <n x="1336"/>
        <n x="1337" s="1"/>
      </t>
    </mdx>
    <mdx n="33" f="v">
      <t c="4">
        <n x="1195"/>
        <n x="0"/>
        <n x="7"/>
        <n x="1337" s="1"/>
      </t>
    </mdx>
    <mdx n="33" f="v">
      <t c="4">
        <n x="395"/>
        <n x="1"/>
        <n x="7"/>
        <n x="1337" s="1"/>
      </t>
    </mdx>
    <mdx n="33" f="v">
      <t c="4">
        <n x="337"/>
        <n x="14"/>
        <n x="32"/>
        <n x="1337" s="1"/>
      </t>
    </mdx>
    <mdx n="33" f="v">
      <t c="4">
        <n x="116"/>
        <n x="0"/>
        <n x="7"/>
        <n x="1337" s="1"/>
      </t>
    </mdx>
    <mdx n="33" f="v">
      <t c="4">
        <n x="242"/>
        <n x="14"/>
        <n x="7"/>
        <n x="1337" s="1"/>
      </t>
    </mdx>
    <mdx n="33" f="v">
      <t c="4">
        <n x="528"/>
        <n x="1"/>
        <n x="7"/>
        <n x="1337" s="1"/>
      </t>
    </mdx>
    <mdx n="33" f="v">
      <t c="4" si="10">
        <n x="1305"/>
        <n x="12"/>
        <n x="32"/>
        <n x="1337" s="1"/>
      </t>
    </mdx>
    <mdx n="33" f="v">
      <t c="4" si="10">
        <n x="1121"/>
        <n x="14"/>
        <n x="32"/>
        <n x="1337" s="1"/>
      </t>
    </mdx>
    <mdx n="33" f="v">
      <t c="4">
        <n x="381"/>
        <n x="14"/>
        <n x="32"/>
        <n x="1337" s="1"/>
      </t>
    </mdx>
    <mdx n="33" f="v">
      <t c="4">
        <n x="151"/>
        <n x="1"/>
        <n x="32"/>
        <n x="1337" s="1"/>
      </t>
    </mdx>
    <mdx n="33" f="v">
      <t c="4">
        <n x="1322"/>
        <n x="0"/>
        <n x="7"/>
        <n x="1337" s="1"/>
      </t>
    </mdx>
    <mdx n="33" f="v">
      <t c="4">
        <n x="286"/>
        <n x="0"/>
        <n x="7"/>
        <n x="1337" s="1"/>
      </t>
    </mdx>
    <mdx n="33" f="v">
      <t c="4" si="10">
        <n x="1060"/>
        <n x="0"/>
        <n x="32"/>
        <n x="1337" s="1"/>
      </t>
    </mdx>
    <mdx n="33" f="v">
      <t c="4">
        <n x="116"/>
        <n x="11"/>
        <n x="7"/>
        <n x="1337" s="1"/>
      </t>
    </mdx>
    <mdx n="33" f="v">
      <t c="4" si="10">
        <n x="478"/>
        <n x="14"/>
        <n x="32"/>
        <n x="1337" s="1"/>
      </t>
    </mdx>
    <mdx n="33" f="v">
      <t c="4">
        <n x="1133"/>
        <n x="0"/>
        <n x="7"/>
        <n x="1337" s="1"/>
      </t>
    </mdx>
    <mdx n="33" f="v">
      <t c="4">
        <n x="1081"/>
        <n x="0"/>
        <n x="7"/>
        <n x="1337" s="1"/>
      </t>
    </mdx>
    <mdx n="33" f="v">
      <t c="4">
        <n x="1010"/>
        <n x="0"/>
        <n x="32"/>
        <n x="1337" s="1"/>
      </t>
    </mdx>
    <mdx n="33" f="v">
      <t c="3">
        <n x="840"/>
        <n x="1336"/>
        <n x="1337" s="1"/>
      </t>
    </mdx>
    <mdx n="33" f="v">
      <t c="4">
        <n x="1131"/>
        <n x="12"/>
        <n x="7"/>
        <n x="1337" s="1"/>
      </t>
    </mdx>
    <mdx n="33" f="v">
      <t c="4" si="10">
        <n x="1080"/>
        <n x="0"/>
        <n x="32"/>
        <n x="1337" s="1"/>
      </t>
    </mdx>
    <mdx n="33" f="v">
      <t c="4">
        <n x="458"/>
        <n x="11"/>
        <n x="32"/>
        <n x="1337" s="1"/>
      </t>
    </mdx>
    <mdx n="33" f="v">
      <t c="4" si="10">
        <n x="1084"/>
        <n x="0"/>
        <n x="32"/>
        <n x="1337" s="1"/>
      </t>
    </mdx>
    <mdx n="33" f="v">
      <t c="4">
        <n x="208"/>
        <n x="11"/>
        <n x="7"/>
        <n x="1337" s="1"/>
      </t>
    </mdx>
    <mdx n="33" f="v">
      <t c="4">
        <n x="155"/>
        <n x="1"/>
        <n x="7"/>
        <n x="1337" s="1"/>
      </t>
    </mdx>
    <mdx n="33" f="v">
      <t c="4">
        <n x="141"/>
        <n x="11"/>
        <n x="32"/>
        <n x="1337" s="1"/>
      </t>
    </mdx>
    <mdx n="33" f="v">
      <t c="4" si="10">
        <n x="528"/>
        <n x="12"/>
        <n x="32"/>
        <n x="1337" s="1"/>
      </t>
    </mdx>
    <mdx n="33" f="v">
      <t c="4">
        <n x="832"/>
        <n x="12"/>
        <n x="7"/>
        <n x="1337" s="1"/>
      </t>
    </mdx>
    <mdx n="33" f="v">
      <t c="4" si="10">
        <n x="1113"/>
        <n x="1"/>
        <n x="32"/>
        <n x="1337" s="1"/>
      </t>
    </mdx>
    <mdx n="33" f="v">
      <t c="4">
        <n x="405"/>
        <n x="11"/>
        <n x="7"/>
        <n x="1337" s="1"/>
      </t>
    </mdx>
    <mdx n="33" f="v">
      <t c="4">
        <n x="103"/>
        <n x="11"/>
        <n x="7"/>
        <n x="1337" s="1"/>
      </t>
    </mdx>
    <mdx n="33" f="v">
      <t c="4">
        <n x="198"/>
        <n x="1"/>
        <n x="7"/>
        <n x="1337" s="1"/>
      </t>
    </mdx>
    <mdx n="33" f="v">
      <t c="4">
        <n x="128"/>
        <n x="11"/>
        <n x="32"/>
        <n x="1337" s="1"/>
      </t>
    </mdx>
    <mdx n="33" f="v">
      <t c="4" si="10">
        <n x="561"/>
        <n x="14"/>
        <n x="32"/>
        <n x="1337" s="1"/>
      </t>
    </mdx>
    <mdx n="33" f="v">
      <t c="4">
        <n x="1333"/>
        <n x="0"/>
        <n x="7"/>
        <n x="1337" s="1"/>
      </t>
    </mdx>
    <mdx n="33" f="v">
      <t c="4" si="10">
        <n x="1097"/>
        <n x="14"/>
        <n x="32"/>
        <n x="1337" s="1"/>
      </t>
    </mdx>
    <mdx n="33" f="v">
      <t c="4">
        <n x="1202"/>
        <n x="0"/>
        <n x="7"/>
        <n x="1337" s="1"/>
      </t>
    </mdx>
    <mdx n="33" f="v">
      <t c="4">
        <n x="510"/>
        <n x="14"/>
        <n x="32"/>
        <n x="1337" s="1"/>
      </t>
    </mdx>
    <mdx n="33" f="v">
      <t c="4">
        <n x="896"/>
        <n x="0"/>
        <n x="7"/>
        <n x="1337" s="1"/>
      </t>
    </mdx>
    <mdx n="33" f="v">
      <t c="4" si="9">
        <n x="979"/>
        <n x="0"/>
        <n x="7"/>
        <n x="1337" s="1"/>
      </t>
    </mdx>
    <mdx n="33" f="v">
      <t c="4">
        <n x="434"/>
        <n x="1"/>
        <n x="7"/>
        <n x="1337" s="1"/>
      </t>
    </mdx>
    <mdx n="33" f="v">
      <t c="4">
        <n x="355"/>
        <n x="11"/>
        <n x="7"/>
        <n x="1337" s="1"/>
      </t>
    </mdx>
    <mdx n="33" f="v">
      <t c="4">
        <n x="203"/>
        <n x="11"/>
        <n x="32"/>
        <n x="1337" s="1"/>
      </t>
    </mdx>
    <mdx n="33" f="v">
      <t c="4" si="10">
        <n x="836"/>
        <n x="0"/>
        <n x="32"/>
        <n x="1337" s="1"/>
      </t>
    </mdx>
    <mdx n="33" f="v">
      <t c="4">
        <n x="614"/>
        <n x="11"/>
        <n x="7"/>
        <n x="1337" s="1"/>
      </t>
    </mdx>
    <mdx n="33" f="v">
      <t c="4">
        <n x="166"/>
        <n x="1"/>
        <n x="7"/>
        <n x="1337" s="1"/>
      </t>
    </mdx>
    <mdx n="33" f="v">
      <t c="4" si="10">
        <n x="1046"/>
        <n x="12"/>
        <n x="32"/>
        <n x="1337" s="1"/>
      </t>
    </mdx>
    <mdx n="33" f="v">
      <t c="4">
        <n x="395"/>
        <n x="14"/>
        <n x="32"/>
        <n x="1337" s="1"/>
      </t>
    </mdx>
    <mdx n="33" f="v">
      <t c="4">
        <n x="1313"/>
        <n x="12"/>
        <n x="32"/>
        <n x="1337" s="1"/>
      </t>
    </mdx>
    <mdx n="33" f="v">
      <t c="4">
        <n x="1292"/>
        <n x="0"/>
        <n x="7"/>
        <n x="1337" s="1"/>
      </t>
    </mdx>
    <mdx n="33" f="v">
      <t c="4">
        <n x="897"/>
        <n x="1"/>
        <n x="32"/>
        <n x="1337" s="1"/>
      </t>
    </mdx>
    <mdx n="33" f="v">
      <t c="4">
        <n x="593"/>
        <n x="14"/>
        <n x="32"/>
        <n x="1337" s="1"/>
      </t>
    </mdx>
    <mdx n="33" f="v">
      <t c="4">
        <n x="55"/>
        <n x="0"/>
        <n x="7"/>
        <n x="1337" s="1"/>
      </t>
    </mdx>
    <mdx n="33" f="v">
      <t c="4">
        <n x="1041"/>
        <n x="1"/>
        <n x="7"/>
        <n x="1337" s="1"/>
      </t>
    </mdx>
    <mdx n="33" f="v">
      <t c="4" si="10">
        <n x="527"/>
        <n x="14"/>
        <n x="32"/>
        <n x="1337" s="1"/>
      </t>
    </mdx>
    <mdx n="33" f="v">
      <t c="4">
        <n x="1238"/>
        <n x="0"/>
        <n x="7"/>
        <n x="1337" s="1"/>
      </t>
    </mdx>
    <mdx n="33" f="v">
      <t c="4">
        <n x="989"/>
        <n x="1"/>
        <n x="7"/>
        <n x="1337" s="1"/>
      </t>
    </mdx>
    <mdx n="33" f="v">
      <t c="4">
        <n x="712"/>
        <n x="12"/>
        <n x="7"/>
        <n x="1337" s="1"/>
      </t>
    </mdx>
    <mdx n="33" f="v">
      <t c="4">
        <n x="853"/>
        <n x="11"/>
        <n x="32"/>
        <n x="1337" s="1"/>
      </t>
    </mdx>
    <mdx n="33" f="v">
      <t c="4" si="10">
        <n x="1255"/>
        <n x="0"/>
        <n x="32"/>
        <n x="1337" s="1"/>
      </t>
    </mdx>
    <mdx n="33" f="v">
      <t c="4">
        <n x="919"/>
        <n x="0"/>
        <n x="32"/>
        <n x="1337" s="1"/>
      </t>
    </mdx>
    <mdx n="33" f="v">
      <t c="4">
        <n x="370"/>
        <n x="14"/>
        <n x="7"/>
        <n x="1337" s="1"/>
      </t>
    </mdx>
    <mdx n="33" f="v">
      <t c="4">
        <n x="269"/>
        <n x="11"/>
        <n x="7"/>
        <n x="1337" s="1"/>
      </t>
    </mdx>
    <mdx n="33" f="v">
      <t c="4" si="10">
        <n x="493"/>
        <n x="12"/>
        <n x="32"/>
        <n x="1337" s="1"/>
      </t>
    </mdx>
    <mdx n="33" f="v">
      <t c="4">
        <n x="968"/>
        <n x="11"/>
        <n x="7"/>
        <n x="1337" s="1"/>
      </t>
    </mdx>
    <mdx n="33" f="v">
      <t c="4">
        <n x="999"/>
        <n x="1"/>
        <n x="7"/>
        <n x="1337" s="1"/>
      </t>
    </mdx>
    <mdx n="33" f="v">
      <t c="4" si="10">
        <n x="609"/>
        <n x="11"/>
        <n x="32"/>
        <n x="1337" s="1"/>
      </t>
    </mdx>
    <mdx n="33" f="v">
      <t c="4" si="10">
        <n x="1135"/>
        <n x="12"/>
        <n x="32"/>
        <n x="1337" s="1"/>
      </t>
    </mdx>
    <mdx n="33" f="v">
      <t c="4">
        <n x="266"/>
        <n x="12"/>
        <n x="32"/>
        <n x="1337" s="1"/>
      </t>
    </mdx>
    <mdx n="33" f="v">
      <t c="4">
        <n x="912"/>
        <n x="14"/>
        <n x="7"/>
        <n x="1337" s="1"/>
      </t>
    </mdx>
    <mdx n="33" f="v">
      <t c="4">
        <n x="425"/>
        <n x="14"/>
        <n x="7"/>
        <n x="1337" s="1"/>
      </t>
    </mdx>
    <mdx n="33" f="v">
      <t c="4">
        <n x="370"/>
        <n x="11"/>
        <n x="7"/>
        <n x="1337" s="1"/>
      </t>
    </mdx>
    <mdx n="33" f="v">
      <t c="4">
        <n x="601"/>
        <n x="1"/>
        <n x="7"/>
        <n x="1337" s="1"/>
      </t>
    </mdx>
    <mdx n="33" f="v">
      <t c="4">
        <n x="1055"/>
        <n x="11"/>
        <n x="32"/>
        <n x="1337" s="1"/>
      </t>
    </mdx>
    <mdx n="33" f="v">
      <t c="4">
        <n x="144"/>
        <n x="11"/>
        <n x="32"/>
        <n x="1337" s="1"/>
      </t>
    </mdx>
    <mdx n="33" f="v">
      <t c="4" si="10">
        <n x="563"/>
        <n x="12"/>
        <n x="32"/>
        <n x="1337" s="1"/>
      </t>
    </mdx>
    <mdx n="33" f="v">
      <t c="4" si="10">
        <n x="1108"/>
        <n x="14"/>
        <n x="32"/>
        <n x="1337" s="1"/>
      </t>
    </mdx>
    <mdx n="33" f="v">
      <t c="4">
        <n x="179"/>
        <n x="14"/>
        <n x="32"/>
        <n x="1337" s="1"/>
      </t>
    </mdx>
    <mdx n="33" f="v">
      <t c="4">
        <n x="444"/>
        <n x="11"/>
        <n x="7"/>
        <n x="1337" s="1"/>
      </t>
    </mdx>
    <mdx n="33" f="v">
      <t c="4">
        <n x="594"/>
        <n x="12"/>
        <n x="32"/>
        <n x="1337" s="1"/>
      </t>
    </mdx>
    <mdx n="33" f="v">
      <t c="4">
        <n x="188"/>
        <n x="14"/>
        <n x="32"/>
        <n x="1337" s="1"/>
      </t>
    </mdx>
    <mdx n="33" f="v">
      <t c="4">
        <n x="1220"/>
        <n x="0"/>
        <n x="7"/>
        <n x="1337" s="1"/>
      </t>
    </mdx>
    <mdx n="33" f="v">
      <t c="4" si="10">
        <n x="1015"/>
        <n x="14"/>
        <n x="32"/>
        <n x="1337" s="1"/>
      </t>
    </mdx>
    <mdx n="33" f="v">
      <t c="3">
        <n x="1066"/>
        <n x="1336"/>
        <n x="1337" s="1"/>
      </t>
    </mdx>
    <mdx n="33" f="v">
      <t c="4">
        <n x="475"/>
        <n x="11"/>
        <n x="32"/>
        <n x="1337" s="1"/>
      </t>
    </mdx>
    <mdx n="33" f="v">
      <t c="4">
        <n x="497"/>
        <n x="14"/>
        <n x="32"/>
        <n x="1337" s="1"/>
      </t>
    </mdx>
    <mdx n="33" f="v">
      <t c="3">
        <n x="153"/>
        <n x="1336"/>
        <n x="1337" s="1"/>
      </t>
    </mdx>
    <mdx n="33" f="v">
      <t c="4" si="10">
        <n x="515"/>
        <n x="11"/>
        <n x="32"/>
        <n x="1337" s="1"/>
      </t>
    </mdx>
    <mdx n="33" f="v">
      <t c="4">
        <n x="750"/>
        <n x="12"/>
        <n x="7"/>
        <n x="1337" s="1"/>
      </t>
    </mdx>
    <mdx n="33" f="v">
      <t c="4">
        <n x="512"/>
        <n x="1"/>
        <n x="7"/>
        <n x="1337" s="1"/>
      </t>
    </mdx>
    <mdx n="33" f="v">
      <t c="4" si="10">
        <n x="965"/>
        <n x="12"/>
        <n x="32"/>
        <n x="1337" s="1"/>
      </t>
    </mdx>
    <mdx n="33" f="v">
      <t c="4" si="10">
        <n x="495"/>
        <n x="14"/>
        <n x="32"/>
        <n x="1337" s="1"/>
      </t>
    </mdx>
    <mdx n="33" f="v">
      <t c="4">
        <n x="143"/>
        <n x="1"/>
        <n x="32"/>
        <n x="1337" s="1"/>
      </t>
    </mdx>
    <mdx n="33" f="v">
      <t c="4">
        <n x="1234"/>
        <n x="0"/>
        <n x="7"/>
        <n x="1337" s="1"/>
      </t>
    </mdx>
    <mdx n="33" f="v">
      <t c="4">
        <n x="876"/>
        <n x="14"/>
        <n x="7"/>
        <n x="1337" s="1"/>
      </t>
    </mdx>
    <mdx n="33" f="v">
      <t c="4">
        <n x="64"/>
        <n x="11"/>
        <n x="7"/>
        <n x="1337" s="1"/>
      </t>
    </mdx>
    <mdx n="33" f="v">
      <t c="4">
        <n x="769"/>
        <n x="1"/>
        <n x="32"/>
        <n x="1337" s="1"/>
      </t>
    </mdx>
    <mdx n="33" f="v">
      <t c="4">
        <n x="728"/>
        <n x="14"/>
        <n x="7"/>
        <n x="1337" s="1"/>
      </t>
    </mdx>
    <mdx n="33" f="v">
      <t c="4">
        <n x="888"/>
        <n x="0"/>
        <n x="7"/>
        <n x="1337" s="1"/>
      </t>
    </mdx>
    <mdx n="33" f="v">
      <t c="4">
        <n x="1006"/>
        <n x="14"/>
        <n x="7"/>
        <n x="1337" s="1"/>
      </t>
    </mdx>
    <mdx n="33" f="v">
      <t c="4" si="10">
        <n x="947"/>
        <n x="0"/>
        <n x="32"/>
        <n x="1337" s="1"/>
      </t>
    </mdx>
    <mdx n="33" f="v">
      <t c="4">
        <n x="114"/>
        <n x="14"/>
        <n x="7"/>
        <n x="1337" s="1"/>
      </t>
    </mdx>
    <mdx n="33" f="v">
      <t c="4">
        <n x="1092"/>
        <n x="1"/>
        <n x="7"/>
        <n x="1337" s="1"/>
      </t>
    </mdx>
    <mdx n="33" f="v">
      <t c="4">
        <n x="197"/>
        <n x="12"/>
        <n x="32"/>
        <n x="1337" s="1"/>
      </t>
    </mdx>
    <mdx n="33" f="v">
      <t c="4">
        <n x="525"/>
        <n x="11"/>
        <n x="7"/>
        <n x="1337" s="1"/>
      </t>
    </mdx>
    <mdx n="33" f="v">
      <t c="4">
        <n x="566"/>
        <n x="1"/>
        <n x="7"/>
        <n x="1337" s="1"/>
      </t>
    </mdx>
    <mdx n="33" f="v">
      <t c="4">
        <n x="513"/>
        <n x="11"/>
        <n x="32"/>
        <n x="1337" s="1"/>
      </t>
    </mdx>
    <mdx n="33" f="v">
      <t c="4">
        <n x="1075"/>
        <n x="12"/>
        <n x="32"/>
        <n x="1337" s="1"/>
      </t>
    </mdx>
    <mdx n="33" f="v">
      <t c="4">
        <n x="253"/>
        <n x="12"/>
        <n x="32"/>
        <n x="1337" s="1"/>
      </t>
    </mdx>
    <mdx n="33" f="v">
      <t c="4">
        <n x="939"/>
        <n x="12"/>
        <n x="7"/>
        <n x="1337" s="1"/>
      </t>
    </mdx>
    <mdx n="33" f="v">
      <t c="4">
        <n x="250"/>
        <n x="14"/>
        <n x="7"/>
        <n x="1337" s="1"/>
      </t>
    </mdx>
    <mdx n="33" f="v">
      <t c="4">
        <n x="261"/>
        <n x="11"/>
        <n x="7"/>
        <n x="1337" s="1"/>
      </t>
    </mdx>
    <mdx n="33" f="v">
      <t c="4">
        <n x="529"/>
        <n x="1"/>
        <n x="7"/>
        <n x="1337" s="1"/>
      </t>
    </mdx>
    <mdx n="33" f="v">
      <t c="4">
        <n x="983"/>
        <n x="11"/>
        <n x="32"/>
        <n x="1337" s="1"/>
      </t>
    </mdx>
    <mdx n="33" f="v">
      <t c="4" si="10">
        <n x="1306"/>
        <n x="12"/>
        <n x="32"/>
        <n x="1337" s="1"/>
      </t>
    </mdx>
    <mdx n="33" f="v">
      <t c="4" si="10">
        <n x="491"/>
        <n x="12"/>
        <n x="32"/>
        <n x="1337" s="1"/>
      </t>
    </mdx>
    <mdx n="33" f="v">
      <t c="4" si="10">
        <n x="1036"/>
        <n x="14"/>
        <n x="32"/>
        <n x="1337" s="1"/>
      </t>
    </mdx>
    <mdx n="33" f="v">
      <t c="4">
        <n x="123"/>
        <n x="14"/>
        <n x="32"/>
        <n x="1337" s="1"/>
      </t>
    </mdx>
    <mdx n="33" f="v">
      <t c="4">
        <n x="92"/>
        <n x="11"/>
        <n x="7"/>
        <n x="1337" s="1"/>
      </t>
    </mdx>
    <mdx n="33" f="v">
      <t c="4">
        <n x="279"/>
        <n x="12"/>
        <n x="32"/>
        <n x="1337" s="1"/>
      </t>
    </mdx>
    <mdx n="33" f="v">
      <t c="4" si="10">
        <n x="945"/>
        <n x="1"/>
        <n x="32"/>
        <n x="1337" s="1"/>
      </t>
    </mdx>
    <mdx n="33" f="v">
      <t c="4">
        <n x="1148"/>
        <n x="0"/>
        <n x="7"/>
        <n x="1337" s="1"/>
      </t>
    </mdx>
    <mdx n="33" f="v">
      <t c="4">
        <n x="380"/>
        <n x="14"/>
        <n x="32"/>
        <n x="1337" s="1"/>
      </t>
    </mdx>
    <mdx n="33" f="v">
      <t c="4">
        <n x="353"/>
        <n x="14"/>
        <n x="7"/>
        <n x="1337" s="1"/>
      </t>
    </mdx>
    <mdx n="33" f="v">
      <t c="4">
        <n x="123"/>
        <n x="11"/>
        <n x="32"/>
        <n x="1337" s="1"/>
      </t>
    </mdx>
    <mdx n="33" f="v">
      <t c="4">
        <n x="400"/>
        <n x="14"/>
        <n x="32"/>
        <n x="1337" s="1"/>
      </t>
    </mdx>
    <mdx n="33" f="v">
      <t c="3">
        <n x="50"/>
        <n x="1336"/>
        <n x="1337" s="1"/>
      </t>
    </mdx>
    <mdx n="33" f="v">
      <t c="4" si="10">
        <n x="534"/>
        <n x="12"/>
        <n x="32"/>
        <n x="1337" s="1"/>
      </t>
    </mdx>
    <mdx n="33" f="v">
      <t c="4">
        <n x="922"/>
        <n x="0"/>
        <n x="32"/>
        <n x="1337" s="1"/>
      </t>
    </mdx>
    <mdx n="33" f="v">
      <t c="4">
        <n x="318"/>
        <n x="1"/>
        <n x="7"/>
        <n x="1337" s="1"/>
      </t>
    </mdx>
    <mdx n="33" f="v">
      <t c="4">
        <n x="419"/>
        <n x="12"/>
        <n x="32"/>
        <n x="1337" s="1"/>
      </t>
    </mdx>
    <mdx n="33" f="v">
      <t c="4">
        <n x="430"/>
        <n x="14"/>
        <n x="32"/>
        <n x="1337" s="1"/>
      </t>
    </mdx>
    <mdx n="33" f="v">
      <t c="4">
        <n x="81"/>
        <n x="1"/>
        <n x="32"/>
        <n x="1337" s="1"/>
      </t>
    </mdx>
    <mdx n="33" f="v">
      <t c="4">
        <n x="1186"/>
        <n x="0"/>
        <n x="7"/>
        <n x="1337" s="1"/>
      </t>
    </mdx>
    <mdx n="33" f="v">
      <t c="4">
        <n x="949"/>
        <n x="12"/>
        <n x="7"/>
        <n x="1337" s="1"/>
      </t>
    </mdx>
    <mdx n="33" f="v">
      <t c="4">
        <n x="211"/>
        <n x="1"/>
        <n x="7"/>
        <n x="1337" s="1"/>
      </t>
    </mdx>
    <mdx n="33" f="v">
      <t c="3">
        <n x="953"/>
        <n x="1336"/>
        <n x="1337" s="1"/>
      </t>
    </mdx>
    <mdx n="33" f="v">
      <t c="4">
        <n x="96"/>
        <n x="11"/>
        <n x="32"/>
        <n x="1337" s="1"/>
      </t>
    </mdx>
    <mdx n="33" f="v">
      <t c="4">
        <n x="366"/>
        <n x="12"/>
        <n x="32"/>
        <n x="1337" s="1"/>
      </t>
    </mdx>
    <mdx n="33" f="v">
      <t c="4" si="10">
        <n x="596"/>
        <n x="14"/>
        <n x="32"/>
        <n x="1337" s="1"/>
      </t>
    </mdx>
    <mdx n="33" f="v">
      <t c="4">
        <n x="127"/>
        <n x="1"/>
        <n x="32"/>
        <n x="1337" s="1"/>
      </t>
    </mdx>
    <mdx n="33" f="v">
      <t c="4">
        <n x="439"/>
        <n x="1"/>
        <n x="7"/>
        <n x="1337" s="1"/>
      </t>
    </mdx>
    <mdx n="33" f="v">
      <t c="4" si="10">
        <n x="1077"/>
        <n x="14"/>
        <n x="32"/>
        <n x="1337" s="1"/>
      </t>
    </mdx>
    <mdx n="33" f="v">
      <t c="4">
        <n x="77"/>
        <n x="1"/>
        <n x="32"/>
        <n x="1337" s="1"/>
      </t>
    </mdx>
    <mdx n="33" f="v">
      <t c="4">
        <n x="121"/>
        <n x="0"/>
        <n x="7"/>
        <n x="1337" s="1"/>
      </t>
    </mdx>
    <mdx n="33" f="v">
      <t c="4">
        <n x="1325"/>
        <n x="0"/>
        <n x="7"/>
        <n x="1337" s="1"/>
      </t>
    </mdx>
    <mdx n="33" f="v">
      <t c="4">
        <n x="548"/>
        <n x="1"/>
        <n x="7"/>
        <n x="1337" s="1"/>
      </t>
    </mdx>
    <mdx n="33" f="v">
      <t c="4">
        <n x="389"/>
        <n x="14"/>
        <n x="32"/>
        <n x="1337" s="1"/>
      </t>
    </mdx>
    <mdx n="33" f="v">
      <t c="4">
        <n x="127"/>
        <n x="0"/>
        <n x="7"/>
        <n x="1337" s="1"/>
      </t>
    </mdx>
    <mdx n="33" f="v">
      <t c="3">
        <n x="1018"/>
        <n x="1336"/>
        <n x="1337" s="1"/>
      </t>
    </mdx>
    <mdx n="33" f="v">
      <t c="4">
        <n x="1257"/>
        <n x="12"/>
        <n x="32"/>
        <n x="1337" s="1"/>
      </t>
    </mdx>
    <mdx n="33" f="v">
      <t c="4">
        <n x="307"/>
        <n x="14"/>
        <n x="32"/>
        <n x="1337" s="1"/>
      </t>
    </mdx>
    <mdx n="33" f="v">
      <t c="4">
        <n x="1222"/>
        <n x="0"/>
        <n x="7"/>
        <n x="1337" s="1"/>
      </t>
    </mdx>
    <mdx n="33" f="v">
      <t c="4">
        <n x="607"/>
        <n x="11"/>
        <n x="7"/>
        <n x="1337" s="1"/>
      </t>
    </mdx>
    <mdx n="33" f="v">
      <t c="3">
        <n x="86"/>
        <n x="1336"/>
        <n x="1337" s="1"/>
      </t>
    </mdx>
    <mdx n="33" f="v">
      <t c="4">
        <n x="880"/>
        <n x="12"/>
        <n x="32"/>
        <n x="1337" s="1"/>
      </t>
    </mdx>
    <mdx n="33" f="v">
      <t c="4">
        <n x="927"/>
        <n x="12"/>
        <n x="32"/>
        <n x="1337" s="1"/>
      </t>
    </mdx>
    <mdx n="33" f="v">
      <t c="4">
        <n x="217"/>
        <n x="11"/>
        <n x="7"/>
        <n x="1337" s="1"/>
      </t>
    </mdx>
    <mdx n="33" f="v">
      <t c="4">
        <n x="984"/>
        <n x="11"/>
        <n x="7"/>
        <n x="1337" s="1"/>
      </t>
    </mdx>
    <mdx n="33" f="v">
      <t c="4">
        <n x="1040"/>
        <n x="11"/>
        <n x="32"/>
        <n x="1337" s="1"/>
      </t>
    </mdx>
    <mdx n="33" f="v">
      <t c="4">
        <n x="411"/>
        <n x="12"/>
        <n x="32"/>
        <n x="1337" s="1"/>
      </t>
    </mdx>
    <mdx n="33" f="v">
      <t c="4" si="10">
        <n x="1178"/>
        <n x="0"/>
        <n x="32"/>
        <n x="1337" s="1"/>
      </t>
    </mdx>
    <mdx n="33" f="v">
      <t c="4">
        <n x="84"/>
        <n x="11"/>
        <n x="7"/>
        <n x="1337" s="1"/>
      </t>
    </mdx>
    <mdx n="33" f="v">
      <t c="4">
        <n x="440"/>
        <n x="11"/>
        <n x="32"/>
        <n x="1337" s="1"/>
      </t>
    </mdx>
    <mdx n="33" f="v">
      <t c="4">
        <n x="265"/>
        <n x="12"/>
        <n x="32"/>
        <n x="1337" s="1"/>
      </t>
    </mdx>
    <mdx n="33" f="v">
      <t c="4" si="10">
        <n x="936"/>
        <n x="14"/>
        <n x="32"/>
        <n x="1337" s="1"/>
      </t>
    </mdx>
    <mdx n="33" f="v">
      <t c="4" si="10">
        <n x="997"/>
        <n x="14"/>
        <n x="32"/>
        <n x="1337" s="1"/>
      </t>
    </mdx>
    <mdx n="33" f="v">
      <t c="4">
        <n x="106"/>
        <n x="0"/>
        <n x="7"/>
        <n x="1337" s="1"/>
      </t>
    </mdx>
    <mdx n="33" f="v">
      <t c="4">
        <n x="170"/>
        <n x="11"/>
        <n x="7"/>
        <n x="1337" s="1"/>
      </t>
    </mdx>
    <mdx n="33" f="v">
      <t c="4">
        <n x="144"/>
        <n x="14"/>
        <n x="32"/>
        <n x="1337" s="1"/>
      </t>
    </mdx>
    <mdx n="33" f="v">
      <t c="4">
        <n x="321"/>
        <n x="14"/>
        <n x="32"/>
        <n x="1337" s="1"/>
      </t>
    </mdx>
    <mdx n="33" f="v">
      <t c="4">
        <n x="567"/>
        <n x="11"/>
        <n x="32"/>
        <n x="1337" s="1"/>
      </t>
    </mdx>
    <mdx n="33" f="v">
      <t c="4">
        <n x="300"/>
        <n x="14"/>
        <n x="32"/>
        <n x="1337" s="1"/>
      </t>
    </mdx>
    <mdx n="33" f="v">
      <t c="4" si="9">
        <n x="1134"/>
        <n x="0"/>
        <n x="7"/>
        <n x="1337" s="1"/>
      </t>
    </mdx>
    <mdx n="33" f="v">
      <t c="4" si="10">
        <n x="483"/>
        <n x="11"/>
        <n x="32"/>
        <n x="1337" s="1"/>
      </t>
    </mdx>
    <mdx n="33" f="v">
      <t c="4" si="10">
        <n x="589"/>
        <n x="12"/>
        <n x="32"/>
        <n x="1337" s="1"/>
      </t>
    </mdx>
    <mdx n="33" f="v">
      <t c="4">
        <n x="522"/>
        <n x="1"/>
        <n x="7"/>
        <n x="1337" s="1"/>
      </t>
    </mdx>
    <mdx n="33" f="v">
      <t c="4">
        <n x="1299"/>
        <n x="12"/>
        <n x="32"/>
        <n x="1337" s="1"/>
      </t>
    </mdx>
    <mdx n="33" f="v">
      <t c="4">
        <n x="208"/>
        <n x="12"/>
        <n x="32"/>
        <n x="1337" s="1"/>
      </t>
    </mdx>
    <mdx n="33" f="v">
      <t c="4" si="10">
        <n x="1210"/>
        <n x="0"/>
        <n x="32"/>
        <n x="1337" s="1"/>
      </t>
    </mdx>
    <mdx n="33" f="v">
      <t c="4">
        <n x="152"/>
        <n x="11"/>
        <n x="7"/>
        <n x="1337" s="1"/>
      </t>
    </mdx>
    <mdx n="33" f="v">
      <t c="4" si="10">
        <n x="1079"/>
        <n x="11"/>
        <n x="32"/>
        <n x="1337" s="1"/>
      </t>
    </mdx>
    <mdx n="33" f="v">
      <t c="4" si="10">
        <n x="587"/>
        <n x="12"/>
        <n x="32"/>
        <n x="1337" s="1"/>
      </t>
    </mdx>
    <mdx n="33" f="v">
      <t c="4" si="10">
        <n x="540"/>
        <n x="14"/>
        <n x="32"/>
        <n x="1337" s="1"/>
      </t>
    </mdx>
    <mdx n="33" f="v">
      <t c="4">
        <n x="519"/>
        <n x="11"/>
        <n x="7"/>
        <n x="1337" s="1"/>
      </t>
    </mdx>
    <mdx n="33" f="v">
      <t c="4">
        <n x="965"/>
        <n x="14"/>
        <n x="32"/>
        <n x="1337" s="1"/>
      </t>
    </mdx>
    <mdx n="33" f="v">
      <t c="4">
        <n x="945"/>
        <n x="0"/>
        <n x="7"/>
        <n x="1337" s="1"/>
      </t>
    </mdx>
    <mdx n="33" f="v">
      <t c="4">
        <n x="51"/>
        <n x="0"/>
        <n x="7"/>
        <n x="1337" s="1"/>
      </t>
    </mdx>
    <mdx n="33" f="v">
      <t c="4">
        <n x="1229"/>
        <n x="12"/>
        <n x="32"/>
        <n x="1337" s="1"/>
      </t>
    </mdx>
    <mdx n="33" f="v">
      <t c="4">
        <n x="105"/>
        <n x="1"/>
        <n x="32"/>
        <n x="1337" s="1"/>
      </t>
    </mdx>
    <mdx n="33" f="v">
      <t c="4">
        <n x="175"/>
        <n x="14"/>
        <n x="32"/>
        <n x="1337" s="1"/>
      </t>
    </mdx>
    <mdx n="33" f="v">
      <t c="4" si="9">
        <n x="576"/>
        <n x="1"/>
        <n x="7"/>
        <n x="1337" s="1"/>
      </t>
    </mdx>
    <mdx n="33" f="v">
      <t c="4">
        <n x="104"/>
        <n x="12"/>
        <n x="32"/>
        <n x="1337" s="1"/>
      </t>
    </mdx>
    <mdx n="33" f="v">
      <t c="3">
        <n x="1334"/>
        <n x="1336"/>
        <n x="1337" s="1"/>
      </t>
    </mdx>
    <mdx n="33" f="v">
      <t c="4">
        <n x="85"/>
        <n x="0"/>
        <n x="7"/>
        <n x="1337" s="1"/>
      </t>
    </mdx>
    <mdx n="33" f="v">
      <t c="4">
        <n x="962"/>
        <n x="11"/>
        <n x="32"/>
        <n x="1337" s="1"/>
      </t>
    </mdx>
    <mdx n="33" f="v">
      <t c="4">
        <n x="392"/>
        <n x="1"/>
        <n x="7"/>
        <n x="1337" s="1"/>
      </t>
    </mdx>
    <mdx n="33" f="v">
      <t c="4">
        <n x="334"/>
        <n x="12"/>
        <n x="32"/>
        <n x="1337" s="1"/>
      </t>
    </mdx>
    <mdx n="33" f="v">
      <t c="4">
        <n x="306"/>
        <n x="14"/>
        <n x="32"/>
        <n x="1337" s="1"/>
      </t>
    </mdx>
    <mdx n="33" f="v">
      <t c="4">
        <n x="431"/>
        <n x="11"/>
        <n x="32"/>
        <n x="1337" s="1"/>
      </t>
    </mdx>
    <mdx n="33" f="v">
      <t c="4">
        <n x="287"/>
        <n x="1"/>
        <n x="32"/>
        <n x="1337" s="1"/>
      </t>
    </mdx>
    <mdx n="33" f="v">
      <t c="4">
        <n x="762"/>
        <n x="1"/>
        <n x="7"/>
        <n x="1337" s="1"/>
      </t>
    </mdx>
    <mdx n="33" f="v">
      <t c="4">
        <n x="717"/>
        <n x="14"/>
        <n x="7"/>
        <n x="1337" s="1"/>
      </t>
    </mdx>
    <mdx n="33" f="v">
      <t c="4">
        <n x="804"/>
        <n x="0"/>
        <n x="7"/>
        <n x="1337" s="1"/>
      </t>
    </mdx>
    <mdx n="33" f="v">
      <t c="4">
        <n x="1100"/>
        <n x="14"/>
        <n x="7"/>
        <n x="1337" s="1"/>
      </t>
    </mdx>
    <mdx n="33" f="v">
      <t c="3">
        <n x="1040"/>
        <n x="1336"/>
        <n x="1337" s="1"/>
      </t>
    </mdx>
    <mdx n="33" f="v">
      <t c="4">
        <n x="1207"/>
        <n x="12"/>
        <n x="7"/>
        <n x="1337" s="1"/>
      </t>
    </mdx>
    <mdx n="33" f="v">
      <t c="4">
        <n x="305"/>
        <n x="11"/>
        <n x="32"/>
        <n x="1337" s="1"/>
      </t>
    </mdx>
    <mdx n="33" f="v">
      <t c="4">
        <n x="1015"/>
        <n x="14"/>
        <n x="7"/>
        <n x="1337" s="1"/>
      </t>
    </mdx>
    <mdx n="33" f="v">
      <t c="4">
        <n x="860"/>
        <n x="11"/>
        <n x="32"/>
        <n x="1337" s="1"/>
      </t>
    </mdx>
    <mdx n="33" f="v">
      <t c="4">
        <n x="1024"/>
        <n x="14"/>
        <n x="7"/>
        <n x="1337" s="1"/>
      </t>
    </mdx>
    <mdx n="33" f="v">
      <t c="4">
        <n x="1004"/>
        <n x="14"/>
        <n x="7"/>
        <n x="1337" s="1"/>
      </t>
    </mdx>
    <mdx n="33" f="v">
      <t c="4">
        <n x="1059"/>
        <n x="0"/>
        <n x="7"/>
        <n x="1337" s="1"/>
      </t>
    </mdx>
    <mdx n="33" f="v">
      <t c="4">
        <n x="707"/>
        <n x="14"/>
        <n x="7"/>
        <n x="1337" s="1"/>
      </t>
    </mdx>
    <mdx n="33" f="v">
      <t c="4">
        <n x="1222"/>
        <n x="12"/>
        <n x="32"/>
        <n x="1337" s="1"/>
      </t>
    </mdx>
    <mdx n="33" f="v">
      <t c="4">
        <n x="195"/>
        <n x="14"/>
        <n x="32"/>
        <n x="1337" s="1"/>
      </t>
    </mdx>
    <mdx n="33" f="v">
      <t c="4" si="10">
        <n x="487"/>
        <n x="14"/>
        <n x="32"/>
        <n x="1337" s="1"/>
      </t>
    </mdx>
    <mdx n="33" f="v">
      <t c="4">
        <n x="149"/>
        <n x="1"/>
        <n x="32"/>
        <n x="1337" s="1"/>
      </t>
    </mdx>
    <mdx n="33" f="v">
      <t c="4" si="10">
        <n x="502"/>
        <n x="14"/>
        <n x="32"/>
        <n x="1337" s="1"/>
      </t>
    </mdx>
    <mdx n="33" f="v">
      <t c="3">
        <n x="120"/>
        <n x="1336"/>
        <n x="1337" s="1"/>
      </t>
    </mdx>
    <mdx n="33" f="v">
      <t c="4">
        <n x="925"/>
        <n x="11"/>
        <n x="32"/>
        <n x="1337" s="1"/>
      </t>
    </mdx>
    <mdx n="33" f="v">
      <t c="4">
        <n x="354"/>
        <n x="14"/>
        <n x="7"/>
        <n x="1337" s="1"/>
      </t>
    </mdx>
    <mdx n="33" f="v">
      <t c="4">
        <n x="1312"/>
        <n x="0"/>
        <n x="32"/>
        <n x="1337" s="1"/>
      </t>
    </mdx>
    <mdx n="33" f="v">
      <t c="4">
        <n x="433"/>
        <n x="11"/>
        <n x="32"/>
        <n x="1337" s="1"/>
      </t>
    </mdx>
    <mdx n="33" f="v">
      <t c="4">
        <n x="180"/>
        <n x="12"/>
        <n x="32"/>
        <n x="1337" s="1"/>
      </t>
    </mdx>
    <mdx n="33" f="v">
      <t c="4">
        <n x="60"/>
        <n x="14"/>
        <n x="7"/>
        <n x="1337" s="1"/>
      </t>
    </mdx>
    <mdx n="33" f="v">
      <t c="4">
        <n x="468"/>
        <n x="1"/>
        <n x="7"/>
        <n x="1337" s="1"/>
      </t>
    </mdx>
    <mdx n="33" f="v">
      <t c="4">
        <n x="1246"/>
        <n x="12"/>
        <n x="32"/>
        <n x="1337" s="1"/>
      </t>
    </mdx>
    <mdx n="33" f="v">
      <t c="4" si="10">
        <n x="976"/>
        <n x="14"/>
        <n x="32"/>
        <n x="1337" s="1"/>
      </t>
    </mdx>
    <mdx n="33" f="v">
      <t c="4" si="9">
        <n x="616"/>
        <n x="1"/>
        <n x="7"/>
        <n x="1337" s="1"/>
      </t>
    </mdx>
    <mdx n="33" f="v">
      <t c="4">
        <n x="140"/>
        <n x="1"/>
        <n x="32"/>
        <n x="1337" s="1"/>
      </t>
    </mdx>
    <mdx n="33" f="v">
      <t c="4">
        <n x="790"/>
        <n x="1"/>
        <n x="32"/>
        <n x="1337" s="1"/>
      </t>
    </mdx>
    <mdx n="33" f="v">
      <t c="4">
        <n x="1325"/>
        <n x="12"/>
        <n x="32"/>
        <n x="1337" s="1"/>
      </t>
    </mdx>
    <mdx n="33" f="v">
      <t c="4">
        <n x="1275"/>
        <n x="0"/>
        <n x="7"/>
        <n x="1337" s="1"/>
      </t>
    </mdx>
    <mdx n="33" f="v">
      <t c="3">
        <n x="1082"/>
        <n x="1336"/>
        <n x="1337" s="1"/>
      </t>
    </mdx>
    <mdx n="33" f="v">
      <t c="4" si="10">
        <n x="490"/>
        <n x="14"/>
        <n x="32"/>
        <n x="1337" s="1"/>
      </t>
    </mdx>
    <mdx n="33" f="v">
      <t c="4" si="10">
        <n x="882"/>
        <n x="12"/>
        <n x="32"/>
        <n x="1337" s="1"/>
      </t>
    </mdx>
    <mdx n="33" f="v">
      <t c="4">
        <n x="839"/>
        <n x="14"/>
        <n x="7"/>
        <n x="1337" s="1"/>
      </t>
    </mdx>
    <mdx n="33" f="v">
      <t c="4">
        <n x="565"/>
        <n x="11"/>
        <n x="7"/>
        <n x="1337" s="1"/>
      </t>
    </mdx>
    <mdx n="33" f="v">
      <t c="4">
        <n x="469"/>
        <n x="1"/>
        <n x="7"/>
        <n x="1337" s="1"/>
      </t>
    </mdx>
    <mdx n="33" f="v">
      <t c="4">
        <n x="985"/>
        <n x="1"/>
        <n x="32"/>
        <n x="1337" s="1"/>
      </t>
    </mdx>
    <mdx n="33" f="v">
      <t c="4">
        <n x="544"/>
        <n x="11"/>
        <n x="32"/>
        <n x="1337" s="1"/>
      </t>
    </mdx>
    <mdx n="33" f="v">
      <t c="3">
        <n x="295"/>
        <n x="1336"/>
        <n x="1337" s="1"/>
      </t>
    </mdx>
    <mdx n="33" f="v">
      <t c="4" si="10">
        <n x="1105"/>
        <n x="1"/>
        <n x="32"/>
        <n x="1337" s="1"/>
      </t>
    </mdx>
    <mdx n="33" f="v">
      <t c="4" si="9">
        <n x="492"/>
        <n x="14"/>
        <n x="7"/>
        <n x="1337" s="1"/>
      </t>
    </mdx>
    <mdx n="33" f="v">
      <t c="4">
        <n x="190"/>
        <n x="11"/>
        <n x="7"/>
        <n x="1337" s="1"/>
      </t>
    </mdx>
    <mdx n="33" f="v">
      <t c="4">
        <n x="1319"/>
        <n x="0"/>
        <n x="7"/>
        <n x="1337" s="1"/>
      </t>
    </mdx>
    <mdx n="33" f="v">
      <t c="4">
        <n x="600"/>
        <n x="14"/>
        <n x="7"/>
        <n x="1337" s="1"/>
      </t>
    </mdx>
    <mdx n="33" f="v">
      <t c="4">
        <n x="860"/>
        <n x="11"/>
        <n x="7"/>
        <n x="1337" s="1"/>
      </t>
    </mdx>
    <mdx n="33" f="v">
      <t c="4" si="9">
        <n x="988"/>
        <n x="14"/>
        <n x="7"/>
        <n x="1337" s="1"/>
      </t>
    </mdx>
    <mdx n="33" f="v">
      <t c="4" si="10">
        <n x="480"/>
        <n x="12"/>
        <n x="32"/>
        <n x="1337" s="1"/>
      </t>
    </mdx>
    <mdx n="33" f="v">
      <t c="4">
        <n x="1098"/>
        <n x="1"/>
        <n x="7"/>
        <n x="1337" s="1"/>
      </t>
    </mdx>
    <mdx n="33" f="v">
      <t c="4">
        <n x="203"/>
        <n x="12"/>
        <n x="32"/>
        <n x="1337" s="1"/>
      </t>
    </mdx>
    <mdx n="33" f="v">
      <t c="4" si="10">
        <n x="460"/>
        <n x="14"/>
        <n x="32"/>
        <n x="1337" s="1"/>
      </t>
    </mdx>
    <mdx n="33" f="v">
      <t c="4" si="9">
        <n x="484"/>
        <n x="1"/>
        <n x="7"/>
        <n x="1337" s="1"/>
      </t>
    </mdx>
    <mdx n="33" f="v">
      <t c="4">
        <n x="275"/>
        <n x="11"/>
        <n x="7"/>
        <n x="1337" s="1"/>
      </t>
    </mdx>
    <mdx n="33" f="v">
      <t c="3">
        <n x="64"/>
        <n x="1336"/>
        <n x="1337" s="1"/>
      </t>
    </mdx>
    <mdx n="33" f="v">
      <t c="4" si="10">
        <n x="665"/>
        <n x="11"/>
        <n x="32"/>
        <n x="1337" s="1"/>
      </t>
    </mdx>
    <mdx n="33" f="v">
      <t c="4">
        <n x="1115"/>
        <n x="1"/>
        <n x="7"/>
        <n x="1337" s="1"/>
      </t>
    </mdx>
    <mdx n="33" f="v">
      <t c="4">
        <n x="346"/>
        <n x="14"/>
        <n x="32"/>
        <n x="1337" s="1"/>
      </t>
    </mdx>
    <mdx n="33" f="v">
      <t c="4" si="9">
        <n x="495"/>
        <n x="11"/>
        <n x="7"/>
        <n x="1337" s="1"/>
      </t>
    </mdx>
    <mdx n="33" f="v">
      <t c="4">
        <n x="133"/>
        <n x="0"/>
        <n x="7"/>
        <n x="1337" s="1"/>
      </t>
    </mdx>
    <mdx n="33" f="v">
      <t c="4">
        <n x="1300"/>
        <n x="0"/>
        <n x="7"/>
        <n x="1337" s="1"/>
      </t>
    </mdx>
    <mdx n="33" f="v">
      <t c="4">
        <n x="1167"/>
        <n x="0"/>
        <n x="7"/>
        <n x="1337" s="1"/>
      </t>
    </mdx>
    <mdx n="33" f="v">
      <t c="4" si="10">
        <n x="865"/>
        <n x="1"/>
        <n x="32"/>
        <n x="1337" s="1"/>
      </t>
    </mdx>
    <mdx n="33" f="v">
      <t c="4">
        <n x="305"/>
        <n x="1"/>
        <n x="7"/>
        <n x="1337" s="1"/>
      </t>
    </mdx>
    <mdx n="33" f="v">
      <t c="4">
        <n x="1118"/>
        <n x="12"/>
        <n x="32"/>
        <n x="1337" s="1"/>
      </t>
    </mdx>
    <mdx n="33" f="v">
      <t c="4">
        <n x="435"/>
        <n x="14"/>
        <n x="32"/>
        <n x="1337" s="1"/>
      </t>
    </mdx>
    <mdx n="33" f="v">
      <t c="4">
        <n x="1101"/>
        <n x="12"/>
        <n x="32"/>
        <n x="1337" s="1"/>
      </t>
    </mdx>
    <mdx n="33" f="v">
      <t c="4">
        <n x="1236"/>
        <n x="0"/>
        <n x="7"/>
        <n x="1337" s="1"/>
      </t>
    </mdx>
    <mdx n="33" f="v">
      <t c="4">
        <n x="919"/>
        <n x="14"/>
        <n x="7"/>
        <n x="1337" s="1"/>
      </t>
    </mdx>
    <mdx n="33" f="v">
      <t c="4">
        <n x="295"/>
        <n x="11"/>
        <n x="7"/>
        <n x="1337" s="1"/>
      </t>
    </mdx>
    <mdx n="33" f="v">
      <t c="4">
        <n x="1322"/>
        <n x="12"/>
        <n x="7"/>
        <n x="1337" s="1"/>
      </t>
    </mdx>
    <mdx n="33" f="v">
      <t c="4" si="10">
        <n x="954"/>
        <n x="0"/>
        <n x="32"/>
        <n x="1337" s="1"/>
      </t>
    </mdx>
    <mdx n="33" f="v">
      <t c="4">
        <n x="66"/>
        <n x="12"/>
        <n x="32"/>
        <n x="1337" s="1"/>
      </t>
    </mdx>
    <mdx n="33" f="v">
      <t c="4">
        <n x="1047"/>
        <n x="1"/>
        <n x="32"/>
        <n x="1337" s="1"/>
      </t>
    </mdx>
    <mdx n="33" f="v">
      <t c="4">
        <n x="1077"/>
        <n x="11"/>
        <n x="7"/>
        <n x="1337" s="1"/>
      </t>
    </mdx>
    <mdx n="33" f="v">
      <t c="4">
        <n x="995"/>
        <n x="1"/>
        <n x="7"/>
        <n x="1337" s="1"/>
      </t>
    </mdx>
    <mdx n="33" f="v">
      <t c="4">
        <n x="307"/>
        <n x="11"/>
        <n x="7"/>
        <n x="1337" s="1"/>
      </t>
    </mdx>
    <mdx n="33" f="v">
      <t c="4">
        <n x="388"/>
        <n x="11"/>
        <n x="32"/>
        <n x="1337" s="1"/>
      </t>
    </mdx>
    <mdx n="33" f="v">
      <t c="4">
        <n x="1088"/>
        <n x="0"/>
        <n x="7"/>
        <n x="1337" s="1"/>
      </t>
    </mdx>
    <mdx n="33" f="v">
      <t c="4">
        <n x="1224"/>
        <n x="0"/>
        <n x="7"/>
        <n x="1337" s="1"/>
      </t>
    </mdx>
    <mdx n="33" f="v">
      <t c="4">
        <n x="1033"/>
        <n x="12"/>
        <n x="32"/>
        <n x="1337" s="1"/>
      </t>
    </mdx>
    <mdx n="33" f="v">
      <t c="4" si="10">
        <n x="1212"/>
        <n x="0"/>
        <n x="32"/>
        <n x="1337" s="1"/>
      </t>
    </mdx>
    <mdx n="33" f="v">
      <t c="4" si="10">
        <n x="856"/>
        <n x="11"/>
        <n x="32"/>
        <n x="1337" s="1"/>
      </t>
    </mdx>
    <mdx n="33" f="v">
      <t c="4" si="10">
        <n x="477"/>
        <n x="12"/>
        <n x="32"/>
        <n x="1337" s="1"/>
      </t>
    </mdx>
    <mdx n="33" f="v">
      <t c="4">
        <n x="1263"/>
        <n x="12"/>
        <n x="32"/>
        <n x="1337" s="1"/>
      </t>
    </mdx>
    <mdx n="33" f="v">
      <t c="4" si="10">
        <n x="976"/>
        <n x="0"/>
        <n x="32"/>
        <n x="1337" s="1"/>
      </t>
    </mdx>
    <mdx n="33" f="v">
      <t c="4">
        <n x="1062"/>
        <n x="1"/>
        <n x="7"/>
        <n x="1337" s="1"/>
      </t>
    </mdx>
    <mdx n="33" f="v">
      <t c="4">
        <n x="1002"/>
        <n x="12"/>
        <n x="32"/>
        <n x="1337" s="1"/>
      </t>
    </mdx>
    <mdx n="33" f="v">
      <t c="4">
        <n x="775"/>
        <n x="1"/>
        <n x="32"/>
        <n x="1337" s="1"/>
      </t>
    </mdx>
    <mdx n="33" f="v">
      <t c="4">
        <n x="412"/>
        <n x="14"/>
        <n x="32"/>
        <n x="1337" s="1"/>
      </t>
    </mdx>
    <mdx n="33" f="v">
      <t c="4" si="10">
        <n x="767"/>
        <n x="14"/>
        <n x="32"/>
        <n x="1337" s="1"/>
      </t>
    </mdx>
    <mdx n="33" f="v">
      <t c="4">
        <n x="319"/>
        <n x="14"/>
        <n x="32"/>
        <n x="1337" s="1"/>
      </t>
    </mdx>
    <mdx n="33" f="v">
      <t c="4">
        <n x="1273"/>
        <n x="0"/>
        <n x="7"/>
        <n x="1337" s="1"/>
      </t>
    </mdx>
    <mdx n="33" f="v">
      <t c="4" si="10">
        <n x="954"/>
        <n x="1"/>
        <n x="32"/>
        <n x="1337" s="1"/>
      </t>
    </mdx>
    <mdx n="33" f="v">
      <t c="4">
        <n x="138"/>
        <n x="12"/>
        <n x="32"/>
        <n x="1337" s="1"/>
      </t>
    </mdx>
    <mdx n="33" f="v">
      <t c="4" si="10">
        <n x="999"/>
        <n x="0"/>
        <n x="32"/>
        <n x="1337" s="1"/>
      </t>
    </mdx>
    <mdx n="33" f="v">
      <t c="4">
        <n x="417"/>
        <n x="11"/>
        <n x="32"/>
        <n x="1337" s="1"/>
      </t>
    </mdx>
    <mdx n="33" f="v">
      <t c="4">
        <n x="248"/>
        <n x="11"/>
        <n x="7"/>
        <n x="1337" s="1"/>
      </t>
    </mdx>
    <mdx n="33" f="v">
      <t c="4">
        <n x="201"/>
        <n x="11"/>
        <n x="32"/>
        <n x="1337" s="1"/>
      </t>
    </mdx>
    <mdx n="33" f="v">
      <t c="4">
        <n x="1116"/>
        <n x="14"/>
        <n x="7"/>
        <n x="1337" s="1"/>
      </t>
    </mdx>
    <mdx n="33" f="v">
      <t c="4">
        <n x="1333"/>
        <n x="12"/>
        <n x="32"/>
        <n x="1337" s="1"/>
      </t>
    </mdx>
    <mdx n="33" f="v">
      <t c="4" si="10">
        <n x="1165"/>
        <n x="12"/>
        <n x="32"/>
        <n x="1337" s="1"/>
      </t>
    </mdx>
    <mdx n="33" f="v">
      <t c="4">
        <n x="1145"/>
        <n x="0"/>
        <n x="7"/>
        <n x="1337" s="1"/>
      </t>
    </mdx>
    <mdx n="33" f="v">
      <t c="4">
        <n x="1008"/>
        <n x="14"/>
        <n x="7"/>
        <n x="1337" s="1"/>
      </t>
    </mdx>
    <mdx n="33" f="v">
      <t c="4" si="10">
        <n x="1311"/>
        <n x="12"/>
        <n x="32"/>
        <n x="1337" s="1"/>
      </t>
    </mdx>
    <mdx n="33" f="v">
      <t c="4">
        <n x="199"/>
        <n x="1"/>
        <n x="7"/>
        <n x="1337" s="1"/>
      </t>
    </mdx>
    <mdx n="33" f="v">
      <t c="4">
        <n x="1196"/>
        <n x="0"/>
        <n x="32"/>
        <n x="1337" s="1"/>
      </t>
    </mdx>
    <mdx n="33" f="v">
      <t c="4">
        <n x="100"/>
        <n x="0"/>
        <n x="7"/>
        <n x="1337" s="1"/>
      </t>
    </mdx>
    <mdx n="33" f="v">
      <t c="4">
        <n x="151"/>
        <n x="11"/>
        <n x="32"/>
        <n x="1337" s="1"/>
      </t>
    </mdx>
    <mdx n="33" f="v">
      <t c="4">
        <n x="543"/>
        <n x="11"/>
        <n x="7"/>
        <n x="1337" s="1"/>
      </t>
    </mdx>
    <mdx n="33" f="v">
      <t c="4">
        <n x="1039"/>
        <n x="11"/>
        <n x="7"/>
        <n x="1337" s="1"/>
      </t>
    </mdx>
    <mdx n="33" f="v">
      <t c="4">
        <n x="1308"/>
        <n x="0"/>
        <n x="7"/>
        <n x="1337" s="1"/>
      </t>
    </mdx>
    <mdx n="33" f="v">
      <t c="3">
        <n x="94"/>
        <n x="1336"/>
        <n x="1337" s="1"/>
      </t>
    </mdx>
    <mdx n="33" f="v">
      <t c="4">
        <n x="96"/>
        <n x="12"/>
        <n x="32"/>
        <n x="1337" s="1"/>
      </t>
    </mdx>
    <mdx n="33" f="v">
      <t c="4">
        <n x="612"/>
        <n x="11"/>
        <n x="7"/>
        <n x="1337" s="1"/>
      </t>
    </mdx>
    <mdx n="33" f="v">
      <t c="4" si="10">
        <n x="851"/>
        <n x="14"/>
        <n x="32"/>
        <n x="1337" s="1"/>
      </t>
    </mdx>
    <mdx n="33" f="v">
      <t c="4">
        <n x="875"/>
        <n x="12"/>
        <n x="7"/>
        <n x="1337" s="1"/>
      </t>
    </mdx>
    <mdx n="33" f="v">
      <t c="4">
        <n x="297"/>
        <n x="1"/>
        <n x="32"/>
        <n x="1337" s="1"/>
      </t>
    </mdx>
    <mdx n="33" f="v">
      <t c="4">
        <n x="51"/>
        <n x="1"/>
        <n x="32"/>
        <n x="1337" s="1"/>
      </t>
    </mdx>
    <mdx n="33" f="v">
      <t c="4">
        <n x="1284"/>
        <n x="0"/>
        <n x="32"/>
        <n x="1337" s="1"/>
      </t>
    </mdx>
    <mdx n="33" f="v">
      <t c="4">
        <n x="93"/>
        <n x="0"/>
        <n x="7"/>
        <n x="1337" s="1"/>
      </t>
    </mdx>
    <mdx n="33" f="v">
      <t c="4">
        <n x="904"/>
        <n x="11"/>
        <n x="32"/>
        <n x="1337" s="1"/>
      </t>
    </mdx>
    <mdx n="33" f="v">
      <t c="4" si="10">
        <n x="1315"/>
        <n x="12"/>
        <n x="32"/>
        <n x="1337" s="1"/>
      </t>
    </mdx>
    <mdx n="33" f="v">
      <t c="4">
        <n x="504"/>
        <n x="11"/>
        <n x="32"/>
        <n x="1337" s="1"/>
      </t>
    </mdx>
    <mdx n="33" f="v">
      <t c="4">
        <n x="288"/>
        <n x="0"/>
        <n x="7"/>
        <n x="1337" s="1"/>
      </t>
    </mdx>
    <mdx n="33" f="v">
      <t c="4">
        <n x="391"/>
        <n x="11"/>
        <n x="7"/>
        <n x="1337" s="1"/>
      </t>
    </mdx>
    <mdx n="33" f="v">
      <t c="4">
        <n x="311"/>
        <n x="14"/>
        <n x="32"/>
        <n x="1337" s="1"/>
      </t>
    </mdx>
    <mdx n="33" f="v">
      <t c="4" si="10">
        <n x="723"/>
        <n x="14"/>
        <n x="32"/>
        <n x="1337" s="1"/>
      </t>
    </mdx>
    <mdx n="33" f="v">
      <t c="4">
        <n x="832"/>
        <n x="0"/>
        <n x="7"/>
        <n x="1337" s="1"/>
      </t>
    </mdx>
    <mdx n="33" f="v">
      <t c="4">
        <n x="463"/>
        <n x="11"/>
        <n x="7"/>
        <n x="1337" s="1"/>
      </t>
    </mdx>
    <mdx n="33" f="v">
      <t c="4">
        <n x="303"/>
        <n x="12"/>
        <n x="32"/>
        <n x="1337" s="1"/>
      </t>
    </mdx>
    <mdx n="33" f="v">
      <t c="4">
        <n x="554"/>
        <n x="11"/>
        <n x="7"/>
        <n x="1337" s="1"/>
      </t>
    </mdx>
    <mdx n="33" f="v">
      <t c="4">
        <n x="920"/>
        <n x="11"/>
        <n x="32"/>
        <n x="1337" s="1"/>
      </t>
    </mdx>
    <mdx n="33" f="v">
      <t c="4">
        <n x="250"/>
        <n x="12"/>
        <n x="32"/>
        <n x="1337" s="1"/>
      </t>
    </mdx>
    <mdx n="33" f="v">
      <t c="4">
        <n x="140"/>
        <n x="11"/>
        <n x="32"/>
        <n x="1337" s="1"/>
      </t>
    </mdx>
    <mdx n="33" f="v">
      <t c="3">
        <n x="790"/>
        <n x="1336"/>
        <n x="1337" s="1"/>
      </t>
    </mdx>
    <mdx n="33" f="v">
      <t c="4">
        <n x="467"/>
        <n x="11"/>
        <n x="32"/>
        <n x="1337" s="1"/>
      </t>
    </mdx>
    <mdx n="33" f="v">
      <t c="4">
        <n x="314"/>
        <n x="1"/>
        <n x="7"/>
        <n x="1337" s="1"/>
      </t>
    </mdx>
    <mdx n="33" f="v">
      <t c="4">
        <n x="400"/>
        <n x="12"/>
        <n x="32"/>
        <n x="1337" s="1"/>
      </t>
    </mdx>
    <mdx n="33" f="v">
      <t c="4">
        <n x="1107"/>
        <n x="0"/>
        <n x="7"/>
        <n x="1337" s="1"/>
      </t>
    </mdx>
    <mdx n="33" f="v">
      <t c="4">
        <n x="321"/>
        <n x="12"/>
        <n x="32"/>
        <n x="1337" s="1"/>
      </t>
    </mdx>
    <mdx n="33" f="v">
      <t c="4" si="9">
        <n x="493"/>
        <n x="11"/>
        <n x="7"/>
        <n x="1337" s="1"/>
      </t>
    </mdx>
    <mdx n="33" f="v">
      <t c="4">
        <n x="99"/>
        <n x="14"/>
        <n x="32"/>
        <n x="1337" s="1"/>
      </t>
    </mdx>
    <mdx n="33" f="v">
      <t c="4">
        <n x="162"/>
        <n x="1"/>
        <n x="7"/>
        <n x="1337" s="1"/>
      </t>
    </mdx>
    <mdx n="33" f="v">
      <t c="4">
        <n x="369"/>
        <n x="1"/>
        <n x="7"/>
        <n x="1337" s="1"/>
      </t>
    </mdx>
    <mdx n="33" f="v">
      <t c="4">
        <n x="374"/>
        <n x="12"/>
        <n x="32"/>
        <n x="1337" s="1"/>
      </t>
    </mdx>
    <mdx n="33" f="v">
      <t c="4">
        <n x="162"/>
        <n x="11"/>
        <n x="7"/>
        <n x="1337" s="1"/>
      </t>
    </mdx>
    <mdx n="33" f="v">
      <t c="4" si="10">
        <n x="579"/>
        <n x="0"/>
        <n x="32"/>
        <n x="1337" s="1"/>
      </t>
    </mdx>
    <mdx n="33" f="v">
      <t c="4">
        <n x="176"/>
        <n x="14"/>
        <n x="32"/>
        <n x="1337" s="1"/>
      </t>
    </mdx>
    <mdx n="33" f="v">
      <t c="3">
        <n x="932"/>
        <n x="1336"/>
        <n x="1337" s="1"/>
      </t>
    </mdx>
    <mdx n="33" f="v">
      <t c="4" si="9">
        <n x="1060"/>
        <n x="14"/>
        <n x="7"/>
        <n x="1337" s="1"/>
      </t>
    </mdx>
    <mdx n="33" f="v">
      <t c="4">
        <n x="294"/>
        <n x="11"/>
        <n x="32"/>
        <n x="1337" s="1"/>
      </t>
    </mdx>
    <mdx n="33" f="v">
      <t c="4">
        <n x="106"/>
        <n x="11"/>
        <n x="32"/>
        <n x="1337" s="1"/>
      </t>
    </mdx>
    <mdx n="33" f="v">
      <t c="4">
        <n x="1058"/>
        <n x="11"/>
        <n x="7"/>
        <n x="1337" s="1"/>
      </t>
    </mdx>
    <mdx n="33" f="v">
      <t c="4">
        <n x="1001"/>
        <n x="1"/>
        <n x="7"/>
        <n x="1337" s="1"/>
      </t>
    </mdx>
    <mdx n="33" f="v">
      <t c="4">
        <n x="1287"/>
        <n x="0"/>
        <n x="7"/>
        <n x="1337" s="1"/>
      </t>
    </mdx>
    <mdx n="33" f="v">
      <t c="3">
        <n x="900"/>
        <n x="1336"/>
        <n x="1337" s="1"/>
      </t>
    </mdx>
    <mdx n="33" f="v">
      <t c="4" si="10">
        <n x="974"/>
        <n x="1"/>
        <n x="32"/>
        <n x="1337" s="1"/>
      </t>
    </mdx>
    <mdx n="33" f="v">
      <t c="4" si="9">
        <n x="792"/>
        <n x="0"/>
        <n x="7"/>
        <n x="1337" s="1"/>
      </t>
    </mdx>
    <mdx n="33" f="v">
      <t c="4">
        <n x="992"/>
        <n x="1"/>
        <n x="7"/>
        <n x="1337" s="1"/>
      </t>
    </mdx>
    <mdx n="33" f="v">
      <t c="4" si="9">
        <n x="848"/>
        <n x="1"/>
        <n x="7"/>
        <n x="1337" s="1"/>
      </t>
    </mdx>
    <mdx n="33" f="v">
      <t c="4">
        <n x="355"/>
        <n x="14"/>
        <n x="7"/>
        <n x="1337" s="1"/>
      </t>
    </mdx>
    <mdx n="33" f="v">
      <t c="4">
        <n x="541"/>
        <n x="11"/>
        <n x="7"/>
        <n x="1337" s="1"/>
      </t>
    </mdx>
    <mdx n="33" f="v">
      <t c="4">
        <n x="614"/>
        <n x="14"/>
        <n x="32"/>
        <n x="1337" s="1"/>
      </t>
    </mdx>
    <mdx n="33" f="v">
      <t c="4">
        <n x="923"/>
        <n x="1"/>
        <n x="7"/>
        <n x="1337" s="1"/>
      </t>
    </mdx>
    <mdx n="33" f="v">
      <t c="4">
        <n x="1011"/>
        <n x="0"/>
        <n x="32"/>
        <n x="1337" s="1"/>
      </t>
    </mdx>
    <mdx n="33" f="v">
      <t c="4">
        <n x="406"/>
        <n x="1"/>
        <n x="7"/>
        <n x="1337" s="1"/>
      </t>
    </mdx>
    <mdx n="33" f="v">
      <t c="4">
        <n x="401"/>
        <n x="1"/>
        <n x="7"/>
        <n x="1337" s="1"/>
      </t>
    </mdx>
    <mdx n="33" f="v">
      <t c="4" si="10">
        <n x="458"/>
        <n x="12"/>
        <n x="32"/>
        <n x="1337" s="1"/>
      </t>
    </mdx>
    <mdx n="33" f="v">
      <t c="4">
        <n x="464"/>
        <n x="11"/>
        <n x="7"/>
        <n x="1337" s="1"/>
      </t>
    </mdx>
    <mdx n="33" f="v">
      <t c="4" si="10">
        <n x="487"/>
        <n x="12"/>
        <n x="32"/>
        <n x="1337" s="1"/>
      </t>
    </mdx>
    <mdx n="33" f="v">
      <t c="4">
        <n x="243"/>
        <n x="14"/>
        <n x="7"/>
        <n x="1337" s="1"/>
      </t>
    </mdx>
    <mdx n="33" f="v">
      <t c="3">
        <n x="772"/>
        <n x="1336"/>
        <n x="1337" s="1"/>
      </t>
    </mdx>
    <mdx n="33" f="v">
      <t c="4">
        <n x="313"/>
        <n x="14"/>
        <n x="7"/>
        <n x="1337" s="1"/>
      </t>
    </mdx>
    <mdx n="33" f="v">
      <t c="3">
        <n x="1335"/>
        <n x="1336"/>
        <n x="1337" s="1"/>
      </t>
    </mdx>
    <mdx n="33" f="v">
      <t c="4">
        <n x="1035"/>
        <n x="11"/>
        <n x="7"/>
        <n x="1337" s="1"/>
      </t>
    </mdx>
    <mdx n="33" f="v">
      <t c="4" si="9">
        <n x="958"/>
        <n x="14"/>
        <n x="7"/>
        <n x="1337" s="1"/>
      </t>
    </mdx>
    <mdx n="33" f="v">
      <t c="4">
        <n x="1060"/>
        <n x="11"/>
        <n x="7"/>
        <n x="1337" s="1"/>
      </t>
    </mdx>
    <mdx n="33" f="v">
      <t c="4">
        <n x="286"/>
        <n x="11"/>
        <n x="7"/>
        <n x="1337" s="1"/>
      </t>
    </mdx>
    <mdx n="33" f="v">
      <t c="4">
        <n x="1195"/>
        <n x="12"/>
        <n x="32"/>
        <n x="1337" s="1"/>
      </t>
    </mdx>
    <mdx n="33" f="v">
      <t c="4">
        <n x="891"/>
        <n x="12"/>
        <n x="7"/>
        <n x="1337" s="1"/>
      </t>
    </mdx>
    <mdx n="33" f="v">
      <t c="4">
        <n x="394"/>
        <n x="11"/>
        <n x="7"/>
        <n x="1337" s="1"/>
      </t>
    </mdx>
    <mdx n="33" f="v">
      <t c="4">
        <n x="1115"/>
        <n x="11"/>
        <n x="32"/>
        <n x="1337" s="1"/>
      </t>
    </mdx>
    <mdx n="33" f="v">
      <t c="4">
        <n x="402"/>
        <n x="12"/>
        <n x="32"/>
        <n x="1337" s="1"/>
      </t>
    </mdx>
    <mdx n="33" f="v">
      <t c="4">
        <n x="318"/>
        <n x="14"/>
        <n x="32"/>
        <n x="1337" s="1"/>
      </t>
    </mdx>
    <mdx n="33" f="v">
      <t c="4" si="10">
        <n x="1137"/>
        <n x="12"/>
        <n x="32"/>
        <n x="1337" s="1"/>
      </t>
    </mdx>
    <mdx n="33" f="v">
      <t c="4">
        <n x="1280"/>
        <n x="0"/>
        <n x="7"/>
        <n x="1337" s="1"/>
      </t>
    </mdx>
    <mdx n="33" f="v">
      <t c="4">
        <n x="914"/>
        <n x="12"/>
        <n x="32"/>
        <n x="1337" s="1"/>
      </t>
    </mdx>
    <mdx n="33" f="v">
      <t c="4" si="10">
        <n x="577"/>
        <n x="14"/>
        <n x="32"/>
        <n x="1337" s="1"/>
      </t>
    </mdx>
    <mdx n="33" f="v">
      <t c="4">
        <n x="588"/>
        <n x="1"/>
        <n x="7"/>
        <n x="1337" s="1"/>
      </t>
    </mdx>
    <mdx n="33" f="v">
      <t c="4">
        <n x="592"/>
        <n x="1"/>
        <n x="7"/>
        <n x="1337" s="1"/>
      </t>
    </mdx>
    <mdx n="33" f="v">
      <t c="4">
        <n x="124"/>
        <n x="1"/>
        <n x="32"/>
        <n x="1337" s="1"/>
      </t>
    </mdx>
    <mdx n="33" f="v">
      <t c="4">
        <n x="178"/>
        <n x="11"/>
        <n x="7"/>
        <n x="1337" s="1"/>
      </t>
    </mdx>
    <mdx n="33" f="v">
      <t c="3">
        <n x="984"/>
        <n x="1336"/>
        <n x="1337" s="1"/>
      </t>
    </mdx>
    <mdx n="33" f="v">
      <t c="4">
        <n x="586"/>
        <n x="11"/>
        <n x="32"/>
        <n x="1337" s="1"/>
      </t>
    </mdx>
    <mdx n="33" f="v">
      <t c="4">
        <n x="193"/>
        <n x="11"/>
        <n x="32"/>
        <n x="1337" s="1"/>
      </t>
    </mdx>
    <mdx n="33" f="v">
      <t c="4">
        <n x="983"/>
        <n x="11"/>
        <n x="7"/>
        <n x="1337" s="1"/>
      </t>
    </mdx>
    <mdx n="33" f="v">
      <t c="4" si="10">
        <n x="1003"/>
        <n x="14"/>
        <n x="32"/>
        <n x="1337" s="1"/>
      </t>
    </mdx>
    <mdx n="33" f="v">
      <t c="4">
        <n x="91"/>
        <n x="12"/>
        <n x="32"/>
        <n x="1337" s="1"/>
      </t>
    </mdx>
    <mdx n="33" f="v">
      <t c="4">
        <n x="430"/>
        <n x="11"/>
        <n x="7"/>
        <n x="1337" s="1"/>
      </t>
    </mdx>
    <mdx n="33" f="v">
      <t c="4">
        <n x="319"/>
        <n x="1"/>
        <n x="7"/>
        <n x="1337" s="1"/>
      </t>
    </mdx>
    <mdx n="33" f="v">
      <t c="3">
        <n x="51"/>
        <n x="1336"/>
        <n x="1337" s="1"/>
      </t>
    </mdx>
    <mdx n="33" f="v">
      <t c="4">
        <n x="80"/>
        <n x="11"/>
        <n x="7"/>
        <n x="1337" s="1"/>
      </t>
    </mdx>
    <mdx n="33" f="v">
      <t c="4">
        <n x="713"/>
        <n x="11"/>
        <n x="32"/>
        <n x="1337" s="1"/>
      </t>
    </mdx>
    <mdx n="33" f="v">
      <t c="4" si="9">
        <n x="521"/>
        <n x="14"/>
        <n x="7"/>
        <n x="1337" s="1"/>
      </t>
    </mdx>
    <mdx n="33" f="v">
      <t c="4">
        <n x="1039"/>
        <n x="1"/>
        <n x="7"/>
        <n x="1337" s="1"/>
      </t>
    </mdx>
    <mdx n="33" f="v">
      <t c="4">
        <n x="901"/>
        <n x="1"/>
        <n x="32"/>
        <n x="1337" s="1"/>
      </t>
    </mdx>
    <mdx n="33" f="v">
      <t c="4">
        <n x="1087"/>
        <n x="11"/>
        <n x="32"/>
        <n x="1337" s="1"/>
      </t>
    </mdx>
    <mdx n="33" f="v">
      <t c="4" si="10">
        <n x="294"/>
        <n x="14"/>
        <n x="32"/>
        <n x="1337" s="1"/>
      </t>
    </mdx>
    <mdx n="33" f="v">
      <t c="4" si="9">
        <n x="1252"/>
        <n x="0"/>
        <n x="7"/>
        <n x="1337" s="1"/>
      </t>
    </mdx>
    <mdx n="33" f="v">
      <t c="4" si="10">
        <n x="539"/>
        <n x="14"/>
        <n x="32"/>
        <n x="1337" s="1"/>
      </t>
    </mdx>
    <mdx n="33" f="v">
      <t c="4">
        <n x="608"/>
        <n x="1"/>
        <n x="7"/>
        <n x="1337" s="1"/>
      </t>
    </mdx>
    <mdx n="33" f="v">
      <t c="4">
        <n x="1254"/>
        <n x="0"/>
        <n x="7"/>
        <n x="1337" s="1"/>
      </t>
    </mdx>
    <mdx n="33" f="v">
      <t c="4">
        <n x="628"/>
        <n x="1"/>
        <n x="7"/>
        <n x="1337" s="1"/>
      </t>
    </mdx>
    <mdx n="33" f="v">
      <t c="4">
        <n x="152"/>
        <n x="14"/>
        <n x="7"/>
        <n x="1337" s="1"/>
      </t>
    </mdx>
    <mdx n="33" f="v">
      <t c="4">
        <n x="606"/>
        <n x="1"/>
        <n x="7"/>
        <n x="1337" s="1"/>
      </t>
    </mdx>
    <mdx n="33" f="v">
      <t c="4">
        <n x="927"/>
        <n x="11"/>
        <n x="32"/>
        <n x="1337" s="1"/>
      </t>
    </mdx>
    <mdx n="33" f="v">
      <t c="4">
        <n x="1015"/>
        <n x="11"/>
        <n x="32"/>
        <n x="1337" s="1"/>
      </t>
    </mdx>
    <mdx n="33" f="v">
      <t c="4">
        <n x="155"/>
        <n x="14"/>
        <n x="32"/>
        <n x="1337" s="1"/>
      </t>
    </mdx>
    <mdx n="33" f="v">
      <t c="4">
        <n x="1180"/>
        <n x="0"/>
        <n x="7"/>
        <n x="1337" s="1"/>
      </t>
    </mdx>
    <mdx n="33" f="v">
      <t c="4">
        <n x="442"/>
        <n x="14"/>
        <n x="32"/>
        <n x="1337" s="1"/>
      </t>
    </mdx>
    <mdx n="33" f="v">
      <t c="4">
        <n x="1261"/>
        <n x="0"/>
        <n x="7"/>
        <n x="1337" s="1"/>
      </t>
    </mdx>
    <mdx n="33" f="v">
      <t c="4">
        <n x="1273"/>
        <n x="12"/>
        <n x="32"/>
        <n x="1337" s="1"/>
      </t>
    </mdx>
    <mdx n="33" f="v">
      <t c="4" si="10">
        <n x="947"/>
        <n x="1"/>
        <n x="32"/>
        <n x="1337" s="1"/>
      </t>
    </mdx>
    <mdx n="33" f="v">
      <t c="4">
        <n x="86"/>
        <n x="0"/>
        <n x="7"/>
        <n x="1337" s="1"/>
      </t>
    </mdx>
    <mdx n="33" f="v">
      <t c="4">
        <n x="445"/>
        <n x="14"/>
        <n x="32"/>
        <n x="1337" s="1"/>
      </t>
    </mdx>
    <mdx n="33" f="v">
      <t c="4">
        <n x="579"/>
        <n x="12"/>
        <n x="32"/>
        <n x="1337" s="1"/>
      </t>
    </mdx>
    <mdx n="33" f="v">
      <t c="4">
        <n x="166"/>
        <n x="14"/>
        <n x="32"/>
        <n x="1337" s="1"/>
      </t>
    </mdx>
    <mdx n="33" f="v">
      <t c="4" si="10">
        <n x="973"/>
        <n x="12"/>
        <n x="32"/>
        <n x="1337" s="1"/>
      </t>
    </mdx>
    <mdx n="33" f="v">
      <t c="4">
        <n x="1204"/>
        <n x="0"/>
        <n x="7"/>
        <n x="1337" s="1"/>
      </t>
    </mdx>
    <mdx n="33" f="v">
      <t c="3">
        <n x="135"/>
        <n x="1336"/>
        <n x="1337" s="1"/>
      </t>
    </mdx>
    <mdx n="33" f="v">
      <t c="4">
        <n x="286"/>
        <n x="11"/>
        <n x="32"/>
        <n x="1337" s="1"/>
      </t>
    </mdx>
    <mdx n="33" f="v">
      <t c="4">
        <n x="424"/>
        <n x="12"/>
        <n x="32"/>
        <n x="1337" s="1"/>
      </t>
    </mdx>
    <mdx n="33" f="v">
      <t c="4">
        <n x="160"/>
        <n x="1"/>
        <n x="7"/>
        <n x="1337" s="1"/>
      </t>
    </mdx>
    <mdx n="33" f="v">
      <t c="3">
        <n x="776"/>
        <n x="1336"/>
        <n x="1337" s="1"/>
      </t>
    </mdx>
    <mdx n="33" f="v">
      <t c="4">
        <n x="160"/>
        <n x="12"/>
        <n x="32"/>
        <n x="1337" s="1"/>
      </t>
    </mdx>
    <mdx n="33" f="v">
      <t c="4">
        <n x="150"/>
        <n x="14"/>
        <n x="32"/>
        <n x="1337" s="1"/>
      </t>
    </mdx>
    <mdx n="33" f="v">
      <t c="4" si="10">
        <n x="355"/>
        <n x="14"/>
        <n x="32"/>
        <n x="1337" s="1"/>
      </t>
    </mdx>
    <mdx n="33" f="v">
      <t c="4">
        <n x="360"/>
        <n x="14"/>
        <n x="7"/>
        <n x="1337" s="1"/>
      </t>
    </mdx>
    <mdx n="33" f="v">
      <t c="4">
        <n x="334"/>
        <n x="14"/>
        <n x="7"/>
        <n x="1337" s="1"/>
      </t>
    </mdx>
    <mdx n="33" f="v">
      <t c="4">
        <n x="1055"/>
        <n x="0"/>
        <n x="32"/>
        <n x="1337" s="1"/>
      </t>
    </mdx>
    <mdx n="33" f="v">
      <t c="4" si="10">
        <n x="907"/>
        <n x="0"/>
        <n x="32"/>
        <n x="1337" s="1"/>
      </t>
    </mdx>
    <mdx n="33" f="v">
      <t c="4">
        <n x="887"/>
        <n x="11"/>
        <n x="7"/>
        <n x="1337" s="1"/>
      </t>
    </mdx>
    <mdx n="33" f="v">
      <t c="4">
        <n x="423"/>
        <n x="11"/>
        <n x="7"/>
        <n x="1337" s="1"/>
      </t>
    </mdx>
    <mdx n="33" f="v">
      <t c="4">
        <n x="295"/>
        <n x="0"/>
        <n x="7"/>
        <n x="1337" s="1"/>
      </t>
    </mdx>
    <mdx n="33" f="v">
      <t c="4">
        <n x="706"/>
        <n x="11"/>
        <n x="32"/>
        <n x="1337" s="1"/>
      </t>
    </mdx>
    <mdx n="33" f="v">
      <t c="4">
        <n x="446"/>
        <n x="14"/>
        <n x="7"/>
        <n x="1337" s="1"/>
      </t>
    </mdx>
    <mdx n="33" f="v">
      <t c="4" si="10">
        <n x="512"/>
        <n x="14"/>
        <n x="32"/>
        <n x="1337" s="1"/>
      </t>
    </mdx>
    <mdx n="33" f="v">
      <t c="4">
        <n x="1269"/>
        <n x="0"/>
        <n x="7"/>
        <n x="1337" s="1"/>
      </t>
    </mdx>
    <mdx n="33" f="v">
      <t c="4">
        <n x="334"/>
        <n x="1"/>
        <n x="7"/>
        <n x="1337" s="1"/>
      </t>
    </mdx>
    <mdx n="33" f="v">
      <t c="4">
        <n x="1086"/>
        <n x="0"/>
        <n x="7"/>
        <n x="1337" s="1"/>
      </t>
    </mdx>
    <mdx n="33" f="v">
      <t c="4">
        <n x="1050"/>
        <n x="1"/>
        <n x="7"/>
        <n x="1337" s="1"/>
      </t>
    </mdx>
    <mdx n="33" f="v">
      <t c="4">
        <n x="898"/>
        <n x="0"/>
        <n x="7"/>
        <n x="1337" s="1"/>
      </t>
    </mdx>
    <mdx n="33" f="v">
      <t c="4" si="10">
        <n x="582"/>
        <n x="12"/>
        <n x="32"/>
        <n x="1337" s="1"/>
      </t>
    </mdx>
    <mdx n="33" f="v">
      <t c="4">
        <n x="950"/>
        <n x="12"/>
        <n x="32"/>
        <n x="1337" s="1"/>
      </t>
    </mdx>
    <mdx n="33" f="v">
      <t c="4">
        <n x="1124"/>
        <n x="0"/>
        <n x="7"/>
        <n x="1337" s="1"/>
      </t>
    </mdx>
    <mdx n="33" f="v">
      <t c="4" si="10">
        <n x="996"/>
        <n x="0"/>
        <n x="32"/>
        <n x="1337" s="1"/>
      </t>
    </mdx>
    <mdx n="33" f="v">
      <t c="4" si="10">
        <n x="979"/>
        <n x="12"/>
        <n x="32"/>
        <n x="1337" s="1"/>
      </t>
    </mdx>
    <mdx n="33" f="v">
      <t c="4" si="10">
        <n x="1093"/>
        <n x="14"/>
        <n x="32"/>
        <n x="1337" s="1"/>
      </t>
    </mdx>
    <mdx n="33" f="v">
      <t c="4">
        <n x="1089"/>
        <n x="1"/>
        <n x="7"/>
        <n x="1337" s="1"/>
      </t>
    </mdx>
    <mdx n="33" f="v">
      <t c="4">
        <n x="325"/>
        <n x="11"/>
        <n x="7"/>
        <n x="1337" s="1"/>
      </t>
    </mdx>
    <mdx n="33" f="v">
      <t c="4">
        <n x="337"/>
        <n x="11"/>
        <n x="7"/>
        <n x="1337" s="1"/>
      </t>
    </mdx>
    <mdx n="33" f="v">
      <t c="4">
        <n x="419"/>
        <n x="1"/>
        <n x="7"/>
        <n x="1337" s="1"/>
      </t>
    </mdx>
    <mdx n="33" f="v">
      <t c="4" si="10">
        <n x="538"/>
        <n x="14"/>
        <n x="32"/>
        <n x="1337" s="1"/>
      </t>
    </mdx>
    <mdx n="33" f="v">
      <t c="4">
        <n x="1005"/>
        <n x="0"/>
        <n x="32"/>
        <n x="1337" s="1"/>
      </t>
    </mdx>
    <mdx n="33" f="v">
      <t c="4">
        <n x="542"/>
        <n x="1"/>
        <n x="7"/>
        <n x="1337" s="1"/>
      </t>
    </mdx>
    <mdx n="33" f="v">
      <t c="4">
        <n x="1095"/>
        <n x="11"/>
        <n x="32"/>
        <n x="1337" s="1"/>
      </t>
    </mdx>
    <mdx n="33" f="v">
      <t c="4">
        <n x="1324"/>
        <n x="0"/>
        <n x="7"/>
        <n x="1337" s="1"/>
      </t>
    </mdx>
    <mdx n="33" f="v">
      <t c="4">
        <n x="407"/>
        <n x="11"/>
        <n x="32"/>
        <n x="1337" s="1"/>
      </t>
    </mdx>
    <mdx n="33" f="v">
      <t c="4" si="9">
        <n x="637"/>
        <n x="1"/>
        <n x="7"/>
        <n x="1337" s="1"/>
      </t>
    </mdx>
    <mdx n="33" f="v">
      <t c="4">
        <n x="848"/>
        <n x="0"/>
        <n x="7"/>
        <n x="1337" s="1"/>
      </t>
    </mdx>
    <mdx n="33" f="v">
      <t c="4">
        <n x="1069"/>
        <n x="11"/>
        <n x="7"/>
        <n x="1337" s="1"/>
      </t>
    </mdx>
    <mdx n="33" f="v">
      <t c="3">
        <n x="1010"/>
        <n x="1336"/>
        <n x="1337" s="1"/>
      </t>
    </mdx>
    <mdx n="33" f="v">
      <t c="4">
        <n x="989"/>
        <n x="12"/>
        <n x="7"/>
        <n x="1337" s="1"/>
      </t>
    </mdx>
    <mdx n="33" f="v">
      <t c="4">
        <n x="1106"/>
        <n x="12"/>
        <n x="7"/>
        <n x="1337" s="1"/>
      </t>
    </mdx>
    <mdx n="33" f="v">
      <t c="4">
        <n x="562"/>
        <n x="11"/>
        <n x="32"/>
        <n x="1337" s="1"/>
      </t>
    </mdx>
    <mdx n="33" f="v">
      <t c="3">
        <n x="1027"/>
        <n x="1336"/>
        <n x="1337" s="1"/>
      </t>
    </mdx>
    <mdx n="33" f="v">
      <t c="4">
        <n x="832"/>
        <n x="0"/>
        <n x="32"/>
        <n x="1337" s="1"/>
      </t>
    </mdx>
    <mdx n="33" f="v">
      <t c="4" si="10">
        <n x="1025"/>
        <n x="1"/>
        <n x="32"/>
        <n x="1337" s="1"/>
      </t>
    </mdx>
    <mdx n="33" f="v">
      <t c="4" si="10">
        <n x="1029"/>
        <n x="1"/>
        <n x="32"/>
        <n x="1337" s="1"/>
      </t>
    </mdx>
    <mdx n="33" f="v">
      <t c="4">
        <n x="905"/>
        <n x="14"/>
        <n x="7"/>
        <n x="1337" s="1"/>
      </t>
    </mdx>
    <mdx n="33" f="v">
      <t c="4">
        <n x="335"/>
        <n x="12"/>
        <n x="32"/>
        <n x="1337" s="1"/>
      </t>
    </mdx>
    <mdx n="33" f="v">
      <t c="4">
        <n x="1302"/>
        <n x="12"/>
        <n x="32"/>
        <n x="1337" s="1"/>
      </t>
    </mdx>
    <mdx n="33" f="v">
      <t c="4" si="10">
        <n x="358"/>
        <n x="14"/>
        <n x="32"/>
        <n x="1337" s="1"/>
      </t>
    </mdx>
    <mdx n="33" f="v">
      <t c="4">
        <n x="594"/>
        <n x="14"/>
        <n x="32"/>
        <n x="1337" s="1"/>
      </t>
    </mdx>
    <mdx n="33" f="v">
      <t c="4">
        <n x="364"/>
        <n x="14"/>
        <n x="32"/>
        <n x="1337" s="1"/>
      </t>
    </mdx>
    <mdx n="33" f="v">
      <t c="4" si="10">
        <n x="979"/>
        <n x="14"/>
        <n x="32"/>
        <n x="1337" s="1"/>
      </t>
    </mdx>
    <mdx n="33" f="v">
      <t c="4">
        <n x="114"/>
        <n x="14"/>
        <n x="32"/>
        <n x="1337" s="1"/>
      </t>
    </mdx>
    <mdx n="33" f="v">
      <t c="3">
        <n x="894"/>
        <n x="1336"/>
        <n x="1337" s="1"/>
      </t>
    </mdx>
    <mdx n="33" f="v">
      <t c="4">
        <n x="1077"/>
        <n x="14"/>
        <n x="7"/>
        <n x="1337" s="1"/>
      </t>
    </mdx>
    <mdx n="33" f="v">
      <t c="4" si="9">
        <n x="948"/>
        <n x="12"/>
        <n x="7"/>
        <n x="1337" s="1"/>
      </t>
    </mdx>
    <mdx n="33" f="v">
      <t c="4" si="10">
        <n x="517"/>
        <n x="11"/>
        <n x="32"/>
        <n x="1337" s="1"/>
      </t>
    </mdx>
    <mdx n="33" f="v">
      <t c="4">
        <n x="269"/>
        <n x="12"/>
        <n x="32"/>
        <n x="1337" s="1"/>
      </t>
    </mdx>
    <mdx n="33" f="v">
      <t c="4">
        <n x="282"/>
        <n x="14"/>
        <n x="7"/>
        <n x="1337" s="1"/>
      </t>
    </mdx>
    <mdx n="33" f="v">
      <t c="4">
        <n x="533"/>
        <n x="1"/>
        <n x="7"/>
        <n x="1337" s="1"/>
      </t>
    </mdx>
    <mdx n="33" f="v">
      <t c="4" si="10">
        <n x="1310"/>
        <n x="12"/>
        <n x="32"/>
        <n x="1337" s="1"/>
      </t>
    </mdx>
    <mdx n="33" f="v">
      <t c="4" si="10">
        <n x="1040"/>
        <n x="14"/>
        <n x="32"/>
        <n x="1337" s="1"/>
      </t>
    </mdx>
    <mdx n="33" f="v">
      <t c="4">
        <n x="134"/>
        <n x="11"/>
        <n x="7"/>
        <n x="1337" s="1"/>
      </t>
    </mdx>
    <mdx n="33" f="v">
      <t c="4">
        <n x="92"/>
        <n x="14"/>
        <n x="32"/>
        <n x="1337" s="1"/>
      </t>
    </mdx>
    <mdx n="33" f="v">
      <t c="4">
        <n x="397"/>
        <n x="14"/>
        <n x="32"/>
        <n x="1337" s="1"/>
      </t>
    </mdx>
    <mdx n="33" f="v">
      <t c="4">
        <n x="139"/>
        <n x="11"/>
        <n x="32"/>
        <n x="1337" s="1"/>
      </t>
    </mdx>
    <mdx n="33" f="v">
      <t c="3">
        <n x="58"/>
        <n x="1336"/>
        <n x="1337" s="1"/>
      </t>
    </mdx>
    <mdx n="33" f="v">
      <t c="3">
        <n x="916"/>
        <n x="1336"/>
        <n x="1337" s="1"/>
      </t>
    </mdx>
    <mdx n="33" f="v">
      <t c="4" si="10">
        <n x="575"/>
        <n x="14"/>
        <n x="32"/>
        <n x="1337" s="1"/>
      </t>
    </mdx>
    <mdx n="33" f="v">
      <t c="3">
        <n x="168"/>
        <n x="1336"/>
        <n x="1337" s="1"/>
      </t>
    </mdx>
    <mdx n="33" f="v">
      <t c="4">
        <n x="811"/>
        <n x="11"/>
        <n x="32"/>
        <n x="1337" s="1"/>
      </t>
    </mdx>
    <mdx n="33" f="v">
      <t c="4">
        <n x="306"/>
        <n x="14"/>
        <n x="7"/>
        <n x="1337" s="1"/>
      </t>
    </mdx>
    <mdx n="33" f="v">
      <t c="4">
        <n x="975"/>
        <n x="1"/>
        <n x="7"/>
        <n x="1337" s="1"/>
      </t>
    </mdx>
    <mdx n="33" f="v">
      <t c="4">
        <n x="918"/>
        <n x="12"/>
        <n x="32"/>
        <n x="1337" s="1"/>
      </t>
    </mdx>
    <mdx n="33" f="v">
      <t c="4">
        <n x="1007"/>
        <n x="11"/>
        <n x="32"/>
        <n x="1337" s="1"/>
      </t>
    </mdx>
    <mdx n="33" f="v">
      <t c="4">
        <n x="132"/>
        <n x="14"/>
        <n x="32"/>
        <n x="1337" s="1"/>
      </t>
    </mdx>
    <mdx n="33" f="v">
      <t c="4">
        <n x="159"/>
        <n x="14"/>
        <n x="7"/>
        <n x="1337" s="1"/>
      </t>
    </mdx>
    <mdx n="33" f="v">
      <t c="4">
        <n x="1043"/>
        <n x="12"/>
        <n x="7"/>
        <n x="1337" s="1"/>
      </t>
    </mdx>
    <mdx n="33" f="v">
      <t c="4">
        <n x="1024"/>
        <n x="0"/>
        <n x="7"/>
        <n x="1337" s="1"/>
      </t>
    </mdx>
    <mdx n="33" f="v">
      <t c="4">
        <n x="72"/>
        <n x="1"/>
        <n x="32"/>
        <n x="1337" s="1"/>
      </t>
    </mdx>
    <mdx n="33" f="v">
      <t c="4">
        <n x="709"/>
        <n x="0"/>
        <n x="7"/>
        <n x="1337" s="1"/>
      </t>
    </mdx>
    <mdx n="33" f="v">
      <t c="4">
        <n x="738"/>
        <n x="12"/>
        <n x="7"/>
        <n x="1337" s="1"/>
      </t>
    </mdx>
    <mdx n="33" f="v">
      <t c="4">
        <n x="893"/>
        <n x="1"/>
        <n x="7"/>
        <n x="1337" s="1"/>
      </t>
    </mdx>
    <mdx n="33" f="v">
      <t c="4">
        <n x="608"/>
        <n x="12"/>
        <n x="32"/>
        <n x="1337" s="1"/>
      </t>
    </mdx>
    <mdx n="33" f="v">
      <t c="4">
        <n x="159"/>
        <n x="11"/>
        <n x="7"/>
        <n x="1337" s="1"/>
      </t>
    </mdx>
    <mdx n="33" f="v">
      <t c="4">
        <n x="318"/>
        <n x="12"/>
        <n x="32"/>
        <n x="1337" s="1"/>
      </t>
    </mdx>
    <mdx n="33" f="v">
      <t c="4" si="10">
        <n x="981"/>
        <n x="14"/>
        <n x="32"/>
        <n x="1337" s="1"/>
      </t>
    </mdx>
    <mdx n="33" f="v">
      <t c="4">
        <n x="284"/>
        <n x="11"/>
        <n x="7"/>
        <n x="1337" s="1"/>
      </t>
    </mdx>
    <mdx n="33" f="v">
      <t c="4" si="10">
        <n x="293"/>
        <n x="14"/>
        <n x="32"/>
        <n x="1337" s="1"/>
      </t>
    </mdx>
    <mdx n="33" f="v">
      <t c="4">
        <n x="295"/>
        <n x="14"/>
        <n x="32"/>
        <n x="1337" s="1"/>
      </t>
    </mdx>
    <mdx n="33" f="v">
      <t c="4" si="10">
        <n x="518"/>
        <n x="12"/>
        <n x="32"/>
        <n x="1337" s="1"/>
      </t>
    </mdx>
    <mdx n="33" f="v">
      <t c="4">
        <n x="836"/>
        <n x="0"/>
        <n x="7"/>
        <n x="1337" s="1"/>
      </t>
    </mdx>
    <mdx n="33" f="v">
      <t c="3">
        <n x="1058"/>
        <n x="1336"/>
        <n x="1337" s="1"/>
      </t>
    </mdx>
    <mdx n="33" f="v">
      <t c="4" si="10">
        <n x="536"/>
        <n x="12"/>
        <n x="32"/>
        <n x="1337" s="1"/>
      </t>
    </mdx>
    <mdx n="33" f="v">
      <t c="4">
        <n x="67"/>
        <n x="11"/>
        <n x="7"/>
        <n x="1337" s="1"/>
      </t>
    </mdx>
    <mdx n="33" f="v">
      <t c="4">
        <n x="268"/>
        <n x="12"/>
        <n x="32"/>
        <n x="1337" s="1"/>
      </t>
    </mdx>
    <mdx n="33" f="v">
      <t c="4" si="10">
        <n x="535"/>
        <n x="14"/>
        <n x="32"/>
        <n x="1337" s="1"/>
      </t>
    </mdx>
    <mdx n="33" f="v">
      <t c="4">
        <n x="1045"/>
        <n x="1"/>
        <n x="7"/>
        <n x="1337" s="1"/>
      </t>
    </mdx>
    <mdx n="33" f="v">
      <t c="4">
        <n x="419"/>
        <n x="11"/>
        <n x="32"/>
        <n x="1337" s="1"/>
      </t>
    </mdx>
    <mdx n="33" f="v">
      <t c="4">
        <n x="496"/>
        <n x="1"/>
        <n x="7"/>
        <n x="1337" s="1"/>
      </t>
    </mdx>
    <mdx n="33" f="v">
      <t c="4" si="10">
        <n x="485"/>
        <n x="14"/>
        <n x="32"/>
        <n x="1337" s="1"/>
      </t>
    </mdx>
    <mdx n="33" f="v">
      <t c="4">
        <n x="1230"/>
        <n x="0"/>
        <n x="7"/>
        <n x="1337" s="1"/>
      </t>
    </mdx>
    <mdx n="33" f="v">
      <t c="4">
        <n x="1101"/>
        <n x="1"/>
        <n x="7"/>
        <n x="1337" s="1"/>
      </t>
    </mdx>
    <mdx n="33" f="v">
      <t c="4">
        <n x="172"/>
        <n x="11"/>
        <n x="32"/>
        <n x="1337" s="1"/>
      </t>
    </mdx>
    <mdx n="33" f="v">
      <t c="4" si="10">
        <n x="996"/>
        <n x="14"/>
        <n x="32"/>
        <n x="1337" s="1"/>
      </t>
    </mdx>
    <mdx n="33" f="v">
      <t c="4">
        <n x="1033"/>
        <n x="1"/>
        <n x="7"/>
        <n x="1337" s="1"/>
      </t>
    </mdx>
    <mdx n="33" f="v">
      <t c="4">
        <n x="92"/>
        <n x="1"/>
        <n x="32"/>
        <n x="1337" s="1"/>
      </t>
    </mdx>
    <mdx n="33" f="v">
      <t c="4" si="10">
        <n x="1009"/>
        <n x="12"/>
        <n x="32"/>
        <n x="1337" s="1"/>
      </t>
    </mdx>
    <mdx n="33" f="v">
      <t c="4">
        <n x="317"/>
        <n x="11"/>
        <n x="7"/>
        <n x="1337" s="1"/>
      </t>
    </mdx>
    <mdx n="33" f="v">
      <t c="4">
        <n x="187"/>
        <n x="14"/>
        <n x="32"/>
        <n x="1337" s="1"/>
      </t>
    </mdx>
    <mdx n="33" f="v">
      <t c="4" si="10">
        <n x="483"/>
        <n x="14"/>
        <n x="32"/>
        <n x="1337" s="1"/>
      </t>
    </mdx>
    <mdx n="33" f="v">
      <t c="4">
        <n x="503"/>
        <n x="11"/>
        <n x="32"/>
        <n x="1337" s="1"/>
      </t>
    </mdx>
    <mdx n="33" f="v">
      <t c="4">
        <n x="157"/>
        <n x="14"/>
        <n x="32"/>
        <n x="1337" s="1"/>
      </t>
    </mdx>
    <mdx n="33" f="v">
      <t c="4">
        <n x="70"/>
        <n x="0"/>
        <n x="7"/>
        <n x="1337" s="1"/>
      </t>
    </mdx>
    <mdx n="33" f="v">
      <t c="4">
        <n x="104"/>
        <n x="14"/>
        <n x="32"/>
        <n x="1337" s="1"/>
      </t>
    </mdx>
    <mdx n="33" f="v">
      <t c="4" si="10">
        <n x="932"/>
        <n x="12"/>
        <n x="32"/>
        <n x="1337" s="1"/>
      </t>
    </mdx>
    <mdx n="33" f="v">
      <t c="4">
        <n x="553"/>
        <n x="14"/>
        <n x="7"/>
        <n x="1337" s="1"/>
      </t>
    </mdx>
    <mdx n="33" f="v">
      <t c="4">
        <n x="1109"/>
        <n x="1"/>
        <n x="32"/>
        <n x="1337" s="1"/>
      </t>
    </mdx>
    <mdx n="33" f="v">
      <t c="4">
        <n x="533"/>
        <n x="11"/>
        <n x="32"/>
        <n x="1337" s="1"/>
      </t>
    </mdx>
    <mdx n="33" f="v">
      <t c="4" si="10">
        <n x="801"/>
        <n x="11"/>
        <n x="32"/>
        <n x="1337" s="1"/>
      </t>
    </mdx>
    <mdx n="33" f="v">
      <t c="4">
        <n x="279"/>
        <n x="11"/>
        <n x="7"/>
        <n x="1337" s="1"/>
      </t>
    </mdx>
    <mdx n="33" f="v">
      <t c="4">
        <n x="311"/>
        <n x="11"/>
        <n x="32"/>
        <n x="1337" s="1"/>
      </t>
    </mdx>
    <mdx n="33" f="v">
      <t c="4" si="10">
        <n x="556"/>
        <n x="14"/>
        <n x="32"/>
        <n x="1337" s="1"/>
      </t>
    </mdx>
    <mdx n="33" f="v">
      <t c="4" si="10">
        <n x="498"/>
        <n x="12"/>
        <n x="32"/>
        <n x="1337" s="1"/>
      </t>
    </mdx>
    <mdx n="33" f="v">
      <t c="4">
        <n x="208"/>
        <n x="1"/>
        <n x="7"/>
        <n x="1337" s="1"/>
      </t>
    </mdx>
    <mdx n="33" f="v">
      <t c="4" si="10">
        <n x="1049"/>
        <n x="12"/>
        <n x="32"/>
        <n x="1337" s="1"/>
      </t>
    </mdx>
    <mdx n="33" f="v">
      <t c="4" si="10">
        <n x="1025"/>
        <n x="12"/>
        <n x="32"/>
        <n x="1337" s="1"/>
      </t>
    </mdx>
    <mdx n="33" f="v">
      <t c="4">
        <n x="310"/>
        <n x="11"/>
        <n x="32"/>
        <n x="1337" s="1"/>
      </t>
    </mdx>
    <mdx n="33" f="v">
      <t c="3">
        <n x="940"/>
        <n x="1336"/>
        <n x="1337" s="1"/>
      </t>
    </mdx>
    <mdx n="33" f="v">
      <t c="4">
        <n x="242"/>
        <n x="11"/>
        <n x="7"/>
        <n x="1337" s="1"/>
      </t>
    </mdx>
    <mdx n="33" f="v">
      <t c="4" si="10">
        <n x="1106"/>
        <n x="0"/>
        <n x="32"/>
        <n x="1337" s="1"/>
      </t>
    </mdx>
    <mdx n="33" f="v">
      <t c="4">
        <n x="1060"/>
        <n x="11"/>
        <n x="32"/>
        <n x="1337" s="1"/>
      </t>
    </mdx>
    <mdx n="33" f="v">
      <t c="4">
        <n x="1026"/>
        <n x="1"/>
        <n x="7"/>
        <n x="1337" s="1"/>
      </t>
    </mdx>
    <mdx n="33" f="v">
      <t c="4">
        <n x="135"/>
        <n x="14"/>
        <n x="7"/>
        <n x="1337" s="1"/>
      </t>
    </mdx>
    <mdx n="33" f="v">
      <t c="4">
        <n x="874"/>
        <n x="0"/>
        <n x="32"/>
        <n x="1337" s="1"/>
      </t>
    </mdx>
    <mdx n="33" f="v">
      <t c="4">
        <n x="93"/>
        <n x="1"/>
        <n x="32"/>
        <n x="1337" s="1"/>
      </t>
    </mdx>
    <mdx n="33" f="v">
      <t c="4" si="10">
        <n x="538"/>
        <n x="12"/>
        <n x="32"/>
        <n x="1337" s="1"/>
      </t>
    </mdx>
    <mdx n="33" f="v">
      <t c="4">
        <n x="1206"/>
        <n x="0"/>
        <n x="7"/>
        <n x="1337" s="1"/>
      </t>
    </mdx>
    <mdx n="33" f="v">
      <t c="4">
        <n x="1095"/>
        <n x="14"/>
        <n x="32"/>
        <n x="1337" s="1"/>
      </t>
    </mdx>
    <mdx n="33" f="v">
      <t c="4">
        <n x="433"/>
        <n x="12"/>
        <n x="32"/>
        <n x="1337" s="1"/>
      </t>
    </mdx>
    <mdx n="33" f="v">
      <t c="4">
        <n x="568"/>
        <n x="1"/>
        <n x="7"/>
        <n x="1337" s="1"/>
      </t>
    </mdx>
    <mdx n="33" f="v">
      <t c="4">
        <n x="296"/>
        <n x="0"/>
        <n x="7"/>
        <n x="1337" s="1"/>
      </t>
    </mdx>
    <mdx n="33" f="v">
      <t c="4">
        <n x="202"/>
        <n x="11"/>
        <n x="7"/>
        <n x="1337" s="1"/>
      </t>
    </mdx>
    <mdx n="33" f="v">
      <t c="3">
        <n x="115"/>
        <n x="1336"/>
        <n x="1337" s="1"/>
      </t>
    </mdx>
    <mdx n="33" f="v">
      <t c="4">
        <n x="382"/>
        <n x="1"/>
        <n x="7"/>
        <n x="1337" s="1"/>
      </t>
    </mdx>
    <mdx n="33" f="v">
      <t c="3">
        <n x="789"/>
        <n x="1336"/>
        <n x="1337" s="1"/>
      </t>
    </mdx>
    <mdx n="33" f="v">
      <t c="4">
        <n x="100"/>
        <n x="11"/>
        <n x="7"/>
        <n x="1337" s="1"/>
      </t>
    </mdx>
    <mdx n="33" f="v">
      <t c="4">
        <n x="965"/>
        <n x="12"/>
        <n x="7"/>
        <n x="1337" s="1"/>
      </t>
    </mdx>
    <mdx n="33" f="v">
      <t c="4">
        <n x="75"/>
        <n x="14"/>
        <n x="7"/>
        <n x="1337" s="1"/>
      </t>
    </mdx>
    <mdx n="33" f="v">
      <t c="4">
        <n x="187"/>
        <n x="1"/>
        <n x="7"/>
        <n x="1337" s="1"/>
      </t>
    </mdx>
    <mdx n="33" f="v">
      <t c="4">
        <n x="1068"/>
        <n x="0"/>
        <n x="7"/>
        <n x="1337" s="1"/>
      </t>
    </mdx>
    <mdx n="33" f="v">
      <t c="4">
        <n x="568"/>
        <n x="11"/>
        <n x="32"/>
        <n x="1337" s="1"/>
      </t>
    </mdx>
    <mdx n="33" f="v">
      <t c="4">
        <n x="427"/>
        <n x="14"/>
        <n x="32"/>
        <n x="1337" s="1"/>
      </t>
    </mdx>
    <mdx n="33" f="v">
      <t c="3">
        <n x="289"/>
        <n x="1336"/>
        <n x="1337" s="1"/>
      </t>
    </mdx>
    <mdx n="33" f="v">
      <t c="4">
        <n x="214"/>
        <n x="12"/>
        <n x="32"/>
        <n x="1337" s="1"/>
      </t>
    </mdx>
    <mdx n="33" f="v">
      <t c="4">
        <n x="1056"/>
        <n x="11"/>
        <n x="7"/>
        <n x="1337" s="1"/>
      </t>
    </mdx>
    <mdx n="33" f="v">
      <t c="3">
        <n x="107"/>
        <n x="1336"/>
        <n x="1337" s="1"/>
      </t>
    </mdx>
    <mdx n="33" f="v">
      <t c="4" si="10">
        <n x="1023"/>
        <n x="14"/>
        <n x="32"/>
        <n x="1337" s="1"/>
      </t>
    </mdx>
    <mdx n="33" f="v">
      <t c="4">
        <n x="365"/>
        <n x="14"/>
        <n x="32"/>
        <n x="1337" s="1"/>
      </t>
    </mdx>
    <mdx n="33" f="v">
      <t c="4" si="10">
        <n x="881"/>
        <n x="0"/>
        <n x="32"/>
        <n x="1337" s="1"/>
      </t>
    </mdx>
    <mdx n="33" f="v">
      <t c="4" si="10">
        <n x="1070"/>
        <n x="14"/>
        <n x="32"/>
        <n x="1337" s="1"/>
      </t>
    </mdx>
    <mdx n="33" f="v">
      <t c="4" si="10">
        <n x="1120"/>
        <n x="0"/>
        <n x="32"/>
        <n x="1337" s="1"/>
      </t>
    </mdx>
    <mdx n="33" f="v">
      <t c="4" si="10">
        <n x="1020"/>
        <n x="14"/>
        <n x="32"/>
        <n x="1337" s="1"/>
      </t>
    </mdx>
    <mdx n="33" f="v">
      <t c="4" si="10">
        <n x="563"/>
        <n x="14"/>
        <n x="32"/>
        <n x="1337" s="1"/>
      </t>
    </mdx>
    <mdx n="33" f="v">
      <t c="4">
        <n x="1078"/>
        <n x="11"/>
        <n x="32"/>
        <n x="1337" s="1"/>
      </t>
    </mdx>
    <mdx n="33" f="v">
      <t c="4">
        <n x="427"/>
        <n x="1"/>
        <n x="7"/>
        <n x="1337" s="1"/>
      </t>
    </mdx>
    <mdx n="33" f="v">
      <t c="4" si="10">
        <n x="883"/>
        <n x="11"/>
        <n x="32"/>
        <n x="1337" s="1"/>
      </t>
    </mdx>
    <mdx n="33" f="v">
      <t c="4">
        <n x="877"/>
        <n x="1"/>
        <n x="32"/>
        <n x="1337" s="1"/>
      </t>
    </mdx>
    <mdx n="33" f="v">
      <t c="4">
        <n x="1062"/>
        <n x="12"/>
        <n x="7"/>
        <n x="1337" s="1"/>
      </t>
    </mdx>
    <mdx n="33" f="v">
      <t c="4">
        <n x="886"/>
        <n x="0"/>
        <n x="32"/>
        <n x="1337" s="1"/>
      </t>
    </mdx>
    <mdx n="33" f="v">
      <t c="4">
        <n x="439"/>
        <n x="14"/>
        <n x="32"/>
        <n x="1337" s="1"/>
      </t>
    </mdx>
    <mdx n="33" f="v">
      <t c="4" si="10">
        <n x="491"/>
        <n x="11"/>
        <n x="32"/>
        <n x="1337" s="1"/>
      </t>
    </mdx>
    <mdx n="33" f="v">
      <t c="3">
        <n x="473"/>
        <n x="1336"/>
        <n x="1337" s="1"/>
      </t>
    </mdx>
    <mdx n="33" f="v">
      <t c="4" si="10">
        <n x="605"/>
        <n x="11"/>
        <n x="32"/>
        <n x="1337" s="1"/>
      </t>
    </mdx>
    <mdx n="33" f="v">
      <t c="4">
        <n x="82"/>
        <n x="11"/>
        <n x="7"/>
        <n x="1337" s="1"/>
      </t>
    </mdx>
    <mdx n="33" f="v">
      <t c="4">
        <n x="163"/>
        <n x="14"/>
        <n x="32"/>
        <n x="1337" s="1"/>
      </t>
    </mdx>
    <mdx n="33" f="v">
      <t c="4">
        <n x="1079"/>
        <n x="12"/>
        <n x="7"/>
        <n x="1337" s="1"/>
      </t>
    </mdx>
    <mdx n="33" f="v">
      <t c="4" si="10">
        <n x="775"/>
        <n x="14"/>
        <n x="32"/>
        <n x="1337" s="1"/>
      </t>
    </mdx>
    <mdx n="33" f="v">
      <t c="4">
        <n x="67"/>
        <n x="0"/>
        <n x="7"/>
        <n x="1337" s="1"/>
      </t>
    </mdx>
    <mdx n="33" f="v">
      <t c="4">
        <n x="1247"/>
        <n x="12"/>
        <n x="32"/>
        <n x="1337" s="1"/>
      </t>
    </mdx>
    <mdx n="33" f="v">
      <t c="4" si="10">
        <n x="506"/>
        <n x="14"/>
        <n x="32"/>
        <n x="1337" s="1"/>
      </t>
    </mdx>
    <mdx n="33" f="v">
      <t c="4">
        <n x="139"/>
        <n x="14"/>
        <n x="32"/>
        <n x="1337" s="1"/>
      </t>
    </mdx>
    <mdx n="33" f="v">
      <t c="4" si="9">
        <n x="763"/>
        <n x="11"/>
        <n x="7"/>
        <n x="1337" s="1"/>
      </t>
    </mdx>
    <mdx n="33" f="v">
      <t c="4" si="10">
        <n x="1051"/>
        <n x="12"/>
        <n x="32"/>
        <n x="1337" s="1"/>
      </t>
    </mdx>
    <mdx n="33" f="v">
      <t c="4" si="10">
        <n x="202"/>
        <n x="12"/>
        <n x="32"/>
        <n x="1337" s="1"/>
      </t>
    </mdx>
    <mdx n="33" f="v">
      <t c="4">
        <n x="373"/>
        <n x="12"/>
        <n x="32"/>
        <n x="1337" s="1"/>
      </t>
    </mdx>
    <mdx n="33" f="v">
      <t c="4">
        <n x="1018"/>
        <n x="12"/>
        <n x="7"/>
        <n x="1337" s="1"/>
      </t>
    </mdx>
    <mdx n="33" f="v">
      <t c="4">
        <n x="215"/>
        <n x="11"/>
        <n x="7"/>
        <n x="1337" s="1"/>
      </t>
    </mdx>
    <mdx n="33" f="v">
      <t c="4" si="9">
        <n x="499"/>
        <n x="11"/>
        <n x="7"/>
        <n x="1337" s="1"/>
      </t>
    </mdx>
    <mdx n="33" f="v">
      <t c="4">
        <n x="194"/>
        <n x="12"/>
        <n x="32"/>
        <n x="1337" s="1"/>
      </t>
    </mdx>
    <mdx n="33" f="v">
      <t c="4">
        <n x="359"/>
        <n x="14"/>
        <n x="32"/>
        <n x="1337" s="1"/>
      </t>
    </mdx>
    <mdx n="33" f="v">
      <t c="4">
        <n x="530"/>
        <n x="12"/>
        <n x="32"/>
        <n x="1337" s="1"/>
      </t>
    </mdx>
    <mdx n="33" f="v">
      <t c="4">
        <n x="1112"/>
        <n x="11"/>
        <n x="7"/>
        <n x="1337" s="1"/>
      </t>
    </mdx>
    <mdx n="33" f="v">
      <t c="4">
        <n x="63"/>
        <n x="11"/>
        <n x="7"/>
        <n x="1337" s="1"/>
      </t>
    </mdx>
    <mdx n="33" f="v">
      <t c="4" si="9">
        <n x="491"/>
        <n x="11"/>
        <n x="7"/>
        <n x="1337" s="1"/>
      </t>
    </mdx>
    <mdx n="33" f="v">
      <t c="4">
        <n x="75"/>
        <n x="11"/>
        <n x="7"/>
        <n x="1337" s="1"/>
      </t>
    </mdx>
    <mdx n="33" f="v">
      <t c="4" si="10">
        <n x="1306"/>
        <n x="0"/>
        <n x="32"/>
        <n x="1337" s="1"/>
      </t>
    </mdx>
    <mdx n="33" f="v">
      <t c="4" si="10">
        <n x="1132"/>
        <n x="0"/>
        <n x="32"/>
        <n x="1337" s="1"/>
      </t>
    </mdx>
    <mdx n="33" f="v">
      <t c="4">
        <n x="776"/>
        <n x="1"/>
        <n x="32"/>
        <n x="1337" s="1"/>
      </t>
    </mdx>
    <mdx n="33" f="v">
      <t c="3">
        <n x="72"/>
        <n x="1336"/>
        <n x="1337" s="1"/>
      </t>
    </mdx>
    <mdx n="33" f="v">
      <t c="4" si="10">
        <n x="1157"/>
        <n x="11"/>
        <n x="32"/>
        <n x="1337" s="1"/>
      </t>
    </mdx>
    <mdx n="33" f="v">
      <t c="4" si="10">
        <n x="1156"/>
        <n x="14"/>
        <n x="32"/>
        <n x="1337" s="1"/>
      </t>
    </mdx>
    <mdx n="33" f="v">
      <t c="4">
        <n x="1196"/>
        <n x="14"/>
        <n x="32"/>
        <n x="1337" s="1"/>
      </t>
    </mdx>
    <mdx n="33" f="v">
      <t c="4" si="10">
        <n x="1172"/>
        <n x="14"/>
        <n x="32"/>
        <n x="1337" s="1"/>
      </t>
    </mdx>
    <mdx n="33" f="v">
      <t c="4" si="10">
        <n x="1148"/>
        <n x="14"/>
        <n x="32"/>
        <n x="1337" s="1"/>
      </t>
    </mdx>
    <mdx n="33" f="v">
      <t c="4">
        <n x="1146"/>
        <n x="1"/>
        <n x="32"/>
        <n x="1337" s="1"/>
      </t>
    </mdx>
    <mdx n="33" f="v">
      <t c="4">
        <n x="1210"/>
        <n x="11"/>
        <n x="32"/>
        <n x="1337" s="1"/>
      </t>
    </mdx>
    <mdx n="33" f="v">
      <t c="4">
        <n x="1302"/>
        <n x="14"/>
        <n x="7"/>
        <n x="1337" s="1"/>
      </t>
    </mdx>
    <mdx n="33" f="v">
      <t c="4">
        <n x="1326"/>
        <n x="14"/>
        <n x="7"/>
        <n x="1337" s="1"/>
      </t>
    </mdx>
    <mdx n="33" f="v">
      <t c="4">
        <n x="1270"/>
        <n x="14"/>
        <n x="7"/>
        <n x="1337" s="1"/>
      </t>
    </mdx>
    <mdx n="33" f="v">
      <t c="4">
        <n x="1235"/>
        <n x="14"/>
        <n x="7"/>
        <n x="1337" s="1"/>
      </t>
    </mdx>
    <mdx n="33" f="v">
      <t c="4">
        <n x="1230"/>
        <n x="14"/>
        <n x="7"/>
        <n x="1337" s="1"/>
      </t>
    </mdx>
    <mdx n="33" f="v">
      <t c="4">
        <n x="1194"/>
        <n x="14"/>
        <n x="7"/>
        <n x="1337" s="1"/>
      </t>
    </mdx>
    <mdx n="33" f="v">
      <t c="4">
        <n x="1152"/>
        <n x="14"/>
        <n x="7"/>
        <n x="1337" s="1"/>
      </t>
    </mdx>
    <mdx n="33" f="v">
      <t c="4">
        <n x="1208"/>
        <n x="14"/>
        <n x="7"/>
        <n x="1337" s="1"/>
      </t>
    </mdx>
    <mdx n="33" f="v">
      <t c="4">
        <n x="1136"/>
        <n x="14"/>
        <n x="7"/>
        <n x="1337" s="1"/>
      </t>
    </mdx>
    <mdx n="33" f="v">
      <t c="4">
        <n x="1195"/>
        <n x="14"/>
        <n x="7"/>
        <n x="1337" s="1"/>
      </t>
    </mdx>
    <mdx n="33" f="v">
      <t c="4">
        <n x="1293"/>
        <n x="14"/>
        <n x="7"/>
        <n x="1337" s="1"/>
      </t>
    </mdx>
    <mdx n="33" f="v">
      <t c="4">
        <n x="1191"/>
        <n x="14"/>
        <n x="7"/>
        <n x="1337" s="1"/>
      </t>
    </mdx>
    <mdx n="33" f="v">
      <t c="4">
        <n x="1190"/>
        <n x="14"/>
        <n x="7"/>
        <n x="1337" s="1"/>
      </t>
    </mdx>
    <mdx n="33" f="v">
      <t c="4">
        <n x="1123"/>
        <n x="14"/>
        <n x="7"/>
        <n x="1337" s="1"/>
      </t>
    </mdx>
    <mdx n="33" f="v">
      <t c="4">
        <n x="1149"/>
        <n x="14"/>
        <n x="7"/>
        <n x="1337" s="1"/>
      </t>
    </mdx>
    <mdx n="33" f="v">
      <t c="4">
        <n x="1148"/>
        <n x="14"/>
        <n x="7"/>
        <n x="1337" s="1"/>
      </t>
    </mdx>
    <mdx n="33" f="v">
      <t c="4">
        <n x="1142"/>
        <n x="14"/>
        <n x="7"/>
        <n x="1337" s="1"/>
      </t>
    </mdx>
    <mdx n="33" f="v">
      <t c="4">
        <n x="1268"/>
        <n x="14"/>
        <n x="7"/>
        <n x="1337" s="1"/>
      </t>
    </mdx>
    <mdx n="33" f="v">
      <t c="4">
        <n x="1289"/>
        <n x="14"/>
        <n x="7"/>
        <n x="1337" s="1"/>
      </t>
    </mdx>
    <mdx n="33" f="v">
      <t c="4">
        <n x="1155"/>
        <n x="14"/>
        <n x="7"/>
        <n x="1337" s="1"/>
      </t>
    </mdx>
    <mdx n="33" f="v">
      <t c="4">
        <n x="1154"/>
        <n x="14"/>
        <n x="7"/>
        <n x="1337" s="1"/>
      </t>
    </mdx>
    <mdx n="33" f="v">
      <t c="4">
        <n x="1215"/>
        <n x="14"/>
        <n x="7"/>
        <n x="1337" s="1"/>
      </t>
    </mdx>
    <mdx n="33" f="v">
      <t c="4">
        <n x="1214"/>
        <n x="14"/>
        <n x="7"/>
        <n x="1337" s="1"/>
      </t>
    </mdx>
    <mdx n="33" f="v">
      <t c="4">
        <n x="1275"/>
        <n x="14"/>
        <n x="7"/>
        <n x="1337" s="1"/>
      </t>
    </mdx>
    <mdx n="33" f="v">
      <t c="4">
        <n x="1141"/>
        <n x="14"/>
        <n x="7"/>
        <n x="1337" s="1"/>
      </t>
    </mdx>
    <mdx n="33" f="v">
      <t c="4">
        <n x="1140"/>
        <n x="14"/>
        <n x="7"/>
        <n x="1337" s="1"/>
      </t>
    </mdx>
    <mdx n="33" f="v">
      <t c="4">
        <n x="1260"/>
        <n x="14"/>
        <n x="7"/>
        <n x="1337" s="1"/>
      </t>
    </mdx>
    <mdx n="33" f="v">
      <t c="4">
        <n x="1200"/>
        <n x="14"/>
        <n x="7"/>
        <n x="1337" s="1"/>
      </t>
    </mdx>
    <mdx n="33" f="v">
      <t c="4">
        <n x="1211"/>
        <n x="14"/>
        <n x="7"/>
        <n x="1337" s="1"/>
      </t>
    </mdx>
    <mdx n="33" f="v">
      <t c="4">
        <n x="1277"/>
        <n x="14"/>
        <n x="7"/>
        <n x="1337" s="1"/>
      </t>
    </mdx>
    <mdx n="33" f="v">
      <t c="4">
        <n x="1143"/>
        <n x="14"/>
        <n x="7"/>
        <n x="1337" s="1"/>
      </t>
    </mdx>
    <mdx n="33" f="v">
      <t c="4">
        <n x="1197"/>
        <n x="14"/>
        <n x="7"/>
        <n x="1337" s="1"/>
      </t>
    </mdx>
    <mdx n="33" f="v">
      <t c="4">
        <n x="1196"/>
        <n x="14"/>
        <n x="7"/>
        <n x="1337" s="1"/>
      </t>
    </mdx>
    <mdx n="33" f="v">
      <t c="4">
        <n x="1162"/>
        <n x="1"/>
        <n x="7"/>
        <n x="1337" s="1"/>
      </t>
    </mdx>
    <mdx n="33" f="v">
      <t c="3">
        <n x="1215"/>
        <n x="1336"/>
        <n x="1337" s="1"/>
      </t>
    </mdx>
    <mdx n="33" f="v">
      <t c="3">
        <n x="1160"/>
        <n x="1336"/>
        <n x="1337" s="1"/>
      </t>
    </mdx>
    <mdx n="33" f="v">
      <t c="3">
        <n x="1244"/>
        <n x="1336"/>
        <n x="1337" s="1"/>
      </t>
    </mdx>
    <mdx n="33" f="v">
      <t c="3">
        <n x="1167"/>
        <n x="1336"/>
        <n x="1337" s="1"/>
      </t>
    </mdx>
    <mdx n="33" f="v">
      <t c="3">
        <n x="1125"/>
        <n x="1336"/>
        <n x="1337" s="1"/>
      </t>
    </mdx>
    <mdx n="33" f="v">
      <t c="3">
        <n x="1123"/>
        <n x="1336"/>
        <n x="1337" s="1"/>
      </t>
    </mdx>
    <mdx n="33" f="v">
      <t c="3">
        <n x="1255"/>
        <n x="1336"/>
        <n x="1337" s="1"/>
      </t>
    </mdx>
    <mdx n="33" f="v">
      <t c="3">
        <n x="1199"/>
        <n x="1336"/>
        <n x="1337" s="1"/>
      </t>
    </mdx>
    <mdx n="33" f="v">
      <t c="3">
        <n x="1138"/>
        <n x="1336"/>
        <n x="1337" s="1"/>
      </t>
    </mdx>
    <mdx n="33" f="v">
      <t c="3">
        <n x="1242"/>
        <n x="1336"/>
        <n x="1337" s="1"/>
      </t>
    </mdx>
    <mdx n="33" f="v">
      <t c="4">
        <n x="1242"/>
        <n x="14"/>
        <n x="7"/>
        <n x="1337" s="1"/>
      </t>
    </mdx>
    <mdx n="33" f="v">
      <t c="4">
        <n x="1306"/>
        <n x="14"/>
        <n x="7"/>
        <n x="1337" s="1"/>
      </t>
    </mdx>
    <mdx n="33" f="v">
      <t c="6" si="10">
        <n x="15"/>
        <n x="1337" s="1"/>
        <n x="36"/>
        <n x="32"/>
        <n x="28"/>
        <n x="2"/>
      </t>
    </mdx>
    <mdx n="33" f="v">
      <t c="6" si="10">
        <n x="15"/>
        <n x="1337" s="1"/>
        <n x="44"/>
        <n x="32"/>
        <n x="29"/>
        <n x="3"/>
      </t>
    </mdx>
    <mdx n="33" f="v">
      <t c="6" si="10">
        <n x="15"/>
        <n x="1337" s="1"/>
        <n x="36"/>
        <n x="32"/>
        <n x="19"/>
        <n x="1"/>
      </t>
    </mdx>
    <mdx n="33" f="v">
      <t c="6" si="10">
        <n x="15"/>
        <n x="1337" s="1"/>
        <n x="45"/>
        <n x="32"/>
        <n x="19"/>
        <n x="12"/>
      </t>
    </mdx>
    <mdx n="33" f="v">
      <t c="6" si="10">
        <n x="15"/>
        <n x="1337" s="1"/>
        <n x="41"/>
        <n x="32"/>
        <n x="19"/>
        <n x="0"/>
      </t>
    </mdx>
    <mdx n="33" f="v">
      <t c="6">
        <n x="15"/>
        <n x="1337" s="1"/>
        <n x="41"/>
        <n x="32"/>
        <n x="19"/>
        <n x="2"/>
      </t>
    </mdx>
    <mdx n="33" f="v">
      <t c="6" si="9">
        <n x="15"/>
        <n x="1337" s="1"/>
        <n x="36"/>
        <n x="7"/>
        <n x="19"/>
        <n x="2"/>
      </t>
    </mdx>
    <mdx n="33" f="v">
      <t c="6" si="10">
        <n x="15"/>
        <n x="1337" s="1"/>
        <n x="37"/>
        <n x="32"/>
        <n x="19"/>
        <n x="1"/>
      </t>
    </mdx>
    <mdx n="33" f="v">
      <t c="6" si="9">
        <n x="15"/>
        <n x="1337" s="1"/>
        <n x="40"/>
        <n x="7"/>
        <n x="19"/>
        <n x="2"/>
      </t>
    </mdx>
    <mdx n="33" f="v">
      <t c="4" si="10">
        <n x="483"/>
        <n x="12"/>
        <n x="32"/>
        <n x="1337" s="1"/>
      </t>
    </mdx>
    <mdx n="33" f="v">
      <t c="4" si="10">
        <n x="814"/>
        <n x="14"/>
        <n x="32"/>
        <n x="1337" s="1"/>
      </t>
    </mdx>
    <mdx n="33" f="v">
      <t c="4" si="10">
        <n x="1013"/>
        <n x="14"/>
        <n x="32"/>
        <n x="1337" s="1"/>
      </t>
    </mdx>
    <mdx n="33" f="v">
      <t c="4">
        <n x="645"/>
        <n x="11"/>
        <n x="7"/>
        <n x="1337" s="1"/>
      </t>
    </mdx>
    <mdx n="33" f="v">
      <t c="4">
        <n x="1257"/>
        <n x="0"/>
        <n x="32"/>
        <n x="1337" s="1"/>
      </t>
    </mdx>
    <mdx n="33" f="v">
      <t c="4">
        <n x="297"/>
        <n x="11"/>
        <n x="32"/>
        <n x="1337" s="1"/>
      </t>
    </mdx>
    <mdx n="33" f="v">
      <t c="4">
        <n x="895"/>
        <n x="1"/>
        <n x="32"/>
        <n x="1337" s="1"/>
      </t>
    </mdx>
    <mdx n="33" f="v">
      <t c="4">
        <n x="1113"/>
        <n x="11"/>
        <n x="7"/>
        <n x="1337" s="1"/>
      </t>
    </mdx>
    <mdx n="33" f="v">
      <t c="4" si="10">
        <n x="1328"/>
        <n x="0"/>
        <n x="32"/>
        <n x="1337" s="1"/>
      </t>
    </mdx>
    <mdx n="33" f="v">
      <t c="4" si="9">
        <n x="598"/>
        <n x="14"/>
        <n x="7"/>
        <n x="1337" s="1"/>
      </t>
    </mdx>
    <mdx n="33" f="v">
      <t c="4">
        <n x="1000"/>
        <n x="1"/>
        <n x="7"/>
        <n x="1337" s="1"/>
      </t>
    </mdx>
    <mdx n="33" f="v">
      <t c="4">
        <n x="208"/>
        <n x="11"/>
        <n x="32"/>
        <n x="1337" s="1"/>
      </t>
    </mdx>
    <mdx n="33" f="v">
      <t c="4">
        <n x="316"/>
        <n x="11"/>
        <n x="32"/>
        <n x="1337" s="1"/>
      </t>
    </mdx>
    <mdx n="33" f="v">
      <t c="4" si="10">
        <n x="567"/>
        <n x="12"/>
        <n x="32"/>
        <n x="1337" s="1"/>
      </t>
    </mdx>
    <mdx n="33" f="v">
      <t c="4" si="9">
        <n x="520"/>
        <n x="1"/>
        <n x="7"/>
        <n x="1337" s="1"/>
      </t>
    </mdx>
    <mdx n="33" f="v">
      <t c="4">
        <n x="362"/>
        <n x="1"/>
        <n x="7"/>
        <n x="1337" s="1"/>
      </t>
    </mdx>
    <mdx n="33" f="v">
      <t c="4">
        <n x="153"/>
        <n x="1"/>
        <n x="32"/>
        <n x="1337" s="1"/>
      </t>
    </mdx>
    <mdx n="33" f="v">
      <t c="4">
        <n x="735"/>
        <n x="0"/>
        <n x="7"/>
        <n x="1337" s="1"/>
      </t>
    </mdx>
    <mdx n="33" f="v">
      <t c="4" si="10">
        <n x="1015"/>
        <n x="0"/>
        <n x="32"/>
        <n x="1337" s="1"/>
      </t>
    </mdx>
    <mdx n="33" f="v">
      <t c="4">
        <n x="383"/>
        <n x="11"/>
        <n x="7"/>
        <n x="1337" s="1"/>
      </t>
    </mdx>
    <mdx n="33" f="v">
      <t c="4">
        <n x="1015"/>
        <n x="12"/>
        <n x="32"/>
        <n x="1337" s="1"/>
      </t>
    </mdx>
    <mdx n="33" f="v">
      <t c="4" si="10">
        <n x="1266"/>
        <n x="0"/>
        <n x="32"/>
        <n x="1337" s="1"/>
      </t>
    </mdx>
    <mdx n="33" f="v">
      <t c="4">
        <n x="147"/>
        <n x="1"/>
        <n x="7"/>
        <n x="1337" s="1"/>
      </t>
    </mdx>
    <mdx n="33" f="v">
      <t c="4">
        <n x="396"/>
        <n x="12"/>
        <n x="32"/>
        <n x="1337" s="1"/>
      </t>
    </mdx>
    <mdx n="33" f="v">
      <t c="4" si="9">
        <n x="520"/>
        <n x="14"/>
        <n x="7"/>
        <n x="1337" s="1"/>
      </t>
    </mdx>
    <mdx n="33" f="v">
      <t c="3">
        <n x="68"/>
        <n x="1336"/>
        <n x="1337" s="1"/>
      </t>
    </mdx>
    <mdx n="33" f="v">
      <t c="4">
        <n x="998"/>
        <n x="11"/>
        <n x="7"/>
        <n x="1337" s="1"/>
      </t>
    </mdx>
    <mdx n="33" f="v">
      <t c="4">
        <n x="48"/>
        <n x="1"/>
        <n x="32"/>
        <n x="1337" s="1"/>
      </t>
    </mdx>
    <mdx n="33" f="v">
      <t c="4">
        <n x="62"/>
        <n x="11"/>
        <n x="7"/>
        <n x="1337" s="1"/>
      </t>
    </mdx>
    <mdx n="33" f="v">
      <t c="3">
        <n x="144"/>
        <n x="1336"/>
        <n x="1337" s="1"/>
      </t>
    </mdx>
    <mdx n="33" f="v">
      <t c="3">
        <n x="92"/>
        <n x="1336"/>
        <n x="1337" s="1"/>
      </t>
    </mdx>
    <mdx n="33" f="v">
      <t c="4">
        <n x="466"/>
        <n x="1"/>
        <n x="7"/>
        <n x="1337" s="1"/>
      </t>
    </mdx>
    <mdx n="33" f="v">
      <t c="4" si="10">
        <n x="1003"/>
        <n x="12"/>
        <n x="32"/>
        <n x="1337" s="1"/>
      </t>
    </mdx>
    <mdx n="33" f="v">
      <t c="4">
        <n x="456"/>
        <n x="1"/>
        <n x="7"/>
        <n x="1337" s="1"/>
      </t>
    </mdx>
    <mdx n="33" f="v">
      <t c="4">
        <n x="139"/>
        <n x="11"/>
        <n x="7"/>
        <n x="1337" s="1"/>
      </t>
    </mdx>
    <mdx n="33" f="v">
      <t c="4">
        <n x="1084"/>
        <n x="11"/>
        <n x="32"/>
        <n x="1337" s="1"/>
      </t>
    </mdx>
    <mdx n="33" f="v">
      <t c="4" si="10">
        <n x="1052"/>
        <n x="14"/>
        <n x="32"/>
        <n x="1337" s="1"/>
      </t>
    </mdx>
    <mdx n="33" f="v">
      <t c="4" si="10">
        <n x="1044"/>
        <n x="0"/>
        <n x="32"/>
        <n x="1337" s="1"/>
      </t>
    </mdx>
    <mdx n="33" f="v">
      <t c="4">
        <n x="999"/>
        <n x="14"/>
        <n x="7"/>
        <n x="1337" s="1"/>
      </t>
    </mdx>
    <mdx n="33" f="v">
      <t c="4">
        <n x="212"/>
        <n x="11"/>
        <n x="32"/>
        <n x="1337" s="1"/>
      </t>
    </mdx>
    <mdx n="33" f="v">
      <t c="4" si="10">
        <n x="854"/>
        <n x="12"/>
        <n x="32"/>
        <n x="1337" s="1"/>
      </t>
    </mdx>
    <mdx n="33" f="v">
      <t c="4">
        <n x="367"/>
        <n x="11"/>
        <n x="32"/>
        <n x="1337" s="1"/>
      </t>
    </mdx>
    <mdx n="33" f="v">
      <t c="4">
        <n x="366"/>
        <n x="11"/>
        <n x="32"/>
        <n x="1337" s="1"/>
      </t>
    </mdx>
    <mdx n="33" f="v">
      <t c="4">
        <n x="1099"/>
        <n x="14"/>
        <n x="32"/>
        <n x="1337" s="1"/>
      </t>
    </mdx>
    <mdx n="33" f="v">
      <t c="4">
        <n x="985"/>
        <n x="14"/>
        <n x="32"/>
        <n x="1337" s="1"/>
      </t>
    </mdx>
    <mdx n="33" f="v">
      <t c="4">
        <n x="558"/>
        <n x="14"/>
        <n x="32"/>
        <n x="1337" s="1"/>
      </t>
    </mdx>
    <mdx n="33" f="v">
      <t c="4">
        <n x="389"/>
        <n x="12"/>
        <n x="32"/>
        <n x="1337" s="1"/>
      </t>
    </mdx>
    <mdx n="33" f="v">
      <t c="4">
        <n x="130"/>
        <n x="1"/>
        <n x="7"/>
        <n x="1337" s="1"/>
      </t>
    </mdx>
    <mdx n="33" f="v">
      <t c="4">
        <n x="1051"/>
        <n x="11"/>
        <n x="7"/>
        <n x="1337" s="1"/>
      </t>
    </mdx>
    <mdx n="33" f="v">
      <t c="4">
        <n x="1111"/>
        <n x="14"/>
        <n x="32"/>
        <n x="1337" s="1"/>
      </t>
    </mdx>
    <mdx n="33" f="v">
      <t c="4" si="10">
        <n x="522"/>
        <n x="12"/>
        <n x="32"/>
        <n x="1337" s="1"/>
      </t>
    </mdx>
    <mdx n="33" f="v">
      <t c="3">
        <n x="881"/>
        <n x="1336"/>
        <n x="1337" s="1"/>
      </t>
    </mdx>
    <mdx n="33" f="v">
      <t c="4">
        <n x="496"/>
        <n x="11"/>
        <n x="7"/>
        <n x="1337" s="1"/>
      </t>
    </mdx>
    <mdx n="33" f="v">
      <t c="4">
        <n x="229"/>
        <n x="12"/>
        <n x="32"/>
        <n x="1337" s="1"/>
      </t>
    </mdx>
    <mdx n="33" f="v">
      <t c="4">
        <n x="1213"/>
        <n x="0"/>
        <n x="7"/>
        <n x="1337" s="1"/>
      </t>
    </mdx>
    <mdx n="33" f="v">
      <t c="3">
        <n x="57"/>
        <n x="1336"/>
        <n x="1337" s="1"/>
      </t>
    </mdx>
    <mdx n="33" f="v">
      <t c="4">
        <n x="138"/>
        <n x="1"/>
        <n x="7"/>
        <n x="1337" s="1"/>
      </t>
    </mdx>
    <mdx n="33" f="v">
      <t c="4">
        <n x="482"/>
        <n x="11"/>
        <n x="7"/>
        <n x="1337" s="1"/>
      </t>
    </mdx>
    <mdx n="33" f="v">
      <t c="4" si="10">
        <n x="910"/>
        <n x="0"/>
        <n x="32"/>
        <n x="1337" s="1"/>
      </t>
    </mdx>
    <mdx n="33" f="v">
      <t c="4">
        <n x="246"/>
        <n x="12"/>
        <n x="32"/>
        <n x="1337" s="1"/>
      </t>
    </mdx>
    <mdx n="33" f="v">
      <t c="4">
        <n x="407"/>
        <n x="11"/>
        <n x="7"/>
        <n x="1337" s="1"/>
      </t>
    </mdx>
    <mdx n="33" f="v">
      <t c="4" si="10">
        <n x="981"/>
        <n x="12"/>
        <n x="32"/>
        <n x="1337" s="1"/>
      </t>
    </mdx>
    <mdx n="33" f="v">
      <t c="4">
        <n x="682"/>
        <n x="1"/>
        <n x="7"/>
        <n x="1337" s="1"/>
      </t>
    </mdx>
    <mdx n="33" f="v">
      <t c="4" si="9">
        <n x="561"/>
        <n x="14"/>
        <n x="7"/>
        <n x="1337" s="1"/>
      </t>
    </mdx>
    <mdx n="33" f="v">
      <t c="4">
        <n x="736"/>
        <n x="1"/>
        <n x="7"/>
        <n x="1337" s="1"/>
      </t>
    </mdx>
    <mdx n="33" f="v">
      <t c="4">
        <n x="732"/>
        <n x="1"/>
        <n x="32"/>
        <n x="1337" s="1"/>
      </t>
    </mdx>
    <mdx n="33" f="v">
      <t c="4">
        <n x="293"/>
        <n x="1"/>
        <n x="32"/>
        <n x="1337" s="1"/>
      </t>
    </mdx>
    <mdx n="33" f="v">
      <t c="3">
        <n x="114"/>
        <n x="1336"/>
        <n x="1337" s="1"/>
      </t>
    </mdx>
    <mdx n="33" f="v">
      <t c="4">
        <n x="270"/>
        <n x="11"/>
        <n x="7"/>
        <n x="1337" s="1"/>
      </t>
    </mdx>
    <mdx n="33" f="v">
      <t c="3">
        <n x="1078"/>
        <n x="1336"/>
        <n x="1337" s="1"/>
      </t>
    </mdx>
    <mdx n="33" f="v">
      <t c="4">
        <n x="1104"/>
        <n x="14"/>
        <n x="32"/>
        <n x="1337" s="1"/>
      </t>
    </mdx>
    <mdx n="33" f="v">
      <t c="4">
        <n x="991"/>
        <n x="14"/>
        <n x="32"/>
        <n x="1337" s="1"/>
      </t>
    </mdx>
    <mdx n="33" f="v">
      <t c="4">
        <n x="992"/>
        <n x="11"/>
        <n x="7"/>
        <n x="1337" s="1"/>
      </t>
    </mdx>
    <mdx n="33" f="v">
      <t c="4">
        <n x="656"/>
        <n x="1"/>
        <n x="7"/>
        <n x="1337" s="1"/>
      </t>
    </mdx>
    <mdx n="33" f="v">
      <t c="4">
        <n x="504"/>
        <n x="11"/>
        <n x="7"/>
        <n x="1337" s="1"/>
      </t>
    </mdx>
    <mdx n="33" f="v">
      <t c="4">
        <n x="1207"/>
        <n x="12"/>
        <n x="32"/>
        <n x="1337" s="1"/>
      </t>
    </mdx>
    <mdx n="33" f="v">
      <t c="4">
        <n x="955"/>
        <n x="0"/>
        <n x="7"/>
        <n x="1337" s="1"/>
      </t>
    </mdx>
    <mdx n="33" f="v">
      <t c="4">
        <n x="216"/>
        <n x="12"/>
        <n x="32"/>
        <n x="1337" s="1"/>
      </t>
    </mdx>
    <mdx n="33" f="v">
      <t c="4" si="10">
        <n x="785"/>
        <n x="1"/>
        <n x="32"/>
        <n x="1337" s="1"/>
      </t>
    </mdx>
    <mdx n="33" f="v">
      <t c="4">
        <n x="1170"/>
        <n x="0"/>
        <n x="7"/>
        <n x="1337" s="1"/>
      </t>
    </mdx>
    <mdx n="33" f="v">
      <t c="4">
        <n x="384"/>
        <n x="11"/>
        <n x="32"/>
        <n x="1337" s="1"/>
      </t>
    </mdx>
    <mdx n="33" f="v">
      <t c="4">
        <n x="472"/>
        <n x="1"/>
        <n x="7"/>
        <n x="1337" s="1"/>
      </t>
    </mdx>
    <mdx n="33" f="v">
      <t c="4" si="10">
        <n x="1308"/>
        <n x="0"/>
        <n x="32"/>
        <n x="1337" s="1"/>
      </t>
    </mdx>
    <mdx n="33" f="v">
      <t c="4">
        <n x="1269"/>
        <n x="12"/>
        <n x="32"/>
        <n x="1337" s="1"/>
      </t>
    </mdx>
    <mdx n="33" f="v">
      <t c="4">
        <n x="1022"/>
        <n x="11"/>
        <n x="32"/>
        <n x="1337" s="1"/>
      </t>
    </mdx>
    <mdx n="33" f="v">
      <t c="4">
        <n x="91"/>
        <n x="11"/>
        <n x="32"/>
        <n x="1337" s="1"/>
      </t>
    </mdx>
    <mdx n="33" f="v">
      <t c="4" si="10">
        <n x="1093"/>
        <n x="12"/>
        <n x="32"/>
        <n x="1337" s="1"/>
      </t>
    </mdx>
    <mdx n="33" f="v">
      <t c="4">
        <n x="615"/>
        <n x="0"/>
        <n x="32"/>
        <n x="1337" s="1"/>
      </t>
    </mdx>
    <mdx n="33" f="v">
      <t c="4">
        <n x="196"/>
        <n x="11"/>
        <n x="7"/>
        <n x="1337" s="1"/>
      </t>
    </mdx>
    <mdx n="33" f="v">
      <t c="4">
        <n x="416"/>
        <n x="1"/>
        <n x="7"/>
        <n x="1337" s="1"/>
      </t>
    </mdx>
    <mdx n="33" f="v">
      <t c="4" si="10">
        <n x="783"/>
        <n x="1"/>
        <n x="32"/>
        <n x="1337" s="1"/>
      </t>
    </mdx>
    <mdx n="33" f="v">
      <t c="4">
        <n x="947"/>
        <n x="12"/>
        <n x="7"/>
        <n x="1337" s="1"/>
      </t>
    </mdx>
    <mdx n="33" f="v">
      <t c="4">
        <n x="1173"/>
        <n x="12"/>
        <n x="32"/>
        <n x="1337" s="1"/>
      </t>
    </mdx>
    <mdx n="33" f="v">
      <t c="4" si="10">
        <n x="688"/>
        <n x="12"/>
        <n x="32"/>
        <n x="1337" s="1"/>
      </t>
    </mdx>
    <mdx n="33" f="v">
      <t c="3">
        <n x="961"/>
        <n x="1336"/>
        <n x="1337" s="1"/>
      </t>
    </mdx>
    <mdx n="33" f="v">
      <t c="4">
        <n x="1208"/>
        <n x="12"/>
        <n x="32"/>
        <n x="1337" s="1"/>
      </t>
    </mdx>
    <mdx n="33" f="v">
      <t c="4">
        <n x="687"/>
        <n x="0"/>
        <n x="7"/>
        <n x="1337" s="1"/>
      </t>
    </mdx>
    <mdx n="33" f="v">
      <t c="4">
        <n x="880"/>
        <n x="11"/>
        <n x="32"/>
        <n x="1337" s="1"/>
      </t>
    </mdx>
    <mdx n="33" f="v">
      <t c="4">
        <n x="58"/>
        <n x="14"/>
        <n x="7"/>
        <n x="1337" s="1"/>
      </t>
    </mdx>
    <mdx n="33" f="v">
      <t c="4">
        <n x="374"/>
        <n x="1"/>
        <n x="32"/>
        <n x="1337" s="1"/>
      </t>
    </mdx>
    <mdx n="33" f="v">
      <t c="4">
        <n x="1098"/>
        <n x="0"/>
        <n x="7"/>
        <n x="1337" s="1"/>
      </t>
    </mdx>
    <mdx n="33" f="v">
      <t c="4">
        <n x="1097"/>
        <n x="14"/>
        <n x="7"/>
        <n x="1337" s="1"/>
      </t>
    </mdx>
    <mdx n="33" f="v">
      <t c="4">
        <n x="1184"/>
        <n x="12"/>
        <n x="32"/>
        <n x="1337" s="1"/>
      </t>
    </mdx>
    <mdx n="33" f="v">
      <t c="4" si="10">
        <n x="688"/>
        <n x="0"/>
        <n x="32"/>
        <n x="1337" s="1"/>
      </t>
    </mdx>
    <mdx n="33" f="v">
      <t c="4">
        <n x="1047"/>
        <n x="1"/>
        <n x="7"/>
        <n x="1337" s="1"/>
      </t>
    </mdx>
    <mdx n="33" f="v">
      <t c="4" si="10">
        <n x="1091"/>
        <n x="11"/>
        <n x="32"/>
        <n x="1337" s="1"/>
      </t>
    </mdx>
    <mdx n="33" f="v">
      <t c="4">
        <n x="133"/>
        <n x="12"/>
        <n x="32"/>
        <n x="1337" s="1"/>
      </t>
    </mdx>
    <mdx n="33" f="v">
      <t c="4">
        <n x="1102"/>
        <n x="11"/>
        <n x="32"/>
        <n x="1337" s="1"/>
      </t>
    </mdx>
    <mdx n="33" f="v">
      <t c="4">
        <n x="1144"/>
        <n x="0"/>
        <n x="7"/>
        <n x="1337" s="1"/>
      </t>
    </mdx>
    <mdx n="33" f="v">
      <t c="4">
        <n x="179"/>
        <n x="1"/>
        <n x="7"/>
        <n x="1337" s="1"/>
      </t>
    </mdx>
    <mdx n="33" f="v">
      <t c="4">
        <n x="1155"/>
        <n x="0"/>
        <n x="7"/>
        <n x="1337" s="1"/>
      </t>
    </mdx>
    <mdx n="33" f="v">
      <t c="4">
        <n x="746"/>
        <n x="0"/>
        <n x="7"/>
        <n x="1337" s="1"/>
      </t>
    </mdx>
    <mdx n="33" f="v">
      <t c="4" si="10">
        <n x="885"/>
        <n x="14"/>
        <n x="32"/>
        <n x="1337" s="1"/>
      </t>
    </mdx>
    <mdx n="33" f="v">
      <t c="4">
        <n x="969"/>
        <n x="11"/>
        <n x="32"/>
        <n x="1337" s="1"/>
      </t>
    </mdx>
    <mdx n="33" f="v">
      <t c="4">
        <n x="550"/>
        <n x="1"/>
        <n x="7"/>
        <n x="1337" s="1"/>
      </t>
    </mdx>
    <mdx n="33" f="v">
      <t c="4" si="10">
        <n x="454"/>
        <n x="12"/>
        <n x="32"/>
        <n x="1337" s="1"/>
      </t>
    </mdx>
    <mdx n="33" f="v">
      <t c="4">
        <n x="1027"/>
        <n x="12"/>
        <n x="7"/>
        <n x="1337" s="1"/>
      </t>
    </mdx>
    <mdx n="33" f="v">
      <t c="4">
        <n x="187"/>
        <n x="11"/>
        <n x="7"/>
        <n x="1337" s="1"/>
      </t>
    </mdx>
    <mdx n="33" f="v">
      <t c="4">
        <n x="524"/>
        <n x="11"/>
        <n x="32"/>
        <n x="1337" s="1"/>
      </t>
    </mdx>
    <mdx n="33" f="v">
      <t c="4">
        <n x="346"/>
        <n x="12"/>
        <n x="32"/>
        <n x="1337" s="1"/>
      </t>
    </mdx>
    <mdx n="33" f="v">
      <t c="4">
        <n x="738"/>
        <n x="11"/>
        <n x="32"/>
        <n x="1337" s="1"/>
      </t>
    </mdx>
    <mdx n="33" f="v">
      <t c="4" si="10">
        <n x="1037"/>
        <n x="14"/>
        <n x="32"/>
        <n x="1337" s="1"/>
      </t>
    </mdx>
    <mdx n="33" f="v">
      <t c="4">
        <n x="152"/>
        <n x="0"/>
        <n x="7"/>
        <n x="1337" s="1"/>
      </t>
    </mdx>
    <mdx n="33" f="v">
      <t c="4">
        <n x="365"/>
        <n x="11"/>
        <n x="7"/>
        <n x="1337" s="1"/>
      </t>
    </mdx>
    <mdx n="33" f="v">
      <t c="4">
        <n x="205"/>
        <n x="14"/>
        <n x="32"/>
        <n x="1337" s="1"/>
      </t>
    </mdx>
    <mdx n="33" f="v">
      <t c="4">
        <n x="402"/>
        <n x="14"/>
        <n x="32"/>
        <n x="1337" s="1"/>
      </t>
    </mdx>
    <mdx n="33" f="v">
      <t c="4">
        <n x="135"/>
        <n x="11"/>
        <n x="32"/>
        <n x="1337" s="1"/>
      </t>
    </mdx>
    <mdx n="33" f="v">
      <t c="3">
        <n x="56"/>
        <n x="1336"/>
        <n x="1337" s="1"/>
      </t>
    </mdx>
    <mdx n="33" f="v">
      <t c="4" si="10">
        <n x="542"/>
        <n x="14"/>
        <n x="32"/>
        <n x="1337" s="1"/>
      </t>
    </mdx>
    <mdx n="33" f="v">
      <t c="3">
        <n x="814"/>
        <n x="1336"/>
        <n x="1337" s="1"/>
      </t>
    </mdx>
    <mdx n="33" f="v">
      <t c="4" si="10">
        <n x="981"/>
        <n x="1"/>
        <n x="32"/>
        <n x="1337" s="1"/>
      </t>
    </mdx>
    <mdx n="33" f="v">
      <t c="4" si="10">
        <n x="560"/>
        <n x="12"/>
        <n x="32"/>
        <n x="1337" s="1"/>
      </t>
    </mdx>
    <mdx n="33" f="v">
      <t c="4">
        <n x="129"/>
        <n x="11"/>
        <n x="7"/>
        <n x="1337" s="1"/>
      </t>
    </mdx>
    <mdx n="33" f="v">
      <t c="4">
        <n x="79"/>
        <n x="1"/>
        <n x="32"/>
        <n x="1337" s="1"/>
      </t>
    </mdx>
    <mdx n="33" f="v">
      <t c="4">
        <n x="865"/>
        <n x="12"/>
        <n x="7"/>
        <n x="1337" s="1"/>
      </t>
    </mdx>
    <mdx n="33" f="v">
      <t c="4">
        <n x="364"/>
        <n x="11"/>
        <n x="32"/>
        <n x="1337" s="1"/>
      </t>
    </mdx>
    <mdx n="33" f="v">
      <t c="4">
        <n x="1110"/>
        <n x="12"/>
        <n x="32"/>
        <n x="1337" s="1"/>
      </t>
    </mdx>
    <mdx n="33" f="v">
      <t c="4" si="10">
        <n x="697"/>
        <n x="12"/>
        <n x="32"/>
        <n x="1337" s="1"/>
      </t>
    </mdx>
    <mdx n="33" f="v">
      <t c="4" si="10">
        <n x="586"/>
        <n x="14"/>
        <n x="32"/>
        <n x="1337" s="1"/>
      </t>
    </mdx>
    <mdx n="33" f="v">
      <t c="4">
        <n x="833"/>
        <n x="1"/>
        <n x="32"/>
        <n x="1337" s="1"/>
      </t>
    </mdx>
    <mdx n="33" f="v">
      <t c="4">
        <n x="467"/>
        <n x="11"/>
        <n x="7"/>
        <n x="1337" s="1"/>
      </t>
    </mdx>
    <mdx n="33" f="v">
      <t c="4">
        <n x="988"/>
        <n x="11"/>
        <n x="32"/>
        <n x="1337" s="1"/>
      </t>
    </mdx>
    <mdx n="33" f="v">
      <t c="4" si="9">
        <n x="588"/>
        <n x="14"/>
        <n x="7"/>
        <n x="1337" s="1"/>
      </t>
    </mdx>
    <mdx n="33" f="v">
      <t c="4">
        <n x="173"/>
        <n x="11"/>
        <n x="32"/>
        <n x="1337" s="1"/>
      </t>
    </mdx>
    <mdx n="33" f="v">
      <t c="4">
        <n x="559"/>
        <n x="11"/>
        <n x="7"/>
        <n x="1337" s="1"/>
      </t>
    </mdx>
    <mdx n="33" f="v">
      <t c="4">
        <n x="107"/>
        <n x="12"/>
        <n x="32"/>
        <n x="1337" s="1"/>
      </t>
    </mdx>
    <mdx n="33" f="v">
      <t c="3">
        <n x="95"/>
        <n x="1336"/>
        <n x="1337" s="1"/>
      </t>
    </mdx>
    <mdx n="33" f="v">
      <t c="4" si="10">
        <n x="1045"/>
        <n x="12"/>
        <n x="32"/>
        <n x="1337" s="1"/>
      </t>
    </mdx>
    <mdx n="33" f="v">
      <t c="3">
        <n x="846"/>
        <n x="1336"/>
        <n x="1337" s="1"/>
      </t>
    </mdx>
    <mdx n="33" f="v">
      <t c="4">
        <n x="873"/>
        <n x="12"/>
        <n x="7"/>
        <n x="1337" s="1"/>
      </t>
    </mdx>
    <mdx n="33" f="v">
      <t c="4">
        <n x="57"/>
        <n x="11"/>
        <n x="7"/>
        <n x="1337" s="1"/>
      </t>
    </mdx>
    <mdx n="33" f="v">
      <t c="4">
        <n x="557"/>
        <n x="11"/>
        <n x="32"/>
        <n x="1337" s="1"/>
      </t>
    </mdx>
    <mdx n="33" f="v">
      <t c="4">
        <n x="307"/>
        <n x="14"/>
        <n x="7"/>
        <n x="1337" s="1"/>
      </t>
    </mdx>
    <mdx n="33" f="v">
      <t c="4">
        <n x="104"/>
        <n x="11"/>
        <n x="32"/>
        <n x="1337" s="1"/>
      </t>
    </mdx>
    <mdx n="33" f="v">
      <t c="4">
        <n x="243"/>
        <n x="11"/>
        <n x="7"/>
        <n x="1337" s="1"/>
      </t>
    </mdx>
    <mdx n="33" f="v">
      <t c="4" si="10">
        <n x="505"/>
        <n x="14"/>
        <n x="32"/>
        <n x="1337" s="1"/>
      </t>
    </mdx>
    <mdx n="33" f="v">
      <t c="3">
        <n x="73"/>
        <n x="1336"/>
        <n x="1337" s="1"/>
      </t>
    </mdx>
    <mdx n="33" f="v">
      <t c="4">
        <n x="1095"/>
        <n x="12"/>
        <n x="7"/>
        <n x="1337" s="1"/>
      </t>
    </mdx>
    <mdx n="33" f="v">
      <t c="4" si="10">
        <n x="293"/>
        <n x="12"/>
        <n x="32"/>
        <n x="1337" s="1"/>
      </t>
    </mdx>
    <mdx n="33" f="v">
      <t c="3">
        <n x="775"/>
        <n x="1336"/>
        <n x="1337" s="1"/>
      </t>
    </mdx>
    <mdx n="33" f="v">
      <t c="4">
        <n x="1085"/>
        <n x="1"/>
        <n x="32"/>
        <n x="1337" s="1"/>
      </t>
    </mdx>
    <mdx n="33" f="v">
      <t c="3">
        <n x="69"/>
        <n x="1336"/>
        <n x="1337" s="1"/>
      </t>
    </mdx>
    <mdx n="33" f="v">
      <t c="4">
        <n x="278"/>
        <n x="12"/>
        <n x="32"/>
        <n x="1337" s="1"/>
      </t>
    </mdx>
    <mdx n="33" f="v">
      <t c="4">
        <n x="878"/>
        <n x="0"/>
        <n x="7"/>
        <n x="1337" s="1"/>
      </t>
    </mdx>
    <mdx n="33" f="v">
      <t c="4" si="10">
        <n x="613"/>
        <n x="14"/>
        <n x="32"/>
        <n x="1337" s="1"/>
      </t>
    </mdx>
    <mdx n="33" f="v">
      <t c="4">
        <n x="139"/>
        <n x="0"/>
        <n x="7"/>
        <n x="1337" s="1"/>
      </t>
    </mdx>
    <mdx n="33" f="v">
      <t c="4" si="10">
        <n x="834"/>
        <n x="14"/>
        <n x="32"/>
        <n x="1337" s="1"/>
      </t>
    </mdx>
    <mdx n="33" f="v">
      <t c="4">
        <n x="277"/>
        <n x="12"/>
        <n x="32"/>
        <n x="1337" s="1"/>
      </t>
    </mdx>
    <mdx n="33" f="v">
      <t c="3">
        <n x="143"/>
        <n x="1336"/>
        <n x="1337" s="1"/>
      </t>
    </mdx>
    <mdx n="33" f="v">
      <t c="4" si="10">
        <n x="591"/>
        <n x="14"/>
        <n x="32"/>
        <n x="1337" s="1"/>
      </t>
    </mdx>
    <mdx n="33" f="v">
      <t c="4">
        <n x="347"/>
        <n x="14"/>
        <n x="7"/>
        <n x="1337" s="1"/>
      </t>
    </mdx>
    <mdx n="33" f="v">
      <t c="4">
        <n x="110"/>
        <n x="11"/>
        <n x="7"/>
        <n x="1337" s="1"/>
      </t>
    </mdx>
    <mdx n="33" f="v">
      <t c="4">
        <n x="155"/>
        <n x="0"/>
        <n x="7"/>
        <n x="1337" s="1"/>
      </t>
    </mdx>
    <mdx n="33" f="v">
      <t c="4">
        <n x="214"/>
        <n x="14"/>
        <n x="7"/>
        <n x="1337" s="1"/>
      </t>
    </mdx>
    <mdx n="33" f="v">
      <t c="3">
        <n x="854"/>
        <n x="1336"/>
        <n x="1337" s="1"/>
      </t>
    </mdx>
    <mdx n="33" f="v">
      <t c="4">
        <n x="964"/>
        <n x="12"/>
        <n x="32"/>
        <n x="1337" s="1"/>
      </t>
    </mdx>
    <mdx n="33" f="v">
      <t c="4">
        <n x="490"/>
        <n x="11"/>
        <n x="7"/>
        <n x="1337" s="1"/>
      </t>
    </mdx>
    <mdx n="33" f="v">
      <t c="4">
        <n x="890"/>
        <n x="0"/>
        <n x="7"/>
        <n x="1337" s="1"/>
      </t>
    </mdx>
    <mdx n="33" f="v">
      <t c="3">
        <n x="1046"/>
        <n x="1336"/>
        <n x="1337" s="1"/>
      </t>
    </mdx>
    <mdx n="33" f="v">
      <t c="4">
        <n x="212"/>
        <n x="14"/>
        <n x="32"/>
        <n x="1337" s="1"/>
      </t>
    </mdx>
    <mdx n="33" f="v">
      <t c="4">
        <n x="329"/>
        <n x="11"/>
        <n x="7"/>
        <n x="1337" s="1"/>
      </t>
    </mdx>
    <mdx n="33" f="v">
      <t c="4">
        <n x="441"/>
        <n x="1"/>
        <n x="7"/>
        <n x="1337" s="1"/>
      </t>
    </mdx>
    <mdx n="33" f="v">
      <t c="4">
        <n x="597"/>
        <n x="1"/>
        <n x="7"/>
        <n x="1337" s="1"/>
      </t>
    </mdx>
    <mdx n="33" f="v">
      <t c="4">
        <n x="385"/>
        <n x="11"/>
        <n x="7"/>
        <n x="1337" s="1"/>
      </t>
    </mdx>
    <mdx n="33" f="v">
      <t c="4">
        <n x="263"/>
        <n x="12"/>
        <n x="32"/>
        <n x="1337" s="1"/>
      </t>
    </mdx>
    <mdx n="33" f="v">
      <t c="4">
        <n x="317"/>
        <n x="14"/>
        <n x="32"/>
        <n x="1337" s="1"/>
      </t>
    </mdx>
    <mdx n="33" f="v">
      <t c="4">
        <n x="105"/>
        <n x="14"/>
        <n x="7"/>
        <n x="1337" s="1"/>
      </t>
    </mdx>
    <mdx n="33" f="v">
      <t c="4">
        <n x="1120"/>
        <n x="0"/>
        <n x="7"/>
        <n x="1337" s="1"/>
      </t>
    </mdx>
    <mdx n="33" f="v">
      <t c="4" si="10">
        <n x="539"/>
        <n x="12"/>
        <n x="32"/>
        <n x="1337" s="1"/>
      </t>
    </mdx>
    <mdx n="33" f="v">
      <t c="4">
        <n x="594"/>
        <n x="14"/>
        <n x="7"/>
        <n x="1337" s="1"/>
      </t>
    </mdx>
    <mdx n="33" f="v">
      <t c="4" si="9">
        <n x="505"/>
        <n x="1"/>
        <n x="7"/>
        <n x="1337" s="1"/>
      </t>
    </mdx>
    <mdx n="33" f="v">
      <t c="4" si="10">
        <n x="1261"/>
        <n x="12"/>
        <n x="32"/>
        <n x="1337" s="1"/>
      </t>
    </mdx>
    <mdx n="33" f="v">
      <t c="4">
        <n x="725"/>
        <n x="12"/>
        <n x="32"/>
        <n x="1337" s="1"/>
      </t>
    </mdx>
    <mdx n="33" f="v">
      <t c="4">
        <n x="59"/>
        <n x="14"/>
        <n x="7"/>
        <n x="1337" s="1"/>
      </t>
    </mdx>
    <mdx n="33" f="v">
      <t c="4">
        <n x="68"/>
        <n x="1"/>
        <n x="32"/>
        <n x="1337" s="1"/>
      </t>
    </mdx>
    <mdx n="33" f="v">
      <t c="4" si="10">
        <n x="570"/>
        <n x="14"/>
        <n x="32"/>
        <n x="1337" s="1"/>
      </t>
    </mdx>
    <mdx n="33" f="v">
      <t c="4">
        <n x="1305"/>
        <n x="0"/>
        <n x="7"/>
        <n x="1337" s="1"/>
      </t>
    </mdx>
    <mdx n="33" f="v">
      <t c="4" si="10">
        <n x="567"/>
        <n x="14"/>
        <n x="32"/>
        <n x="1337" s="1"/>
      </t>
    </mdx>
    <mdx n="33" f="v">
      <t c="4">
        <n x="88"/>
        <n x="1"/>
        <n x="32"/>
        <n x="1337" s="1"/>
      </t>
    </mdx>
    <mdx n="33" f="v">
      <t c="3">
        <n x="126"/>
        <n x="1336"/>
        <n x="1337" s="1"/>
      </t>
    </mdx>
    <mdx n="33" f="v">
      <t c="4">
        <n x="726"/>
        <n x="11"/>
        <n x="32"/>
        <n x="1337" s="1"/>
      </t>
    </mdx>
    <mdx n="33" f="v">
      <t c="4" si="10">
        <n x="1059"/>
        <n x="12"/>
        <n x="32"/>
        <n x="1337" s="1"/>
      </t>
    </mdx>
    <mdx n="33" f="v">
      <t c="4" si="10">
        <n x="571"/>
        <n x="12"/>
        <n x="32"/>
        <n x="1337" s="1"/>
      </t>
    </mdx>
    <mdx n="33" f="v">
      <t c="4" si="10">
        <n x="850"/>
        <n x="0"/>
        <n x="32"/>
        <n x="1337" s="1"/>
      </t>
    </mdx>
    <mdx n="33" f="v">
      <t c="4">
        <n x="180"/>
        <n x="14"/>
        <n x="32"/>
        <n x="1337" s="1"/>
      </t>
    </mdx>
    <mdx n="33" f="v">
      <t c="4">
        <n x="674"/>
        <n x="12"/>
        <n x="7"/>
        <n x="1337" s="1"/>
      </t>
    </mdx>
    <mdx n="33" f="v">
      <t c="3">
        <n x="972"/>
        <n x="1336"/>
        <n x="1337" s="1"/>
      </t>
    </mdx>
    <mdx n="33" f="v">
      <t c="4">
        <n x="970"/>
        <n x="11"/>
        <n x="7"/>
        <n x="1337" s="1"/>
      </t>
    </mdx>
    <mdx n="33" f="v">
      <t c="4">
        <n x="826"/>
        <n x="12"/>
        <n x="32"/>
        <n x="1337" s="1"/>
      </t>
    </mdx>
    <mdx n="33" f="v">
      <t c="4">
        <n x="1299"/>
        <n x="0"/>
        <n x="32"/>
        <n x="1337" s="1"/>
      </t>
    </mdx>
    <mdx n="33" f="v">
      <t c="4">
        <n x="261"/>
        <n x="14"/>
        <n x="7"/>
        <n x="1337" s="1"/>
      </t>
    </mdx>
    <mdx n="33" f="v">
      <t c="4">
        <n x="384"/>
        <n x="12"/>
        <n x="32"/>
        <n x="1337" s="1"/>
      </t>
    </mdx>
    <mdx n="33" f="v">
      <t c="4" si="10">
        <n x="868"/>
        <n x="12"/>
        <n x="32"/>
        <n x="1337" s="1"/>
      </t>
    </mdx>
    <mdx n="33" f="v">
      <t c="4" si="10">
        <n x="930"/>
        <n x="1"/>
        <n x="32"/>
        <n x="1337" s="1"/>
      </t>
    </mdx>
    <mdx n="33" f="v">
      <t c="4">
        <n x="189"/>
        <n x="11"/>
        <n x="7"/>
        <n x="1337" s="1"/>
      </t>
    </mdx>
    <mdx n="33" f="v">
      <t c="4">
        <n x="184"/>
        <n x="11"/>
        <n x="7"/>
        <n x="1337" s="1"/>
      </t>
    </mdx>
    <mdx n="33" f="v">
      <t c="4">
        <n x="450"/>
        <n x="11"/>
        <n x="7"/>
        <n x="1337" s="1"/>
      </t>
    </mdx>
    <mdx n="33" f="v">
      <t c="4" si="9">
        <n x="604"/>
        <n x="14"/>
        <n x="7"/>
        <n x="1337" s="1"/>
      </t>
    </mdx>
    <mdx n="33" f="v">
      <t c="4">
        <n x="978"/>
        <n x="12"/>
        <n x="32"/>
        <n x="1337" s="1"/>
      </t>
    </mdx>
    <mdx n="33" f="v">
      <t c="4">
        <n x="895"/>
        <n x="11"/>
        <n x="7"/>
        <n x="1337" s="1"/>
      </t>
    </mdx>
    <mdx n="33" f="v">
      <t c="4" si="10">
        <n x="942"/>
        <n x="1"/>
        <n x="32"/>
        <n x="1337" s="1"/>
      </t>
    </mdx>
    <mdx n="33" f="v">
      <t c="4" si="10">
        <n x="856"/>
        <n x="14"/>
        <n x="32"/>
        <n x="1337" s="1"/>
      </t>
    </mdx>
    <mdx n="33" f="v">
      <t c="4">
        <n x="96"/>
        <n x="14"/>
        <n x="32"/>
        <n x="1337" s="1"/>
      </t>
    </mdx>
    <mdx n="33" f="v">
      <t c="4">
        <n x="927"/>
        <n x="11"/>
        <n x="7"/>
        <n x="1337" s="1"/>
      </t>
    </mdx>
    <mdx n="33" f="v">
      <t c="4">
        <n x="1102"/>
        <n x="0"/>
        <n x="7"/>
        <n x="1337" s="1"/>
      </t>
    </mdx>
    <mdx n="33" f="v">
      <t c="4" si="10">
        <n x="945"/>
        <n x="12"/>
        <n x="32"/>
        <n x="1337" s="1"/>
      </t>
    </mdx>
    <mdx n="33" f="v">
      <t c="4">
        <n x="509"/>
        <n x="11"/>
        <n x="7"/>
        <n x="1337" s="1"/>
      </t>
    </mdx>
    <mdx n="33" f="v">
      <t c="4">
        <n x="113"/>
        <n x="11"/>
        <n x="32"/>
        <n x="1337" s="1"/>
      </t>
    </mdx>
    <mdx n="33" f="v">
      <t c="4">
        <n x="841"/>
        <n x="11"/>
        <n x="7"/>
        <n x="1337" s="1"/>
      </t>
    </mdx>
    <mdx n="33" f="v">
      <t c="4">
        <n x="598"/>
        <n x="11"/>
        <n x="7"/>
        <n x="1337" s="1"/>
      </t>
    </mdx>
    <mdx n="33" f="v">
      <t c="4">
        <n x="213"/>
        <n x="1"/>
        <n x="7"/>
        <n x="1337" s="1"/>
      </t>
    </mdx>
    <mdx n="33" f="v">
      <t c="4">
        <n x="1066"/>
        <n x="12"/>
        <n x="32"/>
        <n x="1337" s="1"/>
      </t>
    </mdx>
    <mdx n="33" f="v">
      <t c="4" si="10">
        <n x="447"/>
        <n x="14"/>
        <n x="32"/>
        <n x="1337" s="1"/>
      </t>
    </mdx>
    <mdx n="33" f="v">
      <t c="4" si="10">
        <n x="479"/>
        <n x="11"/>
        <n x="32"/>
        <n x="1337" s="1"/>
      </t>
    </mdx>
    <mdx n="33" f="v">
      <t c="3">
        <n x="91"/>
        <n x="1336"/>
        <n x="1337" s="1"/>
      </t>
    </mdx>
    <mdx n="33" f="v">
      <t c="4">
        <n x="297"/>
        <n x="0"/>
        <n x="7"/>
        <n x="1337" s="1"/>
      </t>
    </mdx>
    <mdx n="33" f="v">
      <t c="4">
        <n x="72"/>
        <n x="12"/>
        <n x="32"/>
        <n x="1337" s="1"/>
      </t>
    </mdx>
    <mdx n="33" f="v">
      <t c="4">
        <n x="303"/>
        <n x="0"/>
        <n x="7"/>
        <n x="1337" s="1"/>
      </t>
    </mdx>
    <mdx n="33" f="v">
      <t c="4">
        <n x="361"/>
        <n x="11"/>
        <n x="7"/>
        <n x="1337" s="1"/>
      </t>
    </mdx>
    <mdx n="33" f="v">
      <t c="4">
        <n x="201"/>
        <n x="14"/>
        <n x="32"/>
        <n x="1337" s="1"/>
      </t>
    </mdx>
    <mdx n="33" f="v">
      <t c="4">
        <n x="1072"/>
        <n x="11"/>
        <n x="7"/>
        <n x="1337" s="1"/>
      </t>
    </mdx>
    <mdx n="33" f="v">
      <t c="4" si="10">
        <n x="861"/>
        <n x="11"/>
        <n x="32"/>
        <n x="1337" s="1"/>
      </t>
    </mdx>
    <mdx n="33" f="v">
      <t c="4">
        <n x="223"/>
        <n x="11"/>
        <n x="7"/>
        <n x="1337" s="1"/>
      </t>
    </mdx>
    <mdx n="33" f="v">
      <t c="4">
        <n x="589"/>
        <n x="11"/>
        <n x="32"/>
        <n x="1337" s="1"/>
      </t>
    </mdx>
    <mdx n="33" f="v">
      <t c="4">
        <n x="373"/>
        <n x="14"/>
        <n x="7"/>
        <n x="1337" s="1"/>
      </t>
    </mdx>
    <mdx n="33" f="v">
      <t c="4">
        <n x="885"/>
        <n x="1"/>
        <n x="7"/>
        <n x="1337" s="1"/>
      </t>
    </mdx>
    <mdx n="33" f="v">
      <t c="3">
        <n x="1098"/>
        <n x="1336"/>
        <n x="1337" s="1"/>
      </t>
    </mdx>
    <mdx n="33" f="v">
      <t c="4">
        <n x="105"/>
        <n x="12"/>
        <n x="32"/>
        <n x="1337" s="1"/>
      </t>
    </mdx>
    <mdx n="33" f="v">
      <t c="4">
        <n x="121"/>
        <n x="11"/>
        <n x="7"/>
        <n x="1337" s="1"/>
      </t>
    </mdx>
    <mdx n="33" f="v">
      <t c="4">
        <n x="428"/>
        <n x="14"/>
        <n x="32"/>
        <n x="1337" s="1"/>
      </t>
    </mdx>
    <mdx n="33" f="v">
      <t c="4">
        <n x="1309"/>
        <n x="0"/>
        <n x="7"/>
        <n x="1337" s="1"/>
      </t>
    </mdx>
    <mdx n="33" f="v">
      <t c="4">
        <n x="197"/>
        <n x="14"/>
        <n x="32"/>
        <n x="1337" s="1"/>
      </t>
    </mdx>
    <mdx n="33" f="v">
      <t c="4" si="10">
        <n x="1063"/>
        <n x="0"/>
        <n x="32"/>
        <n x="1337" s="1"/>
      </t>
    </mdx>
    <mdx n="33" f="v">
      <t c="4">
        <n x="303"/>
        <n x="11"/>
        <n x="7"/>
        <n x="1337" s="1"/>
      </t>
    </mdx>
    <mdx n="33" f="v">
      <t c="4">
        <n x="713"/>
        <n x="12"/>
        <n x="32"/>
        <n x="1337" s="1"/>
      </t>
    </mdx>
    <mdx n="33" f="v">
      <t c="4">
        <n x="375"/>
        <n x="1"/>
        <n x="7"/>
        <n x="1337" s="1"/>
      </t>
    </mdx>
    <mdx n="33" f="v">
      <t c="4" si="10">
        <n x="548"/>
        <n x="14"/>
        <n x="32"/>
        <n x="1337" s="1"/>
      </t>
    </mdx>
    <mdx n="33" f="v">
      <t c="3">
        <n x="1332"/>
        <n x="1336"/>
        <n x="1337" s="1"/>
      </t>
    </mdx>
    <mdx n="33" f="v">
      <t c="4" si="10">
        <n x="456"/>
        <n x="12"/>
        <n x="32"/>
        <n x="1337" s="1"/>
      </t>
    </mdx>
    <mdx n="33" f="v">
      <t c="4">
        <n x="158"/>
        <n x="14"/>
        <n x="7"/>
        <n x="1337" s="1"/>
      </t>
    </mdx>
    <mdx n="33" f="v">
      <t c="3">
        <n x="137"/>
        <n x="1336"/>
        <n x="1337" s="1"/>
      </t>
    </mdx>
    <mdx n="33" f="v">
      <t c="4">
        <n x="1193"/>
        <n x="0"/>
        <n x="7"/>
        <n x="1337" s="1"/>
      </t>
    </mdx>
    <mdx n="33" f="v">
      <t c="4" si="10">
        <n x="1120"/>
        <n x="1"/>
        <n x="32"/>
        <n x="1337" s="1"/>
      </t>
    </mdx>
    <mdx n="33" f="v">
      <t c="4">
        <n x="143"/>
        <n x="11"/>
        <n x="7"/>
        <n x="1337" s="1"/>
      </t>
    </mdx>
    <mdx n="33" f="v">
      <t c="4">
        <n x="824"/>
        <n x="12"/>
        <n x="32"/>
        <n x="1337" s="1"/>
      </t>
    </mdx>
    <mdx n="33" f="v">
      <t c="4">
        <n x="301"/>
        <n x="1"/>
        <n x="7"/>
        <n x="1337" s="1"/>
      </t>
    </mdx>
    <mdx n="33" f="v">
      <t c="4" si="10">
        <n x="476"/>
        <n x="14"/>
        <n x="32"/>
        <n x="1337" s="1"/>
      </t>
    </mdx>
    <mdx n="33" f="v">
      <t c="3">
        <n x="103"/>
        <n x="1336"/>
        <n x="1337" s="1"/>
      </t>
    </mdx>
    <mdx n="33" f="v">
      <t c="4">
        <n x="147"/>
        <n x="12"/>
        <n x="32"/>
        <n x="1337" s="1"/>
      </t>
    </mdx>
    <mdx n="33" f="v">
      <t c="4" si="10">
        <n x="943"/>
        <n x="1"/>
        <n x="32"/>
        <n x="1337" s="1"/>
      </t>
    </mdx>
    <mdx n="33" f="v">
      <t c="4">
        <n x="439"/>
        <n x="11"/>
        <n x="32"/>
        <n x="1337" s="1"/>
      </t>
    </mdx>
    <mdx n="33" f="v">
      <t c="4">
        <n x="183"/>
        <n x="14"/>
        <n x="32"/>
        <n x="1337" s="1"/>
      </t>
    </mdx>
    <mdx n="33" f="v">
      <t c="4">
        <n x="130"/>
        <n x="0"/>
        <n x="7"/>
        <n x="1337" s="1"/>
      </t>
    </mdx>
    <mdx n="33" f="v">
      <t c="4">
        <n x="174"/>
        <n x="12"/>
        <n x="32"/>
        <n x="1337" s="1"/>
      </t>
    </mdx>
    <mdx n="33" f="v">
      <t c="4" si="10">
        <n x="1054"/>
        <n x="12"/>
        <n x="32"/>
        <n x="1337" s="1"/>
      </t>
    </mdx>
    <mdx n="33" f="v">
      <t c="4">
        <n x="403"/>
        <n x="14"/>
        <n x="32"/>
        <n x="1337" s="1"/>
      </t>
    </mdx>
    <mdx n="33" f="v">
      <t c="4">
        <n x="299"/>
        <n x="11"/>
        <n x="32"/>
        <n x="1337" s="1"/>
      </t>
    </mdx>
    <mdx n="33" f="v">
      <t c="4">
        <n x="1332"/>
        <n x="0"/>
        <n x="7"/>
        <n x="1337" s="1"/>
      </t>
    </mdx>
    <mdx n="33" f="v">
      <t c="4">
        <n x="98"/>
        <n x="1"/>
        <n x="32"/>
        <n x="1337" s="1"/>
      </t>
    </mdx>
    <mdx n="33" f="v">
      <t c="4">
        <n x="97"/>
        <n x="1"/>
        <n x="7"/>
        <n x="1337" s="1"/>
      </t>
    </mdx>
    <mdx n="33" f="v">
      <t c="3">
        <n x="779"/>
        <n x="1336"/>
        <n x="1337" s="1"/>
      </t>
    </mdx>
    <mdx n="33" f="v">
      <t c="4" si="9">
        <n x="527"/>
        <n x="0"/>
        <n x="7"/>
        <n x="1337" s="1"/>
      </t>
    </mdx>
    <mdx n="33" f="v">
      <t c="4">
        <n x="1013"/>
        <n x="12"/>
        <n x="32"/>
        <n x="1337" s="1"/>
      </t>
    </mdx>
    <mdx n="33" f="v">
      <t c="4">
        <n x="70"/>
        <n x="1"/>
        <n x="32"/>
        <n x="1337" s="1"/>
      </t>
    </mdx>
    <mdx n="33" f="v">
      <t c="4" si="10">
        <n x="1252"/>
        <n x="0"/>
        <n x="32"/>
        <n x="1337" s="1"/>
      </t>
    </mdx>
    <mdx n="33" f="v">
      <t c="4">
        <n x="1157"/>
        <n x="0"/>
        <n x="7"/>
        <n x="1337" s="1"/>
      </t>
    </mdx>
    <mdx n="33" f="v">
      <t c="4" si="10">
        <n x="1175"/>
        <n x="0"/>
        <n x="32"/>
        <n x="1337" s="1"/>
      </t>
    </mdx>
    <mdx n="33" f="v">
      <t c="4">
        <n x="1334"/>
        <n x="0"/>
        <n x="32"/>
        <n x="1337" s="1"/>
      </t>
    </mdx>
    <mdx n="33" f="v">
      <t c="4">
        <n x="505"/>
        <n x="11"/>
        <n x="7"/>
        <n x="1337" s="1"/>
      </t>
    </mdx>
    <mdx n="33" f="v">
      <t c="4" si="10">
        <n x="1326"/>
        <n x="12"/>
        <n x="32"/>
        <n x="1337" s="1"/>
      </t>
    </mdx>
    <mdx n="33" f="v">
      <t c="4" si="10">
        <n x="1017"/>
        <n x="1"/>
        <n x="32"/>
        <n x="1337" s="1"/>
      </t>
    </mdx>
    <mdx n="33" f="v">
      <t c="4">
        <n x="1010"/>
        <n x="1"/>
        <n x="7"/>
        <n x="1337" s="1"/>
      </t>
    </mdx>
    <mdx n="33" f="v">
      <t c="4" si="10">
        <n x="1130"/>
        <n x="12"/>
        <n x="32"/>
        <n x="1337" s="1"/>
      </t>
    </mdx>
    <mdx n="33" f="v">
      <t c="4">
        <n x="107"/>
        <n x="14"/>
        <n x="32"/>
        <n x="1337" s="1"/>
      </t>
    </mdx>
    <mdx n="33" f="v">
      <t c="4" si="10">
        <n x="470"/>
        <n x="14"/>
        <n x="32"/>
        <n x="1337" s="1"/>
      </t>
    </mdx>
    <mdx n="33" f="v">
      <t c="4">
        <n x="100"/>
        <n x="1"/>
        <n x="32"/>
        <n x="1337" s="1"/>
      </t>
    </mdx>
    <mdx n="33" f="v">
      <t c="4" si="10">
        <n x="464"/>
        <n x="14"/>
        <n x="32"/>
        <n x="1337" s="1"/>
      </t>
    </mdx>
    <mdx n="33" f="v">
      <t c="3">
        <n x="150"/>
        <n x="1336"/>
        <n x="1337" s="1"/>
      </t>
    </mdx>
    <mdx n="33" f="v">
      <t c="4">
        <n x="309"/>
        <n x="12"/>
        <n x="32"/>
        <n x="1337" s="1"/>
      </t>
    </mdx>
    <mdx n="33" f="v">
      <t c="4">
        <n x="1262"/>
        <n x="0"/>
        <n x="7"/>
        <n x="1337" s="1"/>
      </t>
    </mdx>
    <mdx n="33" f="v">
      <t c="4">
        <n x="305"/>
        <n x="12"/>
        <n x="32"/>
        <n x="1337" s="1"/>
      </t>
    </mdx>
    <mdx n="33" f="v">
      <t c="4">
        <n x="1061"/>
        <n x="14"/>
        <n x="7"/>
        <n x="1337" s="1"/>
      </t>
    </mdx>
    <mdx n="33" f="v">
      <t c="4">
        <n x="1223"/>
        <n x="12"/>
        <n x="32"/>
        <n x="1337" s="1"/>
      </t>
    </mdx>
    <mdx n="33" f="v">
      <t c="4">
        <n x="110"/>
        <n x="1"/>
        <n x="7"/>
        <n x="1337" s="1"/>
      </t>
    </mdx>
    <mdx n="33" f="v">
      <t c="4">
        <n x="1249"/>
        <n x="12"/>
        <n x="32"/>
        <n x="1337" s="1"/>
      </t>
    </mdx>
    <mdx n="33" f="v">
      <t c="4" si="10">
        <n x="619"/>
        <n x="14"/>
        <n x="32"/>
        <n x="1337" s="1"/>
      </t>
    </mdx>
    <mdx n="33" f="v">
      <t c="4">
        <n x="875"/>
        <n x="11"/>
        <n x="32"/>
        <n x="1337" s="1"/>
      </t>
    </mdx>
    <mdx n="33" f="v">
      <t c="4" si="10">
        <n x="457"/>
        <n x="14"/>
        <n x="32"/>
        <n x="1337" s="1"/>
      </t>
    </mdx>
    <mdx n="33" f="v">
      <t c="4">
        <n x="123"/>
        <n x="0"/>
        <n x="7"/>
        <n x="1337" s="1"/>
      </t>
    </mdx>
    <mdx n="33" f="v">
      <t c="4">
        <n x="101"/>
        <n x="1"/>
        <n x="32"/>
        <n x="1337" s="1"/>
      </t>
    </mdx>
    <mdx n="33" f="v">
      <t c="4">
        <n x="964"/>
        <n x="14"/>
        <n x="32"/>
        <n x="1337" s="1"/>
      </t>
    </mdx>
    <mdx n="33" f="v">
      <t c="4">
        <n x="111"/>
        <n x="11"/>
        <n x="32"/>
        <n x="1337" s="1"/>
      </t>
    </mdx>
    <mdx n="33" f="v">
      <t c="4">
        <n x="385"/>
        <n x="14"/>
        <n x="7"/>
        <n x="1337" s="1"/>
      </t>
    </mdx>
    <mdx n="33" f="v">
      <t c="4">
        <n x="1002"/>
        <n x="11"/>
        <n x="32"/>
        <n x="1337" s="1"/>
      </t>
    </mdx>
    <mdx n="33" f="v">
      <t c="4">
        <n x="1042"/>
        <n x="11"/>
        <n x="32"/>
        <n x="1337" s="1"/>
      </t>
    </mdx>
    <mdx n="33" f="v">
      <t c="4">
        <n x="342"/>
        <n x="11"/>
        <n x="32"/>
        <n x="1337" s="1"/>
      </t>
    </mdx>
    <mdx n="33" f="v">
      <t c="4">
        <n x="1286"/>
        <n x="0"/>
        <n x="7"/>
        <n x="1337" s="1"/>
      </t>
    </mdx>
    <mdx n="33" f="v">
      <t c="4">
        <n x="76"/>
        <n x="1"/>
        <n x="32"/>
        <n x="1337" s="1"/>
      </t>
    </mdx>
    <mdx n="33" f="v">
      <t c="4">
        <n x="412"/>
        <n x="14"/>
        <n x="7"/>
        <n x="1337" s="1"/>
      </t>
    </mdx>
    <mdx n="33" f="v">
      <t c="4">
        <n x="276"/>
        <n x="12"/>
        <n x="32"/>
        <n x="1337" s="1"/>
      </t>
    </mdx>
    <mdx n="33" f="v">
      <t c="4" si="10">
        <n x="1175"/>
        <n x="12"/>
        <n x="32"/>
        <n x="1337" s="1"/>
      </t>
    </mdx>
    <mdx n="33" f="v">
      <t c="4">
        <n x="341"/>
        <n x="14"/>
        <n x="7"/>
        <n x="1337" s="1"/>
      </t>
    </mdx>
    <mdx n="33" f="v">
      <t c="4">
        <n x="205"/>
        <n x="11"/>
        <n x="32"/>
        <n x="1337" s="1"/>
      </t>
    </mdx>
    <mdx n="33" f="v">
      <t c="4">
        <n x="602"/>
        <n x="11"/>
        <n x="7"/>
        <n x="1337" s="1"/>
      </t>
    </mdx>
    <mdx n="33" f="v">
      <t c="4" si="10">
        <n x="598"/>
        <n x="12"/>
        <n x="32"/>
        <n x="1337" s="1"/>
      </t>
    </mdx>
    <mdx n="33" f="v">
      <t c="4">
        <n x="377"/>
        <n x="14"/>
        <n x="32"/>
        <n x="1337" s="1"/>
      </t>
    </mdx>
    <mdx n="33" f="v">
      <t c="4">
        <n x="289"/>
        <n x="1"/>
        <n x="7"/>
        <n x="1337" s="1"/>
      </t>
    </mdx>
    <mdx n="33" f="v">
      <t c="4">
        <n x="1218"/>
        <n x="0"/>
        <n x="7"/>
        <n x="1337" s="1"/>
      </t>
    </mdx>
    <mdx n="33" f="v">
      <t c="3">
        <n x="62"/>
        <n x="1336"/>
        <n x="1337" s="1"/>
      </t>
    </mdx>
    <mdx n="33" f="v">
      <t c="4">
        <n x="1266"/>
        <n x="0"/>
        <n x="7"/>
        <n x="1337" s="1"/>
      </t>
    </mdx>
    <mdx n="33" f="v">
      <t c="4" si="10">
        <n x="1042"/>
        <n x="0"/>
        <n x="32"/>
        <n x="1337" s="1"/>
      </t>
    </mdx>
    <mdx n="33" f="v">
      <t c="4">
        <n x="252"/>
        <n x="11"/>
        <n x="7"/>
        <n x="1337" s="1"/>
      </t>
    </mdx>
    <mdx n="33" f="v">
      <t c="4">
        <n x="395"/>
        <n x="11"/>
        <n x="7"/>
        <n x="1337" s="1"/>
      </t>
    </mdx>
    <mdx n="33" f="v">
      <t c="4">
        <n x="48"/>
        <n x="11"/>
        <n x="7"/>
        <n x="1337" s="1"/>
      </t>
    </mdx>
    <mdx n="33" f="v">
      <t c="4">
        <n x="378"/>
        <n x="11"/>
        <n x="32"/>
        <n x="1337" s="1"/>
      </t>
    </mdx>
    <mdx n="33" f="v">
      <t c="4">
        <n x="1041"/>
        <n x="14"/>
        <n x="32"/>
        <n x="1337" s="1"/>
      </t>
    </mdx>
    <mdx n="33" f="v">
      <t c="4">
        <n x="1205"/>
        <n x="0"/>
        <n x="7"/>
        <n x="1337" s="1"/>
      </t>
    </mdx>
    <mdx n="33" f="v">
      <t c="4">
        <n x="878"/>
        <n x="12"/>
        <n x="7"/>
        <n x="1337" s="1"/>
      </t>
    </mdx>
    <mdx n="33" f="v">
      <t c="4">
        <n x="976"/>
        <n x="12"/>
        <n x="32"/>
        <n x="1337" s="1"/>
      </t>
    </mdx>
    <mdx n="33" f="v">
      <t c="4">
        <n x="402"/>
        <n x="11"/>
        <n x="7"/>
        <n x="1337" s="1"/>
      </t>
    </mdx>
    <mdx n="33" f="v">
      <t c="4" si="10">
        <n x="612"/>
        <n x="12"/>
        <n x="32"/>
        <n x="1337" s="1"/>
      </t>
    </mdx>
    <mdx n="33" f="v">
      <t c="4">
        <n x="447"/>
        <n x="11"/>
        <n x="32"/>
        <n x="1337" s="1"/>
      </t>
    </mdx>
    <mdx n="33" f="v">
      <t c="4">
        <n x="291"/>
        <n x="14"/>
        <n x="32"/>
        <n x="1337" s="1"/>
      </t>
    </mdx>
    <mdx n="33" f="v">
      <t c="3">
        <n x="699"/>
        <n x="1336"/>
        <n x="1337" s="1"/>
      </t>
    </mdx>
    <mdx n="33" f="v">
      <t c="4">
        <n x="572"/>
        <n x="12"/>
        <n x="32"/>
        <n x="1337" s="1"/>
      </t>
    </mdx>
    <mdx n="33" f="v">
      <t c="4" si="10">
        <n x="1051"/>
        <n x="11"/>
        <n x="32"/>
        <n x="1337" s="1"/>
      </t>
    </mdx>
    <mdx n="33" f="v">
      <t c="4">
        <n x="1070"/>
        <n x="11"/>
        <n x="32"/>
        <n x="1337" s="1"/>
      </t>
    </mdx>
    <mdx n="33" f="v">
      <t c="4">
        <n x="459"/>
        <n x="11"/>
        <n x="32"/>
        <n x="1337" s="1"/>
      </t>
    </mdx>
    <mdx n="33" f="v">
      <t c="4" si="10">
        <n x="1318"/>
        <n x="12"/>
        <n x="32"/>
        <n x="1337" s="1"/>
      </t>
    </mdx>
    <mdx n="33" f="v">
      <t c="4">
        <n x="878"/>
        <n x="1"/>
        <n x="32"/>
        <n x="1337" s="1"/>
      </t>
    </mdx>
    <mdx n="33" f="v">
      <t c="4">
        <n x="1290"/>
        <n x="0"/>
        <n x="32"/>
        <n x="1337" s="1"/>
      </t>
    </mdx>
    <mdx n="33" f="v">
      <t c="4">
        <n x="990"/>
        <n x="0"/>
        <n x="7"/>
        <n x="1337" s="1"/>
      </t>
    </mdx>
    <mdx n="33" f="v">
      <t c="4">
        <n x="790"/>
        <n x="0"/>
        <n x="7"/>
        <n x="1337" s="1"/>
      </t>
    </mdx>
    <mdx n="33" f="v">
      <t c="4" si="10">
        <n x="960"/>
        <n x="1"/>
        <n x="32"/>
        <n x="1337" s="1"/>
      </t>
    </mdx>
    <mdx n="33" f="v">
      <t c="4">
        <n x="208"/>
        <n x="14"/>
        <n x="7"/>
        <n x="1337" s="1"/>
      </t>
    </mdx>
    <mdx n="33" f="v">
      <t c="4">
        <n x="288"/>
        <n x="14"/>
        <n x="32"/>
        <n x="1337" s="1"/>
      </t>
    </mdx>
    <mdx n="33" f="v">
      <t c="4">
        <n x="49"/>
        <n x="1"/>
        <n x="32"/>
        <n x="1337" s="1"/>
      </t>
    </mdx>
    <mdx n="33" f="v">
      <t c="4" si="10">
        <n x="729"/>
        <n x="12"/>
        <n x="32"/>
        <n x="1337" s="1"/>
      </t>
    </mdx>
    <mdx n="33" f="v">
      <t c="4">
        <n x="1210"/>
        <n x="12"/>
        <n x="32"/>
        <n x="1337" s="1"/>
      </t>
    </mdx>
    <mdx n="33" f="v">
      <t c="4">
        <n x="1239"/>
        <n x="0"/>
        <n x="7"/>
        <n x="1337" s="1"/>
      </t>
    </mdx>
    <mdx n="33" f="v">
      <t c="4">
        <n x="344"/>
        <n x="14"/>
        <n x="32"/>
        <n x="1337" s="1"/>
      </t>
    </mdx>
    <mdx n="33" f="v">
      <t c="4">
        <n x="1202"/>
        <n x="12"/>
        <n x="32"/>
        <n x="1337" s="1"/>
      </t>
    </mdx>
    <mdx n="33" f="v">
      <t c="3">
        <n x="141"/>
        <n x="1336"/>
        <n x="1337" s="1"/>
      </t>
    </mdx>
    <mdx n="33" f="v">
      <t c="4">
        <n x="65"/>
        <n x="12"/>
        <n x="32"/>
        <n x="1337" s="1"/>
      </t>
    </mdx>
    <mdx n="33" f="v">
      <t c="4">
        <n x="128"/>
        <n x="12"/>
        <n x="32"/>
        <n x="1337" s="1"/>
      </t>
    </mdx>
    <mdx n="33" f="v">
      <t c="4" si="9">
        <n x="1217"/>
        <n x="0"/>
        <n x="7"/>
        <n x="1337" s="1"/>
      </t>
    </mdx>
    <mdx n="33" f="v">
      <t c="4">
        <n x="610"/>
        <n x="11"/>
        <n x="7"/>
        <n x="1337" s="1"/>
      </t>
    </mdx>
    <mdx n="33" f="v">
      <t c="4">
        <n x="1074"/>
        <n x="1"/>
        <n x="7"/>
        <n x="1337" s="1"/>
      </t>
    </mdx>
    <mdx n="33" f="v">
      <t c="4" si="10">
        <n x="557"/>
        <n x="14"/>
        <n x="32"/>
        <n x="1337" s="1"/>
      </t>
    </mdx>
    <mdx n="33" f="v">
      <t c="4">
        <n x="1037"/>
        <n x="1"/>
        <n x="7"/>
        <n x="1337" s="1"/>
      </t>
    </mdx>
    <mdx n="33" f="v">
      <t c="4">
        <n x="1008"/>
        <n x="11"/>
        <n x="7"/>
        <n x="1337" s="1"/>
      </t>
    </mdx>
    <mdx n="33" f="v">
      <t c="4">
        <n x="1197"/>
        <n x="11"/>
        <n x="32"/>
        <n x="1337" s="1"/>
      </t>
    </mdx>
    <mdx n="33" f="v">
      <t c="4" si="10">
        <n x="1183"/>
        <n x="14"/>
        <n x="32"/>
        <n x="1337" s="1"/>
      </t>
    </mdx>
    <mdx n="33" f="v">
      <t c="4" si="10">
        <n x="1132"/>
        <n x="14"/>
        <n x="32"/>
        <n x="1337" s="1"/>
      </t>
    </mdx>
    <mdx n="33" f="v">
      <t c="4" si="10">
        <n x="1200"/>
        <n x="14"/>
        <n x="32"/>
        <n x="1337" s="1"/>
      </t>
    </mdx>
    <mdx n="33" f="v">
      <t c="4" si="10">
        <n x="1127"/>
        <n x="14"/>
        <n x="32"/>
        <n x="1337" s="1"/>
      </t>
    </mdx>
    <mdx n="33" f="v">
      <t c="4">
        <n x="1146"/>
        <n x="1"/>
        <n x="7"/>
        <n x="1337" s="1"/>
      </t>
    </mdx>
    <mdx n="33" f="v">
      <t c="4">
        <n x="1210"/>
        <n x="14"/>
        <n x="7"/>
        <n x="1337" s="1"/>
      </t>
    </mdx>
    <mdx n="33" f="v">
      <t c="4" si="9">
        <n x="1161"/>
        <n x="14"/>
        <n x="7"/>
        <n x="1337" s="1"/>
      </t>
    </mdx>
    <mdx n="33" f="v">
      <t c="4">
        <n x="1272"/>
        <n x="14"/>
        <n x="7"/>
        <n x="1337" s="1"/>
      </t>
    </mdx>
    <mdx n="33" f="v">
      <t c="4">
        <n x="1241"/>
        <n x="14"/>
        <n x="7"/>
        <n x="1337" s="1"/>
      </t>
    </mdx>
    <mdx n="33" f="v">
      <t c="4">
        <n x="1234"/>
        <n x="14"/>
        <n x="7"/>
        <n x="1337" s="1"/>
      </t>
    </mdx>
    <mdx n="33" f="v">
      <t c="4">
        <n x="1291"/>
        <n x="14"/>
        <n x="7"/>
        <n x="1337" s="1"/>
      </t>
    </mdx>
    <mdx n="33" f="v">
      <t c="4">
        <n x="1312"/>
        <n x="14"/>
        <n x="7"/>
        <n x="1337" s="1"/>
      </t>
    </mdx>
    <mdx n="33" f="v">
      <t c="4">
        <n x="1262"/>
        <n x="14"/>
        <n x="7"/>
        <n x="1337" s="1"/>
      </t>
    </mdx>
    <mdx n="33" f="v">
      <t c="4">
        <n x="1308"/>
        <n x="14"/>
        <n x="7"/>
        <n x="1337" s="1"/>
      </t>
    </mdx>
    <mdx n="33" f="v">
      <t c="4">
        <n x="1297"/>
        <n x="14"/>
        <n x="7"/>
        <n x="1337" s="1"/>
      </t>
    </mdx>
    <mdx n="33" f="v">
      <t c="4">
        <n x="1163"/>
        <n x="14"/>
        <n x="7"/>
        <n x="1337" s="1"/>
      </t>
    </mdx>
    <mdx n="33" f="v">
      <t c="4">
        <n x="1261"/>
        <n x="14"/>
        <n x="7"/>
        <n x="1337" s="1"/>
      </t>
    </mdx>
    <mdx n="33" f="v">
      <t c="4">
        <n x="1159"/>
        <n x="14"/>
        <n x="7"/>
        <n x="1337" s="1"/>
      </t>
    </mdx>
    <mdx n="33" f="v">
      <t c="4">
        <n x="1158"/>
        <n x="14"/>
        <n x="7"/>
        <n x="1337" s="1"/>
      </t>
    </mdx>
    <mdx n="33" f="v">
      <t c="4">
        <n x="1245"/>
        <n x="14"/>
        <n x="7"/>
        <n x="1337" s="1"/>
      </t>
    </mdx>
    <mdx n="33" f="v">
      <t c="4">
        <n x="1244"/>
        <n x="14"/>
        <n x="7"/>
        <n x="1337" s="1"/>
      </t>
    </mdx>
    <mdx n="33" f="v">
      <t c="4">
        <n x="1238"/>
        <n x="14"/>
        <n x="7"/>
        <n x="1337" s="1"/>
      </t>
    </mdx>
    <mdx n="33" f="v">
      <t c="4">
        <n x="1177"/>
        <n x="14"/>
        <n x="7"/>
        <n x="1337" s="1"/>
      </t>
    </mdx>
    <mdx n="33" f="v">
      <t c="4">
        <n x="1303"/>
        <n x="14"/>
        <n x="7"/>
        <n x="1337" s="1"/>
      </t>
    </mdx>
    <mdx n="33" f="v">
      <t c="4">
        <n x="1251"/>
        <n x="14"/>
        <n x="7"/>
        <n x="1337" s="1"/>
      </t>
    </mdx>
    <mdx n="33" f="v">
      <t c="4">
        <n x="1250"/>
        <n x="14"/>
        <n x="7"/>
        <n x="1337" s="1"/>
      </t>
    </mdx>
    <mdx n="33" f="v">
      <t c="4">
        <n x="1319"/>
        <n x="14"/>
        <n x="7"/>
        <n x="1337" s="1"/>
      </t>
    </mdx>
    <mdx n="33" f="v">
      <t c="4">
        <n x="1183"/>
        <n x="14"/>
        <n x="7"/>
        <n x="1337" s="1"/>
      </t>
    </mdx>
    <mdx n="33" f="v">
      <t c="4">
        <n x="1182"/>
        <n x="14"/>
        <n x="7"/>
        <n x="1337" s="1"/>
      </t>
    </mdx>
    <mdx n="33" f="v">
      <t c="4">
        <n x="1237"/>
        <n x="14"/>
        <n x="7"/>
        <n x="1337" s="1"/>
      </t>
    </mdx>
    <mdx n="33" f="v">
      <t c="4">
        <n x="1236"/>
        <n x="14"/>
        <n x="7"/>
        <n x="1337" s="1"/>
      </t>
    </mdx>
    <mdx n="33" f="v">
      <t c="4">
        <n x="1145"/>
        <n x="14"/>
        <n x="7"/>
        <n x="1337" s="1"/>
      </t>
    </mdx>
    <mdx n="33" f="v">
      <t c="4">
        <n x="1316"/>
        <n x="14"/>
        <n x="7"/>
        <n x="1337" s="1"/>
      </t>
    </mdx>
    <mdx n="33" f="v">
      <t c="4">
        <n x="1313"/>
        <n x="14"/>
        <n x="7"/>
        <n x="1337" s="1"/>
      </t>
    </mdx>
    <mdx n="33" f="v">
      <t c="4">
        <n x="1179"/>
        <n x="14"/>
        <n x="7"/>
        <n x="1337" s="1"/>
      </t>
    </mdx>
    <mdx n="33" f="v">
      <t c="4">
        <n x="1239"/>
        <n x="14"/>
        <n x="7"/>
        <n x="1337" s="1"/>
      </t>
    </mdx>
    <mdx n="33" f="v">
      <t c="4">
        <n x="1299"/>
        <n x="14"/>
        <n x="7"/>
        <n x="1337" s="1"/>
      </t>
    </mdx>
    <mdx n="33" f="v">
      <t c="4">
        <n x="1165"/>
        <n x="14"/>
        <n x="7"/>
        <n x="1337" s="1"/>
      </t>
    </mdx>
    <mdx n="33" f="v">
      <t c="4">
        <n x="1164"/>
        <n x="14"/>
        <n x="7"/>
        <n x="1337" s="1"/>
      </t>
    </mdx>
    <mdx n="33" f="v">
      <t c="4" si="10">
        <n x="1226"/>
        <n x="14"/>
        <n x="32"/>
        <n x="1337" s="1"/>
      </t>
    </mdx>
    <mdx n="33" f="v">
      <t c="3">
        <n x="1159"/>
        <n x="1336"/>
        <n x="1337" s="1"/>
      </t>
    </mdx>
    <mdx n="33" f="v">
      <t c="3">
        <n x="1301"/>
        <n x="1336"/>
        <n x="1337" s="1"/>
      </t>
    </mdx>
    <mdx n="33" f="v">
      <t c="3">
        <n x="1200"/>
        <n x="1336"/>
        <n x="1337" s="1"/>
      </t>
    </mdx>
    <mdx n="33" f="v">
      <t c="3">
        <n x="1210"/>
        <n x="1336"/>
        <n x="1337" s="1"/>
      </t>
    </mdx>
    <mdx n="33" f="v">
      <t c="3">
        <n x="1236"/>
        <n x="1336"/>
        <n x="1337" s="1"/>
      </t>
    </mdx>
    <mdx n="33" f="v">
      <t c="3">
        <n x="1325"/>
        <n x="1336"/>
        <n x="1337" s="1"/>
      </t>
    </mdx>
    <mdx n="33" f="v">
      <t c="3">
        <n x="1232"/>
        <n x="1336"/>
        <n x="1337" s="1"/>
      </t>
    </mdx>
    <mdx n="33" f="v">
      <t c="3">
        <n x="1234"/>
        <n x="1336"/>
        <n x="1337" s="1"/>
      </t>
    </mdx>
    <mdx n="33" f="v">
      <t c="3">
        <n x="1145"/>
        <n x="1336"/>
        <n x="1337" s="1"/>
      </t>
    </mdx>
    <mdx n="33" f="v">
      <t c="4">
        <n x="1242"/>
        <n x="1"/>
        <n x="32"/>
        <n x="1337" s="1"/>
      </t>
    </mdx>
    <mdx n="33" f="v">
      <t c="5" si="10">
        <n x="15"/>
        <n x="1337" s="1"/>
        <n x="13"/>
        <n x="32"/>
        <n x="30"/>
      </t>
    </mdx>
    <mdx n="33" f="v">
      <t c="4" si="10">
        <n x="1306"/>
        <n x="14"/>
        <n x="32"/>
        <n x="1337" s="1"/>
      </t>
    </mdx>
    <mdx n="33" f="v">
      <t c="6" si="10">
        <n x="15"/>
        <n x="1337" s="1"/>
        <n x="36"/>
        <n x="32"/>
        <n x="29"/>
        <n x="0"/>
      </t>
    </mdx>
    <mdx n="33" f="v">
      <t c="6" si="10">
        <n x="15"/>
        <n x="1337" s="1"/>
        <n x="39"/>
        <n x="32"/>
        <n x="27"/>
        <n x="0"/>
      </t>
    </mdx>
    <mdx n="33" f="v">
      <t c="6">
        <n x="15"/>
        <n x="1337" s="1"/>
        <n x="36"/>
        <n x="7"/>
        <n x="29"/>
        <n x="2"/>
      </t>
    </mdx>
    <mdx n="33" f="v">
      <t c="4" si="10">
        <n x="1178"/>
        <n x="14"/>
        <n x="32"/>
        <n x="1337" s="1"/>
      </t>
    </mdx>
    <mdx n="33" f="v">
      <t c="4">
        <n x="1178"/>
        <n x="14"/>
        <n x="7"/>
        <n x="1337" s="1"/>
      </t>
    </mdx>
    <mdx n="33" f="v">
      <t c="6" si="10">
        <n x="15"/>
        <n x="1337" s="1"/>
        <n x="47"/>
        <n x="32"/>
        <n x="30"/>
        <n x="12"/>
      </t>
    </mdx>
    <mdx n="33" f="v">
      <t c="6">
        <n x="15"/>
        <n x="1337" s="1"/>
        <n x="44"/>
        <n x="7"/>
        <n x="29"/>
        <n x="3"/>
      </t>
    </mdx>
    <mdx n="33" f="v">
      <t c="6" si="9">
        <n x="15"/>
        <n x="1337" s="1"/>
        <n x="44"/>
        <n x="7"/>
        <n x="19"/>
        <n x="1"/>
      </t>
    </mdx>
    <mdx n="33" f="v">
      <t c="6" si="9">
        <n x="15"/>
        <n x="1337" s="1"/>
        <n x="39"/>
        <n x="7"/>
        <n x="19"/>
        <n x="1"/>
      </t>
    </mdx>
    <mdx n="33" f="v">
      <t c="4">
        <n x="76"/>
        <n x="12"/>
        <n x="32"/>
        <n x="1337" s="1"/>
      </t>
    </mdx>
    <mdx n="33" f="v">
      <t c="4">
        <n x="960"/>
        <n x="11"/>
        <n x="7"/>
        <n x="1337" s="1"/>
      </t>
    </mdx>
    <mdx n="33" f="v">
      <t c="4" si="10">
        <n x="482"/>
        <n x="14"/>
        <n x="32"/>
        <n x="1337" s="1"/>
      </t>
    </mdx>
    <mdx n="33" f="v">
      <t c="4" si="10">
        <n x="831"/>
        <n x="1"/>
        <n x="32"/>
        <n x="1337" s="1"/>
      </t>
    </mdx>
    <mdx n="33" f="v">
      <t c="4">
        <n x="922"/>
        <n x="1"/>
        <n x="32"/>
        <n x="1337" s="1"/>
      </t>
    </mdx>
    <mdx n="33" f="v">
      <t c="4">
        <n x="97"/>
        <n x="12"/>
        <n x="32"/>
        <n x="1337" s="1"/>
      </t>
    </mdx>
    <mdx n="33" f="v">
      <t c="4">
        <n x="444"/>
        <n x="14"/>
        <n x="7"/>
        <n x="1337" s="1"/>
      </t>
    </mdx>
    <mdx n="33" f="v">
      <t c="4" si="10">
        <n x="1318"/>
        <n x="0"/>
        <n x="32"/>
        <n x="1337" s="1"/>
      </t>
    </mdx>
    <mdx n="33" f="v">
      <t c="4">
        <n x="762"/>
        <n x="0"/>
        <n x="7"/>
        <n x="1337" s="1"/>
      </t>
    </mdx>
    <mdx n="33" f="v">
      <t c="4">
        <n x="959"/>
        <n x="0"/>
        <n x="7"/>
        <n x="1337" s="1"/>
      </t>
    </mdx>
    <mdx n="33" f="v">
      <t c="4">
        <n x="195"/>
        <n x="11"/>
        <n x="32"/>
        <n x="1337" s="1"/>
      </t>
    </mdx>
    <mdx n="33" f="v">
      <t c="4">
        <n x="947"/>
        <n x="14"/>
        <n x="7"/>
        <n x="1337" s="1"/>
      </t>
    </mdx>
    <mdx n="33" f="v">
      <t c="4">
        <n x="1052"/>
        <n x="11"/>
        <n x="7"/>
        <n x="1337" s="1"/>
      </t>
    </mdx>
    <mdx n="33" f="v">
      <t c="4">
        <n x="146"/>
        <n x="12"/>
        <n x="32"/>
        <n x="1337" s="1"/>
      </t>
    </mdx>
    <mdx n="33" f="v">
      <t c="4" si="10">
        <n x="610"/>
        <n x="12"/>
        <n x="32"/>
        <n x="1337" s="1"/>
      </t>
    </mdx>
    <mdx n="33" f="v">
      <t c="4" si="10">
        <n x="1053"/>
        <n x="1"/>
        <n x="32"/>
        <n x="1337" s="1"/>
      </t>
    </mdx>
    <mdx n="33" f="v">
      <t c="4">
        <n x="1251"/>
        <n x="0"/>
        <n x="7"/>
        <n x="1337" s="1"/>
      </t>
    </mdx>
    <mdx n="33" f="v">
      <t c="4">
        <n x="1306"/>
        <n x="12"/>
        <n x="7"/>
        <n x="1337" s="1"/>
      </t>
    </mdx>
    <mdx n="33" f="v">
      <t c="4" si="10">
        <n x="1302"/>
        <n x="0"/>
        <n x="32"/>
        <n x="1337" s="1"/>
      </t>
    </mdx>
    <mdx n="33" f="v">
      <t c="4">
        <n x="991"/>
        <n x="1"/>
        <n x="7"/>
        <n x="1337" s="1"/>
      </t>
    </mdx>
    <mdx n="33" f="v">
      <t c="4">
        <n x="448"/>
        <n x="12"/>
        <n x="32"/>
        <n x="1337" s="1"/>
      </t>
    </mdx>
    <mdx n="33" f="v">
      <t c="4">
        <n x="516"/>
        <n x="11"/>
        <n x="7"/>
        <n x="1337" s="1"/>
      </t>
    </mdx>
    <mdx n="33" f="v">
      <t c="4">
        <n x="588"/>
        <n x="11"/>
        <n x="32"/>
        <n x="1337" s="1"/>
      </t>
    </mdx>
    <mdx n="33" f="v">
      <t c="4">
        <n x="167"/>
        <n x="12"/>
        <n x="32"/>
        <n x="1337" s="1"/>
      </t>
    </mdx>
    <mdx n="33" f="v">
      <t c="4">
        <n x="166"/>
        <n x="11"/>
        <n x="32"/>
        <n x="1337" s="1"/>
      </t>
    </mdx>
    <mdx n="33" f="v">
      <t c="4">
        <n x="784"/>
        <n x="0"/>
        <n x="7"/>
        <n x="1337" s="1"/>
      </t>
    </mdx>
    <mdx n="33" f="v">
      <t c="4">
        <n x="338"/>
        <n x="1"/>
        <n x="7"/>
        <n x="1337" s="1"/>
      </t>
    </mdx>
    <mdx n="33" f="v">
      <t c="4">
        <n x="142"/>
        <n x="0"/>
        <n x="7"/>
        <n x="1337" s="1"/>
      </t>
    </mdx>
    <mdx n="33" f="v">
      <t c="4">
        <n x="455"/>
        <n x="11"/>
        <n x="32"/>
        <n x="1337" s="1"/>
      </t>
    </mdx>
    <mdx n="33" f="v">
      <t c="4">
        <n x="1146"/>
        <n x="0"/>
        <n x="7"/>
        <n x="1337" s="1"/>
      </t>
    </mdx>
    <mdx n="33" f="v">
      <t c="3">
        <n x="918"/>
        <n x="1336"/>
        <n x="1337" s="1"/>
      </t>
    </mdx>
    <mdx n="33" f="v">
      <t c="4" si="10">
        <n x="974"/>
        <n x="14"/>
        <n x="32"/>
        <n x="1337" s="1"/>
      </t>
    </mdx>
    <mdx n="33" f="v">
      <t c="4">
        <n x="168"/>
        <n x="12"/>
        <n x="32"/>
        <n x="1337" s="1"/>
      </t>
    </mdx>
    <mdx n="33" f="v">
      <t c="4">
        <n x="539"/>
        <n x="11"/>
        <n x="32"/>
        <n x="1337" s="1"/>
      </t>
    </mdx>
    <mdx n="33" f="v">
      <t c="4" si="10">
        <n x="927"/>
        <n x="14"/>
        <n x="32"/>
        <n x="1337" s="1"/>
      </t>
    </mdx>
    <mdx n="33" f="v">
      <t c="4">
        <n x="339"/>
        <n x="12"/>
        <n x="32"/>
        <n x="1337" s="1"/>
      </t>
    </mdx>
    <mdx n="33" f="v">
      <t c="4">
        <n x="106"/>
        <n x="1"/>
        <n x="32"/>
        <n x="1337" s="1"/>
      </t>
    </mdx>
    <mdx n="33" f="v">
      <t c="4">
        <n x="261"/>
        <n x="12"/>
        <n x="32"/>
        <n x="1337" s="1"/>
      </t>
    </mdx>
    <mdx n="33" f="v">
      <t c="3">
        <n x="1048"/>
        <n x="1336"/>
        <n x="1337" s="1"/>
      </t>
    </mdx>
    <mdx n="33" f="v">
      <t c="4">
        <n x="138"/>
        <n x="11"/>
        <n x="7"/>
        <n x="1337" s="1"/>
      </t>
    </mdx>
    <mdx n="33" f="v">
      <t c="4">
        <n x="1194"/>
        <n x="0"/>
        <n x="32"/>
        <n x="1337" s="1"/>
      </t>
    </mdx>
    <mdx n="33" f="v">
      <t c="4" si="10">
        <n x="1038"/>
        <n x="12"/>
        <n x="32"/>
        <n x="1337" s="1"/>
      </t>
    </mdx>
    <mdx n="33" f="v">
      <t c="3">
        <n x="98"/>
        <n x="1336"/>
        <n x="1337" s="1"/>
      </t>
    </mdx>
    <mdx n="33" f="v">
      <t c="4">
        <n x="126"/>
        <n x="1"/>
        <n x="32"/>
        <n x="1337" s="1"/>
      </t>
    </mdx>
    <mdx n="33" f="v">
      <t c="4">
        <n x="116"/>
        <n x="14"/>
        <n x="32"/>
        <n x="1337" s="1"/>
      </t>
    </mdx>
    <mdx n="33" f="v">
      <t c="4">
        <n x="724"/>
        <n x="1"/>
        <n x="7"/>
        <n x="1337" s="1"/>
      </t>
    </mdx>
    <mdx n="33" f="v">
      <t c="4">
        <n x="480"/>
        <n x="11"/>
        <n x="7"/>
        <n x="1337" s="1"/>
      </t>
    </mdx>
    <mdx n="33" f="v">
      <t c="4">
        <n x="1205"/>
        <n x="12"/>
        <n x="32"/>
        <n x="1337" s="1"/>
      </t>
    </mdx>
    <mdx n="33" f="v">
      <t c="4">
        <n x="153"/>
        <n x="12"/>
        <n x="32"/>
        <n x="1337" s="1"/>
      </t>
    </mdx>
    <mdx n="33" f="v">
      <t c="4">
        <n x="1076"/>
        <n x="14"/>
        <n x="7"/>
        <n x="1337" s="1"/>
      </t>
    </mdx>
    <mdx n="33" f="v">
      <t c="4">
        <n x="100"/>
        <n x="14"/>
        <n x="32"/>
        <n x="1337" s="1"/>
      </t>
    </mdx>
    <mdx n="33" f="v">
      <t c="4">
        <n x="436"/>
        <n x="11"/>
        <n x="7"/>
        <n x="1337" s="1"/>
      </t>
    </mdx>
    <mdx n="33" f="v">
      <t c="4">
        <n x="164"/>
        <n x="1"/>
        <n x="7"/>
        <n x="1337" s="1"/>
      </t>
    </mdx>
    <mdx n="33" f="v">
      <t c="4">
        <n x="1132"/>
        <n x="0"/>
        <n x="7"/>
        <n x="1337" s="1"/>
      </t>
    </mdx>
    <mdx n="33" f="v">
      <t c="4" si="10">
        <n x="1330"/>
        <n x="12"/>
        <n x="32"/>
        <n x="1337" s="1"/>
      </t>
    </mdx>
    <mdx n="33" f="v">
      <t c="4">
        <n x="103"/>
        <n x="11"/>
        <n x="32"/>
        <n x="1337" s="1"/>
      </t>
    </mdx>
    <mdx n="33" f="v">
      <t c="4">
        <n x="401"/>
        <n x="12"/>
        <n x="7"/>
        <n x="1337" s="1"/>
      </t>
    </mdx>
    <mdx n="33" f="v">
      <t c="4">
        <n x="1100"/>
        <n x="11"/>
        <n x="7"/>
        <n x="1337" s="1"/>
      </t>
    </mdx>
    <mdx n="33" f="v">
      <t c="4">
        <n x="115"/>
        <n x="14"/>
        <n x="7"/>
        <n x="1337" s="1"/>
      </t>
    </mdx>
    <mdx n="33" f="v">
      <t c="4">
        <n x="840"/>
        <n x="0"/>
        <n x="7"/>
        <n x="1337" s="1"/>
      </t>
    </mdx>
    <mdx n="33" f="v">
      <t c="4" si="10">
        <n x="1115"/>
        <n x="14"/>
        <n x="32"/>
        <n x="1337" s="1"/>
      </t>
    </mdx>
    <mdx n="33" f="v">
      <t c="4">
        <n x="113"/>
        <n x="1"/>
        <n x="32"/>
        <n x="1337" s="1"/>
      </t>
    </mdx>
    <mdx n="33" f="v">
      <t c="4">
        <n x="317"/>
        <n x="1"/>
        <n x="7"/>
        <n x="1337" s="1"/>
      </t>
    </mdx>
    <mdx n="33" f="v">
      <t c="4">
        <n x="121"/>
        <n x="1"/>
        <n x="7"/>
        <n x="1337" s="1"/>
      </t>
    </mdx>
    <mdx n="33" f="v">
      <t c="4" si="9">
        <n x="525"/>
        <n x="14"/>
        <n x="7"/>
        <n x="1337" s="1"/>
      </t>
    </mdx>
    <mdx n="33" f="v">
      <t c="4">
        <n x="364"/>
        <n x="1"/>
        <n x="7"/>
        <n x="1337" s="1"/>
      </t>
    </mdx>
    <mdx n="33" f="v">
      <t c="4">
        <n x="1117"/>
        <n x="14"/>
        <n x="32"/>
        <n x="1337" s="1"/>
      </t>
    </mdx>
    <mdx n="33" f="v">
      <t c="4">
        <n x="726"/>
        <n x="11"/>
        <n x="7"/>
        <n x="1337" s="1"/>
      </t>
    </mdx>
    <mdx n="33" f="v">
      <t c="4">
        <n x="963"/>
        <n x="11"/>
        <n x="7"/>
        <n x="1337" s="1"/>
      </t>
    </mdx>
    <mdx n="33" f="v">
      <t c="4">
        <n x="366"/>
        <n x="11"/>
        <n x="7"/>
        <n x="1337" s="1"/>
      </t>
    </mdx>
    <mdx n="33" f="v">
      <t c="4">
        <n x="907"/>
        <n x="11"/>
        <n x="32"/>
        <n x="1337" s="1"/>
      </t>
    </mdx>
    <mdx n="33" f="v">
      <t c="4">
        <n x="78"/>
        <n x="11"/>
        <n x="7"/>
        <n x="1337" s="1"/>
      </t>
    </mdx>
    <mdx n="33" f="v">
      <t c="4" si="10">
        <n x="1025"/>
        <n x="14"/>
        <n x="32"/>
        <n x="1337" s="1"/>
      </t>
    </mdx>
    <mdx n="33" f="v">
      <t c="4">
        <n x="1323"/>
        <n x="12"/>
        <n x="7"/>
        <n x="1337" s="1"/>
      </t>
    </mdx>
    <mdx n="33" f="v">
      <t c="4">
        <n x="1086"/>
        <n x="12"/>
        <n x="32"/>
        <n x="1337" s="1"/>
      </t>
    </mdx>
    <mdx n="33" f="v">
      <t c="4">
        <n x="999"/>
        <n x="11"/>
        <n x="32"/>
        <n x="1337" s="1"/>
      </t>
    </mdx>
    <mdx n="33" f="v">
      <t c="4">
        <n x="900"/>
        <n x="0"/>
        <n x="32"/>
        <n x="1337" s="1"/>
      </t>
    </mdx>
    <mdx n="33" f="v">
      <t c="4">
        <n x="230"/>
        <n x="11"/>
        <n x="7"/>
        <n x="1337" s="1"/>
      </t>
    </mdx>
    <mdx n="33" f="v">
      <t c="4">
        <n x="166"/>
        <n x="14"/>
        <n x="7"/>
        <n x="1337" s="1"/>
      </t>
    </mdx>
    <mdx n="33" f="v">
      <t c="3">
        <n x="282"/>
        <n x="1336"/>
        <n x="1337" s="1"/>
      </t>
    </mdx>
    <mdx n="33" f="v">
      <t c="4">
        <n x="1004"/>
        <n x="0"/>
        <n x="7"/>
        <n x="1337" s="1"/>
      </t>
    </mdx>
    <mdx n="33" f="v">
      <t c="4">
        <n x="101"/>
        <n x="0"/>
        <n x="7"/>
        <n x="1337" s="1"/>
      </t>
    </mdx>
    <mdx n="33" f="v">
      <t c="4">
        <n x="1193"/>
        <n x="12"/>
        <n x="32"/>
        <n x="1337" s="1"/>
      </t>
    </mdx>
    <mdx n="33" f="v">
      <t c="4" si="10">
        <n x="416"/>
        <n x="11"/>
        <n x="32"/>
        <n x="1337" s="1"/>
      </t>
    </mdx>
    <mdx n="33" f="v">
      <t c="4">
        <n x="118"/>
        <n x="14"/>
        <n x="32"/>
        <n x="1337" s="1"/>
      </t>
    </mdx>
    <mdx n="33" f="v">
      <t c="4">
        <n x="299"/>
        <n x="14"/>
        <n x="32"/>
        <n x="1337" s="1"/>
      </t>
    </mdx>
    <mdx n="33" f="v">
      <t c="4">
        <n x="129"/>
        <n x="1"/>
        <n x="32"/>
        <n x="1337" s="1"/>
      </t>
    </mdx>
    <mdx n="33" f="v">
      <t c="4">
        <n x="1093"/>
        <n x="12"/>
        <n x="7"/>
        <n x="1337" s="1"/>
      </t>
    </mdx>
    <mdx n="33" f="v">
      <t c="4">
        <n x="161"/>
        <n x="11"/>
        <n x="32"/>
        <n x="1337" s="1"/>
      </t>
    </mdx>
    <mdx n="33" f="v">
      <t c="4" si="10">
        <n x="1226"/>
        <n x="12"/>
        <n x="32"/>
        <n x="1337" s="1"/>
      </t>
    </mdx>
    <mdx n="33" f="v">
      <t c="4">
        <n x="316"/>
        <n x="14"/>
        <n x="32"/>
        <n x="1337" s="1"/>
      </t>
    </mdx>
    <mdx n="33" f="v">
      <t c="4">
        <n x="506"/>
        <n x="12"/>
        <n x="32"/>
        <n x="1337" s="1"/>
      </t>
    </mdx>
    <mdx n="33" f="v">
      <t c="4">
        <n x="816"/>
        <n x="12"/>
        <n x="7"/>
        <n x="1337" s="1"/>
      </t>
    </mdx>
    <mdx n="33" f="v">
      <t c="4">
        <n x="1090"/>
        <n x="1"/>
        <n x="32"/>
        <n x="1337" s="1"/>
      </t>
    </mdx>
    <mdx n="33" f="v">
      <t c="4">
        <n x="1009"/>
        <n x="14"/>
        <n x="7"/>
        <n x="1337" s="1"/>
      </t>
    </mdx>
    <mdx n="33" f="v">
      <t c="4">
        <n x="251"/>
        <n x="12"/>
        <n x="7"/>
        <n x="1337" s="1"/>
      </t>
    </mdx>
    <mdx n="33" f="v">
      <t c="4">
        <n x="920"/>
        <n x="0"/>
        <n x="7"/>
        <n x="1337" s="1"/>
      </t>
    </mdx>
    <mdx n="33" f="v">
      <t c="4">
        <n x="1003"/>
        <n x="0"/>
        <n x="7"/>
        <n x="1337" s="1"/>
      </t>
    </mdx>
    <mdx n="33" f="v">
      <t c="4">
        <n x="442"/>
        <n x="1"/>
        <n x="7"/>
        <n x="1337" s="1"/>
      </t>
    </mdx>
    <mdx n="33" f="v">
      <t c="4">
        <n x="643"/>
        <n x="14"/>
        <n x="32"/>
        <n x="1337" s="1"/>
      </t>
    </mdx>
    <mdx n="33" f="v">
      <t c="4">
        <n x="275"/>
        <n x="12"/>
        <n x="7"/>
        <n x="1337" s="1"/>
      </t>
    </mdx>
    <mdx n="33" f="v">
      <t c="4" si="10">
        <n x="630"/>
        <n x="11"/>
        <n x="32"/>
        <n x="1337" s="1"/>
      </t>
    </mdx>
    <mdx n="33" f="v">
      <t c="4" si="10">
        <n x="659"/>
        <n x="14"/>
        <n x="32"/>
        <n x="1337" s="1"/>
      </t>
    </mdx>
    <mdx n="33" f="v">
      <t c="4" si="10">
        <n x="1183"/>
        <n x="0"/>
        <n x="32"/>
        <n x="1337" s="1"/>
      </t>
    </mdx>
    <mdx n="33" f="v">
      <t c="4" si="10">
        <n x="1171"/>
        <n x="12"/>
        <n x="32"/>
        <n x="1337" s="1"/>
      </t>
    </mdx>
    <mdx n="33" f="v">
      <t c="4">
        <n x="307"/>
        <n x="11"/>
        <n x="32"/>
        <n x="1337" s="1"/>
      </t>
    </mdx>
    <mdx n="33" f="v">
      <t c="4" si="10">
        <n x="520"/>
        <n x="14"/>
        <n x="32"/>
        <n x="1337" s="1"/>
      </t>
    </mdx>
    <mdx n="33" f="v">
      <t c="4">
        <n x="301"/>
        <n x="12"/>
        <n x="32"/>
        <n x="1337" s="1"/>
      </t>
    </mdx>
    <mdx n="33" f="v">
      <t c="4">
        <n x="1237"/>
        <n x="12"/>
        <n x="32"/>
        <n x="1337" s="1"/>
      </t>
    </mdx>
    <mdx n="33" f="v">
      <t c="4">
        <n x="313"/>
        <n x="12"/>
        <n x="32"/>
        <n x="1337" s="1"/>
      </t>
    </mdx>
    <mdx n="33" f="v">
      <t c="4" si="10">
        <n x="486"/>
        <n x="12"/>
        <n x="32"/>
        <n x="1337" s="1"/>
      </t>
    </mdx>
    <mdx n="33" f="v">
      <t c="4">
        <n x="717"/>
        <n x="0"/>
        <n x="7"/>
        <n x="1337" s="1"/>
      </t>
    </mdx>
    <mdx n="33" f="v">
      <t c="4">
        <n x="1091"/>
        <n x="0"/>
        <n x="7"/>
        <n x="1337" s="1"/>
      </t>
    </mdx>
    <mdx n="33" f="v">
      <t c="4">
        <n x="145"/>
        <n x="12"/>
        <n x="32"/>
        <n x="1337" s="1"/>
      </t>
    </mdx>
    <mdx n="33" f="v">
      <t c="4">
        <n x="1068"/>
        <n x="11"/>
        <n x="32"/>
        <n x="1337" s="1"/>
      </t>
    </mdx>
    <mdx n="33" f="v">
      <t c="4">
        <n x="359"/>
        <n x="12"/>
        <n x="32"/>
        <n x="1337" s="1"/>
      </t>
    </mdx>
    <mdx n="33" f="v">
      <t c="4">
        <n x="1016"/>
        <n x="14"/>
        <n x="7"/>
        <n x="1337" s="1"/>
      </t>
    </mdx>
    <mdx n="33" f="v">
      <t c="4">
        <n x="998"/>
        <n x="1"/>
        <n x="7"/>
        <n x="1337" s="1"/>
      </t>
    </mdx>
    <mdx n="33" f="v">
      <t c="4">
        <n x="163"/>
        <n x="11"/>
        <n x="32"/>
        <n x="1337" s="1"/>
      </t>
    </mdx>
    <mdx n="33" f="v">
      <t c="4">
        <n x="119"/>
        <n x="12"/>
        <n x="32"/>
        <n x="1337" s="1"/>
      </t>
    </mdx>
    <mdx n="33" f="v">
      <t c="4">
        <n x="1024"/>
        <n x="11"/>
        <n x="7"/>
        <n x="1337" s="1"/>
      </t>
    </mdx>
    <mdx n="33" f="v">
      <t c="4">
        <n x="325"/>
        <n x="14"/>
        <n x="32"/>
        <n x="1337" s="1"/>
      </t>
    </mdx>
    <mdx n="33" f="v">
      <t c="4">
        <n x="403"/>
        <n x="12"/>
        <n x="32"/>
        <n x="1337" s="1"/>
      </t>
    </mdx>
    <mdx n="33" f="v">
      <t c="4" si="10">
        <n x="1050"/>
        <n x="11"/>
        <n x="32"/>
        <n x="1337" s="1"/>
      </t>
    </mdx>
    <mdx n="33" f="v">
      <t c="3">
        <n x="770"/>
        <n x="1336"/>
        <n x="1337" s="1"/>
      </t>
    </mdx>
    <mdx n="33" f="v">
      <t c="4">
        <n x="772"/>
        <n x="0"/>
        <n x="7"/>
        <n x="1337" s="1"/>
      </t>
    </mdx>
    <mdx n="33" f="v">
      <t c="4">
        <n x="64"/>
        <n x="12"/>
        <n x="32"/>
        <n x="1337" s="1"/>
      </t>
    </mdx>
    <mdx n="33" f="v">
      <t c="4">
        <n x="302"/>
        <n x="0"/>
        <n x="7"/>
        <n x="1337" s="1"/>
      </t>
    </mdx>
    <mdx n="33" f="v">
      <t c="4">
        <n x="1181"/>
        <n x="0"/>
        <n x="7"/>
        <n x="1337" s="1"/>
      </t>
    </mdx>
    <mdx n="33" f="v">
      <t c="3">
        <n x="1101"/>
        <n x="1336"/>
        <n x="1337" s="1"/>
      </t>
    </mdx>
    <mdx n="33" f="v">
      <t c="4">
        <n x="235"/>
        <n x="11"/>
        <n x="7"/>
        <n x="1337" s="1"/>
      </t>
    </mdx>
    <mdx n="33" f="v">
      <t c="4">
        <n x="789"/>
        <n x="14"/>
        <n x="32"/>
        <n x="1337" s="1"/>
      </t>
    </mdx>
    <mdx n="33" f="v">
      <t c="4">
        <n x="298"/>
        <n x="1"/>
        <n x="7"/>
        <n x="1337" s="1"/>
      </t>
    </mdx>
    <mdx n="33" f="v">
      <t c="4">
        <n x="178"/>
        <n x="12"/>
        <n x="32"/>
        <n x="1337" s="1"/>
      </t>
    </mdx>
    <mdx n="33" f="v">
      <t c="4">
        <n x="939"/>
        <n x="0"/>
        <n x="7"/>
        <n x="1337" s="1"/>
      </t>
    </mdx>
    <mdx n="33" f="v">
      <t c="4">
        <n x="748"/>
        <n x="1"/>
        <n x="7"/>
        <n x="1337" s="1"/>
      </t>
    </mdx>
    <mdx n="33" f="v">
      <t c="4">
        <n x="459"/>
        <n x="14"/>
        <n x="32"/>
        <n x="1337" s="1"/>
      </t>
    </mdx>
    <mdx n="33" f="v">
      <t c="4" si="10">
        <n x="1051"/>
        <n x="14"/>
        <n x="32"/>
        <n x="1337" s="1"/>
      </t>
    </mdx>
    <mdx n="33" f="v">
      <t c="4">
        <n x="1282"/>
        <n x="0"/>
        <n x="7"/>
        <n x="1337" s="1"/>
      </t>
    </mdx>
    <mdx n="33" f="v">
      <t c="4" si="10">
        <n x="1191"/>
        <n x="0"/>
        <n x="32"/>
        <n x="1337" s="1"/>
      </t>
    </mdx>
    <mdx n="33" f="v">
      <t c="4">
        <n x="394"/>
        <n x="12"/>
        <n x="32"/>
        <n x="1337" s="1"/>
      </t>
    </mdx>
    <mdx n="33" f="v">
      <t c="4">
        <n x="1167"/>
        <n x="12"/>
        <n x="32"/>
        <n x="1337" s="1"/>
      </t>
    </mdx>
    <mdx n="33" f="v">
      <t c="4">
        <n x="448"/>
        <n x="11"/>
        <n x="7"/>
        <n x="1337" s="1"/>
      </t>
    </mdx>
    <mdx n="33" f="v">
      <t c="4" si="10">
        <n x="595"/>
        <n x="12"/>
        <n x="32"/>
        <n x="1337" s="1"/>
      </t>
    </mdx>
    <mdx n="33" f="v">
      <t c="4" si="10">
        <n x="1037"/>
        <n x="12"/>
        <n x="32"/>
        <n x="1337" s="1"/>
      </t>
    </mdx>
    <mdx n="33" f="v">
      <t c="4">
        <n x="964"/>
        <n x="0"/>
        <n x="32"/>
        <n x="1337" s="1"/>
      </t>
    </mdx>
    <mdx n="33" f="v">
      <t c="4">
        <n x="210"/>
        <n x="1"/>
        <n x="7"/>
        <n x="1337" s="1"/>
      </t>
    </mdx>
    <mdx n="33" f="v">
      <t c="4" si="10">
        <n x="522"/>
        <n x="14"/>
        <n x="32"/>
        <n x="1337" s="1"/>
      </t>
    </mdx>
    <mdx n="33" f="v">
      <t c="4">
        <n x="194"/>
        <n x="11"/>
        <n x="7"/>
        <n x="1337" s="1"/>
      </t>
    </mdx>
    <mdx n="33" f="v">
      <t c="4" si="10">
        <n x="1335"/>
        <n x="0"/>
        <n x="32"/>
        <n x="1337" s="1"/>
      </t>
    </mdx>
    <mdx n="33" f="v">
      <t c="4">
        <n x="312"/>
        <n x="12"/>
        <n x="32"/>
        <n x="1337" s="1"/>
      </t>
    </mdx>
    <mdx n="33" f="v">
      <t c="4">
        <n x="1107"/>
        <n x="12"/>
        <n x="32"/>
        <n x="1337" s="1"/>
      </t>
    </mdx>
    <mdx n="33" f="v">
      <t c="4">
        <n x="330"/>
        <n x="11"/>
        <n x="7"/>
        <n x="1337" s="1"/>
      </t>
    </mdx>
    <mdx n="33" f="v">
      <t c="4">
        <n x="523"/>
        <n x="12"/>
        <n x="32"/>
        <n x="1337" s="1"/>
      </t>
    </mdx>
    <mdx n="33" f="v">
      <t c="4">
        <n x="408"/>
        <n x="12"/>
        <n x="32"/>
        <n x="1337" s="1"/>
      </t>
    </mdx>
    <mdx n="33" f="v">
      <t c="4" si="10">
        <n x="1300"/>
        <n x="0"/>
        <n x="32"/>
        <n x="1337" s="1"/>
      </t>
    </mdx>
    <mdx n="33" f="v">
      <t c="4">
        <n x="117"/>
        <n x="0"/>
        <n x="7"/>
        <n x="1337" s="1"/>
      </t>
    </mdx>
    <mdx n="33" f="v">
      <t c="4">
        <n x="120"/>
        <n x="11"/>
        <n x="7"/>
        <n x="1337" s="1"/>
      </t>
    </mdx>
    <mdx n="33" f="v">
      <t c="4" si="10">
        <n x="602"/>
        <n x="14"/>
        <n x="32"/>
        <n x="1337" s="1"/>
      </t>
    </mdx>
    <mdx n="33" f="v">
      <t c="4">
        <n x="1314"/>
        <n x="0"/>
        <n x="7"/>
        <n x="1337" s="1"/>
      </t>
    </mdx>
    <mdx n="33" f="v">
      <t c="4">
        <n x="460"/>
        <n x="11"/>
        <n x="7"/>
        <n x="1337" s="1"/>
      </t>
    </mdx>
    <mdx n="33" f="v">
      <t c="4">
        <n x="512"/>
        <n x="11"/>
        <n x="32"/>
        <n x="1337" s="1"/>
      </t>
    </mdx>
    <mdx n="33" f="v">
      <t c="4">
        <n x="1333"/>
        <n x="14"/>
        <n x="32"/>
        <n x="1337" s="1"/>
      </t>
    </mdx>
    <mdx n="33" f="v">
      <t c="4" si="9">
        <n x="487"/>
        <n x="11"/>
        <n x="7"/>
        <n x="1337" s="1"/>
      </t>
    </mdx>
    <mdx n="33" f="v">
      <t c="4">
        <n x="169"/>
        <n x="14"/>
        <n x="32"/>
        <n x="1337" s="1"/>
      </t>
    </mdx>
    <mdx n="33" f="v">
      <t c="4">
        <n x="595"/>
        <n x="11"/>
        <n x="32"/>
        <n x="1337" s="1"/>
      </t>
    </mdx>
    <mdx n="33" f="v">
      <t c="4">
        <n x="257"/>
        <n x="14"/>
        <n x="7"/>
        <n x="1337" s="1"/>
      </t>
    </mdx>
    <mdx n="33" f="v">
      <t c="4">
        <n x="117"/>
        <n x="1"/>
        <n x="32"/>
        <n x="1337" s="1"/>
      </t>
    </mdx>
    <mdx n="33" f="v">
      <t c="4">
        <n x="933"/>
        <n x="1"/>
        <n x="7"/>
        <n x="1337" s="1"/>
      </t>
    </mdx>
    <mdx n="33" f="v">
      <t c="3">
        <n x="128"/>
        <n x="1336"/>
        <n x="1337" s="1"/>
      </t>
    </mdx>
    <mdx n="33" f="v">
      <t c="4">
        <n x="426"/>
        <n x="11"/>
        <n x="32"/>
        <n x="1337" s="1"/>
      </t>
    </mdx>
    <mdx n="33" f="v">
      <t c="4">
        <n x="1290"/>
        <n x="12"/>
        <n x="32"/>
        <n x="1337" s="1"/>
      </t>
    </mdx>
    <mdx n="33" f="v">
      <t c="4">
        <n x="296"/>
        <n x="14"/>
        <n x="32"/>
        <n x="1337" s="1"/>
      </t>
    </mdx>
    <mdx n="33" f="v">
      <t c="4">
        <n x="611"/>
        <n x="14"/>
        <n x="7"/>
        <n x="1337" s="1"/>
      </t>
    </mdx>
    <mdx n="33" f="v">
      <t c="3">
        <n x="861"/>
        <n x="1336"/>
        <n x="1337" s="1"/>
      </t>
    </mdx>
    <mdx n="33" f="v">
      <t c="4" si="10">
        <n x="512"/>
        <n x="1"/>
        <n x="32"/>
        <n x="1337" s="1"/>
      </t>
    </mdx>
    <mdx n="33" f="v">
      <t c="4">
        <n x="879"/>
        <n x="12"/>
        <n x="7"/>
        <n x="1337" s="1"/>
      </t>
    </mdx>
    <mdx n="33" f="v">
      <t c="4">
        <n x="410"/>
        <n x="12"/>
        <n x="32"/>
        <n x="1337" s="1"/>
      </t>
    </mdx>
    <mdx n="33" f="v">
      <t c="4">
        <n x="148"/>
        <n x="11"/>
        <n x="32"/>
        <n x="1337" s="1"/>
      </t>
    </mdx>
    <mdx n="33" f="v">
      <t c="4" si="10">
        <n x="1039"/>
        <n x="14"/>
        <n x="32"/>
        <n x="1337" s="1"/>
      </t>
    </mdx>
    <mdx n="33" f="v">
      <t c="4">
        <n x="1038"/>
        <n x="0"/>
        <n x="7"/>
        <n x="1337" s="1"/>
      </t>
    </mdx>
    <mdx n="33" f="v">
      <t c="4">
        <n x="1131"/>
        <n x="12"/>
        <n x="32"/>
        <n x="1337" s="1"/>
      </t>
    </mdx>
    <mdx n="33" f="v">
      <t c="4">
        <n x="460"/>
        <n x="11"/>
        <n x="32"/>
        <n x="1337" s="1"/>
      </t>
    </mdx>
    <mdx n="33" f="v">
      <t c="4" si="10">
        <n x="583"/>
        <n x="14"/>
        <n x="32"/>
        <n x="1337" s="1"/>
      </t>
    </mdx>
    <mdx n="33" f="v">
      <t c="3">
        <n x="146"/>
        <n x="1336"/>
        <n x="1337" s="1"/>
      </t>
    </mdx>
    <mdx n="33" f="v">
      <t c="4">
        <n x="140"/>
        <n x="0"/>
        <n x="7"/>
        <n x="1337" s="1"/>
      </t>
    </mdx>
    <mdx n="33" f="v">
      <t c="4">
        <n x="1092"/>
        <n x="11"/>
        <n x="32"/>
        <n x="1337" s="1"/>
      </t>
    </mdx>
    <mdx n="33" f="v">
      <t c="3">
        <n x="99"/>
        <n x="1336"/>
        <n x="1337" s="1"/>
      </t>
    </mdx>
    <mdx n="33" f="v">
      <t c="4">
        <n x="140"/>
        <n x="14"/>
        <n x="7"/>
        <n x="1337" s="1"/>
      </t>
    </mdx>
    <mdx n="33" f="v">
      <t c="4">
        <n x="117"/>
        <n x="12"/>
        <n x="32"/>
        <n x="1337" s="1"/>
      </t>
    </mdx>
    <mdx n="33" f="v">
      <t c="4" si="10">
        <n x="455"/>
        <n x="12"/>
        <n x="32"/>
        <n x="1337" s="1"/>
      </t>
    </mdx>
    <mdx n="33" f="v">
      <t c="4">
        <n x="967"/>
        <n x="12"/>
        <n x="7"/>
        <n x="1337" s="1"/>
      </t>
    </mdx>
    <mdx n="33" f="v">
      <t c="4" si="10">
        <n x="722"/>
        <n x="11"/>
        <n x="32"/>
        <n x="1337" s="1"/>
      </t>
    </mdx>
    <mdx n="33" f="v">
      <t c="4">
        <n x="552"/>
        <n x="11"/>
        <n x="32"/>
        <n x="1337" s="1"/>
      </t>
    </mdx>
    <mdx n="33" f="v">
      <t c="4">
        <n x="170"/>
        <n x="14"/>
        <n x="32"/>
        <n x="1337" s="1"/>
      </t>
    </mdx>
    <mdx n="33" f="v">
      <t c="3">
        <n x="299"/>
        <n x="1336"/>
        <n x="1337" s="1"/>
      </t>
    </mdx>
    <mdx n="33" f="v">
      <t c="4" si="10">
        <n x="547"/>
        <n x="12"/>
        <n x="32"/>
        <n x="1337" s="1"/>
      </t>
    </mdx>
    <mdx n="33" f="v">
      <t c="4">
        <n x="1172"/>
        <n x="0"/>
        <n x="7"/>
        <n x="1337" s="1"/>
      </t>
    </mdx>
    <mdx n="33" f="v">
      <t c="4" si="10">
        <n x="959"/>
        <n x="14"/>
        <n x="32"/>
        <n x="1337" s="1"/>
      </t>
    </mdx>
    <mdx n="33" f="v">
      <t c="3">
        <n x="970"/>
        <n x="1336"/>
        <n x="1337" s="1"/>
      </t>
    </mdx>
    <mdx n="33" f="v">
      <t c="3">
        <n x="880"/>
        <n x="1336"/>
        <n x="1337" s="1"/>
      </t>
    </mdx>
    <mdx n="33" f="v">
      <t c="4">
        <n x="933"/>
        <n x="1"/>
        <n x="32"/>
        <n x="1337" s="1"/>
      </t>
    </mdx>
    <mdx n="33" f="v">
      <t c="4">
        <n x="281"/>
        <n x="14"/>
        <n x="32"/>
        <n x="1337" s="1"/>
      </t>
    </mdx>
    <mdx n="33" f="v">
      <t c="4" si="10">
        <n x="987"/>
        <n x="14"/>
        <n x="32"/>
        <n x="1337" s="1"/>
      </t>
    </mdx>
    <mdx n="33" f="v">
      <t c="4">
        <n x="771"/>
        <n x="0"/>
        <n x="7"/>
        <n x="1337" s="1"/>
      </t>
    </mdx>
    <mdx n="33" f="v">
      <t c="4">
        <n x="122"/>
        <n x="0"/>
        <n x="32"/>
        <n x="1337" s="1"/>
      </t>
    </mdx>
    <mdx n="33" f="v">
      <t c="4" si="10">
        <n x="891"/>
        <n x="12"/>
        <n x="32"/>
        <n x="1337" s="1"/>
      </t>
    </mdx>
    <mdx n="33" f="v">
      <t c="4">
        <n x="614"/>
        <n x="11"/>
        <n x="32"/>
        <n x="1337" s="1"/>
      </t>
    </mdx>
    <mdx n="33" f="v">
      <t c="4" si="10">
        <n x="998"/>
        <n x="1"/>
        <n x="32"/>
        <n x="1337" s="1"/>
      </t>
    </mdx>
    <mdx n="33" f="v">
      <t c="4">
        <n x="822"/>
        <n x="14"/>
        <n x="7"/>
        <n x="1337" s="1"/>
      </t>
    </mdx>
    <mdx n="33" f="v">
      <t c="4">
        <n x="996"/>
        <n x="0"/>
        <n x="7"/>
        <n x="1337" s="1"/>
      </t>
    </mdx>
    <mdx n="33" f="v">
      <t c="4">
        <n x="1000"/>
        <n x="0"/>
        <n x="7"/>
        <n x="1337" s="1"/>
      </t>
    </mdx>
    <mdx n="33" f="v">
      <t c="3">
        <n x="996"/>
        <n x="1336"/>
        <n x="1337" s="1"/>
      </t>
    </mdx>
    <mdx n="33" f="v">
      <t c="3">
        <n x="1113"/>
        <n x="1336"/>
        <n x="1337" s="1"/>
      </t>
    </mdx>
    <mdx n="33" f="v">
      <t c="4" si="10">
        <n x="526"/>
        <n x="11"/>
        <n x="32"/>
        <n x="1337" s="1"/>
      </t>
    </mdx>
    <mdx n="33" f="v">
      <t c="4" si="10">
        <n x="521"/>
        <n x="11"/>
        <n x="32"/>
        <n x="1337" s="1"/>
      </t>
    </mdx>
    <mdx n="33" f="v">
      <t c="4">
        <n x="1032"/>
        <n x="11"/>
        <n x="7"/>
        <n x="1337" s="1"/>
      </t>
    </mdx>
    <mdx n="33" f="v">
      <t c="4">
        <n x="974"/>
        <n x="1"/>
        <n x="7"/>
        <n x="1337" s="1"/>
      </t>
    </mdx>
    <mdx n="33" f="v">
      <t c="4">
        <n x="230"/>
        <n x="12"/>
        <n x="32"/>
        <n x="1337" s="1"/>
      </t>
    </mdx>
    <mdx n="33" f="v">
      <t c="4">
        <n x="128"/>
        <n x="11"/>
        <n x="7"/>
        <n x="1337" s="1"/>
      </t>
    </mdx>
    <mdx n="33" f="v">
      <t c="4">
        <n x="1320"/>
        <n x="0"/>
        <n x="7"/>
        <n x="1337" s="1"/>
      </t>
    </mdx>
    <mdx n="33" f="v">
      <t c="4">
        <n x="73"/>
        <n x="11"/>
        <n x="7"/>
        <n x="1337" s="1"/>
      </t>
    </mdx>
    <mdx n="33" f="v">
      <t c="4">
        <n x="1331"/>
        <n x="0"/>
        <n x="7"/>
        <n x="1337" s="1"/>
      </t>
    </mdx>
    <mdx n="33" f="v">
      <t c="4" si="9">
        <n x="515"/>
        <n x="12"/>
        <n x="7"/>
        <n x="1337" s="1"/>
      </t>
    </mdx>
    <mdx n="33" f="v">
      <t c="4">
        <n x="796"/>
        <n x="12"/>
        <n x="32"/>
        <n x="1337" s="1"/>
      </t>
    </mdx>
    <mdx n="33" f="v">
      <t c="4">
        <n x="1044"/>
        <n x="1"/>
        <n x="7"/>
        <n x="1337" s="1"/>
      </t>
    </mdx>
    <mdx n="33" f="v">
      <t c="4">
        <n x="1119"/>
        <n x="1"/>
        <n x="7"/>
        <n x="1337" s="1"/>
      </t>
    </mdx>
    <mdx n="33" f="v">
      <t c="4" si="10">
        <n x="1079"/>
        <n x="12"/>
        <n x="32"/>
        <n x="1337" s="1"/>
      </t>
    </mdx>
    <mdx n="33" f="v">
      <t c="4">
        <n x="937"/>
        <n x="1"/>
        <n x="7"/>
        <n x="1337" s="1"/>
      </t>
    </mdx>
    <mdx n="33" f="v">
      <t c="4">
        <n x="277"/>
        <n x="11"/>
        <n x="7"/>
        <n x="1337" s="1"/>
      </t>
    </mdx>
    <mdx n="33" f="v">
      <t c="4">
        <n x="987"/>
        <n x="11"/>
        <n x="32"/>
        <n x="1337" s="1"/>
      </t>
    </mdx>
    <mdx n="33" f="v">
      <t c="4" si="10">
        <n x="495"/>
        <n x="12"/>
        <n x="32"/>
        <n x="1337" s="1"/>
      </t>
    </mdx>
    <mdx n="33" f="v">
      <t c="4">
        <n x="127"/>
        <n x="14"/>
        <n x="32"/>
        <n x="1337" s="1"/>
      </t>
    </mdx>
    <mdx n="33" f="v">
      <t c="4">
        <n x="274"/>
        <n x="12"/>
        <n x="32"/>
        <n x="1337" s="1"/>
      </t>
    </mdx>
    <mdx n="33" f="v">
      <t c="4">
        <n x="1152"/>
        <n x="0"/>
        <n x="7"/>
        <n x="1337" s="1"/>
      </t>
    </mdx>
    <mdx n="33" f="v">
      <t c="4">
        <n x="430"/>
        <n x="14"/>
        <n x="7"/>
        <n x="1337" s="1"/>
      </t>
    </mdx>
    <mdx n="33" f="v">
      <t c="4">
        <n x="405"/>
        <n x="14"/>
        <n x="32"/>
        <n x="1337" s="1"/>
      </t>
    </mdx>
    <mdx n="33" f="v">
      <t c="4" si="10">
        <n x="566"/>
        <n x="12"/>
        <n x="32"/>
        <n x="1337" s="1"/>
      </t>
    </mdx>
    <mdx n="33" f="v">
      <t c="4" si="10">
        <n x="1046"/>
        <n x="11"/>
        <n x="32"/>
        <n x="1337" s="1"/>
      </t>
    </mdx>
    <mdx n="33" f="v">
      <t c="3">
        <n x="303"/>
        <n x="1336"/>
        <n x="1337" s="1"/>
      </t>
    </mdx>
    <mdx n="33" f="v">
      <t c="4">
        <n x="1320"/>
        <n x="12"/>
        <n x="32"/>
        <n x="1337" s="1"/>
      </t>
    </mdx>
    <mdx n="33" f="v">
      <t c="4" si="10">
        <n x="1287"/>
        <n x="0"/>
        <n x="32"/>
        <n x="1337" s="1"/>
      </t>
    </mdx>
    <mdx n="33" f="v">
      <t c="4">
        <n x="388"/>
        <n x="12"/>
        <n x="32"/>
        <n x="1337" s="1"/>
      </t>
    </mdx>
    <mdx n="33" f="v">
      <t c="4" si="10">
        <n x="1329"/>
        <n x="12"/>
        <n x="32"/>
        <n x="1337" s="1"/>
      </t>
    </mdx>
    <mdx n="33" f="v">
      <t c="4">
        <n x="354"/>
        <n x="11"/>
        <n x="7"/>
        <n x="1337" s="1"/>
      </t>
    </mdx>
    <mdx n="33" f="v">
      <t c="4">
        <n x="1327"/>
        <n x="0"/>
        <n x="7"/>
        <n x="1337" s="1"/>
      </t>
    </mdx>
    <mdx n="33" f="v">
      <t c="4" si="10">
        <n x="603"/>
        <n x="0"/>
        <n x="32"/>
        <n x="1337" s="1"/>
      </t>
    </mdx>
    <mdx n="33" f="v">
      <t c="4">
        <n x="413"/>
        <n x="1"/>
        <n x="7"/>
        <n x="1337" s="1"/>
      </t>
    </mdx>
    <mdx n="33" f="v">
      <t c="4">
        <n x="408"/>
        <n x="11"/>
        <n x="32"/>
        <n x="1337" s="1"/>
      </t>
    </mdx>
    <mdx n="33" f="v">
      <t c="4" si="10">
        <n x="499"/>
        <n x="11"/>
        <n x="32"/>
        <n x="1337" s="1"/>
      </t>
    </mdx>
    <mdx n="33" f="v">
      <t c="4" si="10">
        <n x="1225"/>
        <n x="12"/>
        <n x="32"/>
        <n x="1337" s="1"/>
      </t>
    </mdx>
    <mdx n="33" f="v">
      <t c="4">
        <n x="892"/>
        <n x="1"/>
        <n x="7"/>
        <n x="1337" s="1"/>
      </t>
    </mdx>
    <mdx n="33" f="v">
      <t c="4">
        <n x="891"/>
        <n x="11"/>
        <n x="7"/>
        <n x="1337" s="1"/>
      </t>
    </mdx>
    <mdx n="33" f="v">
      <t c="4">
        <n x="360"/>
        <n x="1"/>
        <n x="7"/>
        <n x="1337" s="1"/>
      </t>
    </mdx>
    <mdx n="33" f="v">
      <t c="4">
        <n x="1049"/>
        <n x="1"/>
        <n x="32"/>
        <n x="1337" s="1"/>
      </t>
    </mdx>
    <mdx n="33" f="v">
      <t c="4">
        <n x="496"/>
        <n x="11"/>
        <n x="32"/>
        <n x="1337" s="1"/>
      </t>
    </mdx>
    <mdx n="33" f="v">
      <t c="4">
        <n x="855"/>
        <n x="12"/>
        <n x="7"/>
        <n x="1337" s="1"/>
      </t>
    </mdx>
    <mdx n="33" f="v">
      <t c="4">
        <n x="89"/>
        <n x="0"/>
        <n x="7"/>
        <n x="1337" s="1"/>
      </t>
    </mdx>
    <mdx n="33" f="v">
      <t c="4">
        <n x="133"/>
        <n x="14"/>
        <n x="32"/>
        <n x="1337" s="1"/>
      </t>
    </mdx>
    <mdx n="33" f="v">
      <t c="4">
        <n x="551"/>
        <n x="11"/>
        <n x="32"/>
        <n x="1337" s="1"/>
      </t>
    </mdx>
    <mdx n="33" f="v">
      <t c="4">
        <n x="776"/>
        <n x="0"/>
        <n x="7"/>
        <n x="1337" s="1"/>
      </t>
    </mdx>
    <mdx n="33" f="v">
      <t c="4" si="9">
        <n x="1056"/>
        <n x="12"/>
        <n x="7"/>
        <n x="1337" s="1"/>
      </t>
    </mdx>
    <mdx n="33" f="v">
      <t c="3">
        <n x="1054"/>
        <n x="1336"/>
        <n x="1337" s="1"/>
      </t>
    </mdx>
    <mdx n="33" f="v">
      <t c="4">
        <n x="202"/>
        <n x="1"/>
        <n x="7"/>
        <n x="1337" s="1"/>
      </t>
    </mdx>
    <mdx n="33" f="v">
      <t c="4">
        <n x="1107"/>
        <n x="12"/>
        <n x="7"/>
        <n x="1337" s="1"/>
      </t>
    </mdx>
    <mdx n="33" f="v">
      <t c="4">
        <n x="424"/>
        <n x="11"/>
        <n x="32"/>
        <n x="1337" s="1"/>
      </t>
    </mdx>
    <mdx n="33" f="v">
      <t c="4" si="10">
        <n x="973"/>
        <n x="1"/>
        <n x="32"/>
        <n x="1337" s="1"/>
      </t>
    </mdx>
    <mdx n="33" f="v">
      <t c="4">
        <n x="56"/>
        <n x="0"/>
        <n x="7"/>
        <n x="1337" s="1"/>
      </t>
    </mdx>
    <mdx n="33" f="v">
      <t c="4">
        <n x="291"/>
        <n x="1"/>
        <n x="32"/>
        <n x="1337" s="1"/>
      </t>
    </mdx>
    <mdx n="33" f="v">
      <t c="4" si="9">
        <n x="802"/>
        <n x="14"/>
        <n x="7"/>
        <n x="1337" s="1"/>
      </t>
    </mdx>
    <mdx n="33" f="v">
      <t c="4" si="10">
        <n x="446"/>
        <n x="12"/>
        <n x="32"/>
        <n x="1337" s="1"/>
      </t>
    </mdx>
    <mdx n="33" f="v">
      <t c="4">
        <n x="135"/>
        <n x="1"/>
        <n x="32"/>
        <n x="1337" s="1"/>
      </t>
    </mdx>
    <mdx n="33" f="v">
      <t c="4" si="10">
        <n x="888"/>
        <n x="14"/>
        <n x="32"/>
        <n x="1337" s="1"/>
      </t>
    </mdx>
    <mdx n="33" f="v">
      <t c="4">
        <n x="288"/>
        <n x="1"/>
        <n x="32"/>
        <n x="1337" s="1"/>
      </t>
    </mdx>
    <mdx n="33" f="v">
      <t c="4">
        <n x="391"/>
        <n x="12"/>
        <n x="32"/>
        <n x="1337" s="1"/>
      </t>
    </mdx>
    <mdx n="33" f="v">
      <t c="4">
        <n x="950"/>
        <n x="1"/>
        <n x="32"/>
        <n x="1337" s="1"/>
      </t>
    </mdx>
    <mdx n="33" f="v">
      <t c="4">
        <n x="50"/>
        <n x="12"/>
        <n x="32"/>
        <n x="1337" s="1"/>
      </t>
    </mdx>
    <mdx n="33" f="v">
      <t c="4">
        <n x="947"/>
        <n x="0"/>
        <n x="7"/>
        <n x="1337" s="1"/>
      </t>
    </mdx>
    <mdx n="33" f="v">
      <t c="4" si="9">
        <n x="1137"/>
        <n x="0"/>
        <n x="7"/>
        <n x="1337" s="1"/>
      </t>
    </mdx>
    <mdx n="33" f="v">
      <t c="4" si="10">
        <n x="1081"/>
        <n x="12"/>
        <n x="32"/>
        <n x="1337" s="1"/>
      </t>
    </mdx>
    <mdx n="33" f="v">
      <t c="4">
        <n x="1199"/>
        <n x="0"/>
        <n x="7"/>
        <n x="1337" s="1"/>
      </t>
    </mdx>
    <mdx n="33" f="v">
      <t c="4">
        <n x="225"/>
        <n x="14"/>
        <n x="7"/>
        <n x="1337" s="1"/>
      </t>
    </mdx>
    <mdx n="33" f="v">
      <t c="4">
        <n x="89"/>
        <n x="12"/>
        <n x="32"/>
        <n x="1337" s="1"/>
      </t>
    </mdx>
    <mdx n="33" f="v">
      <t c="4">
        <n x="1330"/>
        <n x="0"/>
        <n x="7"/>
        <n x="1337" s="1"/>
      </t>
    </mdx>
    <mdx n="33" f="v">
      <t c="4">
        <n x="309"/>
        <n x="11"/>
        <n x="7"/>
        <n x="1337" s="1"/>
      </t>
    </mdx>
    <mdx n="33" f="v">
      <t c="4">
        <n x="85"/>
        <n x="1"/>
        <n x="7"/>
        <n x="1337" s="1"/>
      </t>
    </mdx>
    <mdx n="33" f="v">
      <t c="4">
        <n x="857"/>
        <n x="14"/>
        <n x="7"/>
        <n x="1337" s="1"/>
      </t>
    </mdx>
    <mdx n="33" f="v">
      <t c="4" si="9">
        <n x="563"/>
        <n x="1"/>
        <n x="7"/>
        <n x="1337" s="1"/>
      </t>
    </mdx>
    <mdx n="33" f="v">
      <t c="4">
        <n x="130"/>
        <n x="11"/>
        <n x="7"/>
        <n x="1337" s="1"/>
      </t>
    </mdx>
    <mdx n="33" f="v">
      <t c="4" si="10">
        <n x="616"/>
        <n x="12"/>
        <n x="32"/>
        <n x="1337" s="1"/>
      </t>
    </mdx>
    <mdx n="33" f="v">
      <t c="4">
        <n x="388"/>
        <n x="14"/>
        <n x="7"/>
        <n x="1337" s="1"/>
      </t>
    </mdx>
    <mdx n="33" f="v">
      <t c="4">
        <n x="351"/>
        <n x="1"/>
        <n x="7"/>
        <n x="1337" s="1"/>
      </t>
    </mdx>
    <mdx n="33" f="v">
      <t c="4">
        <n x="444"/>
        <n x="12"/>
        <n x="32"/>
        <n x="1337" s="1"/>
      </t>
    </mdx>
    <mdx n="33" f="v">
      <t c="4">
        <n x="288"/>
        <n x="14"/>
        <n x="7"/>
        <n x="1337" s="1"/>
      </t>
    </mdx>
    <mdx n="33" f="v">
      <t c="4">
        <n x="102"/>
        <n x="1"/>
        <n x="32"/>
        <n x="1337" s="1"/>
      </t>
    </mdx>
    <mdx n="33" f="v">
      <t c="4">
        <n x="436"/>
        <n x="14"/>
        <n x="7"/>
        <n x="1337" s="1"/>
      </t>
    </mdx>
    <mdx n="33" f="v">
      <t c="4">
        <n x="145"/>
        <n x="1"/>
        <n x="32"/>
        <n x="1337" s="1"/>
      </t>
    </mdx>
    <mdx n="33" f="v">
      <t c="4">
        <n x="1180"/>
        <n x="0"/>
        <n x="32"/>
        <n x="1337" s="1"/>
      </t>
    </mdx>
    <mdx n="33" f="v">
      <t c="4" si="10">
        <n x="501"/>
        <n x="14"/>
        <n x="32"/>
        <n x="1337" s="1"/>
      </t>
    </mdx>
    <mdx n="33" f="v">
      <t c="4">
        <n x="143"/>
        <n x="0"/>
        <n x="7"/>
        <n x="1337" s="1"/>
      </t>
    </mdx>
    <mdx n="33" f="v">
      <t c="4">
        <n x="125"/>
        <n x="1"/>
        <n x="32"/>
        <n x="1337" s="1"/>
      </t>
    </mdx>
    <mdx n="33" f="v">
      <t c="4" si="10">
        <n x="1148"/>
        <n x="12"/>
        <n x="32"/>
        <n x="1337" s="1"/>
      </t>
    </mdx>
    <mdx n="33" f="v">
      <t c="4">
        <n x="880"/>
        <n x="14"/>
        <n x="7"/>
        <n x="1337" s="1"/>
      </t>
    </mdx>
    <mdx n="33" f="v">
      <t c="4">
        <n x="966"/>
        <n x="12"/>
        <n x="32"/>
        <n x="1337" s="1"/>
      </t>
    </mdx>
    <mdx n="33" f="v">
      <t c="4">
        <n x="363"/>
        <n x="14"/>
        <n x="32"/>
        <n x="1337" s="1"/>
      </t>
    </mdx>
    <mdx n="33" f="v">
      <t c="3">
        <n x="944"/>
        <n x="1336"/>
        <n x="1337" s="1"/>
      </t>
    </mdx>
    <mdx n="33" f="v">
      <t c="4">
        <n x="415"/>
        <n x="1"/>
        <n x="7"/>
        <n x="1337" s="1"/>
      </t>
    </mdx>
    <mdx n="33" f="v">
      <t c="4">
        <n x="181"/>
        <n x="14"/>
        <n x="32"/>
        <n x="1337" s="1"/>
      </t>
    </mdx>
    <mdx n="33" f="v">
      <t c="4">
        <n x="917"/>
        <n x="1"/>
        <n x="7"/>
        <n x="1337" s="1"/>
      </t>
    </mdx>
    <mdx n="33" f="v">
      <t c="4">
        <n x="170"/>
        <n x="11"/>
        <n x="32"/>
        <n x="1337" s="1"/>
      </t>
    </mdx>
    <mdx n="33" f="v">
      <t c="4">
        <n x="370"/>
        <n x="14"/>
        <n x="32"/>
        <n x="1337" s="1"/>
      </t>
    </mdx>
    <mdx n="33" f="v">
      <t c="4">
        <n x="396"/>
        <n x="14"/>
        <n x="32"/>
        <n x="1337" s="1"/>
      </t>
    </mdx>
    <mdx n="33" f="v">
      <t c="4">
        <n x="71"/>
        <n x="1"/>
        <n x="32"/>
        <n x="1337" s="1"/>
      </t>
    </mdx>
    <mdx n="33" f="v">
      <t c="4" si="10">
        <n x="518"/>
        <n x="14"/>
        <n x="32"/>
        <n x="1337" s="1"/>
      </t>
    </mdx>
    <mdx n="33" f="v">
      <t c="4">
        <n x="299"/>
        <n x="1"/>
        <n x="32"/>
        <n x="1337" s="1"/>
      </t>
    </mdx>
    <mdx n="33" f="v">
      <t c="4" si="10">
        <n x="1009"/>
        <n x="14"/>
        <n x="32"/>
        <n x="1337" s="1"/>
      </t>
    </mdx>
    <mdx n="33" f="v">
      <t c="4" si="9">
        <n x="953"/>
        <n x="0"/>
        <n x="7"/>
        <n x="1337" s="1"/>
      </t>
    </mdx>
    <mdx n="33" f="v">
      <t c="4">
        <n x="146"/>
        <n x="0"/>
        <n x="7"/>
        <n x="1337" s="1"/>
      </t>
    </mdx>
    <mdx n="33" f="v">
      <t c="4">
        <n x="1056"/>
        <n x="1"/>
        <n x="32"/>
        <n x="1337" s="1"/>
      </t>
    </mdx>
    <mdx n="33" f="v">
      <t c="4">
        <n x="276"/>
        <n x="14"/>
        <n x="7"/>
        <n x="1337" s="1"/>
      </t>
    </mdx>
    <mdx n="33" f="v">
      <t c="4" si="10">
        <n x="584"/>
        <n x="12"/>
        <n x="32"/>
        <n x="1337" s="1"/>
      </t>
    </mdx>
    <mdx n="33" f="v">
      <t c="4">
        <n x="199"/>
        <n x="11"/>
        <n x="7"/>
        <n x="1337" s="1"/>
      </t>
    </mdx>
    <mdx n="33" f="v">
      <t c="4" si="10">
        <n x="358"/>
        <n x="12"/>
        <n x="32"/>
        <n x="1337" s="1"/>
      </t>
    </mdx>
    <mdx n="33" f="v">
      <t c="4">
        <n x="527"/>
        <n x="11"/>
        <n x="32"/>
        <n x="1337" s="1"/>
      </t>
    </mdx>
    <mdx n="33" f="v">
      <t c="4">
        <n x="1209"/>
        <n x="0"/>
        <n x="7"/>
        <n x="1337" s="1"/>
      </t>
    </mdx>
    <mdx n="33" f="v">
      <t c="4">
        <n x="770"/>
        <n x="0"/>
        <n x="7"/>
        <n x="1337" s="1"/>
      </t>
    </mdx>
    <mdx n="33" f="v">
      <t c="4">
        <n x="57"/>
        <n x="12"/>
        <n x="32"/>
        <n x="1337" s="1"/>
      </t>
    </mdx>
    <mdx n="33" f="v">
      <t c="4">
        <n x="110"/>
        <n x="0"/>
        <n x="7"/>
        <n x="1337" s="1"/>
      </t>
    </mdx>
    <mdx n="33" f="v">
      <t c="4" si="10">
        <n x="475"/>
        <n x="14"/>
        <n x="32"/>
        <n x="1337" s="1"/>
      </t>
    </mdx>
    <mdx n="33" f="v">
      <t c="4">
        <n x="66"/>
        <n x="14"/>
        <n x="7"/>
        <n x="1337" s="1"/>
      </t>
    </mdx>
    <mdx n="33" f="v">
      <t c="4">
        <n x="1275"/>
        <n x="12"/>
        <n x="7"/>
        <n x="1337" s="1"/>
      </t>
    </mdx>
    <mdx n="33" f="v">
      <t c="4">
        <n x="320"/>
        <n x="11"/>
        <n x="32"/>
        <n x="1337" s="1"/>
      </t>
    </mdx>
    <mdx n="33" f="v">
      <t c="4">
        <n x="127"/>
        <n x="1"/>
        <n x="7"/>
        <n x="1337" s="1"/>
      </t>
    </mdx>
    <mdx n="33" f="v">
      <t c="4">
        <n x="211"/>
        <n x="11"/>
        <n x="32"/>
        <n x="1337" s="1"/>
      </t>
    </mdx>
    <mdx n="33" f="v">
      <t c="3">
        <n x="82"/>
        <n x="1336"/>
        <n x="1337" s="1"/>
      </t>
    </mdx>
    <mdx n="33" f="v">
      <t c="3">
        <n x="111"/>
        <n x="1336"/>
        <n x="1337" s="1"/>
      </t>
    </mdx>
    <mdx n="33" f="v">
      <t c="4">
        <n x="1076"/>
        <n x="12"/>
        <n x="7"/>
        <n x="1337" s="1"/>
      </t>
    </mdx>
    <mdx n="33" f="v">
      <t c="4" si="9">
        <n x="944"/>
        <n x="14"/>
        <n x="7"/>
        <n x="1337" s="1"/>
      </t>
    </mdx>
    <mdx n="33" f="v">
      <t c="3">
        <n x="891"/>
        <n x="1336"/>
        <n x="1337" s="1"/>
      </t>
    </mdx>
    <mdx n="33" f="v">
      <t c="3">
        <n x="892"/>
        <n x="1336"/>
        <n x="1337" s="1"/>
      </t>
    </mdx>
    <mdx n="33" f="v">
      <t c="4">
        <n x="163"/>
        <n x="11"/>
        <n x="7"/>
        <n x="1337" s="1"/>
      </t>
    </mdx>
    <mdx n="33" f="v">
      <t c="3">
        <n x="140"/>
        <n x="1336"/>
        <n x="1337" s="1"/>
      </t>
    </mdx>
    <mdx n="33" f="v">
      <t c="4" si="10">
        <n x="569"/>
        <n x="14"/>
        <n x="32"/>
        <n x="1337" s="1"/>
      </t>
    </mdx>
    <mdx n="33" f="v">
      <t c="4">
        <n x="313"/>
        <n x="11"/>
        <n x="32"/>
        <n x="1337" s="1"/>
      </t>
    </mdx>
    <mdx n="33" f="v">
      <t c="4">
        <n x="914"/>
        <n x="0"/>
        <n x="7"/>
        <n x="1337" s="1"/>
      </t>
    </mdx>
    <mdx n="33" f="v">
      <t c="4" si="10">
        <n x="1328"/>
        <n x="12"/>
        <n x="32"/>
        <n x="1337" s="1"/>
      </t>
    </mdx>
    <mdx n="33" f="v">
      <t c="4">
        <n x="168"/>
        <n x="14"/>
        <n x="32"/>
        <n x="1337" s="1"/>
      </t>
    </mdx>
    <mdx n="33" f="v">
      <t c="4" si="10">
        <n x="941"/>
        <n x="1"/>
        <n x="32"/>
        <n x="1337" s="1"/>
      </t>
    </mdx>
    <mdx n="33" f="v">
      <t c="4">
        <n x="89"/>
        <n x="1"/>
        <n x="32"/>
        <n x="1337" s="1"/>
      </t>
    </mdx>
    <mdx n="33" f="v">
      <t c="4" si="10">
        <n x="1244"/>
        <n x="12"/>
        <n x="32"/>
        <n x="1337" s="1"/>
      </t>
    </mdx>
    <mdx n="33" f="v">
      <t c="4">
        <n x="102"/>
        <n x="1"/>
        <n x="7"/>
        <n x="1337" s="1"/>
      </t>
    </mdx>
    <mdx n="33" f="v">
      <t c="4">
        <n x="72"/>
        <n x="11"/>
        <n x="7"/>
        <n x="1337" s="1"/>
      </t>
    </mdx>
    <mdx n="33" f="v">
      <t c="4">
        <n x="335"/>
        <n x="14"/>
        <n x="32"/>
        <n x="1337" s="1"/>
      </t>
    </mdx>
    <mdx n="33" f="v">
      <t c="4">
        <n x="996"/>
        <n x="1"/>
        <n x="7"/>
        <n x="1337" s="1"/>
      </t>
    </mdx>
    <mdx n="33" f="v">
      <t c="4" si="10">
        <n x="959"/>
        <n x="11"/>
        <n x="32"/>
        <n x="1337" s="1"/>
      </t>
    </mdx>
    <mdx n="33" f="v">
      <t c="4">
        <n x="367"/>
        <n x="14"/>
        <n x="32"/>
        <n x="1337" s="1"/>
      </t>
    </mdx>
    <mdx n="33" f="v">
      <t c="4">
        <n x="1010"/>
        <n x="11"/>
        <n x="32"/>
        <n x="1337" s="1"/>
      </t>
    </mdx>
    <mdx n="33" f="v">
      <t c="4">
        <n x="437"/>
        <n x="1"/>
        <n x="7"/>
        <n x="1337" s="1"/>
      </t>
    </mdx>
    <mdx n="33" f="v">
      <t c="4">
        <n x="280"/>
        <n x="1"/>
        <n x="32"/>
        <n x="1337" s="1"/>
      </t>
    </mdx>
    <mdx n="33" f="v">
      <t c="4">
        <n x="1165"/>
        <n x="0"/>
        <n x="7"/>
        <n x="1337" s="1"/>
      </t>
    </mdx>
    <mdx n="33" f="v">
      <t c="4">
        <n x="1294"/>
        <n x="0"/>
        <n x="7"/>
        <n x="1337" s="1"/>
      </t>
    </mdx>
    <mdx n="33" f="v">
      <t c="4" si="10">
        <n x="1092"/>
        <n x="14"/>
        <n x="32"/>
        <n x="1337" s="1"/>
      </t>
    </mdx>
    <mdx n="33" f="v">
      <t c="4">
        <n x="147"/>
        <n x="11"/>
        <n x="32"/>
        <n x="1337" s="1"/>
      </t>
    </mdx>
    <mdx n="33" f="v">
      <t c="4">
        <n x="1295"/>
        <n x="0"/>
        <n x="7"/>
        <n x="1337" s="1"/>
      </t>
    </mdx>
    <mdx n="33" f="v">
      <t c="4">
        <n x="284"/>
        <n x="14"/>
        <n x="32"/>
        <n x="1337" s="1"/>
      </t>
    </mdx>
    <mdx n="33" f="v">
      <t c="4">
        <n x="909"/>
        <n x="11"/>
        <n x="32"/>
        <n x="1337" s="1"/>
      </t>
    </mdx>
    <mdx n="33" f="v">
      <t c="4">
        <n x="956"/>
        <n x="11"/>
        <n x="32"/>
        <n x="1337" s="1"/>
      </t>
    </mdx>
    <mdx n="33" f="v">
      <t c="4">
        <n x="375"/>
        <n x="11"/>
        <n x="32"/>
        <n x="1337" s="1"/>
      </t>
    </mdx>
    <mdx n="33" f="v">
      <t c="4">
        <n x="79"/>
        <n x="0"/>
        <n x="7"/>
        <n x="1337" s="1"/>
      </t>
    </mdx>
    <mdx n="33" f="v">
      <t c="4">
        <n x="166"/>
        <n x="11"/>
        <n x="7"/>
        <n x="1337" s="1"/>
      </t>
    </mdx>
    <mdx n="33" f="v">
      <t c="4">
        <n x="285"/>
        <n x="0"/>
        <n x="7"/>
        <n x="1337" s="1"/>
      </t>
    </mdx>
    <mdx n="33" f="v">
      <t c="4">
        <n x="1133"/>
        <n x="11"/>
        <n x="32"/>
        <n x="1337" s="1"/>
      </t>
    </mdx>
    <mdx n="33" f="v">
      <t c="4" si="10">
        <n x="1184"/>
        <n x="14"/>
        <n x="32"/>
        <n x="1337" s="1"/>
      </t>
    </mdx>
    <mdx n="33" f="v">
      <t c="4" si="10">
        <n x="1199"/>
        <n x="14"/>
        <n x="32"/>
        <n x="1337" s="1"/>
      </t>
    </mdx>
    <mdx n="33" f="v">
      <t c="4" si="10">
        <n x="1136"/>
        <n x="14"/>
        <n x="32"/>
        <n x="1337" s="1"/>
      </t>
    </mdx>
    <mdx n="33" f="v">
      <t c="4" si="9">
        <n x="1127"/>
        <n x="14"/>
        <n x="7"/>
        <n x="1337" s="1"/>
      </t>
    </mdx>
    <mdx n="33" f="v">
      <t c="4">
        <n x="1146"/>
        <n x="14"/>
        <n x="7"/>
        <n x="1337" s="1"/>
      </t>
    </mdx>
    <mdx n="33" f="v">
      <t c="4" si="9">
        <n x="1315"/>
        <n x="14"/>
        <n x="7"/>
        <n x="1337" s="1"/>
      </t>
    </mdx>
    <mdx n="33" f="v">
      <t c="4">
        <n x="1298"/>
        <n x="14"/>
        <n x="7"/>
        <n x="1337" s="1"/>
      </t>
    </mdx>
    <mdx n="33" f="v">
      <t c="4">
        <n x="1185"/>
        <n x="14"/>
        <n x="7"/>
        <n x="1337" s="1"/>
      </t>
    </mdx>
    <mdx n="33" f="v">
      <t c="4">
        <n x="1169"/>
        <n x="14"/>
        <n x="7"/>
        <n x="1337" s="1"/>
      </t>
    </mdx>
    <mdx n="33" f="v">
      <t c="4">
        <n x="1301"/>
        <n x="14"/>
        <n x="7"/>
        <n x="1337" s="1"/>
      </t>
    </mdx>
    <mdx n="33" f="v">
      <t c="4">
        <n x="1221"/>
        <n x="14"/>
        <n x="7"/>
        <n x="1337" s="1"/>
      </t>
    </mdx>
    <mdx n="33" f="v">
      <t c="4">
        <n x="1280"/>
        <n x="14"/>
        <n x="7"/>
        <n x="1337" s="1"/>
      </t>
    </mdx>
    <mdx n="33" f="v">
      <t c="4">
        <n x="1279"/>
        <n x="14"/>
        <n x="7"/>
        <n x="1337" s="1"/>
      </t>
    </mdx>
    <mdx n="33" f="v">
      <t c="4">
        <n x="1276"/>
        <n x="14"/>
        <n x="7"/>
        <n x="1337" s="1"/>
      </t>
    </mdx>
    <mdx n="33" f="v">
      <t c="4">
        <n x="1265"/>
        <n x="14"/>
        <n x="7"/>
        <n x="1337" s="1"/>
      </t>
    </mdx>
    <mdx n="33" f="v">
      <t c="4">
        <n x="1131"/>
        <n x="14"/>
        <n x="7"/>
        <n x="1337" s="1"/>
      </t>
    </mdx>
    <mdx n="33" f="v">
      <t c="4">
        <n x="1255"/>
        <n x="14"/>
        <n x="7"/>
        <n x="1337" s="1"/>
      </t>
    </mdx>
    <mdx n="33" f="v">
      <t c="4">
        <n x="1254"/>
        <n x="14"/>
        <n x="7"/>
        <n x="1337" s="1"/>
      </t>
    </mdx>
    <mdx n="33" f="v">
      <t c="4">
        <n x="1126"/>
        <n x="14"/>
        <n x="7"/>
        <n x="1337" s="1"/>
      </t>
    </mdx>
    <mdx n="33" f="v">
      <t c="4">
        <n x="1213"/>
        <n x="14"/>
        <n x="7"/>
        <n x="1337" s="1"/>
      </t>
    </mdx>
    <mdx n="33" f="v">
      <t c="4">
        <n x="1212"/>
        <n x="14"/>
        <n x="7"/>
        <n x="1337" s="1"/>
      </t>
    </mdx>
    <mdx n="33" f="v">
      <t c="4">
        <n x="1206"/>
        <n x="14"/>
        <n x="7"/>
        <n x="1337" s="1"/>
      </t>
    </mdx>
    <mdx n="33" f="v">
      <t c="4">
        <n x="1176"/>
        <n x="14"/>
        <n x="7"/>
        <n x="1337" s="1"/>
      </t>
    </mdx>
    <mdx n="33" f="v">
      <t c="4">
        <n x="1233"/>
        <n x="14"/>
        <n x="7"/>
        <n x="1337" s="1"/>
      </t>
    </mdx>
    <mdx n="33" f="v">
      <t c="4">
        <n x="1219"/>
        <n x="14"/>
        <n x="7"/>
        <n x="1337" s="1"/>
      </t>
    </mdx>
    <mdx n="33" f="v">
      <t c="4">
        <n x="1218"/>
        <n x="14"/>
        <n x="7"/>
        <n x="1337" s="1"/>
      </t>
    </mdx>
    <mdx n="33" f="v">
      <t c="4">
        <n x="1285"/>
        <n x="14"/>
        <n x="7"/>
        <n x="1337" s="1"/>
      </t>
    </mdx>
    <mdx n="33" f="v">
      <t c="4">
        <n x="1151"/>
        <n x="14"/>
        <n x="7"/>
        <n x="1337" s="1"/>
      </t>
    </mdx>
    <mdx n="33" f="v">
      <t c="4">
        <n x="1150"/>
        <n x="14"/>
        <n x="7"/>
        <n x="1337" s="1"/>
      </t>
    </mdx>
    <mdx n="33" f="v">
      <t c="4">
        <n x="1205"/>
        <n x="14"/>
        <n x="7"/>
        <n x="1337" s="1"/>
      </t>
    </mdx>
    <mdx n="33" f="v">
      <t c="4">
        <n x="1204"/>
        <n x="14"/>
        <n x="7"/>
        <n x="1337" s="1"/>
      </t>
    </mdx>
    <mdx n="33" f="v">
      <t c="4">
        <n x="1144"/>
        <n x="14"/>
        <n x="7"/>
        <n x="1337" s="1"/>
      </t>
    </mdx>
    <mdx n="33" f="v">
      <t c="4">
        <n x="1271"/>
        <n x="14"/>
        <n x="7"/>
        <n x="1337" s="1"/>
      </t>
    </mdx>
    <mdx n="33" f="v">
      <t c="4">
        <n x="1281"/>
        <n x="14"/>
        <n x="7"/>
        <n x="1337" s="1"/>
      </t>
    </mdx>
    <mdx n="33" f="v">
      <t c="4">
        <n x="1147"/>
        <n x="14"/>
        <n x="7"/>
        <n x="1337" s="1"/>
      </t>
    </mdx>
    <mdx n="33" f="v">
      <t c="4">
        <n x="1207"/>
        <n x="14"/>
        <n x="7"/>
        <n x="1337" s="1"/>
      </t>
    </mdx>
    <mdx n="33" f="v">
      <t c="4">
        <n x="1267"/>
        <n x="14"/>
        <n x="7"/>
        <n x="1337" s="1"/>
      </t>
    </mdx>
    <mdx n="33" f="v">
      <t c="4" si="9">
        <n x="1133"/>
        <n x="14"/>
        <n x="7"/>
        <n x="1337" s="1"/>
      </t>
    </mdx>
    <mdx n="33" f="v">
      <t c="4">
        <n x="1132"/>
        <n x="14"/>
        <n x="7"/>
        <n x="1337" s="1"/>
      </t>
    </mdx>
    <mdx n="33" f="v">
      <t c="4">
        <n x="1226"/>
        <n x="1"/>
        <n x="7"/>
        <n x="1337" s="1"/>
      </t>
    </mdx>
    <mdx n="33" f="v">
      <t c="3">
        <n x="1246"/>
        <n x="1336"/>
        <n x="1337" s="1"/>
      </t>
    </mdx>
    <mdx n="33" f="v">
      <t c="3">
        <n x="1269"/>
        <n x="1336"/>
        <n x="1337" s="1"/>
      </t>
    </mdx>
    <mdx n="33" f="v">
      <t c="3">
        <n x="1158"/>
        <n x="1336"/>
        <n x="1337" s="1"/>
      </t>
    </mdx>
    <mdx n="33" f="v">
      <t c="3">
        <n x="1146"/>
        <n x="1336"/>
        <n x="1337" s="1"/>
      </t>
    </mdx>
    <mdx n="33" f="v">
      <t c="3">
        <n x="1192"/>
        <n x="1336"/>
        <n x="1337" s="1"/>
      </t>
    </mdx>
    <mdx n="33" f="v">
      <t c="3">
        <n x="1293"/>
        <n x="1336"/>
        <n x="1337" s="1"/>
      </t>
    </mdx>
    <mdx n="33" f="v">
      <t c="3">
        <n x="1190"/>
        <n x="1336"/>
        <n x="1337" s="1"/>
      </t>
    </mdx>
    <mdx n="33" f="v">
      <t c="3">
        <n x="1202"/>
        <n x="1336"/>
        <n x="1337" s="1"/>
      </t>
    </mdx>
    <mdx n="33" f="v">
      <t c="3">
        <n x="1151"/>
        <n x="1336"/>
        <n x="1337" s="1"/>
      </t>
    </mdx>
    <mdx n="33" f="v">
      <t c="4">
        <n x="1242"/>
        <n x="11"/>
        <n x="32"/>
        <n x="1337" s="1"/>
      </t>
    </mdx>
    <mdx n="33" f="v">
      <t c="5" si="9">
        <n x="15"/>
        <n x="1337" s="1"/>
        <n x="13"/>
        <n x="7"/>
        <n x="22"/>
      </t>
    </mdx>
    <mdx n="33" f="v">
      <t c="6" si="9">
        <n x="15"/>
        <n x="1337" s="1"/>
        <n x="46"/>
        <n x="7"/>
        <n x="16"/>
        <n x="12"/>
      </t>
    </mdx>
    <mdx n="33" f="v">
      <t c="6" si="10">
        <n x="15"/>
        <n x="1337" s="1"/>
        <n x="37"/>
        <n x="32"/>
        <n x="17"/>
        <n x="0"/>
      </t>
    </mdx>
    <mdx n="33" f="v">
      <t c="6" si="10">
        <n x="15"/>
        <n x="1337" s="1"/>
        <n x="39"/>
        <n x="32"/>
        <n x="24"/>
        <n x="0"/>
      </t>
    </mdx>
    <mdx n="33" f="v">
      <t c="6">
        <n x="15"/>
        <n x="1337" s="1"/>
        <n x="36"/>
        <n x="7"/>
        <n x="22"/>
        <n x="2"/>
      </t>
    </mdx>
    <mdx n="33" f="v">
      <t c="3">
        <n x="1178"/>
        <n x="1336"/>
        <n x="1337" s="1"/>
      </t>
    </mdx>
    <mdx n="33" f="v">
      <t c="6" si="10">
        <n x="15"/>
        <n x="1337" s="1"/>
        <n x="47"/>
        <n x="32"/>
        <n x="31"/>
        <n x="12"/>
      </t>
    </mdx>
    <mdx n="33" f="v">
      <t c="6" si="9">
        <n x="15"/>
        <n x="1337" s="1"/>
        <n x="47"/>
        <n x="7"/>
        <n x="29"/>
        <n x="12"/>
      </t>
    </mdx>
    <mdx n="33" f="v">
      <t c="6">
        <n x="15"/>
        <n x="1337" s="1"/>
        <n x="44"/>
        <n x="7"/>
        <n x="22"/>
        <n x="3"/>
      </t>
    </mdx>
    <mdx n="33" f="v">
      <t c="6">
        <n x="15"/>
        <n x="1337" s="1"/>
        <n x="44"/>
        <n x="7"/>
        <n x="28"/>
        <n x="3"/>
      </t>
    </mdx>
    <mdx n="33" f="v">
      <t c="6" si="10">
        <n x="15"/>
        <n x="1337" s="1"/>
        <n x="44"/>
        <n x="32"/>
        <n x="19"/>
        <n x="2"/>
      </t>
    </mdx>
    <mdx n="33" f="v">
      <t c="6" si="10">
        <n x="15"/>
        <n x="1337" s="1"/>
        <n x="35"/>
        <n x="32"/>
        <n x="19"/>
        <n x="12"/>
      </t>
    </mdx>
    <mdx n="33" f="v">
      <t c="6" si="9">
        <n x="15"/>
        <n x="1337" s="1"/>
        <n x="42"/>
        <n x="7"/>
        <n x="19"/>
        <n x="0"/>
      </t>
    </mdx>
    <mdx n="33" f="v">
      <t c="5" si="9">
        <n x="15"/>
        <n x="1337" s="1"/>
        <n x="14"/>
        <n x="7"/>
        <n x="19"/>
      </t>
    </mdx>
    <mdx n="33" f="v">
      <t c="6" si="10">
        <n x="15"/>
        <n x="1337" s="1"/>
        <n x="47"/>
        <n x="32"/>
        <n x="19"/>
        <n x="12"/>
      </t>
    </mdx>
    <mdx n="33" f="v">
      <t c="6" si="9">
        <n x="15"/>
        <n x="1337" s="1"/>
        <n x="43"/>
        <n x="7"/>
        <n x="19"/>
        <n x="0"/>
      </t>
    </mdx>
    <mdx n="33" f="v">
      <t c="6">
        <n x="15"/>
        <n x="1337" s="1"/>
        <n x="41"/>
        <n x="32"/>
        <n x="19"/>
        <n x="3"/>
      </t>
    </mdx>
    <mdx n="33" f="v">
      <t c="6" si="9">
        <n x="15"/>
        <n x="1337" s="1"/>
        <n x="42"/>
        <n x="7"/>
        <n x="19"/>
        <n x="2"/>
      </t>
    </mdx>
    <mdx n="33" f="v">
      <t c="6" si="9">
        <n x="15"/>
        <n x="1337" s="1"/>
        <n x="38"/>
        <n x="7"/>
        <n x="19"/>
        <n x="2"/>
      </t>
    </mdx>
    <mdx n="33" f="v">
      <t c="5" si="10">
        <n x="15"/>
        <n x="1337" s="1"/>
        <n x="13"/>
        <n x="32"/>
        <n x="19"/>
      </t>
    </mdx>
    <mdx n="33" f="v">
      <t c="6">
        <n x="15"/>
        <n x="1337" s="1"/>
        <n x="41"/>
        <n x="7"/>
        <n x="19"/>
        <n x="1"/>
      </t>
    </mdx>
    <mdx n="33" f="v">
      <t c="6" si="9">
        <n x="15"/>
        <n x="1337" s="1"/>
        <n x="43"/>
        <n x="7"/>
        <n x="19"/>
        <n x="3"/>
      </t>
    </mdx>
    <mdx n="33" f="v">
      <t c="4">
        <n x="1222"/>
        <n x="14"/>
        <n x="7"/>
        <n x="1337" s="1"/>
      </t>
    </mdx>
    <mdx n="33" f="v">
      <t c="4">
        <n x="1174"/>
        <n x="14"/>
        <n x="7"/>
        <n x="1337" s="1"/>
      </t>
    </mdx>
    <mdx n="33" f="v">
      <t c="4">
        <n x="1232"/>
        <n x="14"/>
        <n x="7"/>
        <n x="1337" s="1"/>
      </t>
    </mdx>
    <mdx n="33" f="v">
      <t c="4">
        <n x="1186"/>
        <n x="14"/>
        <n x="7"/>
        <n x="1337" s="1"/>
      </t>
    </mdx>
    <mdx n="33" f="v">
      <t c="4">
        <n x="1246"/>
        <n x="14"/>
        <n x="7"/>
        <n x="1337" s="1"/>
      </t>
    </mdx>
    <mdx n="33" f="v">
      <t c="4">
        <n x="1173"/>
        <n x="14"/>
        <n x="7"/>
        <n x="1337" s="1"/>
      </t>
    </mdx>
    <mdx n="33" f="v">
      <t c="4">
        <n x="1172"/>
        <n x="14"/>
        <n x="7"/>
        <n x="1337" s="1"/>
      </t>
    </mdx>
    <mdx n="33" f="v">
      <t c="4">
        <n x="1201"/>
        <n x="14"/>
        <n x="7"/>
        <n x="1337" s="1"/>
      </t>
    </mdx>
    <mdx n="33" f="v">
      <t c="4">
        <n x="1309"/>
        <n x="14"/>
        <n x="7"/>
        <n x="1337" s="1"/>
      </t>
    </mdx>
    <mdx n="33" f="v">
      <t c="4">
        <n x="1175"/>
        <n x="14"/>
        <n x="7"/>
        <n x="1337" s="1"/>
      </t>
    </mdx>
    <mdx n="33" f="v">
      <t c="4">
        <n x="1228"/>
        <n x="14"/>
        <n x="7"/>
        <n x="1337" s="1"/>
      </t>
    </mdx>
    <mdx n="33" f="v">
      <t c="4">
        <n x="1226"/>
        <n x="14"/>
        <n x="7"/>
        <n x="1337" s="1"/>
      </t>
    </mdx>
    <mdx n="33" f="v">
      <t c="3">
        <n x="1204"/>
        <n x="1336"/>
        <n x="1337" s="1"/>
      </t>
    </mdx>
    <mdx n="33" f="v">
      <t c="3">
        <n x="1147"/>
        <n x="1336"/>
        <n x="1337" s="1"/>
      </t>
    </mdx>
    <mdx n="33" f="v">
      <t c="3">
        <n x="1150"/>
        <n x="1336"/>
        <n x="1337" s="1"/>
      </t>
    </mdx>
    <mdx n="33" f="v">
      <t c="3">
        <n x="1261"/>
        <n x="1336"/>
        <n x="1337" s="1"/>
      </t>
    </mdx>
    <mdx n="33" f="v">
      <t c="3">
        <n x="1170"/>
        <n x="1336"/>
        <n x="1337" s="1"/>
      </t>
    </mdx>
    <mdx n="33" f="v">
      <t c="3">
        <n x="1149"/>
        <n x="1336"/>
        <n x="1337" s="1"/>
      </t>
    </mdx>
    <mdx n="33" f="v">
      <t c="4">
        <n x="1306"/>
        <n x="11"/>
        <n x="32"/>
        <n x="1337" s="1"/>
      </t>
    </mdx>
    <mdx n="33" f="v">
      <t c="6">
        <n x="15"/>
        <n x="1337" s="1"/>
        <n x="44"/>
        <n x="7"/>
        <n x="16"/>
        <n x="2"/>
      </t>
    </mdx>
    <mdx n="33" f="v">
      <t c="6" si="10">
        <n x="15"/>
        <n x="1337" s="1"/>
        <n x="36"/>
        <n x="32"/>
        <n x="30"/>
        <n x="2"/>
      </t>
    </mdx>
    <mdx n="33" f="v">
      <t c="4">
        <n x="1178"/>
        <n x="11"/>
        <n x="32"/>
        <n x="1337" s="1"/>
      </t>
    </mdx>
    <mdx n="33" f="v">
      <t c="6" si="9">
        <n x="15"/>
        <n x="1337" s="1"/>
        <n x="47"/>
        <n x="7"/>
        <n x="30"/>
        <n x="12"/>
      </t>
    </mdx>
    <mdx n="33" f="v">
      <t c="6" si="10">
        <n x="15"/>
        <n x="1337" s="1"/>
        <n x="44"/>
        <n x="32"/>
        <n x="30"/>
        <n x="3"/>
      </t>
    </mdx>
    <mdx n="33" f="v">
      <t c="6">
        <n x="15"/>
        <n x="1337" s="1"/>
        <n x="38"/>
        <n x="7"/>
        <n x="27"/>
        <n x="2"/>
      </t>
    </mdx>
    <mdx n="33" f="v">
      <t c="6" si="10">
        <n x="15"/>
        <n x="1337" s="1"/>
        <n x="34"/>
        <n x="32"/>
        <n x="19"/>
        <n x="12"/>
      </t>
    </mdx>
    <mdx n="33" f="v">
      <t c="6" si="10">
        <n x="15"/>
        <n x="1337" s="1"/>
        <n x="36"/>
        <n x="32"/>
        <n x="19"/>
        <n x="2"/>
      </t>
    </mdx>
    <mdx n="33" f="v">
      <t c="6">
        <n x="15"/>
        <n x="1337" s="1"/>
        <n x="43"/>
        <n x="7"/>
        <n x="19"/>
        <n x="1"/>
      </t>
    </mdx>
    <mdx n="33" f="v">
      <t c="6" si="9">
        <n x="15"/>
        <n x="1337" s="1"/>
        <n x="37"/>
        <n x="7"/>
        <n x="19"/>
        <n x="2"/>
      </t>
    </mdx>
    <mdx n="33" f="v">
      <t c="6" si="9">
        <n x="15"/>
        <n x="1337" s="1"/>
        <n x="44"/>
        <n x="7"/>
        <n x="19"/>
        <n x="2"/>
      </t>
    </mdx>
    <mdx n="33" f="v">
      <t c="6" si="10">
        <n x="15"/>
        <n x="1337" s="1"/>
        <n x="40"/>
        <n x="32"/>
        <n x="19"/>
        <n x="0"/>
      </t>
    </mdx>
    <mdx n="33" f="v">
      <t c="6" si="10">
        <n x="15"/>
        <n x="1337" s="1"/>
        <n x="37"/>
        <n x="32"/>
        <n x="19"/>
        <n x="0"/>
      </t>
    </mdx>
    <mdx n="33" f="v">
      <t c="6" si="9">
        <n x="15"/>
        <n x="1337" s="1"/>
        <n x="35"/>
        <n x="7"/>
        <n x="19"/>
        <n x="12"/>
      </t>
    </mdx>
    <mdx n="33" f="v">
      <t c="6" si="9">
        <n x="15"/>
        <n x="1337" s="1"/>
        <n x="36"/>
        <n x="7"/>
        <n x="22"/>
        <n x="0"/>
      </t>
    </mdx>
    <mdx n="33" f="v">
      <t c="4" si="10">
        <n x="1178"/>
        <n x="1"/>
        <n x="32"/>
        <n x="1337" s="1"/>
      </t>
    </mdx>
    <mdx n="33" f="v">
      <t c="6" si="10">
        <n x="15"/>
        <n x="1337" s="1"/>
        <n x="47"/>
        <n x="32"/>
        <n x="22"/>
        <n x="12"/>
      </t>
    </mdx>
    <mdx n="33" f="v">
      <t c="6" si="10">
        <n x="15"/>
        <n x="1337" s="1"/>
        <n x="38"/>
        <n x="32"/>
        <n x="25"/>
        <n x="2"/>
      </t>
    </mdx>
    <mdx n="33" f="v">
      <t c="6" si="10">
        <n x="15"/>
        <n x="1337" s="1"/>
        <n x="39"/>
        <n x="32"/>
        <n x="19"/>
        <n x="1"/>
      </t>
    </mdx>
    <mdx n="33" f="v">
      <t c="6" si="10">
        <n x="15"/>
        <n x="1337" s="1"/>
        <n x="37"/>
        <n x="32"/>
        <n x="19"/>
        <n x="3"/>
      </t>
    </mdx>
    <mdx n="33" f="v">
      <t c="5" si="9">
        <n x="15"/>
        <n x="1337" s="1"/>
        <n x="11"/>
        <n x="7"/>
        <n x="19"/>
      </t>
    </mdx>
    <mdx n="33" f="v">
      <t c="5" si="9">
        <n x="15"/>
        <n x="1337" s="1"/>
        <n x="13"/>
        <n x="7"/>
        <n x="19"/>
      </t>
    </mdx>
    <mdx n="33" f="v">
      <t c="6">
        <n x="15"/>
        <n x="1337" s="1"/>
        <n x="44"/>
        <n x="7"/>
        <n x="30"/>
        <n x="3"/>
      </t>
    </mdx>
    <mdx n="33" f="v">
      <t c="6" si="9">
        <n x="15"/>
        <n x="1337" s="1"/>
        <n x="40"/>
        <n x="7"/>
        <n x="19"/>
        <n x="0"/>
      </t>
    </mdx>
    <mdx n="33" f="v">
      <t c="6">
        <n x="15"/>
        <n x="1337" s="1"/>
        <n x="37"/>
        <n x="7"/>
        <n x="19"/>
        <n x="3"/>
      </t>
    </mdx>
    <mdx n="33" f="v">
      <t c="6" si="10">
        <n x="15"/>
        <n x="1337" s="1"/>
        <n x="39"/>
        <n x="32"/>
        <n x="19"/>
        <n x="3"/>
      </t>
    </mdx>
    <mdx n="33" f="v">
      <t c="6" si="9">
        <n x="15"/>
        <n x="1337" s="1"/>
        <n x="34"/>
        <n x="7"/>
        <n x="19"/>
        <n x="12"/>
      </t>
    </mdx>
    <mdx n="33" f="v">
      <t c="4" si="10">
        <n x="1028"/>
        <n x="14"/>
        <n x="32"/>
        <n x="1337" s="1"/>
      </t>
    </mdx>
    <mdx n="33" f="v">
      <t c="4">
        <n x="112"/>
        <n x="11"/>
        <n x="7"/>
        <n x="1337" s="1"/>
      </t>
    </mdx>
    <mdx n="33" f="v">
      <t c="3">
        <n x="67"/>
        <n x="1336"/>
        <n x="1337" s="1"/>
      </t>
    </mdx>
    <mdx n="33" f="v">
      <t c="4">
        <n x="828"/>
        <n x="11"/>
        <n x="7"/>
        <n x="1337" s="1"/>
      </t>
    </mdx>
    <mdx n="33" f="v">
      <t c="4">
        <n x="1229"/>
        <n x="12"/>
        <n x="7"/>
        <n x="1337" s="1"/>
      </t>
    </mdx>
    <mdx n="33" f="v">
      <t c="4" si="10">
        <n x="749"/>
        <n x="1"/>
        <n x="32"/>
        <n x="1337" s="1"/>
      </t>
    </mdx>
    <mdx n="33" f="v">
      <t c="3">
        <n x="857"/>
        <n x="1336"/>
        <n x="1337" s="1"/>
      </t>
    </mdx>
    <mdx n="33" f="v">
      <t c="4" si="9">
        <n x="1036"/>
        <n x="1"/>
        <n x="7"/>
        <n x="1337" s="1"/>
      </t>
    </mdx>
    <mdx n="33" f="v">
      <t c="4">
        <n x="899"/>
        <n x="1"/>
        <n x="7"/>
        <n x="1337" s="1"/>
      </t>
    </mdx>
    <mdx n="33" f="v">
      <t c="4">
        <n x="1225"/>
        <n x="12"/>
        <n x="7"/>
        <n x="1337" s="1"/>
      </t>
    </mdx>
    <mdx n="33" f="v">
      <t c="4">
        <n x="121"/>
        <n x="12"/>
        <n x="32"/>
        <n x="1337" s="1"/>
      </t>
    </mdx>
    <mdx n="33" f="v">
      <t c="4">
        <n x="96"/>
        <n x="1"/>
        <n x="7"/>
        <n x="1337" s="1"/>
      </t>
    </mdx>
    <mdx n="33" f="v">
      <t c="4">
        <n x="379"/>
        <n x="1"/>
        <n x="7"/>
        <n x="1337" s="1"/>
      </t>
    </mdx>
    <mdx n="33" f="v">
      <t c="4" si="10">
        <n x="616"/>
        <n x="14"/>
        <n x="32"/>
        <n x="1337" s="1"/>
      </t>
    </mdx>
    <mdx n="33" f="v">
      <t c="4">
        <n x="147"/>
        <n x="1"/>
        <n x="32"/>
        <n x="1337" s="1"/>
      </t>
    </mdx>
    <mdx n="33" f="v">
      <t c="4">
        <n x="564"/>
        <n x="1"/>
        <n x="7"/>
        <n x="1337" s="1"/>
      </t>
    </mdx>
    <mdx n="33" f="v">
      <t c="4">
        <n x="563"/>
        <n x="11"/>
        <n x="32"/>
        <n x="1337" s="1"/>
      </t>
    </mdx>
    <mdx n="33" f="v">
      <t c="4">
        <n x="1263"/>
        <n x="0"/>
        <n x="32"/>
        <n x="1337" s="1"/>
      </t>
    </mdx>
    <mdx n="33" f="v">
      <t c="4">
        <n x="385"/>
        <n x="1"/>
        <n x="7"/>
        <n x="1337" s="1"/>
      </t>
    </mdx>
    <mdx n="33" f="v">
      <t c="4">
        <n x="140"/>
        <n x="1"/>
        <n x="7"/>
        <n x="1337" s="1"/>
      </t>
    </mdx>
    <mdx n="33" f="v">
      <t c="4">
        <n x="867"/>
        <n x="11"/>
        <n x="7"/>
        <n x="1337" s="1"/>
      </t>
    </mdx>
    <mdx n="33" f="v">
      <t c="4">
        <n x="231"/>
        <n x="11"/>
        <n x="7"/>
        <n x="1337" s="1"/>
      </t>
    </mdx>
    <mdx n="33" f="v">
      <t c="4">
        <n x="331"/>
        <n x="11"/>
        <n x="32"/>
        <n x="1337" s="1"/>
      </t>
    </mdx>
    <mdx n="33" f="v">
      <t c="4">
        <n x="382"/>
        <n x="14"/>
        <n x="32"/>
        <n x="1337" s="1"/>
      </t>
    </mdx>
    <mdx n="33" f="v">
      <t c="4">
        <n x="116"/>
        <n x="12"/>
        <n x="32"/>
        <n x="1337" s="1"/>
      </t>
    </mdx>
    <mdx n="33" f="v">
      <t c="4">
        <n x="338"/>
        <n x="11"/>
        <n x="32"/>
        <n x="1337" s="1"/>
      </t>
    </mdx>
    <mdx n="33" f="v">
      <t c="4" si="10">
        <n x="1027"/>
        <n x="14"/>
        <n x="32"/>
        <n x="1337" s="1"/>
      </t>
    </mdx>
    <mdx n="33" f="v">
      <t c="4" si="10">
        <n x="1031"/>
        <n x="14"/>
        <n x="32"/>
        <n x="1337" s="1"/>
      </t>
    </mdx>
    <mdx n="33" f="v">
      <t c="4">
        <n x="247"/>
        <n x="12"/>
        <n x="32"/>
        <n x="1337" s="1"/>
      </t>
    </mdx>
    <mdx n="33" f="v">
      <t c="4">
        <n x="439"/>
        <n x="11"/>
        <n x="7"/>
        <n x="1337" s="1"/>
      </t>
    </mdx>
    <mdx n="33" f="v">
      <t c="4">
        <n x="379"/>
        <n x="14"/>
        <n x="7"/>
        <n x="1337" s="1"/>
      </t>
    </mdx>
    <mdx n="33" f="v">
      <t c="4">
        <n x="468"/>
        <n x="11"/>
        <n x="7"/>
        <n x="1337" s="1"/>
      </t>
    </mdx>
    <mdx n="33" f="v">
      <t c="4">
        <n x="131"/>
        <n x="14"/>
        <n x="7"/>
        <n x="1337" s="1"/>
      </t>
    </mdx>
    <mdx n="33" f="v">
      <t c="4">
        <n x="1117"/>
        <n x="1"/>
        <n x="7"/>
        <n x="1337" s="1"/>
      </t>
    </mdx>
    <mdx n="33" f="v">
      <t c="4">
        <n x="844"/>
        <n x="12"/>
        <n x="7"/>
        <n x="1337" s="1"/>
      </t>
    </mdx>
    <mdx n="33" f="v">
      <t c="4" si="9">
        <n x="577"/>
        <n x="1"/>
        <n x="7"/>
        <n x="1337" s="1"/>
      </t>
    </mdx>
    <mdx n="33" f="v">
      <t c="4">
        <n x="125"/>
        <n x="14"/>
        <n x="32"/>
        <n x="1337" s="1"/>
      </t>
    </mdx>
    <mdx n="33" f="v">
      <t c="3">
        <n x="773"/>
        <n x="1336"/>
        <n x="1337" s="1"/>
      </t>
    </mdx>
    <mdx n="33" f="v">
      <t c="4">
        <n x="1227"/>
        <n x="12"/>
        <n x="7"/>
        <n x="1337" s="1"/>
      </t>
    </mdx>
    <mdx n="33" f="v">
      <t c="4">
        <n x="124"/>
        <n x="1"/>
        <n x="7"/>
        <n x="1337" s="1"/>
      </t>
    </mdx>
    <mdx n="33" f="v">
      <t c="4">
        <n x="560"/>
        <n x="11"/>
        <n x="7"/>
        <n x="1337" s="1"/>
      </t>
    </mdx>
    <mdx n="33" f="v">
      <t c="4">
        <n x="419"/>
        <n x="14"/>
        <n x="32"/>
        <n x="1337" s="1"/>
      </t>
    </mdx>
    <mdx n="33" f="v">
      <t c="4">
        <n x="1106"/>
        <n x="11"/>
        <n x="32"/>
        <n x="1337" s="1"/>
      </t>
    </mdx>
    <mdx n="33" f="v">
      <t c="4">
        <n x="118"/>
        <n x="0"/>
        <n x="7"/>
        <n x="1337" s="1"/>
      </t>
    </mdx>
    <mdx n="33" f="v">
      <t c="4">
        <n x="94"/>
        <n x="0"/>
        <n x="7"/>
        <n x="1337" s="1"/>
      </t>
    </mdx>
    <mdx n="33" f="v">
      <t c="4">
        <n x="887"/>
        <n x="0"/>
        <n x="32"/>
        <n x="1337" s="1"/>
      </t>
    </mdx>
    <mdx n="33" f="v">
      <t c="4">
        <n x="183"/>
        <n x="11"/>
        <n x="32"/>
        <n x="1337" s="1"/>
      </t>
    </mdx>
    <mdx n="33" f="v">
      <t c="4" si="10">
        <n x="1065"/>
        <n x="14"/>
        <n x="32"/>
        <n x="1337" s="1"/>
      </t>
    </mdx>
    <mdx n="33" f="v">
      <t c="4" si="10">
        <n x="773"/>
        <n x="1"/>
        <n x="32"/>
        <n x="1337" s="1"/>
      </t>
    </mdx>
    <mdx n="33" f="v">
      <t c="4">
        <n x="361"/>
        <n x="12"/>
        <n x="32"/>
        <n x="1337" s="1"/>
      </t>
    </mdx>
    <mdx n="33" f="v">
      <t c="4" si="10">
        <n x="1071"/>
        <n x="14"/>
        <n x="32"/>
        <n x="1337" s="1"/>
      </t>
    </mdx>
    <mdx n="33" f="v">
      <t c="4">
        <n x="449"/>
        <n x="11"/>
        <n x="32"/>
        <n x="1337" s="1"/>
      </t>
    </mdx>
    <mdx n="33" f="v">
      <t c="4" si="10">
        <n x="1014"/>
        <n x="12"/>
        <n x="32"/>
        <n x="1337" s="1"/>
      </t>
    </mdx>
    <mdx n="33" f="v">
      <t c="4">
        <n x="1062"/>
        <n x="11"/>
        <n x="7"/>
        <n x="1337" s="1"/>
      </t>
    </mdx>
    <mdx n="33" f="v">
      <t c="4">
        <n x="94"/>
        <n x="14"/>
        <n x="32"/>
        <n x="1337" s="1"/>
      </t>
    </mdx>
    <mdx n="33" f="v">
      <t c="4">
        <n x="152"/>
        <n x="1"/>
        <n x="32"/>
        <n x="1337" s="1"/>
      </t>
    </mdx>
    <mdx n="33" f="v">
      <t c="4" si="9">
        <n x="848"/>
        <n x="11"/>
        <n x="7"/>
        <n x="1337" s="1"/>
      </t>
    </mdx>
    <mdx n="33" f="v">
      <t c="4">
        <n x="586"/>
        <n x="1"/>
        <n x="7"/>
        <n x="1337" s="1"/>
      </t>
    </mdx>
    <mdx n="33" f="v">
      <t c="4" si="9">
        <n x="481"/>
        <n x="1"/>
        <n x="7"/>
        <n x="1337" s="1"/>
      </t>
    </mdx>
    <mdx n="33" f="v">
      <t c="4" si="10">
        <n x="1328"/>
        <n x="14"/>
        <n x="32"/>
        <n x="1337" s="1"/>
      </t>
    </mdx>
    <mdx n="33" f="v">
      <t c="4">
        <n x="124"/>
        <n x="0"/>
        <n x="7"/>
        <n x="1337" s="1"/>
      </t>
    </mdx>
    <mdx n="33" f="v">
      <t c="4">
        <n x="838"/>
        <n x="0"/>
        <n x="7"/>
        <n x="1337" s="1"/>
      </t>
    </mdx>
    <mdx n="33" f="v">
      <t c="4">
        <n x="819"/>
        <n x="1"/>
        <n x="7"/>
        <n x="1337" s="1"/>
      </t>
    </mdx>
    <mdx n="33" f="v">
      <t c="4">
        <n x="707"/>
        <n x="1"/>
        <n x="7"/>
        <n x="1337" s="1"/>
      </t>
    </mdx>
    <mdx n="33" f="v">
      <t c="4">
        <n x="1117"/>
        <n x="11"/>
        <n x="32"/>
        <n x="1337" s="1"/>
      </t>
    </mdx>
    <mdx n="33" f="v">
      <t c="4">
        <n x="564"/>
        <n x="11"/>
        <n x="32"/>
        <n x="1337" s="1"/>
      </t>
    </mdx>
    <mdx n="33" f="v">
      <t c="4">
        <n x="284"/>
        <n x="0"/>
        <n x="7"/>
        <n x="1337" s="1"/>
      </t>
    </mdx>
    <mdx n="33" f="v">
      <t c="4">
        <n x="855"/>
        <n x="1"/>
        <n x="7"/>
        <n x="1337" s="1"/>
      </t>
    </mdx>
    <mdx n="33" f="v">
      <t c="4">
        <n x="192"/>
        <n x="11"/>
        <n x="32"/>
        <n x="1337" s="1"/>
      </t>
    </mdx>
    <mdx n="33" f="v">
      <t c="4">
        <n x="339"/>
        <n x="1"/>
        <n x="7"/>
        <n x="1337" s="1"/>
      </t>
    </mdx>
    <mdx n="33" f="v">
      <t c="4" si="10">
        <n x="578"/>
        <n x="12"/>
        <n x="32"/>
        <n x="1337" s="1"/>
      </t>
    </mdx>
    <mdx n="33" f="v">
      <t c="4" si="10">
        <n x="491"/>
        <n x="14"/>
        <n x="32"/>
        <n x="1337" s="1"/>
      </t>
    </mdx>
    <mdx n="33" f="v">
      <t c="4">
        <n x="1274"/>
        <n x="0"/>
        <n x="7"/>
        <n x="1337" s="1"/>
      </t>
    </mdx>
    <mdx n="33" f="v">
      <t c="4">
        <n x="68"/>
        <n x="14"/>
        <n x="7"/>
        <n x="1337" s="1"/>
      </t>
    </mdx>
    <mdx n="33" f="v">
      <t c="4">
        <n x="120"/>
        <n x="0"/>
        <n x="7"/>
        <n x="1337" s="1"/>
      </t>
    </mdx>
    <mdx n="33" f="v">
      <t c="4">
        <n x="83"/>
        <n x="12"/>
        <n x="32"/>
        <n x="1337" s="1"/>
      </t>
    </mdx>
    <mdx n="33" f="v">
      <t c="4">
        <n x="1073"/>
        <n x="11"/>
        <n x="7"/>
        <n x="1337" s="1"/>
      </t>
    </mdx>
    <mdx n="33" f="v">
      <t c="4">
        <n x="1282"/>
        <n x="12"/>
        <n x="32"/>
        <n x="1337" s="1"/>
      </t>
    </mdx>
    <mdx n="33" f="v">
      <t c="4" si="9">
        <n x="1311"/>
        <n x="0"/>
        <n x="7"/>
        <n x="1337" s="1"/>
      </t>
    </mdx>
    <mdx n="33" f="v">
      <t c="4" si="10">
        <n x="524"/>
        <n x="1"/>
        <n x="32"/>
        <n x="1337" s="1"/>
      </t>
    </mdx>
    <mdx n="33" f="v">
      <t c="4">
        <n x="432"/>
        <n x="1"/>
        <n x="7"/>
        <n x="1337" s="1"/>
      </t>
    </mdx>
    <mdx n="33" f="v">
      <t c="4">
        <n x="985"/>
        <n x="12"/>
        <n x="32"/>
        <n x="1337" s="1"/>
      </t>
    </mdx>
    <mdx n="33" f="v">
      <t c="4">
        <n x="777"/>
        <n x="1"/>
        <n x="32"/>
        <n x="1337" s="1"/>
      </t>
    </mdx>
    <mdx n="33" f="v">
      <t c="4">
        <n x="219"/>
        <n x="12"/>
        <n x="32"/>
        <n x="1337" s="1"/>
      </t>
    </mdx>
    <mdx n="33" f="v">
      <t c="4">
        <n x="57"/>
        <n x="0"/>
        <n x="7"/>
        <n x="1337" s="1"/>
      </t>
    </mdx>
    <mdx n="33" f="v">
      <t c="4">
        <n x="87"/>
        <n x="0"/>
        <n x="7"/>
        <n x="1337" s="1"/>
      </t>
    </mdx>
    <mdx n="33" f="v">
      <t c="4">
        <n x="113"/>
        <n x="0"/>
        <n x="7"/>
        <n x="1337" s="1"/>
      </t>
    </mdx>
    <mdx n="33" f="v">
      <t c="4">
        <n x="997"/>
        <n x="14"/>
        <n x="7"/>
        <n x="1337" s="1"/>
      </t>
    </mdx>
    <mdx n="33" f="v">
      <t c="4">
        <n x="702"/>
        <n x="12"/>
        <n x="7"/>
        <n x="1337" s="1"/>
      </t>
    </mdx>
    <mdx n="33" f="v">
      <t c="4">
        <n x="956"/>
        <n x="14"/>
        <n x="32"/>
        <n x="1337" s="1"/>
      </t>
    </mdx>
    <mdx n="33" f="v">
      <t c="4" si="10">
        <n x="1293"/>
        <n x="12"/>
        <n x="32"/>
        <n x="1337" s="1"/>
      </t>
    </mdx>
    <mdx n="33" f="v">
      <t c="4">
        <n x="62"/>
        <n x="1"/>
        <n x="32"/>
        <n x="1337" s="1"/>
      </t>
    </mdx>
    <mdx n="33" f="v">
      <t c="4" si="9">
        <n x="673"/>
        <n x="0"/>
        <n x="7"/>
        <n x="1337" s="1"/>
      </t>
    </mdx>
    <mdx n="33" f="v">
      <t c="4">
        <n x="940"/>
        <n x="11"/>
        <n x="7"/>
        <n x="1337" s="1"/>
      </t>
    </mdx>
    <mdx n="33" f="v">
      <t c="4">
        <n x="955"/>
        <n x="11"/>
        <n x="7"/>
        <n x="1337" s="1"/>
      </t>
    </mdx>
    <mdx n="33" f="v">
      <t c="4">
        <n x="264"/>
        <n x="1"/>
        <n x="7"/>
        <n x="1337" s="1"/>
      </t>
    </mdx>
    <mdx n="33" f="v">
      <t c="4">
        <n x="1091"/>
        <n x="1"/>
        <n x="32"/>
        <n x="1337" s="1"/>
      </t>
    </mdx>
    <mdx n="33" f="v">
      <t c="4">
        <n x="1335"/>
        <n x="12"/>
        <n x="7"/>
        <n x="1337" s="1"/>
      </t>
    </mdx>
    <mdx n="33" f="v">
      <t c="4" si="10">
        <n x="1220"/>
        <n x="12"/>
        <n x="32"/>
        <n x="1337" s="1"/>
      </t>
    </mdx>
    <mdx n="33" f="v">
      <t c="3">
        <n x="707"/>
        <n x="1336"/>
        <n x="1337" s="1"/>
      </t>
    </mdx>
    <mdx n="33" f="v">
      <t c="4" si="10">
        <n x="883"/>
        <n x="12"/>
        <n x="32"/>
        <n x="1337" s="1"/>
      </t>
    </mdx>
    <mdx n="33" f="v">
      <t c="4">
        <n x="1087"/>
        <n x="11"/>
        <n x="7"/>
        <n x="1337" s="1"/>
      </t>
    </mdx>
    <mdx n="33" f="v">
      <t c="4">
        <n x="1080"/>
        <n x="11"/>
        <n x="7"/>
        <n x="1337" s="1"/>
      </t>
    </mdx>
    <mdx n="33" f="v">
      <t c="4">
        <n x="537"/>
        <n x="14"/>
        <n x="7"/>
        <n x="1337" s="1"/>
      </t>
    </mdx>
    <mdx n="33" f="v">
      <t c="4">
        <n x="899"/>
        <n x="11"/>
        <n x="7"/>
        <n x="1337" s="1"/>
      </t>
    </mdx>
    <mdx n="33" f="v">
      <t c="4" si="10">
        <n x="1126"/>
        <n x="12"/>
        <n x="32"/>
        <n x="1337" s="1"/>
      </t>
    </mdx>
    <mdx n="33" f="v">
      <t c="4">
        <n x="119"/>
        <n x="14"/>
        <n x="32"/>
        <n x="1337" s="1"/>
      </t>
    </mdx>
    <mdx n="33" f="v">
      <t c="4">
        <n x="379"/>
        <n x="14"/>
        <n x="32"/>
        <n x="1337" s="1"/>
      </t>
    </mdx>
    <mdx n="33" f="v">
      <t c="4">
        <n x="1289"/>
        <n x="0"/>
        <n x="7"/>
        <n x="1337" s="1"/>
      </t>
    </mdx>
    <mdx n="33" f="v">
      <t c="4">
        <n x="394"/>
        <n x="14"/>
        <n x="32"/>
        <n x="1337" s="1"/>
      </t>
    </mdx>
    <mdx n="33" f="v">
      <t c="4">
        <n x="1201"/>
        <n x="0"/>
        <n x="7"/>
        <n x="1337" s="1"/>
      </t>
    </mdx>
    <mdx n="33" f="v">
      <t c="4">
        <n x="974"/>
        <n x="0"/>
        <n x="7"/>
        <n x="1337" s="1"/>
      </t>
    </mdx>
    <mdx n="33" f="v">
      <t c="4">
        <n x="1121"/>
        <n x="11"/>
        <n x="7"/>
        <n x="1337" s="1"/>
      </t>
    </mdx>
    <mdx n="33" f="v">
      <t c="4">
        <n x="50"/>
        <n x="14"/>
        <n x="7"/>
        <n x="1337" s="1"/>
      </t>
    </mdx>
    <mdx n="33" f="v">
      <t c="4">
        <n x="348"/>
        <n x="11"/>
        <n x="32"/>
        <n x="1337" s="1"/>
      </t>
    </mdx>
    <mdx n="33" f="v">
      <t c="4">
        <n x="642"/>
        <n x="12"/>
        <n x="7"/>
        <n x="1337" s="1"/>
      </t>
    </mdx>
    <mdx n="33" f="v">
      <t c="4">
        <n x="1084"/>
        <n x="11"/>
        <n x="7"/>
        <n x="1337" s="1"/>
      </t>
    </mdx>
    <mdx n="33" f="v">
      <t c="4">
        <n x="404"/>
        <n x="1"/>
        <n x="7"/>
        <n x="1337" s="1"/>
      </t>
    </mdx>
    <mdx n="33" f="v">
      <t c="4" si="10">
        <n x="1182"/>
        <n x="12"/>
        <n x="32"/>
        <n x="1337" s="1"/>
      </t>
    </mdx>
    <mdx n="33" f="v">
      <t c="4" si="10">
        <n x="576"/>
        <n x="14"/>
        <n x="32"/>
        <n x="1337" s="1"/>
      </t>
    </mdx>
    <mdx n="33" f="v">
      <t c="4">
        <n x="358"/>
        <n x="1"/>
        <n x="7"/>
        <n x="1337" s="1"/>
      </t>
    </mdx>
    <mdx n="33" f="v">
      <t c="4">
        <n x="58"/>
        <n x="1"/>
        <n x="32"/>
        <n x="1337" s="1"/>
      </t>
    </mdx>
    <mdx n="33" f="v">
      <t c="3">
        <n x="298"/>
        <n x="1336"/>
        <n x="1337" s="1"/>
      </t>
    </mdx>
    <mdx n="33" f="v">
      <t c="4" si="10">
        <n x="558"/>
        <n x="12"/>
        <n x="32"/>
        <n x="1337" s="1"/>
      </t>
    </mdx>
    <mdx n="33" f="v">
      <t c="4">
        <n x="1211"/>
        <n x="0"/>
        <n x="7"/>
        <n x="1337" s="1"/>
      </t>
    </mdx>
    <mdx n="33" f="v">
      <t c="4">
        <n x="447"/>
        <n x="14"/>
        <n x="7"/>
        <n x="1337" s="1"/>
      </t>
    </mdx>
    <mdx n="33" f="v">
      <t c="4">
        <n x="404"/>
        <n x="14"/>
        <n x="32"/>
        <n x="1337" s="1"/>
      </t>
    </mdx>
    <mdx n="33" f="v">
      <t c="4">
        <n x="1008"/>
        <n x="0"/>
        <n x="7"/>
        <n x="1337" s="1"/>
      </t>
    </mdx>
    <mdx n="33" f="v">
      <t c="3">
        <n x="979"/>
        <n x="1336"/>
        <n x="1337" s="1"/>
      </t>
    </mdx>
    <mdx n="33" f="v">
      <t c="4">
        <n x="977"/>
        <n x="1"/>
        <n x="32"/>
        <n x="1337" s="1"/>
      </t>
    </mdx>
    <mdx n="33" f="v">
      <t c="4">
        <n x="173"/>
        <n x="1"/>
        <n x="7"/>
        <n x="1337" s="1"/>
      </t>
    </mdx>
    <mdx n="33" f="v">
      <t c="4" si="10">
        <n x="1088"/>
        <n x="0"/>
        <n x="32"/>
        <n x="1337" s="1"/>
      </t>
    </mdx>
    <mdx n="33" f="v">
      <t c="4">
        <n x="291"/>
        <n x="11"/>
        <n x="32"/>
        <n x="1337" s="1"/>
      </t>
    </mdx>
    <mdx n="33" f="v">
      <t c="4">
        <n x="1246"/>
        <n x="0"/>
        <n x="7"/>
        <n x="1337" s="1"/>
      </t>
    </mdx>
    <mdx n="33" f="v">
      <t c="4">
        <n x="1028"/>
        <n x="1"/>
        <n x="7"/>
        <n x="1337" s="1"/>
      </t>
    </mdx>
    <mdx n="33" f="v">
      <t c="4">
        <n x="1015"/>
        <n x="11"/>
        <n x="7"/>
        <n x="1337" s="1"/>
      </t>
    </mdx>
    <mdx n="33" f="v">
      <t c="4">
        <n x="399"/>
        <n x="11"/>
        <n x="32"/>
        <n x="1337" s="1"/>
      </t>
    </mdx>
    <mdx n="33" f="v">
      <t c="4">
        <n x="283"/>
        <n x="0"/>
        <n x="7"/>
        <n x="1337" s="1"/>
      </t>
    </mdx>
    <mdx n="33" f="v">
      <t c="4">
        <n x="210"/>
        <n x="11"/>
        <n x="7"/>
        <n x="1337" s="1"/>
      </t>
    </mdx>
    <mdx n="33" f="v">
      <t c="4">
        <n x="907"/>
        <n x="0"/>
        <n x="7"/>
        <n x="1337" s="1"/>
      </t>
    </mdx>
    <mdx n="33" f="v">
      <t c="4">
        <n x="1027"/>
        <n x="11"/>
        <n x="7"/>
        <n x="1337" s="1"/>
      </t>
    </mdx>
    <mdx n="33" f="v">
      <t c="4">
        <n x="331"/>
        <n x="12"/>
        <n x="32"/>
        <n x="1337" s="1"/>
      </t>
    </mdx>
    <mdx n="33" f="v">
      <t c="4">
        <n x="970"/>
        <n x="1"/>
        <n x="7"/>
        <n x="1337" s="1"/>
      </t>
    </mdx>
    <mdx n="33" f="v">
      <t c="4">
        <n x="94"/>
        <n x="12"/>
        <n x="32"/>
        <n x="1337" s="1"/>
      </t>
    </mdx>
    <mdx n="33" f="v">
      <t c="4">
        <n x="292"/>
        <n x="14"/>
        <n x="32"/>
        <n x="1337" s="1"/>
      </t>
    </mdx>
    <mdx n="33" f="v">
      <t c="4" si="10">
        <n x="603"/>
        <n x="11"/>
        <n x="32"/>
        <n x="1337" s="1"/>
      </t>
    </mdx>
    <mdx n="33" f="v">
      <t c="4">
        <n x="83"/>
        <n x="0"/>
        <n x="7"/>
        <n x="1337" s="1"/>
      </t>
    </mdx>
    <mdx n="33" f="v">
      <t c="4">
        <n x="136"/>
        <n x="1"/>
        <n x="32"/>
        <n x="1337" s="1"/>
      </t>
    </mdx>
    <mdx n="33" f="v">
      <t c="4">
        <n x="136"/>
        <n x="14"/>
        <n x="32"/>
        <n x="1337" s="1"/>
      </t>
    </mdx>
    <mdx n="33" f="v">
      <t c="4" si="10">
        <n x="933"/>
        <n x="14"/>
        <n x="32"/>
        <n x="1337" s="1"/>
      </t>
    </mdx>
    <mdx n="33" f="v">
      <t c="4">
        <n x="583"/>
        <n x="11"/>
        <n x="7"/>
        <n x="1337" s="1"/>
      </t>
    </mdx>
    <mdx n="33" f="v">
      <t c="4">
        <n x="291"/>
        <n x="12"/>
        <n x="32"/>
        <n x="1337" s="1"/>
      </t>
    </mdx>
    <mdx n="33" f="v">
      <t c="4" si="9">
        <n x="561"/>
        <n x="1"/>
        <n x="7"/>
        <n x="1337" s="1"/>
      </t>
    </mdx>
    <mdx n="33" f="v">
      <t c="4" si="10">
        <n x="1068"/>
        <n x="14"/>
        <n x="32"/>
        <n x="1337" s="1"/>
      </t>
    </mdx>
    <mdx n="33" f="v">
      <t c="4">
        <n x="129"/>
        <n x="14"/>
        <n x="32"/>
        <n x="1337" s="1"/>
      </t>
    </mdx>
    <mdx n="33" f="v">
      <t c="4">
        <n x="314"/>
        <n x="11"/>
        <n x="32"/>
        <n x="1337" s="1"/>
      </t>
    </mdx>
    <mdx n="33" f="v">
      <t c="4" si="10">
        <n x="1007"/>
        <n x="14"/>
        <n x="32"/>
        <n x="1337" s="1"/>
      </t>
    </mdx>
    <mdx n="33" f="v">
      <t c="4">
        <n x="93"/>
        <n x="1"/>
        <n x="7"/>
        <n x="1337" s="1"/>
      </t>
    </mdx>
    <mdx n="33" f="v">
      <t c="4">
        <n x="371"/>
        <n x="14"/>
        <n x="32"/>
        <n x="1337" s="1"/>
      </t>
    </mdx>
    <mdx n="33" f="v">
      <t c="4">
        <n x="1142"/>
        <n x="0"/>
        <n x="7"/>
        <n x="1337" s="1"/>
      </t>
    </mdx>
    <mdx n="33" f="v">
      <t c="4">
        <n x="403"/>
        <n x="11"/>
        <n x="32"/>
        <n x="1337" s="1"/>
      </t>
    </mdx>
    <mdx n="33" f="v">
      <t c="4" si="10">
        <n x="1234"/>
        <n x="12"/>
        <n x="32"/>
        <n x="1337" s="1"/>
      </t>
    </mdx>
    <mdx n="33" f="v">
      <t c="4" si="10">
        <n x="532"/>
        <n x="14"/>
        <n x="32"/>
        <n x="1337" s="1"/>
      </t>
    </mdx>
    <mdx n="33" f="v">
      <t c="4">
        <n x="118"/>
        <n x="1"/>
        <n x="7"/>
        <n x="1337" s="1"/>
      </t>
    </mdx>
    <mdx n="33" f="v">
      <t c="3">
        <n x="297"/>
        <n x="1336"/>
        <n x="1337" s="1"/>
      </t>
    </mdx>
    <mdx n="33" f="v">
      <t c="4" si="10">
        <n x="473"/>
        <n x="14"/>
        <n x="32"/>
        <n x="1337" s="1"/>
      </t>
    </mdx>
    <mdx n="33" f="v">
      <t c="4">
        <n x="93"/>
        <n x="11"/>
        <n x="7"/>
        <n x="1337" s="1"/>
      </t>
    </mdx>
    <mdx n="33" f="v">
      <t c="4">
        <n x="777"/>
        <n x="0"/>
        <n x="7"/>
        <n x="1337" s="1"/>
      </t>
    </mdx>
    <mdx n="33" f="v">
      <t c="4">
        <n x="198"/>
        <n x="11"/>
        <n x="7"/>
        <n x="1337" s="1"/>
      </t>
    </mdx>
    <mdx n="33" f="v">
      <t c="4">
        <n x="894"/>
        <n x="0"/>
        <n x="7"/>
        <n x="1337" s="1"/>
      </t>
    </mdx>
    <mdx n="33" f="v">
      <t c="4">
        <n x="91"/>
        <n x="1"/>
        <n x="7"/>
        <n x="1337" s="1"/>
      </t>
    </mdx>
    <mdx n="33" f="v">
      <t c="4">
        <n x="362"/>
        <n x="14"/>
        <n x="32"/>
        <n x="1337" s="1"/>
      </t>
    </mdx>
    <mdx n="33" f="v">
      <t c="4">
        <n x="852"/>
        <n x="0"/>
        <n x="32"/>
        <n x="1337" s="1"/>
      </t>
    </mdx>
    <mdx n="33" f="v">
      <t c="4">
        <n x="797"/>
        <n x="0"/>
        <n x="7"/>
        <n x="1337" s="1"/>
      </t>
    </mdx>
    <mdx n="33" f="v">
      <t c="4" si="10">
        <n x="1028"/>
        <n x="1"/>
        <n x="32"/>
        <n x="1337" s="1"/>
      </t>
    </mdx>
    <mdx n="33" f="v">
      <t c="4" si="10">
        <n x="1171"/>
        <n x="0"/>
        <n x="32"/>
        <n x="1337" s="1"/>
      </t>
    </mdx>
    <mdx n="33" f="v">
      <t c="4" si="10">
        <n x="949"/>
        <n x="14"/>
        <n x="32"/>
        <n x="1337" s="1"/>
      </t>
    </mdx>
    <mdx n="33" f="v">
      <t c="4">
        <n x="886"/>
        <n x="11"/>
        <n x="7"/>
        <n x="1337" s="1"/>
      </t>
    </mdx>
    <mdx n="33" f="v">
      <t c="4" si="10">
        <n x="1112"/>
        <n x="14"/>
        <n x="32"/>
        <n x="1337" s="1"/>
      </t>
    </mdx>
    <mdx n="33" f="v">
      <t c="4">
        <n x="92"/>
        <n x="12"/>
        <n x="32"/>
        <n x="1337" s="1"/>
      </t>
    </mdx>
    <mdx n="33" f="v">
      <t c="4">
        <n x="1203"/>
        <n x="12"/>
        <n x="7"/>
        <n x="1337" s="1"/>
      </t>
    </mdx>
    <mdx n="33" f="v">
      <t c="4">
        <n x="766"/>
        <n x="12"/>
        <n x="7"/>
        <n x="1337" s="1"/>
      </t>
    </mdx>
    <mdx n="33" f="v">
      <t c="4">
        <n x="559"/>
        <n x="12"/>
        <n x="32"/>
        <n x="1337" s="1"/>
      </t>
    </mdx>
    <mdx n="33" f="v">
      <t c="4">
        <n x="1216"/>
        <n x="0"/>
        <n x="7"/>
        <n x="1337" s="1"/>
      </t>
    </mdx>
    <mdx n="33" f="v">
      <t c="4" si="10">
        <n x="953"/>
        <n x="1"/>
        <n x="32"/>
        <n x="1337" s="1"/>
      </t>
    </mdx>
    <mdx n="33" f="v">
      <t c="4">
        <n x="283"/>
        <n x="14"/>
        <n x="32"/>
        <n x="1337" s="1"/>
      </t>
    </mdx>
    <mdx n="33" f="v">
      <t c="3">
        <n x="872"/>
        <n x="1336"/>
        <n x="1337" s="1"/>
      </t>
    </mdx>
    <mdx n="33" f="v">
      <t c="4">
        <n x="215"/>
        <n x="11"/>
        <n x="32"/>
        <n x="1337" s="1"/>
      </t>
    </mdx>
    <mdx n="33" f="v">
      <t c="4">
        <n x="126"/>
        <n x="1"/>
        <n x="7"/>
        <n x="1337" s="1"/>
      </t>
    </mdx>
    <mdx n="33" f="v">
      <t c="4" si="10">
        <n x="481"/>
        <n x="11"/>
        <n x="32"/>
        <n x="1337" s="1"/>
      </t>
    </mdx>
    <mdx n="33" f="v">
      <t c="4">
        <n x="1097"/>
        <n x="1"/>
        <n x="7"/>
        <n x="1337" s="1"/>
      </t>
    </mdx>
    <mdx n="33" f="v">
      <t c="4">
        <n x="409"/>
        <n x="14"/>
        <n x="32"/>
        <n x="1337" s="1"/>
      </t>
    </mdx>
    <mdx n="33" f="v">
      <t c="4">
        <n x="375"/>
        <n x="11"/>
        <n x="7"/>
        <n x="1337" s="1"/>
      </t>
    </mdx>
    <mdx n="33" f="v">
      <t c="4" si="10">
        <n x="604"/>
        <n x="14"/>
        <n x="32"/>
        <n x="1337" s="1"/>
      </t>
    </mdx>
    <mdx n="33" f="v">
      <t c="4" si="10">
        <n x="515"/>
        <n x="14"/>
        <n x="32"/>
        <n x="1337" s="1"/>
      </t>
    </mdx>
    <mdx n="33" f="v">
      <t c="4">
        <n x="1334"/>
        <n x="0"/>
        <n x="7"/>
        <n x="1337" s="1"/>
      </t>
    </mdx>
    <mdx n="33" f="v">
      <t c="4" si="10">
        <n x="500"/>
        <n x="14"/>
        <n x="32"/>
        <n x="1337" s="1"/>
      </t>
    </mdx>
    <mdx n="33" f="v">
      <t c="4">
        <n x="348"/>
        <n x="14"/>
        <n x="32"/>
        <n x="1337" s="1"/>
      </t>
    </mdx>
    <mdx n="33" f="v">
      <t c="4">
        <n x="1094"/>
        <n x="11"/>
        <n x="32"/>
        <n x="1337" s="1"/>
      </t>
    </mdx>
    <mdx n="33" f="v">
      <t c="4">
        <n x="429"/>
        <n x="14"/>
        <n x="32"/>
        <n x="1337" s="1"/>
      </t>
    </mdx>
    <mdx n="33" f="v">
      <t c="4">
        <n x="829"/>
        <n x="12"/>
        <n x="7"/>
        <n x="1337" s="1"/>
      </t>
    </mdx>
    <mdx n="33" f="v">
      <t c="4">
        <n x="346"/>
        <n x="11"/>
        <n x="7"/>
        <n x="1337" s="1"/>
      </t>
    </mdx>
    <mdx n="33" f="v">
      <t c="4">
        <n x="1185"/>
        <n x="12"/>
        <n x="32"/>
        <n x="1337" s="1"/>
      </t>
    </mdx>
    <mdx n="33" f="v">
      <t c="4">
        <n x="150"/>
        <n x="1"/>
        <n x="32"/>
        <n x="1337" s="1"/>
      </t>
    </mdx>
    <mdx n="33" f="v">
      <t c="4" si="10">
        <n x="787"/>
        <n x="1"/>
        <n x="32"/>
        <n x="1337" s="1"/>
      </t>
    </mdx>
    <mdx n="33" f="v">
      <t c="4" si="10">
        <n x="794"/>
        <n x="14"/>
        <n x="32"/>
        <n x="1337" s="1"/>
      </t>
    </mdx>
    <mdx n="33" f="v">
      <t c="4">
        <n x="1095"/>
        <n x="0"/>
        <n x="7"/>
        <n x="1337" s="1"/>
      </t>
    </mdx>
    <mdx n="33" f="v">
      <t c="4">
        <n x="372"/>
        <n x="12"/>
        <n x="32"/>
        <n x="1337" s="1"/>
      </t>
    </mdx>
    <mdx n="33" f="v">
      <t c="4" si="9">
        <n x="864"/>
        <n x="0"/>
        <n x="7"/>
        <n x="1337" s="1"/>
      </t>
    </mdx>
    <mdx n="33" f="v">
      <t c="4" si="10">
        <n x="927"/>
        <n x="0"/>
        <n x="32"/>
        <n x="1337" s="1"/>
      </t>
    </mdx>
    <mdx n="33" f="v">
      <t c="4">
        <n x="149"/>
        <n x="11"/>
        <n x="7"/>
        <n x="1337" s="1"/>
      </t>
    </mdx>
    <mdx n="33" f="v">
      <t c="3">
        <n x="485"/>
        <n x="1336"/>
        <n x="1337" s="1"/>
      </t>
    </mdx>
    <mdx n="33" f="v">
      <t c="4" si="10">
        <n x="1317"/>
        <n x="0"/>
        <n x="32"/>
        <n x="1337" s="1"/>
      </t>
    </mdx>
    <mdx n="33" f="v">
      <t c="4">
        <n x="262"/>
        <n x="14"/>
        <n x="7"/>
        <n x="1337" s="1"/>
      </t>
    </mdx>
    <mdx n="33" f="v">
      <t c="4">
        <n x="348"/>
        <n x="12"/>
        <n x="32"/>
        <n x="1337" s="1"/>
      </t>
    </mdx>
    <mdx n="33" f="v">
      <t c="3">
        <n x="830"/>
        <n x="1336"/>
        <n x="1337" s="1"/>
      </t>
    </mdx>
    <mdx n="33" f="v">
      <t c="4">
        <n x="992"/>
        <n x="11"/>
        <n x="32"/>
        <n x="1337" s="1"/>
      </t>
    </mdx>
    <mdx n="33" f="v">
      <t c="4">
        <n x="468"/>
        <n x="11"/>
        <n x="32"/>
        <n x="1337" s="1"/>
      </t>
    </mdx>
    <mdx n="33" f="v">
      <t c="4" si="10">
        <n x="1032"/>
        <n x="14"/>
        <n x="32"/>
        <n x="1337" s="1"/>
      </t>
    </mdx>
    <mdx n="33" f="v">
      <t c="4">
        <n x="1297"/>
        <n x="12"/>
        <n x="32"/>
        <n x="1337" s="1"/>
      </t>
    </mdx>
    <mdx n="33" f="v">
      <t c="4">
        <n x="74"/>
        <n x="0"/>
        <n x="7"/>
        <n x="1337" s="1"/>
      </t>
    </mdx>
    <mdx n="33" f="v">
      <t c="4">
        <n x="107"/>
        <n x="11"/>
        <n x="32"/>
        <n x="1337" s="1"/>
      </t>
    </mdx>
    <mdx n="33" f="v">
      <t c="4">
        <n x="80"/>
        <n x="0"/>
        <n x="7"/>
        <n x="1337" s="1"/>
      </t>
    </mdx>
    <mdx n="33" f="v">
      <t c="4">
        <n x="946"/>
        <n x="11"/>
        <n x="7"/>
        <n x="1337" s="1"/>
      </t>
    </mdx>
    <mdx n="33" f="v">
      <t c="4" si="10">
        <n x="953"/>
        <n x="0"/>
        <n x="32"/>
        <n x="1337" s="1"/>
      </t>
    </mdx>
    <mdx n="33" f="v">
      <t c="4">
        <n x="1164"/>
        <n x="12"/>
        <n x="32"/>
        <n x="1337" s="1"/>
      </t>
    </mdx>
    <mdx n="33" f="v">
      <t c="4">
        <n x="312"/>
        <n x="1"/>
        <n x="7"/>
        <n x="1337" s="1"/>
      </t>
    </mdx>
    <mdx n="33" f="v">
      <t c="4" si="10">
        <n x="508"/>
        <n x="12"/>
        <n x="32"/>
        <n x="1337" s="1"/>
      </t>
    </mdx>
    <mdx n="33" f="v">
      <t c="4" si="10">
        <n x="1138"/>
        <n x="0"/>
        <n x="32"/>
        <n x="1337" s="1"/>
      </t>
    </mdx>
    <mdx n="33" f="v">
      <t c="4">
        <n x="1331"/>
        <n x="1"/>
        <n x="7"/>
        <n x="1337" s="1"/>
      </t>
    </mdx>
    <mdx n="33" f="v">
      <t c="4">
        <n x="396"/>
        <n x="11"/>
        <n x="32"/>
        <n x="1337" s="1"/>
      </t>
    </mdx>
    <mdx n="33" f="v">
      <t c="4">
        <n x="150"/>
        <n x="12"/>
        <n x="32"/>
        <n x="1337" s="1"/>
      </t>
    </mdx>
    <mdx n="33" f="v">
      <t c="4">
        <n x="1063"/>
        <n x="12"/>
        <n x="7"/>
        <n x="1337" s="1"/>
      </t>
    </mdx>
    <mdx n="33" f="v">
      <t c="4" si="10">
        <n x="498"/>
        <n x="14"/>
        <n x="32"/>
        <n x="1337" s="1"/>
      </t>
    </mdx>
    <mdx n="33" f="v">
      <t c="4">
        <n x="443"/>
        <n x="1"/>
        <n x="7"/>
        <n x="1337" s="1"/>
      </t>
    </mdx>
    <mdx n="33" f="v">
      <t c="4">
        <n x="596"/>
        <n x="1"/>
        <n x="7"/>
        <n x="1337" s="1"/>
      </t>
    </mdx>
    <mdx n="33" f="v">
      <t c="4">
        <n x="128"/>
        <n x="1"/>
        <n x="32"/>
        <n x="1337" s="1"/>
      </t>
    </mdx>
    <mdx n="33" f="v">
      <t c="3">
        <n x="302"/>
        <n x="1336"/>
        <n x="1337" s="1"/>
      </t>
    </mdx>
    <mdx n="33" f="v">
      <t c="4">
        <n x="554"/>
        <n x="12"/>
        <n x="32"/>
        <n x="1337" s="1"/>
      </t>
    </mdx>
    <mdx n="33" f="v">
      <t c="4">
        <n x="1210"/>
        <n x="0"/>
        <n x="7"/>
        <n x="1337" s="1"/>
      </t>
    </mdx>
    <mdx n="33" f="v">
      <t c="4">
        <n x="118"/>
        <n x="1"/>
        <n x="32"/>
        <n x="1337" s="1"/>
      </t>
    </mdx>
    <mdx n="33" f="v">
      <t c="4">
        <n x="924"/>
        <n x="11"/>
        <n x="7"/>
        <n x="1337" s="1"/>
      </t>
    </mdx>
    <mdx n="33" f="v">
      <t c="4">
        <n x="413"/>
        <n x="11"/>
        <n x="7"/>
        <n x="1337" s="1"/>
      </t>
    </mdx>
    <mdx n="33" f="v">
      <t c="4">
        <n x="271"/>
        <n x="12"/>
        <n x="32"/>
        <n x="1337" s="1"/>
      </t>
    </mdx>
    <mdx n="33" f="v">
      <t c="4" si="9">
        <n x="585"/>
        <n x="1"/>
        <n x="7"/>
        <n x="1337" s="1"/>
      </t>
    </mdx>
    <mdx n="33" f="v">
      <t c="4" si="9">
        <n x="480"/>
        <n x="1"/>
        <n x="7"/>
        <n x="1337" s="1"/>
      </t>
    </mdx>
    <mdx n="33" f="v">
      <t c="4">
        <n x="1070"/>
        <n x="14"/>
        <n x="7"/>
        <n x="1337" s="1"/>
      </t>
    </mdx>
    <mdx n="33" f="v">
      <t c="4" si="10">
        <n x="963"/>
        <n x="12"/>
        <n x="32"/>
        <n x="1337" s="1"/>
      </t>
    </mdx>
    <mdx n="33" f="v">
      <t c="4" si="10">
        <n x="294"/>
        <n x="12"/>
        <n x="32"/>
        <n x="1337" s="1"/>
      </t>
    </mdx>
    <mdx n="33" f="v">
      <t c="4">
        <n x="516"/>
        <n x="1"/>
        <n x="7"/>
        <n x="1337" s="1"/>
      </t>
    </mdx>
    <mdx n="33" f="v">
      <t c="4" si="10">
        <n x="774"/>
        <n x="1"/>
        <n x="32"/>
        <n x="1337" s="1"/>
      </t>
    </mdx>
    <mdx n="33" f="v">
      <t c="4">
        <n x="949"/>
        <n x="14"/>
        <n x="7"/>
        <n x="1337" s="1"/>
      </t>
    </mdx>
    <mdx n="33" f="v">
      <t c="4">
        <n x="1113"/>
        <n x="11"/>
        <n x="32"/>
        <n x="1337" s="1"/>
      </t>
    </mdx>
    <mdx n="33" f="v">
      <t c="4">
        <n x="308"/>
        <n x="11"/>
        <n x="32"/>
        <n x="1337" s="1"/>
      </t>
    </mdx>
    <mdx n="33" f="v">
      <t c="4">
        <n x="1047"/>
        <n x="11"/>
        <n x="7"/>
        <n x="1337" s="1"/>
      </t>
    </mdx>
    <mdx n="33" f="v">
      <t c="4" si="10">
        <n x="1154"/>
        <n x="12"/>
        <n x="32"/>
        <n x="1337" s="1"/>
      </t>
    </mdx>
    <mdx n="33" f="v">
      <t c="4">
        <n x="195"/>
        <n x="1"/>
        <n x="7"/>
        <n x="1337" s="1"/>
      </t>
    </mdx>
    <mdx n="33" f="v">
      <t c="3">
        <n x="85"/>
        <n x="1336"/>
        <n x="1337" s="1"/>
      </t>
    </mdx>
    <mdx n="33" f="v">
      <t c="4">
        <n x="1183"/>
        <n x="0"/>
        <n x="7"/>
        <n x="1337" s="1"/>
      </t>
    </mdx>
    <mdx n="33" f="v">
      <t c="4">
        <n x="112"/>
        <n x="12"/>
        <n x="32"/>
        <n x="1337" s="1"/>
      </t>
    </mdx>
    <mdx n="33" f="v">
      <t c="4">
        <n x="329"/>
        <n x="14"/>
        <n x="7"/>
        <n x="1337" s="1"/>
      </t>
    </mdx>
    <mdx n="33" f="v">
      <t c="4">
        <n x="1003"/>
        <n x="1"/>
        <n x="32"/>
        <n x="1337" s="1"/>
      </t>
    </mdx>
    <mdx n="33" f="v">
      <t c="4">
        <n x="490"/>
        <n x="11"/>
        <n x="32"/>
        <n x="1337" s="1"/>
      </t>
    </mdx>
    <mdx n="33" f="v">
      <t c="4">
        <n x="149"/>
        <n x="11"/>
        <n x="32"/>
        <n x="1337" s="1"/>
      </t>
    </mdx>
    <mdx n="33" f="v">
      <t c="4">
        <n x="449"/>
        <n x="11"/>
        <n x="7"/>
        <n x="1337" s="1"/>
      </t>
    </mdx>
    <mdx n="33" f="v">
      <t c="4">
        <n x="1094"/>
        <n x="12"/>
        <n x="32"/>
        <n x="1337" s="1"/>
      </t>
    </mdx>
    <mdx n="33" f="v">
      <t c="4" si="10">
        <n x="591"/>
        <n x="11"/>
        <n x="32"/>
        <n x="1337" s="1"/>
      </t>
    </mdx>
    <mdx n="33" f="v">
      <t c="4" si="9">
        <n x="1161"/>
        <n x="0"/>
        <n x="7"/>
        <n x="1337" s="1"/>
      </t>
    </mdx>
    <mdx n="33" f="v">
      <t c="4">
        <n x="1143"/>
        <n x="0"/>
        <n x="7"/>
        <n x="1337" s="1"/>
      </t>
    </mdx>
    <mdx n="33" f="v">
      <t c="4">
        <n x="971"/>
        <n x="11"/>
        <n x="7"/>
        <n x="1337" s="1"/>
      </t>
    </mdx>
    <mdx n="33" f="v">
      <t c="4" si="10">
        <n x="1105"/>
        <n x="14"/>
        <n x="32"/>
        <n x="1337" s="1"/>
      </t>
    </mdx>
    <mdx n="33" f="v">
      <t c="3">
        <n x="136"/>
        <n x="1336"/>
        <n x="1337" s="1"/>
      </t>
    </mdx>
    <mdx n="33" f="v">
      <t c="4">
        <n x="151"/>
        <n x="14"/>
        <n x="7"/>
        <n x="1337" s="1"/>
      </t>
    </mdx>
    <mdx n="33" f="v">
      <t c="4" si="9">
        <n x="785"/>
        <n x="0"/>
        <n x="7"/>
        <n x="1337" s="1"/>
      </t>
    </mdx>
    <mdx n="33" f="v">
      <t c="4">
        <n x="187"/>
        <n x="12"/>
        <n x="32"/>
        <n x="1337" s="1"/>
      </t>
    </mdx>
    <mdx n="33" f="v">
      <t c="4" si="10">
        <n x="1324"/>
        <n x="0"/>
        <n x="32"/>
        <n x="1337" s="1"/>
      </t>
    </mdx>
    <mdx n="33" f="v">
      <t c="4">
        <n x="438"/>
        <n x="14"/>
        <n x="32"/>
        <n x="1337" s="1"/>
      </t>
    </mdx>
    <mdx n="33" f="v">
      <t c="4">
        <n x="91"/>
        <n x="0"/>
        <n x="7"/>
        <n x="1337" s="1"/>
      </t>
    </mdx>
    <mdx n="33" f="v">
      <t c="4">
        <n x="1015"/>
        <n x="12"/>
        <n x="7"/>
        <n x="1337" s="1"/>
      </t>
    </mdx>
    <mdx n="33" f="v">
      <t c="4" si="10">
        <n x="603"/>
        <n x="14"/>
        <n x="32"/>
        <n x="1337" s="1"/>
      </t>
    </mdx>
    <mdx n="33" f="v">
      <t c="4">
        <n x="459"/>
        <n x="1"/>
        <n x="7"/>
        <n x="1337" s="1"/>
      </t>
    </mdx>
    <mdx n="33" f="v">
      <t c="4">
        <n x="977"/>
        <n x="1"/>
        <n x="7"/>
        <n x="1337" s="1"/>
      </t>
    </mdx>
    <mdx n="33" f="v">
      <t c="4">
        <n x="452"/>
        <n x="14"/>
        <n x="32"/>
        <n x="1337" s="1"/>
      </t>
    </mdx>
    <mdx n="33" f="v">
      <t c="4">
        <n x="1158"/>
        <n x="0"/>
        <n x="7"/>
        <n x="1337" s="1"/>
      </t>
    </mdx>
    <mdx n="33" f="v">
      <t c="4" si="10">
        <n x="1221"/>
        <n x="12"/>
        <n x="32"/>
        <n x="1337" s="1"/>
      </t>
    </mdx>
    <mdx n="33" f="v">
      <t c="3">
        <n x="693"/>
        <n x="1336"/>
        <n x="1337" s="1"/>
      </t>
    </mdx>
    <mdx n="33" f="v">
      <t c="3">
        <n x="1005"/>
        <n x="1336"/>
        <n x="1337" s="1"/>
      </t>
    </mdx>
    <mdx n="33" f="v">
      <t c="4">
        <n x="1096"/>
        <n x="12"/>
        <n x="32"/>
        <n x="1337" s="1"/>
      </t>
    </mdx>
    <mdx n="33" f="v">
      <t c="4">
        <n x="372"/>
        <n x="1"/>
        <n x="7"/>
        <n x="1337" s="1"/>
      </t>
    </mdx>
    <mdx n="33" f="v">
      <t c="4">
        <n x="307"/>
        <n x="12"/>
        <n x="32"/>
        <n x="1337" s="1"/>
      </t>
    </mdx>
    <mdx n="33" f="v">
      <t c="4">
        <n x="972"/>
        <n x="11"/>
        <n x="7"/>
        <n x="1337" s="1"/>
      </t>
    </mdx>
    <mdx n="33" f="v">
      <t c="4">
        <n x="967"/>
        <n x="11"/>
        <n x="32"/>
        <n x="1337" s="1"/>
      </t>
    </mdx>
    <mdx n="33" f="v">
      <t c="4">
        <n x="141"/>
        <n x="12"/>
        <n x="32"/>
        <n x="1337" s="1"/>
      </t>
    </mdx>
    <mdx n="33" f="v">
      <t c="4">
        <n x="407"/>
        <n x="1"/>
        <n x="7"/>
        <n x="1337" s="1"/>
      </t>
    </mdx>
    <mdx n="33" f="v">
      <t c="4">
        <n x="1196"/>
        <n x="0"/>
        <n x="7"/>
        <n x="1337" s="1"/>
      </t>
    </mdx>
    <mdx n="33" f="v">
      <t c="4">
        <n x="387"/>
        <n x="1"/>
        <n x="7"/>
        <n x="1337" s="1"/>
      </t>
    </mdx>
    <mdx n="33" f="v">
      <t c="4">
        <n x="1223"/>
        <n x="0"/>
        <n x="7"/>
        <n x="1337" s="1"/>
      </t>
    </mdx>
    <mdx n="33" f="v">
      <t c="4">
        <n x="447"/>
        <n x="1"/>
        <n x="7"/>
        <n x="1337" s="1"/>
      </t>
    </mdx>
    <mdx n="33" f="v">
      <t c="4">
        <n x="121"/>
        <n x="14"/>
        <n x="32"/>
        <n x="1337" s="1"/>
      </t>
    </mdx>
    <mdx n="33" f="v">
      <t c="4">
        <n x="983"/>
        <n x="12"/>
        <n x="7"/>
        <n x="1337" s="1"/>
      </t>
    </mdx>
    <mdx n="33" f="v">
      <t c="3">
        <n x="100"/>
        <n x="1336"/>
        <n x="1337" s="1"/>
      </t>
    </mdx>
    <mdx n="33" f="v">
      <t c="4">
        <n x="96"/>
        <n x="14"/>
        <n x="7"/>
        <n x="1337" s="1"/>
      </t>
    </mdx>
    <mdx n="33" f="v">
      <t c="4">
        <n x="1328"/>
        <n x="14"/>
        <n x="7"/>
        <n x="1337" s="1"/>
      </t>
    </mdx>
    <mdx n="33" f="v">
      <t c="4">
        <n x="101"/>
        <n x="12"/>
        <n x="32"/>
        <n x="1337" s="1"/>
      </t>
    </mdx>
    <mdx n="33" f="v">
      <t c="4">
        <n x="1105"/>
        <n x="12"/>
        <n x="32"/>
        <n x="1337" s="1"/>
      </t>
    </mdx>
    <mdx n="33" f="v">
      <t c="4">
        <n x="942"/>
        <n x="0"/>
        <n x="7"/>
        <n x="1337" s="1"/>
      </t>
    </mdx>
    <mdx n="33" f="v">
      <t c="4">
        <n x="358"/>
        <n x="11"/>
        <n x="32"/>
        <n x="1337" s="1"/>
      </t>
    </mdx>
    <mdx n="33" f="v">
      <t c="4">
        <n x="86"/>
        <n x="1"/>
        <n x="32"/>
        <n x="1337" s="1"/>
      </t>
    </mdx>
    <mdx n="33" f="v">
      <t c="4">
        <n x="572"/>
        <n x="1"/>
        <n x="7"/>
        <n x="1337" s="1"/>
      </t>
    </mdx>
    <mdx n="33" f="v">
      <t c="4" si="10">
        <n x="1022"/>
        <n x="12"/>
        <n x="32"/>
        <n x="1337" s="1"/>
      </t>
    </mdx>
    <mdx n="33" f="v">
      <t c="4">
        <n x="321"/>
        <n x="14"/>
        <n x="7"/>
        <n x="1337" s="1"/>
      </t>
    </mdx>
    <mdx n="33" f="v">
      <t c="4">
        <n x="99"/>
        <n x="1"/>
        <n x="32"/>
        <n x="1337" s="1"/>
      </t>
    </mdx>
    <mdx n="33" f="v">
      <t c="4">
        <n x="141"/>
        <n x="0"/>
        <n x="7"/>
        <n x="1337" s="1"/>
      </t>
    </mdx>
    <mdx n="33" f="v">
      <t c="4">
        <n x="112"/>
        <n x="14"/>
        <n x="32"/>
        <n x="1337" s="1"/>
      </t>
    </mdx>
    <mdx n="33" f="v">
      <t c="4">
        <n x="836"/>
        <n x="11"/>
        <n x="32"/>
        <n x="1337" s="1"/>
      </t>
    </mdx>
    <mdx n="33" f="v">
      <t c="4">
        <n x="393"/>
        <n x="14"/>
        <n x="32"/>
        <n x="1337" s="1"/>
      </t>
    </mdx>
    <mdx n="33" f="v">
      <t c="4">
        <n x="980"/>
        <n x="14"/>
        <n x="7"/>
        <n x="1337" s="1"/>
      </t>
    </mdx>
    <mdx n="33" f="v">
      <t c="3">
        <n x="755"/>
        <n x="1336"/>
        <n x="1337" s="1"/>
      </t>
    </mdx>
    <mdx n="33" f="v">
      <t c="4">
        <n x="1105"/>
        <n x="11"/>
        <n x="7"/>
        <n x="1337" s="1"/>
      </t>
    </mdx>
    <mdx n="33" f="v">
      <t c="4">
        <n x="1007"/>
        <n x="1"/>
        <n x="7"/>
        <n x="1337" s="1"/>
      </t>
    </mdx>
    <mdx n="33" f="v">
      <t c="4">
        <n x="256"/>
        <n x="12"/>
        <n x="32"/>
        <n x="1337" s="1"/>
      </t>
    </mdx>
    <mdx n="33" f="v">
      <t c="4">
        <n x="609"/>
        <n x="1"/>
        <n x="7"/>
        <n x="1337" s="1"/>
      </t>
    </mdx>
    <mdx n="33" f="v">
      <t c="4" si="10">
        <n x="110"/>
        <n x="12"/>
        <n x="32"/>
        <n x="1337" s="1"/>
      </t>
    </mdx>
    <mdx n="33" f="v">
      <t c="4">
        <n x="384"/>
        <n x="14"/>
        <n x="32"/>
        <n x="1337" s="1"/>
      </t>
    </mdx>
    <mdx n="33" f="v">
      <t c="4">
        <n x="1098"/>
        <n x="11"/>
        <n x="32"/>
        <n x="1337" s="1"/>
      </t>
    </mdx>
    <mdx n="33" f="v">
      <t c="4">
        <n x="1103"/>
        <n x="14"/>
        <n x="32"/>
        <n x="1337" s="1"/>
      </t>
    </mdx>
    <mdx n="33" f="v">
      <t c="4" si="10">
        <n x="414"/>
        <n x="14"/>
        <n x="32"/>
        <n x="1337" s="1"/>
      </t>
    </mdx>
    <mdx n="33" f="v">
      <t c="4">
        <n x="132"/>
        <n x="11"/>
        <n x="7"/>
        <n x="1337" s="1"/>
      </t>
    </mdx>
    <mdx n="33" f="v">
      <t c="4">
        <n x="264"/>
        <n x="12"/>
        <n x="32"/>
        <n x="1337" s="1"/>
      </t>
    </mdx>
    <mdx n="33" f="v">
      <t c="4" si="10">
        <n x="595"/>
        <n x="14"/>
        <n x="32"/>
        <n x="1337" s="1"/>
      </t>
    </mdx>
    <mdx n="33" f="v">
      <t c="4">
        <n x="533"/>
        <n x="11"/>
        <n x="7"/>
        <n x="1337" s="1"/>
      </t>
    </mdx>
    <mdx n="33" f="v">
      <t c="4" si="10">
        <n x="520"/>
        <n x="12"/>
        <n x="32"/>
        <n x="1337" s="1"/>
      </t>
    </mdx>
    <mdx n="33" f="v">
      <t c="4">
        <n x="450"/>
        <n x="12"/>
        <n x="32"/>
        <n x="1337" s="1"/>
      </t>
    </mdx>
    <mdx n="33" f="v">
      <t c="3">
        <n x="101"/>
        <n x="1336"/>
        <n x="1337" s="1"/>
      </t>
    </mdx>
    <mdx n="33" f="v">
      <t c="4" si="10">
        <n x="585"/>
        <n x="14"/>
        <n x="32"/>
        <n x="1337" s="1"/>
      </t>
    </mdx>
    <mdx n="33" f="v">
      <t c="4">
        <n x="1174"/>
        <n x="0"/>
        <n x="7"/>
        <n x="1337" s="1"/>
      </t>
    </mdx>
    <mdx n="33" f="v">
      <t c="4">
        <n x="992"/>
        <n x="14"/>
        <n x="7"/>
        <n x="1337" s="1"/>
      </t>
    </mdx>
    <mdx n="33" f="v">
      <t c="4" si="10">
        <n x="903"/>
        <n x="12"/>
        <n x="32"/>
        <n x="1337" s="1"/>
      </t>
    </mdx>
    <mdx n="33" f="v">
      <t c="4" si="10">
        <n x="1189"/>
        <n x="0"/>
        <n x="32"/>
        <n x="1337" s="1"/>
      </t>
    </mdx>
    <mdx n="33" f="v">
      <t c="4">
        <n x="1112"/>
        <n x="11"/>
        <n x="32"/>
        <n x="1337" s="1"/>
      </t>
    </mdx>
    <mdx n="33" f="v">
      <t c="4" si="10">
        <n x="1058"/>
        <n x="12"/>
        <n x="32"/>
        <n x="1337" s="1"/>
      </t>
    </mdx>
    <mdx n="33" f="v">
      <t c="4">
        <n x="114"/>
        <n x="0"/>
        <n x="7"/>
        <n x="1337" s="1"/>
      </t>
    </mdx>
    <mdx n="33" f="v">
      <t c="4">
        <n x="702"/>
        <n x="11"/>
        <n x="32"/>
        <n x="1337" s="1"/>
      </t>
    </mdx>
    <mdx n="33" f="v">
      <t c="4">
        <n x="160"/>
        <n x="11"/>
        <n x="7"/>
        <n x="1337" s="1"/>
      </t>
    </mdx>
    <mdx n="33" f="v">
      <t c="4">
        <n x="999"/>
        <n x="11"/>
        <n x="7"/>
        <n x="1337" s="1"/>
      </t>
    </mdx>
    <mdx n="33" f="v">
      <t c="4">
        <n x="267"/>
        <n x="12"/>
        <n x="32"/>
        <n x="1337" s="1"/>
      </t>
    </mdx>
    <mdx n="33" f="v">
      <t c="4">
        <n x="58"/>
        <n x="0"/>
        <n x="7"/>
        <n x="1337" s="1"/>
      </t>
    </mdx>
    <mdx n="33" f="v">
      <t c="4">
        <n x="1147"/>
        <n x="0"/>
        <n x="7"/>
        <n x="1337" s="1"/>
      </t>
    </mdx>
    <mdx n="33" f="v">
      <t c="4">
        <n x="1108"/>
        <n x="14"/>
        <n x="7"/>
        <n x="1337" s="1"/>
      </t>
    </mdx>
    <mdx n="33" f="v">
      <t c="4">
        <n x="105"/>
        <n x="11"/>
        <n x="7"/>
        <n x="1337" s="1"/>
      </t>
    </mdx>
    <mdx n="33" f="v">
      <t c="4">
        <n x="154"/>
        <n x="14"/>
        <n x="32"/>
        <n x="1337" s="1"/>
      </t>
    </mdx>
    <mdx n="33" f="v">
      <t c="4">
        <n x="378"/>
        <n x="11"/>
        <n x="7"/>
        <n x="1337" s="1"/>
      </t>
    </mdx>
    <mdx n="33" f="v">
      <t c="4">
        <n x="388"/>
        <n x="14"/>
        <n x="32"/>
        <n x="1337" s="1"/>
      </t>
    </mdx>
    <mdx n="33" f="v">
      <t c="4">
        <n x="534"/>
        <n x="1"/>
        <n x="7"/>
        <n x="1337" s="1"/>
      </t>
    </mdx>
    <mdx n="33" f="v">
      <t c="4">
        <n x="1012"/>
        <n x="14"/>
        <n x="32"/>
        <n x="1337" s="1"/>
      </t>
    </mdx>
    <mdx n="33" f="v">
      <t c="4">
        <n x="245"/>
        <n x="12"/>
        <n x="32"/>
        <n x="1337" s="1"/>
      </t>
    </mdx>
    <mdx n="33" f="v">
      <t c="4">
        <n x="926"/>
        <n x="14"/>
        <n x="7"/>
        <n x="1337" s="1"/>
      </t>
    </mdx>
    <mdx n="33" f="v">
      <t c="4">
        <n x="135"/>
        <n x="12"/>
        <n x="32"/>
        <n x="1337" s="1"/>
      </t>
    </mdx>
    <mdx n="33" f="v">
      <t c="4">
        <n x="114"/>
        <n x="1"/>
        <n x="32"/>
        <n x="1337" s="1"/>
      </t>
    </mdx>
    <mdx n="33" f="v">
      <t c="4" si="10">
        <n x="1030"/>
        <n x="11"/>
        <n x="32"/>
        <n x="1337" s="1"/>
      </t>
    </mdx>
    <mdx n="33" f="v">
      <t c="4">
        <n x="1188"/>
        <n x="0"/>
        <n x="32"/>
        <n x="1337" s="1"/>
      </t>
    </mdx>
    <mdx n="33" f="v">
      <t c="4">
        <n x="924"/>
        <n x="14"/>
        <n x="7"/>
        <n x="1337" s="1"/>
      </t>
    </mdx>
    <mdx n="33" f="v">
      <t c="4">
        <n x="1233"/>
        <n x="0"/>
        <n x="7"/>
        <n x="1337" s="1"/>
      </t>
    </mdx>
    <mdx n="33" f="v">
      <t c="4">
        <n x="1237"/>
        <n x="0"/>
        <n x="7"/>
        <n x="1337" s="1"/>
      </t>
    </mdx>
    <mdx n="33" f="v">
      <t c="4">
        <n x="1182"/>
        <n x="0"/>
        <n x="7"/>
        <n x="1337" s="1"/>
      </t>
    </mdx>
    <mdx n="33" f="v">
      <t c="4" si="10">
        <n x="955"/>
        <n x="0"/>
        <n x="32"/>
        <n x="1337" s="1"/>
      </t>
    </mdx>
    <mdx n="33" f="v">
      <t c="4">
        <n x="371"/>
        <n x="12"/>
        <n x="32"/>
        <n x="1337" s="1"/>
      </t>
    </mdx>
    <mdx n="33" f="v">
      <t c="4">
        <n x="179"/>
        <n x="12"/>
        <n x="32"/>
        <n x="1337" s="1"/>
      </t>
    </mdx>
    <mdx n="33" f="v">
      <t c="4">
        <n x="981"/>
        <n x="1"/>
        <n x="7"/>
        <n x="1337" s="1"/>
      </t>
    </mdx>
    <mdx n="33" f="v">
      <t c="4" si="10">
        <n x="617"/>
        <n x="14"/>
        <n x="32"/>
        <n x="1337" s="1"/>
      </t>
    </mdx>
    <mdx n="33" f="v">
      <t c="4" si="10">
        <n x="1156"/>
        <n x="11"/>
        <n x="32"/>
        <n x="1337" s="1"/>
      </t>
    </mdx>
    <mdx n="33" f="v">
      <t c="4">
        <n x="1169"/>
        <n x="11"/>
        <n x="32"/>
        <n x="1337" s="1"/>
      </t>
    </mdx>
    <mdx n="33" f="v">
      <t c="4">
        <n x="1160"/>
        <n x="14"/>
        <n x="32"/>
        <n x="1337" s="1"/>
      </t>
    </mdx>
    <mdx n="33" f="v">
      <t c="4" si="10">
        <n x="1135"/>
        <n x="14"/>
        <n x="32"/>
        <n x="1337" s="1"/>
      </t>
    </mdx>
    <mdx n="33" f="v">
      <t c="4" si="10">
        <n x="1176"/>
        <n x="14"/>
        <n x="32"/>
        <n x="1337" s="1"/>
      </t>
    </mdx>
    <mdx n="33" f="v">
      <t c="4">
        <n x="1127"/>
        <n x="1"/>
        <n x="7"/>
        <n x="1337" s="1"/>
      </t>
    </mdx>
    <mdx n="33" f="v">
      <t c="4">
        <n x="1210"/>
        <n x="1"/>
        <n x="7"/>
        <n x="1337" s="1"/>
      </t>
    </mdx>
    <mdx n="33" f="v">
      <t c="4">
        <n x="1263"/>
        <n x="14"/>
        <n x="7"/>
        <n x="1337" s="1"/>
      </t>
    </mdx>
    <mdx n="33" f="v">
      <t c="4" si="9">
        <n x="1129"/>
        <n x="14"/>
        <n x="7"/>
        <n x="1337" s="1"/>
      </t>
    </mdx>
    <mdx n="33" f="v">
      <t c="4">
        <n x="1248"/>
        <n x="14"/>
        <n x="7"/>
        <n x="1337" s="1"/>
      </t>
    </mdx>
    <mdx n="33" f="v">
      <t c="4">
        <n x="1305"/>
        <n x="14"/>
        <n x="7"/>
        <n x="1337" s="1"/>
      </t>
    </mdx>
    <mdx n="33" f="v">
      <t c="4">
        <n x="1231"/>
        <n x="14"/>
        <n x="7"/>
        <n x="1337" s="1"/>
      </t>
    </mdx>
    <mdx n="33" f="v">
      <t c="4">
        <n x="1220"/>
        <n x="14"/>
        <n x="7"/>
        <n x="1337" s="1"/>
      </t>
    </mdx>
    <mdx n="33" f="v">
      <t c="4">
        <n x="1153"/>
        <n x="14"/>
        <n x="7"/>
        <n x="1337" s="1"/>
      </t>
    </mdx>
    <mdx n="33" f="v">
      <t c="4">
        <n x="1209"/>
        <n x="14"/>
        <n x="7"/>
        <n x="1337" s="1"/>
      </t>
    </mdx>
    <mdx n="33" f="v">
      <t c="4" si="9">
        <n x="1137"/>
        <n x="14"/>
        <n x="7"/>
        <n x="1337" s="1"/>
      </t>
    </mdx>
    <mdx n="33" f="v">
      <t c="4" si="9">
        <n x="1227"/>
        <n x="14"/>
        <n x="7"/>
        <n x="1337" s="1"/>
      </t>
    </mdx>
    <mdx n="33" f="v">
      <t c="4">
        <n x="1130"/>
        <n x="14"/>
        <n x="7"/>
        <n x="1337" s="1"/>
      </t>
    </mdx>
    <mdx n="33" f="v">
      <t c="4">
        <n x="1223"/>
        <n x="14"/>
        <n x="7"/>
        <n x="1337" s="1"/>
      </t>
    </mdx>
    <mdx n="33" f="v">
      <t c="4">
        <n x="1283"/>
        <n x="14"/>
        <n x="7"/>
        <n x="1337" s="1"/>
      </t>
    </mdx>
    <mdx n="33" f="v">
      <t c="4">
        <n x="1181"/>
        <n x="14"/>
        <n x="7"/>
        <n x="1337" s="1"/>
      </t>
    </mdx>
    <mdx n="33" f="v">
      <t c="4">
        <n x="1180"/>
        <n x="14"/>
        <n x="7"/>
        <n x="1337" s="1"/>
      </t>
    </mdx>
    <mdx n="33" f="v">
      <t c="4">
        <n x="1300"/>
        <n x="14"/>
        <n x="7"/>
        <n x="1337" s="1"/>
      </t>
    </mdx>
    <mdx n="33" f="v">
      <t c="4">
        <n x="1187"/>
        <n x="14"/>
        <n x="7"/>
        <n x="1337" s="1"/>
      </t>
    </mdx>
    <mdx n="33" f="v">
      <t c="4">
        <n x="1247"/>
        <n x="14"/>
        <n x="7"/>
        <n x="1337" s="1"/>
      </t>
    </mdx>
    <mdx n="33" f="v">
      <t c="4" si="9">
        <n x="1307"/>
        <n x="14"/>
        <n x="7"/>
        <n x="1337" s="1"/>
      </t>
    </mdx>
    <mdx n="33" f="v">
      <t c="4">
        <n x="1292"/>
        <n x="14"/>
        <n x="7"/>
        <n x="1337" s="1"/>
      </t>
    </mdx>
    <mdx n="33" f="v">
      <t c="4">
        <n x="1243"/>
        <n x="14"/>
        <n x="7"/>
        <n x="1337" s="1"/>
      </t>
    </mdx>
    <mdx n="33" f="v">
      <t c="4">
        <n x="1229"/>
        <n x="14"/>
        <n x="7"/>
        <n x="1337" s="1"/>
      </t>
    </mdx>
    <mdx n="33" f="v">
      <t c="4">
        <n x="1162"/>
        <n x="14"/>
        <n x="7"/>
        <n x="1337" s="1"/>
      </t>
    </mdx>
    <mdx n="33" f="v">
      <t c="3">
        <n x="1229"/>
        <n x="1336"/>
        <n x="1337" s="1"/>
      </t>
    </mdx>
    <mdx n="33" f="v">
      <t c="3">
        <n x="1127"/>
        <n x="1336"/>
        <n x="1337" s="1"/>
      </t>
    </mdx>
    <mdx n="33" f="v">
      <t c="3">
        <n x="1148"/>
        <n x="1336"/>
        <n x="1337" s="1"/>
      </t>
    </mdx>
    <mdx n="33" f="v">
      <t c="4">
        <n x="1242"/>
        <n x="11"/>
        <n x="7"/>
        <n x="1337" s="1"/>
      </t>
    </mdx>
    <mdx n="33" f="v">
      <t c="6">
        <n x="15"/>
        <n x="1337" s="1"/>
        <n x="37"/>
        <n x="7"/>
        <n x="19"/>
        <n x="0"/>
      </t>
    </mdx>
    <mdx n="33" f="v">
      <t c="4">
        <n x="1178"/>
        <n x="11"/>
        <n x="7"/>
        <n x="1337" s="1"/>
      </t>
    </mdx>
    <mdx n="33" f="v">
      <t c="6" si="10">
        <n x="15"/>
        <n x="1337" s="1"/>
        <n x="44"/>
        <n x="32"/>
        <n x="31"/>
        <n x="3"/>
      </t>
    </mdx>
    <mdx n="33" f="v">
      <t c="5" si="9">
        <n x="15"/>
        <n x="1337" s="1"/>
        <n x="8"/>
        <n x="7"/>
        <n x="19"/>
      </t>
    </mdx>
    <mdx n="33" f="v">
      <t c="6" si="9">
        <n x="15"/>
        <n x="1337" s="1"/>
        <n x="39"/>
        <n x="7"/>
        <n x="19"/>
        <n x="2"/>
      </t>
    </mdx>
    <mdx n="33" f="v">
      <t c="5" si="10">
        <n x="15"/>
        <n x="1337" s="1"/>
        <n x="8"/>
        <n x="32"/>
        <n x="19"/>
      </t>
    </mdx>
    <mdx n="33" f="v">
      <t c="6" si="10">
        <n x="15"/>
        <n x="1337" s="1"/>
        <n x="39"/>
        <n x="32"/>
        <n x="25"/>
        <n x="0"/>
      </t>
    </mdx>
    <mdx n="33" f="v">
      <t c="4">
        <n x="1178"/>
        <n x="1"/>
        <n x="7"/>
        <n x="1337" s="1"/>
      </t>
    </mdx>
    <mdx n="33" f="v">
      <t c="6" si="10">
        <n x="15"/>
        <n x="1337" s="1"/>
        <n x="44"/>
        <n x="32"/>
        <n x="28"/>
        <n x="3"/>
      </t>
    </mdx>
    <mdx n="33" f="v">
      <t c="6" si="10">
        <n x="15"/>
        <n x="1337" s="1"/>
        <n x="42"/>
        <n x="32"/>
        <n x="19"/>
        <n x="3"/>
      </t>
    </mdx>
    <mdx n="33" f="v">
      <t c="6" si="9">
        <n x="15"/>
        <n x="1337" s="1"/>
        <n x="39"/>
        <n x="7"/>
        <n x="19"/>
        <n x="0"/>
      </t>
    </mdx>
    <mdx n="33" f="v">
      <t c="6" si="9">
        <n x="15"/>
        <n x="1337" s="1"/>
        <n x="42"/>
        <n x="7"/>
        <n x="19"/>
        <n x="3"/>
      </t>
    </mdx>
    <mdx n="33" f="v">
      <t c="6" si="10">
        <n x="15"/>
        <n x="1337" s="1"/>
        <n x="41"/>
        <n x="32"/>
        <n x="19"/>
        <n x="1"/>
      </t>
    </mdx>
    <mdx n="33" f="v">
      <t c="6">
        <n x="15"/>
        <n x="1337" s="1"/>
        <n x="41"/>
        <n x="7"/>
        <n x="19"/>
        <n x="0"/>
      </t>
    </mdx>
    <mdx n="33" f="v">
      <t c="6" si="9">
        <n x="15"/>
        <n x="1337" s="1"/>
        <n x="46"/>
        <n x="7"/>
        <n x="19"/>
        <n x="12"/>
      </t>
    </mdx>
    <mdx n="33" f="v">
      <t c="6" si="10">
        <n x="15"/>
        <n x="1337" s="1"/>
        <n x="38"/>
        <n x="32"/>
        <n x="19"/>
        <n x="0"/>
      </t>
    </mdx>
    <mdx n="33" f="v">
      <t c="5" si="10">
        <n x="15"/>
        <n x="1337" s="1"/>
        <n x="14"/>
        <n x="32"/>
        <n x="19"/>
      </t>
    </mdx>
  </mdxMetadata>
  <valueMetadata count="1721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  <bk>
      <rc t="1" v="1851"/>
    </bk>
    <bk>
      <rc t="1" v="1852"/>
    </bk>
    <bk>
      <rc t="1" v="1853"/>
    </bk>
    <bk>
      <rc t="1" v="1854"/>
    </bk>
    <bk>
      <rc t="1" v="1855"/>
    </bk>
    <bk>
      <rc t="1" v="1856"/>
    </bk>
    <bk>
      <rc t="1" v="1857"/>
    </bk>
    <bk>
      <rc t="1" v="1858"/>
    </bk>
    <bk>
      <rc t="1" v="1859"/>
    </bk>
    <bk>
      <rc t="1" v="1860"/>
    </bk>
    <bk>
      <rc t="1" v="1861"/>
    </bk>
    <bk>
      <rc t="1" v="1862"/>
    </bk>
    <bk>
      <rc t="1" v="1863"/>
    </bk>
    <bk>
      <rc t="1" v="1864"/>
    </bk>
    <bk>
      <rc t="1" v="1865"/>
    </bk>
    <bk>
      <rc t="1" v="1866"/>
    </bk>
    <bk>
      <rc t="1" v="1867"/>
    </bk>
    <bk>
      <rc t="1" v="1868"/>
    </bk>
    <bk>
      <rc t="1" v="1869"/>
    </bk>
    <bk>
      <rc t="1" v="1870"/>
    </bk>
    <bk>
      <rc t="1" v="1871"/>
    </bk>
    <bk>
      <rc t="1" v="1872"/>
    </bk>
    <bk>
      <rc t="1" v="1873"/>
    </bk>
    <bk>
      <rc t="1" v="1874"/>
    </bk>
    <bk>
      <rc t="1" v="1875"/>
    </bk>
    <bk>
      <rc t="1" v="1876"/>
    </bk>
    <bk>
      <rc t="1" v="1877"/>
    </bk>
    <bk>
      <rc t="1" v="1878"/>
    </bk>
    <bk>
      <rc t="1" v="1879"/>
    </bk>
    <bk>
      <rc t="1" v="1880"/>
    </bk>
    <bk>
      <rc t="1" v="1881"/>
    </bk>
    <bk>
      <rc t="1" v="1882"/>
    </bk>
    <bk>
      <rc t="1" v="1883"/>
    </bk>
    <bk>
      <rc t="1" v="1884"/>
    </bk>
    <bk>
      <rc t="1" v="1885"/>
    </bk>
    <bk>
      <rc t="1" v="1886"/>
    </bk>
    <bk>
      <rc t="1" v="1887"/>
    </bk>
    <bk>
      <rc t="1" v="1888"/>
    </bk>
    <bk>
      <rc t="1" v="1889"/>
    </bk>
    <bk>
      <rc t="1" v="1890"/>
    </bk>
    <bk>
      <rc t="1" v="1891"/>
    </bk>
    <bk>
      <rc t="1" v="1892"/>
    </bk>
    <bk>
      <rc t="1" v="1893"/>
    </bk>
    <bk>
      <rc t="1" v="1894"/>
    </bk>
    <bk>
      <rc t="1" v="1895"/>
    </bk>
    <bk>
      <rc t="1" v="1896"/>
    </bk>
    <bk>
      <rc t="1" v="1897"/>
    </bk>
    <bk>
      <rc t="1" v="1898"/>
    </bk>
    <bk>
      <rc t="1" v="1899"/>
    </bk>
    <bk>
      <rc t="1" v="1900"/>
    </bk>
    <bk>
      <rc t="1" v="1901"/>
    </bk>
    <bk>
      <rc t="1" v="1902"/>
    </bk>
    <bk>
      <rc t="1" v="1903"/>
    </bk>
    <bk>
      <rc t="1" v="1904"/>
    </bk>
    <bk>
      <rc t="1" v="1905"/>
    </bk>
    <bk>
      <rc t="1" v="1906"/>
    </bk>
    <bk>
      <rc t="1" v="1907"/>
    </bk>
    <bk>
      <rc t="1" v="1908"/>
    </bk>
    <bk>
      <rc t="1" v="1909"/>
    </bk>
    <bk>
      <rc t="1" v="1910"/>
    </bk>
    <bk>
      <rc t="1" v="1911"/>
    </bk>
    <bk>
      <rc t="1" v="1912"/>
    </bk>
    <bk>
      <rc t="1" v="1913"/>
    </bk>
    <bk>
      <rc t="1" v="1914"/>
    </bk>
    <bk>
      <rc t="1" v="1915"/>
    </bk>
    <bk>
      <rc t="1" v="1916"/>
    </bk>
    <bk>
      <rc t="1" v="1917"/>
    </bk>
    <bk>
      <rc t="1" v="1918"/>
    </bk>
    <bk>
      <rc t="1" v="1919"/>
    </bk>
    <bk>
      <rc t="1" v="1920"/>
    </bk>
    <bk>
      <rc t="1" v="1921"/>
    </bk>
    <bk>
      <rc t="1" v="1922"/>
    </bk>
    <bk>
      <rc t="1" v="1923"/>
    </bk>
    <bk>
      <rc t="1" v="1924"/>
    </bk>
    <bk>
      <rc t="1" v="1925"/>
    </bk>
    <bk>
      <rc t="1" v="1926"/>
    </bk>
    <bk>
      <rc t="1" v="1927"/>
    </bk>
    <bk>
      <rc t="1" v="1928"/>
    </bk>
    <bk>
      <rc t="1" v="1929"/>
    </bk>
    <bk>
      <rc t="1" v="1930"/>
    </bk>
    <bk>
      <rc t="1" v="1931"/>
    </bk>
    <bk>
      <rc t="1" v="1932"/>
    </bk>
    <bk>
      <rc t="1" v="1933"/>
    </bk>
    <bk>
      <rc t="1" v="1934"/>
    </bk>
    <bk>
      <rc t="1" v="1935"/>
    </bk>
    <bk>
      <rc t="1" v="1936"/>
    </bk>
    <bk>
      <rc t="1" v="1937"/>
    </bk>
    <bk>
      <rc t="1" v="1938"/>
    </bk>
    <bk>
      <rc t="1" v="1939"/>
    </bk>
    <bk>
      <rc t="1" v="1940"/>
    </bk>
    <bk>
      <rc t="1" v="1941"/>
    </bk>
    <bk>
      <rc t="1" v="1942"/>
    </bk>
    <bk>
      <rc t="1" v="1943"/>
    </bk>
    <bk>
      <rc t="1" v="1944"/>
    </bk>
    <bk>
      <rc t="1" v="1945"/>
    </bk>
    <bk>
      <rc t="1" v="1946"/>
    </bk>
    <bk>
      <rc t="1" v="1947"/>
    </bk>
    <bk>
      <rc t="1" v="1948"/>
    </bk>
    <bk>
      <rc t="1" v="1949"/>
    </bk>
    <bk>
      <rc t="1" v="1950"/>
    </bk>
    <bk>
      <rc t="1" v="1951"/>
    </bk>
    <bk>
      <rc t="1" v="1952"/>
    </bk>
    <bk>
      <rc t="1" v="1953"/>
    </bk>
    <bk>
      <rc t="1" v="1954"/>
    </bk>
    <bk>
      <rc t="1" v="1955"/>
    </bk>
    <bk>
      <rc t="1" v="1956"/>
    </bk>
    <bk>
      <rc t="1" v="1957"/>
    </bk>
    <bk>
      <rc t="1" v="1958"/>
    </bk>
    <bk>
      <rc t="1" v="1959"/>
    </bk>
    <bk>
      <rc t="1" v="1960"/>
    </bk>
    <bk>
      <rc t="1" v="1961"/>
    </bk>
    <bk>
      <rc t="1" v="1962"/>
    </bk>
    <bk>
      <rc t="1" v="1963"/>
    </bk>
    <bk>
      <rc t="1" v="1964"/>
    </bk>
    <bk>
      <rc t="1" v="1965"/>
    </bk>
    <bk>
      <rc t="1" v="1966"/>
    </bk>
    <bk>
      <rc t="1" v="1967"/>
    </bk>
    <bk>
      <rc t="1" v="1968"/>
    </bk>
    <bk>
      <rc t="1" v="1969"/>
    </bk>
    <bk>
      <rc t="1" v="1970"/>
    </bk>
    <bk>
      <rc t="1" v="1971"/>
    </bk>
    <bk>
      <rc t="1" v="1972"/>
    </bk>
    <bk>
      <rc t="1" v="1973"/>
    </bk>
    <bk>
      <rc t="1" v="1974"/>
    </bk>
    <bk>
      <rc t="1" v="1975"/>
    </bk>
    <bk>
      <rc t="1" v="1976"/>
    </bk>
    <bk>
      <rc t="1" v="1977"/>
    </bk>
    <bk>
      <rc t="1" v="1978"/>
    </bk>
    <bk>
      <rc t="1" v="1979"/>
    </bk>
    <bk>
      <rc t="1" v="1980"/>
    </bk>
    <bk>
      <rc t="1" v="1981"/>
    </bk>
    <bk>
      <rc t="1" v="1982"/>
    </bk>
    <bk>
      <rc t="1" v="1983"/>
    </bk>
    <bk>
      <rc t="1" v="1984"/>
    </bk>
    <bk>
      <rc t="1" v="1985"/>
    </bk>
    <bk>
      <rc t="1" v="1986"/>
    </bk>
    <bk>
      <rc t="1" v="1987"/>
    </bk>
    <bk>
      <rc t="1" v="1988"/>
    </bk>
    <bk>
      <rc t="1" v="1989"/>
    </bk>
    <bk>
      <rc t="1" v="1990"/>
    </bk>
    <bk>
      <rc t="1" v="1991"/>
    </bk>
    <bk>
      <rc t="1" v="1992"/>
    </bk>
    <bk>
      <rc t="1" v="1993"/>
    </bk>
    <bk>
      <rc t="1" v="1994"/>
    </bk>
    <bk>
      <rc t="1" v="1995"/>
    </bk>
    <bk>
      <rc t="1" v="1996"/>
    </bk>
    <bk>
      <rc t="1" v="1997"/>
    </bk>
    <bk>
      <rc t="1" v="1998"/>
    </bk>
    <bk>
      <rc t="1" v="1999"/>
    </bk>
    <bk>
      <rc t="1" v="2000"/>
    </bk>
    <bk>
      <rc t="1" v="2001"/>
    </bk>
    <bk>
      <rc t="1" v="2002"/>
    </bk>
    <bk>
      <rc t="1" v="2003"/>
    </bk>
    <bk>
      <rc t="1" v="2004"/>
    </bk>
    <bk>
      <rc t="1" v="2005"/>
    </bk>
    <bk>
      <rc t="1" v="2006"/>
    </bk>
    <bk>
      <rc t="1" v="2007"/>
    </bk>
    <bk>
      <rc t="1" v="2008"/>
    </bk>
    <bk>
      <rc t="1" v="2009"/>
    </bk>
    <bk>
      <rc t="1" v="2010"/>
    </bk>
    <bk>
      <rc t="1" v="2011"/>
    </bk>
    <bk>
      <rc t="1" v="2012"/>
    </bk>
    <bk>
      <rc t="1" v="2013"/>
    </bk>
    <bk>
      <rc t="1" v="2014"/>
    </bk>
    <bk>
      <rc t="1" v="2015"/>
    </bk>
    <bk>
      <rc t="1" v="2016"/>
    </bk>
    <bk>
      <rc t="1" v="2017"/>
    </bk>
    <bk>
      <rc t="1" v="2018"/>
    </bk>
    <bk>
      <rc t="1" v="2019"/>
    </bk>
    <bk>
      <rc t="1" v="2020"/>
    </bk>
    <bk>
      <rc t="1" v="2021"/>
    </bk>
    <bk>
      <rc t="1" v="2022"/>
    </bk>
    <bk>
      <rc t="1" v="2023"/>
    </bk>
    <bk>
      <rc t="1" v="2024"/>
    </bk>
    <bk>
      <rc t="1" v="2025"/>
    </bk>
    <bk>
      <rc t="1" v="2026"/>
    </bk>
    <bk>
      <rc t="1" v="2027"/>
    </bk>
    <bk>
      <rc t="1" v="2028"/>
    </bk>
    <bk>
      <rc t="1" v="2029"/>
    </bk>
    <bk>
      <rc t="1" v="2030"/>
    </bk>
    <bk>
      <rc t="1" v="2031"/>
    </bk>
    <bk>
      <rc t="1" v="2032"/>
    </bk>
    <bk>
      <rc t="1" v="2033"/>
    </bk>
    <bk>
      <rc t="1" v="2034"/>
    </bk>
    <bk>
      <rc t="1" v="2035"/>
    </bk>
    <bk>
      <rc t="1" v="2036"/>
    </bk>
    <bk>
      <rc t="1" v="2037"/>
    </bk>
    <bk>
      <rc t="1" v="2038"/>
    </bk>
    <bk>
      <rc t="1" v="2039"/>
    </bk>
    <bk>
      <rc t="1" v="2040"/>
    </bk>
    <bk>
      <rc t="1" v="2041"/>
    </bk>
    <bk>
      <rc t="1" v="2042"/>
    </bk>
    <bk>
      <rc t="1" v="2043"/>
    </bk>
    <bk>
      <rc t="1" v="2044"/>
    </bk>
    <bk>
      <rc t="1" v="2045"/>
    </bk>
    <bk>
      <rc t="1" v="2046"/>
    </bk>
    <bk>
      <rc t="1" v="2047"/>
    </bk>
    <bk>
      <rc t="1" v="2048"/>
    </bk>
    <bk>
      <rc t="1" v="2049"/>
    </bk>
    <bk>
      <rc t="1" v="2050"/>
    </bk>
    <bk>
      <rc t="1" v="2051"/>
    </bk>
    <bk>
      <rc t="1" v="2052"/>
    </bk>
    <bk>
      <rc t="1" v="2053"/>
    </bk>
    <bk>
      <rc t="1" v="2054"/>
    </bk>
    <bk>
      <rc t="1" v="2055"/>
    </bk>
    <bk>
      <rc t="1" v="2056"/>
    </bk>
    <bk>
      <rc t="1" v="2057"/>
    </bk>
    <bk>
      <rc t="1" v="2058"/>
    </bk>
    <bk>
      <rc t="1" v="2059"/>
    </bk>
    <bk>
      <rc t="1" v="2060"/>
    </bk>
    <bk>
      <rc t="1" v="2061"/>
    </bk>
    <bk>
      <rc t="1" v="2062"/>
    </bk>
    <bk>
      <rc t="1" v="2063"/>
    </bk>
    <bk>
      <rc t="1" v="2064"/>
    </bk>
    <bk>
      <rc t="1" v="2065"/>
    </bk>
    <bk>
      <rc t="1" v="2066"/>
    </bk>
    <bk>
      <rc t="1" v="2067"/>
    </bk>
    <bk>
      <rc t="1" v="2068"/>
    </bk>
    <bk>
      <rc t="1" v="2069"/>
    </bk>
    <bk>
      <rc t="1" v="2070"/>
    </bk>
    <bk>
      <rc t="1" v="2071"/>
    </bk>
    <bk>
      <rc t="1" v="2072"/>
    </bk>
    <bk>
      <rc t="1" v="2073"/>
    </bk>
    <bk>
      <rc t="1" v="2074"/>
    </bk>
    <bk>
      <rc t="1" v="2075"/>
    </bk>
    <bk>
      <rc t="1" v="2076"/>
    </bk>
    <bk>
      <rc t="1" v="2077"/>
    </bk>
    <bk>
      <rc t="1" v="2078"/>
    </bk>
    <bk>
      <rc t="1" v="2079"/>
    </bk>
    <bk>
      <rc t="1" v="2080"/>
    </bk>
    <bk>
      <rc t="1" v="2081"/>
    </bk>
    <bk>
      <rc t="1" v="2082"/>
    </bk>
    <bk>
      <rc t="1" v="2083"/>
    </bk>
    <bk>
      <rc t="1" v="2084"/>
    </bk>
    <bk>
      <rc t="1" v="2085"/>
    </bk>
    <bk>
      <rc t="1" v="2086"/>
    </bk>
    <bk>
      <rc t="1" v="2087"/>
    </bk>
    <bk>
      <rc t="1" v="2088"/>
    </bk>
    <bk>
      <rc t="1" v="2089"/>
    </bk>
    <bk>
      <rc t="1" v="2090"/>
    </bk>
    <bk>
      <rc t="1" v="2091"/>
    </bk>
    <bk>
      <rc t="1" v="2092"/>
    </bk>
    <bk>
      <rc t="1" v="2093"/>
    </bk>
    <bk>
      <rc t="1" v="2094"/>
    </bk>
    <bk>
      <rc t="1" v="2095"/>
    </bk>
    <bk>
      <rc t="1" v="2096"/>
    </bk>
    <bk>
      <rc t="1" v="2097"/>
    </bk>
    <bk>
      <rc t="1" v="2098"/>
    </bk>
    <bk>
      <rc t="1" v="2099"/>
    </bk>
    <bk>
      <rc t="1" v="2100"/>
    </bk>
    <bk>
      <rc t="1" v="2101"/>
    </bk>
    <bk>
      <rc t="1" v="2102"/>
    </bk>
    <bk>
      <rc t="1" v="2103"/>
    </bk>
    <bk>
      <rc t="1" v="2104"/>
    </bk>
    <bk>
      <rc t="1" v="2105"/>
    </bk>
    <bk>
      <rc t="1" v="2106"/>
    </bk>
    <bk>
      <rc t="1" v="2107"/>
    </bk>
    <bk>
      <rc t="1" v="2108"/>
    </bk>
    <bk>
      <rc t="1" v="2109"/>
    </bk>
    <bk>
      <rc t="1" v="2110"/>
    </bk>
    <bk>
      <rc t="1" v="2111"/>
    </bk>
    <bk>
      <rc t="1" v="2112"/>
    </bk>
    <bk>
      <rc t="1" v="2113"/>
    </bk>
    <bk>
      <rc t="1" v="2114"/>
    </bk>
    <bk>
      <rc t="1" v="2115"/>
    </bk>
    <bk>
      <rc t="1" v="2116"/>
    </bk>
    <bk>
      <rc t="1" v="2117"/>
    </bk>
    <bk>
      <rc t="1" v="2118"/>
    </bk>
    <bk>
      <rc t="1" v="2119"/>
    </bk>
    <bk>
      <rc t="1" v="2120"/>
    </bk>
    <bk>
      <rc t="1" v="2121"/>
    </bk>
    <bk>
      <rc t="1" v="2122"/>
    </bk>
    <bk>
      <rc t="1" v="2123"/>
    </bk>
    <bk>
      <rc t="1" v="2124"/>
    </bk>
    <bk>
      <rc t="1" v="2125"/>
    </bk>
    <bk>
      <rc t="1" v="2126"/>
    </bk>
    <bk>
      <rc t="1" v="2127"/>
    </bk>
    <bk>
      <rc t="1" v="2128"/>
    </bk>
    <bk>
      <rc t="1" v="2129"/>
    </bk>
    <bk>
      <rc t="1" v="2130"/>
    </bk>
    <bk>
      <rc t="1" v="2131"/>
    </bk>
    <bk>
      <rc t="1" v="2132"/>
    </bk>
    <bk>
      <rc t="1" v="2133"/>
    </bk>
    <bk>
      <rc t="1" v="2134"/>
    </bk>
    <bk>
      <rc t="1" v="2135"/>
    </bk>
    <bk>
      <rc t="1" v="2136"/>
    </bk>
    <bk>
      <rc t="1" v="2137"/>
    </bk>
    <bk>
      <rc t="1" v="2138"/>
    </bk>
    <bk>
      <rc t="1" v="2139"/>
    </bk>
    <bk>
      <rc t="1" v="2140"/>
    </bk>
    <bk>
      <rc t="1" v="2141"/>
    </bk>
    <bk>
      <rc t="1" v="2142"/>
    </bk>
    <bk>
      <rc t="1" v="2143"/>
    </bk>
    <bk>
      <rc t="1" v="2144"/>
    </bk>
    <bk>
      <rc t="1" v="2145"/>
    </bk>
    <bk>
      <rc t="1" v="2146"/>
    </bk>
    <bk>
      <rc t="1" v="2147"/>
    </bk>
    <bk>
      <rc t="1" v="2148"/>
    </bk>
    <bk>
      <rc t="1" v="2149"/>
    </bk>
    <bk>
      <rc t="1" v="2150"/>
    </bk>
    <bk>
      <rc t="1" v="2151"/>
    </bk>
    <bk>
      <rc t="1" v="2152"/>
    </bk>
    <bk>
      <rc t="1" v="2153"/>
    </bk>
    <bk>
      <rc t="1" v="2154"/>
    </bk>
    <bk>
      <rc t="1" v="2155"/>
    </bk>
    <bk>
      <rc t="1" v="2156"/>
    </bk>
    <bk>
      <rc t="1" v="2157"/>
    </bk>
    <bk>
      <rc t="1" v="2158"/>
    </bk>
    <bk>
      <rc t="1" v="2159"/>
    </bk>
    <bk>
      <rc t="1" v="2160"/>
    </bk>
    <bk>
      <rc t="1" v="2161"/>
    </bk>
    <bk>
      <rc t="1" v="2162"/>
    </bk>
    <bk>
      <rc t="1" v="2163"/>
    </bk>
    <bk>
      <rc t="1" v="2164"/>
    </bk>
    <bk>
      <rc t="1" v="2165"/>
    </bk>
    <bk>
      <rc t="1" v="2166"/>
    </bk>
    <bk>
      <rc t="1" v="2167"/>
    </bk>
    <bk>
      <rc t="1" v="2168"/>
    </bk>
    <bk>
      <rc t="1" v="2169"/>
    </bk>
    <bk>
      <rc t="1" v="2170"/>
    </bk>
    <bk>
      <rc t="1" v="2171"/>
    </bk>
    <bk>
      <rc t="1" v="2172"/>
    </bk>
    <bk>
      <rc t="1" v="2173"/>
    </bk>
    <bk>
      <rc t="1" v="2174"/>
    </bk>
    <bk>
      <rc t="1" v="2175"/>
    </bk>
    <bk>
      <rc t="1" v="2176"/>
    </bk>
    <bk>
      <rc t="1" v="2177"/>
    </bk>
    <bk>
      <rc t="1" v="2178"/>
    </bk>
    <bk>
      <rc t="1" v="2179"/>
    </bk>
    <bk>
      <rc t="1" v="2180"/>
    </bk>
    <bk>
      <rc t="1" v="2181"/>
    </bk>
    <bk>
      <rc t="1" v="2182"/>
    </bk>
    <bk>
      <rc t="1" v="2183"/>
    </bk>
    <bk>
      <rc t="1" v="2184"/>
    </bk>
    <bk>
      <rc t="1" v="2185"/>
    </bk>
    <bk>
      <rc t="1" v="2186"/>
    </bk>
    <bk>
      <rc t="1" v="2187"/>
    </bk>
    <bk>
      <rc t="1" v="2188"/>
    </bk>
    <bk>
      <rc t="1" v="2189"/>
    </bk>
    <bk>
      <rc t="1" v="2190"/>
    </bk>
    <bk>
      <rc t="1" v="2191"/>
    </bk>
    <bk>
      <rc t="1" v="2192"/>
    </bk>
    <bk>
      <rc t="1" v="2193"/>
    </bk>
    <bk>
      <rc t="1" v="2194"/>
    </bk>
    <bk>
      <rc t="1" v="2195"/>
    </bk>
    <bk>
      <rc t="1" v="2196"/>
    </bk>
    <bk>
      <rc t="1" v="2197"/>
    </bk>
    <bk>
      <rc t="1" v="2198"/>
    </bk>
    <bk>
      <rc t="1" v="2199"/>
    </bk>
    <bk>
      <rc t="1" v="2200"/>
    </bk>
    <bk>
      <rc t="1" v="2201"/>
    </bk>
    <bk>
      <rc t="1" v="2202"/>
    </bk>
    <bk>
      <rc t="1" v="2203"/>
    </bk>
    <bk>
      <rc t="1" v="2204"/>
    </bk>
    <bk>
      <rc t="1" v="2205"/>
    </bk>
    <bk>
      <rc t="1" v="2206"/>
    </bk>
    <bk>
      <rc t="1" v="2207"/>
    </bk>
    <bk>
      <rc t="1" v="2208"/>
    </bk>
    <bk>
      <rc t="1" v="2209"/>
    </bk>
    <bk>
      <rc t="1" v="2210"/>
    </bk>
    <bk>
      <rc t="1" v="2211"/>
    </bk>
    <bk>
      <rc t="1" v="2212"/>
    </bk>
    <bk>
      <rc t="1" v="2213"/>
    </bk>
    <bk>
      <rc t="1" v="2214"/>
    </bk>
    <bk>
      <rc t="1" v="2215"/>
    </bk>
    <bk>
      <rc t="1" v="2216"/>
    </bk>
    <bk>
      <rc t="1" v="2217"/>
    </bk>
    <bk>
      <rc t="1" v="2218"/>
    </bk>
    <bk>
      <rc t="1" v="2219"/>
    </bk>
    <bk>
      <rc t="1" v="2220"/>
    </bk>
    <bk>
      <rc t="1" v="2221"/>
    </bk>
    <bk>
      <rc t="1" v="2222"/>
    </bk>
    <bk>
      <rc t="1" v="2223"/>
    </bk>
    <bk>
      <rc t="1" v="2224"/>
    </bk>
    <bk>
      <rc t="1" v="2225"/>
    </bk>
    <bk>
      <rc t="1" v="2226"/>
    </bk>
    <bk>
      <rc t="1" v="2227"/>
    </bk>
    <bk>
      <rc t="1" v="2228"/>
    </bk>
    <bk>
      <rc t="1" v="2229"/>
    </bk>
    <bk>
      <rc t="1" v="2230"/>
    </bk>
    <bk>
      <rc t="1" v="2231"/>
    </bk>
    <bk>
      <rc t="1" v="2232"/>
    </bk>
    <bk>
      <rc t="1" v="2233"/>
    </bk>
    <bk>
      <rc t="1" v="2234"/>
    </bk>
    <bk>
      <rc t="1" v="2235"/>
    </bk>
    <bk>
      <rc t="1" v="2236"/>
    </bk>
    <bk>
      <rc t="1" v="2237"/>
    </bk>
    <bk>
      <rc t="1" v="2238"/>
    </bk>
    <bk>
      <rc t="1" v="2239"/>
    </bk>
    <bk>
      <rc t="1" v="2240"/>
    </bk>
    <bk>
      <rc t="1" v="2241"/>
    </bk>
    <bk>
      <rc t="1" v="2242"/>
    </bk>
    <bk>
      <rc t="1" v="2243"/>
    </bk>
    <bk>
      <rc t="1" v="2244"/>
    </bk>
    <bk>
      <rc t="1" v="2245"/>
    </bk>
    <bk>
      <rc t="1" v="2246"/>
    </bk>
    <bk>
      <rc t="1" v="2247"/>
    </bk>
    <bk>
      <rc t="1" v="2248"/>
    </bk>
    <bk>
      <rc t="1" v="2249"/>
    </bk>
    <bk>
      <rc t="1" v="2250"/>
    </bk>
    <bk>
      <rc t="1" v="2251"/>
    </bk>
    <bk>
      <rc t="1" v="2252"/>
    </bk>
    <bk>
      <rc t="1" v="2253"/>
    </bk>
    <bk>
      <rc t="1" v="2254"/>
    </bk>
    <bk>
      <rc t="1" v="2255"/>
    </bk>
    <bk>
      <rc t="1" v="2256"/>
    </bk>
    <bk>
      <rc t="1" v="2257"/>
    </bk>
    <bk>
      <rc t="1" v="2258"/>
    </bk>
    <bk>
      <rc t="1" v="2259"/>
    </bk>
    <bk>
      <rc t="1" v="2260"/>
    </bk>
    <bk>
      <rc t="1" v="2261"/>
    </bk>
    <bk>
      <rc t="1" v="2262"/>
    </bk>
    <bk>
      <rc t="1" v="2263"/>
    </bk>
    <bk>
      <rc t="1" v="2264"/>
    </bk>
    <bk>
      <rc t="1" v="2265"/>
    </bk>
    <bk>
      <rc t="1" v="2266"/>
    </bk>
    <bk>
      <rc t="1" v="2267"/>
    </bk>
    <bk>
      <rc t="1" v="2268"/>
    </bk>
    <bk>
      <rc t="1" v="2269"/>
    </bk>
    <bk>
      <rc t="1" v="2270"/>
    </bk>
    <bk>
      <rc t="1" v="2271"/>
    </bk>
    <bk>
      <rc t="1" v="2272"/>
    </bk>
    <bk>
      <rc t="1" v="2273"/>
    </bk>
    <bk>
      <rc t="1" v="2274"/>
    </bk>
    <bk>
      <rc t="1" v="2275"/>
    </bk>
    <bk>
      <rc t="1" v="2276"/>
    </bk>
    <bk>
      <rc t="1" v="2277"/>
    </bk>
    <bk>
      <rc t="1" v="2278"/>
    </bk>
    <bk>
      <rc t="1" v="2279"/>
    </bk>
    <bk>
      <rc t="1" v="2280"/>
    </bk>
    <bk>
      <rc t="1" v="2281"/>
    </bk>
    <bk>
      <rc t="1" v="2282"/>
    </bk>
    <bk>
      <rc t="1" v="2283"/>
    </bk>
    <bk>
      <rc t="1" v="2284"/>
    </bk>
    <bk>
      <rc t="1" v="2285"/>
    </bk>
    <bk>
      <rc t="1" v="2286"/>
    </bk>
    <bk>
      <rc t="1" v="2287"/>
    </bk>
    <bk>
      <rc t="1" v="2288"/>
    </bk>
    <bk>
      <rc t="1" v="2289"/>
    </bk>
    <bk>
      <rc t="1" v="2290"/>
    </bk>
    <bk>
      <rc t="1" v="2291"/>
    </bk>
    <bk>
      <rc t="1" v="2292"/>
    </bk>
    <bk>
      <rc t="1" v="2293"/>
    </bk>
    <bk>
      <rc t="1" v="2294"/>
    </bk>
    <bk>
      <rc t="1" v="2295"/>
    </bk>
    <bk>
      <rc t="1" v="2296"/>
    </bk>
    <bk>
      <rc t="1" v="2297"/>
    </bk>
    <bk>
      <rc t="1" v="2298"/>
    </bk>
    <bk>
      <rc t="1" v="2299"/>
    </bk>
    <bk>
      <rc t="1" v="2300"/>
    </bk>
    <bk>
      <rc t="1" v="2301"/>
    </bk>
    <bk>
      <rc t="1" v="2302"/>
    </bk>
    <bk>
      <rc t="1" v="2303"/>
    </bk>
    <bk>
      <rc t="1" v="2304"/>
    </bk>
    <bk>
      <rc t="1" v="2305"/>
    </bk>
    <bk>
      <rc t="1" v="2306"/>
    </bk>
    <bk>
      <rc t="1" v="2307"/>
    </bk>
    <bk>
      <rc t="1" v="2308"/>
    </bk>
    <bk>
      <rc t="1" v="2309"/>
    </bk>
    <bk>
      <rc t="1" v="2310"/>
    </bk>
    <bk>
      <rc t="1" v="2311"/>
    </bk>
    <bk>
      <rc t="1" v="2312"/>
    </bk>
    <bk>
      <rc t="1" v="2313"/>
    </bk>
    <bk>
      <rc t="1" v="2314"/>
    </bk>
    <bk>
      <rc t="1" v="2315"/>
    </bk>
    <bk>
      <rc t="1" v="2316"/>
    </bk>
    <bk>
      <rc t="1" v="2317"/>
    </bk>
    <bk>
      <rc t="1" v="2318"/>
    </bk>
    <bk>
      <rc t="1" v="2319"/>
    </bk>
    <bk>
      <rc t="1" v="2320"/>
    </bk>
    <bk>
      <rc t="1" v="2321"/>
    </bk>
    <bk>
      <rc t="1" v="2322"/>
    </bk>
    <bk>
      <rc t="1" v="2323"/>
    </bk>
    <bk>
      <rc t="1" v="2324"/>
    </bk>
    <bk>
      <rc t="1" v="2325"/>
    </bk>
    <bk>
      <rc t="1" v="2326"/>
    </bk>
    <bk>
      <rc t="1" v="2327"/>
    </bk>
    <bk>
      <rc t="1" v="2328"/>
    </bk>
    <bk>
      <rc t="1" v="2329"/>
    </bk>
    <bk>
      <rc t="1" v="2330"/>
    </bk>
    <bk>
      <rc t="1" v="2331"/>
    </bk>
    <bk>
      <rc t="1" v="2332"/>
    </bk>
    <bk>
      <rc t="1" v="2333"/>
    </bk>
    <bk>
      <rc t="1" v="2334"/>
    </bk>
    <bk>
      <rc t="1" v="2335"/>
    </bk>
    <bk>
      <rc t="1" v="2336"/>
    </bk>
    <bk>
      <rc t="1" v="2337"/>
    </bk>
    <bk>
      <rc t="1" v="2338"/>
    </bk>
    <bk>
      <rc t="1" v="2339"/>
    </bk>
    <bk>
      <rc t="1" v="2340"/>
    </bk>
    <bk>
      <rc t="1" v="2341"/>
    </bk>
    <bk>
      <rc t="1" v="2342"/>
    </bk>
    <bk>
      <rc t="1" v="2343"/>
    </bk>
    <bk>
      <rc t="1" v="2344"/>
    </bk>
    <bk>
      <rc t="1" v="2345"/>
    </bk>
    <bk>
      <rc t="1" v="2346"/>
    </bk>
    <bk>
      <rc t="1" v="2347"/>
    </bk>
    <bk>
      <rc t="1" v="2348"/>
    </bk>
    <bk>
      <rc t="1" v="2349"/>
    </bk>
    <bk>
      <rc t="1" v="2350"/>
    </bk>
    <bk>
      <rc t="1" v="2351"/>
    </bk>
    <bk>
      <rc t="1" v="2352"/>
    </bk>
    <bk>
      <rc t="1" v="2353"/>
    </bk>
    <bk>
      <rc t="1" v="2354"/>
    </bk>
    <bk>
      <rc t="1" v="2355"/>
    </bk>
    <bk>
      <rc t="1" v="2356"/>
    </bk>
    <bk>
      <rc t="1" v="2357"/>
    </bk>
    <bk>
      <rc t="1" v="2358"/>
    </bk>
    <bk>
      <rc t="1" v="2359"/>
    </bk>
    <bk>
      <rc t="1" v="2360"/>
    </bk>
    <bk>
      <rc t="1" v="2361"/>
    </bk>
    <bk>
      <rc t="1" v="2362"/>
    </bk>
    <bk>
      <rc t="1" v="2363"/>
    </bk>
    <bk>
      <rc t="1" v="2364"/>
    </bk>
    <bk>
      <rc t="1" v="2365"/>
    </bk>
    <bk>
      <rc t="1" v="2366"/>
    </bk>
    <bk>
      <rc t="1" v="2367"/>
    </bk>
    <bk>
      <rc t="1" v="2368"/>
    </bk>
    <bk>
      <rc t="1" v="2369"/>
    </bk>
    <bk>
      <rc t="1" v="2370"/>
    </bk>
    <bk>
      <rc t="1" v="2371"/>
    </bk>
    <bk>
      <rc t="1" v="2372"/>
    </bk>
    <bk>
      <rc t="1" v="2373"/>
    </bk>
    <bk>
      <rc t="1" v="2374"/>
    </bk>
    <bk>
      <rc t="1" v="2375"/>
    </bk>
    <bk>
      <rc t="1" v="2376"/>
    </bk>
    <bk>
      <rc t="1" v="2377"/>
    </bk>
    <bk>
      <rc t="1" v="2378"/>
    </bk>
    <bk>
      <rc t="1" v="2379"/>
    </bk>
    <bk>
      <rc t="1" v="2380"/>
    </bk>
    <bk>
      <rc t="1" v="2381"/>
    </bk>
    <bk>
      <rc t="1" v="2382"/>
    </bk>
    <bk>
      <rc t="1" v="2383"/>
    </bk>
    <bk>
      <rc t="1" v="2384"/>
    </bk>
    <bk>
      <rc t="1" v="2385"/>
    </bk>
    <bk>
      <rc t="1" v="2386"/>
    </bk>
    <bk>
      <rc t="1" v="2387"/>
    </bk>
    <bk>
      <rc t="1" v="2388"/>
    </bk>
    <bk>
      <rc t="1" v="2389"/>
    </bk>
    <bk>
      <rc t="1" v="2390"/>
    </bk>
    <bk>
      <rc t="1" v="2391"/>
    </bk>
    <bk>
      <rc t="1" v="2392"/>
    </bk>
    <bk>
      <rc t="1" v="2393"/>
    </bk>
    <bk>
      <rc t="1" v="2394"/>
    </bk>
    <bk>
      <rc t="1" v="2395"/>
    </bk>
    <bk>
      <rc t="1" v="2396"/>
    </bk>
    <bk>
      <rc t="1" v="2397"/>
    </bk>
    <bk>
      <rc t="1" v="2398"/>
    </bk>
    <bk>
      <rc t="1" v="2399"/>
    </bk>
    <bk>
      <rc t="1" v="2400"/>
    </bk>
    <bk>
      <rc t="1" v="2401"/>
    </bk>
    <bk>
      <rc t="1" v="2402"/>
    </bk>
    <bk>
      <rc t="1" v="2403"/>
    </bk>
    <bk>
      <rc t="1" v="2404"/>
    </bk>
    <bk>
      <rc t="1" v="2405"/>
    </bk>
    <bk>
      <rc t="1" v="2406"/>
    </bk>
    <bk>
      <rc t="1" v="2407"/>
    </bk>
    <bk>
      <rc t="1" v="2408"/>
    </bk>
    <bk>
      <rc t="1" v="2409"/>
    </bk>
    <bk>
      <rc t="1" v="2410"/>
    </bk>
    <bk>
      <rc t="1" v="2411"/>
    </bk>
    <bk>
      <rc t="1" v="2412"/>
    </bk>
    <bk>
      <rc t="1" v="2413"/>
    </bk>
    <bk>
      <rc t="1" v="2414"/>
    </bk>
    <bk>
      <rc t="1" v="2415"/>
    </bk>
    <bk>
      <rc t="1" v="2416"/>
    </bk>
    <bk>
      <rc t="1" v="2417"/>
    </bk>
    <bk>
      <rc t="1" v="2418"/>
    </bk>
    <bk>
      <rc t="1" v="2419"/>
    </bk>
    <bk>
      <rc t="1" v="2420"/>
    </bk>
    <bk>
      <rc t="1" v="2421"/>
    </bk>
    <bk>
      <rc t="1" v="2422"/>
    </bk>
    <bk>
      <rc t="1" v="2423"/>
    </bk>
    <bk>
      <rc t="1" v="2424"/>
    </bk>
    <bk>
      <rc t="1" v="2425"/>
    </bk>
    <bk>
      <rc t="1" v="2426"/>
    </bk>
    <bk>
      <rc t="1" v="2427"/>
    </bk>
    <bk>
      <rc t="1" v="2428"/>
    </bk>
    <bk>
      <rc t="1" v="2429"/>
    </bk>
    <bk>
      <rc t="1" v="2430"/>
    </bk>
    <bk>
      <rc t="1" v="2431"/>
    </bk>
    <bk>
      <rc t="1" v="2432"/>
    </bk>
    <bk>
      <rc t="1" v="2433"/>
    </bk>
    <bk>
      <rc t="1" v="2434"/>
    </bk>
    <bk>
      <rc t="1" v="2435"/>
    </bk>
    <bk>
      <rc t="1" v="2436"/>
    </bk>
    <bk>
      <rc t="1" v="2437"/>
    </bk>
    <bk>
      <rc t="1" v="2438"/>
    </bk>
    <bk>
      <rc t="1" v="2439"/>
    </bk>
    <bk>
      <rc t="1" v="2440"/>
    </bk>
    <bk>
      <rc t="1" v="2441"/>
    </bk>
    <bk>
      <rc t="1" v="2442"/>
    </bk>
    <bk>
      <rc t="1" v="2443"/>
    </bk>
    <bk>
      <rc t="1" v="2444"/>
    </bk>
    <bk>
      <rc t="1" v="2445"/>
    </bk>
    <bk>
      <rc t="1" v="2446"/>
    </bk>
    <bk>
      <rc t="1" v="2447"/>
    </bk>
    <bk>
      <rc t="1" v="2448"/>
    </bk>
    <bk>
      <rc t="1" v="2449"/>
    </bk>
    <bk>
      <rc t="1" v="2450"/>
    </bk>
    <bk>
      <rc t="1" v="2451"/>
    </bk>
    <bk>
      <rc t="1" v="2452"/>
    </bk>
    <bk>
      <rc t="1" v="2453"/>
    </bk>
    <bk>
      <rc t="1" v="2454"/>
    </bk>
    <bk>
      <rc t="1" v="2455"/>
    </bk>
    <bk>
      <rc t="1" v="2456"/>
    </bk>
    <bk>
      <rc t="1" v="2457"/>
    </bk>
    <bk>
      <rc t="1" v="2458"/>
    </bk>
    <bk>
      <rc t="1" v="2459"/>
    </bk>
    <bk>
      <rc t="1" v="2460"/>
    </bk>
    <bk>
      <rc t="1" v="2461"/>
    </bk>
    <bk>
      <rc t="1" v="2462"/>
    </bk>
    <bk>
      <rc t="1" v="2463"/>
    </bk>
    <bk>
      <rc t="1" v="2464"/>
    </bk>
    <bk>
      <rc t="1" v="2465"/>
    </bk>
    <bk>
      <rc t="1" v="2466"/>
    </bk>
    <bk>
      <rc t="1" v="2467"/>
    </bk>
    <bk>
      <rc t="1" v="2468"/>
    </bk>
    <bk>
      <rc t="1" v="2469"/>
    </bk>
    <bk>
      <rc t="1" v="2470"/>
    </bk>
    <bk>
      <rc t="1" v="2471"/>
    </bk>
    <bk>
      <rc t="1" v="2472"/>
    </bk>
    <bk>
      <rc t="1" v="2473"/>
    </bk>
    <bk>
      <rc t="1" v="2474"/>
    </bk>
    <bk>
      <rc t="1" v="2475"/>
    </bk>
    <bk>
      <rc t="1" v="2476"/>
    </bk>
    <bk>
      <rc t="1" v="2477"/>
    </bk>
    <bk>
      <rc t="1" v="2478"/>
    </bk>
    <bk>
      <rc t="1" v="2479"/>
    </bk>
    <bk>
      <rc t="1" v="2480"/>
    </bk>
    <bk>
      <rc t="1" v="2481"/>
    </bk>
    <bk>
      <rc t="1" v="2482"/>
    </bk>
    <bk>
      <rc t="1" v="2483"/>
    </bk>
    <bk>
      <rc t="1" v="2484"/>
    </bk>
    <bk>
      <rc t="1" v="2485"/>
    </bk>
    <bk>
      <rc t="1" v="2486"/>
    </bk>
    <bk>
      <rc t="1" v="2487"/>
    </bk>
    <bk>
      <rc t="1" v="2488"/>
    </bk>
    <bk>
      <rc t="1" v="2489"/>
    </bk>
    <bk>
      <rc t="1" v="2490"/>
    </bk>
    <bk>
      <rc t="1" v="2491"/>
    </bk>
    <bk>
      <rc t="1" v="2492"/>
    </bk>
    <bk>
      <rc t="1" v="2493"/>
    </bk>
    <bk>
      <rc t="1" v="2494"/>
    </bk>
    <bk>
      <rc t="1" v="2495"/>
    </bk>
    <bk>
      <rc t="1" v="2496"/>
    </bk>
    <bk>
      <rc t="1" v="2497"/>
    </bk>
    <bk>
      <rc t="1" v="2498"/>
    </bk>
    <bk>
      <rc t="1" v="2499"/>
    </bk>
    <bk>
      <rc t="1" v="2500"/>
    </bk>
    <bk>
      <rc t="1" v="2501"/>
    </bk>
    <bk>
      <rc t="1" v="2502"/>
    </bk>
    <bk>
      <rc t="1" v="2503"/>
    </bk>
    <bk>
      <rc t="1" v="2504"/>
    </bk>
    <bk>
      <rc t="1" v="2505"/>
    </bk>
    <bk>
      <rc t="1" v="2506"/>
    </bk>
    <bk>
      <rc t="1" v="2507"/>
    </bk>
    <bk>
      <rc t="1" v="2508"/>
    </bk>
    <bk>
      <rc t="1" v="2509"/>
    </bk>
    <bk>
      <rc t="1" v="2510"/>
    </bk>
    <bk>
      <rc t="1" v="2511"/>
    </bk>
    <bk>
      <rc t="1" v="2512"/>
    </bk>
    <bk>
      <rc t="1" v="2513"/>
    </bk>
    <bk>
      <rc t="1" v="2514"/>
    </bk>
    <bk>
      <rc t="1" v="2515"/>
    </bk>
    <bk>
      <rc t="1" v="2516"/>
    </bk>
    <bk>
      <rc t="1" v="2517"/>
    </bk>
    <bk>
      <rc t="1" v="2518"/>
    </bk>
    <bk>
      <rc t="1" v="2519"/>
    </bk>
    <bk>
      <rc t="1" v="2520"/>
    </bk>
    <bk>
      <rc t="1" v="2521"/>
    </bk>
    <bk>
      <rc t="1" v="2522"/>
    </bk>
    <bk>
      <rc t="1" v="2523"/>
    </bk>
    <bk>
      <rc t="1" v="2524"/>
    </bk>
    <bk>
      <rc t="1" v="2525"/>
    </bk>
    <bk>
      <rc t="1" v="2526"/>
    </bk>
    <bk>
      <rc t="1" v="2527"/>
    </bk>
    <bk>
      <rc t="1" v="2528"/>
    </bk>
    <bk>
      <rc t="1" v="2529"/>
    </bk>
    <bk>
      <rc t="1" v="2530"/>
    </bk>
    <bk>
      <rc t="1" v="2531"/>
    </bk>
    <bk>
      <rc t="1" v="2532"/>
    </bk>
    <bk>
      <rc t="1" v="2533"/>
    </bk>
    <bk>
      <rc t="1" v="2534"/>
    </bk>
    <bk>
      <rc t="1" v="2535"/>
    </bk>
    <bk>
      <rc t="1" v="2536"/>
    </bk>
    <bk>
      <rc t="1" v="2537"/>
    </bk>
    <bk>
      <rc t="1" v="2538"/>
    </bk>
    <bk>
      <rc t="1" v="2539"/>
    </bk>
    <bk>
      <rc t="1" v="2540"/>
    </bk>
    <bk>
      <rc t="1" v="2541"/>
    </bk>
    <bk>
      <rc t="1" v="2542"/>
    </bk>
    <bk>
      <rc t="1" v="2543"/>
    </bk>
    <bk>
      <rc t="1" v="2544"/>
    </bk>
    <bk>
      <rc t="1" v="2545"/>
    </bk>
    <bk>
      <rc t="1" v="2546"/>
    </bk>
    <bk>
      <rc t="1" v="2547"/>
    </bk>
    <bk>
      <rc t="1" v="2548"/>
    </bk>
    <bk>
      <rc t="1" v="2549"/>
    </bk>
    <bk>
      <rc t="1" v="2550"/>
    </bk>
    <bk>
      <rc t="1" v="2551"/>
    </bk>
    <bk>
      <rc t="1" v="2552"/>
    </bk>
    <bk>
      <rc t="1" v="2553"/>
    </bk>
    <bk>
      <rc t="1" v="2554"/>
    </bk>
    <bk>
      <rc t="1" v="2555"/>
    </bk>
    <bk>
      <rc t="1" v="2556"/>
    </bk>
    <bk>
      <rc t="1" v="2557"/>
    </bk>
    <bk>
      <rc t="1" v="2558"/>
    </bk>
    <bk>
      <rc t="1" v="2559"/>
    </bk>
    <bk>
      <rc t="1" v="2560"/>
    </bk>
    <bk>
      <rc t="1" v="2561"/>
    </bk>
    <bk>
      <rc t="1" v="2562"/>
    </bk>
    <bk>
      <rc t="1" v="2563"/>
    </bk>
    <bk>
      <rc t="1" v="2564"/>
    </bk>
    <bk>
      <rc t="1" v="2565"/>
    </bk>
    <bk>
      <rc t="1" v="2566"/>
    </bk>
    <bk>
      <rc t="1" v="2567"/>
    </bk>
    <bk>
      <rc t="1" v="2568"/>
    </bk>
    <bk>
      <rc t="1" v="2569"/>
    </bk>
    <bk>
      <rc t="1" v="2570"/>
    </bk>
    <bk>
      <rc t="1" v="2571"/>
    </bk>
    <bk>
      <rc t="1" v="2572"/>
    </bk>
    <bk>
      <rc t="1" v="2573"/>
    </bk>
    <bk>
      <rc t="1" v="2574"/>
    </bk>
    <bk>
      <rc t="1" v="2575"/>
    </bk>
    <bk>
      <rc t="1" v="2576"/>
    </bk>
    <bk>
      <rc t="1" v="2577"/>
    </bk>
    <bk>
      <rc t="1" v="2578"/>
    </bk>
    <bk>
      <rc t="1" v="2579"/>
    </bk>
    <bk>
      <rc t="1" v="2580"/>
    </bk>
    <bk>
      <rc t="1" v="2581"/>
    </bk>
    <bk>
      <rc t="1" v="2582"/>
    </bk>
    <bk>
      <rc t="1" v="2583"/>
    </bk>
    <bk>
      <rc t="1" v="2584"/>
    </bk>
    <bk>
      <rc t="1" v="2585"/>
    </bk>
    <bk>
      <rc t="1" v="2586"/>
    </bk>
    <bk>
      <rc t="1" v="2587"/>
    </bk>
    <bk>
      <rc t="1" v="2588"/>
    </bk>
    <bk>
      <rc t="1" v="2589"/>
    </bk>
    <bk>
      <rc t="1" v="2590"/>
    </bk>
    <bk>
      <rc t="1" v="2591"/>
    </bk>
    <bk>
      <rc t="1" v="2592"/>
    </bk>
    <bk>
      <rc t="1" v="2593"/>
    </bk>
    <bk>
      <rc t="1" v="2594"/>
    </bk>
    <bk>
      <rc t="1" v="2595"/>
    </bk>
    <bk>
      <rc t="1" v="2596"/>
    </bk>
    <bk>
      <rc t="1" v="2597"/>
    </bk>
    <bk>
      <rc t="1" v="2598"/>
    </bk>
    <bk>
      <rc t="1" v="2599"/>
    </bk>
    <bk>
      <rc t="1" v="2600"/>
    </bk>
    <bk>
      <rc t="1" v="2601"/>
    </bk>
    <bk>
      <rc t="1" v="2602"/>
    </bk>
    <bk>
      <rc t="1" v="2603"/>
    </bk>
    <bk>
      <rc t="1" v="2604"/>
    </bk>
    <bk>
      <rc t="1" v="2605"/>
    </bk>
    <bk>
      <rc t="1" v="2606"/>
    </bk>
    <bk>
      <rc t="1" v="2607"/>
    </bk>
    <bk>
      <rc t="1" v="2608"/>
    </bk>
    <bk>
      <rc t="1" v="2609"/>
    </bk>
    <bk>
      <rc t="1" v="2610"/>
    </bk>
    <bk>
      <rc t="1" v="2611"/>
    </bk>
    <bk>
      <rc t="1" v="2612"/>
    </bk>
    <bk>
      <rc t="1" v="2613"/>
    </bk>
    <bk>
      <rc t="1" v="2614"/>
    </bk>
    <bk>
      <rc t="1" v="2615"/>
    </bk>
    <bk>
      <rc t="1" v="2616"/>
    </bk>
    <bk>
      <rc t="1" v="2617"/>
    </bk>
    <bk>
      <rc t="1" v="2618"/>
    </bk>
    <bk>
      <rc t="1" v="2619"/>
    </bk>
    <bk>
      <rc t="1" v="2620"/>
    </bk>
    <bk>
      <rc t="1" v="2621"/>
    </bk>
    <bk>
      <rc t="1" v="2622"/>
    </bk>
    <bk>
      <rc t="1" v="2623"/>
    </bk>
    <bk>
      <rc t="1" v="2624"/>
    </bk>
    <bk>
      <rc t="1" v="2625"/>
    </bk>
    <bk>
      <rc t="1" v="2626"/>
    </bk>
    <bk>
      <rc t="1" v="2627"/>
    </bk>
    <bk>
      <rc t="1" v="2628"/>
    </bk>
    <bk>
      <rc t="1" v="2629"/>
    </bk>
    <bk>
      <rc t="1" v="2630"/>
    </bk>
    <bk>
      <rc t="1" v="2631"/>
    </bk>
    <bk>
      <rc t="1" v="2632"/>
    </bk>
    <bk>
      <rc t="1" v="2633"/>
    </bk>
    <bk>
      <rc t="1" v="2634"/>
    </bk>
    <bk>
      <rc t="1" v="2635"/>
    </bk>
    <bk>
      <rc t="1" v="2636"/>
    </bk>
    <bk>
      <rc t="1" v="2637"/>
    </bk>
    <bk>
      <rc t="1" v="2638"/>
    </bk>
    <bk>
      <rc t="1" v="2639"/>
    </bk>
    <bk>
      <rc t="1" v="2640"/>
    </bk>
    <bk>
      <rc t="1" v="2641"/>
    </bk>
    <bk>
      <rc t="1" v="2642"/>
    </bk>
    <bk>
      <rc t="1" v="2643"/>
    </bk>
    <bk>
      <rc t="1" v="2644"/>
    </bk>
    <bk>
      <rc t="1" v="2645"/>
    </bk>
    <bk>
      <rc t="1" v="2646"/>
    </bk>
    <bk>
      <rc t="1" v="2647"/>
    </bk>
    <bk>
      <rc t="1" v="2648"/>
    </bk>
    <bk>
      <rc t="1" v="2649"/>
    </bk>
    <bk>
      <rc t="1" v="2650"/>
    </bk>
    <bk>
      <rc t="1" v="2651"/>
    </bk>
    <bk>
      <rc t="1" v="2652"/>
    </bk>
    <bk>
      <rc t="1" v="2653"/>
    </bk>
    <bk>
      <rc t="1" v="2654"/>
    </bk>
    <bk>
      <rc t="1" v="2655"/>
    </bk>
    <bk>
      <rc t="1" v="2656"/>
    </bk>
    <bk>
      <rc t="1" v="2657"/>
    </bk>
    <bk>
      <rc t="1" v="2658"/>
    </bk>
    <bk>
      <rc t="1" v="2659"/>
    </bk>
    <bk>
      <rc t="1" v="2660"/>
    </bk>
    <bk>
      <rc t="1" v="2661"/>
    </bk>
    <bk>
      <rc t="1" v="2662"/>
    </bk>
    <bk>
      <rc t="1" v="2663"/>
    </bk>
    <bk>
      <rc t="1" v="2664"/>
    </bk>
    <bk>
      <rc t="1" v="2665"/>
    </bk>
    <bk>
      <rc t="1" v="2666"/>
    </bk>
    <bk>
      <rc t="1" v="2667"/>
    </bk>
    <bk>
      <rc t="1" v="2668"/>
    </bk>
    <bk>
      <rc t="1" v="2669"/>
    </bk>
    <bk>
      <rc t="1" v="2670"/>
    </bk>
    <bk>
      <rc t="1" v="2671"/>
    </bk>
    <bk>
      <rc t="1" v="2672"/>
    </bk>
    <bk>
      <rc t="1" v="2673"/>
    </bk>
    <bk>
      <rc t="1" v="2674"/>
    </bk>
    <bk>
      <rc t="1" v="2675"/>
    </bk>
    <bk>
      <rc t="1" v="2676"/>
    </bk>
    <bk>
      <rc t="1" v="2677"/>
    </bk>
    <bk>
      <rc t="1" v="2678"/>
    </bk>
    <bk>
      <rc t="1" v="2679"/>
    </bk>
    <bk>
      <rc t="1" v="2680"/>
    </bk>
    <bk>
      <rc t="1" v="2681"/>
    </bk>
    <bk>
      <rc t="1" v="2682"/>
    </bk>
    <bk>
      <rc t="1" v="2683"/>
    </bk>
    <bk>
      <rc t="1" v="2684"/>
    </bk>
    <bk>
      <rc t="1" v="2685"/>
    </bk>
    <bk>
      <rc t="1" v="2686"/>
    </bk>
    <bk>
      <rc t="1" v="2687"/>
    </bk>
    <bk>
      <rc t="1" v="2688"/>
    </bk>
    <bk>
      <rc t="1" v="2689"/>
    </bk>
    <bk>
      <rc t="1" v="2690"/>
    </bk>
    <bk>
      <rc t="1" v="2691"/>
    </bk>
    <bk>
      <rc t="1" v="2692"/>
    </bk>
    <bk>
      <rc t="1" v="2693"/>
    </bk>
    <bk>
      <rc t="1" v="2694"/>
    </bk>
    <bk>
      <rc t="1" v="2695"/>
    </bk>
    <bk>
      <rc t="1" v="2696"/>
    </bk>
    <bk>
      <rc t="1" v="2697"/>
    </bk>
    <bk>
      <rc t="1" v="2698"/>
    </bk>
    <bk>
      <rc t="1" v="2699"/>
    </bk>
    <bk>
      <rc t="1" v="2700"/>
    </bk>
    <bk>
      <rc t="1" v="2701"/>
    </bk>
    <bk>
      <rc t="1" v="2702"/>
    </bk>
    <bk>
      <rc t="1" v="2703"/>
    </bk>
    <bk>
      <rc t="1" v="2704"/>
    </bk>
    <bk>
      <rc t="1" v="2705"/>
    </bk>
    <bk>
      <rc t="1" v="2706"/>
    </bk>
    <bk>
      <rc t="1" v="2707"/>
    </bk>
    <bk>
      <rc t="1" v="2708"/>
    </bk>
    <bk>
      <rc t="1" v="2709"/>
    </bk>
    <bk>
      <rc t="1" v="2710"/>
    </bk>
    <bk>
      <rc t="1" v="2711"/>
    </bk>
    <bk>
      <rc t="1" v="2712"/>
    </bk>
    <bk>
      <rc t="1" v="2713"/>
    </bk>
    <bk>
      <rc t="1" v="2714"/>
    </bk>
    <bk>
      <rc t="1" v="2715"/>
    </bk>
    <bk>
      <rc t="1" v="2716"/>
    </bk>
    <bk>
      <rc t="1" v="2717"/>
    </bk>
    <bk>
      <rc t="1" v="2718"/>
    </bk>
    <bk>
      <rc t="1" v="2719"/>
    </bk>
    <bk>
      <rc t="1" v="2720"/>
    </bk>
    <bk>
      <rc t="1" v="2721"/>
    </bk>
    <bk>
      <rc t="1" v="2722"/>
    </bk>
    <bk>
      <rc t="1" v="2723"/>
    </bk>
    <bk>
      <rc t="1" v="2724"/>
    </bk>
    <bk>
      <rc t="1" v="2725"/>
    </bk>
    <bk>
      <rc t="1" v="2726"/>
    </bk>
    <bk>
      <rc t="1" v="2727"/>
    </bk>
    <bk>
      <rc t="1" v="2728"/>
    </bk>
    <bk>
      <rc t="1" v="2729"/>
    </bk>
    <bk>
      <rc t="1" v="2730"/>
    </bk>
    <bk>
      <rc t="1" v="2731"/>
    </bk>
    <bk>
      <rc t="1" v="2732"/>
    </bk>
    <bk>
      <rc t="1" v="2733"/>
    </bk>
    <bk>
      <rc t="1" v="2734"/>
    </bk>
    <bk>
      <rc t="1" v="2735"/>
    </bk>
    <bk>
      <rc t="1" v="2736"/>
    </bk>
    <bk>
      <rc t="1" v="2737"/>
    </bk>
    <bk>
      <rc t="1" v="2738"/>
    </bk>
    <bk>
      <rc t="1" v="2739"/>
    </bk>
    <bk>
      <rc t="1" v="2740"/>
    </bk>
    <bk>
      <rc t="1" v="2741"/>
    </bk>
    <bk>
      <rc t="1" v="2742"/>
    </bk>
    <bk>
      <rc t="1" v="2743"/>
    </bk>
    <bk>
      <rc t="1" v="2744"/>
    </bk>
    <bk>
      <rc t="1" v="2745"/>
    </bk>
    <bk>
      <rc t="1" v="2746"/>
    </bk>
    <bk>
      <rc t="1" v="2747"/>
    </bk>
    <bk>
      <rc t="1" v="2748"/>
    </bk>
    <bk>
      <rc t="1" v="2749"/>
    </bk>
    <bk>
      <rc t="1" v="2750"/>
    </bk>
    <bk>
      <rc t="1" v="2751"/>
    </bk>
    <bk>
      <rc t="1" v="2752"/>
    </bk>
    <bk>
      <rc t="1" v="2753"/>
    </bk>
    <bk>
      <rc t="1" v="2754"/>
    </bk>
    <bk>
      <rc t="1" v="2755"/>
    </bk>
    <bk>
      <rc t="1" v="2756"/>
    </bk>
    <bk>
      <rc t="1" v="2757"/>
    </bk>
    <bk>
      <rc t="1" v="2758"/>
    </bk>
    <bk>
      <rc t="1" v="2759"/>
    </bk>
    <bk>
      <rc t="1" v="2760"/>
    </bk>
    <bk>
      <rc t="1" v="2761"/>
    </bk>
    <bk>
      <rc t="1" v="2762"/>
    </bk>
    <bk>
      <rc t="1" v="2763"/>
    </bk>
    <bk>
      <rc t="1" v="2764"/>
    </bk>
    <bk>
      <rc t="1" v="2765"/>
    </bk>
    <bk>
      <rc t="1" v="2766"/>
    </bk>
    <bk>
      <rc t="1" v="2767"/>
    </bk>
    <bk>
      <rc t="1" v="2768"/>
    </bk>
    <bk>
      <rc t="1" v="2769"/>
    </bk>
    <bk>
      <rc t="1" v="2770"/>
    </bk>
    <bk>
      <rc t="1" v="2771"/>
    </bk>
    <bk>
      <rc t="1" v="2772"/>
    </bk>
    <bk>
      <rc t="1" v="2773"/>
    </bk>
    <bk>
      <rc t="1" v="2774"/>
    </bk>
    <bk>
      <rc t="1" v="2775"/>
    </bk>
    <bk>
      <rc t="1" v="2776"/>
    </bk>
    <bk>
      <rc t="1" v="2777"/>
    </bk>
    <bk>
      <rc t="1" v="2778"/>
    </bk>
    <bk>
      <rc t="1" v="2779"/>
    </bk>
    <bk>
      <rc t="1" v="2780"/>
    </bk>
    <bk>
      <rc t="1" v="2781"/>
    </bk>
    <bk>
      <rc t="1" v="2782"/>
    </bk>
    <bk>
      <rc t="1" v="2783"/>
    </bk>
    <bk>
      <rc t="1" v="2784"/>
    </bk>
    <bk>
      <rc t="1" v="2785"/>
    </bk>
    <bk>
      <rc t="1" v="2786"/>
    </bk>
    <bk>
      <rc t="1" v="2787"/>
    </bk>
    <bk>
      <rc t="1" v="2788"/>
    </bk>
    <bk>
      <rc t="1" v="2789"/>
    </bk>
    <bk>
      <rc t="1" v="2790"/>
    </bk>
    <bk>
      <rc t="1" v="2791"/>
    </bk>
    <bk>
      <rc t="1" v="2792"/>
    </bk>
    <bk>
      <rc t="1" v="2793"/>
    </bk>
    <bk>
      <rc t="1" v="2794"/>
    </bk>
    <bk>
      <rc t="1" v="2795"/>
    </bk>
    <bk>
      <rc t="1" v="2796"/>
    </bk>
    <bk>
      <rc t="1" v="2797"/>
    </bk>
    <bk>
      <rc t="1" v="2798"/>
    </bk>
    <bk>
      <rc t="1" v="2799"/>
    </bk>
    <bk>
      <rc t="1" v="2800"/>
    </bk>
    <bk>
      <rc t="1" v="2801"/>
    </bk>
    <bk>
      <rc t="1" v="2802"/>
    </bk>
    <bk>
      <rc t="1" v="2803"/>
    </bk>
    <bk>
      <rc t="1" v="2804"/>
    </bk>
    <bk>
      <rc t="1" v="2805"/>
    </bk>
    <bk>
      <rc t="1" v="2806"/>
    </bk>
    <bk>
      <rc t="1" v="2807"/>
    </bk>
    <bk>
      <rc t="1" v="2808"/>
    </bk>
    <bk>
      <rc t="1" v="2809"/>
    </bk>
    <bk>
      <rc t="1" v="2810"/>
    </bk>
    <bk>
      <rc t="1" v="2811"/>
    </bk>
    <bk>
      <rc t="1" v="2812"/>
    </bk>
    <bk>
      <rc t="1" v="2813"/>
    </bk>
    <bk>
      <rc t="1" v="2814"/>
    </bk>
    <bk>
      <rc t="1" v="2815"/>
    </bk>
    <bk>
      <rc t="1" v="2816"/>
    </bk>
    <bk>
      <rc t="1" v="2817"/>
    </bk>
    <bk>
      <rc t="1" v="2818"/>
    </bk>
    <bk>
      <rc t="1" v="2819"/>
    </bk>
    <bk>
      <rc t="1" v="2820"/>
    </bk>
    <bk>
      <rc t="1" v="2821"/>
    </bk>
    <bk>
      <rc t="1" v="2822"/>
    </bk>
    <bk>
      <rc t="1" v="2823"/>
    </bk>
    <bk>
      <rc t="1" v="2824"/>
    </bk>
    <bk>
      <rc t="1" v="2825"/>
    </bk>
    <bk>
      <rc t="1" v="2826"/>
    </bk>
    <bk>
      <rc t="1" v="2827"/>
    </bk>
    <bk>
      <rc t="1" v="2828"/>
    </bk>
    <bk>
      <rc t="1" v="2829"/>
    </bk>
    <bk>
      <rc t="1" v="2830"/>
    </bk>
    <bk>
      <rc t="1" v="2831"/>
    </bk>
    <bk>
      <rc t="1" v="2832"/>
    </bk>
    <bk>
      <rc t="1" v="2833"/>
    </bk>
    <bk>
      <rc t="1" v="2834"/>
    </bk>
    <bk>
      <rc t="1" v="2835"/>
    </bk>
    <bk>
      <rc t="1" v="2836"/>
    </bk>
    <bk>
      <rc t="1" v="2837"/>
    </bk>
    <bk>
      <rc t="1" v="2838"/>
    </bk>
    <bk>
      <rc t="1" v="2839"/>
    </bk>
    <bk>
      <rc t="1" v="2840"/>
    </bk>
    <bk>
      <rc t="1" v="2841"/>
    </bk>
    <bk>
      <rc t="1" v="2842"/>
    </bk>
    <bk>
      <rc t="1" v="2843"/>
    </bk>
    <bk>
      <rc t="1" v="2844"/>
    </bk>
    <bk>
      <rc t="1" v="2845"/>
    </bk>
    <bk>
      <rc t="1" v="2846"/>
    </bk>
    <bk>
      <rc t="1" v="2847"/>
    </bk>
    <bk>
      <rc t="1" v="2848"/>
    </bk>
    <bk>
      <rc t="1" v="2849"/>
    </bk>
    <bk>
      <rc t="1" v="2850"/>
    </bk>
    <bk>
      <rc t="1" v="2851"/>
    </bk>
    <bk>
      <rc t="1" v="2852"/>
    </bk>
    <bk>
      <rc t="1" v="2853"/>
    </bk>
    <bk>
      <rc t="1" v="2854"/>
    </bk>
    <bk>
      <rc t="1" v="2855"/>
    </bk>
    <bk>
      <rc t="1" v="2856"/>
    </bk>
    <bk>
      <rc t="1" v="2857"/>
    </bk>
    <bk>
      <rc t="1" v="2858"/>
    </bk>
    <bk>
      <rc t="1" v="2859"/>
    </bk>
    <bk>
      <rc t="1" v="2860"/>
    </bk>
    <bk>
      <rc t="1" v="2861"/>
    </bk>
    <bk>
      <rc t="1" v="2862"/>
    </bk>
    <bk>
      <rc t="1" v="2863"/>
    </bk>
    <bk>
      <rc t="1" v="2864"/>
    </bk>
    <bk>
      <rc t="1" v="2865"/>
    </bk>
    <bk>
      <rc t="1" v="2866"/>
    </bk>
    <bk>
      <rc t="1" v="2867"/>
    </bk>
    <bk>
      <rc t="1" v="2868"/>
    </bk>
    <bk>
      <rc t="1" v="2869"/>
    </bk>
    <bk>
      <rc t="1" v="2870"/>
    </bk>
    <bk>
      <rc t="1" v="2871"/>
    </bk>
    <bk>
      <rc t="1" v="2872"/>
    </bk>
    <bk>
      <rc t="1" v="2873"/>
    </bk>
    <bk>
      <rc t="1" v="2874"/>
    </bk>
    <bk>
      <rc t="1" v="2875"/>
    </bk>
    <bk>
      <rc t="1" v="2876"/>
    </bk>
    <bk>
      <rc t="1" v="2877"/>
    </bk>
    <bk>
      <rc t="1" v="2878"/>
    </bk>
    <bk>
      <rc t="1" v="2879"/>
    </bk>
    <bk>
      <rc t="1" v="2880"/>
    </bk>
    <bk>
      <rc t="1" v="2881"/>
    </bk>
    <bk>
      <rc t="1" v="2882"/>
    </bk>
    <bk>
      <rc t="1" v="2883"/>
    </bk>
    <bk>
      <rc t="1" v="2884"/>
    </bk>
    <bk>
      <rc t="1" v="2885"/>
    </bk>
    <bk>
      <rc t="1" v="2886"/>
    </bk>
    <bk>
      <rc t="1" v="2887"/>
    </bk>
    <bk>
      <rc t="1" v="2888"/>
    </bk>
    <bk>
      <rc t="1" v="2889"/>
    </bk>
    <bk>
      <rc t="1" v="2890"/>
    </bk>
    <bk>
      <rc t="1" v="2891"/>
    </bk>
    <bk>
      <rc t="1" v="2892"/>
    </bk>
    <bk>
      <rc t="1" v="2893"/>
    </bk>
    <bk>
      <rc t="1" v="2894"/>
    </bk>
    <bk>
      <rc t="1" v="2895"/>
    </bk>
    <bk>
      <rc t="1" v="2896"/>
    </bk>
    <bk>
      <rc t="1" v="2897"/>
    </bk>
    <bk>
      <rc t="1" v="2898"/>
    </bk>
    <bk>
      <rc t="1" v="2899"/>
    </bk>
    <bk>
      <rc t="1" v="2900"/>
    </bk>
    <bk>
      <rc t="1" v="2901"/>
    </bk>
    <bk>
      <rc t="1" v="2902"/>
    </bk>
    <bk>
      <rc t="1" v="2903"/>
    </bk>
    <bk>
      <rc t="1" v="2904"/>
    </bk>
    <bk>
      <rc t="1" v="2905"/>
    </bk>
    <bk>
      <rc t="1" v="2906"/>
    </bk>
    <bk>
      <rc t="1" v="2907"/>
    </bk>
    <bk>
      <rc t="1" v="2908"/>
    </bk>
    <bk>
      <rc t="1" v="2909"/>
    </bk>
    <bk>
      <rc t="1" v="2910"/>
    </bk>
    <bk>
      <rc t="1" v="2911"/>
    </bk>
    <bk>
      <rc t="1" v="2912"/>
    </bk>
    <bk>
      <rc t="1" v="2913"/>
    </bk>
    <bk>
      <rc t="1" v="2914"/>
    </bk>
    <bk>
      <rc t="1" v="2915"/>
    </bk>
    <bk>
      <rc t="1" v="2916"/>
    </bk>
    <bk>
      <rc t="1" v="2917"/>
    </bk>
    <bk>
      <rc t="1" v="2918"/>
    </bk>
    <bk>
      <rc t="1" v="2919"/>
    </bk>
    <bk>
      <rc t="1" v="2920"/>
    </bk>
    <bk>
      <rc t="1" v="2921"/>
    </bk>
    <bk>
      <rc t="1" v="2922"/>
    </bk>
    <bk>
      <rc t="1" v="2923"/>
    </bk>
    <bk>
      <rc t="1" v="2924"/>
    </bk>
    <bk>
      <rc t="1" v="2925"/>
    </bk>
    <bk>
      <rc t="1" v="2926"/>
    </bk>
    <bk>
      <rc t="1" v="2927"/>
    </bk>
    <bk>
      <rc t="1" v="2928"/>
    </bk>
    <bk>
      <rc t="1" v="2929"/>
    </bk>
    <bk>
      <rc t="1" v="2930"/>
    </bk>
    <bk>
      <rc t="1" v="2931"/>
    </bk>
    <bk>
      <rc t="1" v="2932"/>
    </bk>
    <bk>
      <rc t="1" v="2933"/>
    </bk>
    <bk>
      <rc t="1" v="2934"/>
    </bk>
    <bk>
      <rc t="1" v="2935"/>
    </bk>
    <bk>
      <rc t="1" v="2936"/>
    </bk>
    <bk>
      <rc t="1" v="2937"/>
    </bk>
    <bk>
      <rc t="1" v="2938"/>
    </bk>
    <bk>
      <rc t="1" v="2939"/>
    </bk>
    <bk>
      <rc t="1" v="2940"/>
    </bk>
    <bk>
      <rc t="1" v="2941"/>
    </bk>
    <bk>
      <rc t="1" v="2942"/>
    </bk>
    <bk>
      <rc t="1" v="2943"/>
    </bk>
    <bk>
      <rc t="1" v="2944"/>
    </bk>
    <bk>
      <rc t="1" v="2945"/>
    </bk>
    <bk>
      <rc t="1" v="2946"/>
    </bk>
    <bk>
      <rc t="1" v="2947"/>
    </bk>
    <bk>
      <rc t="1" v="2948"/>
    </bk>
    <bk>
      <rc t="1" v="2949"/>
    </bk>
    <bk>
      <rc t="1" v="2950"/>
    </bk>
    <bk>
      <rc t="1" v="2951"/>
    </bk>
    <bk>
      <rc t="1" v="2952"/>
    </bk>
    <bk>
      <rc t="1" v="2953"/>
    </bk>
    <bk>
      <rc t="1" v="2954"/>
    </bk>
    <bk>
      <rc t="1" v="2955"/>
    </bk>
    <bk>
      <rc t="1" v="2956"/>
    </bk>
    <bk>
      <rc t="1" v="2957"/>
    </bk>
    <bk>
      <rc t="1" v="2958"/>
    </bk>
    <bk>
      <rc t="1" v="2959"/>
    </bk>
    <bk>
      <rc t="1" v="2960"/>
    </bk>
    <bk>
      <rc t="1" v="2961"/>
    </bk>
    <bk>
      <rc t="1" v="2962"/>
    </bk>
    <bk>
      <rc t="1" v="2963"/>
    </bk>
    <bk>
      <rc t="1" v="2964"/>
    </bk>
    <bk>
      <rc t="1" v="2965"/>
    </bk>
    <bk>
      <rc t="1" v="2966"/>
    </bk>
    <bk>
      <rc t="1" v="2967"/>
    </bk>
    <bk>
      <rc t="1" v="2968"/>
    </bk>
    <bk>
      <rc t="1" v="2969"/>
    </bk>
    <bk>
      <rc t="1" v="2970"/>
    </bk>
    <bk>
      <rc t="1" v="2971"/>
    </bk>
    <bk>
      <rc t="1" v="2972"/>
    </bk>
    <bk>
      <rc t="1" v="2973"/>
    </bk>
    <bk>
      <rc t="1" v="2974"/>
    </bk>
    <bk>
      <rc t="1" v="2975"/>
    </bk>
    <bk>
      <rc t="1" v="2976"/>
    </bk>
    <bk>
      <rc t="1" v="2977"/>
    </bk>
    <bk>
      <rc t="1" v="2978"/>
    </bk>
    <bk>
      <rc t="1" v="2979"/>
    </bk>
    <bk>
      <rc t="1" v="2980"/>
    </bk>
    <bk>
      <rc t="1" v="2981"/>
    </bk>
    <bk>
      <rc t="1" v="2982"/>
    </bk>
    <bk>
      <rc t="1" v="2983"/>
    </bk>
    <bk>
      <rc t="1" v="2984"/>
    </bk>
    <bk>
      <rc t="1" v="2985"/>
    </bk>
    <bk>
      <rc t="1" v="2986"/>
    </bk>
    <bk>
      <rc t="1" v="2987"/>
    </bk>
    <bk>
      <rc t="1" v="2988"/>
    </bk>
    <bk>
      <rc t="1" v="2989"/>
    </bk>
    <bk>
      <rc t="1" v="2990"/>
    </bk>
    <bk>
      <rc t="1" v="2991"/>
    </bk>
    <bk>
      <rc t="1" v="2992"/>
    </bk>
    <bk>
      <rc t="1" v="2993"/>
    </bk>
    <bk>
      <rc t="1" v="2994"/>
    </bk>
    <bk>
      <rc t="1" v="2995"/>
    </bk>
    <bk>
      <rc t="1" v="2996"/>
    </bk>
    <bk>
      <rc t="1" v="2997"/>
    </bk>
    <bk>
      <rc t="1" v="2998"/>
    </bk>
    <bk>
      <rc t="1" v="2999"/>
    </bk>
    <bk>
      <rc t="1" v="3000"/>
    </bk>
    <bk>
      <rc t="1" v="3001"/>
    </bk>
    <bk>
      <rc t="1" v="3002"/>
    </bk>
    <bk>
      <rc t="1" v="3003"/>
    </bk>
    <bk>
      <rc t="1" v="3004"/>
    </bk>
    <bk>
      <rc t="1" v="3005"/>
    </bk>
    <bk>
      <rc t="1" v="3006"/>
    </bk>
    <bk>
      <rc t="1" v="3007"/>
    </bk>
    <bk>
      <rc t="1" v="3008"/>
    </bk>
    <bk>
      <rc t="1" v="3009"/>
    </bk>
    <bk>
      <rc t="1" v="3010"/>
    </bk>
    <bk>
      <rc t="1" v="3011"/>
    </bk>
    <bk>
      <rc t="1" v="3012"/>
    </bk>
    <bk>
      <rc t="1" v="3013"/>
    </bk>
    <bk>
      <rc t="1" v="3014"/>
    </bk>
    <bk>
      <rc t="1" v="3015"/>
    </bk>
    <bk>
      <rc t="1" v="3016"/>
    </bk>
    <bk>
      <rc t="1" v="3017"/>
    </bk>
    <bk>
      <rc t="1" v="3018"/>
    </bk>
    <bk>
      <rc t="1" v="3019"/>
    </bk>
    <bk>
      <rc t="1" v="3020"/>
    </bk>
    <bk>
      <rc t="1" v="3021"/>
    </bk>
    <bk>
      <rc t="1" v="3022"/>
    </bk>
    <bk>
      <rc t="1" v="3023"/>
    </bk>
    <bk>
      <rc t="1" v="3024"/>
    </bk>
    <bk>
      <rc t="1" v="3025"/>
    </bk>
    <bk>
      <rc t="1" v="3026"/>
    </bk>
    <bk>
      <rc t="1" v="3027"/>
    </bk>
    <bk>
      <rc t="1" v="3028"/>
    </bk>
    <bk>
      <rc t="1" v="3029"/>
    </bk>
    <bk>
      <rc t="1" v="3030"/>
    </bk>
    <bk>
      <rc t="1" v="3031"/>
    </bk>
    <bk>
      <rc t="1" v="3032"/>
    </bk>
    <bk>
      <rc t="1" v="3033"/>
    </bk>
    <bk>
      <rc t="1" v="3034"/>
    </bk>
    <bk>
      <rc t="1" v="3035"/>
    </bk>
    <bk>
      <rc t="1" v="3036"/>
    </bk>
    <bk>
      <rc t="1" v="3037"/>
    </bk>
    <bk>
      <rc t="1" v="3038"/>
    </bk>
    <bk>
      <rc t="1" v="3039"/>
    </bk>
    <bk>
      <rc t="1" v="3040"/>
    </bk>
    <bk>
      <rc t="1" v="3041"/>
    </bk>
    <bk>
      <rc t="1" v="3042"/>
    </bk>
    <bk>
      <rc t="1" v="3043"/>
    </bk>
    <bk>
      <rc t="1" v="3044"/>
    </bk>
    <bk>
      <rc t="1" v="3045"/>
    </bk>
    <bk>
      <rc t="1" v="3046"/>
    </bk>
    <bk>
      <rc t="1" v="3047"/>
    </bk>
    <bk>
      <rc t="1" v="3048"/>
    </bk>
    <bk>
      <rc t="1" v="3049"/>
    </bk>
    <bk>
      <rc t="1" v="3050"/>
    </bk>
    <bk>
      <rc t="1" v="3051"/>
    </bk>
    <bk>
      <rc t="1" v="3052"/>
    </bk>
    <bk>
      <rc t="1" v="3053"/>
    </bk>
    <bk>
      <rc t="1" v="3054"/>
    </bk>
    <bk>
      <rc t="1" v="3055"/>
    </bk>
    <bk>
      <rc t="1" v="3056"/>
    </bk>
    <bk>
      <rc t="1" v="3057"/>
    </bk>
    <bk>
      <rc t="1" v="3058"/>
    </bk>
    <bk>
      <rc t="1" v="3059"/>
    </bk>
    <bk>
      <rc t="1" v="3060"/>
    </bk>
    <bk>
      <rc t="1" v="3061"/>
    </bk>
    <bk>
      <rc t="1" v="3062"/>
    </bk>
    <bk>
      <rc t="1" v="3063"/>
    </bk>
    <bk>
      <rc t="1" v="3064"/>
    </bk>
    <bk>
      <rc t="1" v="3065"/>
    </bk>
    <bk>
      <rc t="1" v="3066"/>
    </bk>
    <bk>
      <rc t="1" v="3067"/>
    </bk>
    <bk>
      <rc t="1" v="3068"/>
    </bk>
    <bk>
      <rc t="1" v="3069"/>
    </bk>
    <bk>
      <rc t="1" v="3070"/>
    </bk>
    <bk>
      <rc t="1" v="3071"/>
    </bk>
    <bk>
      <rc t="1" v="3072"/>
    </bk>
    <bk>
      <rc t="1" v="3073"/>
    </bk>
    <bk>
      <rc t="1" v="3074"/>
    </bk>
    <bk>
      <rc t="1" v="3075"/>
    </bk>
    <bk>
      <rc t="1" v="3076"/>
    </bk>
    <bk>
      <rc t="1" v="3077"/>
    </bk>
    <bk>
      <rc t="1" v="3078"/>
    </bk>
    <bk>
      <rc t="1" v="3079"/>
    </bk>
    <bk>
      <rc t="1" v="3080"/>
    </bk>
    <bk>
      <rc t="1" v="3081"/>
    </bk>
    <bk>
      <rc t="1" v="3082"/>
    </bk>
    <bk>
      <rc t="1" v="3083"/>
    </bk>
    <bk>
      <rc t="1" v="3084"/>
    </bk>
    <bk>
      <rc t="1" v="3085"/>
    </bk>
    <bk>
      <rc t="1" v="3086"/>
    </bk>
    <bk>
      <rc t="1" v="3087"/>
    </bk>
    <bk>
      <rc t="1" v="3088"/>
    </bk>
    <bk>
      <rc t="1" v="3089"/>
    </bk>
    <bk>
      <rc t="1" v="3090"/>
    </bk>
    <bk>
      <rc t="1" v="3091"/>
    </bk>
    <bk>
      <rc t="1" v="3092"/>
    </bk>
    <bk>
      <rc t="1" v="3093"/>
    </bk>
    <bk>
      <rc t="1" v="3094"/>
    </bk>
    <bk>
      <rc t="1" v="3095"/>
    </bk>
    <bk>
      <rc t="1" v="3096"/>
    </bk>
    <bk>
      <rc t="1" v="3097"/>
    </bk>
    <bk>
      <rc t="1" v="3098"/>
    </bk>
    <bk>
      <rc t="1" v="3099"/>
    </bk>
    <bk>
      <rc t="1" v="3100"/>
    </bk>
    <bk>
      <rc t="1" v="3101"/>
    </bk>
    <bk>
      <rc t="1" v="3102"/>
    </bk>
    <bk>
      <rc t="1" v="3103"/>
    </bk>
    <bk>
      <rc t="1" v="3104"/>
    </bk>
    <bk>
      <rc t="1" v="3105"/>
    </bk>
    <bk>
      <rc t="1" v="3106"/>
    </bk>
    <bk>
      <rc t="1" v="3107"/>
    </bk>
    <bk>
      <rc t="1" v="3108"/>
    </bk>
    <bk>
      <rc t="1" v="3109"/>
    </bk>
    <bk>
      <rc t="1" v="3110"/>
    </bk>
    <bk>
      <rc t="1" v="3111"/>
    </bk>
    <bk>
      <rc t="1" v="3112"/>
    </bk>
    <bk>
      <rc t="1" v="3113"/>
    </bk>
    <bk>
      <rc t="1" v="3114"/>
    </bk>
    <bk>
      <rc t="1" v="3115"/>
    </bk>
    <bk>
      <rc t="1" v="3116"/>
    </bk>
    <bk>
      <rc t="1" v="3117"/>
    </bk>
    <bk>
      <rc t="1" v="3118"/>
    </bk>
    <bk>
      <rc t="1" v="3119"/>
    </bk>
    <bk>
      <rc t="1" v="3120"/>
    </bk>
    <bk>
      <rc t="1" v="3121"/>
    </bk>
    <bk>
      <rc t="1" v="3122"/>
    </bk>
    <bk>
      <rc t="1" v="3123"/>
    </bk>
    <bk>
      <rc t="1" v="3124"/>
    </bk>
    <bk>
      <rc t="1" v="3125"/>
    </bk>
    <bk>
      <rc t="1" v="3126"/>
    </bk>
    <bk>
      <rc t="1" v="3127"/>
    </bk>
    <bk>
      <rc t="1" v="3128"/>
    </bk>
    <bk>
      <rc t="1" v="3129"/>
    </bk>
    <bk>
      <rc t="1" v="3130"/>
    </bk>
    <bk>
      <rc t="1" v="3131"/>
    </bk>
    <bk>
      <rc t="1" v="3132"/>
    </bk>
    <bk>
      <rc t="1" v="3133"/>
    </bk>
    <bk>
      <rc t="1" v="3134"/>
    </bk>
    <bk>
      <rc t="1" v="3135"/>
    </bk>
    <bk>
      <rc t="1" v="3136"/>
    </bk>
    <bk>
      <rc t="1" v="3137"/>
    </bk>
    <bk>
      <rc t="1" v="3138"/>
    </bk>
    <bk>
      <rc t="1" v="3139"/>
    </bk>
    <bk>
      <rc t="1" v="3140"/>
    </bk>
    <bk>
      <rc t="1" v="3141"/>
    </bk>
    <bk>
      <rc t="1" v="3142"/>
    </bk>
    <bk>
      <rc t="1" v="3143"/>
    </bk>
    <bk>
      <rc t="1" v="3144"/>
    </bk>
    <bk>
      <rc t="1" v="3145"/>
    </bk>
    <bk>
      <rc t="1" v="3146"/>
    </bk>
    <bk>
      <rc t="1" v="3147"/>
    </bk>
    <bk>
      <rc t="1" v="3148"/>
    </bk>
    <bk>
      <rc t="1" v="3149"/>
    </bk>
    <bk>
      <rc t="1" v="3150"/>
    </bk>
    <bk>
      <rc t="1" v="3151"/>
    </bk>
    <bk>
      <rc t="1" v="3152"/>
    </bk>
    <bk>
      <rc t="1" v="3153"/>
    </bk>
    <bk>
      <rc t="1" v="3154"/>
    </bk>
    <bk>
      <rc t="1" v="3155"/>
    </bk>
    <bk>
      <rc t="1" v="3156"/>
    </bk>
    <bk>
      <rc t="1" v="3157"/>
    </bk>
    <bk>
      <rc t="1" v="3158"/>
    </bk>
    <bk>
      <rc t="1" v="3159"/>
    </bk>
    <bk>
      <rc t="1" v="3160"/>
    </bk>
    <bk>
      <rc t="1" v="3161"/>
    </bk>
    <bk>
      <rc t="1" v="3162"/>
    </bk>
    <bk>
      <rc t="1" v="3163"/>
    </bk>
    <bk>
      <rc t="1" v="3164"/>
    </bk>
    <bk>
      <rc t="1" v="3165"/>
    </bk>
    <bk>
      <rc t="1" v="3166"/>
    </bk>
    <bk>
      <rc t="1" v="3167"/>
    </bk>
    <bk>
      <rc t="1" v="3168"/>
    </bk>
    <bk>
      <rc t="1" v="3169"/>
    </bk>
    <bk>
      <rc t="1" v="3170"/>
    </bk>
    <bk>
      <rc t="1" v="3171"/>
    </bk>
    <bk>
      <rc t="1" v="3172"/>
    </bk>
    <bk>
      <rc t="1" v="3173"/>
    </bk>
    <bk>
      <rc t="1" v="3174"/>
    </bk>
    <bk>
      <rc t="1" v="3175"/>
    </bk>
    <bk>
      <rc t="1" v="3176"/>
    </bk>
    <bk>
      <rc t="1" v="3177"/>
    </bk>
    <bk>
      <rc t="1" v="3178"/>
    </bk>
    <bk>
      <rc t="1" v="3179"/>
    </bk>
    <bk>
      <rc t="1" v="3180"/>
    </bk>
    <bk>
      <rc t="1" v="3181"/>
    </bk>
    <bk>
      <rc t="1" v="3182"/>
    </bk>
    <bk>
      <rc t="1" v="3183"/>
    </bk>
    <bk>
      <rc t="1" v="3184"/>
    </bk>
    <bk>
      <rc t="1" v="3185"/>
    </bk>
    <bk>
      <rc t="1" v="3186"/>
    </bk>
    <bk>
      <rc t="1" v="3187"/>
    </bk>
    <bk>
      <rc t="1" v="3188"/>
    </bk>
    <bk>
      <rc t="1" v="3189"/>
    </bk>
    <bk>
      <rc t="1" v="3190"/>
    </bk>
    <bk>
      <rc t="1" v="3191"/>
    </bk>
    <bk>
      <rc t="1" v="3192"/>
    </bk>
    <bk>
      <rc t="1" v="3193"/>
    </bk>
    <bk>
      <rc t="1" v="3194"/>
    </bk>
    <bk>
      <rc t="1" v="3195"/>
    </bk>
    <bk>
      <rc t="1" v="3196"/>
    </bk>
    <bk>
      <rc t="1" v="3197"/>
    </bk>
    <bk>
      <rc t="1" v="3198"/>
    </bk>
    <bk>
      <rc t="1" v="3199"/>
    </bk>
    <bk>
      <rc t="1" v="3200"/>
    </bk>
    <bk>
      <rc t="1" v="3201"/>
    </bk>
    <bk>
      <rc t="1" v="3202"/>
    </bk>
    <bk>
      <rc t="1" v="3203"/>
    </bk>
    <bk>
      <rc t="1" v="3204"/>
    </bk>
    <bk>
      <rc t="1" v="3205"/>
    </bk>
    <bk>
      <rc t="1" v="3206"/>
    </bk>
    <bk>
      <rc t="1" v="3207"/>
    </bk>
    <bk>
      <rc t="1" v="3208"/>
    </bk>
    <bk>
      <rc t="1" v="3209"/>
    </bk>
    <bk>
      <rc t="1" v="3210"/>
    </bk>
    <bk>
      <rc t="1" v="3211"/>
    </bk>
    <bk>
      <rc t="1" v="3212"/>
    </bk>
    <bk>
      <rc t="1" v="3213"/>
    </bk>
    <bk>
      <rc t="1" v="3214"/>
    </bk>
    <bk>
      <rc t="1" v="3215"/>
    </bk>
    <bk>
      <rc t="1" v="3216"/>
    </bk>
    <bk>
      <rc t="1" v="3217"/>
    </bk>
    <bk>
      <rc t="1" v="3218"/>
    </bk>
    <bk>
      <rc t="1" v="3219"/>
    </bk>
    <bk>
      <rc t="1" v="3220"/>
    </bk>
    <bk>
      <rc t="1" v="3221"/>
    </bk>
    <bk>
      <rc t="1" v="3222"/>
    </bk>
    <bk>
      <rc t="1" v="3223"/>
    </bk>
    <bk>
      <rc t="1" v="3224"/>
    </bk>
    <bk>
      <rc t="1" v="3225"/>
    </bk>
    <bk>
      <rc t="1" v="3226"/>
    </bk>
    <bk>
      <rc t="1" v="3227"/>
    </bk>
    <bk>
      <rc t="1" v="3228"/>
    </bk>
    <bk>
      <rc t="1" v="3229"/>
    </bk>
    <bk>
      <rc t="1" v="3230"/>
    </bk>
    <bk>
      <rc t="1" v="3231"/>
    </bk>
    <bk>
      <rc t="1" v="3232"/>
    </bk>
    <bk>
      <rc t="1" v="3233"/>
    </bk>
    <bk>
      <rc t="1" v="3234"/>
    </bk>
    <bk>
      <rc t="1" v="3235"/>
    </bk>
    <bk>
      <rc t="1" v="3236"/>
    </bk>
    <bk>
      <rc t="1" v="3237"/>
    </bk>
    <bk>
      <rc t="1" v="3238"/>
    </bk>
    <bk>
      <rc t="1" v="3239"/>
    </bk>
    <bk>
      <rc t="1" v="3240"/>
    </bk>
    <bk>
      <rc t="1" v="3241"/>
    </bk>
    <bk>
      <rc t="1" v="3242"/>
    </bk>
    <bk>
      <rc t="1" v="3243"/>
    </bk>
    <bk>
      <rc t="1" v="3244"/>
    </bk>
    <bk>
      <rc t="1" v="3245"/>
    </bk>
    <bk>
      <rc t="1" v="3246"/>
    </bk>
    <bk>
      <rc t="1" v="3247"/>
    </bk>
    <bk>
      <rc t="1" v="3248"/>
    </bk>
    <bk>
      <rc t="1" v="3249"/>
    </bk>
    <bk>
      <rc t="1" v="3250"/>
    </bk>
    <bk>
      <rc t="1" v="3251"/>
    </bk>
    <bk>
      <rc t="1" v="3252"/>
    </bk>
    <bk>
      <rc t="1" v="3253"/>
    </bk>
    <bk>
      <rc t="1" v="3254"/>
    </bk>
    <bk>
      <rc t="1" v="3255"/>
    </bk>
    <bk>
      <rc t="1" v="3256"/>
    </bk>
    <bk>
      <rc t="1" v="3257"/>
    </bk>
    <bk>
      <rc t="1" v="3258"/>
    </bk>
    <bk>
      <rc t="1" v="3259"/>
    </bk>
    <bk>
      <rc t="1" v="3260"/>
    </bk>
    <bk>
      <rc t="1" v="3261"/>
    </bk>
    <bk>
      <rc t="1" v="3262"/>
    </bk>
    <bk>
      <rc t="1" v="3263"/>
    </bk>
    <bk>
      <rc t="1" v="3264"/>
    </bk>
    <bk>
      <rc t="1" v="3265"/>
    </bk>
    <bk>
      <rc t="1" v="3266"/>
    </bk>
    <bk>
      <rc t="1" v="3267"/>
    </bk>
    <bk>
      <rc t="1" v="3268"/>
    </bk>
    <bk>
      <rc t="1" v="3269"/>
    </bk>
    <bk>
      <rc t="1" v="3270"/>
    </bk>
    <bk>
      <rc t="1" v="3271"/>
    </bk>
    <bk>
      <rc t="1" v="3272"/>
    </bk>
    <bk>
      <rc t="1" v="3273"/>
    </bk>
    <bk>
      <rc t="1" v="3274"/>
    </bk>
    <bk>
      <rc t="1" v="3275"/>
    </bk>
    <bk>
      <rc t="1" v="3276"/>
    </bk>
    <bk>
      <rc t="1" v="3277"/>
    </bk>
    <bk>
      <rc t="1" v="3278"/>
    </bk>
    <bk>
      <rc t="1" v="3279"/>
    </bk>
    <bk>
      <rc t="1" v="3280"/>
    </bk>
    <bk>
      <rc t="1" v="3281"/>
    </bk>
    <bk>
      <rc t="1" v="3282"/>
    </bk>
    <bk>
      <rc t="1" v="3283"/>
    </bk>
    <bk>
      <rc t="1" v="3284"/>
    </bk>
    <bk>
      <rc t="1" v="3285"/>
    </bk>
    <bk>
      <rc t="1" v="3286"/>
    </bk>
    <bk>
      <rc t="1" v="3287"/>
    </bk>
    <bk>
      <rc t="1" v="3288"/>
    </bk>
    <bk>
      <rc t="1" v="3289"/>
    </bk>
    <bk>
      <rc t="1" v="3290"/>
    </bk>
    <bk>
      <rc t="1" v="3291"/>
    </bk>
    <bk>
      <rc t="1" v="3292"/>
    </bk>
    <bk>
      <rc t="1" v="3293"/>
    </bk>
    <bk>
      <rc t="1" v="3294"/>
    </bk>
    <bk>
      <rc t="1" v="3295"/>
    </bk>
    <bk>
      <rc t="1" v="3296"/>
    </bk>
    <bk>
      <rc t="1" v="3297"/>
    </bk>
    <bk>
      <rc t="1" v="3298"/>
    </bk>
    <bk>
      <rc t="1" v="3299"/>
    </bk>
    <bk>
      <rc t="1" v="3300"/>
    </bk>
    <bk>
      <rc t="1" v="3301"/>
    </bk>
    <bk>
      <rc t="1" v="3302"/>
    </bk>
    <bk>
      <rc t="1" v="3303"/>
    </bk>
    <bk>
      <rc t="1" v="3304"/>
    </bk>
    <bk>
      <rc t="1" v="3305"/>
    </bk>
    <bk>
      <rc t="1" v="3306"/>
    </bk>
    <bk>
      <rc t="1" v="3307"/>
    </bk>
    <bk>
      <rc t="1" v="3308"/>
    </bk>
    <bk>
      <rc t="1" v="3309"/>
    </bk>
    <bk>
      <rc t="1" v="3310"/>
    </bk>
    <bk>
      <rc t="1" v="3311"/>
    </bk>
    <bk>
      <rc t="1" v="3312"/>
    </bk>
    <bk>
      <rc t="1" v="3313"/>
    </bk>
    <bk>
      <rc t="1" v="3314"/>
    </bk>
    <bk>
      <rc t="1" v="3315"/>
    </bk>
    <bk>
      <rc t="1" v="3316"/>
    </bk>
    <bk>
      <rc t="1" v="3317"/>
    </bk>
    <bk>
      <rc t="1" v="3318"/>
    </bk>
    <bk>
      <rc t="1" v="3319"/>
    </bk>
    <bk>
      <rc t="1" v="3320"/>
    </bk>
    <bk>
      <rc t="1" v="3321"/>
    </bk>
    <bk>
      <rc t="1" v="3322"/>
    </bk>
    <bk>
      <rc t="1" v="3323"/>
    </bk>
    <bk>
      <rc t="1" v="3324"/>
    </bk>
    <bk>
      <rc t="1" v="3325"/>
    </bk>
    <bk>
      <rc t="1" v="3326"/>
    </bk>
    <bk>
      <rc t="1" v="3327"/>
    </bk>
    <bk>
      <rc t="1" v="3328"/>
    </bk>
    <bk>
      <rc t="1" v="3329"/>
    </bk>
    <bk>
      <rc t="1" v="3330"/>
    </bk>
    <bk>
      <rc t="1" v="3331"/>
    </bk>
    <bk>
      <rc t="1" v="3332"/>
    </bk>
    <bk>
      <rc t="1" v="3333"/>
    </bk>
    <bk>
      <rc t="1" v="3334"/>
    </bk>
    <bk>
      <rc t="1" v="3335"/>
    </bk>
    <bk>
      <rc t="1" v="3336"/>
    </bk>
    <bk>
      <rc t="1" v="3337"/>
    </bk>
    <bk>
      <rc t="1" v="3338"/>
    </bk>
    <bk>
      <rc t="1" v="3339"/>
    </bk>
    <bk>
      <rc t="1" v="3340"/>
    </bk>
    <bk>
      <rc t="1" v="3341"/>
    </bk>
    <bk>
      <rc t="1" v="3342"/>
    </bk>
    <bk>
      <rc t="1" v="3343"/>
    </bk>
    <bk>
      <rc t="1" v="3344"/>
    </bk>
    <bk>
      <rc t="1" v="3345"/>
    </bk>
    <bk>
      <rc t="1" v="3346"/>
    </bk>
    <bk>
      <rc t="1" v="3347"/>
    </bk>
    <bk>
      <rc t="1" v="3348"/>
    </bk>
    <bk>
      <rc t="1" v="3349"/>
    </bk>
    <bk>
      <rc t="1" v="3350"/>
    </bk>
    <bk>
      <rc t="1" v="3351"/>
    </bk>
    <bk>
      <rc t="1" v="3352"/>
    </bk>
    <bk>
      <rc t="1" v="3353"/>
    </bk>
    <bk>
      <rc t="1" v="3354"/>
    </bk>
    <bk>
      <rc t="1" v="3355"/>
    </bk>
    <bk>
      <rc t="1" v="3356"/>
    </bk>
    <bk>
      <rc t="1" v="3357"/>
    </bk>
    <bk>
      <rc t="1" v="3358"/>
    </bk>
    <bk>
      <rc t="1" v="3359"/>
    </bk>
    <bk>
      <rc t="1" v="3360"/>
    </bk>
    <bk>
      <rc t="1" v="3361"/>
    </bk>
    <bk>
      <rc t="1" v="3362"/>
    </bk>
    <bk>
      <rc t="1" v="3363"/>
    </bk>
    <bk>
      <rc t="1" v="3364"/>
    </bk>
    <bk>
      <rc t="1" v="3365"/>
    </bk>
    <bk>
      <rc t="1" v="3366"/>
    </bk>
    <bk>
      <rc t="1" v="3367"/>
    </bk>
    <bk>
      <rc t="1" v="3368"/>
    </bk>
    <bk>
      <rc t="1" v="3369"/>
    </bk>
    <bk>
      <rc t="1" v="3370"/>
    </bk>
    <bk>
      <rc t="1" v="3371"/>
    </bk>
    <bk>
      <rc t="1" v="3372"/>
    </bk>
    <bk>
      <rc t="1" v="3373"/>
    </bk>
    <bk>
      <rc t="1" v="3374"/>
    </bk>
    <bk>
      <rc t="1" v="3375"/>
    </bk>
    <bk>
      <rc t="1" v="3376"/>
    </bk>
    <bk>
      <rc t="1" v="3377"/>
    </bk>
    <bk>
      <rc t="1" v="3378"/>
    </bk>
    <bk>
      <rc t="1" v="3379"/>
    </bk>
    <bk>
      <rc t="1" v="3380"/>
    </bk>
    <bk>
      <rc t="1" v="3381"/>
    </bk>
    <bk>
      <rc t="1" v="3382"/>
    </bk>
    <bk>
      <rc t="1" v="3383"/>
    </bk>
    <bk>
      <rc t="1" v="3384"/>
    </bk>
    <bk>
      <rc t="1" v="3385"/>
    </bk>
    <bk>
      <rc t="1" v="3386"/>
    </bk>
    <bk>
      <rc t="1" v="3387"/>
    </bk>
    <bk>
      <rc t="1" v="3388"/>
    </bk>
    <bk>
      <rc t="1" v="3389"/>
    </bk>
    <bk>
      <rc t="1" v="3390"/>
    </bk>
    <bk>
      <rc t="1" v="3391"/>
    </bk>
    <bk>
      <rc t="1" v="3392"/>
    </bk>
    <bk>
      <rc t="1" v="3393"/>
    </bk>
    <bk>
      <rc t="1" v="3394"/>
    </bk>
    <bk>
      <rc t="1" v="3395"/>
    </bk>
    <bk>
      <rc t="1" v="3396"/>
    </bk>
    <bk>
      <rc t="1" v="3397"/>
    </bk>
    <bk>
      <rc t="1" v="3398"/>
    </bk>
    <bk>
      <rc t="1" v="3399"/>
    </bk>
    <bk>
      <rc t="1" v="3400"/>
    </bk>
    <bk>
      <rc t="1" v="3401"/>
    </bk>
    <bk>
      <rc t="1" v="3402"/>
    </bk>
    <bk>
      <rc t="1" v="3403"/>
    </bk>
    <bk>
      <rc t="1" v="3404"/>
    </bk>
    <bk>
      <rc t="1" v="3405"/>
    </bk>
    <bk>
      <rc t="1" v="3406"/>
    </bk>
    <bk>
      <rc t="1" v="3407"/>
    </bk>
    <bk>
      <rc t="1" v="3408"/>
    </bk>
    <bk>
      <rc t="1" v="3409"/>
    </bk>
    <bk>
      <rc t="1" v="3410"/>
    </bk>
    <bk>
      <rc t="1" v="3411"/>
    </bk>
    <bk>
      <rc t="1" v="3412"/>
    </bk>
    <bk>
      <rc t="1" v="3413"/>
    </bk>
    <bk>
      <rc t="1" v="3414"/>
    </bk>
    <bk>
      <rc t="1" v="3415"/>
    </bk>
    <bk>
      <rc t="1" v="3416"/>
    </bk>
    <bk>
      <rc t="1" v="3417"/>
    </bk>
    <bk>
      <rc t="1" v="3418"/>
    </bk>
    <bk>
      <rc t="1" v="3419"/>
    </bk>
    <bk>
      <rc t="1" v="3420"/>
    </bk>
    <bk>
      <rc t="1" v="3421"/>
    </bk>
    <bk>
      <rc t="1" v="3422"/>
    </bk>
    <bk>
      <rc t="1" v="3423"/>
    </bk>
    <bk>
      <rc t="1" v="3424"/>
    </bk>
    <bk>
      <rc t="1" v="3425"/>
    </bk>
    <bk>
      <rc t="1" v="3426"/>
    </bk>
    <bk>
      <rc t="1" v="3427"/>
    </bk>
    <bk>
      <rc t="1" v="3428"/>
    </bk>
    <bk>
      <rc t="1" v="3429"/>
    </bk>
    <bk>
      <rc t="1" v="3430"/>
    </bk>
    <bk>
      <rc t="1" v="3431"/>
    </bk>
    <bk>
      <rc t="1" v="3432"/>
    </bk>
    <bk>
      <rc t="1" v="3433"/>
    </bk>
    <bk>
      <rc t="1" v="3434"/>
    </bk>
    <bk>
      <rc t="1" v="3435"/>
    </bk>
    <bk>
      <rc t="1" v="3436"/>
    </bk>
    <bk>
      <rc t="1" v="3437"/>
    </bk>
    <bk>
      <rc t="1" v="3438"/>
    </bk>
    <bk>
      <rc t="1" v="3439"/>
    </bk>
    <bk>
      <rc t="1" v="3440"/>
    </bk>
    <bk>
      <rc t="1" v="3441"/>
    </bk>
    <bk>
      <rc t="1" v="3442"/>
    </bk>
    <bk>
      <rc t="1" v="3443"/>
    </bk>
    <bk>
      <rc t="1" v="3444"/>
    </bk>
    <bk>
      <rc t="1" v="3445"/>
    </bk>
    <bk>
      <rc t="1" v="3446"/>
    </bk>
    <bk>
      <rc t="1" v="3447"/>
    </bk>
    <bk>
      <rc t="1" v="3448"/>
    </bk>
    <bk>
      <rc t="1" v="3449"/>
    </bk>
    <bk>
      <rc t="1" v="3450"/>
    </bk>
    <bk>
      <rc t="1" v="3451"/>
    </bk>
    <bk>
      <rc t="1" v="3452"/>
    </bk>
    <bk>
      <rc t="1" v="3453"/>
    </bk>
    <bk>
      <rc t="1" v="3454"/>
    </bk>
    <bk>
      <rc t="1" v="3455"/>
    </bk>
    <bk>
      <rc t="1" v="3456"/>
    </bk>
    <bk>
      <rc t="1" v="3457"/>
    </bk>
    <bk>
      <rc t="1" v="3458"/>
    </bk>
    <bk>
      <rc t="1" v="3459"/>
    </bk>
    <bk>
      <rc t="1" v="3460"/>
    </bk>
    <bk>
      <rc t="1" v="3461"/>
    </bk>
    <bk>
      <rc t="1" v="3462"/>
    </bk>
    <bk>
      <rc t="1" v="3463"/>
    </bk>
    <bk>
      <rc t="1" v="3464"/>
    </bk>
    <bk>
      <rc t="1" v="3465"/>
    </bk>
    <bk>
      <rc t="1" v="3466"/>
    </bk>
    <bk>
      <rc t="1" v="3467"/>
    </bk>
    <bk>
      <rc t="1" v="3468"/>
    </bk>
    <bk>
      <rc t="1" v="3469"/>
    </bk>
    <bk>
      <rc t="1" v="3470"/>
    </bk>
    <bk>
      <rc t="1" v="3471"/>
    </bk>
    <bk>
      <rc t="1" v="3472"/>
    </bk>
    <bk>
      <rc t="1" v="3473"/>
    </bk>
    <bk>
      <rc t="1" v="3474"/>
    </bk>
    <bk>
      <rc t="1" v="3475"/>
    </bk>
    <bk>
      <rc t="1" v="3476"/>
    </bk>
    <bk>
      <rc t="1" v="3477"/>
    </bk>
    <bk>
      <rc t="1" v="3478"/>
    </bk>
    <bk>
      <rc t="1" v="3479"/>
    </bk>
    <bk>
      <rc t="1" v="3480"/>
    </bk>
    <bk>
      <rc t="1" v="3481"/>
    </bk>
    <bk>
      <rc t="1" v="3482"/>
    </bk>
    <bk>
      <rc t="1" v="3483"/>
    </bk>
    <bk>
      <rc t="1" v="3484"/>
    </bk>
    <bk>
      <rc t="1" v="3485"/>
    </bk>
    <bk>
      <rc t="1" v="3486"/>
    </bk>
    <bk>
      <rc t="1" v="3487"/>
    </bk>
    <bk>
      <rc t="1" v="3488"/>
    </bk>
    <bk>
      <rc t="1" v="3489"/>
    </bk>
    <bk>
      <rc t="1" v="3490"/>
    </bk>
    <bk>
      <rc t="1" v="3491"/>
    </bk>
    <bk>
      <rc t="1" v="3492"/>
    </bk>
    <bk>
      <rc t="1" v="3493"/>
    </bk>
    <bk>
      <rc t="1" v="3494"/>
    </bk>
    <bk>
      <rc t="1" v="3495"/>
    </bk>
    <bk>
      <rc t="1" v="3496"/>
    </bk>
    <bk>
      <rc t="1" v="3497"/>
    </bk>
    <bk>
      <rc t="1" v="3498"/>
    </bk>
    <bk>
      <rc t="1" v="3499"/>
    </bk>
    <bk>
      <rc t="1" v="3500"/>
    </bk>
    <bk>
      <rc t="1" v="3501"/>
    </bk>
    <bk>
      <rc t="1" v="3502"/>
    </bk>
    <bk>
      <rc t="1" v="3503"/>
    </bk>
    <bk>
      <rc t="1" v="3504"/>
    </bk>
    <bk>
      <rc t="1" v="3505"/>
    </bk>
    <bk>
      <rc t="1" v="3506"/>
    </bk>
    <bk>
      <rc t="1" v="3507"/>
    </bk>
    <bk>
      <rc t="1" v="3508"/>
    </bk>
    <bk>
      <rc t="1" v="3509"/>
    </bk>
    <bk>
      <rc t="1" v="3510"/>
    </bk>
    <bk>
      <rc t="1" v="3511"/>
    </bk>
    <bk>
      <rc t="1" v="3512"/>
    </bk>
    <bk>
      <rc t="1" v="3513"/>
    </bk>
    <bk>
      <rc t="1" v="3514"/>
    </bk>
    <bk>
      <rc t="1" v="3515"/>
    </bk>
    <bk>
      <rc t="1" v="3516"/>
    </bk>
    <bk>
      <rc t="1" v="3517"/>
    </bk>
    <bk>
      <rc t="1" v="3518"/>
    </bk>
    <bk>
      <rc t="1" v="3519"/>
    </bk>
    <bk>
      <rc t="1" v="3520"/>
    </bk>
    <bk>
      <rc t="1" v="3521"/>
    </bk>
    <bk>
      <rc t="1" v="3522"/>
    </bk>
    <bk>
      <rc t="1" v="3523"/>
    </bk>
    <bk>
      <rc t="1" v="3524"/>
    </bk>
    <bk>
      <rc t="1" v="3525"/>
    </bk>
    <bk>
      <rc t="1" v="3526"/>
    </bk>
    <bk>
      <rc t="1" v="3527"/>
    </bk>
    <bk>
      <rc t="1" v="3528"/>
    </bk>
    <bk>
      <rc t="1" v="3529"/>
    </bk>
    <bk>
      <rc t="1" v="3530"/>
    </bk>
    <bk>
      <rc t="1" v="3531"/>
    </bk>
    <bk>
      <rc t="1" v="3532"/>
    </bk>
    <bk>
      <rc t="1" v="3533"/>
    </bk>
    <bk>
      <rc t="1" v="3534"/>
    </bk>
    <bk>
      <rc t="1" v="3535"/>
    </bk>
    <bk>
      <rc t="1" v="3536"/>
    </bk>
    <bk>
      <rc t="1" v="3537"/>
    </bk>
    <bk>
      <rc t="1" v="3538"/>
    </bk>
    <bk>
      <rc t="1" v="3539"/>
    </bk>
    <bk>
      <rc t="1" v="3540"/>
    </bk>
    <bk>
      <rc t="1" v="3541"/>
    </bk>
    <bk>
      <rc t="1" v="3542"/>
    </bk>
    <bk>
      <rc t="1" v="3543"/>
    </bk>
    <bk>
      <rc t="1" v="3544"/>
    </bk>
    <bk>
      <rc t="1" v="3545"/>
    </bk>
    <bk>
      <rc t="1" v="3546"/>
    </bk>
    <bk>
      <rc t="1" v="3547"/>
    </bk>
    <bk>
      <rc t="1" v="3548"/>
    </bk>
    <bk>
      <rc t="1" v="3549"/>
    </bk>
    <bk>
      <rc t="1" v="3550"/>
    </bk>
    <bk>
      <rc t="1" v="3551"/>
    </bk>
    <bk>
      <rc t="1" v="3552"/>
    </bk>
    <bk>
      <rc t="1" v="3553"/>
    </bk>
    <bk>
      <rc t="1" v="3554"/>
    </bk>
    <bk>
      <rc t="1" v="3555"/>
    </bk>
    <bk>
      <rc t="1" v="3556"/>
    </bk>
    <bk>
      <rc t="1" v="3557"/>
    </bk>
    <bk>
      <rc t="1" v="3558"/>
    </bk>
    <bk>
      <rc t="1" v="3559"/>
    </bk>
    <bk>
      <rc t="1" v="3560"/>
    </bk>
    <bk>
      <rc t="1" v="3561"/>
    </bk>
    <bk>
      <rc t="1" v="3562"/>
    </bk>
    <bk>
      <rc t="1" v="3563"/>
    </bk>
    <bk>
      <rc t="1" v="3564"/>
    </bk>
    <bk>
      <rc t="1" v="3565"/>
    </bk>
    <bk>
      <rc t="1" v="3566"/>
    </bk>
    <bk>
      <rc t="1" v="3567"/>
    </bk>
    <bk>
      <rc t="1" v="3568"/>
    </bk>
    <bk>
      <rc t="1" v="3569"/>
    </bk>
    <bk>
      <rc t="1" v="3570"/>
    </bk>
    <bk>
      <rc t="1" v="3571"/>
    </bk>
    <bk>
      <rc t="1" v="3572"/>
    </bk>
    <bk>
      <rc t="1" v="3573"/>
    </bk>
    <bk>
      <rc t="1" v="3574"/>
    </bk>
    <bk>
      <rc t="1" v="3575"/>
    </bk>
    <bk>
      <rc t="1" v="3576"/>
    </bk>
    <bk>
      <rc t="1" v="3577"/>
    </bk>
    <bk>
      <rc t="1" v="3578"/>
    </bk>
    <bk>
      <rc t="1" v="3579"/>
    </bk>
    <bk>
      <rc t="1" v="3580"/>
    </bk>
    <bk>
      <rc t="1" v="3581"/>
    </bk>
    <bk>
      <rc t="1" v="3582"/>
    </bk>
    <bk>
      <rc t="1" v="3583"/>
    </bk>
    <bk>
      <rc t="1" v="3584"/>
    </bk>
    <bk>
      <rc t="1" v="3585"/>
    </bk>
    <bk>
      <rc t="1" v="3586"/>
    </bk>
    <bk>
      <rc t="1" v="3587"/>
    </bk>
    <bk>
      <rc t="1" v="3588"/>
    </bk>
    <bk>
      <rc t="1" v="3589"/>
    </bk>
    <bk>
      <rc t="1" v="3590"/>
    </bk>
    <bk>
      <rc t="1" v="3591"/>
    </bk>
    <bk>
      <rc t="1" v="3592"/>
    </bk>
    <bk>
      <rc t="1" v="3593"/>
    </bk>
    <bk>
      <rc t="1" v="3594"/>
    </bk>
    <bk>
      <rc t="1" v="3595"/>
    </bk>
    <bk>
      <rc t="1" v="3596"/>
    </bk>
    <bk>
      <rc t="1" v="3597"/>
    </bk>
    <bk>
      <rc t="1" v="3598"/>
    </bk>
    <bk>
      <rc t="1" v="3599"/>
    </bk>
    <bk>
      <rc t="1" v="3600"/>
    </bk>
    <bk>
      <rc t="1" v="3601"/>
    </bk>
    <bk>
      <rc t="1" v="3602"/>
    </bk>
    <bk>
      <rc t="1" v="3603"/>
    </bk>
    <bk>
      <rc t="1" v="3604"/>
    </bk>
    <bk>
      <rc t="1" v="3605"/>
    </bk>
    <bk>
      <rc t="1" v="3606"/>
    </bk>
    <bk>
      <rc t="1" v="3607"/>
    </bk>
    <bk>
      <rc t="1" v="3608"/>
    </bk>
    <bk>
      <rc t="1" v="3609"/>
    </bk>
    <bk>
      <rc t="1" v="3610"/>
    </bk>
    <bk>
      <rc t="1" v="3611"/>
    </bk>
    <bk>
      <rc t="1" v="3612"/>
    </bk>
    <bk>
      <rc t="1" v="3613"/>
    </bk>
    <bk>
      <rc t="1" v="3614"/>
    </bk>
    <bk>
      <rc t="1" v="3615"/>
    </bk>
    <bk>
      <rc t="1" v="3616"/>
    </bk>
    <bk>
      <rc t="1" v="3617"/>
    </bk>
    <bk>
      <rc t="1" v="3618"/>
    </bk>
    <bk>
      <rc t="1" v="3619"/>
    </bk>
    <bk>
      <rc t="1" v="3620"/>
    </bk>
    <bk>
      <rc t="1" v="3621"/>
    </bk>
    <bk>
      <rc t="1" v="3622"/>
    </bk>
    <bk>
      <rc t="1" v="3623"/>
    </bk>
    <bk>
      <rc t="1" v="3624"/>
    </bk>
    <bk>
      <rc t="1" v="3625"/>
    </bk>
    <bk>
      <rc t="1" v="3626"/>
    </bk>
    <bk>
      <rc t="1" v="3627"/>
    </bk>
    <bk>
      <rc t="1" v="3628"/>
    </bk>
    <bk>
      <rc t="1" v="3629"/>
    </bk>
    <bk>
      <rc t="1" v="3630"/>
    </bk>
    <bk>
      <rc t="1" v="3631"/>
    </bk>
    <bk>
      <rc t="1" v="3632"/>
    </bk>
    <bk>
      <rc t="1" v="3633"/>
    </bk>
    <bk>
      <rc t="1" v="3634"/>
    </bk>
    <bk>
      <rc t="1" v="3635"/>
    </bk>
    <bk>
      <rc t="1" v="3636"/>
    </bk>
    <bk>
      <rc t="1" v="3637"/>
    </bk>
    <bk>
      <rc t="1" v="3638"/>
    </bk>
    <bk>
      <rc t="1" v="3639"/>
    </bk>
    <bk>
      <rc t="1" v="3640"/>
    </bk>
    <bk>
      <rc t="1" v="3641"/>
    </bk>
    <bk>
      <rc t="1" v="3642"/>
    </bk>
    <bk>
      <rc t="1" v="3643"/>
    </bk>
    <bk>
      <rc t="1" v="3644"/>
    </bk>
    <bk>
      <rc t="1" v="3645"/>
    </bk>
    <bk>
      <rc t="1" v="3646"/>
    </bk>
    <bk>
      <rc t="1" v="3647"/>
    </bk>
    <bk>
      <rc t="1" v="3648"/>
    </bk>
    <bk>
      <rc t="1" v="3649"/>
    </bk>
    <bk>
      <rc t="1" v="3650"/>
    </bk>
    <bk>
      <rc t="1" v="3651"/>
    </bk>
    <bk>
      <rc t="1" v="3652"/>
    </bk>
    <bk>
      <rc t="1" v="3653"/>
    </bk>
    <bk>
      <rc t="1" v="3654"/>
    </bk>
    <bk>
      <rc t="1" v="3655"/>
    </bk>
    <bk>
      <rc t="1" v="3656"/>
    </bk>
    <bk>
      <rc t="1" v="3657"/>
    </bk>
    <bk>
      <rc t="1" v="3658"/>
    </bk>
    <bk>
      <rc t="1" v="3659"/>
    </bk>
    <bk>
      <rc t="1" v="3660"/>
    </bk>
    <bk>
      <rc t="1" v="3661"/>
    </bk>
    <bk>
      <rc t="1" v="3662"/>
    </bk>
    <bk>
      <rc t="1" v="3663"/>
    </bk>
    <bk>
      <rc t="1" v="3664"/>
    </bk>
    <bk>
      <rc t="1" v="3665"/>
    </bk>
    <bk>
      <rc t="1" v="3666"/>
    </bk>
    <bk>
      <rc t="1" v="3667"/>
    </bk>
    <bk>
      <rc t="1" v="3668"/>
    </bk>
    <bk>
      <rc t="1" v="3669"/>
    </bk>
    <bk>
      <rc t="1" v="3670"/>
    </bk>
    <bk>
      <rc t="1" v="3671"/>
    </bk>
    <bk>
      <rc t="1" v="3672"/>
    </bk>
    <bk>
      <rc t="1" v="3673"/>
    </bk>
    <bk>
      <rc t="1" v="3674"/>
    </bk>
    <bk>
      <rc t="1" v="3675"/>
    </bk>
    <bk>
      <rc t="1" v="3676"/>
    </bk>
    <bk>
      <rc t="1" v="3677"/>
    </bk>
    <bk>
      <rc t="1" v="3678"/>
    </bk>
    <bk>
      <rc t="1" v="3679"/>
    </bk>
    <bk>
      <rc t="1" v="3680"/>
    </bk>
    <bk>
      <rc t="1" v="3681"/>
    </bk>
    <bk>
      <rc t="1" v="3682"/>
    </bk>
    <bk>
      <rc t="1" v="3683"/>
    </bk>
    <bk>
      <rc t="1" v="3684"/>
    </bk>
    <bk>
      <rc t="1" v="3685"/>
    </bk>
    <bk>
      <rc t="1" v="3686"/>
    </bk>
    <bk>
      <rc t="1" v="3687"/>
    </bk>
    <bk>
      <rc t="1" v="3688"/>
    </bk>
    <bk>
      <rc t="1" v="3689"/>
    </bk>
    <bk>
      <rc t="1" v="3690"/>
    </bk>
    <bk>
      <rc t="1" v="3691"/>
    </bk>
    <bk>
      <rc t="1" v="3692"/>
    </bk>
    <bk>
      <rc t="1" v="3693"/>
    </bk>
    <bk>
      <rc t="1" v="3694"/>
    </bk>
    <bk>
      <rc t="1" v="3695"/>
    </bk>
    <bk>
      <rc t="1" v="3696"/>
    </bk>
    <bk>
      <rc t="1" v="3697"/>
    </bk>
    <bk>
      <rc t="1" v="3698"/>
    </bk>
    <bk>
      <rc t="1" v="3699"/>
    </bk>
    <bk>
      <rc t="1" v="3700"/>
    </bk>
    <bk>
      <rc t="1" v="3701"/>
    </bk>
    <bk>
      <rc t="1" v="3702"/>
    </bk>
    <bk>
      <rc t="1" v="3703"/>
    </bk>
    <bk>
      <rc t="1" v="3704"/>
    </bk>
    <bk>
      <rc t="1" v="3705"/>
    </bk>
    <bk>
      <rc t="1" v="3706"/>
    </bk>
    <bk>
      <rc t="1" v="3707"/>
    </bk>
    <bk>
      <rc t="1" v="3708"/>
    </bk>
    <bk>
      <rc t="1" v="3709"/>
    </bk>
    <bk>
      <rc t="1" v="3710"/>
    </bk>
    <bk>
      <rc t="1" v="3711"/>
    </bk>
    <bk>
      <rc t="1" v="3712"/>
    </bk>
    <bk>
      <rc t="1" v="3713"/>
    </bk>
    <bk>
      <rc t="1" v="3714"/>
    </bk>
    <bk>
      <rc t="1" v="3715"/>
    </bk>
    <bk>
      <rc t="1" v="3716"/>
    </bk>
    <bk>
      <rc t="1" v="3717"/>
    </bk>
    <bk>
      <rc t="1" v="3718"/>
    </bk>
    <bk>
      <rc t="1" v="3719"/>
    </bk>
    <bk>
      <rc t="1" v="3720"/>
    </bk>
    <bk>
      <rc t="1" v="3721"/>
    </bk>
    <bk>
      <rc t="1" v="3722"/>
    </bk>
    <bk>
      <rc t="1" v="3723"/>
    </bk>
    <bk>
      <rc t="1" v="3724"/>
    </bk>
    <bk>
      <rc t="1" v="3725"/>
    </bk>
    <bk>
      <rc t="1" v="3726"/>
    </bk>
    <bk>
      <rc t="1" v="3727"/>
    </bk>
    <bk>
      <rc t="1" v="3728"/>
    </bk>
    <bk>
      <rc t="1" v="3729"/>
    </bk>
    <bk>
      <rc t="1" v="3730"/>
    </bk>
    <bk>
      <rc t="1" v="3731"/>
    </bk>
    <bk>
      <rc t="1" v="3732"/>
    </bk>
    <bk>
      <rc t="1" v="3733"/>
    </bk>
    <bk>
      <rc t="1" v="3734"/>
    </bk>
    <bk>
      <rc t="1" v="3735"/>
    </bk>
    <bk>
      <rc t="1" v="3736"/>
    </bk>
    <bk>
      <rc t="1" v="3737"/>
    </bk>
    <bk>
      <rc t="1" v="3738"/>
    </bk>
    <bk>
      <rc t="1" v="3739"/>
    </bk>
    <bk>
      <rc t="1" v="3740"/>
    </bk>
    <bk>
      <rc t="1" v="3741"/>
    </bk>
    <bk>
      <rc t="1" v="3742"/>
    </bk>
    <bk>
      <rc t="1" v="3743"/>
    </bk>
    <bk>
      <rc t="1" v="3744"/>
    </bk>
    <bk>
      <rc t="1" v="3745"/>
    </bk>
    <bk>
      <rc t="1" v="3746"/>
    </bk>
    <bk>
      <rc t="1" v="3747"/>
    </bk>
    <bk>
      <rc t="1" v="3748"/>
    </bk>
    <bk>
      <rc t="1" v="3749"/>
    </bk>
    <bk>
      <rc t="1" v="3750"/>
    </bk>
    <bk>
      <rc t="1" v="3751"/>
    </bk>
    <bk>
      <rc t="1" v="3752"/>
    </bk>
    <bk>
      <rc t="1" v="3753"/>
    </bk>
    <bk>
      <rc t="1" v="3754"/>
    </bk>
    <bk>
      <rc t="1" v="3755"/>
    </bk>
    <bk>
      <rc t="1" v="3756"/>
    </bk>
    <bk>
      <rc t="1" v="3757"/>
    </bk>
    <bk>
      <rc t="1" v="3758"/>
    </bk>
    <bk>
      <rc t="1" v="3759"/>
    </bk>
    <bk>
      <rc t="1" v="3760"/>
    </bk>
    <bk>
      <rc t="1" v="3761"/>
    </bk>
    <bk>
      <rc t="1" v="3762"/>
    </bk>
    <bk>
      <rc t="1" v="3763"/>
    </bk>
    <bk>
      <rc t="1" v="3764"/>
    </bk>
    <bk>
      <rc t="1" v="3765"/>
    </bk>
    <bk>
      <rc t="1" v="3766"/>
    </bk>
    <bk>
      <rc t="1" v="3767"/>
    </bk>
    <bk>
      <rc t="1" v="3768"/>
    </bk>
    <bk>
      <rc t="1" v="3769"/>
    </bk>
    <bk>
      <rc t="1" v="3770"/>
    </bk>
    <bk>
      <rc t="1" v="3771"/>
    </bk>
    <bk>
      <rc t="1" v="3772"/>
    </bk>
    <bk>
      <rc t="1" v="3773"/>
    </bk>
    <bk>
      <rc t="1" v="3774"/>
    </bk>
    <bk>
      <rc t="1" v="3775"/>
    </bk>
    <bk>
      <rc t="1" v="3776"/>
    </bk>
    <bk>
      <rc t="1" v="3777"/>
    </bk>
    <bk>
      <rc t="1" v="3778"/>
    </bk>
    <bk>
      <rc t="1" v="3779"/>
    </bk>
    <bk>
      <rc t="1" v="3780"/>
    </bk>
    <bk>
      <rc t="1" v="3781"/>
    </bk>
    <bk>
      <rc t="1" v="3782"/>
    </bk>
    <bk>
      <rc t="1" v="3783"/>
    </bk>
    <bk>
      <rc t="1" v="3784"/>
    </bk>
    <bk>
      <rc t="1" v="3785"/>
    </bk>
    <bk>
      <rc t="1" v="3786"/>
    </bk>
    <bk>
      <rc t="1" v="3787"/>
    </bk>
    <bk>
      <rc t="1" v="3788"/>
    </bk>
    <bk>
      <rc t="1" v="3789"/>
    </bk>
    <bk>
      <rc t="1" v="3790"/>
    </bk>
    <bk>
      <rc t="1" v="3791"/>
    </bk>
    <bk>
      <rc t="1" v="3792"/>
    </bk>
    <bk>
      <rc t="1" v="3793"/>
    </bk>
    <bk>
      <rc t="1" v="3794"/>
    </bk>
    <bk>
      <rc t="1" v="3795"/>
    </bk>
    <bk>
      <rc t="1" v="3796"/>
    </bk>
    <bk>
      <rc t="1" v="3797"/>
    </bk>
    <bk>
      <rc t="1" v="3798"/>
    </bk>
    <bk>
      <rc t="1" v="3799"/>
    </bk>
    <bk>
      <rc t="1" v="3800"/>
    </bk>
    <bk>
      <rc t="1" v="3801"/>
    </bk>
    <bk>
      <rc t="1" v="3802"/>
    </bk>
    <bk>
      <rc t="1" v="3803"/>
    </bk>
    <bk>
      <rc t="1" v="3804"/>
    </bk>
    <bk>
      <rc t="1" v="3805"/>
    </bk>
    <bk>
      <rc t="1" v="3806"/>
    </bk>
    <bk>
      <rc t="1" v="3807"/>
    </bk>
    <bk>
      <rc t="1" v="3808"/>
    </bk>
    <bk>
      <rc t="1" v="3809"/>
    </bk>
    <bk>
      <rc t="1" v="3810"/>
    </bk>
    <bk>
      <rc t="1" v="3811"/>
    </bk>
    <bk>
      <rc t="1" v="3812"/>
    </bk>
    <bk>
      <rc t="1" v="3813"/>
    </bk>
    <bk>
      <rc t="1" v="3814"/>
    </bk>
    <bk>
      <rc t="1" v="3815"/>
    </bk>
    <bk>
      <rc t="1" v="3816"/>
    </bk>
    <bk>
      <rc t="1" v="3817"/>
    </bk>
    <bk>
      <rc t="1" v="3818"/>
    </bk>
    <bk>
      <rc t="1" v="3819"/>
    </bk>
    <bk>
      <rc t="1" v="3820"/>
    </bk>
    <bk>
      <rc t="1" v="3821"/>
    </bk>
    <bk>
      <rc t="1" v="3822"/>
    </bk>
    <bk>
      <rc t="1" v="3823"/>
    </bk>
    <bk>
      <rc t="1" v="3824"/>
    </bk>
    <bk>
      <rc t="1" v="3825"/>
    </bk>
    <bk>
      <rc t="1" v="3826"/>
    </bk>
    <bk>
      <rc t="1" v="3827"/>
    </bk>
    <bk>
      <rc t="1" v="3828"/>
    </bk>
    <bk>
      <rc t="1" v="3829"/>
    </bk>
    <bk>
      <rc t="1" v="3830"/>
    </bk>
    <bk>
      <rc t="1" v="3831"/>
    </bk>
    <bk>
      <rc t="1" v="3832"/>
    </bk>
    <bk>
      <rc t="1" v="3833"/>
    </bk>
    <bk>
      <rc t="1" v="3834"/>
    </bk>
    <bk>
      <rc t="1" v="3835"/>
    </bk>
    <bk>
      <rc t="1" v="3836"/>
    </bk>
    <bk>
      <rc t="1" v="3837"/>
    </bk>
    <bk>
      <rc t="1" v="3838"/>
    </bk>
    <bk>
      <rc t="1" v="3839"/>
    </bk>
    <bk>
      <rc t="1" v="3840"/>
    </bk>
    <bk>
      <rc t="1" v="3841"/>
    </bk>
    <bk>
      <rc t="1" v="3842"/>
    </bk>
    <bk>
      <rc t="1" v="3843"/>
    </bk>
    <bk>
      <rc t="1" v="3844"/>
    </bk>
    <bk>
      <rc t="1" v="3845"/>
    </bk>
    <bk>
      <rc t="1" v="3846"/>
    </bk>
    <bk>
      <rc t="1" v="3847"/>
    </bk>
    <bk>
      <rc t="1" v="3848"/>
    </bk>
    <bk>
      <rc t="1" v="3849"/>
    </bk>
    <bk>
      <rc t="1" v="3850"/>
    </bk>
    <bk>
      <rc t="1" v="3851"/>
    </bk>
    <bk>
      <rc t="1" v="3852"/>
    </bk>
    <bk>
      <rc t="1" v="3853"/>
    </bk>
    <bk>
      <rc t="1" v="3854"/>
    </bk>
    <bk>
      <rc t="1" v="3855"/>
    </bk>
    <bk>
      <rc t="1" v="3856"/>
    </bk>
    <bk>
      <rc t="1" v="3857"/>
    </bk>
    <bk>
      <rc t="1" v="3858"/>
    </bk>
    <bk>
      <rc t="1" v="3859"/>
    </bk>
    <bk>
      <rc t="1" v="3860"/>
    </bk>
    <bk>
      <rc t="1" v="3861"/>
    </bk>
    <bk>
      <rc t="1" v="3862"/>
    </bk>
    <bk>
      <rc t="1" v="3863"/>
    </bk>
    <bk>
      <rc t="1" v="3864"/>
    </bk>
    <bk>
      <rc t="1" v="3865"/>
    </bk>
    <bk>
      <rc t="1" v="3866"/>
    </bk>
    <bk>
      <rc t="1" v="3867"/>
    </bk>
    <bk>
      <rc t="1" v="3868"/>
    </bk>
    <bk>
      <rc t="1" v="3869"/>
    </bk>
    <bk>
      <rc t="1" v="3870"/>
    </bk>
    <bk>
      <rc t="1" v="3871"/>
    </bk>
    <bk>
      <rc t="1" v="3872"/>
    </bk>
    <bk>
      <rc t="1" v="3873"/>
    </bk>
    <bk>
      <rc t="1" v="3874"/>
    </bk>
    <bk>
      <rc t="1" v="3875"/>
    </bk>
    <bk>
      <rc t="1" v="3876"/>
    </bk>
    <bk>
      <rc t="1" v="3877"/>
    </bk>
    <bk>
      <rc t="1" v="3878"/>
    </bk>
    <bk>
      <rc t="1" v="3879"/>
    </bk>
    <bk>
      <rc t="1" v="3880"/>
    </bk>
    <bk>
      <rc t="1" v="3881"/>
    </bk>
    <bk>
      <rc t="1" v="3882"/>
    </bk>
    <bk>
      <rc t="1" v="3883"/>
    </bk>
    <bk>
      <rc t="1" v="3884"/>
    </bk>
    <bk>
      <rc t="1" v="3885"/>
    </bk>
    <bk>
      <rc t="1" v="3886"/>
    </bk>
    <bk>
      <rc t="1" v="3887"/>
    </bk>
    <bk>
      <rc t="1" v="3888"/>
    </bk>
    <bk>
      <rc t="1" v="3889"/>
    </bk>
    <bk>
      <rc t="1" v="3890"/>
    </bk>
    <bk>
      <rc t="1" v="3891"/>
    </bk>
    <bk>
      <rc t="1" v="3892"/>
    </bk>
    <bk>
      <rc t="1" v="3893"/>
    </bk>
    <bk>
      <rc t="1" v="3894"/>
    </bk>
    <bk>
      <rc t="1" v="3895"/>
    </bk>
    <bk>
      <rc t="1" v="3896"/>
    </bk>
    <bk>
      <rc t="1" v="3897"/>
    </bk>
    <bk>
      <rc t="1" v="3898"/>
    </bk>
    <bk>
      <rc t="1" v="3899"/>
    </bk>
    <bk>
      <rc t="1" v="3900"/>
    </bk>
    <bk>
      <rc t="1" v="3901"/>
    </bk>
    <bk>
      <rc t="1" v="3902"/>
    </bk>
    <bk>
      <rc t="1" v="3903"/>
    </bk>
    <bk>
      <rc t="1" v="3904"/>
    </bk>
    <bk>
      <rc t="1" v="3905"/>
    </bk>
    <bk>
      <rc t="1" v="3906"/>
    </bk>
    <bk>
      <rc t="1" v="3907"/>
    </bk>
    <bk>
      <rc t="1" v="3908"/>
    </bk>
    <bk>
      <rc t="1" v="3909"/>
    </bk>
    <bk>
      <rc t="1" v="3910"/>
    </bk>
    <bk>
      <rc t="1" v="3911"/>
    </bk>
    <bk>
      <rc t="1" v="3912"/>
    </bk>
    <bk>
      <rc t="1" v="3913"/>
    </bk>
    <bk>
      <rc t="1" v="3914"/>
    </bk>
    <bk>
      <rc t="1" v="3915"/>
    </bk>
    <bk>
      <rc t="1" v="3916"/>
    </bk>
    <bk>
      <rc t="1" v="3917"/>
    </bk>
    <bk>
      <rc t="1" v="3918"/>
    </bk>
    <bk>
      <rc t="1" v="3919"/>
    </bk>
    <bk>
      <rc t="1" v="3920"/>
    </bk>
    <bk>
      <rc t="1" v="3921"/>
    </bk>
    <bk>
      <rc t="1" v="3922"/>
    </bk>
    <bk>
      <rc t="1" v="3923"/>
    </bk>
    <bk>
      <rc t="1" v="3924"/>
    </bk>
    <bk>
      <rc t="1" v="3925"/>
    </bk>
    <bk>
      <rc t="1" v="3926"/>
    </bk>
    <bk>
      <rc t="1" v="3927"/>
    </bk>
    <bk>
      <rc t="1" v="3928"/>
    </bk>
    <bk>
      <rc t="1" v="3929"/>
    </bk>
    <bk>
      <rc t="1" v="3930"/>
    </bk>
    <bk>
      <rc t="1" v="3931"/>
    </bk>
    <bk>
      <rc t="1" v="3932"/>
    </bk>
    <bk>
      <rc t="1" v="3933"/>
    </bk>
    <bk>
      <rc t="1" v="3934"/>
    </bk>
    <bk>
      <rc t="1" v="3935"/>
    </bk>
    <bk>
      <rc t="1" v="3936"/>
    </bk>
    <bk>
      <rc t="1" v="3937"/>
    </bk>
    <bk>
      <rc t="1" v="3938"/>
    </bk>
    <bk>
      <rc t="1" v="3939"/>
    </bk>
    <bk>
      <rc t="1" v="3940"/>
    </bk>
    <bk>
      <rc t="1" v="3941"/>
    </bk>
    <bk>
      <rc t="1" v="3942"/>
    </bk>
    <bk>
      <rc t="1" v="3943"/>
    </bk>
    <bk>
      <rc t="1" v="3944"/>
    </bk>
    <bk>
      <rc t="1" v="3945"/>
    </bk>
    <bk>
      <rc t="1" v="3946"/>
    </bk>
    <bk>
      <rc t="1" v="3947"/>
    </bk>
    <bk>
      <rc t="1" v="3948"/>
    </bk>
    <bk>
      <rc t="1" v="3949"/>
    </bk>
    <bk>
      <rc t="1" v="3950"/>
    </bk>
    <bk>
      <rc t="1" v="3951"/>
    </bk>
    <bk>
      <rc t="1" v="3952"/>
    </bk>
    <bk>
      <rc t="1" v="3953"/>
    </bk>
    <bk>
      <rc t="1" v="3954"/>
    </bk>
    <bk>
      <rc t="1" v="3955"/>
    </bk>
    <bk>
      <rc t="1" v="3956"/>
    </bk>
    <bk>
      <rc t="1" v="3957"/>
    </bk>
    <bk>
      <rc t="1" v="3958"/>
    </bk>
    <bk>
      <rc t="1" v="3959"/>
    </bk>
    <bk>
      <rc t="1" v="3960"/>
    </bk>
    <bk>
      <rc t="1" v="3961"/>
    </bk>
    <bk>
      <rc t="1" v="3962"/>
    </bk>
    <bk>
      <rc t="1" v="3963"/>
    </bk>
    <bk>
      <rc t="1" v="3964"/>
    </bk>
    <bk>
      <rc t="1" v="3965"/>
    </bk>
    <bk>
      <rc t="1" v="3966"/>
    </bk>
    <bk>
      <rc t="1" v="3967"/>
    </bk>
    <bk>
      <rc t="1" v="3968"/>
    </bk>
    <bk>
      <rc t="1" v="3969"/>
    </bk>
    <bk>
      <rc t="1" v="3970"/>
    </bk>
    <bk>
      <rc t="1" v="3971"/>
    </bk>
    <bk>
      <rc t="1" v="3972"/>
    </bk>
    <bk>
      <rc t="1" v="3973"/>
    </bk>
    <bk>
      <rc t="1" v="3974"/>
    </bk>
    <bk>
      <rc t="1" v="3975"/>
    </bk>
    <bk>
      <rc t="1" v="3976"/>
    </bk>
    <bk>
      <rc t="1" v="3977"/>
    </bk>
    <bk>
      <rc t="1" v="3978"/>
    </bk>
    <bk>
      <rc t="1" v="3979"/>
    </bk>
    <bk>
      <rc t="1" v="3980"/>
    </bk>
    <bk>
      <rc t="1" v="3981"/>
    </bk>
    <bk>
      <rc t="1" v="3982"/>
    </bk>
    <bk>
      <rc t="1" v="3983"/>
    </bk>
    <bk>
      <rc t="1" v="3984"/>
    </bk>
    <bk>
      <rc t="1" v="3985"/>
    </bk>
    <bk>
      <rc t="1" v="3986"/>
    </bk>
    <bk>
      <rc t="1" v="3987"/>
    </bk>
    <bk>
      <rc t="1" v="3988"/>
    </bk>
    <bk>
      <rc t="1" v="3989"/>
    </bk>
    <bk>
      <rc t="1" v="3990"/>
    </bk>
    <bk>
      <rc t="1" v="3991"/>
    </bk>
    <bk>
      <rc t="1" v="3992"/>
    </bk>
    <bk>
      <rc t="1" v="3993"/>
    </bk>
    <bk>
      <rc t="1" v="3994"/>
    </bk>
    <bk>
      <rc t="1" v="3995"/>
    </bk>
    <bk>
      <rc t="1" v="3996"/>
    </bk>
    <bk>
      <rc t="1" v="3997"/>
    </bk>
    <bk>
      <rc t="1" v="3998"/>
    </bk>
    <bk>
      <rc t="1" v="3999"/>
    </bk>
    <bk>
      <rc t="1" v="4000"/>
    </bk>
    <bk>
      <rc t="1" v="4001"/>
    </bk>
    <bk>
      <rc t="1" v="4002"/>
    </bk>
    <bk>
      <rc t="1" v="4003"/>
    </bk>
    <bk>
      <rc t="1" v="4004"/>
    </bk>
    <bk>
      <rc t="1" v="4005"/>
    </bk>
    <bk>
      <rc t="1" v="4006"/>
    </bk>
    <bk>
      <rc t="1" v="4007"/>
    </bk>
    <bk>
      <rc t="1" v="4008"/>
    </bk>
    <bk>
      <rc t="1" v="4009"/>
    </bk>
    <bk>
      <rc t="1" v="4010"/>
    </bk>
    <bk>
      <rc t="1" v="4011"/>
    </bk>
    <bk>
      <rc t="1" v="4012"/>
    </bk>
    <bk>
      <rc t="1" v="4013"/>
    </bk>
    <bk>
      <rc t="1" v="4014"/>
    </bk>
    <bk>
      <rc t="1" v="4015"/>
    </bk>
    <bk>
      <rc t="1" v="4016"/>
    </bk>
    <bk>
      <rc t="1" v="4017"/>
    </bk>
    <bk>
      <rc t="1" v="4018"/>
    </bk>
    <bk>
      <rc t="1" v="4019"/>
    </bk>
    <bk>
      <rc t="1" v="4020"/>
    </bk>
    <bk>
      <rc t="1" v="4021"/>
    </bk>
    <bk>
      <rc t="1" v="4022"/>
    </bk>
    <bk>
      <rc t="1" v="4023"/>
    </bk>
    <bk>
      <rc t="1" v="4024"/>
    </bk>
    <bk>
      <rc t="1" v="4025"/>
    </bk>
    <bk>
      <rc t="1" v="4026"/>
    </bk>
    <bk>
      <rc t="1" v="4027"/>
    </bk>
    <bk>
      <rc t="1" v="4028"/>
    </bk>
    <bk>
      <rc t="1" v="4029"/>
    </bk>
    <bk>
      <rc t="1" v="4030"/>
    </bk>
    <bk>
      <rc t="1" v="4031"/>
    </bk>
    <bk>
      <rc t="1" v="4032"/>
    </bk>
    <bk>
      <rc t="1" v="4033"/>
    </bk>
    <bk>
      <rc t="1" v="4034"/>
    </bk>
    <bk>
      <rc t="1" v="4035"/>
    </bk>
    <bk>
      <rc t="1" v="4036"/>
    </bk>
    <bk>
      <rc t="1" v="4037"/>
    </bk>
    <bk>
      <rc t="1" v="4038"/>
    </bk>
    <bk>
      <rc t="1" v="4039"/>
    </bk>
    <bk>
      <rc t="1" v="4040"/>
    </bk>
    <bk>
      <rc t="1" v="4041"/>
    </bk>
    <bk>
      <rc t="1" v="4042"/>
    </bk>
    <bk>
      <rc t="1" v="4043"/>
    </bk>
    <bk>
      <rc t="1" v="4044"/>
    </bk>
    <bk>
      <rc t="1" v="4045"/>
    </bk>
    <bk>
      <rc t="1" v="4046"/>
    </bk>
    <bk>
      <rc t="1" v="4047"/>
    </bk>
    <bk>
      <rc t="1" v="4048"/>
    </bk>
    <bk>
      <rc t="1" v="4049"/>
    </bk>
    <bk>
      <rc t="1" v="4050"/>
    </bk>
    <bk>
      <rc t="1" v="4051"/>
    </bk>
    <bk>
      <rc t="1" v="4052"/>
    </bk>
    <bk>
      <rc t="1" v="4053"/>
    </bk>
    <bk>
      <rc t="1" v="4054"/>
    </bk>
    <bk>
      <rc t="1" v="4055"/>
    </bk>
    <bk>
      <rc t="1" v="4056"/>
    </bk>
    <bk>
      <rc t="1" v="4057"/>
    </bk>
    <bk>
      <rc t="1" v="4058"/>
    </bk>
    <bk>
      <rc t="1" v="4059"/>
    </bk>
    <bk>
      <rc t="1" v="4060"/>
    </bk>
    <bk>
      <rc t="1" v="4061"/>
    </bk>
    <bk>
      <rc t="1" v="4062"/>
    </bk>
    <bk>
      <rc t="1" v="4063"/>
    </bk>
    <bk>
      <rc t="1" v="4064"/>
    </bk>
    <bk>
      <rc t="1" v="4065"/>
    </bk>
    <bk>
      <rc t="1" v="4066"/>
    </bk>
    <bk>
      <rc t="1" v="4067"/>
    </bk>
    <bk>
      <rc t="1" v="4068"/>
    </bk>
    <bk>
      <rc t="1" v="4069"/>
    </bk>
    <bk>
      <rc t="1" v="4070"/>
    </bk>
    <bk>
      <rc t="1" v="4071"/>
    </bk>
    <bk>
      <rc t="1" v="4072"/>
    </bk>
    <bk>
      <rc t="1" v="4073"/>
    </bk>
    <bk>
      <rc t="1" v="4074"/>
    </bk>
    <bk>
      <rc t="1" v="4075"/>
    </bk>
    <bk>
      <rc t="1" v="4076"/>
    </bk>
    <bk>
      <rc t="1" v="4077"/>
    </bk>
    <bk>
      <rc t="1" v="4078"/>
    </bk>
    <bk>
      <rc t="1" v="4079"/>
    </bk>
    <bk>
      <rc t="1" v="4080"/>
    </bk>
    <bk>
      <rc t="1" v="4081"/>
    </bk>
    <bk>
      <rc t="1" v="4082"/>
    </bk>
    <bk>
      <rc t="1" v="4083"/>
    </bk>
    <bk>
      <rc t="1" v="4084"/>
    </bk>
    <bk>
      <rc t="1" v="4085"/>
    </bk>
    <bk>
      <rc t="1" v="4086"/>
    </bk>
    <bk>
      <rc t="1" v="4087"/>
    </bk>
    <bk>
      <rc t="1" v="4088"/>
    </bk>
    <bk>
      <rc t="1" v="4089"/>
    </bk>
    <bk>
      <rc t="1" v="4090"/>
    </bk>
    <bk>
      <rc t="1" v="4091"/>
    </bk>
    <bk>
      <rc t="1" v="4092"/>
    </bk>
    <bk>
      <rc t="1" v="4093"/>
    </bk>
    <bk>
      <rc t="1" v="4094"/>
    </bk>
    <bk>
      <rc t="1" v="4095"/>
    </bk>
    <bk>
      <rc t="1" v="4096"/>
    </bk>
    <bk>
      <rc t="1" v="4097"/>
    </bk>
    <bk>
      <rc t="1" v="4098"/>
    </bk>
    <bk>
      <rc t="1" v="4099"/>
    </bk>
    <bk>
      <rc t="1" v="4100"/>
    </bk>
    <bk>
      <rc t="1" v="4101"/>
    </bk>
    <bk>
      <rc t="1" v="4102"/>
    </bk>
    <bk>
      <rc t="1" v="4103"/>
    </bk>
    <bk>
      <rc t="1" v="4104"/>
    </bk>
    <bk>
      <rc t="1" v="4105"/>
    </bk>
    <bk>
      <rc t="1" v="4106"/>
    </bk>
    <bk>
      <rc t="1" v="4107"/>
    </bk>
    <bk>
      <rc t="1" v="4108"/>
    </bk>
    <bk>
      <rc t="1" v="4109"/>
    </bk>
    <bk>
      <rc t="1" v="4110"/>
    </bk>
    <bk>
      <rc t="1" v="4111"/>
    </bk>
    <bk>
      <rc t="1" v="4112"/>
    </bk>
    <bk>
      <rc t="1" v="4113"/>
    </bk>
    <bk>
      <rc t="1" v="4114"/>
    </bk>
    <bk>
      <rc t="1" v="4115"/>
    </bk>
    <bk>
      <rc t="1" v="4116"/>
    </bk>
    <bk>
      <rc t="1" v="4117"/>
    </bk>
    <bk>
      <rc t="1" v="4118"/>
    </bk>
    <bk>
      <rc t="1" v="4119"/>
    </bk>
    <bk>
      <rc t="1" v="4120"/>
    </bk>
    <bk>
      <rc t="1" v="4121"/>
    </bk>
    <bk>
      <rc t="1" v="4122"/>
    </bk>
    <bk>
      <rc t="1" v="4123"/>
    </bk>
    <bk>
      <rc t="1" v="4124"/>
    </bk>
    <bk>
      <rc t="1" v="4125"/>
    </bk>
    <bk>
      <rc t="1" v="4126"/>
    </bk>
    <bk>
      <rc t="1" v="4127"/>
    </bk>
    <bk>
      <rc t="1" v="4128"/>
    </bk>
    <bk>
      <rc t="1" v="4129"/>
    </bk>
    <bk>
      <rc t="1" v="4130"/>
    </bk>
    <bk>
      <rc t="1" v="4131"/>
    </bk>
    <bk>
      <rc t="1" v="4132"/>
    </bk>
    <bk>
      <rc t="1" v="4133"/>
    </bk>
    <bk>
      <rc t="1" v="4134"/>
    </bk>
    <bk>
      <rc t="1" v="4135"/>
    </bk>
    <bk>
      <rc t="1" v="4136"/>
    </bk>
    <bk>
      <rc t="1" v="4137"/>
    </bk>
    <bk>
      <rc t="1" v="4138"/>
    </bk>
    <bk>
      <rc t="1" v="4139"/>
    </bk>
    <bk>
      <rc t="1" v="4140"/>
    </bk>
    <bk>
      <rc t="1" v="4141"/>
    </bk>
    <bk>
      <rc t="1" v="4142"/>
    </bk>
    <bk>
      <rc t="1" v="4143"/>
    </bk>
    <bk>
      <rc t="1" v="4144"/>
    </bk>
    <bk>
      <rc t="1" v="4145"/>
    </bk>
    <bk>
      <rc t="1" v="4146"/>
    </bk>
    <bk>
      <rc t="1" v="4147"/>
    </bk>
    <bk>
      <rc t="1" v="4148"/>
    </bk>
    <bk>
      <rc t="1" v="4149"/>
    </bk>
    <bk>
      <rc t="1" v="4150"/>
    </bk>
    <bk>
      <rc t="1" v="4151"/>
    </bk>
    <bk>
      <rc t="1" v="4152"/>
    </bk>
    <bk>
      <rc t="1" v="4153"/>
    </bk>
    <bk>
      <rc t="1" v="4154"/>
    </bk>
    <bk>
      <rc t="1" v="4155"/>
    </bk>
    <bk>
      <rc t="1" v="4156"/>
    </bk>
    <bk>
      <rc t="1" v="4157"/>
    </bk>
    <bk>
      <rc t="1" v="4158"/>
    </bk>
    <bk>
      <rc t="1" v="4159"/>
    </bk>
    <bk>
      <rc t="1" v="4160"/>
    </bk>
    <bk>
      <rc t="1" v="4161"/>
    </bk>
    <bk>
      <rc t="1" v="4162"/>
    </bk>
    <bk>
      <rc t="1" v="4163"/>
    </bk>
    <bk>
      <rc t="1" v="4164"/>
    </bk>
    <bk>
      <rc t="1" v="4165"/>
    </bk>
    <bk>
      <rc t="1" v="4166"/>
    </bk>
    <bk>
      <rc t="1" v="4167"/>
    </bk>
    <bk>
      <rc t="1" v="4168"/>
    </bk>
    <bk>
      <rc t="1" v="4169"/>
    </bk>
    <bk>
      <rc t="1" v="4170"/>
    </bk>
    <bk>
      <rc t="1" v="4171"/>
    </bk>
    <bk>
      <rc t="1" v="4172"/>
    </bk>
    <bk>
      <rc t="1" v="4173"/>
    </bk>
    <bk>
      <rc t="1" v="4174"/>
    </bk>
    <bk>
      <rc t="1" v="4175"/>
    </bk>
    <bk>
      <rc t="1" v="4176"/>
    </bk>
    <bk>
      <rc t="1" v="4177"/>
    </bk>
    <bk>
      <rc t="1" v="4178"/>
    </bk>
    <bk>
      <rc t="1" v="4179"/>
    </bk>
    <bk>
      <rc t="1" v="4180"/>
    </bk>
    <bk>
      <rc t="1" v="4181"/>
    </bk>
    <bk>
      <rc t="1" v="4182"/>
    </bk>
    <bk>
      <rc t="1" v="4183"/>
    </bk>
    <bk>
      <rc t="1" v="4184"/>
    </bk>
    <bk>
      <rc t="1" v="4185"/>
    </bk>
    <bk>
      <rc t="1" v="4186"/>
    </bk>
    <bk>
      <rc t="1" v="4187"/>
    </bk>
    <bk>
      <rc t="1" v="4188"/>
    </bk>
    <bk>
      <rc t="1" v="4189"/>
    </bk>
    <bk>
      <rc t="1" v="4190"/>
    </bk>
    <bk>
      <rc t="1" v="4191"/>
    </bk>
    <bk>
      <rc t="1" v="4192"/>
    </bk>
    <bk>
      <rc t="1" v="4193"/>
    </bk>
    <bk>
      <rc t="1" v="4194"/>
    </bk>
    <bk>
      <rc t="1" v="4195"/>
    </bk>
    <bk>
      <rc t="1" v="4196"/>
    </bk>
    <bk>
      <rc t="1" v="4197"/>
    </bk>
    <bk>
      <rc t="1" v="4198"/>
    </bk>
    <bk>
      <rc t="1" v="4199"/>
    </bk>
    <bk>
      <rc t="1" v="4200"/>
    </bk>
    <bk>
      <rc t="1" v="4201"/>
    </bk>
    <bk>
      <rc t="1" v="4202"/>
    </bk>
    <bk>
      <rc t="1" v="4203"/>
    </bk>
    <bk>
      <rc t="1" v="4204"/>
    </bk>
    <bk>
      <rc t="1" v="4205"/>
    </bk>
    <bk>
      <rc t="1" v="4206"/>
    </bk>
    <bk>
      <rc t="1" v="4207"/>
    </bk>
    <bk>
      <rc t="1" v="4208"/>
    </bk>
    <bk>
      <rc t="1" v="4209"/>
    </bk>
    <bk>
      <rc t="1" v="4210"/>
    </bk>
    <bk>
      <rc t="1" v="4211"/>
    </bk>
    <bk>
      <rc t="1" v="4212"/>
    </bk>
    <bk>
      <rc t="1" v="4213"/>
    </bk>
    <bk>
      <rc t="1" v="4214"/>
    </bk>
    <bk>
      <rc t="1" v="4215"/>
    </bk>
    <bk>
      <rc t="1" v="4216"/>
    </bk>
    <bk>
      <rc t="1" v="4217"/>
    </bk>
    <bk>
      <rc t="1" v="4218"/>
    </bk>
    <bk>
      <rc t="1" v="4219"/>
    </bk>
    <bk>
      <rc t="1" v="4220"/>
    </bk>
    <bk>
      <rc t="1" v="4221"/>
    </bk>
    <bk>
      <rc t="1" v="4222"/>
    </bk>
    <bk>
      <rc t="1" v="4223"/>
    </bk>
    <bk>
      <rc t="1" v="4224"/>
    </bk>
    <bk>
      <rc t="1" v="4225"/>
    </bk>
    <bk>
      <rc t="1" v="4226"/>
    </bk>
    <bk>
      <rc t="1" v="4227"/>
    </bk>
    <bk>
      <rc t="1" v="4228"/>
    </bk>
    <bk>
      <rc t="1" v="4229"/>
    </bk>
    <bk>
      <rc t="1" v="4230"/>
    </bk>
    <bk>
      <rc t="1" v="4231"/>
    </bk>
    <bk>
      <rc t="1" v="4232"/>
    </bk>
    <bk>
      <rc t="1" v="4233"/>
    </bk>
    <bk>
      <rc t="1" v="4234"/>
    </bk>
    <bk>
      <rc t="1" v="4235"/>
    </bk>
    <bk>
      <rc t="1" v="4236"/>
    </bk>
    <bk>
      <rc t="1" v="4237"/>
    </bk>
    <bk>
      <rc t="1" v="4238"/>
    </bk>
    <bk>
      <rc t="1" v="4239"/>
    </bk>
    <bk>
      <rc t="1" v="4240"/>
    </bk>
    <bk>
      <rc t="1" v="4241"/>
    </bk>
    <bk>
      <rc t="1" v="4242"/>
    </bk>
    <bk>
      <rc t="1" v="4243"/>
    </bk>
    <bk>
      <rc t="1" v="4244"/>
    </bk>
    <bk>
      <rc t="1" v="4245"/>
    </bk>
    <bk>
      <rc t="1" v="4246"/>
    </bk>
    <bk>
      <rc t="1" v="4247"/>
    </bk>
    <bk>
      <rc t="1" v="4248"/>
    </bk>
    <bk>
      <rc t="1" v="4249"/>
    </bk>
    <bk>
      <rc t="1" v="4250"/>
    </bk>
    <bk>
      <rc t="1" v="4251"/>
    </bk>
    <bk>
      <rc t="1" v="4252"/>
    </bk>
    <bk>
      <rc t="1" v="4253"/>
    </bk>
    <bk>
      <rc t="1" v="4254"/>
    </bk>
    <bk>
      <rc t="1" v="4255"/>
    </bk>
    <bk>
      <rc t="1" v="4256"/>
    </bk>
    <bk>
      <rc t="1" v="4257"/>
    </bk>
    <bk>
      <rc t="1" v="4258"/>
    </bk>
    <bk>
      <rc t="1" v="4259"/>
    </bk>
    <bk>
      <rc t="1" v="4260"/>
    </bk>
    <bk>
      <rc t="1" v="4261"/>
    </bk>
    <bk>
      <rc t="1" v="4262"/>
    </bk>
    <bk>
      <rc t="1" v="4263"/>
    </bk>
    <bk>
      <rc t="1" v="4264"/>
    </bk>
    <bk>
      <rc t="1" v="4265"/>
    </bk>
    <bk>
      <rc t="1" v="4266"/>
    </bk>
    <bk>
      <rc t="1" v="4267"/>
    </bk>
    <bk>
      <rc t="1" v="4268"/>
    </bk>
    <bk>
      <rc t="1" v="4269"/>
    </bk>
    <bk>
      <rc t="1" v="4270"/>
    </bk>
    <bk>
      <rc t="1" v="4271"/>
    </bk>
    <bk>
      <rc t="1" v="4272"/>
    </bk>
    <bk>
      <rc t="1" v="4273"/>
    </bk>
    <bk>
      <rc t="1" v="4274"/>
    </bk>
    <bk>
      <rc t="1" v="4275"/>
    </bk>
    <bk>
      <rc t="1" v="4276"/>
    </bk>
    <bk>
      <rc t="1" v="4277"/>
    </bk>
    <bk>
      <rc t="1" v="4278"/>
    </bk>
    <bk>
      <rc t="1" v="4279"/>
    </bk>
    <bk>
      <rc t="1" v="4280"/>
    </bk>
    <bk>
      <rc t="1" v="4281"/>
    </bk>
    <bk>
      <rc t="1" v="4282"/>
    </bk>
    <bk>
      <rc t="1" v="4283"/>
    </bk>
    <bk>
      <rc t="1" v="4284"/>
    </bk>
    <bk>
      <rc t="1" v="4285"/>
    </bk>
    <bk>
      <rc t="1" v="4286"/>
    </bk>
    <bk>
      <rc t="1" v="4287"/>
    </bk>
    <bk>
      <rc t="1" v="4288"/>
    </bk>
    <bk>
      <rc t="1" v="4289"/>
    </bk>
    <bk>
      <rc t="1" v="4290"/>
    </bk>
    <bk>
      <rc t="1" v="4291"/>
    </bk>
    <bk>
      <rc t="1" v="4292"/>
    </bk>
    <bk>
      <rc t="1" v="4293"/>
    </bk>
    <bk>
      <rc t="1" v="4294"/>
    </bk>
    <bk>
      <rc t="1" v="4295"/>
    </bk>
    <bk>
      <rc t="1" v="4296"/>
    </bk>
    <bk>
      <rc t="1" v="4297"/>
    </bk>
    <bk>
      <rc t="1" v="4298"/>
    </bk>
    <bk>
      <rc t="1" v="4299"/>
    </bk>
    <bk>
      <rc t="1" v="4300"/>
    </bk>
    <bk>
      <rc t="1" v="4301"/>
    </bk>
    <bk>
      <rc t="1" v="4302"/>
    </bk>
    <bk>
      <rc t="1" v="4303"/>
    </bk>
    <bk>
      <rc t="1" v="4304"/>
    </bk>
    <bk>
      <rc t="1" v="4305"/>
    </bk>
    <bk>
      <rc t="1" v="4306"/>
    </bk>
    <bk>
      <rc t="1" v="4307"/>
    </bk>
    <bk>
      <rc t="1" v="4308"/>
    </bk>
    <bk>
      <rc t="1" v="4309"/>
    </bk>
    <bk>
      <rc t="1" v="4310"/>
    </bk>
    <bk>
      <rc t="1" v="4311"/>
    </bk>
    <bk>
      <rc t="1" v="4312"/>
    </bk>
    <bk>
      <rc t="1" v="4313"/>
    </bk>
    <bk>
      <rc t="1" v="4314"/>
    </bk>
    <bk>
      <rc t="1" v="4315"/>
    </bk>
    <bk>
      <rc t="1" v="4316"/>
    </bk>
    <bk>
      <rc t="1" v="4317"/>
    </bk>
    <bk>
      <rc t="1" v="4318"/>
    </bk>
    <bk>
      <rc t="1" v="4319"/>
    </bk>
    <bk>
      <rc t="1" v="4320"/>
    </bk>
    <bk>
      <rc t="1" v="4321"/>
    </bk>
    <bk>
      <rc t="1" v="4322"/>
    </bk>
    <bk>
      <rc t="1" v="4323"/>
    </bk>
    <bk>
      <rc t="1" v="4324"/>
    </bk>
    <bk>
      <rc t="1" v="4325"/>
    </bk>
    <bk>
      <rc t="1" v="4326"/>
    </bk>
    <bk>
      <rc t="1" v="4327"/>
    </bk>
    <bk>
      <rc t="1" v="4328"/>
    </bk>
    <bk>
      <rc t="1" v="4329"/>
    </bk>
    <bk>
      <rc t="1" v="4330"/>
    </bk>
    <bk>
      <rc t="1" v="4331"/>
    </bk>
    <bk>
      <rc t="1" v="4332"/>
    </bk>
    <bk>
      <rc t="1" v="4333"/>
    </bk>
    <bk>
      <rc t="1" v="4334"/>
    </bk>
    <bk>
      <rc t="1" v="4335"/>
    </bk>
    <bk>
      <rc t="1" v="4336"/>
    </bk>
    <bk>
      <rc t="1" v="4337"/>
    </bk>
    <bk>
      <rc t="1" v="4338"/>
    </bk>
    <bk>
      <rc t="1" v="4339"/>
    </bk>
    <bk>
      <rc t="1" v="4340"/>
    </bk>
    <bk>
      <rc t="1" v="4341"/>
    </bk>
    <bk>
      <rc t="1" v="4342"/>
    </bk>
    <bk>
      <rc t="1" v="4343"/>
    </bk>
    <bk>
      <rc t="1" v="4344"/>
    </bk>
    <bk>
      <rc t="1" v="4345"/>
    </bk>
    <bk>
      <rc t="1" v="4346"/>
    </bk>
    <bk>
      <rc t="1" v="4347"/>
    </bk>
    <bk>
      <rc t="1" v="4348"/>
    </bk>
    <bk>
      <rc t="1" v="4349"/>
    </bk>
    <bk>
      <rc t="1" v="4350"/>
    </bk>
    <bk>
      <rc t="1" v="4351"/>
    </bk>
    <bk>
      <rc t="1" v="4352"/>
    </bk>
    <bk>
      <rc t="1" v="4353"/>
    </bk>
    <bk>
      <rc t="1" v="4354"/>
    </bk>
    <bk>
      <rc t="1" v="4355"/>
    </bk>
    <bk>
      <rc t="1" v="4356"/>
    </bk>
    <bk>
      <rc t="1" v="4357"/>
    </bk>
    <bk>
      <rc t="1" v="4358"/>
    </bk>
    <bk>
      <rc t="1" v="4359"/>
    </bk>
    <bk>
      <rc t="1" v="4360"/>
    </bk>
    <bk>
      <rc t="1" v="4361"/>
    </bk>
    <bk>
      <rc t="1" v="4362"/>
    </bk>
    <bk>
      <rc t="1" v="4363"/>
    </bk>
    <bk>
      <rc t="1" v="4364"/>
    </bk>
    <bk>
      <rc t="1" v="4365"/>
    </bk>
    <bk>
      <rc t="1" v="4366"/>
    </bk>
    <bk>
      <rc t="1" v="4367"/>
    </bk>
    <bk>
      <rc t="1" v="4368"/>
    </bk>
    <bk>
      <rc t="1" v="4369"/>
    </bk>
    <bk>
      <rc t="1" v="4370"/>
    </bk>
    <bk>
      <rc t="1" v="4371"/>
    </bk>
    <bk>
      <rc t="1" v="4372"/>
    </bk>
    <bk>
      <rc t="1" v="4373"/>
    </bk>
    <bk>
      <rc t="1" v="4374"/>
    </bk>
    <bk>
      <rc t="1" v="4375"/>
    </bk>
    <bk>
      <rc t="1" v="4376"/>
    </bk>
    <bk>
      <rc t="1" v="4377"/>
    </bk>
    <bk>
      <rc t="1" v="4378"/>
    </bk>
    <bk>
      <rc t="1" v="4379"/>
    </bk>
    <bk>
      <rc t="1" v="4380"/>
    </bk>
    <bk>
      <rc t="1" v="4381"/>
    </bk>
    <bk>
      <rc t="1" v="4382"/>
    </bk>
    <bk>
      <rc t="1" v="4383"/>
    </bk>
    <bk>
      <rc t="1" v="4384"/>
    </bk>
    <bk>
      <rc t="1" v="4385"/>
    </bk>
    <bk>
      <rc t="1" v="4386"/>
    </bk>
    <bk>
      <rc t="1" v="4387"/>
    </bk>
    <bk>
      <rc t="1" v="4388"/>
    </bk>
    <bk>
      <rc t="1" v="4389"/>
    </bk>
    <bk>
      <rc t="1" v="4390"/>
    </bk>
    <bk>
      <rc t="1" v="4391"/>
    </bk>
    <bk>
      <rc t="1" v="4392"/>
    </bk>
    <bk>
      <rc t="1" v="4393"/>
    </bk>
    <bk>
      <rc t="1" v="4394"/>
    </bk>
    <bk>
      <rc t="1" v="4395"/>
    </bk>
    <bk>
      <rc t="1" v="4396"/>
    </bk>
    <bk>
      <rc t="1" v="4397"/>
    </bk>
    <bk>
      <rc t="1" v="4398"/>
    </bk>
    <bk>
      <rc t="1" v="4399"/>
    </bk>
    <bk>
      <rc t="1" v="4400"/>
    </bk>
    <bk>
      <rc t="1" v="4401"/>
    </bk>
    <bk>
      <rc t="1" v="4402"/>
    </bk>
    <bk>
      <rc t="1" v="4403"/>
    </bk>
    <bk>
      <rc t="1" v="4404"/>
    </bk>
    <bk>
      <rc t="1" v="4405"/>
    </bk>
    <bk>
      <rc t="1" v="4406"/>
    </bk>
    <bk>
      <rc t="1" v="4407"/>
    </bk>
    <bk>
      <rc t="1" v="4408"/>
    </bk>
    <bk>
      <rc t="1" v="4409"/>
    </bk>
    <bk>
      <rc t="1" v="4410"/>
    </bk>
    <bk>
      <rc t="1" v="4411"/>
    </bk>
    <bk>
      <rc t="1" v="4412"/>
    </bk>
    <bk>
      <rc t="1" v="4413"/>
    </bk>
    <bk>
      <rc t="1" v="4414"/>
    </bk>
    <bk>
      <rc t="1" v="4415"/>
    </bk>
    <bk>
      <rc t="1" v="4416"/>
    </bk>
    <bk>
      <rc t="1" v="4417"/>
    </bk>
    <bk>
      <rc t="1" v="4418"/>
    </bk>
    <bk>
      <rc t="1" v="4419"/>
    </bk>
    <bk>
      <rc t="1" v="4420"/>
    </bk>
    <bk>
      <rc t="1" v="4421"/>
    </bk>
    <bk>
      <rc t="1" v="4422"/>
    </bk>
    <bk>
      <rc t="1" v="4423"/>
    </bk>
    <bk>
      <rc t="1" v="4424"/>
    </bk>
    <bk>
      <rc t="1" v="4425"/>
    </bk>
    <bk>
      <rc t="1" v="4426"/>
    </bk>
    <bk>
      <rc t="1" v="4427"/>
    </bk>
    <bk>
      <rc t="1" v="4428"/>
    </bk>
    <bk>
      <rc t="1" v="4429"/>
    </bk>
    <bk>
      <rc t="1" v="4430"/>
    </bk>
    <bk>
      <rc t="1" v="4431"/>
    </bk>
    <bk>
      <rc t="1" v="4432"/>
    </bk>
    <bk>
      <rc t="1" v="4433"/>
    </bk>
    <bk>
      <rc t="1" v="4434"/>
    </bk>
    <bk>
      <rc t="1" v="4435"/>
    </bk>
    <bk>
      <rc t="1" v="4436"/>
    </bk>
    <bk>
      <rc t="1" v="4437"/>
    </bk>
    <bk>
      <rc t="1" v="4438"/>
    </bk>
    <bk>
      <rc t="1" v="4439"/>
    </bk>
    <bk>
      <rc t="1" v="4440"/>
    </bk>
    <bk>
      <rc t="1" v="4441"/>
    </bk>
    <bk>
      <rc t="1" v="4442"/>
    </bk>
    <bk>
      <rc t="1" v="4443"/>
    </bk>
    <bk>
      <rc t="1" v="4444"/>
    </bk>
    <bk>
      <rc t="1" v="4445"/>
    </bk>
    <bk>
      <rc t="1" v="4446"/>
    </bk>
    <bk>
      <rc t="1" v="4447"/>
    </bk>
    <bk>
      <rc t="1" v="4448"/>
    </bk>
    <bk>
      <rc t="1" v="4449"/>
    </bk>
    <bk>
      <rc t="1" v="4450"/>
    </bk>
    <bk>
      <rc t="1" v="4451"/>
    </bk>
    <bk>
      <rc t="1" v="4452"/>
    </bk>
    <bk>
      <rc t="1" v="4453"/>
    </bk>
    <bk>
      <rc t="1" v="4454"/>
    </bk>
    <bk>
      <rc t="1" v="4455"/>
    </bk>
    <bk>
      <rc t="1" v="4456"/>
    </bk>
    <bk>
      <rc t="1" v="4457"/>
    </bk>
    <bk>
      <rc t="1" v="4458"/>
    </bk>
    <bk>
      <rc t="1" v="4459"/>
    </bk>
    <bk>
      <rc t="1" v="4460"/>
    </bk>
    <bk>
      <rc t="1" v="4461"/>
    </bk>
    <bk>
      <rc t="1" v="4462"/>
    </bk>
    <bk>
      <rc t="1" v="4463"/>
    </bk>
    <bk>
      <rc t="1" v="4464"/>
    </bk>
    <bk>
      <rc t="1" v="4465"/>
    </bk>
    <bk>
      <rc t="1" v="4466"/>
    </bk>
    <bk>
      <rc t="1" v="4467"/>
    </bk>
    <bk>
      <rc t="1" v="4468"/>
    </bk>
    <bk>
      <rc t="1" v="4469"/>
    </bk>
    <bk>
      <rc t="1" v="4470"/>
    </bk>
    <bk>
      <rc t="1" v="4471"/>
    </bk>
    <bk>
      <rc t="1" v="4472"/>
    </bk>
    <bk>
      <rc t="1" v="4473"/>
    </bk>
    <bk>
      <rc t="1" v="4474"/>
    </bk>
    <bk>
      <rc t="1" v="4475"/>
    </bk>
    <bk>
      <rc t="1" v="4476"/>
    </bk>
    <bk>
      <rc t="1" v="4477"/>
    </bk>
    <bk>
      <rc t="1" v="4478"/>
    </bk>
    <bk>
      <rc t="1" v="4479"/>
    </bk>
    <bk>
      <rc t="1" v="4480"/>
    </bk>
    <bk>
      <rc t="1" v="4481"/>
    </bk>
    <bk>
      <rc t="1" v="4482"/>
    </bk>
    <bk>
      <rc t="1" v="4483"/>
    </bk>
    <bk>
      <rc t="1" v="4484"/>
    </bk>
    <bk>
      <rc t="1" v="4485"/>
    </bk>
    <bk>
      <rc t="1" v="4486"/>
    </bk>
    <bk>
      <rc t="1" v="4487"/>
    </bk>
    <bk>
      <rc t="1" v="4488"/>
    </bk>
    <bk>
      <rc t="1" v="4489"/>
    </bk>
    <bk>
      <rc t="1" v="4490"/>
    </bk>
    <bk>
      <rc t="1" v="4491"/>
    </bk>
    <bk>
      <rc t="1" v="4492"/>
    </bk>
    <bk>
      <rc t="1" v="4493"/>
    </bk>
    <bk>
      <rc t="1" v="4494"/>
    </bk>
    <bk>
      <rc t="1" v="4495"/>
    </bk>
    <bk>
      <rc t="1" v="4496"/>
    </bk>
    <bk>
      <rc t="1" v="4497"/>
    </bk>
    <bk>
      <rc t="1" v="4498"/>
    </bk>
    <bk>
      <rc t="1" v="4499"/>
    </bk>
    <bk>
      <rc t="1" v="4500"/>
    </bk>
    <bk>
      <rc t="1" v="4501"/>
    </bk>
    <bk>
      <rc t="1" v="4502"/>
    </bk>
    <bk>
      <rc t="1" v="4503"/>
    </bk>
    <bk>
      <rc t="1" v="4504"/>
    </bk>
    <bk>
      <rc t="1" v="4505"/>
    </bk>
    <bk>
      <rc t="1" v="4506"/>
    </bk>
    <bk>
      <rc t="1" v="4507"/>
    </bk>
    <bk>
      <rc t="1" v="4508"/>
    </bk>
    <bk>
      <rc t="1" v="4509"/>
    </bk>
    <bk>
      <rc t="1" v="4510"/>
    </bk>
    <bk>
      <rc t="1" v="4511"/>
    </bk>
    <bk>
      <rc t="1" v="4512"/>
    </bk>
    <bk>
      <rc t="1" v="4513"/>
    </bk>
    <bk>
      <rc t="1" v="4514"/>
    </bk>
    <bk>
      <rc t="1" v="4515"/>
    </bk>
    <bk>
      <rc t="1" v="4516"/>
    </bk>
    <bk>
      <rc t="1" v="4517"/>
    </bk>
    <bk>
      <rc t="1" v="4518"/>
    </bk>
    <bk>
      <rc t="1" v="4519"/>
    </bk>
    <bk>
      <rc t="1" v="4520"/>
    </bk>
    <bk>
      <rc t="1" v="4521"/>
    </bk>
    <bk>
      <rc t="1" v="4522"/>
    </bk>
    <bk>
      <rc t="1" v="4523"/>
    </bk>
    <bk>
      <rc t="1" v="4524"/>
    </bk>
    <bk>
      <rc t="1" v="4525"/>
    </bk>
    <bk>
      <rc t="1" v="4526"/>
    </bk>
    <bk>
      <rc t="1" v="4527"/>
    </bk>
    <bk>
      <rc t="1" v="4528"/>
    </bk>
    <bk>
      <rc t="1" v="4529"/>
    </bk>
    <bk>
      <rc t="1" v="4530"/>
    </bk>
    <bk>
      <rc t="1" v="4531"/>
    </bk>
    <bk>
      <rc t="1" v="4532"/>
    </bk>
    <bk>
      <rc t="1" v="4533"/>
    </bk>
    <bk>
      <rc t="1" v="4534"/>
    </bk>
    <bk>
      <rc t="1" v="4535"/>
    </bk>
    <bk>
      <rc t="1" v="4536"/>
    </bk>
    <bk>
      <rc t="1" v="4537"/>
    </bk>
    <bk>
      <rc t="1" v="4538"/>
    </bk>
    <bk>
      <rc t="1" v="4539"/>
    </bk>
    <bk>
      <rc t="1" v="4540"/>
    </bk>
    <bk>
      <rc t="1" v="4541"/>
    </bk>
    <bk>
      <rc t="1" v="4542"/>
    </bk>
    <bk>
      <rc t="1" v="4543"/>
    </bk>
    <bk>
      <rc t="1" v="4544"/>
    </bk>
    <bk>
      <rc t="1" v="4545"/>
    </bk>
    <bk>
      <rc t="1" v="4546"/>
    </bk>
    <bk>
      <rc t="1" v="4547"/>
    </bk>
    <bk>
      <rc t="1" v="4548"/>
    </bk>
    <bk>
      <rc t="1" v="4549"/>
    </bk>
    <bk>
      <rc t="1" v="4550"/>
    </bk>
    <bk>
      <rc t="1" v="4551"/>
    </bk>
    <bk>
      <rc t="1" v="4552"/>
    </bk>
    <bk>
      <rc t="1" v="4553"/>
    </bk>
    <bk>
      <rc t="1" v="4554"/>
    </bk>
    <bk>
      <rc t="1" v="4555"/>
    </bk>
    <bk>
      <rc t="1" v="4556"/>
    </bk>
    <bk>
      <rc t="1" v="4557"/>
    </bk>
    <bk>
      <rc t="1" v="4558"/>
    </bk>
    <bk>
      <rc t="1" v="4559"/>
    </bk>
    <bk>
      <rc t="1" v="4560"/>
    </bk>
    <bk>
      <rc t="1" v="4561"/>
    </bk>
    <bk>
      <rc t="1" v="4562"/>
    </bk>
    <bk>
      <rc t="1" v="4563"/>
    </bk>
    <bk>
      <rc t="1" v="4564"/>
    </bk>
    <bk>
      <rc t="1" v="4565"/>
    </bk>
    <bk>
      <rc t="1" v="4566"/>
    </bk>
    <bk>
      <rc t="1" v="4567"/>
    </bk>
    <bk>
      <rc t="1" v="4568"/>
    </bk>
    <bk>
      <rc t="1" v="4569"/>
    </bk>
    <bk>
      <rc t="1" v="4570"/>
    </bk>
    <bk>
      <rc t="1" v="4571"/>
    </bk>
    <bk>
      <rc t="1" v="4572"/>
    </bk>
    <bk>
      <rc t="1" v="4573"/>
    </bk>
    <bk>
      <rc t="1" v="4574"/>
    </bk>
    <bk>
      <rc t="1" v="4575"/>
    </bk>
    <bk>
      <rc t="1" v="4576"/>
    </bk>
    <bk>
      <rc t="1" v="4577"/>
    </bk>
    <bk>
      <rc t="1" v="4578"/>
    </bk>
    <bk>
      <rc t="1" v="4579"/>
    </bk>
    <bk>
      <rc t="1" v="4580"/>
    </bk>
    <bk>
      <rc t="1" v="4581"/>
    </bk>
    <bk>
      <rc t="1" v="4582"/>
    </bk>
    <bk>
      <rc t="1" v="4583"/>
    </bk>
    <bk>
      <rc t="1" v="4584"/>
    </bk>
    <bk>
      <rc t="1" v="4585"/>
    </bk>
    <bk>
      <rc t="1" v="4586"/>
    </bk>
    <bk>
      <rc t="1" v="4587"/>
    </bk>
    <bk>
      <rc t="1" v="4588"/>
    </bk>
    <bk>
      <rc t="1" v="4589"/>
    </bk>
    <bk>
      <rc t="1" v="4590"/>
    </bk>
    <bk>
      <rc t="1" v="4591"/>
    </bk>
    <bk>
      <rc t="1" v="4592"/>
    </bk>
    <bk>
      <rc t="1" v="4593"/>
    </bk>
    <bk>
      <rc t="1" v="4594"/>
    </bk>
    <bk>
      <rc t="1" v="4595"/>
    </bk>
    <bk>
      <rc t="1" v="4596"/>
    </bk>
    <bk>
      <rc t="1" v="4597"/>
    </bk>
    <bk>
      <rc t="1" v="4598"/>
    </bk>
    <bk>
      <rc t="1" v="4599"/>
    </bk>
    <bk>
      <rc t="1" v="4600"/>
    </bk>
    <bk>
      <rc t="1" v="4601"/>
    </bk>
    <bk>
      <rc t="1" v="4602"/>
    </bk>
    <bk>
      <rc t="1" v="4603"/>
    </bk>
    <bk>
      <rc t="1" v="4604"/>
    </bk>
    <bk>
      <rc t="1" v="4605"/>
    </bk>
    <bk>
      <rc t="1" v="4606"/>
    </bk>
    <bk>
      <rc t="1" v="4607"/>
    </bk>
    <bk>
      <rc t="1" v="4608"/>
    </bk>
    <bk>
      <rc t="1" v="4609"/>
    </bk>
    <bk>
      <rc t="1" v="4610"/>
    </bk>
    <bk>
      <rc t="1" v="4611"/>
    </bk>
    <bk>
      <rc t="1" v="4612"/>
    </bk>
    <bk>
      <rc t="1" v="4613"/>
    </bk>
    <bk>
      <rc t="1" v="4614"/>
    </bk>
    <bk>
      <rc t="1" v="4615"/>
    </bk>
    <bk>
      <rc t="1" v="4616"/>
    </bk>
    <bk>
      <rc t="1" v="4617"/>
    </bk>
    <bk>
      <rc t="1" v="4618"/>
    </bk>
    <bk>
      <rc t="1" v="4619"/>
    </bk>
    <bk>
      <rc t="1" v="4620"/>
    </bk>
    <bk>
      <rc t="1" v="4621"/>
    </bk>
    <bk>
      <rc t="1" v="4622"/>
    </bk>
    <bk>
      <rc t="1" v="4623"/>
    </bk>
    <bk>
      <rc t="1" v="4624"/>
    </bk>
    <bk>
      <rc t="1" v="4625"/>
    </bk>
    <bk>
      <rc t="1" v="4626"/>
    </bk>
    <bk>
      <rc t="1" v="4627"/>
    </bk>
    <bk>
      <rc t="1" v="4628"/>
    </bk>
    <bk>
      <rc t="1" v="4629"/>
    </bk>
    <bk>
      <rc t="1" v="4630"/>
    </bk>
    <bk>
      <rc t="1" v="4631"/>
    </bk>
    <bk>
      <rc t="1" v="4632"/>
    </bk>
    <bk>
      <rc t="1" v="4633"/>
    </bk>
    <bk>
      <rc t="1" v="4634"/>
    </bk>
    <bk>
      <rc t="1" v="4635"/>
    </bk>
    <bk>
      <rc t="1" v="4636"/>
    </bk>
    <bk>
      <rc t="1" v="4637"/>
    </bk>
    <bk>
      <rc t="1" v="4638"/>
    </bk>
    <bk>
      <rc t="1" v="4639"/>
    </bk>
    <bk>
      <rc t="1" v="4640"/>
    </bk>
    <bk>
      <rc t="1" v="4641"/>
    </bk>
    <bk>
      <rc t="1" v="4642"/>
    </bk>
    <bk>
      <rc t="1" v="4643"/>
    </bk>
    <bk>
      <rc t="1" v="4644"/>
    </bk>
    <bk>
      <rc t="1" v="4645"/>
    </bk>
    <bk>
      <rc t="1" v="4646"/>
    </bk>
    <bk>
      <rc t="1" v="4647"/>
    </bk>
    <bk>
      <rc t="1" v="4648"/>
    </bk>
    <bk>
      <rc t="1" v="4649"/>
    </bk>
    <bk>
      <rc t="1" v="4650"/>
    </bk>
    <bk>
      <rc t="1" v="4651"/>
    </bk>
    <bk>
      <rc t="1" v="4652"/>
    </bk>
    <bk>
      <rc t="1" v="4653"/>
    </bk>
    <bk>
      <rc t="1" v="4654"/>
    </bk>
    <bk>
      <rc t="1" v="4655"/>
    </bk>
    <bk>
      <rc t="1" v="4656"/>
    </bk>
    <bk>
      <rc t="1" v="4657"/>
    </bk>
    <bk>
      <rc t="1" v="4658"/>
    </bk>
    <bk>
      <rc t="1" v="4659"/>
    </bk>
    <bk>
      <rc t="1" v="4660"/>
    </bk>
    <bk>
      <rc t="1" v="4661"/>
    </bk>
    <bk>
      <rc t="1" v="4662"/>
    </bk>
    <bk>
      <rc t="1" v="4663"/>
    </bk>
    <bk>
      <rc t="1" v="4664"/>
    </bk>
    <bk>
      <rc t="1" v="4665"/>
    </bk>
    <bk>
      <rc t="1" v="4666"/>
    </bk>
    <bk>
      <rc t="1" v="4667"/>
    </bk>
    <bk>
      <rc t="1" v="4668"/>
    </bk>
    <bk>
      <rc t="1" v="4669"/>
    </bk>
    <bk>
      <rc t="1" v="4670"/>
    </bk>
    <bk>
      <rc t="1" v="4671"/>
    </bk>
    <bk>
      <rc t="1" v="4672"/>
    </bk>
    <bk>
      <rc t="1" v="4673"/>
    </bk>
    <bk>
      <rc t="1" v="4674"/>
    </bk>
    <bk>
      <rc t="1" v="4675"/>
    </bk>
    <bk>
      <rc t="1" v="4676"/>
    </bk>
    <bk>
      <rc t="1" v="4677"/>
    </bk>
    <bk>
      <rc t="1" v="4678"/>
    </bk>
    <bk>
      <rc t="1" v="4679"/>
    </bk>
    <bk>
      <rc t="1" v="4680"/>
    </bk>
    <bk>
      <rc t="1" v="4681"/>
    </bk>
    <bk>
      <rc t="1" v="4682"/>
    </bk>
    <bk>
      <rc t="1" v="4683"/>
    </bk>
    <bk>
      <rc t="1" v="4684"/>
    </bk>
    <bk>
      <rc t="1" v="4685"/>
    </bk>
    <bk>
      <rc t="1" v="4686"/>
    </bk>
    <bk>
      <rc t="1" v="4687"/>
    </bk>
    <bk>
      <rc t="1" v="4688"/>
    </bk>
    <bk>
      <rc t="1" v="4689"/>
    </bk>
    <bk>
      <rc t="1" v="4690"/>
    </bk>
    <bk>
      <rc t="1" v="4691"/>
    </bk>
    <bk>
      <rc t="1" v="4692"/>
    </bk>
    <bk>
      <rc t="1" v="4693"/>
    </bk>
    <bk>
      <rc t="1" v="4694"/>
    </bk>
    <bk>
      <rc t="1" v="4695"/>
    </bk>
    <bk>
      <rc t="1" v="4696"/>
    </bk>
    <bk>
      <rc t="1" v="4697"/>
    </bk>
    <bk>
      <rc t="1" v="4698"/>
    </bk>
    <bk>
      <rc t="1" v="4699"/>
    </bk>
    <bk>
      <rc t="1" v="4700"/>
    </bk>
    <bk>
      <rc t="1" v="4701"/>
    </bk>
    <bk>
      <rc t="1" v="4702"/>
    </bk>
    <bk>
      <rc t="1" v="4703"/>
    </bk>
    <bk>
      <rc t="1" v="4704"/>
    </bk>
    <bk>
      <rc t="1" v="4705"/>
    </bk>
    <bk>
      <rc t="1" v="4706"/>
    </bk>
    <bk>
      <rc t="1" v="4707"/>
    </bk>
    <bk>
      <rc t="1" v="4708"/>
    </bk>
    <bk>
      <rc t="1" v="4709"/>
    </bk>
    <bk>
      <rc t="1" v="4710"/>
    </bk>
    <bk>
      <rc t="1" v="4711"/>
    </bk>
    <bk>
      <rc t="1" v="4712"/>
    </bk>
    <bk>
      <rc t="1" v="4713"/>
    </bk>
    <bk>
      <rc t="1" v="4714"/>
    </bk>
    <bk>
      <rc t="1" v="4715"/>
    </bk>
    <bk>
      <rc t="1" v="4716"/>
    </bk>
    <bk>
      <rc t="1" v="4717"/>
    </bk>
    <bk>
      <rc t="1" v="4718"/>
    </bk>
    <bk>
      <rc t="1" v="4719"/>
    </bk>
    <bk>
      <rc t="1" v="4720"/>
    </bk>
    <bk>
      <rc t="1" v="4721"/>
    </bk>
    <bk>
      <rc t="1" v="4722"/>
    </bk>
    <bk>
      <rc t="1" v="4723"/>
    </bk>
    <bk>
      <rc t="1" v="4724"/>
    </bk>
    <bk>
      <rc t="1" v="4725"/>
    </bk>
    <bk>
      <rc t="1" v="4726"/>
    </bk>
    <bk>
      <rc t="1" v="4727"/>
    </bk>
    <bk>
      <rc t="1" v="4728"/>
    </bk>
    <bk>
      <rc t="1" v="4729"/>
    </bk>
    <bk>
      <rc t="1" v="4730"/>
    </bk>
    <bk>
      <rc t="1" v="4731"/>
    </bk>
    <bk>
      <rc t="1" v="4732"/>
    </bk>
    <bk>
      <rc t="1" v="4733"/>
    </bk>
    <bk>
      <rc t="1" v="4734"/>
    </bk>
    <bk>
      <rc t="1" v="4735"/>
    </bk>
    <bk>
      <rc t="1" v="4736"/>
    </bk>
    <bk>
      <rc t="1" v="4737"/>
    </bk>
    <bk>
      <rc t="1" v="4738"/>
    </bk>
    <bk>
      <rc t="1" v="4739"/>
    </bk>
    <bk>
      <rc t="1" v="4740"/>
    </bk>
    <bk>
      <rc t="1" v="4741"/>
    </bk>
    <bk>
      <rc t="1" v="4742"/>
    </bk>
    <bk>
      <rc t="1" v="4743"/>
    </bk>
    <bk>
      <rc t="1" v="4744"/>
    </bk>
    <bk>
      <rc t="1" v="4745"/>
    </bk>
    <bk>
      <rc t="1" v="4746"/>
    </bk>
    <bk>
      <rc t="1" v="4747"/>
    </bk>
    <bk>
      <rc t="1" v="4748"/>
    </bk>
    <bk>
      <rc t="1" v="4749"/>
    </bk>
    <bk>
      <rc t="1" v="4750"/>
    </bk>
    <bk>
      <rc t="1" v="4751"/>
    </bk>
    <bk>
      <rc t="1" v="4752"/>
    </bk>
    <bk>
      <rc t="1" v="4753"/>
    </bk>
    <bk>
      <rc t="1" v="4754"/>
    </bk>
    <bk>
      <rc t="1" v="4755"/>
    </bk>
    <bk>
      <rc t="1" v="4756"/>
    </bk>
    <bk>
      <rc t="1" v="4757"/>
    </bk>
    <bk>
      <rc t="1" v="4758"/>
    </bk>
    <bk>
      <rc t="1" v="4759"/>
    </bk>
    <bk>
      <rc t="1" v="4760"/>
    </bk>
    <bk>
      <rc t="1" v="4761"/>
    </bk>
    <bk>
      <rc t="1" v="4762"/>
    </bk>
    <bk>
      <rc t="1" v="4763"/>
    </bk>
    <bk>
      <rc t="1" v="4764"/>
    </bk>
    <bk>
      <rc t="1" v="4765"/>
    </bk>
    <bk>
      <rc t="1" v="4766"/>
    </bk>
    <bk>
      <rc t="1" v="4767"/>
    </bk>
    <bk>
      <rc t="1" v="4768"/>
    </bk>
    <bk>
      <rc t="1" v="4769"/>
    </bk>
    <bk>
      <rc t="1" v="4770"/>
    </bk>
    <bk>
      <rc t="1" v="4771"/>
    </bk>
    <bk>
      <rc t="1" v="4772"/>
    </bk>
    <bk>
      <rc t="1" v="4773"/>
    </bk>
    <bk>
      <rc t="1" v="4774"/>
    </bk>
    <bk>
      <rc t="1" v="4775"/>
    </bk>
    <bk>
      <rc t="1" v="4776"/>
    </bk>
    <bk>
      <rc t="1" v="4777"/>
    </bk>
    <bk>
      <rc t="1" v="4778"/>
    </bk>
    <bk>
      <rc t="1" v="4779"/>
    </bk>
    <bk>
      <rc t="1" v="4780"/>
    </bk>
    <bk>
      <rc t="1" v="4781"/>
    </bk>
    <bk>
      <rc t="1" v="4782"/>
    </bk>
    <bk>
      <rc t="1" v="4783"/>
    </bk>
    <bk>
      <rc t="1" v="4784"/>
    </bk>
    <bk>
      <rc t="1" v="4785"/>
    </bk>
    <bk>
      <rc t="1" v="4786"/>
    </bk>
    <bk>
      <rc t="1" v="4787"/>
    </bk>
    <bk>
      <rc t="1" v="4788"/>
    </bk>
    <bk>
      <rc t="1" v="4789"/>
    </bk>
    <bk>
      <rc t="1" v="4790"/>
    </bk>
    <bk>
      <rc t="1" v="4791"/>
    </bk>
    <bk>
      <rc t="1" v="4792"/>
    </bk>
    <bk>
      <rc t="1" v="4793"/>
    </bk>
    <bk>
      <rc t="1" v="4794"/>
    </bk>
    <bk>
      <rc t="1" v="4795"/>
    </bk>
    <bk>
      <rc t="1" v="4796"/>
    </bk>
    <bk>
      <rc t="1" v="4797"/>
    </bk>
    <bk>
      <rc t="1" v="4798"/>
    </bk>
    <bk>
      <rc t="1" v="4799"/>
    </bk>
    <bk>
      <rc t="1" v="4800"/>
    </bk>
    <bk>
      <rc t="1" v="4801"/>
    </bk>
    <bk>
      <rc t="1" v="4802"/>
    </bk>
    <bk>
      <rc t="1" v="4803"/>
    </bk>
    <bk>
      <rc t="1" v="4804"/>
    </bk>
    <bk>
      <rc t="1" v="4805"/>
    </bk>
    <bk>
      <rc t="1" v="4806"/>
    </bk>
    <bk>
      <rc t="1" v="4807"/>
    </bk>
    <bk>
      <rc t="1" v="4808"/>
    </bk>
    <bk>
      <rc t="1" v="4809"/>
    </bk>
    <bk>
      <rc t="1" v="4810"/>
    </bk>
    <bk>
      <rc t="1" v="4811"/>
    </bk>
    <bk>
      <rc t="1" v="4812"/>
    </bk>
    <bk>
      <rc t="1" v="4813"/>
    </bk>
    <bk>
      <rc t="1" v="4814"/>
    </bk>
    <bk>
      <rc t="1" v="4815"/>
    </bk>
    <bk>
      <rc t="1" v="4816"/>
    </bk>
    <bk>
      <rc t="1" v="4817"/>
    </bk>
    <bk>
      <rc t="1" v="4818"/>
    </bk>
    <bk>
      <rc t="1" v="4819"/>
    </bk>
    <bk>
      <rc t="1" v="4820"/>
    </bk>
    <bk>
      <rc t="1" v="4821"/>
    </bk>
    <bk>
      <rc t="1" v="4822"/>
    </bk>
    <bk>
      <rc t="1" v="4823"/>
    </bk>
    <bk>
      <rc t="1" v="4824"/>
    </bk>
    <bk>
      <rc t="1" v="4825"/>
    </bk>
    <bk>
      <rc t="1" v="4826"/>
    </bk>
    <bk>
      <rc t="1" v="4827"/>
    </bk>
    <bk>
      <rc t="1" v="4828"/>
    </bk>
    <bk>
      <rc t="1" v="4829"/>
    </bk>
    <bk>
      <rc t="1" v="4830"/>
    </bk>
    <bk>
      <rc t="1" v="4831"/>
    </bk>
    <bk>
      <rc t="1" v="4832"/>
    </bk>
    <bk>
      <rc t="1" v="4833"/>
    </bk>
    <bk>
      <rc t="1" v="4834"/>
    </bk>
    <bk>
      <rc t="1" v="4835"/>
    </bk>
    <bk>
      <rc t="1" v="4836"/>
    </bk>
    <bk>
      <rc t="1" v="4837"/>
    </bk>
    <bk>
      <rc t="1" v="4838"/>
    </bk>
    <bk>
      <rc t="1" v="4839"/>
    </bk>
    <bk>
      <rc t="1" v="4840"/>
    </bk>
    <bk>
      <rc t="1" v="4841"/>
    </bk>
    <bk>
      <rc t="1" v="4842"/>
    </bk>
    <bk>
      <rc t="1" v="4843"/>
    </bk>
    <bk>
      <rc t="1" v="4844"/>
    </bk>
    <bk>
      <rc t="1" v="4845"/>
    </bk>
    <bk>
      <rc t="1" v="4846"/>
    </bk>
    <bk>
      <rc t="1" v="4847"/>
    </bk>
    <bk>
      <rc t="1" v="4848"/>
    </bk>
    <bk>
      <rc t="1" v="4849"/>
    </bk>
    <bk>
      <rc t="1" v="4850"/>
    </bk>
    <bk>
      <rc t="1" v="4851"/>
    </bk>
    <bk>
      <rc t="1" v="4852"/>
    </bk>
    <bk>
      <rc t="1" v="4853"/>
    </bk>
    <bk>
      <rc t="1" v="4854"/>
    </bk>
    <bk>
      <rc t="1" v="4855"/>
    </bk>
    <bk>
      <rc t="1" v="4856"/>
    </bk>
    <bk>
      <rc t="1" v="4857"/>
    </bk>
    <bk>
      <rc t="1" v="4858"/>
    </bk>
    <bk>
      <rc t="1" v="4859"/>
    </bk>
    <bk>
      <rc t="1" v="4860"/>
    </bk>
    <bk>
      <rc t="1" v="4861"/>
    </bk>
    <bk>
      <rc t="1" v="4862"/>
    </bk>
    <bk>
      <rc t="1" v="4863"/>
    </bk>
    <bk>
      <rc t="1" v="4864"/>
    </bk>
    <bk>
      <rc t="1" v="4865"/>
    </bk>
    <bk>
      <rc t="1" v="4866"/>
    </bk>
    <bk>
      <rc t="1" v="4867"/>
    </bk>
    <bk>
      <rc t="1" v="4868"/>
    </bk>
    <bk>
      <rc t="1" v="4869"/>
    </bk>
    <bk>
      <rc t="1" v="4870"/>
    </bk>
    <bk>
      <rc t="1" v="4871"/>
    </bk>
    <bk>
      <rc t="1" v="4872"/>
    </bk>
    <bk>
      <rc t="1" v="4873"/>
    </bk>
    <bk>
      <rc t="1" v="4874"/>
    </bk>
    <bk>
      <rc t="1" v="4875"/>
    </bk>
    <bk>
      <rc t="1" v="4876"/>
    </bk>
    <bk>
      <rc t="1" v="4877"/>
    </bk>
    <bk>
      <rc t="1" v="4878"/>
    </bk>
    <bk>
      <rc t="1" v="4879"/>
    </bk>
    <bk>
      <rc t="1" v="4880"/>
    </bk>
    <bk>
      <rc t="1" v="4881"/>
    </bk>
    <bk>
      <rc t="1" v="4882"/>
    </bk>
    <bk>
      <rc t="1" v="4883"/>
    </bk>
    <bk>
      <rc t="1" v="4884"/>
    </bk>
    <bk>
      <rc t="1" v="4885"/>
    </bk>
    <bk>
      <rc t="1" v="4886"/>
    </bk>
    <bk>
      <rc t="1" v="4887"/>
    </bk>
    <bk>
      <rc t="1" v="4888"/>
    </bk>
    <bk>
      <rc t="1" v="4889"/>
    </bk>
    <bk>
      <rc t="1" v="4890"/>
    </bk>
    <bk>
      <rc t="1" v="4891"/>
    </bk>
    <bk>
      <rc t="1" v="4892"/>
    </bk>
    <bk>
      <rc t="1" v="4893"/>
    </bk>
    <bk>
      <rc t="1" v="4894"/>
    </bk>
    <bk>
      <rc t="1" v="4895"/>
    </bk>
    <bk>
      <rc t="1" v="4896"/>
    </bk>
    <bk>
      <rc t="1" v="4897"/>
    </bk>
    <bk>
      <rc t="1" v="4898"/>
    </bk>
    <bk>
      <rc t="1" v="4899"/>
    </bk>
    <bk>
      <rc t="1" v="4900"/>
    </bk>
    <bk>
      <rc t="1" v="4901"/>
    </bk>
    <bk>
      <rc t="1" v="4902"/>
    </bk>
    <bk>
      <rc t="1" v="4903"/>
    </bk>
    <bk>
      <rc t="1" v="4904"/>
    </bk>
    <bk>
      <rc t="1" v="4905"/>
    </bk>
    <bk>
      <rc t="1" v="4906"/>
    </bk>
    <bk>
      <rc t="1" v="4907"/>
    </bk>
    <bk>
      <rc t="1" v="4908"/>
    </bk>
    <bk>
      <rc t="1" v="4909"/>
    </bk>
    <bk>
      <rc t="1" v="4910"/>
    </bk>
    <bk>
      <rc t="1" v="4911"/>
    </bk>
    <bk>
      <rc t="1" v="4912"/>
    </bk>
    <bk>
      <rc t="1" v="4913"/>
    </bk>
    <bk>
      <rc t="1" v="4914"/>
    </bk>
    <bk>
      <rc t="1" v="4915"/>
    </bk>
    <bk>
      <rc t="1" v="4916"/>
    </bk>
    <bk>
      <rc t="1" v="4917"/>
    </bk>
    <bk>
      <rc t="1" v="4918"/>
    </bk>
    <bk>
      <rc t="1" v="4919"/>
    </bk>
    <bk>
      <rc t="1" v="4920"/>
    </bk>
    <bk>
      <rc t="1" v="4921"/>
    </bk>
    <bk>
      <rc t="1" v="4922"/>
    </bk>
    <bk>
      <rc t="1" v="4923"/>
    </bk>
    <bk>
      <rc t="1" v="4924"/>
    </bk>
    <bk>
      <rc t="1" v="4925"/>
    </bk>
    <bk>
      <rc t="1" v="4926"/>
    </bk>
    <bk>
      <rc t="1" v="4927"/>
    </bk>
    <bk>
      <rc t="1" v="4928"/>
    </bk>
    <bk>
      <rc t="1" v="4929"/>
    </bk>
    <bk>
      <rc t="1" v="4930"/>
    </bk>
    <bk>
      <rc t="1" v="4931"/>
    </bk>
    <bk>
      <rc t="1" v="4932"/>
    </bk>
    <bk>
      <rc t="1" v="4933"/>
    </bk>
    <bk>
      <rc t="1" v="4934"/>
    </bk>
    <bk>
      <rc t="1" v="4935"/>
    </bk>
    <bk>
      <rc t="1" v="4936"/>
    </bk>
    <bk>
      <rc t="1" v="4937"/>
    </bk>
    <bk>
      <rc t="1" v="4938"/>
    </bk>
    <bk>
      <rc t="1" v="4939"/>
    </bk>
    <bk>
      <rc t="1" v="4940"/>
    </bk>
    <bk>
      <rc t="1" v="4941"/>
    </bk>
    <bk>
      <rc t="1" v="4942"/>
    </bk>
    <bk>
      <rc t="1" v="4943"/>
    </bk>
    <bk>
      <rc t="1" v="4944"/>
    </bk>
    <bk>
      <rc t="1" v="4945"/>
    </bk>
    <bk>
      <rc t="1" v="4946"/>
    </bk>
    <bk>
      <rc t="1" v="4947"/>
    </bk>
    <bk>
      <rc t="1" v="4948"/>
    </bk>
    <bk>
      <rc t="1" v="4949"/>
    </bk>
    <bk>
      <rc t="1" v="4950"/>
    </bk>
    <bk>
      <rc t="1" v="4951"/>
    </bk>
    <bk>
      <rc t="1" v="4952"/>
    </bk>
    <bk>
      <rc t="1" v="4953"/>
    </bk>
    <bk>
      <rc t="1" v="4954"/>
    </bk>
    <bk>
      <rc t="1" v="4955"/>
    </bk>
    <bk>
      <rc t="1" v="4956"/>
    </bk>
    <bk>
      <rc t="1" v="4957"/>
    </bk>
    <bk>
      <rc t="1" v="4958"/>
    </bk>
    <bk>
      <rc t="1" v="4959"/>
    </bk>
    <bk>
      <rc t="1" v="4960"/>
    </bk>
    <bk>
      <rc t="1" v="4961"/>
    </bk>
    <bk>
      <rc t="1" v="4962"/>
    </bk>
    <bk>
      <rc t="1" v="4963"/>
    </bk>
    <bk>
      <rc t="1" v="4964"/>
    </bk>
    <bk>
      <rc t="1" v="4965"/>
    </bk>
    <bk>
      <rc t="1" v="4966"/>
    </bk>
    <bk>
      <rc t="1" v="4967"/>
    </bk>
    <bk>
      <rc t="1" v="4968"/>
    </bk>
    <bk>
      <rc t="1" v="4969"/>
    </bk>
    <bk>
      <rc t="1" v="4970"/>
    </bk>
    <bk>
      <rc t="1" v="4971"/>
    </bk>
    <bk>
      <rc t="1" v="4972"/>
    </bk>
    <bk>
      <rc t="1" v="4973"/>
    </bk>
    <bk>
      <rc t="1" v="4974"/>
    </bk>
    <bk>
      <rc t="1" v="4975"/>
    </bk>
    <bk>
      <rc t="1" v="4976"/>
    </bk>
    <bk>
      <rc t="1" v="4977"/>
    </bk>
    <bk>
      <rc t="1" v="4978"/>
    </bk>
    <bk>
      <rc t="1" v="4979"/>
    </bk>
    <bk>
      <rc t="1" v="4980"/>
    </bk>
    <bk>
      <rc t="1" v="4981"/>
    </bk>
    <bk>
      <rc t="1" v="4982"/>
    </bk>
    <bk>
      <rc t="1" v="4983"/>
    </bk>
    <bk>
      <rc t="1" v="4984"/>
    </bk>
    <bk>
      <rc t="1" v="4985"/>
    </bk>
    <bk>
      <rc t="1" v="4986"/>
    </bk>
    <bk>
      <rc t="1" v="4987"/>
    </bk>
    <bk>
      <rc t="1" v="4988"/>
    </bk>
    <bk>
      <rc t="1" v="4989"/>
    </bk>
    <bk>
      <rc t="1" v="4990"/>
    </bk>
    <bk>
      <rc t="1" v="4991"/>
    </bk>
    <bk>
      <rc t="1" v="4992"/>
    </bk>
    <bk>
      <rc t="1" v="4993"/>
    </bk>
    <bk>
      <rc t="1" v="4994"/>
    </bk>
    <bk>
      <rc t="1" v="4995"/>
    </bk>
    <bk>
      <rc t="1" v="4996"/>
    </bk>
    <bk>
      <rc t="1" v="4997"/>
    </bk>
    <bk>
      <rc t="1" v="4998"/>
    </bk>
    <bk>
      <rc t="1" v="4999"/>
    </bk>
    <bk>
      <rc t="1" v="5000"/>
    </bk>
    <bk>
      <rc t="1" v="5001"/>
    </bk>
    <bk>
      <rc t="1" v="5002"/>
    </bk>
    <bk>
      <rc t="1" v="5003"/>
    </bk>
    <bk>
      <rc t="1" v="5004"/>
    </bk>
    <bk>
      <rc t="1" v="5005"/>
    </bk>
    <bk>
      <rc t="1" v="5006"/>
    </bk>
    <bk>
      <rc t="1" v="5007"/>
    </bk>
    <bk>
      <rc t="1" v="5008"/>
    </bk>
    <bk>
      <rc t="1" v="5009"/>
    </bk>
    <bk>
      <rc t="1" v="5010"/>
    </bk>
    <bk>
      <rc t="1" v="5011"/>
    </bk>
    <bk>
      <rc t="1" v="5012"/>
    </bk>
    <bk>
      <rc t="1" v="5013"/>
    </bk>
    <bk>
      <rc t="1" v="5014"/>
    </bk>
    <bk>
      <rc t="1" v="5015"/>
    </bk>
    <bk>
      <rc t="1" v="5016"/>
    </bk>
    <bk>
      <rc t="1" v="5017"/>
    </bk>
    <bk>
      <rc t="1" v="5018"/>
    </bk>
    <bk>
      <rc t="1" v="5019"/>
    </bk>
    <bk>
      <rc t="1" v="5020"/>
    </bk>
    <bk>
      <rc t="1" v="5021"/>
    </bk>
    <bk>
      <rc t="1" v="5022"/>
    </bk>
    <bk>
      <rc t="1" v="5023"/>
    </bk>
    <bk>
      <rc t="1" v="5024"/>
    </bk>
    <bk>
      <rc t="1" v="5025"/>
    </bk>
    <bk>
      <rc t="1" v="5026"/>
    </bk>
    <bk>
      <rc t="1" v="5027"/>
    </bk>
    <bk>
      <rc t="1" v="5028"/>
    </bk>
    <bk>
      <rc t="1" v="5029"/>
    </bk>
    <bk>
      <rc t="1" v="5030"/>
    </bk>
    <bk>
      <rc t="1" v="5031"/>
    </bk>
    <bk>
      <rc t="1" v="5032"/>
    </bk>
    <bk>
      <rc t="1" v="5033"/>
    </bk>
    <bk>
      <rc t="1" v="5034"/>
    </bk>
    <bk>
      <rc t="1" v="5035"/>
    </bk>
    <bk>
      <rc t="1" v="5036"/>
    </bk>
    <bk>
      <rc t="1" v="5037"/>
    </bk>
    <bk>
      <rc t="1" v="5038"/>
    </bk>
    <bk>
      <rc t="1" v="5039"/>
    </bk>
    <bk>
      <rc t="1" v="5040"/>
    </bk>
    <bk>
      <rc t="1" v="5041"/>
    </bk>
    <bk>
      <rc t="1" v="5042"/>
    </bk>
    <bk>
      <rc t="1" v="5043"/>
    </bk>
    <bk>
      <rc t="1" v="5044"/>
    </bk>
    <bk>
      <rc t="1" v="5045"/>
    </bk>
    <bk>
      <rc t="1" v="5046"/>
    </bk>
    <bk>
      <rc t="1" v="5047"/>
    </bk>
    <bk>
      <rc t="1" v="5048"/>
    </bk>
    <bk>
      <rc t="1" v="5049"/>
    </bk>
    <bk>
      <rc t="1" v="5050"/>
    </bk>
    <bk>
      <rc t="1" v="5051"/>
    </bk>
    <bk>
      <rc t="1" v="5052"/>
    </bk>
    <bk>
      <rc t="1" v="5053"/>
    </bk>
    <bk>
      <rc t="1" v="5054"/>
    </bk>
    <bk>
      <rc t="1" v="5055"/>
    </bk>
    <bk>
      <rc t="1" v="5056"/>
    </bk>
    <bk>
      <rc t="1" v="5057"/>
    </bk>
    <bk>
      <rc t="1" v="5058"/>
    </bk>
    <bk>
      <rc t="1" v="5059"/>
    </bk>
    <bk>
      <rc t="1" v="5060"/>
    </bk>
    <bk>
      <rc t="1" v="5061"/>
    </bk>
    <bk>
      <rc t="1" v="5062"/>
    </bk>
    <bk>
      <rc t="1" v="5063"/>
    </bk>
    <bk>
      <rc t="1" v="5064"/>
    </bk>
    <bk>
      <rc t="1" v="5065"/>
    </bk>
    <bk>
      <rc t="1" v="5066"/>
    </bk>
    <bk>
      <rc t="1" v="5067"/>
    </bk>
    <bk>
      <rc t="1" v="5068"/>
    </bk>
    <bk>
      <rc t="1" v="5069"/>
    </bk>
    <bk>
      <rc t="1" v="5070"/>
    </bk>
    <bk>
      <rc t="1" v="5071"/>
    </bk>
    <bk>
      <rc t="1" v="5072"/>
    </bk>
    <bk>
      <rc t="1" v="5073"/>
    </bk>
    <bk>
      <rc t="1" v="5074"/>
    </bk>
    <bk>
      <rc t="1" v="5075"/>
    </bk>
    <bk>
      <rc t="1" v="5076"/>
    </bk>
    <bk>
      <rc t="1" v="5077"/>
    </bk>
    <bk>
      <rc t="1" v="5078"/>
    </bk>
    <bk>
      <rc t="1" v="5079"/>
    </bk>
    <bk>
      <rc t="1" v="5080"/>
    </bk>
    <bk>
      <rc t="1" v="5081"/>
    </bk>
    <bk>
      <rc t="1" v="5082"/>
    </bk>
    <bk>
      <rc t="1" v="5083"/>
    </bk>
    <bk>
      <rc t="1" v="5084"/>
    </bk>
    <bk>
      <rc t="1" v="5085"/>
    </bk>
    <bk>
      <rc t="1" v="5086"/>
    </bk>
    <bk>
      <rc t="1" v="5087"/>
    </bk>
    <bk>
      <rc t="1" v="5088"/>
    </bk>
    <bk>
      <rc t="1" v="5089"/>
    </bk>
    <bk>
      <rc t="1" v="5090"/>
    </bk>
    <bk>
      <rc t="1" v="5091"/>
    </bk>
    <bk>
      <rc t="1" v="5092"/>
    </bk>
    <bk>
      <rc t="1" v="5093"/>
    </bk>
    <bk>
      <rc t="1" v="5094"/>
    </bk>
    <bk>
      <rc t="1" v="5095"/>
    </bk>
    <bk>
      <rc t="1" v="5096"/>
    </bk>
    <bk>
      <rc t="1" v="5097"/>
    </bk>
    <bk>
      <rc t="1" v="5098"/>
    </bk>
    <bk>
      <rc t="1" v="5099"/>
    </bk>
    <bk>
      <rc t="1" v="5100"/>
    </bk>
    <bk>
      <rc t="1" v="5101"/>
    </bk>
    <bk>
      <rc t="1" v="5102"/>
    </bk>
    <bk>
      <rc t="1" v="5103"/>
    </bk>
    <bk>
      <rc t="1" v="5104"/>
    </bk>
    <bk>
      <rc t="1" v="5105"/>
    </bk>
    <bk>
      <rc t="1" v="5106"/>
    </bk>
    <bk>
      <rc t="1" v="5107"/>
    </bk>
    <bk>
      <rc t="1" v="5108"/>
    </bk>
    <bk>
      <rc t="1" v="5109"/>
    </bk>
    <bk>
      <rc t="1" v="5110"/>
    </bk>
    <bk>
      <rc t="1" v="5111"/>
    </bk>
    <bk>
      <rc t="1" v="5112"/>
    </bk>
    <bk>
      <rc t="1" v="5113"/>
    </bk>
    <bk>
      <rc t="1" v="5114"/>
    </bk>
    <bk>
      <rc t="1" v="5115"/>
    </bk>
    <bk>
      <rc t="1" v="5116"/>
    </bk>
    <bk>
      <rc t="1" v="5117"/>
    </bk>
    <bk>
      <rc t="1" v="5118"/>
    </bk>
    <bk>
      <rc t="1" v="5119"/>
    </bk>
    <bk>
      <rc t="1" v="5120"/>
    </bk>
    <bk>
      <rc t="1" v="5121"/>
    </bk>
    <bk>
      <rc t="1" v="5122"/>
    </bk>
    <bk>
      <rc t="1" v="5123"/>
    </bk>
    <bk>
      <rc t="1" v="5124"/>
    </bk>
    <bk>
      <rc t="1" v="5125"/>
    </bk>
    <bk>
      <rc t="1" v="5126"/>
    </bk>
    <bk>
      <rc t="1" v="5127"/>
    </bk>
    <bk>
      <rc t="1" v="5128"/>
    </bk>
    <bk>
      <rc t="1" v="5129"/>
    </bk>
    <bk>
      <rc t="1" v="5130"/>
    </bk>
    <bk>
      <rc t="1" v="5131"/>
    </bk>
    <bk>
      <rc t="1" v="5132"/>
    </bk>
    <bk>
      <rc t="1" v="5133"/>
    </bk>
    <bk>
      <rc t="1" v="5134"/>
    </bk>
    <bk>
      <rc t="1" v="5135"/>
    </bk>
    <bk>
      <rc t="1" v="5136"/>
    </bk>
    <bk>
      <rc t="1" v="5137"/>
    </bk>
    <bk>
      <rc t="1" v="5138"/>
    </bk>
    <bk>
      <rc t="1" v="5139"/>
    </bk>
    <bk>
      <rc t="1" v="5140"/>
    </bk>
    <bk>
      <rc t="1" v="5141"/>
    </bk>
    <bk>
      <rc t="1" v="5142"/>
    </bk>
    <bk>
      <rc t="1" v="5143"/>
    </bk>
    <bk>
      <rc t="1" v="5144"/>
    </bk>
    <bk>
      <rc t="1" v="5145"/>
    </bk>
    <bk>
      <rc t="1" v="5146"/>
    </bk>
    <bk>
      <rc t="1" v="5147"/>
    </bk>
    <bk>
      <rc t="1" v="5148"/>
    </bk>
    <bk>
      <rc t="1" v="5149"/>
    </bk>
    <bk>
      <rc t="1" v="5150"/>
    </bk>
    <bk>
      <rc t="1" v="5151"/>
    </bk>
    <bk>
      <rc t="1" v="5152"/>
    </bk>
    <bk>
      <rc t="1" v="5153"/>
    </bk>
    <bk>
      <rc t="1" v="5154"/>
    </bk>
    <bk>
      <rc t="1" v="5155"/>
    </bk>
    <bk>
      <rc t="1" v="5156"/>
    </bk>
    <bk>
      <rc t="1" v="5157"/>
    </bk>
    <bk>
      <rc t="1" v="5158"/>
    </bk>
    <bk>
      <rc t="1" v="5159"/>
    </bk>
    <bk>
      <rc t="1" v="5160"/>
    </bk>
    <bk>
      <rc t="1" v="5161"/>
    </bk>
    <bk>
      <rc t="1" v="5162"/>
    </bk>
    <bk>
      <rc t="1" v="5163"/>
    </bk>
    <bk>
      <rc t="1" v="5164"/>
    </bk>
    <bk>
      <rc t="1" v="5165"/>
    </bk>
    <bk>
      <rc t="1" v="5166"/>
    </bk>
    <bk>
      <rc t="1" v="5167"/>
    </bk>
    <bk>
      <rc t="1" v="5168"/>
    </bk>
    <bk>
      <rc t="1" v="5169"/>
    </bk>
    <bk>
      <rc t="1" v="5170"/>
    </bk>
    <bk>
      <rc t="1" v="5171"/>
    </bk>
    <bk>
      <rc t="1" v="5172"/>
    </bk>
    <bk>
      <rc t="1" v="5173"/>
    </bk>
    <bk>
      <rc t="1" v="5174"/>
    </bk>
    <bk>
      <rc t="1" v="5175"/>
    </bk>
    <bk>
      <rc t="1" v="5176"/>
    </bk>
    <bk>
      <rc t="1" v="5177"/>
    </bk>
    <bk>
      <rc t="1" v="5178"/>
    </bk>
    <bk>
      <rc t="1" v="5179"/>
    </bk>
    <bk>
      <rc t="1" v="5180"/>
    </bk>
    <bk>
      <rc t="1" v="5181"/>
    </bk>
    <bk>
      <rc t="1" v="5182"/>
    </bk>
    <bk>
      <rc t="1" v="5183"/>
    </bk>
    <bk>
      <rc t="1" v="5184"/>
    </bk>
    <bk>
      <rc t="1" v="5185"/>
    </bk>
    <bk>
      <rc t="1" v="5186"/>
    </bk>
    <bk>
      <rc t="1" v="5187"/>
    </bk>
    <bk>
      <rc t="1" v="5188"/>
    </bk>
    <bk>
      <rc t="1" v="5189"/>
    </bk>
    <bk>
      <rc t="1" v="5190"/>
    </bk>
    <bk>
      <rc t="1" v="5191"/>
    </bk>
    <bk>
      <rc t="1" v="5192"/>
    </bk>
    <bk>
      <rc t="1" v="5193"/>
    </bk>
    <bk>
      <rc t="1" v="5194"/>
    </bk>
    <bk>
      <rc t="1" v="5195"/>
    </bk>
    <bk>
      <rc t="1" v="5196"/>
    </bk>
    <bk>
      <rc t="1" v="5197"/>
    </bk>
    <bk>
      <rc t="1" v="5198"/>
    </bk>
    <bk>
      <rc t="1" v="5199"/>
    </bk>
    <bk>
      <rc t="1" v="5200"/>
    </bk>
    <bk>
      <rc t="1" v="5201"/>
    </bk>
    <bk>
      <rc t="1" v="5202"/>
    </bk>
    <bk>
      <rc t="1" v="5203"/>
    </bk>
    <bk>
      <rc t="1" v="5204"/>
    </bk>
    <bk>
      <rc t="1" v="5205"/>
    </bk>
    <bk>
      <rc t="1" v="5206"/>
    </bk>
    <bk>
      <rc t="1" v="5207"/>
    </bk>
    <bk>
      <rc t="1" v="5208"/>
    </bk>
    <bk>
      <rc t="1" v="5209"/>
    </bk>
    <bk>
      <rc t="1" v="5210"/>
    </bk>
    <bk>
      <rc t="1" v="5211"/>
    </bk>
    <bk>
      <rc t="1" v="5212"/>
    </bk>
    <bk>
      <rc t="1" v="5213"/>
    </bk>
    <bk>
      <rc t="1" v="5214"/>
    </bk>
    <bk>
      <rc t="1" v="5215"/>
    </bk>
    <bk>
      <rc t="1" v="5216"/>
    </bk>
    <bk>
      <rc t="1" v="5217"/>
    </bk>
    <bk>
      <rc t="1" v="5218"/>
    </bk>
    <bk>
      <rc t="1" v="5219"/>
    </bk>
    <bk>
      <rc t="1" v="5220"/>
    </bk>
    <bk>
      <rc t="1" v="5221"/>
    </bk>
    <bk>
      <rc t="1" v="5222"/>
    </bk>
    <bk>
      <rc t="1" v="5223"/>
    </bk>
    <bk>
      <rc t="1" v="5224"/>
    </bk>
    <bk>
      <rc t="1" v="5225"/>
    </bk>
    <bk>
      <rc t="1" v="5226"/>
    </bk>
    <bk>
      <rc t="1" v="5227"/>
    </bk>
    <bk>
      <rc t="1" v="5228"/>
    </bk>
    <bk>
      <rc t="1" v="5229"/>
    </bk>
    <bk>
      <rc t="1" v="5230"/>
    </bk>
    <bk>
      <rc t="1" v="5231"/>
    </bk>
    <bk>
      <rc t="1" v="5232"/>
    </bk>
    <bk>
      <rc t="1" v="5233"/>
    </bk>
    <bk>
      <rc t="1" v="5234"/>
    </bk>
    <bk>
      <rc t="1" v="5235"/>
    </bk>
    <bk>
      <rc t="1" v="5236"/>
    </bk>
    <bk>
      <rc t="1" v="5237"/>
    </bk>
    <bk>
      <rc t="1" v="5238"/>
    </bk>
    <bk>
      <rc t="1" v="5239"/>
    </bk>
    <bk>
      <rc t="1" v="5240"/>
    </bk>
    <bk>
      <rc t="1" v="5241"/>
    </bk>
    <bk>
      <rc t="1" v="5242"/>
    </bk>
    <bk>
      <rc t="1" v="5243"/>
    </bk>
    <bk>
      <rc t="1" v="5244"/>
    </bk>
    <bk>
      <rc t="1" v="5245"/>
    </bk>
    <bk>
      <rc t="1" v="5246"/>
    </bk>
    <bk>
      <rc t="1" v="5247"/>
    </bk>
    <bk>
      <rc t="1" v="5248"/>
    </bk>
    <bk>
      <rc t="1" v="5249"/>
    </bk>
    <bk>
      <rc t="1" v="5250"/>
    </bk>
    <bk>
      <rc t="1" v="5251"/>
    </bk>
    <bk>
      <rc t="1" v="5252"/>
    </bk>
    <bk>
      <rc t="1" v="5253"/>
    </bk>
    <bk>
      <rc t="1" v="5254"/>
    </bk>
    <bk>
      <rc t="1" v="5255"/>
    </bk>
    <bk>
      <rc t="1" v="5256"/>
    </bk>
    <bk>
      <rc t="1" v="5257"/>
    </bk>
    <bk>
      <rc t="1" v="5258"/>
    </bk>
    <bk>
      <rc t="1" v="5259"/>
    </bk>
    <bk>
      <rc t="1" v="5260"/>
    </bk>
    <bk>
      <rc t="1" v="5261"/>
    </bk>
    <bk>
      <rc t="1" v="5262"/>
    </bk>
    <bk>
      <rc t="1" v="5263"/>
    </bk>
    <bk>
      <rc t="1" v="5264"/>
    </bk>
    <bk>
      <rc t="1" v="5265"/>
    </bk>
    <bk>
      <rc t="1" v="5266"/>
    </bk>
    <bk>
      <rc t="1" v="5267"/>
    </bk>
    <bk>
      <rc t="1" v="5268"/>
    </bk>
    <bk>
      <rc t="1" v="5269"/>
    </bk>
    <bk>
      <rc t="1" v="5270"/>
    </bk>
    <bk>
      <rc t="1" v="5271"/>
    </bk>
    <bk>
      <rc t="1" v="5272"/>
    </bk>
    <bk>
      <rc t="1" v="5273"/>
    </bk>
    <bk>
      <rc t="1" v="5274"/>
    </bk>
    <bk>
      <rc t="1" v="5275"/>
    </bk>
    <bk>
      <rc t="1" v="5276"/>
    </bk>
    <bk>
      <rc t="1" v="5277"/>
    </bk>
    <bk>
      <rc t="1" v="5278"/>
    </bk>
    <bk>
      <rc t="1" v="5279"/>
    </bk>
    <bk>
      <rc t="1" v="5280"/>
    </bk>
    <bk>
      <rc t="1" v="5281"/>
    </bk>
    <bk>
      <rc t="1" v="5282"/>
    </bk>
    <bk>
      <rc t="1" v="5283"/>
    </bk>
    <bk>
      <rc t="1" v="5284"/>
    </bk>
    <bk>
      <rc t="1" v="5285"/>
    </bk>
    <bk>
      <rc t="1" v="5286"/>
    </bk>
    <bk>
      <rc t="1" v="5287"/>
    </bk>
    <bk>
      <rc t="1" v="5288"/>
    </bk>
    <bk>
      <rc t="1" v="5289"/>
    </bk>
    <bk>
      <rc t="1" v="5290"/>
    </bk>
    <bk>
      <rc t="1" v="5291"/>
    </bk>
    <bk>
      <rc t="1" v="5292"/>
    </bk>
    <bk>
      <rc t="1" v="5293"/>
    </bk>
    <bk>
      <rc t="1" v="5294"/>
    </bk>
    <bk>
      <rc t="1" v="5295"/>
    </bk>
    <bk>
      <rc t="1" v="5296"/>
    </bk>
    <bk>
      <rc t="1" v="5297"/>
    </bk>
    <bk>
      <rc t="1" v="5298"/>
    </bk>
    <bk>
      <rc t="1" v="5299"/>
    </bk>
    <bk>
      <rc t="1" v="5300"/>
    </bk>
    <bk>
      <rc t="1" v="5301"/>
    </bk>
    <bk>
      <rc t="1" v="5302"/>
    </bk>
    <bk>
      <rc t="1" v="5303"/>
    </bk>
    <bk>
      <rc t="1" v="5304"/>
    </bk>
    <bk>
      <rc t="1" v="5305"/>
    </bk>
    <bk>
      <rc t="1" v="5306"/>
    </bk>
    <bk>
      <rc t="1" v="5307"/>
    </bk>
    <bk>
      <rc t="1" v="5308"/>
    </bk>
    <bk>
      <rc t="1" v="5309"/>
    </bk>
    <bk>
      <rc t="1" v="5310"/>
    </bk>
    <bk>
      <rc t="1" v="5311"/>
    </bk>
    <bk>
      <rc t="1" v="5312"/>
    </bk>
    <bk>
      <rc t="1" v="5313"/>
    </bk>
    <bk>
      <rc t="1" v="5314"/>
    </bk>
    <bk>
      <rc t="1" v="5315"/>
    </bk>
    <bk>
      <rc t="1" v="5316"/>
    </bk>
    <bk>
      <rc t="1" v="5317"/>
    </bk>
    <bk>
      <rc t="1" v="5318"/>
    </bk>
    <bk>
      <rc t="1" v="5319"/>
    </bk>
    <bk>
      <rc t="1" v="5320"/>
    </bk>
    <bk>
      <rc t="1" v="5321"/>
    </bk>
    <bk>
      <rc t="1" v="5322"/>
    </bk>
    <bk>
      <rc t="1" v="5323"/>
    </bk>
    <bk>
      <rc t="1" v="5324"/>
    </bk>
    <bk>
      <rc t="1" v="5325"/>
    </bk>
    <bk>
      <rc t="1" v="5326"/>
    </bk>
    <bk>
      <rc t="1" v="5327"/>
    </bk>
    <bk>
      <rc t="1" v="5328"/>
    </bk>
    <bk>
      <rc t="1" v="5329"/>
    </bk>
    <bk>
      <rc t="1" v="5330"/>
    </bk>
    <bk>
      <rc t="1" v="5331"/>
    </bk>
    <bk>
      <rc t="1" v="5332"/>
    </bk>
    <bk>
      <rc t="1" v="5333"/>
    </bk>
    <bk>
      <rc t="1" v="5334"/>
    </bk>
    <bk>
      <rc t="1" v="5335"/>
    </bk>
    <bk>
      <rc t="1" v="5336"/>
    </bk>
    <bk>
      <rc t="1" v="5337"/>
    </bk>
    <bk>
      <rc t="1" v="5338"/>
    </bk>
    <bk>
      <rc t="1" v="5339"/>
    </bk>
    <bk>
      <rc t="1" v="5340"/>
    </bk>
    <bk>
      <rc t="1" v="5341"/>
    </bk>
    <bk>
      <rc t="1" v="5342"/>
    </bk>
    <bk>
      <rc t="1" v="5343"/>
    </bk>
    <bk>
      <rc t="1" v="5344"/>
    </bk>
    <bk>
      <rc t="1" v="5345"/>
    </bk>
    <bk>
      <rc t="1" v="5346"/>
    </bk>
    <bk>
      <rc t="1" v="5347"/>
    </bk>
    <bk>
      <rc t="1" v="5348"/>
    </bk>
    <bk>
      <rc t="1" v="5349"/>
    </bk>
    <bk>
      <rc t="1" v="5350"/>
    </bk>
    <bk>
      <rc t="1" v="5351"/>
    </bk>
    <bk>
      <rc t="1" v="5352"/>
    </bk>
    <bk>
      <rc t="1" v="5353"/>
    </bk>
    <bk>
      <rc t="1" v="5354"/>
    </bk>
    <bk>
      <rc t="1" v="5355"/>
    </bk>
    <bk>
      <rc t="1" v="5356"/>
    </bk>
    <bk>
      <rc t="1" v="5357"/>
    </bk>
    <bk>
      <rc t="1" v="5358"/>
    </bk>
    <bk>
      <rc t="1" v="5359"/>
    </bk>
    <bk>
      <rc t="1" v="5360"/>
    </bk>
    <bk>
      <rc t="1" v="5361"/>
    </bk>
    <bk>
      <rc t="1" v="5362"/>
    </bk>
    <bk>
      <rc t="1" v="5363"/>
    </bk>
    <bk>
      <rc t="1" v="5364"/>
    </bk>
    <bk>
      <rc t="1" v="5365"/>
    </bk>
    <bk>
      <rc t="1" v="5366"/>
    </bk>
    <bk>
      <rc t="1" v="5367"/>
    </bk>
    <bk>
      <rc t="1" v="5368"/>
    </bk>
    <bk>
      <rc t="1" v="5369"/>
    </bk>
    <bk>
      <rc t="1" v="5370"/>
    </bk>
    <bk>
      <rc t="1" v="5371"/>
    </bk>
    <bk>
      <rc t="1" v="5372"/>
    </bk>
    <bk>
      <rc t="1" v="5373"/>
    </bk>
    <bk>
      <rc t="1" v="5374"/>
    </bk>
    <bk>
      <rc t="1" v="5375"/>
    </bk>
    <bk>
      <rc t="1" v="5376"/>
    </bk>
    <bk>
      <rc t="1" v="5377"/>
    </bk>
    <bk>
      <rc t="1" v="5378"/>
    </bk>
    <bk>
      <rc t="1" v="5379"/>
    </bk>
    <bk>
      <rc t="1" v="5380"/>
    </bk>
    <bk>
      <rc t="1" v="5381"/>
    </bk>
    <bk>
      <rc t="1" v="5382"/>
    </bk>
    <bk>
      <rc t="1" v="5383"/>
    </bk>
    <bk>
      <rc t="1" v="5384"/>
    </bk>
    <bk>
      <rc t="1" v="5385"/>
    </bk>
    <bk>
      <rc t="1" v="5386"/>
    </bk>
    <bk>
      <rc t="1" v="5387"/>
    </bk>
    <bk>
      <rc t="1" v="5388"/>
    </bk>
    <bk>
      <rc t="1" v="5389"/>
    </bk>
    <bk>
      <rc t="1" v="5390"/>
    </bk>
    <bk>
      <rc t="1" v="5391"/>
    </bk>
    <bk>
      <rc t="1" v="5392"/>
    </bk>
    <bk>
      <rc t="1" v="5393"/>
    </bk>
    <bk>
      <rc t="1" v="5394"/>
    </bk>
    <bk>
      <rc t="1" v="5395"/>
    </bk>
    <bk>
      <rc t="1" v="5396"/>
    </bk>
    <bk>
      <rc t="1" v="5397"/>
    </bk>
    <bk>
      <rc t="1" v="5398"/>
    </bk>
    <bk>
      <rc t="1" v="5399"/>
    </bk>
    <bk>
      <rc t="1" v="5400"/>
    </bk>
    <bk>
      <rc t="1" v="5401"/>
    </bk>
    <bk>
      <rc t="1" v="5402"/>
    </bk>
    <bk>
      <rc t="1" v="5403"/>
    </bk>
    <bk>
      <rc t="1" v="5404"/>
    </bk>
    <bk>
      <rc t="1" v="5405"/>
    </bk>
    <bk>
      <rc t="1" v="5406"/>
    </bk>
    <bk>
      <rc t="1" v="5407"/>
    </bk>
    <bk>
      <rc t="1" v="5408"/>
    </bk>
    <bk>
      <rc t="1" v="5409"/>
    </bk>
    <bk>
      <rc t="1" v="5410"/>
    </bk>
    <bk>
      <rc t="1" v="5411"/>
    </bk>
    <bk>
      <rc t="1" v="5412"/>
    </bk>
    <bk>
      <rc t="1" v="5413"/>
    </bk>
    <bk>
      <rc t="1" v="5414"/>
    </bk>
    <bk>
      <rc t="1" v="5415"/>
    </bk>
    <bk>
      <rc t="1" v="5416"/>
    </bk>
    <bk>
      <rc t="1" v="5417"/>
    </bk>
    <bk>
      <rc t="1" v="5418"/>
    </bk>
    <bk>
      <rc t="1" v="5419"/>
    </bk>
    <bk>
      <rc t="1" v="5420"/>
    </bk>
    <bk>
      <rc t="1" v="5421"/>
    </bk>
    <bk>
      <rc t="1" v="5422"/>
    </bk>
    <bk>
      <rc t="1" v="5423"/>
    </bk>
    <bk>
      <rc t="1" v="5424"/>
    </bk>
    <bk>
      <rc t="1" v="5425"/>
    </bk>
    <bk>
      <rc t="1" v="5426"/>
    </bk>
    <bk>
      <rc t="1" v="5427"/>
    </bk>
    <bk>
      <rc t="1" v="5428"/>
    </bk>
    <bk>
      <rc t="1" v="5429"/>
    </bk>
    <bk>
      <rc t="1" v="5430"/>
    </bk>
    <bk>
      <rc t="1" v="5431"/>
    </bk>
    <bk>
      <rc t="1" v="5432"/>
    </bk>
    <bk>
      <rc t="1" v="5433"/>
    </bk>
    <bk>
      <rc t="1" v="5434"/>
    </bk>
    <bk>
      <rc t="1" v="5435"/>
    </bk>
    <bk>
      <rc t="1" v="5436"/>
    </bk>
    <bk>
      <rc t="1" v="5437"/>
    </bk>
    <bk>
      <rc t="1" v="5438"/>
    </bk>
    <bk>
      <rc t="1" v="5439"/>
    </bk>
    <bk>
      <rc t="1" v="5440"/>
    </bk>
    <bk>
      <rc t="1" v="5441"/>
    </bk>
    <bk>
      <rc t="1" v="5442"/>
    </bk>
    <bk>
      <rc t="1" v="5443"/>
    </bk>
    <bk>
      <rc t="1" v="5444"/>
    </bk>
    <bk>
      <rc t="1" v="5445"/>
    </bk>
    <bk>
      <rc t="1" v="5446"/>
    </bk>
    <bk>
      <rc t="1" v="5447"/>
    </bk>
    <bk>
      <rc t="1" v="5448"/>
    </bk>
    <bk>
      <rc t="1" v="5449"/>
    </bk>
    <bk>
      <rc t="1" v="5450"/>
    </bk>
    <bk>
      <rc t="1" v="5451"/>
    </bk>
    <bk>
      <rc t="1" v="5452"/>
    </bk>
    <bk>
      <rc t="1" v="5453"/>
    </bk>
    <bk>
      <rc t="1" v="5454"/>
    </bk>
    <bk>
      <rc t="1" v="5455"/>
    </bk>
    <bk>
      <rc t="1" v="5456"/>
    </bk>
    <bk>
      <rc t="1" v="5457"/>
    </bk>
    <bk>
      <rc t="1" v="5458"/>
    </bk>
    <bk>
      <rc t="1" v="5459"/>
    </bk>
    <bk>
      <rc t="1" v="5460"/>
    </bk>
    <bk>
      <rc t="1" v="5461"/>
    </bk>
    <bk>
      <rc t="1" v="5462"/>
    </bk>
    <bk>
      <rc t="1" v="5463"/>
    </bk>
    <bk>
      <rc t="1" v="5464"/>
    </bk>
    <bk>
      <rc t="1" v="5465"/>
    </bk>
    <bk>
      <rc t="1" v="5466"/>
    </bk>
    <bk>
      <rc t="1" v="5467"/>
    </bk>
    <bk>
      <rc t="1" v="5468"/>
    </bk>
    <bk>
      <rc t="1" v="5469"/>
    </bk>
    <bk>
      <rc t="1" v="5470"/>
    </bk>
    <bk>
      <rc t="1" v="5471"/>
    </bk>
    <bk>
      <rc t="1" v="5472"/>
    </bk>
    <bk>
      <rc t="1" v="5473"/>
    </bk>
    <bk>
      <rc t="1" v="5474"/>
    </bk>
    <bk>
      <rc t="1" v="5475"/>
    </bk>
    <bk>
      <rc t="1" v="5476"/>
    </bk>
    <bk>
      <rc t="1" v="5477"/>
    </bk>
    <bk>
      <rc t="1" v="5478"/>
    </bk>
    <bk>
      <rc t="1" v="5479"/>
    </bk>
    <bk>
      <rc t="1" v="5480"/>
    </bk>
    <bk>
      <rc t="1" v="5481"/>
    </bk>
    <bk>
      <rc t="1" v="5482"/>
    </bk>
    <bk>
      <rc t="1" v="5483"/>
    </bk>
    <bk>
      <rc t="1" v="5484"/>
    </bk>
    <bk>
      <rc t="1" v="5485"/>
    </bk>
    <bk>
      <rc t="1" v="5486"/>
    </bk>
    <bk>
      <rc t="1" v="5487"/>
    </bk>
    <bk>
      <rc t="1" v="5488"/>
    </bk>
    <bk>
      <rc t="1" v="5489"/>
    </bk>
    <bk>
      <rc t="1" v="5490"/>
    </bk>
    <bk>
      <rc t="1" v="5491"/>
    </bk>
    <bk>
      <rc t="1" v="5492"/>
    </bk>
    <bk>
      <rc t="1" v="5493"/>
    </bk>
    <bk>
      <rc t="1" v="5494"/>
    </bk>
    <bk>
      <rc t="1" v="5495"/>
    </bk>
    <bk>
      <rc t="1" v="5496"/>
    </bk>
    <bk>
      <rc t="1" v="5497"/>
    </bk>
    <bk>
      <rc t="1" v="5498"/>
    </bk>
    <bk>
      <rc t="1" v="5499"/>
    </bk>
    <bk>
      <rc t="1" v="5500"/>
    </bk>
    <bk>
      <rc t="1" v="5501"/>
    </bk>
    <bk>
      <rc t="1" v="5502"/>
    </bk>
    <bk>
      <rc t="1" v="5503"/>
    </bk>
    <bk>
      <rc t="1" v="5504"/>
    </bk>
    <bk>
      <rc t="1" v="5505"/>
    </bk>
    <bk>
      <rc t="1" v="5506"/>
    </bk>
    <bk>
      <rc t="1" v="5507"/>
    </bk>
    <bk>
      <rc t="1" v="5508"/>
    </bk>
    <bk>
      <rc t="1" v="5509"/>
    </bk>
    <bk>
      <rc t="1" v="5510"/>
    </bk>
    <bk>
      <rc t="1" v="5511"/>
    </bk>
    <bk>
      <rc t="1" v="5512"/>
    </bk>
    <bk>
      <rc t="1" v="5513"/>
    </bk>
    <bk>
      <rc t="1" v="5514"/>
    </bk>
    <bk>
      <rc t="1" v="5515"/>
    </bk>
    <bk>
      <rc t="1" v="5516"/>
    </bk>
    <bk>
      <rc t="1" v="5517"/>
    </bk>
    <bk>
      <rc t="1" v="5518"/>
    </bk>
    <bk>
      <rc t="1" v="5519"/>
    </bk>
    <bk>
      <rc t="1" v="5520"/>
    </bk>
    <bk>
      <rc t="1" v="5521"/>
    </bk>
    <bk>
      <rc t="1" v="5522"/>
    </bk>
    <bk>
      <rc t="1" v="5523"/>
    </bk>
    <bk>
      <rc t="1" v="5524"/>
    </bk>
    <bk>
      <rc t="1" v="5525"/>
    </bk>
    <bk>
      <rc t="1" v="5526"/>
    </bk>
    <bk>
      <rc t="1" v="5527"/>
    </bk>
    <bk>
      <rc t="1" v="5528"/>
    </bk>
    <bk>
      <rc t="1" v="5529"/>
    </bk>
    <bk>
      <rc t="1" v="5530"/>
    </bk>
    <bk>
      <rc t="1" v="5531"/>
    </bk>
    <bk>
      <rc t="1" v="5532"/>
    </bk>
    <bk>
      <rc t="1" v="5533"/>
    </bk>
    <bk>
      <rc t="1" v="5534"/>
    </bk>
    <bk>
      <rc t="1" v="5535"/>
    </bk>
    <bk>
      <rc t="1" v="5536"/>
    </bk>
    <bk>
      <rc t="1" v="5537"/>
    </bk>
    <bk>
      <rc t="1" v="5538"/>
    </bk>
    <bk>
      <rc t="1" v="5539"/>
    </bk>
    <bk>
      <rc t="1" v="5540"/>
    </bk>
    <bk>
      <rc t="1" v="5541"/>
    </bk>
    <bk>
      <rc t="1" v="5542"/>
    </bk>
    <bk>
      <rc t="1" v="5543"/>
    </bk>
    <bk>
      <rc t="1" v="5544"/>
    </bk>
    <bk>
      <rc t="1" v="5545"/>
    </bk>
    <bk>
      <rc t="1" v="5546"/>
    </bk>
    <bk>
      <rc t="1" v="5547"/>
    </bk>
    <bk>
      <rc t="1" v="5548"/>
    </bk>
    <bk>
      <rc t="1" v="5549"/>
    </bk>
    <bk>
      <rc t="1" v="5550"/>
    </bk>
    <bk>
      <rc t="1" v="5551"/>
    </bk>
    <bk>
      <rc t="1" v="5552"/>
    </bk>
    <bk>
      <rc t="1" v="5553"/>
    </bk>
    <bk>
      <rc t="1" v="5554"/>
    </bk>
    <bk>
      <rc t="1" v="5555"/>
    </bk>
    <bk>
      <rc t="1" v="5556"/>
    </bk>
    <bk>
      <rc t="1" v="5557"/>
    </bk>
    <bk>
      <rc t="1" v="5558"/>
    </bk>
    <bk>
      <rc t="1" v="5559"/>
    </bk>
    <bk>
      <rc t="1" v="5560"/>
    </bk>
    <bk>
      <rc t="1" v="5561"/>
    </bk>
    <bk>
      <rc t="1" v="5562"/>
    </bk>
    <bk>
      <rc t="1" v="5563"/>
    </bk>
    <bk>
      <rc t="1" v="5564"/>
    </bk>
    <bk>
      <rc t="1" v="5565"/>
    </bk>
    <bk>
      <rc t="1" v="5566"/>
    </bk>
    <bk>
      <rc t="1" v="5567"/>
    </bk>
    <bk>
      <rc t="1" v="5568"/>
    </bk>
    <bk>
      <rc t="1" v="5569"/>
    </bk>
    <bk>
      <rc t="1" v="5570"/>
    </bk>
    <bk>
      <rc t="1" v="5571"/>
    </bk>
    <bk>
      <rc t="1" v="5572"/>
    </bk>
    <bk>
      <rc t="1" v="5573"/>
    </bk>
    <bk>
      <rc t="1" v="5574"/>
    </bk>
    <bk>
      <rc t="1" v="5575"/>
    </bk>
    <bk>
      <rc t="1" v="5576"/>
    </bk>
    <bk>
      <rc t="1" v="5577"/>
    </bk>
    <bk>
      <rc t="1" v="5578"/>
    </bk>
    <bk>
      <rc t="1" v="5579"/>
    </bk>
    <bk>
      <rc t="1" v="5580"/>
    </bk>
    <bk>
      <rc t="1" v="5581"/>
    </bk>
    <bk>
      <rc t="1" v="5582"/>
    </bk>
    <bk>
      <rc t="1" v="5583"/>
    </bk>
    <bk>
      <rc t="1" v="5584"/>
    </bk>
    <bk>
      <rc t="1" v="5585"/>
    </bk>
    <bk>
      <rc t="1" v="5586"/>
    </bk>
    <bk>
      <rc t="1" v="5587"/>
    </bk>
    <bk>
      <rc t="1" v="5588"/>
    </bk>
    <bk>
      <rc t="1" v="5589"/>
    </bk>
    <bk>
      <rc t="1" v="5590"/>
    </bk>
    <bk>
      <rc t="1" v="5591"/>
    </bk>
    <bk>
      <rc t="1" v="5592"/>
    </bk>
    <bk>
      <rc t="1" v="5593"/>
    </bk>
    <bk>
      <rc t="1" v="5594"/>
    </bk>
    <bk>
      <rc t="1" v="5595"/>
    </bk>
    <bk>
      <rc t="1" v="5596"/>
    </bk>
    <bk>
      <rc t="1" v="5597"/>
    </bk>
    <bk>
      <rc t="1" v="5598"/>
    </bk>
    <bk>
      <rc t="1" v="5599"/>
    </bk>
    <bk>
      <rc t="1" v="5600"/>
    </bk>
    <bk>
      <rc t="1" v="5601"/>
    </bk>
    <bk>
      <rc t="1" v="5602"/>
    </bk>
    <bk>
      <rc t="1" v="5603"/>
    </bk>
    <bk>
      <rc t="1" v="5604"/>
    </bk>
    <bk>
      <rc t="1" v="5605"/>
    </bk>
    <bk>
      <rc t="1" v="5606"/>
    </bk>
    <bk>
      <rc t="1" v="5607"/>
    </bk>
    <bk>
      <rc t="1" v="5608"/>
    </bk>
    <bk>
      <rc t="1" v="5609"/>
    </bk>
    <bk>
      <rc t="1" v="5610"/>
    </bk>
    <bk>
      <rc t="1" v="5611"/>
    </bk>
    <bk>
      <rc t="1" v="5612"/>
    </bk>
    <bk>
      <rc t="1" v="5613"/>
    </bk>
    <bk>
      <rc t="1" v="5614"/>
    </bk>
    <bk>
      <rc t="1" v="5615"/>
    </bk>
    <bk>
      <rc t="1" v="5616"/>
    </bk>
    <bk>
      <rc t="1" v="5617"/>
    </bk>
    <bk>
      <rc t="1" v="5618"/>
    </bk>
    <bk>
      <rc t="1" v="5619"/>
    </bk>
    <bk>
      <rc t="1" v="5620"/>
    </bk>
    <bk>
      <rc t="1" v="5621"/>
    </bk>
    <bk>
      <rc t="1" v="5622"/>
    </bk>
    <bk>
      <rc t="1" v="5623"/>
    </bk>
    <bk>
      <rc t="1" v="5624"/>
    </bk>
    <bk>
      <rc t="1" v="5625"/>
    </bk>
    <bk>
      <rc t="1" v="5626"/>
    </bk>
    <bk>
      <rc t="1" v="5627"/>
    </bk>
    <bk>
      <rc t="1" v="5628"/>
    </bk>
    <bk>
      <rc t="1" v="5629"/>
    </bk>
    <bk>
      <rc t="1" v="5630"/>
    </bk>
    <bk>
      <rc t="1" v="5631"/>
    </bk>
    <bk>
      <rc t="1" v="5632"/>
    </bk>
    <bk>
      <rc t="1" v="5633"/>
    </bk>
    <bk>
      <rc t="1" v="5634"/>
    </bk>
    <bk>
      <rc t="1" v="5635"/>
    </bk>
    <bk>
      <rc t="1" v="5636"/>
    </bk>
    <bk>
      <rc t="1" v="5637"/>
    </bk>
    <bk>
      <rc t="1" v="5638"/>
    </bk>
    <bk>
      <rc t="1" v="5639"/>
    </bk>
    <bk>
      <rc t="1" v="5640"/>
    </bk>
    <bk>
      <rc t="1" v="5641"/>
    </bk>
    <bk>
      <rc t="1" v="5642"/>
    </bk>
    <bk>
      <rc t="1" v="5643"/>
    </bk>
    <bk>
      <rc t="1" v="5644"/>
    </bk>
    <bk>
      <rc t="1" v="5645"/>
    </bk>
    <bk>
      <rc t="1" v="5646"/>
    </bk>
    <bk>
      <rc t="1" v="5647"/>
    </bk>
    <bk>
      <rc t="1" v="5648"/>
    </bk>
    <bk>
      <rc t="1" v="5649"/>
    </bk>
    <bk>
      <rc t="1" v="5650"/>
    </bk>
    <bk>
      <rc t="1" v="5651"/>
    </bk>
    <bk>
      <rc t="1" v="5652"/>
    </bk>
    <bk>
      <rc t="1" v="5653"/>
    </bk>
    <bk>
      <rc t="1" v="5654"/>
    </bk>
    <bk>
      <rc t="1" v="5655"/>
    </bk>
    <bk>
      <rc t="1" v="5656"/>
    </bk>
    <bk>
      <rc t="1" v="5657"/>
    </bk>
    <bk>
      <rc t="1" v="5658"/>
    </bk>
    <bk>
      <rc t="1" v="5659"/>
    </bk>
    <bk>
      <rc t="1" v="5660"/>
    </bk>
    <bk>
      <rc t="1" v="5661"/>
    </bk>
    <bk>
      <rc t="1" v="5662"/>
    </bk>
    <bk>
      <rc t="1" v="5663"/>
    </bk>
    <bk>
      <rc t="1" v="5664"/>
    </bk>
    <bk>
      <rc t="1" v="5665"/>
    </bk>
    <bk>
      <rc t="1" v="5666"/>
    </bk>
    <bk>
      <rc t="1" v="5667"/>
    </bk>
    <bk>
      <rc t="1" v="5668"/>
    </bk>
    <bk>
      <rc t="1" v="5669"/>
    </bk>
    <bk>
      <rc t="1" v="5670"/>
    </bk>
    <bk>
      <rc t="1" v="5671"/>
    </bk>
    <bk>
      <rc t="1" v="5672"/>
    </bk>
    <bk>
      <rc t="1" v="5673"/>
    </bk>
    <bk>
      <rc t="1" v="5674"/>
    </bk>
    <bk>
      <rc t="1" v="5675"/>
    </bk>
    <bk>
      <rc t="1" v="5676"/>
    </bk>
    <bk>
      <rc t="1" v="5677"/>
    </bk>
    <bk>
      <rc t="1" v="5678"/>
    </bk>
    <bk>
      <rc t="1" v="5679"/>
    </bk>
    <bk>
      <rc t="1" v="5680"/>
    </bk>
    <bk>
      <rc t="1" v="5681"/>
    </bk>
    <bk>
      <rc t="1" v="5682"/>
    </bk>
    <bk>
      <rc t="1" v="5683"/>
    </bk>
    <bk>
      <rc t="1" v="5684"/>
    </bk>
    <bk>
      <rc t="1" v="5685"/>
    </bk>
    <bk>
      <rc t="1" v="5686"/>
    </bk>
    <bk>
      <rc t="1" v="5687"/>
    </bk>
    <bk>
      <rc t="1" v="5688"/>
    </bk>
    <bk>
      <rc t="1" v="5689"/>
    </bk>
    <bk>
      <rc t="1" v="5690"/>
    </bk>
    <bk>
      <rc t="1" v="5691"/>
    </bk>
    <bk>
      <rc t="1" v="5692"/>
    </bk>
    <bk>
      <rc t="1" v="5693"/>
    </bk>
    <bk>
      <rc t="1" v="5694"/>
    </bk>
    <bk>
      <rc t="1" v="5695"/>
    </bk>
    <bk>
      <rc t="1" v="5696"/>
    </bk>
    <bk>
      <rc t="1" v="5697"/>
    </bk>
    <bk>
      <rc t="1" v="5698"/>
    </bk>
    <bk>
      <rc t="1" v="5699"/>
    </bk>
    <bk>
      <rc t="1" v="5700"/>
    </bk>
    <bk>
      <rc t="1" v="5701"/>
    </bk>
    <bk>
      <rc t="1" v="5702"/>
    </bk>
    <bk>
      <rc t="1" v="5703"/>
    </bk>
    <bk>
      <rc t="1" v="5704"/>
    </bk>
    <bk>
      <rc t="1" v="5705"/>
    </bk>
    <bk>
      <rc t="1" v="5706"/>
    </bk>
    <bk>
      <rc t="1" v="5707"/>
    </bk>
    <bk>
      <rc t="1" v="5708"/>
    </bk>
    <bk>
      <rc t="1" v="5709"/>
    </bk>
    <bk>
      <rc t="1" v="5710"/>
    </bk>
    <bk>
      <rc t="1" v="5711"/>
    </bk>
    <bk>
      <rc t="1" v="5712"/>
    </bk>
    <bk>
      <rc t="1" v="5713"/>
    </bk>
    <bk>
      <rc t="1" v="5714"/>
    </bk>
    <bk>
      <rc t="1" v="5715"/>
    </bk>
    <bk>
      <rc t="1" v="5716"/>
    </bk>
    <bk>
      <rc t="1" v="5717"/>
    </bk>
    <bk>
      <rc t="1" v="5718"/>
    </bk>
    <bk>
      <rc t="1" v="5719"/>
    </bk>
    <bk>
      <rc t="1" v="5720"/>
    </bk>
    <bk>
      <rc t="1" v="5721"/>
    </bk>
    <bk>
      <rc t="1" v="5722"/>
    </bk>
    <bk>
      <rc t="1" v="5723"/>
    </bk>
    <bk>
      <rc t="1" v="5724"/>
    </bk>
    <bk>
      <rc t="1" v="5725"/>
    </bk>
    <bk>
      <rc t="1" v="5726"/>
    </bk>
    <bk>
      <rc t="1" v="5727"/>
    </bk>
    <bk>
      <rc t="1" v="5728"/>
    </bk>
    <bk>
      <rc t="1" v="5729"/>
    </bk>
    <bk>
      <rc t="1" v="5730"/>
    </bk>
    <bk>
      <rc t="1" v="5731"/>
    </bk>
    <bk>
      <rc t="1" v="5732"/>
    </bk>
    <bk>
      <rc t="1" v="5733"/>
    </bk>
    <bk>
      <rc t="1" v="5734"/>
    </bk>
    <bk>
      <rc t="1" v="5735"/>
    </bk>
    <bk>
      <rc t="1" v="5736"/>
    </bk>
    <bk>
      <rc t="1" v="5737"/>
    </bk>
    <bk>
      <rc t="1" v="5738"/>
    </bk>
    <bk>
      <rc t="1" v="5739"/>
    </bk>
    <bk>
      <rc t="1" v="5740"/>
    </bk>
    <bk>
      <rc t="1" v="5741"/>
    </bk>
    <bk>
      <rc t="1" v="5742"/>
    </bk>
    <bk>
      <rc t="1" v="5743"/>
    </bk>
    <bk>
      <rc t="1" v="5744"/>
    </bk>
    <bk>
      <rc t="1" v="5745"/>
    </bk>
    <bk>
      <rc t="1" v="5746"/>
    </bk>
    <bk>
      <rc t="1" v="5747"/>
    </bk>
    <bk>
      <rc t="1" v="5748"/>
    </bk>
    <bk>
      <rc t="1" v="5749"/>
    </bk>
    <bk>
      <rc t="1" v="5750"/>
    </bk>
    <bk>
      <rc t="1" v="5751"/>
    </bk>
    <bk>
      <rc t="1" v="5752"/>
    </bk>
    <bk>
      <rc t="1" v="5753"/>
    </bk>
    <bk>
      <rc t="1" v="5754"/>
    </bk>
    <bk>
      <rc t="1" v="5755"/>
    </bk>
    <bk>
      <rc t="1" v="5756"/>
    </bk>
    <bk>
      <rc t="1" v="5757"/>
    </bk>
    <bk>
      <rc t="1" v="5758"/>
    </bk>
    <bk>
      <rc t="1" v="5759"/>
    </bk>
    <bk>
      <rc t="1" v="5760"/>
    </bk>
    <bk>
      <rc t="1" v="5761"/>
    </bk>
    <bk>
      <rc t="1" v="5762"/>
    </bk>
    <bk>
      <rc t="1" v="5763"/>
    </bk>
    <bk>
      <rc t="1" v="5764"/>
    </bk>
    <bk>
      <rc t="1" v="5765"/>
    </bk>
    <bk>
      <rc t="1" v="5766"/>
    </bk>
    <bk>
      <rc t="1" v="5767"/>
    </bk>
    <bk>
      <rc t="1" v="5768"/>
    </bk>
    <bk>
      <rc t="1" v="5769"/>
    </bk>
    <bk>
      <rc t="1" v="5770"/>
    </bk>
    <bk>
      <rc t="1" v="5771"/>
    </bk>
    <bk>
      <rc t="1" v="5772"/>
    </bk>
    <bk>
      <rc t="1" v="5773"/>
    </bk>
    <bk>
      <rc t="1" v="5774"/>
    </bk>
    <bk>
      <rc t="1" v="5775"/>
    </bk>
    <bk>
      <rc t="1" v="5776"/>
    </bk>
    <bk>
      <rc t="1" v="5777"/>
    </bk>
    <bk>
      <rc t="1" v="5778"/>
    </bk>
    <bk>
      <rc t="1" v="5779"/>
    </bk>
    <bk>
      <rc t="1" v="5780"/>
    </bk>
    <bk>
      <rc t="1" v="5781"/>
    </bk>
    <bk>
      <rc t="1" v="5782"/>
    </bk>
    <bk>
      <rc t="1" v="5783"/>
    </bk>
    <bk>
      <rc t="1" v="5784"/>
    </bk>
    <bk>
      <rc t="1" v="5785"/>
    </bk>
    <bk>
      <rc t="1" v="5786"/>
    </bk>
    <bk>
      <rc t="1" v="5787"/>
    </bk>
    <bk>
      <rc t="1" v="5788"/>
    </bk>
    <bk>
      <rc t="1" v="5789"/>
    </bk>
    <bk>
      <rc t="1" v="5790"/>
    </bk>
    <bk>
      <rc t="1" v="5791"/>
    </bk>
    <bk>
      <rc t="1" v="5792"/>
    </bk>
    <bk>
      <rc t="1" v="5793"/>
    </bk>
    <bk>
      <rc t="1" v="5794"/>
    </bk>
    <bk>
      <rc t="1" v="5795"/>
    </bk>
    <bk>
      <rc t="1" v="5796"/>
    </bk>
    <bk>
      <rc t="1" v="5797"/>
    </bk>
    <bk>
      <rc t="1" v="5798"/>
    </bk>
    <bk>
      <rc t="1" v="5799"/>
    </bk>
    <bk>
      <rc t="1" v="5800"/>
    </bk>
    <bk>
      <rc t="1" v="5801"/>
    </bk>
    <bk>
      <rc t="1" v="5802"/>
    </bk>
    <bk>
      <rc t="1" v="5803"/>
    </bk>
    <bk>
      <rc t="1" v="5804"/>
    </bk>
    <bk>
      <rc t="1" v="5805"/>
    </bk>
    <bk>
      <rc t="1" v="5806"/>
    </bk>
    <bk>
      <rc t="1" v="5807"/>
    </bk>
    <bk>
      <rc t="1" v="5808"/>
    </bk>
    <bk>
      <rc t="1" v="5809"/>
    </bk>
    <bk>
      <rc t="1" v="5810"/>
    </bk>
    <bk>
      <rc t="1" v="5811"/>
    </bk>
    <bk>
      <rc t="1" v="5812"/>
    </bk>
    <bk>
      <rc t="1" v="5813"/>
    </bk>
    <bk>
      <rc t="1" v="5814"/>
    </bk>
    <bk>
      <rc t="1" v="5815"/>
    </bk>
    <bk>
      <rc t="1" v="5816"/>
    </bk>
    <bk>
      <rc t="1" v="5817"/>
    </bk>
    <bk>
      <rc t="1" v="5818"/>
    </bk>
    <bk>
      <rc t="1" v="5819"/>
    </bk>
    <bk>
      <rc t="1" v="5820"/>
    </bk>
    <bk>
      <rc t="1" v="5821"/>
    </bk>
    <bk>
      <rc t="1" v="5822"/>
    </bk>
    <bk>
      <rc t="1" v="5823"/>
    </bk>
    <bk>
      <rc t="1" v="5824"/>
    </bk>
    <bk>
      <rc t="1" v="5825"/>
    </bk>
    <bk>
      <rc t="1" v="5826"/>
    </bk>
    <bk>
      <rc t="1" v="5827"/>
    </bk>
    <bk>
      <rc t="1" v="5828"/>
    </bk>
    <bk>
      <rc t="1" v="5829"/>
    </bk>
    <bk>
      <rc t="1" v="5830"/>
    </bk>
    <bk>
      <rc t="1" v="5831"/>
    </bk>
    <bk>
      <rc t="1" v="5832"/>
    </bk>
    <bk>
      <rc t="1" v="5833"/>
    </bk>
    <bk>
      <rc t="1" v="5834"/>
    </bk>
    <bk>
      <rc t="1" v="5835"/>
    </bk>
    <bk>
      <rc t="1" v="5836"/>
    </bk>
    <bk>
      <rc t="1" v="5837"/>
    </bk>
    <bk>
      <rc t="1" v="5838"/>
    </bk>
    <bk>
      <rc t="1" v="5839"/>
    </bk>
    <bk>
      <rc t="1" v="5840"/>
    </bk>
    <bk>
      <rc t="1" v="5841"/>
    </bk>
    <bk>
      <rc t="1" v="5842"/>
    </bk>
    <bk>
      <rc t="1" v="5843"/>
    </bk>
    <bk>
      <rc t="1" v="5844"/>
    </bk>
    <bk>
      <rc t="1" v="5845"/>
    </bk>
    <bk>
      <rc t="1" v="5846"/>
    </bk>
    <bk>
      <rc t="1" v="5847"/>
    </bk>
    <bk>
      <rc t="1" v="5848"/>
    </bk>
    <bk>
      <rc t="1" v="5849"/>
    </bk>
    <bk>
      <rc t="1" v="5850"/>
    </bk>
    <bk>
      <rc t="1" v="5851"/>
    </bk>
    <bk>
      <rc t="1" v="5852"/>
    </bk>
    <bk>
      <rc t="1" v="5853"/>
    </bk>
    <bk>
      <rc t="1" v="5854"/>
    </bk>
    <bk>
      <rc t="1" v="5855"/>
    </bk>
    <bk>
      <rc t="1" v="5856"/>
    </bk>
    <bk>
      <rc t="1" v="5857"/>
    </bk>
    <bk>
      <rc t="1" v="5858"/>
    </bk>
    <bk>
      <rc t="1" v="5859"/>
    </bk>
    <bk>
      <rc t="1" v="5860"/>
    </bk>
    <bk>
      <rc t="1" v="5861"/>
    </bk>
    <bk>
      <rc t="1" v="5862"/>
    </bk>
    <bk>
      <rc t="1" v="5863"/>
    </bk>
    <bk>
      <rc t="1" v="5864"/>
    </bk>
    <bk>
      <rc t="1" v="5865"/>
    </bk>
    <bk>
      <rc t="1" v="5866"/>
    </bk>
    <bk>
      <rc t="1" v="5867"/>
    </bk>
    <bk>
      <rc t="1" v="5868"/>
    </bk>
    <bk>
      <rc t="1" v="5869"/>
    </bk>
    <bk>
      <rc t="1" v="5870"/>
    </bk>
    <bk>
      <rc t="1" v="5871"/>
    </bk>
    <bk>
      <rc t="1" v="5872"/>
    </bk>
    <bk>
      <rc t="1" v="5873"/>
    </bk>
    <bk>
      <rc t="1" v="5874"/>
    </bk>
    <bk>
      <rc t="1" v="5875"/>
    </bk>
    <bk>
      <rc t="1" v="5876"/>
    </bk>
    <bk>
      <rc t="1" v="5877"/>
    </bk>
    <bk>
      <rc t="1" v="5878"/>
    </bk>
    <bk>
      <rc t="1" v="5879"/>
    </bk>
    <bk>
      <rc t="1" v="5880"/>
    </bk>
    <bk>
      <rc t="1" v="5881"/>
    </bk>
    <bk>
      <rc t="1" v="5882"/>
    </bk>
    <bk>
      <rc t="1" v="5883"/>
    </bk>
    <bk>
      <rc t="1" v="5884"/>
    </bk>
    <bk>
      <rc t="1" v="5885"/>
    </bk>
    <bk>
      <rc t="1" v="5886"/>
    </bk>
    <bk>
      <rc t="1" v="5887"/>
    </bk>
    <bk>
      <rc t="1" v="5888"/>
    </bk>
    <bk>
      <rc t="1" v="5889"/>
    </bk>
    <bk>
      <rc t="1" v="5890"/>
    </bk>
    <bk>
      <rc t="1" v="5891"/>
    </bk>
    <bk>
      <rc t="1" v="5892"/>
    </bk>
    <bk>
      <rc t="1" v="5893"/>
    </bk>
    <bk>
      <rc t="1" v="5894"/>
    </bk>
    <bk>
      <rc t="1" v="5895"/>
    </bk>
    <bk>
      <rc t="1" v="5896"/>
    </bk>
    <bk>
      <rc t="1" v="5897"/>
    </bk>
    <bk>
      <rc t="1" v="5898"/>
    </bk>
    <bk>
      <rc t="1" v="5899"/>
    </bk>
    <bk>
      <rc t="1" v="5900"/>
    </bk>
    <bk>
      <rc t="1" v="5901"/>
    </bk>
    <bk>
      <rc t="1" v="5902"/>
    </bk>
    <bk>
      <rc t="1" v="5903"/>
    </bk>
    <bk>
      <rc t="1" v="5904"/>
    </bk>
    <bk>
      <rc t="1" v="5905"/>
    </bk>
    <bk>
      <rc t="1" v="5906"/>
    </bk>
    <bk>
      <rc t="1" v="5907"/>
    </bk>
    <bk>
      <rc t="1" v="5908"/>
    </bk>
    <bk>
      <rc t="1" v="5909"/>
    </bk>
    <bk>
      <rc t="1" v="5910"/>
    </bk>
    <bk>
      <rc t="1" v="5911"/>
    </bk>
    <bk>
      <rc t="1" v="5912"/>
    </bk>
    <bk>
      <rc t="1" v="5913"/>
    </bk>
    <bk>
      <rc t="1" v="5914"/>
    </bk>
    <bk>
      <rc t="1" v="5915"/>
    </bk>
    <bk>
      <rc t="1" v="5916"/>
    </bk>
    <bk>
      <rc t="1" v="5917"/>
    </bk>
    <bk>
      <rc t="1" v="5918"/>
    </bk>
    <bk>
      <rc t="1" v="5919"/>
    </bk>
    <bk>
      <rc t="1" v="5920"/>
    </bk>
    <bk>
      <rc t="1" v="5921"/>
    </bk>
    <bk>
      <rc t="1" v="5922"/>
    </bk>
    <bk>
      <rc t="1" v="5923"/>
    </bk>
    <bk>
      <rc t="1" v="5924"/>
    </bk>
    <bk>
      <rc t="1" v="5925"/>
    </bk>
    <bk>
      <rc t="1" v="5926"/>
    </bk>
    <bk>
      <rc t="1" v="5927"/>
    </bk>
    <bk>
      <rc t="1" v="5928"/>
    </bk>
    <bk>
      <rc t="1" v="5929"/>
    </bk>
    <bk>
      <rc t="1" v="5930"/>
    </bk>
    <bk>
      <rc t="1" v="5931"/>
    </bk>
    <bk>
      <rc t="1" v="5932"/>
    </bk>
    <bk>
      <rc t="1" v="5933"/>
    </bk>
    <bk>
      <rc t="1" v="5934"/>
    </bk>
    <bk>
      <rc t="1" v="5935"/>
    </bk>
    <bk>
      <rc t="1" v="5936"/>
    </bk>
    <bk>
      <rc t="1" v="5937"/>
    </bk>
    <bk>
      <rc t="1" v="5938"/>
    </bk>
    <bk>
      <rc t="1" v="5939"/>
    </bk>
    <bk>
      <rc t="1" v="5940"/>
    </bk>
    <bk>
      <rc t="1" v="5941"/>
    </bk>
    <bk>
      <rc t="1" v="5942"/>
    </bk>
    <bk>
      <rc t="1" v="5943"/>
    </bk>
    <bk>
      <rc t="1" v="5944"/>
    </bk>
    <bk>
      <rc t="1" v="5945"/>
    </bk>
    <bk>
      <rc t="1" v="5946"/>
    </bk>
    <bk>
      <rc t="1" v="5947"/>
    </bk>
    <bk>
      <rc t="1" v="5948"/>
    </bk>
    <bk>
      <rc t="1" v="5949"/>
    </bk>
    <bk>
      <rc t="1" v="5950"/>
    </bk>
    <bk>
      <rc t="1" v="5951"/>
    </bk>
    <bk>
      <rc t="1" v="5952"/>
    </bk>
    <bk>
      <rc t="1" v="5953"/>
    </bk>
    <bk>
      <rc t="1" v="5954"/>
    </bk>
    <bk>
      <rc t="1" v="5955"/>
    </bk>
    <bk>
      <rc t="1" v="5956"/>
    </bk>
    <bk>
      <rc t="1" v="5957"/>
    </bk>
    <bk>
      <rc t="1" v="5958"/>
    </bk>
    <bk>
      <rc t="1" v="5959"/>
    </bk>
    <bk>
      <rc t="1" v="5960"/>
    </bk>
    <bk>
      <rc t="1" v="5961"/>
    </bk>
    <bk>
      <rc t="1" v="5962"/>
    </bk>
    <bk>
      <rc t="1" v="5963"/>
    </bk>
    <bk>
      <rc t="1" v="5964"/>
    </bk>
    <bk>
      <rc t="1" v="5965"/>
    </bk>
    <bk>
      <rc t="1" v="5966"/>
    </bk>
    <bk>
      <rc t="1" v="5967"/>
    </bk>
    <bk>
      <rc t="1" v="5968"/>
    </bk>
    <bk>
      <rc t="1" v="5969"/>
    </bk>
    <bk>
      <rc t="1" v="5970"/>
    </bk>
    <bk>
      <rc t="1" v="5971"/>
    </bk>
    <bk>
      <rc t="1" v="5972"/>
    </bk>
    <bk>
      <rc t="1" v="5973"/>
    </bk>
    <bk>
      <rc t="1" v="5974"/>
    </bk>
    <bk>
      <rc t="1" v="5975"/>
    </bk>
    <bk>
      <rc t="1" v="5976"/>
    </bk>
    <bk>
      <rc t="1" v="5977"/>
    </bk>
    <bk>
      <rc t="1" v="5978"/>
    </bk>
    <bk>
      <rc t="1" v="5979"/>
    </bk>
    <bk>
      <rc t="1" v="5980"/>
    </bk>
    <bk>
      <rc t="1" v="5981"/>
    </bk>
    <bk>
      <rc t="1" v="5982"/>
    </bk>
    <bk>
      <rc t="1" v="5983"/>
    </bk>
    <bk>
      <rc t="1" v="5984"/>
    </bk>
    <bk>
      <rc t="1" v="5985"/>
    </bk>
    <bk>
      <rc t="1" v="5986"/>
    </bk>
    <bk>
      <rc t="1" v="5987"/>
    </bk>
    <bk>
      <rc t="1" v="5988"/>
    </bk>
    <bk>
      <rc t="1" v="5989"/>
    </bk>
    <bk>
      <rc t="1" v="5990"/>
    </bk>
    <bk>
      <rc t="1" v="5991"/>
    </bk>
    <bk>
      <rc t="1" v="5992"/>
    </bk>
    <bk>
      <rc t="1" v="5993"/>
    </bk>
    <bk>
      <rc t="1" v="5994"/>
    </bk>
    <bk>
      <rc t="1" v="5995"/>
    </bk>
    <bk>
      <rc t="1" v="5996"/>
    </bk>
    <bk>
      <rc t="1" v="5997"/>
    </bk>
    <bk>
      <rc t="1" v="5998"/>
    </bk>
    <bk>
      <rc t="1" v="5999"/>
    </bk>
    <bk>
      <rc t="1" v="6000"/>
    </bk>
    <bk>
      <rc t="1" v="6001"/>
    </bk>
    <bk>
      <rc t="1" v="6002"/>
    </bk>
    <bk>
      <rc t="1" v="6003"/>
    </bk>
    <bk>
      <rc t="1" v="6004"/>
    </bk>
    <bk>
      <rc t="1" v="6005"/>
    </bk>
    <bk>
      <rc t="1" v="6006"/>
    </bk>
    <bk>
      <rc t="1" v="6007"/>
    </bk>
    <bk>
      <rc t="1" v="6008"/>
    </bk>
    <bk>
      <rc t="1" v="6009"/>
    </bk>
    <bk>
      <rc t="1" v="6010"/>
    </bk>
    <bk>
      <rc t="1" v="6011"/>
    </bk>
    <bk>
      <rc t="1" v="6012"/>
    </bk>
    <bk>
      <rc t="1" v="6013"/>
    </bk>
    <bk>
      <rc t="1" v="6014"/>
    </bk>
    <bk>
      <rc t="1" v="6015"/>
    </bk>
    <bk>
      <rc t="1" v="6016"/>
    </bk>
    <bk>
      <rc t="1" v="6017"/>
    </bk>
    <bk>
      <rc t="1" v="6018"/>
    </bk>
    <bk>
      <rc t="1" v="6019"/>
    </bk>
    <bk>
      <rc t="1" v="6020"/>
    </bk>
    <bk>
      <rc t="1" v="6021"/>
    </bk>
    <bk>
      <rc t="1" v="6022"/>
    </bk>
    <bk>
      <rc t="1" v="6023"/>
    </bk>
    <bk>
      <rc t="1" v="6024"/>
    </bk>
    <bk>
      <rc t="1" v="6025"/>
    </bk>
    <bk>
      <rc t="1" v="6026"/>
    </bk>
    <bk>
      <rc t="1" v="6027"/>
    </bk>
    <bk>
      <rc t="1" v="6028"/>
    </bk>
    <bk>
      <rc t="1" v="6029"/>
    </bk>
    <bk>
      <rc t="1" v="6030"/>
    </bk>
    <bk>
      <rc t="1" v="6031"/>
    </bk>
    <bk>
      <rc t="1" v="6032"/>
    </bk>
    <bk>
      <rc t="1" v="6033"/>
    </bk>
    <bk>
      <rc t="1" v="6034"/>
    </bk>
    <bk>
      <rc t="1" v="6035"/>
    </bk>
    <bk>
      <rc t="1" v="6036"/>
    </bk>
    <bk>
      <rc t="1" v="6037"/>
    </bk>
    <bk>
      <rc t="1" v="6038"/>
    </bk>
    <bk>
      <rc t="1" v="6039"/>
    </bk>
    <bk>
      <rc t="1" v="6040"/>
    </bk>
    <bk>
      <rc t="1" v="6041"/>
    </bk>
    <bk>
      <rc t="1" v="6042"/>
    </bk>
    <bk>
      <rc t="1" v="6043"/>
    </bk>
    <bk>
      <rc t="1" v="6044"/>
    </bk>
    <bk>
      <rc t="1" v="6045"/>
    </bk>
    <bk>
      <rc t="1" v="6046"/>
    </bk>
    <bk>
      <rc t="1" v="6047"/>
    </bk>
    <bk>
      <rc t="1" v="6048"/>
    </bk>
    <bk>
      <rc t="1" v="6049"/>
    </bk>
    <bk>
      <rc t="1" v="6050"/>
    </bk>
    <bk>
      <rc t="1" v="6051"/>
    </bk>
    <bk>
      <rc t="1" v="6052"/>
    </bk>
    <bk>
      <rc t="1" v="6053"/>
    </bk>
    <bk>
      <rc t="1" v="6054"/>
    </bk>
    <bk>
      <rc t="1" v="6055"/>
    </bk>
    <bk>
      <rc t="1" v="6056"/>
    </bk>
    <bk>
      <rc t="1" v="6057"/>
    </bk>
    <bk>
      <rc t="1" v="6058"/>
    </bk>
    <bk>
      <rc t="1" v="6059"/>
    </bk>
    <bk>
      <rc t="1" v="6060"/>
    </bk>
    <bk>
      <rc t="1" v="6061"/>
    </bk>
    <bk>
      <rc t="1" v="6062"/>
    </bk>
    <bk>
      <rc t="1" v="6063"/>
    </bk>
    <bk>
      <rc t="1" v="6064"/>
    </bk>
    <bk>
      <rc t="1" v="6065"/>
    </bk>
    <bk>
      <rc t="1" v="6066"/>
    </bk>
    <bk>
      <rc t="1" v="6067"/>
    </bk>
    <bk>
      <rc t="1" v="6068"/>
    </bk>
    <bk>
      <rc t="1" v="6069"/>
    </bk>
    <bk>
      <rc t="1" v="6070"/>
    </bk>
    <bk>
      <rc t="1" v="6071"/>
    </bk>
    <bk>
      <rc t="1" v="6072"/>
    </bk>
    <bk>
      <rc t="1" v="6073"/>
    </bk>
    <bk>
      <rc t="1" v="6074"/>
    </bk>
    <bk>
      <rc t="1" v="6075"/>
    </bk>
    <bk>
      <rc t="1" v="6076"/>
    </bk>
    <bk>
      <rc t="1" v="6077"/>
    </bk>
    <bk>
      <rc t="1" v="6078"/>
    </bk>
    <bk>
      <rc t="1" v="6079"/>
    </bk>
    <bk>
      <rc t="1" v="6080"/>
    </bk>
    <bk>
      <rc t="1" v="6081"/>
    </bk>
    <bk>
      <rc t="1" v="6082"/>
    </bk>
    <bk>
      <rc t="1" v="6083"/>
    </bk>
    <bk>
      <rc t="1" v="6084"/>
    </bk>
    <bk>
      <rc t="1" v="6085"/>
    </bk>
    <bk>
      <rc t="1" v="6086"/>
    </bk>
    <bk>
      <rc t="1" v="6087"/>
    </bk>
    <bk>
      <rc t="1" v="6088"/>
    </bk>
    <bk>
      <rc t="1" v="6089"/>
    </bk>
    <bk>
      <rc t="1" v="6090"/>
    </bk>
    <bk>
      <rc t="1" v="6091"/>
    </bk>
    <bk>
      <rc t="1" v="6092"/>
    </bk>
    <bk>
      <rc t="1" v="6093"/>
    </bk>
    <bk>
      <rc t="1" v="6094"/>
    </bk>
    <bk>
      <rc t="1" v="6095"/>
    </bk>
    <bk>
      <rc t="1" v="6096"/>
    </bk>
    <bk>
      <rc t="1" v="6097"/>
    </bk>
    <bk>
      <rc t="1" v="6098"/>
    </bk>
    <bk>
      <rc t="1" v="6099"/>
    </bk>
    <bk>
      <rc t="1" v="6100"/>
    </bk>
    <bk>
      <rc t="1" v="6101"/>
    </bk>
    <bk>
      <rc t="1" v="6102"/>
    </bk>
    <bk>
      <rc t="1" v="6103"/>
    </bk>
    <bk>
      <rc t="1" v="6104"/>
    </bk>
    <bk>
      <rc t="1" v="6105"/>
    </bk>
    <bk>
      <rc t="1" v="6106"/>
    </bk>
    <bk>
      <rc t="1" v="6107"/>
    </bk>
    <bk>
      <rc t="1" v="6108"/>
    </bk>
    <bk>
      <rc t="1" v="6109"/>
    </bk>
    <bk>
      <rc t="1" v="6110"/>
    </bk>
    <bk>
      <rc t="1" v="6111"/>
    </bk>
    <bk>
      <rc t="1" v="6112"/>
    </bk>
    <bk>
      <rc t="1" v="6113"/>
    </bk>
    <bk>
      <rc t="1" v="6114"/>
    </bk>
    <bk>
      <rc t="1" v="6115"/>
    </bk>
    <bk>
      <rc t="1" v="6116"/>
    </bk>
    <bk>
      <rc t="1" v="6117"/>
    </bk>
    <bk>
      <rc t="1" v="6118"/>
    </bk>
    <bk>
      <rc t="1" v="6119"/>
    </bk>
    <bk>
      <rc t="1" v="6120"/>
    </bk>
    <bk>
      <rc t="1" v="6121"/>
    </bk>
    <bk>
      <rc t="1" v="6122"/>
    </bk>
    <bk>
      <rc t="1" v="6123"/>
    </bk>
    <bk>
      <rc t="1" v="6124"/>
    </bk>
    <bk>
      <rc t="1" v="6125"/>
    </bk>
    <bk>
      <rc t="1" v="6126"/>
    </bk>
    <bk>
      <rc t="1" v="6127"/>
    </bk>
    <bk>
      <rc t="1" v="6128"/>
    </bk>
    <bk>
      <rc t="1" v="6129"/>
    </bk>
    <bk>
      <rc t="1" v="6130"/>
    </bk>
    <bk>
      <rc t="1" v="6131"/>
    </bk>
    <bk>
      <rc t="1" v="6132"/>
    </bk>
    <bk>
      <rc t="1" v="6133"/>
    </bk>
    <bk>
      <rc t="1" v="6134"/>
    </bk>
    <bk>
      <rc t="1" v="6135"/>
    </bk>
    <bk>
      <rc t="1" v="6136"/>
    </bk>
    <bk>
      <rc t="1" v="6137"/>
    </bk>
    <bk>
      <rc t="1" v="6138"/>
    </bk>
    <bk>
      <rc t="1" v="6139"/>
    </bk>
    <bk>
      <rc t="1" v="6140"/>
    </bk>
    <bk>
      <rc t="1" v="6141"/>
    </bk>
    <bk>
      <rc t="1" v="6142"/>
    </bk>
    <bk>
      <rc t="1" v="6143"/>
    </bk>
    <bk>
      <rc t="1" v="6144"/>
    </bk>
    <bk>
      <rc t="1" v="6145"/>
    </bk>
    <bk>
      <rc t="1" v="6146"/>
    </bk>
    <bk>
      <rc t="1" v="6147"/>
    </bk>
    <bk>
      <rc t="1" v="6148"/>
    </bk>
    <bk>
      <rc t="1" v="6149"/>
    </bk>
    <bk>
      <rc t="1" v="6150"/>
    </bk>
    <bk>
      <rc t="1" v="6151"/>
    </bk>
    <bk>
      <rc t="1" v="6152"/>
    </bk>
    <bk>
      <rc t="1" v="6153"/>
    </bk>
    <bk>
      <rc t="1" v="6154"/>
    </bk>
    <bk>
      <rc t="1" v="6155"/>
    </bk>
    <bk>
      <rc t="1" v="6156"/>
    </bk>
    <bk>
      <rc t="1" v="6157"/>
    </bk>
    <bk>
      <rc t="1" v="6158"/>
    </bk>
    <bk>
      <rc t="1" v="6159"/>
    </bk>
    <bk>
      <rc t="1" v="6160"/>
    </bk>
    <bk>
      <rc t="1" v="6161"/>
    </bk>
    <bk>
      <rc t="1" v="6162"/>
    </bk>
    <bk>
      <rc t="1" v="6163"/>
    </bk>
    <bk>
      <rc t="1" v="6164"/>
    </bk>
    <bk>
      <rc t="1" v="6165"/>
    </bk>
    <bk>
      <rc t="1" v="6166"/>
    </bk>
    <bk>
      <rc t="1" v="6167"/>
    </bk>
    <bk>
      <rc t="1" v="6168"/>
    </bk>
    <bk>
      <rc t="1" v="6169"/>
    </bk>
    <bk>
      <rc t="1" v="6170"/>
    </bk>
    <bk>
      <rc t="1" v="6171"/>
    </bk>
    <bk>
      <rc t="1" v="6172"/>
    </bk>
    <bk>
      <rc t="1" v="6173"/>
    </bk>
    <bk>
      <rc t="1" v="6174"/>
    </bk>
    <bk>
      <rc t="1" v="6175"/>
    </bk>
    <bk>
      <rc t="1" v="6176"/>
    </bk>
    <bk>
      <rc t="1" v="6177"/>
    </bk>
    <bk>
      <rc t="1" v="6178"/>
    </bk>
    <bk>
      <rc t="1" v="6179"/>
    </bk>
    <bk>
      <rc t="1" v="6180"/>
    </bk>
    <bk>
      <rc t="1" v="6181"/>
    </bk>
    <bk>
      <rc t="1" v="6182"/>
    </bk>
    <bk>
      <rc t="1" v="6183"/>
    </bk>
    <bk>
      <rc t="1" v="6184"/>
    </bk>
    <bk>
      <rc t="1" v="6185"/>
    </bk>
    <bk>
      <rc t="1" v="6186"/>
    </bk>
    <bk>
      <rc t="1" v="6187"/>
    </bk>
    <bk>
      <rc t="1" v="6188"/>
    </bk>
    <bk>
      <rc t="1" v="6189"/>
    </bk>
    <bk>
      <rc t="1" v="6190"/>
    </bk>
    <bk>
      <rc t="1" v="6191"/>
    </bk>
    <bk>
      <rc t="1" v="6192"/>
    </bk>
    <bk>
      <rc t="1" v="6193"/>
    </bk>
    <bk>
      <rc t="1" v="6194"/>
    </bk>
    <bk>
      <rc t="1" v="6195"/>
    </bk>
    <bk>
      <rc t="1" v="6196"/>
    </bk>
    <bk>
      <rc t="1" v="6197"/>
    </bk>
    <bk>
      <rc t="1" v="6198"/>
    </bk>
    <bk>
      <rc t="1" v="6199"/>
    </bk>
    <bk>
      <rc t="1" v="6200"/>
    </bk>
    <bk>
      <rc t="1" v="6201"/>
    </bk>
    <bk>
      <rc t="1" v="6202"/>
    </bk>
    <bk>
      <rc t="1" v="6203"/>
    </bk>
    <bk>
      <rc t="1" v="6204"/>
    </bk>
    <bk>
      <rc t="1" v="6205"/>
    </bk>
    <bk>
      <rc t="1" v="6206"/>
    </bk>
    <bk>
      <rc t="1" v="6207"/>
    </bk>
    <bk>
      <rc t="1" v="6208"/>
    </bk>
    <bk>
      <rc t="1" v="6209"/>
    </bk>
    <bk>
      <rc t="1" v="6210"/>
    </bk>
    <bk>
      <rc t="1" v="6211"/>
    </bk>
    <bk>
      <rc t="1" v="6212"/>
    </bk>
    <bk>
      <rc t="1" v="6213"/>
    </bk>
    <bk>
      <rc t="1" v="6214"/>
    </bk>
    <bk>
      <rc t="1" v="6215"/>
    </bk>
    <bk>
      <rc t="1" v="6216"/>
    </bk>
    <bk>
      <rc t="1" v="6217"/>
    </bk>
    <bk>
      <rc t="1" v="6218"/>
    </bk>
    <bk>
      <rc t="1" v="6219"/>
    </bk>
    <bk>
      <rc t="1" v="6220"/>
    </bk>
    <bk>
      <rc t="1" v="6221"/>
    </bk>
    <bk>
      <rc t="1" v="6222"/>
    </bk>
    <bk>
      <rc t="1" v="6223"/>
    </bk>
    <bk>
      <rc t="1" v="6224"/>
    </bk>
    <bk>
      <rc t="1" v="6225"/>
    </bk>
    <bk>
      <rc t="1" v="6226"/>
    </bk>
    <bk>
      <rc t="1" v="6227"/>
    </bk>
    <bk>
      <rc t="1" v="6228"/>
    </bk>
    <bk>
      <rc t="1" v="6229"/>
    </bk>
    <bk>
      <rc t="1" v="6230"/>
    </bk>
    <bk>
      <rc t="1" v="6231"/>
    </bk>
    <bk>
      <rc t="1" v="6232"/>
    </bk>
    <bk>
      <rc t="1" v="6233"/>
    </bk>
    <bk>
      <rc t="1" v="6234"/>
    </bk>
    <bk>
      <rc t="1" v="6235"/>
    </bk>
    <bk>
      <rc t="1" v="6236"/>
    </bk>
    <bk>
      <rc t="1" v="6237"/>
    </bk>
    <bk>
      <rc t="1" v="6238"/>
    </bk>
    <bk>
      <rc t="1" v="6239"/>
    </bk>
    <bk>
      <rc t="1" v="6240"/>
    </bk>
    <bk>
      <rc t="1" v="6241"/>
    </bk>
    <bk>
      <rc t="1" v="6242"/>
    </bk>
    <bk>
      <rc t="1" v="6243"/>
    </bk>
    <bk>
      <rc t="1" v="6244"/>
    </bk>
    <bk>
      <rc t="1" v="6245"/>
    </bk>
    <bk>
      <rc t="1" v="6246"/>
    </bk>
    <bk>
      <rc t="1" v="6247"/>
    </bk>
    <bk>
      <rc t="1" v="6248"/>
    </bk>
    <bk>
      <rc t="1" v="6249"/>
    </bk>
    <bk>
      <rc t="1" v="6250"/>
    </bk>
    <bk>
      <rc t="1" v="6251"/>
    </bk>
    <bk>
      <rc t="1" v="6252"/>
    </bk>
    <bk>
      <rc t="1" v="6253"/>
    </bk>
    <bk>
      <rc t="1" v="6254"/>
    </bk>
    <bk>
      <rc t="1" v="6255"/>
    </bk>
    <bk>
      <rc t="1" v="6256"/>
    </bk>
    <bk>
      <rc t="1" v="6257"/>
    </bk>
    <bk>
      <rc t="1" v="6258"/>
    </bk>
    <bk>
      <rc t="1" v="6259"/>
    </bk>
    <bk>
      <rc t="1" v="6260"/>
    </bk>
    <bk>
      <rc t="1" v="6261"/>
    </bk>
    <bk>
      <rc t="1" v="6262"/>
    </bk>
    <bk>
      <rc t="1" v="6263"/>
    </bk>
    <bk>
      <rc t="1" v="6264"/>
    </bk>
    <bk>
      <rc t="1" v="6265"/>
    </bk>
    <bk>
      <rc t="1" v="6266"/>
    </bk>
    <bk>
      <rc t="1" v="6267"/>
    </bk>
    <bk>
      <rc t="1" v="6268"/>
    </bk>
    <bk>
      <rc t="1" v="6269"/>
    </bk>
    <bk>
      <rc t="1" v="6270"/>
    </bk>
    <bk>
      <rc t="1" v="6271"/>
    </bk>
    <bk>
      <rc t="1" v="6272"/>
    </bk>
    <bk>
      <rc t="1" v="6273"/>
    </bk>
    <bk>
      <rc t="1" v="6274"/>
    </bk>
    <bk>
      <rc t="1" v="6275"/>
    </bk>
    <bk>
      <rc t="1" v="6276"/>
    </bk>
    <bk>
      <rc t="1" v="6277"/>
    </bk>
    <bk>
      <rc t="1" v="6278"/>
    </bk>
    <bk>
      <rc t="1" v="6279"/>
    </bk>
    <bk>
      <rc t="1" v="6280"/>
    </bk>
    <bk>
      <rc t="1" v="6281"/>
    </bk>
    <bk>
      <rc t="1" v="6282"/>
    </bk>
    <bk>
      <rc t="1" v="6283"/>
    </bk>
    <bk>
      <rc t="1" v="6284"/>
    </bk>
    <bk>
      <rc t="1" v="6285"/>
    </bk>
    <bk>
      <rc t="1" v="6286"/>
    </bk>
    <bk>
      <rc t="1" v="6287"/>
    </bk>
    <bk>
      <rc t="1" v="6288"/>
    </bk>
    <bk>
      <rc t="1" v="6289"/>
    </bk>
    <bk>
      <rc t="1" v="6290"/>
    </bk>
    <bk>
      <rc t="1" v="6291"/>
    </bk>
    <bk>
      <rc t="1" v="6292"/>
    </bk>
    <bk>
      <rc t="1" v="6293"/>
    </bk>
    <bk>
      <rc t="1" v="6294"/>
    </bk>
    <bk>
      <rc t="1" v="6295"/>
    </bk>
    <bk>
      <rc t="1" v="6296"/>
    </bk>
    <bk>
      <rc t="1" v="6297"/>
    </bk>
    <bk>
      <rc t="1" v="6298"/>
    </bk>
    <bk>
      <rc t="1" v="6299"/>
    </bk>
    <bk>
      <rc t="1" v="6300"/>
    </bk>
    <bk>
      <rc t="1" v="6301"/>
    </bk>
    <bk>
      <rc t="1" v="6302"/>
    </bk>
    <bk>
      <rc t="1" v="6303"/>
    </bk>
    <bk>
      <rc t="1" v="6304"/>
    </bk>
    <bk>
      <rc t="1" v="6305"/>
    </bk>
    <bk>
      <rc t="1" v="6306"/>
    </bk>
    <bk>
      <rc t="1" v="6307"/>
    </bk>
    <bk>
      <rc t="1" v="6308"/>
    </bk>
    <bk>
      <rc t="1" v="6309"/>
    </bk>
    <bk>
      <rc t="1" v="6310"/>
    </bk>
    <bk>
      <rc t="1" v="6311"/>
    </bk>
    <bk>
      <rc t="1" v="6312"/>
    </bk>
    <bk>
      <rc t="1" v="6313"/>
    </bk>
    <bk>
      <rc t="1" v="6314"/>
    </bk>
    <bk>
      <rc t="1" v="6315"/>
    </bk>
    <bk>
      <rc t="1" v="6316"/>
    </bk>
    <bk>
      <rc t="1" v="6317"/>
    </bk>
    <bk>
      <rc t="1" v="6318"/>
    </bk>
    <bk>
      <rc t="1" v="6319"/>
    </bk>
    <bk>
      <rc t="1" v="6320"/>
    </bk>
    <bk>
      <rc t="1" v="6321"/>
    </bk>
    <bk>
      <rc t="1" v="6322"/>
    </bk>
    <bk>
      <rc t="1" v="6323"/>
    </bk>
    <bk>
      <rc t="1" v="6324"/>
    </bk>
    <bk>
      <rc t="1" v="6325"/>
    </bk>
    <bk>
      <rc t="1" v="6326"/>
    </bk>
    <bk>
      <rc t="1" v="6327"/>
    </bk>
    <bk>
      <rc t="1" v="6328"/>
    </bk>
    <bk>
      <rc t="1" v="6329"/>
    </bk>
    <bk>
      <rc t="1" v="6330"/>
    </bk>
    <bk>
      <rc t="1" v="6331"/>
    </bk>
    <bk>
      <rc t="1" v="6332"/>
    </bk>
    <bk>
      <rc t="1" v="6333"/>
    </bk>
    <bk>
      <rc t="1" v="6334"/>
    </bk>
    <bk>
      <rc t="1" v="6335"/>
    </bk>
    <bk>
      <rc t="1" v="6336"/>
    </bk>
    <bk>
      <rc t="1" v="6337"/>
    </bk>
    <bk>
      <rc t="1" v="6338"/>
    </bk>
    <bk>
      <rc t="1" v="6339"/>
    </bk>
    <bk>
      <rc t="1" v="6340"/>
    </bk>
    <bk>
      <rc t="1" v="6341"/>
    </bk>
    <bk>
      <rc t="1" v="6342"/>
    </bk>
    <bk>
      <rc t="1" v="6343"/>
    </bk>
    <bk>
      <rc t="1" v="6344"/>
    </bk>
    <bk>
      <rc t="1" v="6345"/>
    </bk>
    <bk>
      <rc t="1" v="6346"/>
    </bk>
    <bk>
      <rc t="1" v="6347"/>
    </bk>
    <bk>
      <rc t="1" v="6348"/>
    </bk>
    <bk>
      <rc t="1" v="6349"/>
    </bk>
    <bk>
      <rc t="1" v="6350"/>
    </bk>
    <bk>
      <rc t="1" v="6351"/>
    </bk>
    <bk>
      <rc t="1" v="6352"/>
    </bk>
    <bk>
      <rc t="1" v="6353"/>
    </bk>
    <bk>
      <rc t="1" v="6354"/>
    </bk>
    <bk>
      <rc t="1" v="6355"/>
    </bk>
    <bk>
      <rc t="1" v="6356"/>
    </bk>
    <bk>
      <rc t="1" v="6357"/>
    </bk>
    <bk>
      <rc t="1" v="6358"/>
    </bk>
    <bk>
      <rc t="1" v="6359"/>
    </bk>
    <bk>
      <rc t="1" v="6360"/>
    </bk>
    <bk>
      <rc t="1" v="6361"/>
    </bk>
    <bk>
      <rc t="1" v="6362"/>
    </bk>
    <bk>
      <rc t="1" v="6363"/>
    </bk>
    <bk>
      <rc t="1" v="6364"/>
    </bk>
    <bk>
      <rc t="1" v="6365"/>
    </bk>
    <bk>
      <rc t="1" v="6366"/>
    </bk>
    <bk>
      <rc t="1" v="6367"/>
    </bk>
    <bk>
      <rc t="1" v="6368"/>
    </bk>
    <bk>
      <rc t="1" v="6369"/>
    </bk>
    <bk>
      <rc t="1" v="6370"/>
    </bk>
    <bk>
      <rc t="1" v="6371"/>
    </bk>
    <bk>
      <rc t="1" v="6372"/>
    </bk>
    <bk>
      <rc t="1" v="6373"/>
    </bk>
    <bk>
      <rc t="1" v="6374"/>
    </bk>
    <bk>
      <rc t="1" v="6375"/>
    </bk>
    <bk>
      <rc t="1" v="6376"/>
    </bk>
    <bk>
      <rc t="1" v="6377"/>
    </bk>
    <bk>
      <rc t="1" v="6378"/>
    </bk>
    <bk>
      <rc t="1" v="6379"/>
    </bk>
    <bk>
      <rc t="1" v="6380"/>
    </bk>
    <bk>
      <rc t="1" v="6381"/>
    </bk>
    <bk>
      <rc t="1" v="6382"/>
    </bk>
    <bk>
      <rc t="1" v="6383"/>
    </bk>
    <bk>
      <rc t="1" v="6384"/>
    </bk>
    <bk>
      <rc t="1" v="6385"/>
    </bk>
    <bk>
      <rc t="1" v="6386"/>
    </bk>
    <bk>
      <rc t="1" v="6387"/>
    </bk>
    <bk>
      <rc t="1" v="6388"/>
    </bk>
    <bk>
      <rc t="1" v="6389"/>
    </bk>
    <bk>
      <rc t="1" v="6390"/>
    </bk>
    <bk>
      <rc t="1" v="6391"/>
    </bk>
    <bk>
      <rc t="1" v="6392"/>
    </bk>
    <bk>
      <rc t="1" v="6393"/>
    </bk>
    <bk>
      <rc t="1" v="6394"/>
    </bk>
    <bk>
      <rc t="1" v="6395"/>
    </bk>
    <bk>
      <rc t="1" v="6396"/>
    </bk>
    <bk>
      <rc t="1" v="6397"/>
    </bk>
    <bk>
      <rc t="1" v="6398"/>
    </bk>
    <bk>
      <rc t="1" v="6399"/>
    </bk>
    <bk>
      <rc t="1" v="6400"/>
    </bk>
    <bk>
      <rc t="1" v="6401"/>
    </bk>
    <bk>
      <rc t="1" v="6402"/>
    </bk>
    <bk>
      <rc t="1" v="6403"/>
    </bk>
    <bk>
      <rc t="1" v="6404"/>
    </bk>
    <bk>
      <rc t="1" v="6405"/>
    </bk>
    <bk>
      <rc t="1" v="6406"/>
    </bk>
    <bk>
      <rc t="1" v="6407"/>
    </bk>
    <bk>
      <rc t="1" v="6408"/>
    </bk>
    <bk>
      <rc t="1" v="6409"/>
    </bk>
    <bk>
      <rc t="1" v="6410"/>
    </bk>
    <bk>
      <rc t="1" v="6411"/>
    </bk>
    <bk>
      <rc t="1" v="6412"/>
    </bk>
    <bk>
      <rc t="1" v="6413"/>
    </bk>
    <bk>
      <rc t="1" v="6414"/>
    </bk>
    <bk>
      <rc t="1" v="6415"/>
    </bk>
    <bk>
      <rc t="1" v="6416"/>
    </bk>
    <bk>
      <rc t="1" v="6417"/>
    </bk>
    <bk>
      <rc t="1" v="6418"/>
    </bk>
    <bk>
      <rc t="1" v="6419"/>
    </bk>
    <bk>
      <rc t="1" v="6420"/>
    </bk>
    <bk>
      <rc t="1" v="6421"/>
    </bk>
    <bk>
      <rc t="1" v="6422"/>
    </bk>
    <bk>
      <rc t="1" v="6423"/>
    </bk>
    <bk>
      <rc t="1" v="6424"/>
    </bk>
    <bk>
      <rc t="1" v="6425"/>
    </bk>
    <bk>
      <rc t="1" v="6426"/>
    </bk>
    <bk>
      <rc t="1" v="6427"/>
    </bk>
    <bk>
      <rc t="1" v="6428"/>
    </bk>
    <bk>
      <rc t="1" v="6429"/>
    </bk>
    <bk>
      <rc t="1" v="6430"/>
    </bk>
    <bk>
      <rc t="1" v="6431"/>
    </bk>
    <bk>
      <rc t="1" v="6432"/>
    </bk>
    <bk>
      <rc t="1" v="6433"/>
    </bk>
    <bk>
      <rc t="1" v="6434"/>
    </bk>
    <bk>
      <rc t="1" v="6435"/>
    </bk>
    <bk>
      <rc t="1" v="6436"/>
    </bk>
    <bk>
      <rc t="1" v="6437"/>
    </bk>
    <bk>
      <rc t="1" v="6438"/>
    </bk>
    <bk>
      <rc t="1" v="6439"/>
    </bk>
    <bk>
      <rc t="1" v="6440"/>
    </bk>
    <bk>
      <rc t="1" v="6441"/>
    </bk>
    <bk>
      <rc t="1" v="6442"/>
    </bk>
    <bk>
      <rc t="1" v="6443"/>
    </bk>
    <bk>
      <rc t="1" v="6444"/>
    </bk>
    <bk>
      <rc t="1" v="6445"/>
    </bk>
    <bk>
      <rc t="1" v="6446"/>
    </bk>
    <bk>
      <rc t="1" v="6447"/>
    </bk>
    <bk>
      <rc t="1" v="6448"/>
    </bk>
    <bk>
      <rc t="1" v="6449"/>
    </bk>
    <bk>
      <rc t="1" v="6450"/>
    </bk>
    <bk>
      <rc t="1" v="6451"/>
    </bk>
    <bk>
      <rc t="1" v="6452"/>
    </bk>
    <bk>
      <rc t="1" v="6453"/>
    </bk>
    <bk>
      <rc t="1" v="6454"/>
    </bk>
    <bk>
      <rc t="1" v="6455"/>
    </bk>
    <bk>
      <rc t="1" v="6456"/>
    </bk>
    <bk>
      <rc t="1" v="6457"/>
    </bk>
    <bk>
      <rc t="1" v="6458"/>
    </bk>
    <bk>
      <rc t="1" v="6459"/>
    </bk>
    <bk>
      <rc t="1" v="6460"/>
    </bk>
    <bk>
      <rc t="1" v="6461"/>
    </bk>
    <bk>
      <rc t="1" v="6462"/>
    </bk>
    <bk>
      <rc t="1" v="6463"/>
    </bk>
    <bk>
      <rc t="1" v="6464"/>
    </bk>
    <bk>
      <rc t="1" v="6465"/>
    </bk>
    <bk>
      <rc t="1" v="6466"/>
    </bk>
    <bk>
      <rc t="1" v="6467"/>
    </bk>
    <bk>
      <rc t="1" v="6468"/>
    </bk>
    <bk>
      <rc t="1" v="6469"/>
    </bk>
    <bk>
      <rc t="1" v="6470"/>
    </bk>
    <bk>
      <rc t="1" v="6471"/>
    </bk>
    <bk>
      <rc t="1" v="6472"/>
    </bk>
    <bk>
      <rc t="1" v="6473"/>
    </bk>
    <bk>
      <rc t="1" v="6474"/>
    </bk>
    <bk>
      <rc t="1" v="6475"/>
    </bk>
    <bk>
      <rc t="1" v="6476"/>
    </bk>
    <bk>
      <rc t="1" v="6477"/>
    </bk>
    <bk>
      <rc t="1" v="6478"/>
    </bk>
    <bk>
      <rc t="1" v="6479"/>
    </bk>
    <bk>
      <rc t="1" v="6480"/>
    </bk>
    <bk>
      <rc t="1" v="6481"/>
    </bk>
    <bk>
      <rc t="1" v="6482"/>
    </bk>
    <bk>
      <rc t="1" v="6483"/>
    </bk>
    <bk>
      <rc t="1" v="6484"/>
    </bk>
    <bk>
      <rc t="1" v="6485"/>
    </bk>
    <bk>
      <rc t="1" v="6486"/>
    </bk>
    <bk>
      <rc t="1" v="6487"/>
    </bk>
    <bk>
      <rc t="1" v="6488"/>
    </bk>
    <bk>
      <rc t="1" v="6489"/>
    </bk>
    <bk>
      <rc t="1" v="6490"/>
    </bk>
    <bk>
      <rc t="1" v="6491"/>
    </bk>
    <bk>
      <rc t="1" v="6492"/>
    </bk>
    <bk>
      <rc t="1" v="6493"/>
    </bk>
    <bk>
      <rc t="1" v="6494"/>
    </bk>
    <bk>
      <rc t="1" v="6495"/>
    </bk>
    <bk>
      <rc t="1" v="6496"/>
    </bk>
    <bk>
      <rc t="1" v="6497"/>
    </bk>
    <bk>
      <rc t="1" v="6498"/>
    </bk>
    <bk>
      <rc t="1" v="6499"/>
    </bk>
    <bk>
      <rc t="1" v="6500"/>
    </bk>
    <bk>
      <rc t="1" v="6501"/>
    </bk>
    <bk>
      <rc t="1" v="6502"/>
    </bk>
    <bk>
      <rc t="1" v="6503"/>
    </bk>
    <bk>
      <rc t="1" v="6504"/>
    </bk>
    <bk>
      <rc t="1" v="6505"/>
    </bk>
    <bk>
      <rc t="1" v="6506"/>
    </bk>
    <bk>
      <rc t="1" v="6507"/>
    </bk>
    <bk>
      <rc t="1" v="6508"/>
    </bk>
    <bk>
      <rc t="1" v="6509"/>
    </bk>
    <bk>
      <rc t="1" v="6510"/>
    </bk>
    <bk>
      <rc t="1" v="6511"/>
    </bk>
    <bk>
      <rc t="1" v="6512"/>
    </bk>
    <bk>
      <rc t="1" v="6513"/>
    </bk>
    <bk>
      <rc t="1" v="6514"/>
    </bk>
    <bk>
      <rc t="1" v="6515"/>
    </bk>
    <bk>
      <rc t="1" v="6516"/>
    </bk>
    <bk>
      <rc t="1" v="6517"/>
    </bk>
    <bk>
      <rc t="1" v="6518"/>
    </bk>
    <bk>
      <rc t="1" v="6519"/>
    </bk>
    <bk>
      <rc t="1" v="6520"/>
    </bk>
    <bk>
      <rc t="1" v="6521"/>
    </bk>
    <bk>
      <rc t="1" v="6522"/>
    </bk>
    <bk>
      <rc t="1" v="6523"/>
    </bk>
    <bk>
      <rc t="1" v="6524"/>
    </bk>
    <bk>
      <rc t="1" v="6525"/>
    </bk>
    <bk>
      <rc t="1" v="6526"/>
    </bk>
    <bk>
      <rc t="1" v="6527"/>
    </bk>
    <bk>
      <rc t="1" v="6528"/>
    </bk>
    <bk>
      <rc t="1" v="6529"/>
    </bk>
    <bk>
      <rc t="1" v="6530"/>
    </bk>
    <bk>
      <rc t="1" v="6531"/>
    </bk>
    <bk>
      <rc t="1" v="6532"/>
    </bk>
    <bk>
      <rc t="1" v="6533"/>
    </bk>
    <bk>
      <rc t="1" v="6534"/>
    </bk>
    <bk>
      <rc t="1" v="6535"/>
    </bk>
    <bk>
      <rc t="1" v="6536"/>
    </bk>
    <bk>
      <rc t="1" v="6537"/>
    </bk>
    <bk>
      <rc t="1" v="6538"/>
    </bk>
    <bk>
      <rc t="1" v="6539"/>
    </bk>
    <bk>
      <rc t="1" v="6540"/>
    </bk>
    <bk>
      <rc t="1" v="6541"/>
    </bk>
    <bk>
      <rc t="1" v="6542"/>
    </bk>
    <bk>
      <rc t="1" v="6543"/>
    </bk>
    <bk>
      <rc t="1" v="6544"/>
    </bk>
    <bk>
      <rc t="1" v="6545"/>
    </bk>
    <bk>
      <rc t="1" v="6546"/>
    </bk>
    <bk>
      <rc t="1" v="6547"/>
    </bk>
    <bk>
      <rc t="1" v="6548"/>
    </bk>
    <bk>
      <rc t="1" v="6549"/>
    </bk>
    <bk>
      <rc t="1" v="6550"/>
    </bk>
    <bk>
      <rc t="1" v="6551"/>
    </bk>
    <bk>
      <rc t="1" v="6552"/>
    </bk>
    <bk>
      <rc t="1" v="6553"/>
    </bk>
    <bk>
      <rc t="1" v="6554"/>
    </bk>
    <bk>
      <rc t="1" v="6555"/>
    </bk>
    <bk>
      <rc t="1" v="6556"/>
    </bk>
    <bk>
      <rc t="1" v="6557"/>
    </bk>
    <bk>
      <rc t="1" v="6558"/>
    </bk>
    <bk>
      <rc t="1" v="6559"/>
    </bk>
    <bk>
      <rc t="1" v="6560"/>
    </bk>
    <bk>
      <rc t="1" v="6561"/>
    </bk>
    <bk>
      <rc t="1" v="6562"/>
    </bk>
    <bk>
      <rc t="1" v="6563"/>
    </bk>
    <bk>
      <rc t="1" v="6564"/>
    </bk>
    <bk>
      <rc t="1" v="6565"/>
    </bk>
    <bk>
      <rc t="1" v="6566"/>
    </bk>
    <bk>
      <rc t="1" v="6567"/>
    </bk>
    <bk>
      <rc t="1" v="6568"/>
    </bk>
    <bk>
      <rc t="1" v="6569"/>
    </bk>
    <bk>
      <rc t="1" v="6570"/>
    </bk>
    <bk>
      <rc t="1" v="6571"/>
    </bk>
    <bk>
      <rc t="1" v="6572"/>
    </bk>
    <bk>
      <rc t="1" v="6573"/>
    </bk>
    <bk>
      <rc t="1" v="6574"/>
    </bk>
    <bk>
      <rc t="1" v="6575"/>
    </bk>
    <bk>
      <rc t="1" v="6576"/>
    </bk>
    <bk>
      <rc t="1" v="6577"/>
    </bk>
    <bk>
      <rc t="1" v="6578"/>
    </bk>
    <bk>
      <rc t="1" v="6579"/>
    </bk>
    <bk>
      <rc t="1" v="6580"/>
    </bk>
    <bk>
      <rc t="1" v="6581"/>
    </bk>
    <bk>
      <rc t="1" v="6582"/>
    </bk>
    <bk>
      <rc t="1" v="6583"/>
    </bk>
    <bk>
      <rc t="1" v="6584"/>
    </bk>
    <bk>
      <rc t="1" v="6585"/>
    </bk>
    <bk>
      <rc t="1" v="6586"/>
    </bk>
    <bk>
      <rc t="1" v="6587"/>
    </bk>
    <bk>
      <rc t="1" v="6588"/>
    </bk>
    <bk>
      <rc t="1" v="6589"/>
    </bk>
    <bk>
      <rc t="1" v="6590"/>
    </bk>
    <bk>
      <rc t="1" v="6591"/>
    </bk>
    <bk>
      <rc t="1" v="6592"/>
    </bk>
    <bk>
      <rc t="1" v="6593"/>
    </bk>
    <bk>
      <rc t="1" v="6594"/>
    </bk>
    <bk>
      <rc t="1" v="6595"/>
    </bk>
    <bk>
      <rc t="1" v="6596"/>
    </bk>
    <bk>
      <rc t="1" v="6597"/>
    </bk>
    <bk>
      <rc t="1" v="6598"/>
    </bk>
    <bk>
      <rc t="1" v="6599"/>
    </bk>
    <bk>
      <rc t="1" v="6600"/>
    </bk>
    <bk>
      <rc t="1" v="6601"/>
    </bk>
    <bk>
      <rc t="1" v="6602"/>
    </bk>
    <bk>
      <rc t="1" v="6603"/>
    </bk>
    <bk>
      <rc t="1" v="6604"/>
    </bk>
    <bk>
      <rc t="1" v="6605"/>
    </bk>
    <bk>
      <rc t="1" v="6606"/>
    </bk>
    <bk>
      <rc t="1" v="6607"/>
    </bk>
    <bk>
      <rc t="1" v="6608"/>
    </bk>
    <bk>
      <rc t="1" v="6609"/>
    </bk>
    <bk>
      <rc t="1" v="6610"/>
    </bk>
    <bk>
      <rc t="1" v="6611"/>
    </bk>
    <bk>
      <rc t="1" v="6612"/>
    </bk>
    <bk>
      <rc t="1" v="6613"/>
    </bk>
    <bk>
      <rc t="1" v="6614"/>
    </bk>
    <bk>
      <rc t="1" v="6615"/>
    </bk>
    <bk>
      <rc t="1" v="6616"/>
    </bk>
    <bk>
      <rc t="1" v="6617"/>
    </bk>
    <bk>
      <rc t="1" v="6618"/>
    </bk>
    <bk>
      <rc t="1" v="6619"/>
    </bk>
    <bk>
      <rc t="1" v="6620"/>
    </bk>
    <bk>
      <rc t="1" v="6621"/>
    </bk>
    <bk>
      <rc t="1" v="6622"/>
    </bk>
    <bk>
      <rc t="1" v="6623"/>
    </bk>
    <bk>
      <rc t="1" v="6624"/>
    </bk>
    <bk>
      <rc t="1" v="6625"/>
    </bk>
    <bk>
      <rc t="1" v="6626"/>
    </bk>
    <bk>
      <rc t="1" v="6627"/>
    </bk>
    <bk>
      <rc t="1" v="6628"/>
    </bk>
    <bk>
      <rc t="1" v="6629"/>
    </bk>
    <bk>
      <rc t="1" v="6630"/>
    </bk>
    <bk>
      <rc t="1" v="6631"/>
    </bk>
    <bk>
      <rc t="1" v="6632"/>
    </bk>
    <bk>
      <rc t="1" v="6633"/>
    </bk>
    <bk>
      <rc t="1" v="6634"/>
    </bk>
    <bk>
      <rc t="1" v="6635"/>
    </bk>
    <bk>
      <rc t="1" v="6636"/>
    </bk>
    <bk>
      <rc t="1" v="6637"/>
    </bk>
    <bk>
      <rc t="1" v="6638"/>
    </bk>
    <bk>
      <rc t="1" v="6639"/>
    </bk>
    <bk>
      <rc t="1" v="6640"/>
    </bk>
    <bk>
      <rc t="1" v="6641"/>
    </bk>
    <bk>
      <rc t="1" v="6642"/>
    </bk>
    <bk>
      <rc t="1" v="6643"/>
    </bk>
    <bk>
      <rc t="1" v="6644"/>
    </bk>
    <bk>
      <rc t="1" v="6645"/>
    </bk>
    <bk>
      <rc t="1" v="6646"/>
    </bk>
    <bk>
      <rc t="1" v="6647"/>
    </bk>
    <bk>
      <rc t="1" v="6648"/>
    </bk>
    <bk>
      <rc t="1" v="6649"/>
    </bk>
    <bk>
      <rc t="1" v="6650"/>
    </bk>
    <bk>
      <rc t="1" v="6651"/>
    </bk>
    <bk>
      <rc t="1" v="6652"/>
    </bk>
    <bk>
      <rc t="1" v="6653"/>
    </bk>
    <bk>
      <rc t="1" v="6654"/>
    </bk>
    <bk>
      <rc t="1" v="6655"/>
    </bk>
    <bk>
      <rc t="1" v="6656"/>
    </bk>
    <bk>
      <rc t="1" v="6657"/>
    </bk>
    <bk>
      <rc t="1" v="6658"/>
    </bk>
    <bk>
      <rc t="1" v="6659"/>
    </bk>
    <bk>
      <rc t="1" v="6660"/>
    </bk>
    <bk>
      <rc t="1" v="6661"/>
    </bk>
    <bk>
      <rc t="1" v="6662"/>
    </bk>
    <bk>
      <rc t="1" v="6663"/>
    </bk>
    <bk>
      <rc t="1" v="6664"/>
    </bk>
    <bk>
      <rc t="1" v="6665"/>
    </bk>
    <bk>
      <rc t="1" v="6666"/>
    </bk>
    <bk>
      <rc t="1" v="6667"/>
    </bk>
    <bk>
      <rc t="1" v="6668"/>
    </bk>
    <bk>
      <rc t="1" v="6669"/>
    </bk>
    <bk>
      <rc t="1" v="6670"/>
    </bk>
    <bk>
      <rc t="1" v="6671"/>
    </bk>
    <bk>
      <rc t="1" v="6672"/>
    </bk>
    <bk>
      <rc t="1" v="6673"/>
    </bk>
    <bk>
      <rc t="1" v="6674"/>
    </bk>
    <bk>
      <rc t="1" v="6675"/>
    </bk>
    <bk>
      <rc t="1" v="6676"/>
    </bk>
    <bk>
      <rc t="1" v="6677"/>
    </bk>
    <bk>
      <rc t="1" v="6678"/>
    </bk>
    <bk>
      <rc t="1" v="6679"/>
    </bk>
    <bk>
      <rc t="1" v="6680"/>
    </bk>
    <bk>
      <rc t="1" v="6681"/>
    </bk>
    <bk>
      <rc t="1" v="6682"/>
    </bk>
    <bk>
      <rc t="1" v="6683"/>
    </bk>
    <bk>
      <rc t="1" v="6684"/>
    </bk>
    <bk>
      <rc t="1" v="6685"/>
    </bk>
    <bk>
      <rc t="1" v="6686"/>
    </bk>
    <bk>
      <rc t="1" v="6687"/>
    </bk>
    <bk>
      <rc t="1" v="6688"/>
    </bk>
    <bk>
      <rc t="1" v="6689"/>
    </bk>
    <bk>
      <rc t="1" v="6690"/>
    </bk>
    <bk>
      <rc t="1" v="6691"/>
    </bk>
    <bk>
      <rc t="1" v="6692"/>
    </bk>
    <bk>
      <rc t="1" v="6693"/>
    </bk>
    <bk>
      <rc t="1" v="6694"/>
    </bk>
    <bk>
      <rc t="1" v="6695"/>
    </bk>
    <bk>
      <rc t="1" v="6696"/>
    </bk>
    <bk>
      <rc t="1" v="6697"/>
    </bk>
    <bk>
      <rc t="1" v="6698"/>
    </bk>
    <bk>
      <rc t="1" v="6699"/>
    </bk>
    <bk>
      <rc t="1" v="6700"/>
    </bk>
    <bk>
      <rc t="1" v="6701"/>
    </bk>
    <bk>
      <rc t="1" v="6702"/>
    </bk>
    <bk>
      <rc t="1" v="6703"/>
    </bk>
    <bk>
      <rc t="1" v="6704"/>
    </bk>
    <bk>
      <rc t="1" v="6705"/>
    </bk>
    <bk>
      <rc t="1" v="6706"/>
    </bk>
    <bk>
      <rc t="1" v="6707"/>
    </bk>
    <bk>
      <rc t="1" v="6708"/>
    </bk>
    <bk>
      <rc t="1" v="6709"/>
    </bk>
    <bk>
      <rc t="1" v="6710"/>
    </bk>
    <bk>
      <rc t="1" v="6711"/>
    </bk>
    <bk>
      <rc t="1" v="6712"/>
    </bk>
    <bk>
      <rc t="1" v="6713"/>
    </bk>
    <bk>
      <rc t="1" v="6714"/>
    </bk>
    <bk>
      <rc t="1" v="6715"/>
    </bk>
    <bk>
      <rc t="1" v="6716"/>
    </bk>
    <bk>
      <rc t="1" v="6717"/>
    </bk>
    <bk>
      <rc t="1" v="6718"/>
    </bk>
    <bk>
      <rc t="1" v="6719"/>
    </bk>
    <bk>
      <rc t="1" v="6720"/>
    </bk>
    <bk>
      <rc t="1" v="6721"/>
    </bk>
    <bk>
      <rc t="1" v="6722"/>
    </bk>
    <bk>
      <rc t="1" v="6723"/>
    </bk>
    <bk>
      <rc t="1" v="6724"/>
    </bk>
    <bk>
      <rc t="1" v="6725"/>
    </bk>
    <bk>
      <rc t="1" v="6726"/>
    </bk>
    <bk>
      <rc t="1" v="6727"/>
    </bk>
    <bk>
      <rc t="1" v="6728"/>
    </bk>
    <bk>
      <rc t="1" v="6729"/>
    </bk>
    <bk>
      <rc t="1" v="6730"/>
    </bk>
    <bk>
      <rc t="1" v="6731"/>
    </bk>
    <bk>
      <rc t="1" v="6732"/>
    </bk>
    <bk>
      <rc t="1" v="6733"/>
    </bk>
    <bk>
      <rc t="1" v="6734"/>
    </bk>
    <bk>
      <rc t="1" v="6735"/>
    </bk>
    <bk>
      <rc t="1" v="6736"/>
    </bk>
    <bk>
      <rc t="1" v="6737"/>
    </bk>
    <bk>
      <rc t="1" v="6738"/>
    </bk>
    <bk>
      <rc t="1" v="6739"/>
    </bk>
    <bk>
      <rc t="1" v="6740"/>
    </bk>
    <bk>
      <rc t="1" v="6741"/>
    </bk>
    <bk>
      <rc t="1" v="6742"/>
    </bk>
    <bk>
      <rc t="1" v="6743"/>
    </bk>
    <bk>
      <rc t="1" v="6744"/>
    </bk>
    <bk>
      <rc t="1" v="6745"/>
    </bk>
    <bk>
      <rc t="1" v="6746"/>
    </bk>
    <bk>
      <rc t="1" v="6747"/>
    </bk>
    <bk>
      <rc t="1" v="6748"/>
    </bk>
    <bk>
      <rc t="1" v="6749"/>
    </bk>
    <bk>
      <rc t="1" v="6750"/>
    </bk>
    <bk>
      <rc t="1" v="6751"/>
    </bk>
    <bk>
      <rc t="1" v="6752"/>
    </bk>
    <bk>
      <rc t="1" v="6753"/>
    </bk>
    <bk>
      <rc t="1" v="6754"/>
    </bk>
    <bk>
      <rc t="1" v="6755"/>
    </bk>
    <bk>
      <rc t="1" v="6756"/>
    </bk>
    <bk>
      <rc t="1" v="6757"/>
    </bk>
    <bk>
      <rc t="1" v="6758"/>
    </bk>
    <bk>
      <rc t="1" v="6759"/>
    </bk>
    <bk>
      <rc t="1" v="6760"/>
    </bk>
    <bk>
      <rc t="1" v="6761"/>
    </bk>
    <bk>
      <rc t="1" v="6762"/>
    </bk>
    <bk>
      <rc t="1" v="6763"/>
    </bk>
    <bk>
      <rc t="1" v="6764"/>
    </bk>
    <bk>
      <rc t="1" v="6765"/>
    </bk>
    <bk>
      <rc t="1" v="6766"/>
    </bk>
    <bk>
      <rc t="1" v="6767"/>
    </bk>
    <bk>
      <rc t="1" v="6768"/>
    </bk>
    <bk>
      <rc t="1" v="6769"/>
    </bk>
    <bk>
      <rc t="1" v="6770"/>
    </bk>
    <bk>
      <rc t="1" v="6771"/>
    </bk>
    <bk>
      <rc t="1" v="6772"/>
    </bk>
    <bk>
      <rc t="1" v="6773"/>
    </bk>
    <bk>
      <rc t="1" v="6774"/>
    </bk>
    <bk>
      <rc t="1" v="6775"/>
    </bk>
    <bk>
      <rc t="1" v="6776"/>
    </bk>
    <bk>
      <rc t="1" v="6777"/>
    </bk>
    <bk>
      <rc t="1" v="6778"/>
    </bk>
    <bk>
      <rc t="1" v="6779"/>
    </bk>
    <bk>
      <rc t="1" v="6780"/>
    </bk>
    <bk>
      <rc t="1" v="6781"/>
    </bk>
    <bk>
      <rc t="1" v="6782"/>
    </bk>
    <bk>
      <rc t="1" v="6783"/>
    </bk>
    <bk>
      <rc t="1" v="6784"/>
    </bk>
    <bk>
      <rc t="1" v="6785"/>
    </bk>
    <bk>
      <rc t="1" v="6786"/>
    </bk>
    <bk>
      <rc t="1" v="6787"/>
    </bk>
    <bk>
      <rc t="1" v="6788"/>
    </bk>
    <bk>
      <rc t="1" v="6789"/>
    </bk>
    <bk>
      <rc t="1" v="6790"/>
    </bk>
    <bk>
      <rc t="1" v="6791"/>
    </bk>
    <bk>
      <rc t="1" v="6792"/>
    </bk>
    <bk>
      <rc t="1" v="6793"/>
    </bk>
    <bk>
      <rc t="1" v="6794"/>
    </bk>
    <bk>
      <rc t="1" v="6795"/>
    </bk>
    <bk>
      <rc t="1" v="6796"/>
    </bk>
    <bk>
      <rc t="1" v="6797"/>
    </bk>
    <bk>
      <rc t="1" v="6798"/>
    </bk>
    <bk>
      <rc t="1" v="6799"/>
    </bk>
    <bk>
      <rc t="1" v="6800"/>
    </bk>
    <bk>
      <rc t="1" v="6801"/>
    </bk>
    <bk>
      <rc t="1" v="6802"/>
    </bk>
    <bk>
      <rc t="1" v="6803"/>
    </bk>
    <bk>
      <rc t="1" v="6804"/>
    </bk>
    <bk>
      <rc t="1" v="6805"/>
    </bk>
    <bk>
      <rc t="1" v="6806"/>
    </bk>
    <bk>
      <rc t="1" v="6807"/>
    </bk>
    <bk>
      <rc t="1" v="6808"/>
    </bk>
    <bk>
      <rc t="1" v="6809"/>
    </bk>
    <bk>
      <rc t="1" v="6810"/>
    </bk>
    <bk>
      <rc t="1" v="6811"/>
    </bk>
    <bk>
      <rc t="1" v="6812"/>
    </bk>
    <bk>
      <rc t="1" v="6813"/>
    </bk>
    <bk>
      <rc t="1" v="6814"/>
    </bk>
    <bk>
      <rc t="1" v="6815"/>
    </bk>
    <bk>
      <rc t="1" v="6816"/>
    </bk>
    <bk>
      <rc t="1" v="6817"/>
    </bk>
    <bk>
      <rc t="1" v="6818"/>
    </bk>
    <bk>
      <rc t="1" v="6819"/>
    </bk>
    <bk>
      <rc t="1" v="6820"/>
    </bk>
    <bk>
      <rc t="1" v="6821"/>
    </bk>
    <bk>
      <rc t="1" v="6822"/>
    </bk>
    <bk>
      <rc t="1" v="6823"/>
    </bk>
    <bk>
      <rc t="1" v="6824"/>
    </bk>
    <bk>
      <rc t="1" v="6825"/>
    </bk>
    <bk>
      <rc t="1" v="6826"/>
    </bk>
    <bk>
      <rc t="1" v="6827"/>
    </bk>
    <bk>
      <rc t="1" v="6828"/>
    </bk>
    <bk>
      <rc t="1" v="6829"/>
    </bk>
    <bk>
      <rc t="1" v="6830"/>
    </bk>
    <bk>
      <rc t="1" v="6831"/>
    </bk>
    <bk>
      <rc t="1" v="6832"/>
    </bk>
    <bk>
      <rc t="1" v="6833"/>
    </bk>
    <bk>
      <rc t="1" v="6834"/>
    </bk>
    <bk>
      <rc t="1" v="6835"/>
    </bk>
    <bk>
      <rc t="1" v="6836"/>
    </bk>
    <bk>
      <rc t="1" v="6837"/>
    </bk>
    <bk>
      <rc t="1" v="6838"/>
    </bk>
    <bk>
      <rc t="1" v="6839"/>
    </bk>
    <bk>
      <rc t="1" v="6840"/>
    </bk>
    <bk>
      <rc t="1" v="6841"/>
    </bk>
    <bk>
      <rc t="1" v="6842"/>
    </bk>
    <bk>
      <rc t="1" v="6843"/>
    </bk>
    <bk>
      <rc t="1" v="6844"/>
    </bk>
    <bk>
      <rc t="1" v="6845"/>
    </bk>
    <bk>
      <rc t="1" v="6846"/>
    </bk>
    <bk>
      <rc t="1" v="6847"/>
    </bk>
    <bk>
      <rc t="1" v="6848"/>
    </bk>
    <bk>
      <rc t="1" v="6849"/>
    </bk>
    <bk>
      <rc t="1" v="6850"/>
    </bk>
    <bk>
      <rc t="1" v="6851"/>
    </bk>
    <bk>
      <rc t="1" v="6852"/>
    </bk>
    <bk>
      <rc t="1" v="6853"/>
    </bk>
    <bk>
      <rc t="1" v="6854"/>
    </bk>
    <bk>
      <rc t="1" v="6855"/>
    </bk>
    <bk>
      <rc t="1" v="6856"/>
    </bk>
    <bk>
      <rc t="1" v="6857"/>
    </bk>
    <bk>
      <rc t="1" v="6858"/>
    </bk>
    <bk>
      <rc t="1" v="6859"/>
    </bk>
    <bk>
      <rc t="1" v="6860"/>
    </bk>
    <bk>
      <rc t="1" v="6861"/>
    </bk>
    <bk>
      <rc t="1" v="6862"/>
    </bk>
    <bk>
      <rc t="1" v="6863"/>
    </bk>
    <bk>
      <rc t="1" v="6864"/>
    </bk>
    <bk>
      <rc t="1" v="6865"/>
    </bk>
    <bk>
      <rc t="1" v="6866"/>
    </bk>
    <bk>
      <rc t="1" v="6867"/>
    </bk>
    <bk>
      <rc t="1" v="6868"/>
    </bk>
    <bk>
      <rc t="1" v="6869"/>
    </bk>
    <bk>
      <rc t="1" v="6870"/>
    </bk>
    <bk>
      <rc t="1" v="6871"/>
    </bk>
    <bk>
      <rc t="1" v="6872"/>
    </bk>
    <bk>
      <rc t="1" v="6873"/>
    </bk>
    <bk>
      <rc t="1" v="6874"/>
    </bk>
    <bk>
      <rc t="1" v="6875"/>
    </bk>
    <bk>
      <rc t="1" v="6876"/>
    </bk>
    <bk>
      <rc t="1" v="6877"/>
    </bk>
    <bk>
      <rc t="1" v="6878"/>
    </bk>
    <bk>
      <rc t="1" v="6879"/>
    </bk>
    <bk>
      <rc t="1" v="6880"/>
    </bk>
    <bk>
      <rc t="1" v="6881"/>
    </bk>
    <bk>
      <rc t="1" v="6882"/>
    </bk>
    <bk>
      <rc t="1" v="6883"/>
    </bk>
    <bk>
      <rc t="1" v="6884"/>
    </bk>
    <bk>
      <rc t="1" v="6885"/>
    </bk>
    <bk>
      <rc t="1" v="6886"/>
    </bk>
    <bk>
      <rc t="1" v="6887"/>
    </bk>
    <bk>
      <rc t="1" v="6888"/>
    </bk>
    <bk>
      <rc t="1" v="6889"/>
    </bk>
    <bk>
      <rc t="1" v="6890"/>
    </bk>
    <bk>
      <rc t="1" v="6891"/>
    </bk>
    <bk>
      <rc t="1" v="6892"/>
    </bk>
    <bk>
      <rc t="1" v="6893"/>
    </bk>
    <bk>
      <rc t="1" v="6894"/>
    </bk>
    <bk>
      <rc t="1" v="6895"/>
    </bk>
    <bk>
      <rc t="1" v="6896"/>
    </bk>
    <bk>
      <rc t="1" v="6897"/>
    </bk>
    <bk>
      <rc t="1" v="6898"/>
    </bk>
    <bk>
      <rc t="1" v="6899"/>
    </bk>
    <bk>
      <rc t="1" v="6900"/>
    </bk>
    <bk>
      <rc t="1" v="6901"/>
    </bk>
    <bk>
      <rc t="1" v="6902"/>
    </bk>
    <bk>
      <rc t="1" v="6903"/>
    </bk>
    <bk>
      <rc t="1" v="6904"/>
    </bk>
    <bk>
      <rc t="1" v="6905"/>
    </bk>
    <bk>
      <rc t="1" v="6906"/>
    </bk>
    <bk>
      <rc t="1" v="6907"/>
    </bk>
    <bk>
      <rc t="1" v="6908"/>
    </bk>
    <bk>
      <rc t="1" v="6909"/>
    </bk>
    <bk>
      <rc t="1" v="6910"/>
    </bk>
    <bk>
      <rc t="1" v="6911"/>
    </bk>
    <bk>
      <rc t="1" v="6912"/>
    </bk>
    <bk>
      <rc t="1" v="6913"/>
    </bk>
    <bk>
      <rc t="1" v="6914"/>
    </bk>
    <bk>
      <rc t="1" v="6915"/>
    </bk>
    <bk>
      <rc t="1" v="6916"/>
    </bk>
    <bk>
      <rc t="1" v="6917"/>
    </bk>
    <bk>
      <rc t="1" v="6918"/>
    </bk>
    <bk>
      <rc t="1" v="6919"/>
    </bk>
    <bk>
      <rc t="1" v="6920"/>
    </bk>
    <bk>
      <rc t="1" v="6921"/>
    </bk>
    <bk>
      <rc t="1" v="6922"/>
    </bk>
    <bk>
      <rc t="1" v="6923"/>
    </bk>
    <bk>
      <rc t="1" v="6924"/>
    </bk>
    <bk>
      <rc t="1" v="6925"/>
    </bk>
    <bk>
      <rc t="1" v="6926"/>
    </bk>
    <bk>
      <rc t="1" v="6927"/>
    </bk>
    <bk>
      <rc t="1" v="6928"/>
    </bk>
    <bk>
      <rc t="1" v="6929"/>
    </bk>
    <bk>
      <rc t="1" v="6930"/>
    </bk>
    <bk>
      <rc t="1" v="6931"/>
    </bk>
    <bk>
      <rc t="1" v="6932"/>
    </bk>
    <bk>
      <rc t="1" v="6933"/>
    </bk>
    <bk>
      <rc t="1" v="6934"/>
    </bk>
    <bk>
      <rc t="1" v="6935"/>
    </bk>
    <bk>
      <rc t="1" v="6936"/>
    </bk>
    <bk>
      <rc t="1" v="6937"/>
    </bk>
    <bk>
      <rc t="1" v="6938"/>
    </bk>
    <bk>
      <rc t="1" v="6939"/>
    </bk>
    <bk>
      <rc t="1" v="6940"/>
    </bk>
    <bk>
      <rc t="1" v="6941"/>
    </bk>
    <bk>
      <rc t="1" v="6942"/>
    </bk>
    <bk>
      <rc t="1" v="6943"/>
    </bk>
    <bk>
      <rc t="1" v="6944"/>
    </bk>
    <bk>
      <rc t="1" v="6945"/>
    </bk>
    <bk>
      <rc t="1" v="6946"/>
    </bk>
    <bk>
      <rc t="1" v="6947"/>
    </bk>
    <bk>
      <rc t="1" v="6948"/>
    </bk>
    <bk>
      <rc t="1" v="6949"/>
    </bk>
    <bk>
      <rc t="1" v="6950"/>
    </bk>
    <bk>
      <rc t="1" v="6951"/>
    </bk>
    <bk>
      <rc t="1" v="6952"/>
    </bk>
    <bk>
      <rc t="1" v="6953"/>
    </bk>
    <bk>
      <rc t="1" v="6954"/>
    </bk>
    <bk>
      <rc t="1" v="6955"/>
    </bk>
    <bk>
      <rc t="1" v="6956"/>
    </bk>
    <bk>
      <rc t="1" v="6957"/>
    </bk>
    <bk>
      <rc t="1" v="6958"/>
    </bk>
    <bk>
      <rc t="1" v="6959"/>
    </bk>
    <bk>
      <rc t="1" v="6960"/>
    </bk>
    <bk>
      <rc t="1" v="6961"/>
    </bk>
    <bk>
      <rc t="1" v="6962"/>
    </bk>
    <bk>
      <rc t="1" v="6963"/>
    </bk>
    <bk>
      <rc t="1" v="6964"/>
    </bk>
    <bk>
      <rc t="1" v="6965"/>
    </bk>
    <bk>
      <rc t="1" v="6966"/>
    </bk>
    <bk>
      <rc t="1" v="6967"/>
    </bk>
    <bk>
      <rc t="1" v="6968"/>
    </bk>
    <bk>
      <rc t="1" v="6969"/>
    </bk>
    <bk>
      <rc t="1" v="6970"/>
    </bk>
    <bk>
      <rc t="1" v="6971"/>
    </bk>
    <bk>
      <rc t="1" v="6972"/>
    </bk>
    <bk>
      <rc t="1" v="6973"/>
    </bk>
    <bk>
      <rc t="1" v="6974"/>
    </bk>
    <bk>
      <rc t="1" v="6975"/>
    </bk>
    <bk>
      <rc t="1" v="6976"/>
    </bk>
    <bk>
      <rc t="1" v="6977"/>
    </bk>
    <bk>
      <rc t="1" v="6978"/>
    </bk>
    <bk>
      <rc t="1" v="6979"/>
    </bk>
    <bk>
      <rc t="1" v="6980"/>
    </bk>
    <bk>
      <rc t="1" v="6981"/>
    </bk>
    <bk>
      <rc t="1" v="6982"/>
    </bk>
    <bk>
      <rc t="1" v="6983"/>
    </bk>
    <bk>
      <rc t="1" v="6984"/>
    </bk>
    <bk>
      <rc t="1" v="6985"/>
    </bk>
    <bk>
      <rc t="1" v="6986"/>
    </bk>
    <bk>
      <rc t="1" v="6987"/>
    </bk>
    <bk>
      <rc t="1" v="6988"/>
    </bk>
    <bk>
      <rc t="1" v="6989"/>
    </bk>
    <bk>
      <rc t="1" v="6990"/>
    </bk>
    <bk>
      <rc t="1" v="6991"/>
    </bk>
    <bk>
      <rc t="1" v="6992"/>
    </bk>
    <bk>
      <rc t="1" v="6993"/>
    </bk>
    <bk>
      <rc t="1" v="6994"/>
    </bk>
    <bk>
      <rc t="1" v="6995"/>
    </bk>
    <bk>
      <rc t="1" v="6996"/>
    </bk>
    <bk>
      <rc t="1" v="6997"/>
    </bk>
    <bk>
      <rc t="1" v="6998"/>
    </bk>
    <bk>
      <rc t="1" v="6999"/>
    </bk>
    <bk>
      <rc t="1" v="7000"/>
    </bk>
    <bk>
      <rc t="1" v="7001"/>
    </bk>
    <bk>
      <rc t="1" v="7002"/>
    </bk>
    <bk>
      <rc t="1" v="7003"/>
    </bk>
    <bk>
      <rc t="1" v="7004"/>
    </bk>
    <bk>
      <rc t="1" v="7005"/>
    </bk>
    <bk>
      <rc t="1" v="7006"/>
    </bk>
    <bk>
      <rc t="1" v="7007"/>
    </bk>
    <bk>
      <rc t="1" v="7008"/>
    </bk>
    <bk>
      <rc t="1" v="7009"/>
    </bk>
    <bk>
      <rc t="1" v="7010"/>
    </bk>
    <bk>
      <rc t="1" v="7011"/>
    </bk>
    <bk>
      <rc t="1" v="7012"/>
    </bk>
    <bk>
      <rc t="1" v="7013"/>
    </bk>
    <bk>
      <rc t="1" v="7014"/>
    </bk>
    <bk>
      <rc t="1" v="7015"/>
    </bk>
    <bk>
      <rc t="1" v="7016"/>
    </bk>
    <bk>
      <rc t="1" v="7017"/>
    </bk>
    <bk>
      <rc t="1" v="7018"/>
    </bk>
    <bk>
      <rc t="1" v="7019"/>
    </bk>
    <bk>
      <rc t="1" v="7020"/>
    </bk>
    <bk>
      <rc t="1" v="7021"/>
    </bk>
    <bk>
      <rc t="1" v="7022"/>
    </bk>
    <bk>
      <rc t="1" v="7023"/>
    </bk>
    <bk>
      <rc t="1" v="7024"/>
    </bk>
    <bk>
      <rc t="1" v="7025"/>
    </bk>
    <bk>
      <rc t="1" v="7026"/>
    </bk>
    <bk>
      <rc t="1" v="7027"/>
    </bk>
    <bk>
      <rc t="1" v="7028"/>
    </bk>
    <bk>
      <rc t="1" v="7029"/>
    </bk>
    <bk>
      <rc t="1" v="7030"/>
    </bk>
    <bk>
      <rc t="1" v="7031"/>
    </bk>
    <bk>
      <rc t="1" v="7032"/>
    </bk>
    <bk>
      <rc t="1" v="7033"/>
    </bk>
    <bk>
      <rc t="1" v="7034"/>
    </bk>
    <bk>
      <rc t="1" v="7035"/>
    </bk>
    <bk>
      <rc t="1" v="7036"/>
    </bk>
    <bk>
      <rc t="1" v="7037"/>
    </bk>
    <bk>
      <rc t="1" v="7038"/>
    </bk>
    <bk>
      <rc t="1" v="7039"/>
    </bk>
    <bk>
      <rc t="1" v="7040"/>
    </bk>
    <bk>
      <rc t="1" v="7041"/>
    </bk>
    <bk>
      <rc t="1" v="7042"/>
    </bk>
    <bk>
      <rc t="1" v="7043"/>
    </bk>
    <bk>
      <rc t="1" v="7044"/>
    </bk>
    <bk>
      <rc t="1" v="7045"/>
    </bk>
    <bk>
      <rc t="1" v="7046"/>
    </bk>
    <bk>
      <rc t="1" v="7047"/>
    </bk>
    <bk>
      <rc t="1" v="7048"/>
    </bk>
    <bk>
      <rc t="1" v="7049"/>
    </bk>
    <bk>
      <rc t="1" v="7050"/>
    </bk>
    <bk>
      <rc t="1" v="7051"/>
    </bk>
    <bk>
      <rc t="1" v="7052"/>
    </bk>
    <bk>
      <rc t="1" v="7053"/>
    </bk>
    <bk>
      <rc t="1" v="7054"/>
    </bk>
    <bk>
      <rc t="1" v="7055"/>
    </bk>
    <bk>
      <rc t="1" v="7056"/>
    </bk>
    <bk>
      <rc t="1" v="7057"/>
    </bk>
    <bk>
      <rc t="1" v="7058"/>
    </bk>
    <bk>
      <rc t="1" v="7059"/>
    </bk>
    <bk>
      <rc t="1" v="7060"/>
    </bk>
    <bk>
      <rc t="1" v="7061"/>
    </bk>
    <bk>
      <rc t="1" v="7062"/>
    </bk>
    <bk>
      <rc t="1" v="7063"/>
    </bk>
    <bk>
      <rc t="1" v="7064"/>
    </bk>
    <bk>
      <rc t="1" v="7065"/>
    </bk>
    <bk>
      <rc t="1" v="7066"/>
    </bk>
    <bk>
      <rc t="1" v="7067"/>
    </bk>
    <bk>
      <rc t="1" v="7068"/>
    </bk>
    <bk>
      <rc t="1" v="7069"/>
    </bk>
    <bk>
      <rc t="1" v="7070"/>
    </bk>
    <bk>
      <rc t="1" v="7071"/>
    </bk>
    <bk>
      <rc t="1" v="7072"/>
    </bk>
    <bk>
      <rc t="1" v="7073"/>
    </bk>
    <bk>
      <rc t="1" v="7074"/>
    </bk>
    <bk>
      <rc t="1" v="7075"/>
    </bk>
    <bk>
      <rc t="1" v="7076"/>
    </bk>
    <bk>
      <rc t="1" v="7077"/>
    </bk>
    <bk>
      <rc t="1" v="7078"/>
    </bk>
    <bk>
      <rc t="1" v="7079"/>
    </bk>
    <bk>
      <rc t="1" v="7080"/>
    </bk>
    <bk>
      <rc t="1" v="7081"/>
    </bk>
    <bk>
      <rc t="1" v="7082"/>
    </bk>
    <bk>
      <rc t="1" v="7083"/>
    </bk>
    <bk>
      <rc t="1" v="7084"/>
    </bk>
    <bk>
      <rc t="1" v="7085"/>
    </bk>
    <bk>
      <rc t="1" v="7086"/>
    </bk>
    <bk>
      <rc t="1" v="7087"/>
    </bk>
    <bk>
      <rc t="1" v="7088"/>
    </bk>
    <bk>
      <rc t="1" v="7089"/>
    </bk>
    <bk>
      <rc t="1" v="7090"/>
    </bk>
    <bk>
      <rc t="1" v="7091"/>
    </bk>
    <bk>
      <rc t="1" v="7092"/>
    </bk>
    <bk>
      <rc t="1" v="7093"/>
    </bk>
    <bk>
      <rc t="1" v="7094"/>
    </bk>
    <bk>
      <rc t="1" v="7095"/>
    </bk>
    <bk>
      <rc t="1" v="7096"/>
    </bk>
    <bk>
      <rc t="1" v="7097"/>
    </bk>
    <bk>
      <rc t="1" v="7098"/>
    </bk>
    <bk>
      <rc t="1" v="7099"/>
    </bk>
    <bk>
      <rc t="1" v="7100"/>
    </bk>
    <bk>
      <rc t="1" v="7101"/>
    </bk>
    <bk>
      <rc t="1" v="7102"/>
    </bk>
    <bk>
      <rc t="1" v="7103"/>
    </bk>
    <bk>
      <rc t="1" v="7104"/>
    </bk>
    <bk>
      <rc t="1" v="7105"/>
    </bk>
    <bk>
      <rc t="1" v="7106"/>
    </bk>
    <bk>
      <rc t="1" v="7107"/>
    </bk>
    <bk>
      <rc t="1" v="7108"/>
    </bk>
    <bk>
      <rc t="1" v="7109"/>
    </bk>
    <bk>
      <rc t="1" v="7110"/>
    </bk>
    <bk>
      <rc t="1" v="7111"/>
    </bk>
    <bk>
      <rc t="1" v="7112"/>
    </bk>
    <bk>
      <rc t="1" v="7113"/>
    </bk>
    <bk>
      <rc t="1" v="7114"/>
    </bk>
    <bk>
      <rc t="1" v="7115"/>
    </bk>
    <bk>
      <rc t="1" v="7116"/>
    </bk>
    <bk>
      <rc t="1" v="7117"/>
    </bk>
    <bk>
      <rc t="1" v="7118"/>
    </bk>
    <bk>
      <rc t="1" v="7119"/>
    </bk>
    <bk>
      <rc t="1" v="7120"/>
    </bk>
    <bk>
      <rc t="1" v="7121"/>
    </bk>
    <bk>
      <rc t="1" v="7122"/>
    </bk>
    <bk>
      <rc t="1" v="7123"/>
    </bk>
    <bk>
      <rc t="1" v="7124"/>
    </bk>
    <bk>
      <rc t="1" v="7125"/>
    </bk>
    <bk>
      <rc t="1" v="7126"/>
    </bk>
    <bk>
      <rc t="1" v="7127"/>
    </bk>
    <bk>
      <rc t="1" v="7128"/>
    </bk>
    <bk>
      <rc t="1" v="7129"/>
    </bk>
    <bk>
      <rc t="1" v="7130"/>
    </bk>
    <bk>
      <rc t="1" v="7131"/>
    </bk>
    <bk>
      <rc t="1" v="7132"/>
    </bk>
    <bk>
      <rc t="1" v="7133"/>
    </bk>
    <bk>
      <rc t="1" v="7134"/>
    </bk>
    <bk>
      <rc t="1" v="7135"/>
    </bk>
    <bk>
      <rc t="1" v="7136"/>
    </bk>
    <bk>
      <rc t="1" v="7137"/>
    </bk>
    <bk>
      <rc t="1" v="7138"/>
    </bk>
    <bk>
      <rc t="1" v="7139"/>
    </bk>
    <bk>
      <rc t="1" v="7140"/>
    </bk>
    <bk>
      <rc t="1" v="7141"/>
    </bk>
    <bk>
      <rc t="1" v="7142"/>
    </bk>
    <bk>
      <rc t="1" v="7143"/>
    </bk>
    <bk>
      <rc t="1" v="7144"/>
    </bk>
    <bk>
      <rc t="1" v="7145"/>
    </bk>
    <bk>
      <rc t="1" v="7146"/>
    </bk>
    <bk>
      <rc t="1" v="7147"/>
    </bk>
    <bk>
      <rc t="1" v="7148"/>
    </bk>
    <bk>
      <rc t="1" v="7149"/>
    </bk>
    <bk>
      <rc t="1" v="7150"/>
    </bk>
    <bk>
      <rc t="1" v="7151"/>
    </bk>
    <bk>
      <rc t="1" v="7152"/>
    </bk>
    <bk>
      <rc t="1" v="7153"/>
    </bk>
    <bk>
      <rc t="1" v="7154"/>
    </bk>
    <bk>
      <rc t="1" v="7155"/>
    </bk>
    <bk>
      <rc t="1" v="7156"/>
    </bk>
    <bk>
      <rc t="1" v="7157"/>
    </bk>
    <bk>
      <rc t="1" v="7158"/>
    </bk>
    <bk>
      <rc t="1" v="7159"/>
    </bk>
    <bk>
      <rc t="1" v="7160"/>
    </bk>
    <bk>
      <rc t="1" v="7161"/>
    </bk>
    <bk>
      <rc t="1" v="7162"/>
    </bk>
    <bk>
      <rc t="1" v="7163"/>
    </bk>
    <bk>
      <rc t="1" v="7164"/>
    </bk>
    <bk>
      <rc t="1" v="7165"/>
    </bk>
    <bk>
      <rc t="1" v="7166"/>
    </bk>
    <bk>
      <rc t="1" v="7167"/>
    </bk>
    <bk>
      <rc t="1" v="7168"/>
    </bk>
    <bk>
      <rc t="1" v="7169"/>
    </bk>
    <bk>
      <rc t="1" v="7170"/>
    </bk>
    <bk>
      <rc t="1" v="7171"/>
    </bk>
    <bk>
      <rc t="1" v="7172"/>
    </bk>
    <bk>
      <rc t="1" v="7173"/>
    </bk>
    <bk>
      <rc t="1" v="7174"/>
    </bk>
    <bk>
      <rc t="1" v="7175"/>
    </bk>
    <bk>
      <rc t="1" v="7176"/>
    </bk>
    <bk>
      <rc t="1" v="7177"/>
    </bk>
    <bk>
      <rc t="1" v="7178"/>
    </bk>
    <bk>
      <rc t="1" v="7179"/>
    </bk>
    <bk>
      <rc t="1" v="7180"/>
    </bk>
    <bk>
      <rc t="1" v="7181"/>
    </bk>
    <bk>
      <rc t="1" v="7182"/>
    </bk>
    <bk>
      <rc t="1" v="7183"/>
    </bk>
    <bk>
      <rc t="1" v="7184"/>
    </bk>
    <bk>
      <rc t="1" v="7185"/>
    </bk>
    <bk>
      <rc t="1" v="7186"/>
    </bk>
    <bk>
      <rc t="1" v="7187"/>
    </bk>
    <bk>
      <rc t="1" v="7188"/>
    </bk>
    <bk>
      <rc t="1" v="7189"/>
    </bk>
    <bk>
      <rc t="1" v="7190"/>
    </bk>
    <bk>
      <rc t="1" v="7191"/>
    </bk>
    <bk>
      <rc t="1" v="7192"/>
    </bk>
    <bk>
      <rc t="1" v="7193"/>
    </bk>
    <bk>
      <rc t="1" v="7194"/>
    </bk>
    <bk>
      <rc t="1" v="7195"/>
    </bk>
    <bk>
      <rc t="1" v="7196"/>
    </bk>
    <bk>
      <rc t="1" v="7197"/>
    </bk>
    <bk>
      <rc t="1" v="7198"/>
    </bk>
    <bk>
      <rc t="1" v="7199"/>
    </bk>
    <bk>
      <rc t="1" v="7200"/>
    </bk>
    <bk>
      <rc t="1" v="7201"/>
    </bk>
    <bk>
      <rc t="1" v="7202"/>
    </bk>
    <bk>
      <rc t="1" v="7203"/>
    </bk>
    <bk>
      <rc t="1" v="7204"/>
    </bk>
    <bk>
      <rc t="1" v="7205"/>
    </bk>
    <bk>
      <rc t="1" v="7206"/>
    </bk>
    <bk>
      <rc t="1" v="7207"/>
    </bk>
    <bk>
      <rc t="1" v="7208"/>
    </bk>
    <bk>
      <rc t="1" v="7209"/>
    </bk>
    <bk>
      <rc t="1" v="7210"/>
    </bk>
    <bk>
      <rc t="1" v="7211"/>
    </bk>
    <bk>
      <rc t="1" v="7212"/>
    </bk>
    <bk>
      <rc t="1" v="7213"/>
    </bk>
    <bk>
      <rc t="1" v="7214"/>
    </bk>
    <bk>
      <rc t="1" v="7215"/>
    </bk>
    <bk>
      <rc t="1" v="7216"/>
    </bk>
    <bk>
      <rc t="1" v="7217"/>
    </bk>
    <bk>
      <rc t="1" v="7218"/>
    </bk>
    <bk>
      <rc t="1" v="7219"/>
    </bk>
    <bk>
      <rc t="1" v="7220"/>
    </bk>
    <bk>
      <rc t="1" v="7221"/>
    </bk>
    <bk>
      <rc t="1" v="7222"/>
    </bk>
    <bk>
      <rc t="1" v="7223"/>
    </bk>
    <bk>
      <rc t="1" v="7224"/>
    </bk>
    <bk>
      <rc t="1" v="7225"/>
    </bk>
    <bk>
      <rc t="1" v="7226"/>
    </bk>
    <bk>
      <rc t="1" v="7227"/>
    </bk>
    <bk>
      <rc t="1" v="7228"/>
    </bk>
    <bk>
      <rc t="1" v="7229"/>
    </bk>
    <bk>
      <rc t="1" v="7230"/>
    </bk>
    <bk>
      <rc t="1" v="7231"/>
    </bk>
    <bk>
      <rc t="1" v="7232"/>
    </bk>
    <bk>
      <rc t="1" v="7233"/>
    </bk>
    <bk>
      <rc t="1" v="7234"/>
    </bk>
    <bk>
      <rc t="1" v="7235"/>
    </bk>
    <bk>
      <rc t="1" v="7236"/>
    </bk>
    <bk>
      <rc t="1" v="7237"/>
    </bk>
    <bk>
      <rc t="1" v="7238"/>
    </bk>
    <bk>
      <rc t="1" v="7239"/>
    </bk>
    <bk>
      <rc t="1" v="7240"/>
    </bk>
    <bk>
      <rc t="1" v="7241"/>
    </bk>
    <bk>
      <rc t="1" v="7242"/>
    </bk>
    <bk>
      <rc t="1" v="7243"/>
    </bk>
    <bk>
      <rc t="1" v="7244"/>
    </bk>
    <bk>
      <rc t="1" v="7245"/>
    </bk>
    <bk>
      <rc t="1" v="7246"/>
    </bk>
    <bk>
      <rc t="1" v="7247"/>
    </bk>
    <bk>
      <rc t="1" v="7248"/>
    </bk>
    <bk>
      <rc t="1" v="7249"/>
    </bk>
    <bk>
      <rc t="1" v="7250"/>
    </bk>
    <bk>
      <rc t="1" v="7251"/>
    </bk>
    <bk>
      <rc t="1" v="7252"/>
    </bk>
    <bk>
      <rc t="1" v="7253"/>
    </bk>
    <bk>
      <rc t="1" v="7254"/>
    </bk>
    <bk>
      <rc t="1" v="7255"/>
    </bk>
    <bk>
      <rc t="1" v="7256"/>
    </bk>
    <bk>
      <rc t="1" v="7257"/>
    </bk>
    <bk>
      <rc t="1" v="7258"/>
    </bk>
    <bk>
      <rc t="1" v="7259"/>
    </bk>
    <bk>
      <rc t="1" v="7260"/>
    </bk>
    <bk>
      <rc t="1" v="7261"/>
    </bk>
    <bk>
      <rc t="1" v="7262"/>
    </bk>
    <bk>
      <rc t="1" v="7263"/>
    </bk>
    <bk>
      <rc t="1" v="7264"/>
    </bk>
    <bk>
      <rc t="1" v="7265"/>
    </bk>
    <bk>
      <rc t="1" v="7266"/>
    </bk>
    <bk>
      <rc t="1" v="7267"/>
    </bk>
    <bk>
      <rc t="1" v="7268"/>
    </bk>
    <bk>
      <rc t="1" v="7269"/>
    </bk>
    <bk>
      <rc t="1" v="7270"/>
    </bk>
    <bk>
      <rc t="1" v="7271"/>
    </bk>
    <bk>
      <rc t="1" v="7272"/>
    </bk>
    <bk>
      <rc t="1" v="7273"/>
    </bk>
    <bk>
      <rc t="1" v="7274"/>
    </bk>
    <bk>
      <rc t="1" v="7275"/>
    </bk>
    <bk>
      <rc t="1" v="7276"/>
    </bk>
    <bk>
      <rc t="1" v="7277"/>
    </bk>
    <bk>
      <rc t="1" v="7278"/>
    </bk>
    <bk>
      <rc t="1" v="7279"/>
    </bk>
    <bk>
      <rc t="1" v="7280"/>
    </bk>
    <bk>
      <rc t="1" v="7281"/>
    </bk>
    <bk>
      <rc t="1" v="7282"/>
    </bk>
    <bk>
      <rc t="1" v="7283"/>
    </bk>
    <bk>
      <rc t="1" v="7284"/>
    </bk>
    <bk>
      <rc t="1" v="7285"/>
    </bk>
    <bk>
      <rc t="1" v="7286"/>
    </bk>
    <bk>
      <rc t="1" v="7287"/>
    </bk>
    <bk>
      <rc t="1" v="7288"/>
    </bk>
    <bk>
      <rc t="1" v="7289"/>
    </bk>
    <bk>
      <rc t="1" v="7290"/>
    </bk>
    <bk>
      <rc t="1" v="7291"/>
    </bk>
    <bk>
      <rc t="1" v="7292"/>
    </bk>
    <bk>
      <rc t="1" v="7293"/>
    </bk>
    <bk>
      <rc t="1" v="7294"/>
    </bk>
    <bk>
      <rc t="1" v="7295"/>
    </bk>
    <bk>
      <rc t="1" v="7296"/>
    </bk>
    <bk>
      <rc t="1" v="7297"/>
    </bk>
    <bk>
      <rc t="1" v="7298"/>
    </bk>
    <bk>
      <rc t="1" v="7299"/>
    </bk>
    <bk>
      <rc t="1" v="7300"/>
    </bk>
    <bk>
      <rc t="1" v="7301"/>
    </bk>
    <bk>
      <rc t="1" v="7302"/>
    </bk>
    <bk>
      <rc t="1" v="7303"/>
    </bk>
    <bk>
      <rc t="1" v="7304"/>
    </bk>
    <bk>
      <rc t="1" v="7305"/>
    </bk>
    <bk>
      <rc t="1" v="7306"/>
    </bk>
    <bk>
      <rc t="1" v="7307"/>
    </bk>
    <bk>
      <rc t="1" v="7308"/>
    </bk>
    <bk>
      <rc t="1" v="7309"/>
    </bk>
    <bk>
      <rc t="1" v="7310"/>
    </bk>
    <bk>
      <rc t="1" v="7311"/>
    </bk>
    <bk>
      <rc t="1" v="7312"/>
    </bk>
    <bk>
      <rc t="1" v="7313"/>
    </bk>
    <bk>
      <rc t="1" v="7314"/>
    </bk>
    <bk>
      <rc t="1" v="7315"/>
    </bk>
    <bk>
      <rc t="1" v="7316"/>
    </bk>
    <bk>
      <rc t="1" v="7317"/>
    </bk>
    <bk>
      <rc t="1" v="7318"/>
    </bk>
    <bk>
      <rc t="1" v="7319"/>
    </bk>
    <bk>
      <rc t="1" v="7320"/>
    </bk>
    <bk>
      <rc t="1" v="7321"/>
    </bk>
    <bk>
      <rc t="1" v="7322"/>
    </bk>
    <bk>
      <rc t="1" v="7323"/>
    </bk>
    <bk>
      <rc t="1" v="7324"/>
    </bk>
    <bk>
      <rc t="1" v="7325"/>
    </bk>
    <bk>
      <rc t="1" v="7326"/>
    </bk>
    <bk>
      <rc t="1" v="7327"/>
    </bk>
    <bk>
      <rc t="1" v="7328"/>
    </bk>
    <bk>
      <rc t="1" v="7329"/>
    </bk>
    <bk>
      <rc t="1" v="7330"/>
    </bk>
    <bk>
      <rc t="1" v="7331"/>
    </bk>
    <bk>
      <rc t="1" v="7332"/>
    </bk>
    <bk>
      <rc t="1" v="7333"/>
    </bk>
    <bk>
      <rc t="1" v="7334"/>
    </bk>
    <bk>
      <rc t="1" v="7335"/>
    </bk>
    <bk>
      <rc t="1" v="7336"/>
    </bk>
    <bk>
      <rc t="1" v="7337"/>
    </bk>
    <bk>
      <rc t="1" v="7338"/>
    </bk>
    <bk>
      <rc t="1" v="7339"/>
    </bk>
    <bk>
      <rc t="1" v="7340"/>
    </bk>
    <bk>
      <rc t="1" v="7341"/>
    </bk>
    <bk>
      <rc t="1" v="7342"/>
    </bk>
    <bk>
      <rc t="1" v="7343"/>
    </bk>
    <bk>
      <rc t="1" v="7344"/>
    </bk>
    <bk>
      <rc t="1" v="7345"/>
    </bk>
    <bk>
      <rc t="1" v="7346"/>
    </bk>
    <bk>
      <rc t="1" v="7347"/>
    </bk>
    <bk>
      <rc t="1" v="7348"/>
    </bk>
    <bk>
      <rc t="1" v="7349"/>
    </bk>
    <bk>
      <rc t="1" v="7350"/>
    </bk>
    <bk>
      <rc t="1" v="7351"/>
    </bk>
    <bk>
      <rc t="1" v="7352"/>
    </bk>
    <bk>
      <rc t="1" v="7353"/>
    </bk>
    <bk>
      <rc t="1" v="7354"/>
    </bk>
    <bk>
      <rc t="1" v="7355"/>
    </bk>
    <bk>
      <rc t="1" v="7356"/>
    </bk>
    <bk>
      <rc t="1" v="7357"/>
    </bk>
    <bk>
      <rc t="1" v="7358"/>
    </bk>
    <bk>
      <rc t="1" v="7359"/>
    </bk>
    <bk>
      <rc t="1" v="7360"/>
    </bk>
    <bk>
      <rc t="1" v="7361"/>
    </bk>
    <bk>
      <rc t="1" v="7362"/>
    </bk>
    <bk>
      <rc t="1" v="7363"/>
    </bk>
    <bk>
      <rc t="1" v="7364"/>
    </bk>
    <bk>
      <rc t="1" v="7365"/>
    </bk>
    <bk>
      <rc t="1" v="7366"/>
    </bk>
    <bk>
      <rc t="1" v="7367"/>
    </bk>
    <bk>
      <rc t="1" v="7368"/>
    </bk>
    <bk>
      <rc t="1" v="7369"/>
    </bk>
    <bk>
      <rc t="1" v="7370"/>
    </bk>
    <bk>
      <rc t="1" v="7371"/>
    </bk>
    <bk>
      <rc t="1" v="7372"/>
    </bk>
    <bk>
      <rc t="1" v="7373"/>
    </bk>
    <bk>
      <rc t="1" v="7374"/>
    </bk>
    <bk>
      <rc t="1" v="7375"/>
    </bk>
    <bk>
      <rc t="1" v="7376"/>
    </bk>
    <bk>
      <rc t="1" v="7377"/>
    </bk>
    <bk>
      <rc t="1" v="7378"/>
    </bk>
    <bk>
      <rc t="1" v="7379"/>
    </bk>
    <bk>
      <rc t="1" v="7380"/>
    </bk>
    <bk>
      <rc t="1" v="7381"/>
    </bk>
    <bk>
      <rc t="1" v="7382"/>
    </bk>
    <bk>
      <rc t="1" v="7383"/>
    </bk>
    <bk>
      <rc t="1" v="7384"/>
    </bk>
    <bk>
      <rc t="1" v="7385"/>
    </bk>
    <bk>
      <rc t="1" v="7386"/>
    </bk>
    <bk>
      <rc t="1" v="7387"/>
    </bk>
    <bk>
      <rc t="1" v="7388"/>
    </bk>
    <bk>
      <rc t="1" v="7389"/>
    </bk>
    <bk>
      <rc t="1" v="7390"/>
    </bk>
    <bk>
      <rc t="1" v="7391"/>
    </bk>
    <bk>
      <rc t="1" v="7392"/>
    </bk>
    <bk>
      <rc t="1" v="7393"/>
    </bk>
    <bk>
      <rc t="1" v="7394"/>
    </bk>
    <bk>
      <rc t="1" v="7395"/>
    </bk>
    <bk>
      <rc t="1" v="7396"/>
    </bk>
    <bk>
      <rc t="1" v="7397"/>
    </bk>
    <bk>
      <rc t="1" v="7398"/>
    </bk>
    <bk>
      <rc t="1" v="7399"/>
    </bk>
    <bk>
      <rc t="1" v="7400"/>
    </bk>
    <bk>
      <rc t="1" v="7401"/>
    </bk>
    <bk>
      <rc t="1" v="7402"/>
    </bk>
    <bk>
      <rc t="1" v="7403"/>
    </bk>
    <bk>
      <rc t="1" v="7404"/>
    </bk>
    <bk>
      <rc t="1" v="7405"/>
    </bk>
    <bk>
      <rc t="1" v="7406"/>
    </bk>
    <bk>
      <rc t="1" v="7407"/>
    </bk>
    <bk>
      <rc t="1" v="7408"/>
    </bk>
    <bk>
      <rc t="1" v="7409"/>
    </bk>
    <bk>
      <rc t="1" v="7410"/>
    </bk>
    <bk>
      <rc t="1" v="7411"/>
    </bk>
    <bk>
      <rc t="1" v="7412"/>
    </bk>
    <bk>
      <rc t="1" v="7413"/>
    </bk>
    <bk>
      <rc t="1" v="7414"/>
    </bk>
    <bk>
      <rc t="1" v="7415"/>
    </bk>
    <bk>
      <rc t="1" v="7416"/>
    </bk>
    <bk>
      <rc t="1" v="7417"/>
    </bk>
    <bk>
      <rc t="1" v="7418"/>
    </bk>
    <bk>
      <rc t="1" v="7419"/>
    </bk>
    <bk>
      <rc t="1" v="7420"/>
    </bk>
    <bk>
      <rc t="1" v="7421"/>
    </bk>
    <bk>
      <rc t="1" v="7422"/>
    </bk>
    <bk>
      <rc t="1" v="7423"/>
    </bk>
    <bk>
      <rc t="1" v="7424"/>
    </bk>
    <bk>
      <rc t="1" v="7425"/>
    </bk>
    <bk>
      <rc t="1" v="7426"/>
    </bk>
    <bk>
      <rc t="1" v="7427"/>
    </bk>
    <bk>
      <rc t="1" v="7428"/>
    </bk>
    <bk>
      <rc t="1" v="7429"/>
    </bk>
    <bk>
      <rc t="1" v="7430"/>
    </bk>
    <bk>
      <rc t="1" v="7431"/>
    </bk>
    <bk>
      <rc t="1" v="7432"/>
    </bk>
    <bk>
      <rc t="1" v="7433"/>
    </bk>
    <bk>
      <rc t="1" v="7434"/>
    </bk>
    <bk>
      <rc t="1" v="7435"/>
    </bk>
    <bk>
      <rc t="1" v="7436"/>
    </bk>
    <bk>
      <rc t="1" v="7437"/>
    </bk>
    <bk>
      <rc t="1" v="7438"/>
    </bk>
    <bk>
      <rc t="1" v="7439"/>
    </bk>
    <bk>
      <rc t="1" v="7440"/>
    </bk>
    <bk>
      <rc t="1" v="7441"/>
    </bk>
    <bk>
      <rc t="1" v="7442"/>
    </bk>
    <bk>
      <rc t="1" v="7443"/>
    </bk>
    <bk>
      <rc t="1" v="7444"/>
    </bk>
    <bk>
      <rc t="1" v="7445"/>
    </bk>
    <bk>
      <rc t="1" v="7446"/>
    </bk>
    <bk>
      <rc t="1" v="7447"/>
    </bk>
    <bk>
      <rc t="1" v="7448"/>
    </bk>
    <bk>
      <rc t="1" v="7449"/>
    </bk>
    <bk>
      <rc t="1" v="7450"/>
    </bk>
    <bk>
      <rc t="1" v="7451"/>
    </bk>
    <bk>
      <rc t="1" v="7452"/>
    </bk>
    <bk>
      <rc t="1" v="7453"/>
    </bk>
    <bk>
      <rc t="1" v="7454"/>
    </bk>
    <bk>
      <rc t="1" v="7455"/>
    </bk>
    <bk>
      <rc t="1" v="7456"/>
    </bk>
    <bk>
      <rc t="1" v="7457"/>
    </bk>
    <bk>
      <rc t="1" v="7458"/>
    </bk>
    <bk>
      <rc t="1" v="7459"/>
    </bk>
    <bk>
      <rc t="1" v="7460"/>
    </bk>
    <bk>
      <rc t="1" v="7461"/>
    </bk>
    <bk>
      <rc t="1" v="7462"/>
    </bk>
    <bk>
      <rc t="1" v="7463"/>
    </bk>
    <bk>
      <rc t="1" v="7464"/>
    </bk>
    <bk>
      <rc t="1" v="7465"/>
    </bk>
    <bk>
      <rc t="1" v="7466"/>
    </bk>
    <bk>
      <rc t="1" v="7467"/>
    </bk>
    <bk>
      <rc t="1" v="7468"/>
    </bk>
    <bk>
      <rc t="1" v="7469"/>
    </bk>
    <bk>
      <rc t="1" v="7470"/>
    </bk>
    <bk>
      <rc t="1" v="7471"/>
    </bk>
    <bk>
      <rc t="1" v="7472"/>
    </bk>
    <bk>
      <rc t="1" v="7473"/>
    </bk>
    <bk>
      <rc t="1" v="7474"/>
    </bk>
    <bk>
      <rc t="1" v="7475"/>
    </bk>
    <bk>
      <rc t="1" v="7476"/>
    </bk>
    <bk>
      <rc t="1" v="7477"/>
    </bk>
    <bk>
      <rc t="1" v="7478"/>
    </bk>
    <bk>
      <rc t="1" v="7479"/>
    </bk>
    <bk>
      <rc t="1" v="7480"/>
    </bk>
    <bk>
      <rc t="1" v="7481"/>
    </bk>
    <bk>
      <rc t="1" v="7482"/>
    </bk>
    <bk>
      <rc t="1" v="7483"/>
    </bk>
    <bk>
      <rc t="1" v="7484"/>
    </bk>
    <bk>
      <rc t="1" v="7485"/>
    </bk>
    <bk>
      <rc t="1" v="7486"/>
    </bk>
    <bk>
      <rc t="1" v="7487"/>
    </bk>
    <bk>
      <rc t="1" v="7488"/>
    </bk>
    <bk>
      <rc t="1" v="7489"/>
    </bk>
    <bk>
      <rc t="1" v="7490"/>
    </bk>
    <bk>
      <rc t="1" v="7491"/>
    </bk>
    <bk>
      <rc t="1" v="7492"/>
    </bk>
    <bk>
      <rc t="1" v="7493"/>
    </bk>
    <bk>
      <rc t="1" v="7494"/>
    </bk>
    <bk>
      <rc t="1" v="7495"/>
    </bk>
    <bk>
      <rc t="1" v="7496"/>
    </bk>
    <bk>
      <rc t="1" v="7497"/>
    </bk>
    <bk>
      <rc t="1" v="7498"/>
    </bk>
    <bk>
      <rc t="1" v="7499"/>
    </bk>
    <bk>
      <rc t="1" v="7500"/>
    </bk>
    <bk>
      <rc t="1" v="7501"/>
    </bk>
    <bk>
      <rc t="1" v="7502"/>
    </bk>
    <bk>
      <rc t="1" v="7503"/>
    </bk>
    <bk>
      <rc t="1" v="7504"/>
    </bk>
    <bk>
      <rc t="1" v="7505"/>
    </bk>
    <bk>
      <rc t="1" v="7506"/>
    </bk>
    <bk>
      <rc t="1" v="7507"/>
    </bk>
    <bk>
      <rc t="1" v="7508"/>
    </bk>
    <bk>
      <rc t="1" v="7509"/>
    </bk>
    <bk>
      <rc t="1" v="7510"/>
    </bk>
    <bk>
      <rc t="1" v="7511"/>
    </bk>
    <bk>
      <rc t="1" v="7512"/>
    </bk>
    <bk>
      <rc t="1" v="7513"/>
    </bk>
    <bk>
      <rc t="1" v="7514"/>
    </bk>
    <bk>
      <rc t="1" v="7515"/>
    </bk>
    <bk>
      <rc t="1" v="7516"/>
    </bk>
    <bk>
      <rc t="1" v="7517"/>
    </bk>
    <bk>
      <rc t="1" v="7518"/>
    </bk>
    <bk>
      <rc t="1" v="7519"/>
    </bk>
    <bk>
      <rc t="1" v="7520"/>
    </bk>
    <bk>
      <rc t="1" v="7521"/>
    </bk>
    <bk>
      <rc t="1" v="7522"/>
    </bk>
    <bk>
      <rc t="1" v="7523"/>
    </bk>
    <bk>
      <rc t="1" v="7524"/>
    </bk>
    <bk>
      <rc t="1" v="7525"/>
    </bk>
    <bk>
      <rc t="1" v="7526"/>
    </bk>
    <bk>
      <rc t="1" v="7527"/>
    </bk>
    <bk>
      <rc t="1" v="7528"/>
    </bk>
    <bk>
      <rc t="1" v="7529"/>
    </bk>
    <bk>
      <rc t="1" v="7530"/>
    </bk>
    <bk>
      <rc t="1" v="7531"/>
    </bk>
    <bk>
      <rc t="1" v="7532"/>
    </bk>
    <bk>
      <rc t="1" v="7533"/>
    </bk>
    <bk>
      <rc t="1" v="7534"/>
    </bk>
    <bk>
      <rc t="1" v="7535"/>
    </bk>
    <bk>
      <rc t="1" v="7536"/>
    </bk>
    <bk>
      <rc t="1" v="7537"/>
    </bk>
    <bk>
      <rc t="1" v="7538"/>
    </bk>
    <bk>
      <rc t="1" v="7539"/>
    </bk>
    <bk>
      <rc t="1" v="7540"/>
    </bk>
    <bk>
      <rc t="1" v="7541"/>
    </bk>
    <bk>
      <rc t="1" v="7542"/>
    </bk>
    <bk>
      <rc t="1" v="7543"/>
    </bk>
    <bk>
      <rc t="1" v="7544"/>
    </bk>
    <bk>
      <rc t="1" v="7545"/>
    </bk>
    <bk>
      <rc t="1" v="7546"/>
    </bk>
    <bk>
      <rc t="1" v="7547"/>
    </bk>
    <bk>
      <rc t="1" v="7548"/>
    </bk>
    <bk>
      <rc t="1" v="7549"/>
    </bk>
    <bk>
      <rc t="1" v="7550"/>
    </bk>
    <bk>
      <rc t="1" v="7551"/>
    </bk>
    <bk>
      <rc t="1" v="7552"/>
    </bk>
    <bk>
      <rc t="1" v="7553"/>
    </bk>
    <bk>
      <rc t="1" v="7554"/>
    </bk>
    <bk>
      <rc t="1" v="7555"/>
    </bk>
    <bk>
      <rc t="1" v="7556"/>
    </bk>
    <bk>
      <rc t="1" v="7557"/>
    </bk>
    <bk>
      <rc t="1" v="7558"/>
    </bk>
    <bk>
      <rc t="1" v="7559"/>
    </bk>
    <bk>
      <rc t="1" v="7560"/>
    </bk>
    <bk>
      <rc t="1" v="7561"/>
    </bk>
    <bk>
      <rc t="1" v="7562"/>
    </bk>
    <bk>
      <rc t="1" v="7563"/>
    </bk>
    <bk>
      <rc t="1" v="7564"/>
    </bk>
    <bk>
      <rc t="1" v="7565"/>
    </bk>
    <bk>
      <rc t="1" v="7566"/>
    </bk>
    <bk>
      <rc t="1" v="7567"/>
    </bk>
    <bk>
      <rc t="1" v="7568"/>
    </bk>
    <bk>
      <rc t="1" v="7569"/>
    </bk>
    <bk>
      <rc t="1" v="7570"/>
    </bk>
    <bk>
      <rc t="1" v="7571"/>
    </bk>
    <bk>
      <rc t="1" v="7572"/>
    </bk>
    <bk>
      <rc t="1" v="7573"/>
    </bk>
    <bk>
      <rc t="1" v="7574"/>
    </bk>
    <bk>
      <rc t="1" v="7575"/>
    </bk>
    <bk>
      <rc t="1" v="7576"/>
    </bk>
    <bk>
      <rc t="1" v="7577"/>
    </bk>
    <bk>
      <rc t="1" v="7578"/>
    </bk>
    <bk>
      <rc t="1" v="7579"/>
    </bk>
    <bk>
      <rc t="1" v="7580"/>
    </bk>
    <bk>
      <rc t="1" v="7581"/>
    </bk>
    <bk>
      <rc t="1" v="7582"/>
    </bk>
    <bk>
      <rc t="1" v="7583"/>
    </bk>
    <bk>
      <rc t="1" v="7584"/>
    </bk>
    <bk>
      <rc t="1" v="7585"/>
    </bk>
    <bk>
      <rc t="1" v="7586"/>
    </bk>
    <bk>
      <rc t="1" v="7587"/>
    </bk>
    <bk>
      <rc t="1" v="7588"/>
    </bk>
    <bk>
      <rc t="1" v="7589"/>
    </bk>
    <bk>
      <rc t="1" v="7590"/>
    </bk>
    <bk>
      <rc t="1" v="7591"/>
    </bk>
    <bk>
      <rc t="1" v="7592"/>
    </bk>
    <bk>
      <rc t="1" v="7593"/>
    </bk>
    <bk>
      <rc t="1" v="7594"/>
    </bk>
    <bk>
      <rc t="1" v="7595"/>
    </bk>
    <bk>
      <rc t="1" v="7596"/>
    </bk>
    <bk>
      <rc t="1" v="7597"/>
    </bk>
    <bk>
      <rc t="1" v="7598"/>
    </bk>
    <bk>
      <rc t="1" v="7599"/>
    </bk>
    <bk>
      <rc t="1" v="7600"/>
    </bk>
    <bk>
      <rc t="1" v="7601"/>
    </bk>
    <bk>
      <rc t="1" v="7602"/>
    </bk>
    <bk>
      <rc t="1" v="7603"/>
    </bk>
    <bk>
      <rc t="1" v="7604"/>
    </bk>
    <bk>
      <rc t="1" v="7605"/>
    </bk>
    <bk>
      <rc t="1" v="7606"/>
    </bk>
    <bk>
      <rc t="1" v="7607"/>
    </bk>
    <bk>
      <rc t="1" v="7608"/>
    </bk>
    <bk>
      <rc t="1" v="7609"/>
    </bk>
    <bk>
      <rc t="1" v="7610"/>
    </bk>
    <bk>
      <rc t="1" v="7611"/>
    </bk>
    <bk>
      <rc t="1" v="7612"/>
    </bk>
    <bk>
      <rc t="1" v="7613"/>
    </bk>
    <bk>
      <rc t="1" v="7614"/>
    </bk>
    <bk>
      <rc t="1" v="7615"/>
    </bk>
    <bk>
      <rc t="1" v="7616"/>
    </bk>
    <bk>
      <rc t="1" v="7617"/>
    </bk>
    <bk>
      <rc t="1" v="7618"/>
    </bk>
    <bk>
      <rc t="1" v="7619"/>
    </bk>
    <bk>
      <rc t="1" v="7620"/>
    </bk>
    <bk>
      <rc t="1" v="7621"/>
    </bk>
    <bk>
      <rc t="1" v="7622"/>
    </bk>
    <bk>
      <rc t="1" v="7623"/>
    </bk>
    <bk>
      <rc t="1" v="7624"/>
    </bk>
    <bk>
      <rc t="1" v="7625"/>
    </bk>
    <bk>
      <rc t="1" v="7626"/>
    </bk>
    <bk>
      <rc t="1" v="7627"/>
    </bk>
    <bk>
      <rc t="1" v="7628"/>
    </bk>
    <bk>
      <rc t="1" v="7629"/>
    </bk>
    <bk>
      <rc t="1" v="7630"/>
    </bk>
    <bk>
      <rc t="1" v="7631"/>
    </bk>
    <bk>
      <rc t="1" v="7632"/>
    </bk>
    <bk>
      <rc t="1" v="7633"/>
    </bk>
    <bk>
      <rc t="1" v="7634"/>
    </bk>
    <bk>
      <rc t="1" v="7635"/>
    </bk>
    <bk>
      <rc t="1" v="7636"/>
    </bk>
    <bk>
      <rc t="1" v="7637"/>
    </bk>
    <bk>
      <rc t="1" v="7638"/>
    </bk>
    <bk>
      <rc t="1" v="7639"/>
    </bk>
    <bk>
      <rc t="1" v="7640"/>
    </bk>
    <bk>
      <rc t="1" v="7641"/>
    </bk>
    <bk>
      <rc t="1" v="7642"/>
    </bk>
    <bk>
      <rc t="1" v="7643"/>
    </bk>
    <bk>
      <rc t="1" v="7644"/>
    </bk>
    <bk>
      <rc t="1" v="7645"/>
    </bk>
    <bk>
      <rc t="1" v="7646"/>
    </bk>
    <bk>
      <rc t="1" v="7647"/>
    </bk>
    <bk>
      <rc t="1" v="7648"/>
    </bk>
    <bk>
      <rc t="1" v="7649"/>
    </bk>
    <bk>
      <rc t="1" v="7650"/>
    </bk>
    <bk>
      <rc t="1" v="7651"/>
    </bk>
    <bk>
      <rc t="1" v="7652"/>
    </bk>
    <bk>
      <rc t="1" v="7653"/>
    </bk>
    <bk>
      <rc t="1" v="7654"/>
    </bk>
    <bk>
      <rc t="1" v="7655"/>
    </bk>
    <bk>
      <rc t="1" v="7656"/>
    </bk>
    <bk>
      <rc t="1" v="7657"/>
    </bk>
    <bk>
      <rc t="1" v="7658"/>
    </bk>
    <bk>
      <rc t="1" v="7659"/>
    </bk>
    <bk>
      <rc t="1" v="7660"/>
    </bk>
    <bk>
      <rc t="1" v="7661"/>
    </bk>
    <bk>
      <rc t="1" v="7662"/>
    </bk>
    <bk>
      <rc t="1" v="7663"/>
    </bk>
    <bk>
      <rc t="1" v="7664"/>
    </bk>
    <bk>
      <rc t="1" v="7665"/>
    </bk>
    <bk>
      <rc t="1" v="7666"/>
    </bk>
    <bk>
      <rc t="1" v="7667"/>
    </bk>
    <bk>
      <rc t="1" v="7668"/>
    </bk>
    <bk>
      <rc t="1" v="7669"/>
    </bk>
    <bk>
      <rc t="1" v="7670"/>
    </bk>
    <bk>
      <rc t="1" v="7671"/>
    </bk>
    <bk>
      <rc t="1" v="7672"/>
    </bk>
    <bk>
      <rc t="1" v="7673"/>
    </bk>
    <bk>
      <rc t="1" v="7674"/>
    </bk>
    <bk>
      <rc t="1" v="7675"/>
    </bk>
    <bk>
      <rc t="1" v="7676"/>
    </bk>
    <bk>
      <rc t="1" v="7677"/>
    </bk>
    <bk>
      <rc t="1" v="7678"/>
    </bk>
    <bk>
      <rc t="1" v="7679"/>
    </bk>
    <bk>
      <rc t="1" v="7680"/>
    </bk>
    <bk>
      <rc t="1" v="7681"/>
    </bk>
    <bk>
      <rc t="1" v="7682"/>
    </bk>
    <bk>
      <rc t="1" v="7683"/>
    </bk>
    <bk>
      <rc t="1" v="7684"/>
    </bk>
    <bk>
      <rc t="1" v="7685"/>
    </bk>
    <bk>
      <rc t="1" v="7686"/>
    </bk>
    <bk>
      <rc t="1" v="7687"/>
    </bk>
    <bk>
      <rc t="1" v="7688"/>
    </bk>
    <bk>
      <rc t="1" v="7689"/>
    </bk>
    <bk>
      <rc t="1" v="7690"/>
    </bk>
    <bk>
      <rc t="1" v="7691"/>
    </bk>
    <bk>
      <rc t="1" v="7692"/>
    </bk>
    <bk>
      <rc t="1" v="7693"/>
    </bk>
    <bk>
      <rc t="1" v="7694"/>
    </bk>
    <bk>
      <rc t="1" v="7695"/>
    </bk>
    <bk>
      <rc t="1" v="7696"/>
    </bk>
    <bk>
      <rc t="1" v="7697"/>
    </bk>
    <bk>
      <rc t="1" v="7698"/>
    </bk>
    <bk>
      <rc t="1" v="7699"/>
    </bk>
    <bk>
      <rc t="1" v="7700"/>
    </bk>
    <bk>
      <rc t="1" v="7701"/>
    </bk>
    <bk>
      <rc t="1" v="7702"/>
    </bk>
    <bk>
      <rc t="1" v="7703"/>
    </bk>
    <bk>
      <rc t="1" v="7704"/>
    </bk>
    <bk>
      <rc t="1" v="7705"/>
    </bk>
    <bk>
      <rc t="1" v="7706"/>
    </bk>
    <bk>
      <rc t="1" v="7707"/>
    </bk>
    <bk>
      <rc t="1" v="7708"/>
    </bk>
    <bk>
      <rc t="1" v="7709"/>
    </bk>
    <bk>
      <rc t="1" v="7710"/>
    </bk>
    <bk>
      <rc t="1" v="7711"/>
    </bk>
    <bk>
      <rc t="1" v="7712"/>
    </bk>
    <bk>
      <rc t="1" v="7713"/>
    </bk>
    <bk>
      <rc t="1" v="7714"/>
    </bk>
    <bk>
      <rc t="1" v="7715"/>
    </bk>
    <bk>
      <rc t="1" v="7716"/>
    </bk>
    <bk>
      <rc t="1" v="7717"/>
    </bk>
    <bk>
      <rc t="1" v="7718"/>
    </bk>
    <bk>
      <rc t="1" v="7719"/>
    </bk>
    <bk>
      <rc t="1" v="7720"/>
    </bk>
    <bk>
      <rc t="1" v="7721"/>
    </bk>
    <bk>
      <rc t="1" v="7722"/>
    </bk>
    <bk>
      <rc t="1" v="7723"/>
    </bk>
    <bk>
      <rc t="1" v="7724"/>
    </bk>
    <bk>
      <rc t="1" v="7725"/>
    </bk>
    <bk>
      <rc t="1" v="7726"/>
    </bk>
    <bk>
      <rc t="1" v="7727"/>
    </bk>
    <bk>
      <rc t="1" v="7728"/>
    </bk>
    <bk>
      <rc t="1" v="7729"/>
    </bk>
    <bk>
      <rc t="1" v="7730"/>
    </bk>
    <bk>
      <rc t="1" v="7731"/>
    </bk>
    <bk>
      <rc t="1" v="7732"/>
    </bk>
    <bk>
      <rc t="1" v="7733"/>
    </bk>
    <bk>
      <rc t="1" v="7734"/>
    </bk>
    <bk>
      <rc t="1" v="7735"/>
    </bk>
    <bk>
      <rc t="1" v="7736"/>
    </bk>
    <bk>
      <rc t="1" v="7737"/>
    </bk>
    <bk>
      <rc t="1" v="7738"/>
    </bk>
    <bk>
      <rc t="1" v="7739"/>
    </bk>
    <bk>
      <rc t="1" v="7740"/>
    </bk>
    <bk>
      <rc t="1" v="7741"/>
    </bk>
    <bk>
      <rc t="1" v="7742"/>
    </bk>
    <bk>
      <rc t="1" v="7743"/>
    </bk>
    <bk>
      <rc t="1" v="7744"/>
    </bk>
    <bk>
      <rc t="1" v="7745"/>
    </bk>
    <bk>
      <rc t="1" v="7746"/>
    </bk>
    <bk>
      <rc t="1" v="7747"/>
    </bk>
    <bk>
      <rc t="1" v="7748"/>
    </bk>
    <bk>
      <rc t="1" v="7749"/>
    </bk>
    <bk>
      <rc t="1" v="7750"/>
    </bk>
    <bk>
      <rc t="1" v="7751"/>
    </bk>
    <bk>
      <rc t="1" v="7752"/>
    </bk>
    <bk>
      <rc t="1" v="7753"/>
    </bk>
    <bk>
      <rc t="1" v="7754"/>
    </bk>
    <bk>
      <rc t="1" v="7755"/>
    </bk>
    <bk>
      <rc t="1" v="7756"/>
    </bk>
    <bk>
      <rc t="1" v="7757"/>
    </bk>
    <bk>
      <rc t="1" v="7758"/>
    </bk>
    <bk>
      <rc t="1" v="7759"/>
    </bk>
    <bk>
      <rc t="1" v="7760"/>
    </bk>
    <bk>
      <rc t="1" v="7761"/>
    </bk>
    <bk>
      <rc t="1" v="7762"/>
    </bk>
    <bk>
      <rc t="1" v="7763"/>
    </bk>
    <bk>
      <rc t="1" v="7764"/>
    </bk>
    <bk>
      <rc t="1" v="7765"/>
    </bk>
    <bk>
      <rc t="1" v="7766"/>
    </bk>
    <bk>
      <rc t="1" v="7767"/>
    </bk>
    <bk>
      <rc t="1" v="7768"/>
    </bk>
    <bk>
      <rc t="1" v="7769"/>
    </bk>
    <bk>
      <rc t="1" v="7770"/>
    </bk>
    <bk>
      <rc t="1" v="7771"/>
    </bk>
    <bk>
      <rc t="1" v="7772"/>
    </bk>
    <bk>
      <rc t="1" v="7773"/>
    </bk>
    <bk>
      <rc t="1" v="7774"/>
    </bk>
    <bk>
      <rc t="1" v="7775"/>
    </bk>
    <bk>
      <rc t="1" v="7776"/>
    </bk>
    <bk>
      <rc t="1" v="7777"/>
    </bk>
    <bk>
      <rc t="1" v="7778"/>
    </bk>
    <bk>
      <rc t="1" v="7779"/>
    </bk>
    <bk>
      <rc t="1" v="7780"/>
    </bk>
    <bk>
      <rc t="1" v="7781"/>
    </bk>
    <bk>
      <rc t="1" v="7782"/>
    </bk>
    <bk>
      <rc t="1" v="7783"/>
    </bk>
    <bk>
      <rc t="1" v="7784"/>
    </bk>
    <bk>
      <rc t="1" v="7785"/>
    </bk>
    <bk>
      <rc t="1" v="7786"/>
    </bk>
    <bk>
      <rc t="1" v="7787"/>
    </bk>
    <bk>
      <rc t="1" v="7788"/>
    </bk>
    <bk>
      <rc t="1" v="7789"/>
    </bk>
    <bk>
      <rc t="1" v="7790"/>
    </bk>
    <bk>
      <rc t="1" v="7791"/>
    </bk>
    <bk>
      <rc t="1" v="7792"/>
    </bk>
    <bk>
      <rc t="1" v="7793"/>
    </bk>
    <bk>
      <rc t="1" v="7794"/>
    </bk>
    <bk>
      <rc t="1" v="7795"/>
    </bk>
    <bk>
      <rc t="1" v="7796"/>
    </bk>
    <bk>
      <rc t="1" v="7797"/>
    </bk>
    <bk>
      <rc t="1" v="7798"/>
    </bk>
    <bk>
      <rc t="1" v="7799"/>
    </bk>
    <bk>
      <rc t="1" v="7800"/>
    </bk>
    <bk>
      <rc t="1" v="7801"/>
    </bk>
    <bk>
      <rc t="1" v="7802"/>
    </bk>
    <bk>
      <rc t="1" v="7803"/>
    </bk>
    <bk>
      <rc t="1" v="7804"/>
    </bk>
    <bk>
      <rc t="1" v="7805"/>
    </bk>
    <bk>
      <rc t="1" v="7806"/>
    </bk>
    <bk>
      <rc t="1" v="7807"/>
    </bk>
    <bk>
      <rc t="1" v="7808"/>
    </bk>
    <bk>
      <rc t="1" v="7809"/>
    </bk>
    <bk>
      <rc t="1" v="7810"/>
    </bk>
    <bk>
      <rc t="1" v="7811"/>
    </bk>
    <bk>
      <rc t="1" v="7812"/>
    </bk>
    <bk>
      <rc t="1" v="7813"/>
    </bk>
    <bk>
      <rc t="1" v="7814"/>
    </bk>
    <bk>
      <rc t="1" v="7815"/>
    </bk>
    <bk>
      <rc t="1" v="7816"/>
    </bk>
    <bk>
      <rc t="1" v="7817"/>
    </bk>
    <bk>
      <rc t="1" v="7818"/>
    </bk>
    <bk>
      <rc t="1" v="7819"/>
    </bk>
    <bk>
      <rc t="1" v="7820"/>
    </bk>
    <bk>
      <rc t="1" v="7821"/>
    </bk>
    <bk>
      <rc t="1" v="7822"/>
    </bk>
    <bk>
      <rc t="1" v="7823"/>
    </bk>
    <bk>
      <rc t="1" v="7824"/>
    </bk>
    <bk>
      <rc t="1" v="7825"/>
    </bk>
    <bk>
      <rc t="1" v="7826"/>
    </bk>
    <bk>
      <rc t="1" v="7827"/>
    </bk>
    <bk>
      <rc t="1" v="7828"/>
    </bk>
    <bk>
      <rc t="1" v="7829"/>
    </bk>
    <bk>
      <rc t="1" v="7830"/>
    </bk>
    <bk>
      <rc t="1" v="7831"/>
    </bk>
    <bk>
      <rc t="1" v="7832"/>
    </bk>
    <bk>
      <rc t="1" v="7833"/>
    </bk>
    <bk>
      <rc t="1" v="7834"/>
    </bk>
    <bk>
      <rc t="1" v="7835"/>
    </bk>
    <bk>
      <rc t="1" v="7836"/>
    </bk>
    <bk>
      <rc t="1" v="7837"/>
    </bk>
    <bk>
      <rc t="1" v="7838"/>
    </bk>
    <bk>
      <rc t="1" v="7839"/>
    </bk>
    <bk>
      <rc t="1" v="7840"/>
    </bk>
    <bk>
      <rc t="1" v="7841"/>
    </bk>
    <bk>
      <rc t="1" v="7842"/>
    </bk>
    <bk>
      <rc t="1" v="7843"/>
    </bk>
    <bk>
      <rc t="1" v="7844"/>
    </bk>
    <bk>
      <rc t="1" v="7845"/>
    </bk>
    <bk>
      <rc t="1" v="7846"/>
    </bk>
    <bk>
      <rc t="1" v="7847"/>
    </bk>
    <bk>
      <rc t="1" v="7848"/>
    </bk>
    <bk>
      <rc t="1" v="7849"/>
    </bk>
    <bk>
      <rc t="1" v="7850"/>
    </bk>
    <bk>
      <rc t="1" v="7851"/>
    </bk>
    <bk>
      <rc t="1" v="7852"/>
    </bk>
    <bk>
      <rc t="1" v="7853"/>
    </bk>
    <bk>
      <rc t="1" v="7854"/>
    </bk>
    <bk>
      <rc t="1" v="7855"/>
    </bk>
    <bk>
      <rc t="1" v="7856"/>
    </bk>
    <bk>
      <rc t="1" v="7857"/>
    </bk>
    <bk>
      <rc t="1" v="7858"/>
    </bk>
    <bk>
      <rc t="1" v="7859"/>
    </bk>
    <bk>
      <rc t="1" v="7860"/>
    </bk>
    <bk>
      <rc t="1" v="7861"/>
    </bk>
    <bk>
      <rc t="1" v="7862"/>
    </bk>
    <bk>
      <rc t="1" v="7863"/>
    </bk>
    <bk>
      <rc t="1" v="7864"/>
    </bk>
    <bk>
      <rc t="1" v="7865"/>
    </bk>
    <bk>
      <rc t="1" v="7866"/>
    </bk>
    <bk>
      <rc t="1" v="7867"/>
    </bk>
    <bk>
      <rc t="1" v="7868"/>
    </bk>
    <bk>
      <rc t="1" v="7869"/>
    </bk>
    <bk>
      <rc t="1" v="7870"/>
    </bk>
    <bk>
      <rc t="1" v="7871"/>
    </bk>
    <bk>
      <rc t="1" v="7872"/>
    </bk>
    <bk>
      <rc t="1" v="7873"/>
    </bk>
    <bk>
      <rc t="1" v="7874"/>
    </bk>
    <bk>
      <rc t="1" v="7875"/>
    </bk>
    <bk>
      <rc t="1" v="7876"/>
    </bk>
    <bk>
      <rc t="1" v="7877"/>
    </bk>
    <bk>
      <rc t="1" v="7878"/>
    </bk>
    <bk>
      <rc t="1" v="7879"/>
    </bk>
    <bk>
      <rc t="1" v="7880"/>
    </bk>
    <bk>
      <rc t="1" v="7881"/>
    </bk>
    <bk>
      <rc t="1" v="7882"/>
    </bk>
    <bk>
      <rc t="1" v="7883"/>
    </bk>
    <bk>
      <rc t="1" v="7884"/>
    </bk>
    <bk>
      <rc t="1" v="7885"/>
    </bk>
    <bk>
      <rc t="1" v="7886"/>
    </bk>
    <bk>
      <rc t="1" v="7887"/>
    </bk>
    <bk>
      <rc t="1" v="7888"/>
    </bk>
    <bk>
      <rc t="1" v="7889"/>
    </bk>
    <bk>
      <rc t="1" v="7890"/>
    </bk>
    <bk>
      <rc t="1" v="7891"/>
    </bk>
    <bk>
      <rc t="1" v="7892"/>
    </bk>
    <bk>
      <rc t="1" v="7893"/>
    </bk>
    <bk>
      <rc t="1" v="7894"/>
    </bk>
    <bk>
      <rc t="1" v="7895"/>
    </bk>
    <bk>
      <rc t="1" v="7896"/>
    </bk>
    <bk>
      <rc t="1" v="7897"/>
    </bk>
    <bk>
      <rc t="1" v="7898"/>
    </bk>
    <bk>
      <rc t="1" v="7899"/>
    </bk>
    <bk>
      <rc t="1" v="7900"/>
    </bk>
    <bk>
      <rc t="1" v="7901"/>
    </bk>
    <bk>
      <rc t="1" v="7902"/>
    </bk>
    <bk>
      <rc t="1" v="7903"/>
    </bk>
    <bk>
      <rc t="1" v="7904"/>
    </bk>
    <bk>
      <rc t="1" v="7905"/>
    </bk>
    <bk>
      <rc t="1" v="7906"/>
    </bk>
    <bk>
      <rc t="1" v="7907"/>
    </bk>
    <bk>
      <rc t="1" v="7908"/>
    </bk>
    <bk>
      <rc t="1" v="7909"/>
    </bk>
    <bk>
      <rc t="1" v="7910"/>
    </bk>
    <bk>
      <rc t="1" v="7911"/>
    </bk>
    <bk>
      <rc t="1" v="7912"/>
    </bk>
    <bk>
      <rc t="1" v="7913"/>
    </bk>
    <bk>
      <rc t="1" v="7914"/>
    </bk>
    <bk>
      <rc t="1" v="7915"/>
    </bk>
    <bk>
      <rc t="1" v="7916"/>
    </bk>
    <bk>
      <rc t="1" v="7917"/>
    </bk>
    <bk>
      <rc t="1" v="7918"/>
    </bk>
    <bk>
      <rc t="1" v="7919"/>
    </bk>
    <bk>
      <rc t="1" v="7920"/>
    </bk>
    <bk>
      <rc t="1" v="7921"/>
    </bk>
    <bk>
      <rc t="1" v="7922"/>
    </bk>
    <bk>
      <rc t="1" v="7923"/>
    </bk>
    <bk>
      <rc t="1" v="7924"/>
    </bk>
    <bk>
      <rc t="1" v="7925"/>
    </bk>
    <bk>
      <rc t="1" v="7926"/>
    </bk>
    <bk>
      <rc t="1" v="7927"/>
    </bk>
    <bk>
      <rc t="1" v="7928"/>
    </bk>
    <bk>
      <rc t="1" v="7929"/>
    </bk>
    <bk>
      <rc t="1" v="7930"/>
    </bk>
    <bk>
      <rc t="1" v="7931"/>
    </bk>
    <bk>
      <rc t="1" v="7932"/>
    </bk>
    <bk>
      <rc t="1" v="7933"/>
    </bk>
    <bk>
      <rc t="1" v="7934"/>
    </bk>
    <bk>
      <rc t="1" v="7935"/>
    </bk>
    <bk>
      <rc t="1" v="7936"/>
    </bk>
    <bk>
      <rc t="1" v="7937"/>
    </bk>
    <bk>
      <rc t="1" v="7938"/>
    </bk>
    <bk>
      <rc t="1" v="7939"/>
    </bk>
    <bk>
      <rc t="1" v="7940"/>
    </bk>
    <bk>
      <rc t="1" v="7941"/>
    </bk>
    <bk>
      <rc t="1" v="7942"/>
    </bk>
    <bk>
      <rc t="1" v="7943"/>
    </bk>
    <bk>
      <rc t="1" v="7944"/>
    </bk>
    <bk>
      <rc t="1" v="7945"/>
    </bk>
    <bk>
      <rc t="1" v="7946"/>
    </bk>
    <bk>
      <rc t="1" v="7947"/>
    </bk>
    <bk>
      <rc t="1" v="7948"/>
    </bk>
    <bk>
      <rc t="1" v="7949"/>
    </bk>
    <bk>
      <rc t="1" v="7950"/>
    </bk>
    <bk>
      <rc t="1" v="7951"/>
    </bk>
    <bk>
      <rc t="1" v="7952"/>
    </bk>
    <bk>
      <rc t="1" v="7953"/>
    </bk>
    <bk>
      <rc t="1" v="7954"/>
    </bk>
    <bk>
      <rc t="1" v="7955"/>
    </bk>
    <bk>
      <rc t="1" v="7956"/>
    </bk>
    <bk>
      <rc t="1" v="7957"/>
    </bk>
    <bk>
      <rc t="1" v="7958"/>
    </bk>
    <bk>
      <rc t="1" v="7959"/>
    </bk>
    <bk>
      <rc t="1" v="7960"/>
    </bk>
    <bk>
      <rc t="1" v="7961"/>
    </bk>
    <bk>
      <rc t="1" v="7962"/>
    </bk>
    <bk>
      <rc t="1" v="7963"/>
    </bk>
    <bk>
      <rc t="1" v="7964"/>
    </bk>
    <bk>
      <rc t="1" v="7965"/>
    </bk>
    <bk>
      <rc t="1" v="7966"/>
    </bk>
    <bk>
      <rc t="1" v="7967"/>
    </bk>
    <bk>
      <rc t="1" v="7968"/>
    </bk>
    <bk>
      <rc t="1" v="7969"/>
    </bk>
    <bk>
      <rc t="1" v="7970"/>
    </bk>
    <bk>
      <rc t="1" v="7971"/>
    </bk>
    <bk>
      <rc t="1" v="7972"/>
    </bk>
    <bk>
      <rc t="1" v="7973"/>
    </bk>
    <bk>
      <rc t="1" v="7974"/>
    </bk>
    <bk>
      <rc t="1" v="7975"/>
    </bk>
    <bk>
      <rc t="1" v="7976"/>
    </bk>
    <bk>
      <rc t="1" v="7977"/>
    </bk>
    <bk>
      <rc t="1" v="7978"/>
    </bk>
    <bk>
      <rc t="1" v="7979"/>
    </bk>
    <bk>
      <rc t="1" v="7980"/>
    </bk>
    <bk>
      <rc t="1" v="7981"/>
    </bk>
    <bk>
      <rc t="1" v="7982"/>
    </bk>
    <bk>
      <rc t="1" v="7983"/>
    </bk>
    <bk>
      <rc t="1" v="7984"/>
    </bk>
    <bk>
      <rc t="1" v="7985"/>
    </bk>
    <bk>
      <rc t="1" v="7986"/>
    </bk>
    <bk>
      <rc t="1" v="7987"/>
    </bk>
    <bk>
      <rc t="1" v="7988"/>
    </bk>
    <bk>
      <rc t="1" v="7989"/>
    </bk>
    <bk>
      <rc t="1" v="7990"/>
    </bk>
    <bk>
      <rc t="1" v="7991"/>
    </bk>
    <bk>
      <rc t="1" v="7992"/>
    </bk>
    <bk>
      <rc t="1" v="7993"/>
    </bk>
    <bk>
      <rc t="1" v="7994"/>
    </bk>
    <bk>
      <rc t="1" v="7995"/>
    </bk>
    <bk>
      <rc t="1" v="7996"/>
    </bk>
    <bk>
      <rc t="1" v="7997"/>
    </bk>
    <bk>
      <rc t="1" v="7998"/>
    </bk>
    <bk>
      <rc t="1" v="7999"/>
    </bk>
    <bk>
      <rc t="1" v="8000"/>
    </bk>
    <bk>
      <rc t="1" v="8001"/>
    </bk>
    <bk>
      <rc t="1" v="8002"/>
    </bk>
    <bk>
      <rc t="1" v="8003"/>
    </bk>
    <bk>
      <rc t="1" v="8004"/>
    </bk>
    <bk>
      <rc t="1" v="8005"/>
    </bk>
    <bk>
      <rc t="1" v="8006"/>
    </bk>
    <bk>
      <rc t="1" v="8007"/>
    </bk>
    <bk>
      <rc t="1" v="8008"/>
    </bk>
    <bk>
      <rc t="1" v="8009"/>
    </bk>
    <bk>
      <rc t="1" v="8010"/>
    </bk>
    <bk>
      <rc t="1" v="8011"/>
    </bk>
    <bk>
      <rc t="1" v="8012"/>
    </bk>
    <bk>
      <rc t="1" v="8013"/>
    </bk>
    <bk>
      <rc t="1" v="8014"/>
    </bk>
    <bk>
      <rc t="1" v="8015"/>
    </bk>
    <bk>
      <rc t="1" v="8016"/>
    </bk>
    <bk>
      <rc t="1" v="8017"/>
    </bk>
    <bk>
      <rc t="1" v="8018"/>
    </bk>
    <bk>
      <rc t="1" v="8019"/>
    </bk>
    <bk>
      <rc t="1" v="8020"/>
    </bk>
    <bk>
      <rc t="1" v="8021"/>
    </bk>
    <bk>
      <rc t="1" v="8022"/>
    </bk>
    <bk>
      <rc t="1" v="8023"/>
    </bk>
    <bk>
      <rc t="1" v="8024"/>
    </bk>
    <bk>
      <rc t="1" v="8025"/>
    </bk>
    <bk>
      <rc t="1" v="8026"/>
    </bk>
    <bk>
      <rc t="1" v="8027"/>
    </bk>
    <bk>
      <rc t="1" v="8028"/>
    </bk>
    <bk>
      <rc t="1" v="8029"/>
    </bk>
    <bk>
      <rc t="1" v="8030"/>
    </bk>
    <bk>
      <rc t="1" v="8031"/>
    </bk>
    <bk>
      <rc t="1" v="8032"/>
    </bk>
    <bk>
      <rc t="1" v="8033"/>
    </bk>
    <bk>
      <rc t="1" v="8034"/>
    </bk>
    <bk>
      <rc t="1" v="8035"/>
    </bk>
    <bk>
      <rc t="1" v="8036"/>
    </bk>
    <bk>
      <rc t="1" v="8037"/>
    </bk>
    <bk>
      <rc t="1" v="8038"/>
    </bk>
    <bk>
      <rc t="1" v="8039"/>
    </bk>
    <bk>
      <rc t="1" v="8040"/>
    </bk>
    <bk>
      <rc t="1" v="8041"/>
    </bk>
    <bk>
      <rc t="1" v="8042"/>
    </bk>
    <bk>
      <rc t="1" v="8043"/>
    </bk>
    <bk>
      <rc t="1" v="8044"/>
    </bk>
    <bk>
      <rc t="1" v="8045"/>
    </bk>
    <bk>
      <rc t="1" v="8046"/>
    </bk>
    <bk>
      <rc t="1" v="8047"/>
    </bk>
    <bk>
      <rc t="1" v="8048"/>
    </bk>
    <bk>
      <rc t="1" v="8049"/>
    </bk>
    <bk>
      <rc t="1" v="8050"/>
    </bk>
    <bk>
      <rc t="1" v="8051"/>
    </bk>
    <bk>
      <rc t="1" v="8052"/>
    </bk>
    <bk>
      <rc t="1" v="8053"/>
    </bk>
    <bk>
      <rc t="1" v="8054"/>
    </bk>
    <bk>
      <rc t="1" v="8055"/>
    </bk>
    <bk>
      <rc t="1" v="8056"/>
    </bk>
    <bk>
      <rc t="1" v="8057"/>
    </bk>
    <bk>
      <rc t="1" v="8058"/>
    </bk>
    <bk>
      <rc t="1" v="8059"/>
    </bk>
    <bk>
      <rc t="1" v="8060"/>
    </bk>
    <bk>
      <rc t="1" v="8061"/>
    </bk>
    <bk>
      <rc t="1" v="8062"/>
    </bk>
    <bk>
      <rc t="1" v="8063"/>
    </bk>
    <bk>
      <rc t="1" v="8064"/>
    </bk>
    <bk>
      <rc t="1" v="8065"/>
    </bk>
    <bk>
      <rc t="1" v="8066"/>
    </bk>
    <bk>
      <rc t="1" v="8067"/>
    </bk>
    <bk>
      <rc t="1" v="8068"/>
    </bk>
    <bk>
      <rc t="1" v="8069"/>
    </bk>
    <bk>
      <rc t="1" v="8070"/>
    </bk>
    <bk>
      <rc t="1" v="8071"/>
    </bk>
    <bk>
      <rc t="1" v="8072"/>
    </bk>
    <bk>
      <rc t="1" v="8073"/>
    </bk>
    <bk>
      <rc t="1" v="8074"/>
    </bk>
    <bk>
      <rc t="1" v="8075"/>
    </bk>
    <bk>
      <rc t="1" v="8076"/>
    </bk>
    <bk>
      <rc t="1" v="8077"/>
    </bk>
    <bk>
      <rc t="1" v="8078"/>
    </bk>
    <bk>
      <rc t="1" v="8079"/>
    </bk>
    <bk>
      <rc t="1" v="8080"/>
    </bk>
    <bk>
      <rc t="1" v="8081"/>
    </bk>
    <bk>
      <rc t="1" v="8082"/>
    </bk>
    <bk>
      <rc t="1" v="8083"/>
    </bk>
    <bk>
      <rc t="1" v="8084"/>
    </bk>
    <bk>
      <rc t="1" v="8085"/>
    </bk>
    <bk>
      <rc t="1" v="8086"/>
    </bk>
    <bk>
      <rc t="1" v="8087"/>
    </bk>
    <bk>
      <rc t="1" v="8088"/>
    </bk>
    <bk>
      <rc t="1" v="8089"/>
    </bk>
    <bk>
      <rc t="1" v="8090"/>
    </bk>
    <bk>
      <rc t="1" v="8091"/>
    </bk>
    <bk>
      <rc t="1" v="8092"/>
    </bk>
    <bk>
      <rc t="1" v="8093"/>
    </bk>
    <bk>
      <rc t="1" v="8094"/>
    </bk>
    <bk>
      <rc t="1" v="8095"/>
    </bk>
    <bk>
      <rc t="1" v="8096"/>
    </bk>
    <bk>
      <rc t="1" v="8097"/>
    </bk>
    <bk>
      <rc t="1" v="8098"/>
    </bk>
    <bk>
      <rc t="1" v="8099"/>
    </bk>
    <bk>
      <rc t="1" v="8100"/>
    </bk>
    <bk>
      <rc t="1" v="8101"/>
    </bk>
    <bk>
      <rc t="1" v="8102"/>
    </bk>
    <bk>
      <rc t="1" v="8103"/>
    </bk>
    <bk>
      <rc t="1" v="8104"/>
    </bk>
    <bk>
      <rc t="1" v="8105"/>
    </bk>
    <bk>
      <rc t="1" v="8106"/>
    </bk>
    <bk>
      <rc t="1" v="8107"/>
    </bk>
    <bk>
      <rc t="1" v="8108"/>
    </bk>
    <bk>
      <rc t="1" v="8109"/>
    </bk>
    <bk>
      <rc t="1" v="8110"/>
    </bk>
    <bk>
      <rc t="1" v="8111"/>
    </bk>
    <bk>
      <rc t="1" v="8112"/>
    </bk>
    <bk>
      <rc t="1" v="8113"/>
    </bk>
    <bk>
      <rc t="1" v="8114"/>
    </bk>
    <bk>
      <rc t="1" v="8115"/>
    </bk>
    <bk>
      <rc t="1" v="8116"/>
    </bk>
    <bk>
      <rc t="1" v="8117"/>
    </bk>
    <bk>
      <rc t="1" v="8118"/>
    </bk>
    <bk>
      <rc t="1" v="8119"/>
    </bk>
    <bk>
      <rc t="1" v="8120"/>
    </bk>
    <bk>
      <rc t="1" v="8121"/>
    </bk>
    <bk>
      <rc t="1" v="8122"/>
    </bk>
    <bk>
      <rc t="1" v="8123"/>
    </bk>
    <bk>
      <rc t="1" v="8124"/>
    </bk>
    <bk>
      <rc t="1" v="8125"/>
    </bk>
    <bk>
      <rc t="1" v="8126"/>
    </bk>
    <bk>
      <rc t="1" v="8127"/>
    </bk>
    <bk>
      <rc t="1" v="8128"/>
    </bk>
    <bk>
      <rc t="1" v="8129"/>
    </bk>
    <bk>
      <rc t="1" v="8130"/>
    </bk>
    <bk>
      <rc t="1" v="8131"/>
    </bk>
    <bk>
      <rc t="1" v="8132"/>
    </bk>
    <bk>
      <rc t="1" v="8133"/>
    </bk>
    <bk>
      <rc t="1" v="8134"/>
    </bk>
    <bk>
      <rc t="1" v="8135"/>
    </bk>
    <bk>
      <rc t="1" v="8136"/>
    </bk>
    <bk>
      <rc t="1" v="8137"/>
    </bk>
    <bk>
      <rc t="1" v="8138"/>
    </bk>
    <bk>
      <rc t="1" v="8139"/>
    </bk>
    <bk>
      <rc t="1" v="8140"/>
    </bk>
    <bk>
      <rc t="1" v="8141"/>
    </bk>
    <bk>
      <rc t="1" v="8142"/>
    </bk>
    <bk>
      <rc t="1" v="8143"/>
    </bk>
    <bk>
      <rc t="1" v="8144"/>
    </bk>
    <bk>
      <rc t="1" v="8145"/>
    </bk>
    <bk>
      <rc t="1" v="8146"/>
    </bk>
    <bk>
      <rc t="1" v="8147"/>
    </bk>
    <bk>
      <rc t="1" v="8148"/>
    </bk>
    <bk>
      <rc t="1" v="8149"/>
    </bk>
    <bk>
      <rc t="1" v="8150"/>
    </bk>
    <bk>
      <rc t="1" v="8151"/>
    </bk>
    <bk>
      <rc t="1" v="8152"/>
    </bk>
    <bk>
      <rc t="1" v="8153"/>
    </bk>
    <bk>
      <rc t="1" v="8154"/>
    </bk>
    <bk>
      <rc t="1" v="8155"/>
    </bk>
    <bk>
      <rc t="1" v="8156"/>
    </bk>
    <bk>
      <rc t="1" v="8157"/>
    </bk>
    <bk>
      <rc t="1" v="8158"/>
    </bk>
    <bk>
      <rc t="1" v="8159"/>
    </bk>
    <bk>
      <rc t="1" v="8160"/>
    </bk>
    <bk>
      <rc t="1" v="8161"/>
    </bk>
    <bk>
      <rc t="1" v="8162"/>
    </bk>
    <bk>
      <rc t="1" v="8163"/>
    </bk>
    <bk>
      <rc t="1" v="8164"/>
    </bk>
    <bk>
      <rc t="1" v="8165"/>
    </bk>
    <bk>
      <rc t="1" v="8166"/>
    </bk>
    <bk>
      <rc t="1" v="8167"/>
    </bk>
    <bk>
      <rc t="1" v="8168"/>
    </bk>
    <bk>
      <rc t="1" v="8169"/>
    </bk>
    <bk>
      <rc t="1" v="8170"/>
    </bk>
    <bk>
      <rc t="1" v="8171"/>
    </bk>
    <bk>
      <rc t="1" v="8172"/>
    </bk>
    <bk>
      <rc t="1" v="8173"/>
    </bk>
    <bk>
      <rc t="1" v="8174"/>
    </bk>
    <bk>
      <rc t="1" v="8175"/>
    </bk>
    <bk>
      <rc t="1" v="8176"/>
    </bk>
    <bk>
      <rc t="1" v="8177"/>
    </bk>
    <bk>
      <rc t="1" v="8178"/>
    </bk>
    <bk>
      <rc t="1" v="8179"/>
    </bk>
    <bk>
      <rc t="1" v="8180"/>
    </bk>
    <bk>
      <rc t="1" v="8181"/>
    </bk>
    <bk>
      <rc t="1" v="8182"/>
    </bk>
    <bk>
      <rc t="1" v="8183"/>
    </bk>
    <bk>
      <rc t="1" v="8184"/>
    </bk>
    <bk>
      <rc t="1" v="8185"/>
    </bk>
    <bk>
      <rc t="1" v="8186"/>
    </bk>
    <bk>
      <rc t="1" v="8187"/>
    </bk>
    <bk>
      <rc t="1" v="8188"/>
    </bk>
    <bk>
      <rc t="1" v="8189"/>
    </bk>
    <bk>
      <rc t="1" v="8190"/>
    </bk>
    <bk>
      <rc t="1" v="8191"/>
    </bk>
    <bk>
      <rc t="1" v="8192"/>
    </bk>
    <bk>
      <rc t="1" v="8193"/>
    </bk>
    <bk>
      <rc t="1" v="8194"/>
    </bk>
    <bk>
      <rc t="1" v="8195"/>
    </bk>
    <bk>
      <rc t="1" v="8196"/>
    </bk>
    <bk>
      <rc t="1" v="8197"/>
    </bk>
    <bk>
      <rc t="1" v="8198"/>
    </bk>
    <bk>
      <rc t="1" v="8199"/>
    </bk>
    <bk>
      <rc t="1" v="8200"/>
    </bk>
    <bk>
      <rc t="1" v="8201"/>
    </bk>
    <bk>
      <rc t="1" v="8202"/>
    </bk>
    <bk>
      <rc t="1" v="8203"/>
    </bk>
    <bk>
      <rc t="1" v="8204"/>
    </bk>
    <bk>
      <rc t="1" v="8205"/>
    </bk>
    <bk>
      <rc t="1" v="8206"/>
    </bk>
    <bk>
      <rc t="1" v="8207"/>
    </bk>
    <bk>
      <rc t="1" v="8208"/>
    </bk>
    <bk>
      <rc t="1" v="8209"/>
    </bk>
    <bk>
      <rc t="1" v="8210"/>
    </bk>
    <bk>
      <rc t="1" v="8211"/>
    </bk>
    <bk>
      <rc t="1" v="8212"/>
    </bk>
    <bk>
      <rc t="1" v="8213"/>
    </bk>
    <bk>
      <rc t="1" v="8214"/>
    </bk>
    <bk>
      <rc t="1" v="8215"/>
    </bk>
    <bk>
      <rc t="1" v="8216"/>
    </bk>
    <bk>
      <rc t="1" v="8217"/>
    </bk>
    <bk>
      <rc t="1" v="8218"/>
    </bk>
    <bk>
      <rc t="1" v="8219"/>
    </bk>
    <bk>
      <rc t="1" v="8220"/>
    </bk>
    <bk>
      <rc t="1" v="8221"/>
    </bk>
    <bk>
      <rc t="1" v="8222"/>
    </bk>
    <bk>
      <rc t="1" v="8223"/>
    </bk>
    <bk>
      <rc t="1" v="8224"/>
    </bk>
    <bk>
      <rc t="1" v="8225"/>
    </bk>
    <bk>
      <rc t="1" v="8226"/>
    </bk>
    <bk>
      <rc t="1" v="8227"/>
    </bk>
    <bk>
      <rc t="1" v="8228"/>
    </bk>
    <bk>
      <rc t="1" v="8229"/>
    </bk>
    <bk>
      <rc t="1" v="8230"/>
    </bk>
    <bk>
      <rc t="1" v="8231"/>
    </bk>
    <bk>
      <rc t="1" v="8232"/>
    </bk>
    <bk>
      <rc t="1" v="8233"/>
    </bk>
    <bk>
      <rc t="1" v="8234"/>
    </bk>
    <bk>
      <rc t="1" v="8235"/>
    </bk>
    <bk>
      <rc t="1" v="8236"/>
    </bk>
    <bk>
      <rc t="1" v="8237"/>
    </bk>
    <bk>
      <rc t="1" v="8238"/>
    </bk>
    <bk>
      <rc t="1" v="8239"/>
    </bk>
    <bk>
      <rc t="1" v="8240"/>
    </bk>
    <bk>
      <rc t="1" v="8241"/>
    </bk>
    <bk>
      <rc t="1" v="8242"/>
    </bk>
    <bk>
      <rc t="1" v="8243"/>
    </bk>
    <bk>
      <rc t="1" v="8244"/>
    </bk>
    <bk>
      <rc t="1" v="8245"/>
    </bk>
    <bk>
      <rc t="1" v="8246"/>
    </bk>
    <bk>
      <rc t="1" v="8247"/>
    </bk>
    <bk>
      <rc t="1" v="8248"/>
    </bk>
    <bk>
      <rc t="1" v="8249"/>
    </bk>
    <bk>
      <rc t="1" v="8250"/>
    </bk>
    <bk>
      <rc t="1" v="8251"/>
    </bk>
    <bk>
      <rc t="1" v="8252"/>
    </bk>
    <bk>
      <rc t="1" v="8253"/>
    </bk>
    <bk>
      <rc t="1" v="8254"/>
    </bk>
    <bk>
      <rc t="1" v="8255"/>
    </bk>
    <bk>
      <rc t="1" v="8256"/>
    </bk>
    <bk>
      <rc t="1" v="8257"/>
    </bk>
    <bk>
      <rc t="1" v="8258"/>
    </bk>
    <bk>
      <rc t="1" v="8259"/>
    </bk>
    <bk>
      <rc t="1" v="8260"/>
    </bk>
    <bk>
      <rc t="1" v="8261"/>
    </bk>
    <bk>
      <rc t="1" v="8262"/>
    </bk>
    <bk>
      <rc t="1" v="8263"/>
    </bk>
    <bk>
      <rc t="1" v="8264"/>
    </bk>
    <bk>
      <rc t="1" v="8265"/>
    </bk>
    <bk>
      <rc t="1" v="8266"/>
    </bk>
    <bk>
      <rc t="1" v="8267"/>
    </bk>
    <bk>
      <rc t="1" v="8268"/>
    </bk>
    <bk>
      <rc t="1" v="8269"/>
    </bk>
    <bk>
      <rc t="1" v="8270"/>
    </bk>
    <bk>
      <rc t="1" v="8271"/>
    </bk>
    <bk>
      <rc t="1" v="8272"/>
    </bk>
    <bk>
      <rc t="1" v="8273"/>
    </bk>
    <bk>
      <rc t="1" v="8274"/>
    </bk>
    <bk>
      <rc t="1" v="8275"/>
    </bk>
    <bk>
      <rc t="1" v="8276"/>
    </bk>
    <bk>
      <rc t="1" v="8277"/>
    </bk>
    <bk>
      <rc t="1" v="8278"/>
    </bk>
    <bk>
      <rc t="1" v="8279"/>
    </bk>
    <bk>
      <rc t="1" v="8280"/>
    </bk>
    <bk>
      <rc t="1" v="8281"/>
    </bk>
    <bk>
      <rc t="1" v="8282"/>
    </bk>
    <bk>
      <rc t="1" v="8283"/>
    </bk>
    <bk>
      <rc t="1" v="8284"/>
    </bk>
    <bk>
      <rc t="1" v="8285"/>
    </bk>
    <bk>
      <rc t="1" v="8286"/>
    </bk>
    <bk>
      <rc t="1" v="8287"/>
    </bk>
    <bk>
      <rc t="1" v="8288"/>
    </bk>
    <bk>
      <rc t="1" v="8289"/>
    </bk>
    <bk>
      <rc t="1" v="8290"/>
    </bk>
    <bk>
      <rc t="1" v="8291"/>
    </bk>
    <bk>
      <rc t="1" v="8292"/>
    </bk>
    <bk>
      <rc t="1" v="8293"/>
    </bk>
    <bk>
      <rc t="1" v="8294"/>
    </bk>
    <bk>
      <rc t="1" v="8295"/>
    </bk>
    <bk>
      <rc t="1" v="8296"/>
    </bk>
    <bk>
      <rc t="1" v="8297"/>
    </bk>
    <bk>
      <rc t="1" v="8298"/>
    </bk>
    <bk>
      <rc t="1" v="8299"/>
    </bk>
    <bk>
      <rc t="1" v="8300"/>
    </bk>
    <bk>
      <rc t="1" v="8301"/>
    </bk>
    <bk>
      <rc t="1" v="8302"/>
    </bk>
    <bk>
      <rc t="1" v="8303"/>
    </bk>
    <bk>
      <rc t="1" v="8304"/>
    </bk>
    <bk>
      <rc t="1" v="8305"/>
    </bk>
    <bk>
      <rc t="1" v="8306"/>
    </bk>
    <bk>
      <rc t="1" v="8307"/>
    </bk>
    <bk>
      <rc t="1" v="8308"/>
    </bk>
    <bk>
      <rc t="1" v="8309"/>
    </bk>
    <bk>
      <rc t="1" v="8310"/>
    </bk>
    <bk>
      <rc t="1" v="8311"/>
    </bk>
    <bk>
      <rc t="1" v="8312"/>
    </bk>
    <bk>
      <rc t="1" v="8313"/>
    </bk>
    <bk>
      <rc t="1" v="8314"/>
    </bk>
    <bk>
      <rc t="1" v="8315"/>
    </bk>
    <bk>
      <rc t="1" v="8316"/>
    </bk>
    <bk>
      <rc t="1" v="8317"/>
    </bk>
    <bk>
      <rc t="1" v="8318"/>
    </bk>
    <bk>
      <rc t="1" v="8319"/>
    </bk>
    <bk>
      <rc t="1" v="8320"/>
    </bk>
    <bk>
      <rc t="1" v="8321"/>
    </bk>
    <bk>
      <rc t="1" v="8322"/>
    </bk>
    <bk>
      <rc t="1" v="8323"/>
    </bk>
    <bk>
      <rc t="1" v="8324"/>
    </bk>
    <bk>
      <rc t="1" v="8325"/>
    </bk>
    <bk>
      <rc t="1" v="8326"/>
    </bk>
    <bk>
      <rc t="1" v="8327"/>
    </bk>
    <bk>
      <rc t="1" v="8328"/>
    </bk>
    <bk>
      <rc t="1" v="8329"/>
    </bk>
    <bk>
      <rc t="1" v="8330"/>
    </bk>
    <bk>
      <rc t="1" v="8331"/>
    </bk>
    <bk>
      <rc t="1" v="8332"/>
    </bk>
    <bk>
      <rc t="1" v="8333"/>
    </bk>
    <bk>
      <rc t="1" v="8334"/>
    </bk>
    <bk>
      <rc t="1" v="8335"/>
    </bk>
    <bk>
      <rc t="1" v="8336"/>
    </bk>
    <bk>
      <rc t="1" v="8337"/>
    </bk>
    <bk>
      <rc t="1" v="8338"/>
    </bk>
    <bk>
      <rc t="1" v="8339"/>
    </bk>
    <bk>
      <rc t="1" v="8340"/>
    </bk>
    <bk>
      <rc t="1" v="8341"/>
    </bk>
    <bk>
      <rc t="1" v="8342"/>
    </bk>
    <bk>
      <rc t="1" v="8343"/>
    </bk>
    <bk>
      <rc t="1" v="8344"/>
    </bk>
    <bk>
      <rc t="1" v="8345"/>
    </bk>
    <bk>
      <rc t="1" v="8346"/>
    </bk>
    <bk>
      <rc t="1" v="8347"/>
    </bk>
    <bk>
      <rc t="1" v="8348"/>
    </bk>
    <bk>
      <rc t="1" v="8349"/>
    </bk>
    <bk>
      <rc t="1" v="8350"/>
    </bk>
    <bk>
      <rc t="1" v="8351"/>
    </bk>
    <bk>
      <rc t="1" v="8352"/>
    </bk>
    <bk>
      <rc t="1" v="8353"/>
    </bk>
    <bk>
      <rc t="1" v="8354"/>
    </bk>
    <bk>
      <rc t="1" v="8355"/>
    </bk>
    <bk>
      <rc t="1" v="8356"/>
    </bk>
    <bk>
      <rc t="1" v="8357"/>
    </bk>
    <bk>
      <rc t="1" v="8358"/>
    </bk>
    <bk>
      <rc t="1" v="8359"/>
    </bk>
    <bk>
      <rc t="1" v="8360"/>
    </bk>
    <bk>
      <rc t="1" v="8361"/>
    </bk>
    <bk>
      <rc t="1" v="8362"/>
    </bk>
    <bk>
      <rc t="1" v="8363"/>
    </bk>
    <bk>
      <rc t="1" v="8364"/>
    </bk>
    <bk>
      <rc t="1" v="8365"/>
    </bk>
    <bk>
      <rc t="1" v="8366"/>
    </bk>
    <bk>
      <rc t="1" v="8367"/>
    </bk>
    <bk>
      <rc t="1" v="8368"/>
    </bk>
    <bk>
      <rc t="1" v="8369"/>
    </bk>
    <bk>
      <rc t="1" v="8370"/>
    </bk>
    <bk>
      <rc t="1" v="8371"/>
    </bk>
    <bk>
      <rc t="1" v="8372"/>
    </bk>
    <bk>
      <rc t="1" v="8373"/>
    </bk>
    <bk>
      <rc t="1" v="8374"/>
    </bk>
    <bk>
      <rc t="1" v="8375"/>
    </bk>
    <bk>
      <rc t="1" v="8376"/>
    </bk>
    <bk>
      <rc t="1" v="8377"/>
    </bk>
    <bk>
      <rc t="1" v="8378"/>
    </bk>
    <bk>
      <rc t="1" v="8379"/>
    </bk>
    <bk>
      <rc t="1" v="8380"/>
    </bk>
    <bk>
      <rc t="1" v="8381"/>
    </bk>
    <bk>
      <rc t="1" v="8382"/>
    </bk>
    <bk>
      <rc t="1" v="8383"/>
    </bk>
    <bk>
      <rc t="1" v="8384"/>
    </bk>
    <bk>
      <rc t="1" v="8385"/>
    </bk>
    <bk>
      <rc t="1" v="8386"/>
    </bk>
    <bk>
      <rc t="1" v="8387"/>
    </bk>
    <bk>
      <rc t="1" v="8388"/>
    </bk>
    <bk>
      <rc t="1" v="8389"/>
    </bk>
    <bk>
      <rc t="1" v="8390"/>
    </bk>
    <bk>
      <rc t="1" v="8391"/>
    </bk>
    <bk>
      <rc t="1" v="8392"/>
    </bk>
    <bk>
      <rc t="1" v="8393"/>
    </bk>
    <bk>
      <rc t="1" v="8394"/>
    </bk>
    <bk>
      <rc t="1" v="8395"/>
    </bk>
    <bk>
      <rc t="1" v="8396"/>
    </bk>
    <bk>
      <rc t="1" v="8397"/>
    </bk>
    <bk>
      <rc t="1" v="8398"/>
    </bk>
    <bk>
      <rc t="1" v="8399"/>
    </bk>
    <bk>
      <rc t="1" v="8400"/>
    </bk>
    <bk>
      <rc t="1" v="8401"/>
    </bk>
    <bk>
      <rc t="1" v="8402"/>
    </bk>
    <bk>
      <rc t="1" v="8403"/>
    </bk>
    <bk>
      <rc t="1" v="8404"/>
    </bk>
    <bk>
      <rc t="1" v="8405"/>
    </bk>
    <bk>
      <rc t="1" v="8406"/>
    </bk>
    <bk>
      <rc t="1" v="8407"/>
    </bk>
    <bk>
      <rc t="1" v="8408"/>
    </bk>
    <bk>
      <rc t="1" v="8409"/>
    </bk>
    <bk>
      <rc t="1" v="8410"/>
    </bk>
    <bk>
      <rc t="1" v="8411"/>
    </bk>
    <bk>
      <rc t="1" v="8412"/>
    </bk>
    <bk>
      <rc t="1" v="8413"/>
    </bk>
    <bk>
      <rc t="1" v="8414"/>
    </bk>
    <bk>
      <rc t="1" v="8415"/>
    </bk>
    <bk>
      <rc t="1" v="8416"/>
    </bk>
    <bk>
      <rc t="1" v="8417"/>
    </bk>
    <bk>
      <rc t="1" v="8418"/>
    </bk>
    <bk>
      <rc t="1" v="8419"/>
    </bk>
    <bk>
      <rc t="1" v="8420"/>
    </bk>
    <bk>
      <rc t="1" v="8421"/>
    </bk>
    <bk>
      <rc t="1" v="8422"/>
    </bk>
    <bk>
      <rc t="1" v="8423"/>
    </bk>
    <bk>
      <rc t="1" v="8424"/>
    </bk>
    <bk>
      <rc t="1" v="8425"/>
    </bk>
    <bk>
      <rc t="1" v="8426"/>
    </bk>
    <bk>
      <rc t="1" v="8427"/>
    </bk>
    <bk>
      <rc t="1" v="8428"/>
    </bk>
    <bk>
      <rc t="1" v="8429"/>
    </bk>
    <bk>
      <rc t="1" v="8430"/>
    </bk>
    <bk>
      <rc t="1" v="8431"/>
    </bk>
    <bk>
      <rc t="1" v="8432"/>
    </bk>
    <bk>
      <rc t="1" v="8433"/>
    </bk>
    <bk>
      <rc t="1" v="8434"/>
    </bk>
    <bk>
      <rc t="1" v="8435"/>
    </bk>
    <bk>
      <rc t="1" v="8436"/>
    </bk>
    <bk>
      <rc t="1" v="8437"/>
    </bk>
    <bk>
      <rc t="1" v="8438"/>
    </bk>
    <bk>
      <rc t="1" v="8439"/>
    </bk>
    <bk>
      <rc t="1" v="8440"/>
    </bk>
    <bk>
      <rc t="1" v="8441"/>
    </bk>
    <bk>
      <rc t="1" v="8442"/>
    </bk>
    <bk>
      <rc t="1" v="8443"/>
    </bk>
    <bk>
      <rc t="1" v="8444"/>
    </bk>
    <bk>
      <rc t="1" v="8445"/>
    </bk>
    <bk>
      <rc t="1" v="8446"/>
    </bk>
    <bk>
      <rc t="1" v="8447"/>
    </bk>
    <bk>
      <rc t="1" v="8448"/>
    </bk>
    <bk>
      <rc t="1" v="8449"/>
    </bk>
    <bk>
      <rc t="1" v="8450"/>
    </bk>
    <bk>
      <rc t="1" v="8451"/>
    </bk>
    <bk>
      <rc t="1" v="8452"/>
    </bk>
    <bk>
      <rc t="1" v="8453"/>
    </bk>
    <bk>
      <rc t="1" v="8454"/>
    </bk>
    <bk>
      <rc t="1" v="8455"/>
    </bk>
    <bk>
      <rc t="1" v="8456"/>
    </bk>
    <bk>
      <rc t="1" v="8457"/>
    </bk>
    <bk>
      <rc t="1" v="8458"/>
    </bk>
    <bk>
      <rc t="1" v="8459"/>
    </bk>
    <bk>
      <rc t="1" v="8460"/>
    </bk>
    <bk>
      <rc t="1" v="8461"/>
    </bk>
    <bk>
      <rc t="1" v="8462"/>
    </bk>
    <bk>
      <rc t="1" v="8463"/>
    </bk>
    <bk>
      <rc t="1" v="8464"/>
    </bk>
    <bk>
      <rc t="1" v="8465"/>
    </bk>
    <bk>
      <rc t="1" v="8466"/>
    </bk>
    <bk>
      <rc t="1" v="8467"/>
    </bk>
    <bk>
      <rc t="1" v="8468"/>
    </bk>
    <bk>
      <rc t="1" v="8469"/>
    </bk>
    <bk>
      <rc t="1" v="8470"/>
    </bk>
    <bk>
      <rc t="1" v="8471"/>
    </bk>
    <bk>
      <rc t="1" v="8472"/>
    </bk>
    <bk>
      <rc t="1" v="8473"/>
    </bk>
    <bk>
      <rc t="1" v="8474"/>
    </bk>
    <bk>
      <rc t="1" v="8475"/>
    </bk>
    <bk>
      <rc t="1" v="8476"/>
    </bk>
    <bk>
      <rc t="1" v="8477"/>
    </bk>
    <bk>
      <rc t="1" v="8478"/>
    </bk>
    <bk>
      <rc t="1" v="8479"/>
    </bk>
    <bk>
      <rc t="1" v="8480"/>
    </bk>
    <bk>
      <rc t="1" v="8481"/>
    </bk>
    <bk>
      <rc t="1" v="8482"/>
    </bk>
    <bk>
      <rc t="1" v="8483"/>
    </bk>
    <bk>
      <rc t="1" v="8484"/>
    </bk>
    <bk>
      <rc t="1" v="8485"/>
    </bk>
    <bk>
      <rc t="1" v="8486"/>
    </bk>
    <bk>
      <rc t="1" v="8487"/>
    </bk>
    <bk>
      <rc t="1" v="8488"/>
    </bk>
    <bk>
      <rc t="1" v="8489"/>
    </bk>
    <bk>
      <rc t="1" v="8490"/>
    </bk>
    <bk>
      <rc t="1" v="8491"/>
    </bk>
    <bk>
      <rc t="1" v="8492"/>
    </bk>
    <bk>
      <rc t="1" v="8493"/>
    </bk>
    <bk>
      <rc t="1" v="8494"/>
    </bk>
    <bk>
      <rc t="1" v="8495"/>
    </bk>
    <bk>
      <rc t="1" v="8496"/>
    </bk>
    <bk>
      <rc t="1" v="8497"/>
    </bk>
    <bk>
      <rc t="1" v="8498"/>
    </bk>
    <bk>
      <rc t="1" v="8499"/>
    </bk>
    <bk>
      <rc t="1" v="8500"/>
    </bk>
    <bk>
      <rc t="1" v="8501"/>
    </bk>
    <bk>
      <rc t="1" v="8502"/>
    </bk>
    <bk>
      <rc t="1" v="8503"/>
    </bk>
    <bk>
      <rc t="1" v="8504"/>
    </bk>
    <bk>
      <rc t="1" v="8505"/>
    </bk>
    <bk>
      <rc t="1" v="8506"/>
    </bk>
    <bk>
      <rc t="1" v="8507"/>
    </bk>
    <bk>
      <rc t="1" v="8508"/>
    </bk>
    <bk>
      <rc t="1" v="8509"/>
    </bk>
    <bk>
      <rc t="1" v="8510"/>
    </bk>
    <bk>
      <rc t="1" v="8511"/>
    </bk>
    <bk>
      <rc t="1" v="8512"/>
    </bk>
    <bk>
      <rc t="1" v="8513"/>
    </bk>
    <bk>
      <rc t="1" v="8514"/>
    </bk>
    <bk>
      <rc t="1" v="8515"/>
    </bk>
    <bk>
      <rc t="1" v="8516"/>
    </bk>
    <bk>
      <rc t="1" v="8517"/>
    </bk>
    <bk>
      <rc t="1" v="8518"/>
    </bk>
    <bk>
      <rc t="1" v="8519"/>
    </bk>
    <bk>
      <rc t="1" v="8520"/>
    </bk>
    <bk>
      <rc t="1" v="8521"/>
    </bk>
    <bk>
      <rc t="1" v="8522"/>
    </bk>
    <bk>
      <rc t="1" v="8523"/>
    </bk>
    <bk>
      <rc t="1" v="8524"/>
    </bk>
    <bk>
      <rc t="1" v="8525"/>
    </bk>
    <bk>
      <rc t="1" v="8526"/>
    </bk>
    <bk>
      <rc t="1" v="8527"/>
    </bk>
    <bk>
      <rc t="1" v="8528"/>
    </bk>
    <bk>
      <rc t="1" v="8529"/>
    </bk>
    <bk>
      <rc t="1" v="8530"/>
    </bk>
    <bk>
      <rc t="1" v="8531"/>
    </bk>
    <bk>
      <rc t="1" v="8532"/>
    </bk>
    <bk>
      <rc t="1" v="8533"/>
    </bk>
    <bk>
      <rc t="1" v="8534"/>
    </bk>
    <bk>
      <rc t="1" v="8535"/>
    </bk>
    <bk>
      <rc t="1" v="8536"/>
    </bk>
    <bk>
      <rc t="1" v="8537"/>
    </bk>
    <bk>
      <rc t="1" v="8538"/>
    </bk>
    <bk>
      <rc t="1" v="8539"/>
    </bk>
    <bk>
      <rc t="1" v="8540"/>
    </bk>
    <bk>
      <rc t="1" v="8541"/>
    </bk>
    <bk>
      <rc t="1" v="8542"/>
    </bk>
    <bk>
      <rc t="1" v="8543"/>
    </bk>
    <bk>
      <rc t="1" v="8544"/>
    </bk>
    <bk>
      <rc t="1" v="8545"/>
    </bk>
    <bk>
      <rc t="1" v="8546"/>
    </bk>
    <bk>
      <rc t="1" v="8547"/>
    </bk>
    <bk>
      <rc t="1" v="8548"/>
    </bk>
    <bk>
      <rc t="1" v="8549"/>
    </bk>
    <bk>
      <rc t="1" v="8550"/>
    </bk>
    <bk>
      <rc t="1" v="8551"/>
    </bk>
    <bk>
      <rc t="1" v="8552"/>
    </bk>
    <bk>
      <rc t="1" v="8553"/>
    </bk>
    <bk>
      <rc t="1" v="8554"/>
    </bk>
    <bk>
      <rc t="1" v="8555"/>
    </bk>
    <bk>
      <rc t="1" v="8556"/>
    </bk>
    <bk>
      <rc t="1" v="8557"/>
    </bk>
    <bk>
      <rc t="1" v="8558"/>
    </bk>
    <bk>
      <rc t="1" v="8559"/>
    </bk>
    <bk>
      <rc t="1" v="8560"/>
    </bk>
    <bk>
      <rc t="1" v="8561"/>
    </bk>
    <bk>
      <rc t="1" v="8562"/>
    </bk>
    <bk>
      <rc t="1" v="8563"/>
    </bk>
    <bk>
      <rc t="1" v="8564"/>
    </bk>
    <bk>
      <rc t="1" v="8565"/>
    </bk>
    <bk>
      <rc t="1" v="8566"/>
    </bk>
    <bk>
      <rc t="1" v="8567"/>
    </bk>
    <bk>
      <rc t="1" v="8568"/>
    </bk>
    <bk>
      <rc t="1" v="8569"/>
    </bk>
    <bk>
      <rc t="1" v="8570"/>
    </bk>
    <bk>
      <rc t="1" v="8571"/>
    </bk>
    <bk>
      <rc t="1" v="8572"/>
    </bk>
    <bk>
      <rc t="1" v="8573"/>
    </bk>
    <bk>
      <rc t="1" v="8574"/>
    </bk>
    <bk>
      <rc t="1" v="8575"/>
    </bk>
    <bk>
      <rc t="1" v="8576"/>
    </bk>
    <bk>
      <rc t="1" v="8577"/>
    </bk>
    <bk>
      <rc t="1" v="8578"/>
    </bk>
    <bk>
      <rc t="1" v="8579"/>
    </bk>
    <bk>
      <rc t="1" v="8580"/>
    </bk>
    <bk>
      <rc t="1" v="8581"/>
    </bk>
    <bk>
      <rc t="1" v="8582"/>
    </bk>
    <bk>
      <rc t="1" v="8583"/>
    </bk>
    <bk>
      <rc t="1" v="8584"/>
    </bk>
    <bk>
      <rc t="1" v="8585"/>
    </bk>
    <bk>
      <rc t="1" v="8586"/>
    </bk>
    <bk>
      <rc t="1" v="8587"/>
    </bk>
    <bk>
      <rc t="1" v="8588"/>
    </bk>
    <bk>
      <rc t="1" v="8589"/>
    </bk>
    <bk>
      <rc t="1" v="8590"/>
    </bk>
    <bk>
      <rc t="1" v="8591"/>
    </bk>
    <bk>
      <rc t="1" v="8592"/>
    </bk>
    <bk>
      <rc t="1" v="8593"/>
    </bk>
    <bk>
      <rc t="1" v="8594"/>
    </bk>
    <bk>
      <rc t="1" v="8595"/>
    </bk>
    <bk>
      <rc t="1" v="8596"/>
    </bk>
    <bk>
      <rc t="1" v="8597"/>
    </bk>
    <bk>
      <rc t="1" v="8598"/>
    </bk>
    <bk>
      <rc t="1" v="8599"/>
    </bk>
    <bk>
      <rc t="1" v="8600"/>
    </bk>
    <bk>
      <rc t="1" v="8601"/>
    </bk>
    <bk>
      <rc t="1" v="8602"/>
    </bk>
    <bk>
      <rc t="1" v="8603"/>
    </bk>
    <bk>
      <rc t="1" v="8604"/>
    </bk>
    <bk>
      <rc t="1" v="8605"/>
    </bk>
    <bk>
      <rc t="1" v="8606"/>
    </bk>
    <bk>
      <rc t="1" v="8607"/>
    </bk>
    <bk>
      <rc t="1" v="8608"/>
    </bk>
    <bk>
      <rc t="1" v="8609"/>
    </bk>
    <bk>
      <rc t="1" v="8610"/>
    </bk>
    <bk>
      <rc t="1" v="8611"/>
    </bk>
    <bk>
      <rc t="1" v="8612"/>
    </bk>
    <bk>
      <rc t="1" v="8613"/>
    </bk>
    <bk>
      <rc t="1" v="8614"/>
    </bk>
    <bk>
      <rc t="1" v="8615"/>
    </bk>
    <bk>
      <rc t="1" v="8616"/>
    </bk>
    <bk>
      <rc t="1" v="8617"/>
    </bk>
    <bk>
      <rc t="1" v="8618"/>
    </bk>
    <bk>
      <rc t="1" v="8619"/>
    </bk>
    <bk>
      <rc t="1" v="8620"/>
    </bk>
    <bk>
      <rc t="1" v="8621"/>
    </bk>
    <bk>
      <rc t="1" v="8622"/>
    </bk>
    <bk>
      <rc t="1" v="8623"/>
    </bk>
    <bk>
      <rc t="1" v="8624"/>
    </bk>
    <bk>
      <rc t="1" v="8625"/>
    </bk>
    <bk>
      <rc t="1" v="8626"/>
    </bk>
    <bk>
      <rc t="1" v="8627"/>
    </bk>
    <bk>
      <rc t="1" v="8628"/>
    </bk>
    <bk>
      <rc t="1" v="8629"/>
    </bk>
    <bk>
      <rc t="1" v="8630"/>
    </bk>
    <bk>
      <rc t="1" v="8631"/>
    </bk>
    <bk>
      <rc t="1" v="8632"/>
    </bk>
    <bk>
      <rc t="1" v="8633"/>
    </bk>
    <bk>
      <rc t="1" v="8634"/>
    </bk>
    <bk>
      <rc t="1" v="8635"/>
    </bk>
    <bk>
      <rc t="1" v="8636"/>
    </bk>
    <bk>
      <rc t="1" v="8637"/>
    </bk>
    <bk>
      <rc t="1" v="8638"/>
    </bk>
    <bk>
      <rc t="1" v="8639"/>
    </bk>
    <bk>
      <rc t="1" v="8640"/>
    </bk>
    <bk>
      <rc t="1" v="8641"/>
    </bk>
    <bk>
      <rc t="1" v="8642"/>
    </bk>
    <bk>
      <rc t="1" v="8643"/>
    </bk>
    <bk>
      <rc t="1" v="8644"/>
    </bk>
    <bk>
      <rc t="1" v="8645"/>
    </bk>
    <bk>
      <rc t="1" v="8646"/>
    </bk>
    <bk>
      <rc t="1" v="8647"/>
    </bk>
    <bk>
      <rc t="1" v="8648"/>
    </bk>
    <bk>
      <rc t="1" v="8649"/>
    </bk>
    <bk>
      <rc t="1" v="8650"/>
    </bk>
    <bk>
      <rc t="1" v="8651"/>
    </bk>
    <bk>
      <rc t="1" v="8652"/>
    </bk>
    <bk>
      <rc t="1" v="8653"/>
    </bk>
    <bk>
      <rc t="1" v="8654"/>
    </bk>
    <bk>
      <rc t="1" v="8655"/>
    </bk>
    <bk>
      <rc t="1" v="8656"/>
    </bk>
    <bk>
      <rc t="1" v="8657"/>
    </bk>
    <bk>
      <rc t="1" v="8658"/>
    </bk>
    <bk>
      <rc t="1" v="8659"/>
    </bk>
    <bk>
      <rc t="1" v="8660"/>
    </bk>
    <bk>
      <rc t="1" v="8661"/>
    </bk>
    <bk>
      <rc t="1" v="8662"/>
    </bk>
    <bk>
      <rc t="1" v="8663"/>
    </bk>
    <bk>
      <rc t="1" v="8664"/>
    </bk>
    <bk>
      <rc t="1" v="8665"/>
    </bk>
    <bk>
      <rc t="1" v="8666"/>
    </bk>
    <bk>
      <rc t="1" v="8667"/>
    </bk>
    <bk>
      <rc t="1" v="8668"/>
    </bk>
    <bk>
      <rc t="1" v="8669"/>
    </bk>
    <bk>
      <rc t="1" v="8670"/>
    </bk>
    <bk>
      <rc t="1" v="8671"/>
    </bk>
    <bk>
      <rc t="1" v="8672"/>
    </bk>
    <bk>
      <rc t="1" v="8673"/>
    </bk>
    <bk>
      <rc t="1" v="8674"/>
    </bk>
    <bk>
      <rc t="1" v="8675"/>
    </bk>
    <bk>
      <rc t="1" v="8676"/>
    </bk>
    <bk>
      <rc t="1" v="8677"/>
    </bk>
    <bk>
      <rc t="1" v="8678"/>
    </bk>
    <bk>
      <rc t="1" v="8679"/>
    </bk>
    <bk>
      <rc t="1" v="8680"/>
    </bk>
    <bk>
      <rc t="1" v="8681"/>
    </bk>
    <bk>
      <rc t="1" v="8682"/>
    </bk>
    <bk>
      <rc t="1" v="8683"/>
    </bk>
    <bk>
      <rc t="1" v="8684"/>
    </bk>
    <bk>
      <rc t="1" v="8685"/>
    </bk>
    <bk>
      <rc t="1" v="8686"/>
    </bk>
    <bk>
      <rc t="1" v="8687"/>
    </bk>
    <bk>
      <rc t="1" v="8688"/>
    </bk>
    <bk>
      <rc t="1" v="8689"/>
    </bk>
    <bk>
      <rc t="1" v="8690"/>
    </bk>
    <bk>
      <rc t="1" v="8691"/>
    </bk>
    <bk>
      <rc t="1" v="8692"/>
    </bk>
    <bk>
      <rc t="1" v="8693"/>
    </bk>
    <bk>
      <rc t="1" v="8694"/>
    </bk>
    <bk>
      <rc t="1" v="8695"/>
    </bk>
    <bk>
      <rc t="1" v="8696"/>
    </bk>
    <bk>
      <rc t="1" v="8697"/>
    </bk>
    <bk>
      <rc t="1" v="8698"/>
    </bk>
    <bk>
      <rc t="1" v="8699"/>
    </bk>
    <bk>
      <rc t="1" v="8700"/>
    </bk>
    <bk>
      <rc t="1" v="8701"/>
    </bk>
    <bk>
      <rc t="1" v="8702"/>
    </bk>
    <bk>
      <rc t="1" v="8703"/>
    </bk>
    <bk>
      <rc t="1" v="8704"/>
    </bk>
    <bk>
      <rc t="1" v="8705"/>
    </bk>
    <bk>
      <rc t="1" v="8706"/>
    </bk>
    <bk>
      <rc t="1" v="8707"/>
    </bk>
    <bk>
      <rc t="1" v="8708"/>
    </bk>
    <bk>
      <rc t="1" v="8709"/>
    </bk>
    <bk>
      <rc t="1" v="8710"/>
    </bk>
    <bk>
      <rc t="1" v="8711"/>
    </bk>
    <bk>
      <rc t="1" v="8712"/>
    </bk>
    <bk>
      <rc t="1" v="8713"/>
    </bk>
    <bk>
      <rc t="1" v="8714"/>
    </bk>
    <bk>
      <rc t="1" v="8715"/>
    </bk>
    <bk>
      <rc t="1" v="8716"/>
    </bk>
    <bk>
      <rc t="1" v="8717"/>
    </bk>
    <bk>
      <rc t="1" v="8718"/>
    </bk>
    <bk>
      <rc t="1" v="8719"/>
    </bk>
    <bk>
      <rc t="1" v="8720"/>
    </bk>
    <bk>
      <rc t="1" v="8721"/>
    </bk>
    <bk>
      <rc t="1" v="8722"/>
    </bk>
    <bk>
      <rc t="1" v="8723"/>
    </bk>
    <bk>
      <rc t="1" v="8724"/>
    </bk>
    <bk>
      <rc t="1" v="8725"/>
    </bk>
    <bk>
      <rc t="1" v="8726"/>
    </bk>
    <bk>
      <rc t="1" v="8727"/>
    </bk>
    <bk>
      <rc t="1" v="8728"/>
    </bk>
    <bk>
      <rc t="1" v="8729"/>
    </bk>
    <bk>
      <rc t="1" v="8730"/>
    </bk>
    <bk>
      <rc t="1" v="8731"/>
    </bk>
    <bk>
      <rc t="1" v="8732"/>
    </bk>
    <bk>
      <rc t="1" v="8733"/>
    </bk>
    <bk>
      <rc t="1" v="8734"/>
    </bk>
    <bk>
      <rc t="1" v="8735"/>
    </bk>
    <bk>
      <rc t="1" v="8736"/>
    </bk>
    <bk>
      <rc t="1" v="8737"/>
    </bk>
    <bk>
      <rc t="1" v="8738"/>
    </bk>
    <bk>
      <rc t="1" v="8739"/>
    </bk>
    <bk>
      <rc t="1" v="8740"/>
    </bk>
    <bk>
      <rc t="1" v="8741"/>
    </bk>
    <bk>
      <rc t="1" v="8742"/>
    </bk>
    <bk>
      <rc t="1" v="8743"/>
    </bk>
    <bk>
      <rc t="1" v="8744"/>
    </bk>
    <bk>
      <rc t="1" v="8745"/>
    </bk>
    <bk>
      <rc t="1" v="8746"/>
    </bk>
    <bk>
      <rc t="1" v="8747"/>
    </bk>
    <bk>
      <rc t="1" v="8748"/>
    </bk>
    <bk>
      <rc t="1" v="8749"/>
    </bk>
    <bk>
      <rc t="1" v="8750"/>
    </bk>
    <bk>
      <rc t="1" v="8751"/>
    </bk>
    <bk>
      <rc t="1" v="8752"/>
    </bk>
    <bk>
      <rc t="1" v="8753"/>
    </bk>
    <bk>
      <rc t="1" v="8754"/>
    </bk>
    <bk>
      <rc t="1" v="8755"/>
    </bk>
    <bk>
      <rc t="1" v="8756"/>
    </bk>
    <bk>
      <rc t="1" v="8757"/>
    </bk>
    <bk>
      <rc t="1" v="8758"/>
    </bk>
    <bk>
      <rc t="1" v="8759"/>
    </bk>
    <bk>
      <rc t="1" v="8760"/>
    </bk>
    <bk>
      <rc t="1" v="8761"/>
    </bk>
    <bk>
      <rc t="1" v="8762"/>
    </bk>
    <bk>
      <rc t="1" v="8763"/>
    </bk>
    <bk>
      <rc t="1" v="8764"/>
    </bk>
    <bk>
      <rc t="1" v="8765"/>
    </bk>
    <bk>
      <rc t="1" v="8766"/>
    </bk>
    <bk>
      <rc t="1" v="8767"/>
    </bk>
    <bk>
      <rc t="1" v="8768"/>
    </bk>
    <bk>
      <rc t="1" v="8769"/>
    </bk>
    <bk>
      <rc t="1" v="8770"/>
    </bk>
    <bk>
      <rc t="1" v="8771"/>
    </bk>
    <bk>
      <rc t="1" v="8772"/>
    </bk>
    <bk>
      <rc t="1" v="8773"/>
    </bk>
    <bk>
      <rc t="1" v="8774"/>
    </bk>
    <bk>
      <rc t="1" v="8775"/>
    </bk>
    <bk>
      <rc t="1" v="8776"/>
    </bk>
    <bk>
      <rc t="1" v="8777"/>
    </bk>
    <bk>
      <rc t="1" v="8778"/>
    </bk>
    <bk>
      <rc t="1" v="8779"/>
    </bk>
    <bk>
      <rc t="1" v="8780"/>
    </bk>
    <bk>
      <rc t="1" v="8781"/>
    </bk>
    <bk>
      <rc t="1" v="8782"/>
    </bk>
    <bk>
      <rc t="1" v="8783"/>
    </bk>
    <bk>
      <rc t="1" v="8784"/>
    </bk>
    <bk>
      <rc t="1" v="8785"/>
    </bk>
    <bk>
      <rc t="1" v="8786"/>
    </bk>
    <bk>
      <rc t="1" v="8787"/>
    </bk>
    <bk>
      <rc t="1" v="8788"/>
    </bk>
    <bk>
      <rc t="1" v="8789"/>
    </bk>
    <bk>
      <rc t="1" v="8790"/>
    </bk>
    <bk>
      <rc t="1" v="8791"/>
    </bk>
    <bk>
      <rc t="1" v="8792"/>
    </bk>
    <bk>
      <rc t="1" v="8793"/>
    </bk>
    <bk>
      <rc t="1" v="8794"/>
    </bk>
    <bk>
      <rc t="1" v="8795"/>
    </bk>
    <bk>
      <rc t="1" v="8796"/>
    </bk>
    <bk>
      <rc t="1" v="8797"/>
    </bk>
    <bk>
      <rc t="1" v="8798"/>
    </bk>
    <bk>
      <rc t="1" v="8799"/>
    </bk>
    <bk>
      <rc t="1" v="8800"/>
    </bk>
    <bk>
      <rc t="1" v="8801"/>
    </bk>
    <bk>
      <rc t="1" v="8802"/>
    </bk>
    <bk>
      <rc t="1" v="8803"/>
    </bk>
    <bk>
      <rc t="1" v="8804"/>
    </bk>
    <bk>
      <rc t="1" v="8805"/>
    </bk>
    <bk>
      <rc t="1" v="8806"/>
    </bk>
    <bk>
      <rc t="1" v="8807"/>
    </bk>
    <bk>
      <rc t="1" v="8808"/>
    </bk>
    <bk>
      <rc t="1" v="8809"/>
    </bk>
    <bk>
      <rc t="1" v="8810"/>
    </bk>
    <bk>
      <rc t="1" v="8811"/>
    </bk>
    <bk>
      <rc t="1" v="8812"/>
    </bk>
    <bk>
      <rc t="1" v="8813"/>
    </bk>
    <bk>
      <rc t="1" v="8814"/>
    </bk>
    <bk>
      <rc t="1" v="8815"/>
    </bk>
    <bk>
      <rc t="1" v="8816"/>
    </bk>
    <bk>
      <rc t="1" v="8817"/>
    </bk>
    <bk>
      <rc t="1" v="8818"/>
    </bk>
    <bk>
      <rc t="1" v="8819"/>
    </bk>
    <bk>
      <rc t="1" v="8820"/>
    </bk>
    <bk>
      <rc t="1" v="8821"/>
    </bk>
    <bk>
      <rc t="1" v="8822"/>
    </bk>
    <bk>
      <rc t="1" v="8823"/>
    </bk>
    <bk>
      <rc t="1" v="8824"/>
    </bk>
    <bk>
      <rc t="1" v="8825"/>
    </bk>
    <bk>
      <rc t="1" v="8826"/>
    </bk>
    <bk>
      <rc t="1" v="8827"/>
    </bk>
    <bk>
      <rc t="1" v="8828"/>
    </bk>
    <bk>
      <rc t="1" v="8829"/>
    </bk>
    <bk>
      <rc t="1" v="8830"/>
    </bk>
    <bk>
      <rc t="1" v="8831"/>
    </bk>
    <bk>
      <rc t="1" v="8832"/>
    </bk>
    <bk>
      <rc t="1" v="8833"/>
    </bk>
    <bk>
      <rc t="1" v="8834"/>
    </bk>
    <bk>
      <rc t="1" v="8835"/>
    </bk>
    <bk>
      <rc t="1" v="8836"/>
    </bk>
    <bk>
      <rc t="1" v="8837"/>
    </bk>
    <bk>
      <rc t="1" v="8838"/>
    </bk>
    <bk>
      <rc t="1" v="8839"/>
    </bk>
    <bk>
      <rc t="1" v="8840"/>
    </bk>
    <bk>
      <rc t="1" v="8841"/>
    </bk>
    <bk>
      <rc t="1" v="8842"/>
    </bk>
    <bk>
      <rc t="1" v="8843"/>
    </bk>
    <bk>
      <rc t="1" v="8844"/>
    </bk>
    <bk>
      <rc t="1" v="8845"/>
    </bk>
    <bk>
      <rc t="1" v="8846"/>
    </bk>
    <bk>
      <rc t="1" v="8847"/>
    </bk>
    <bk>
      <rc t="1" v="8848"/>
    </bk>
    <bk>
      <rc t="1" v="8849"/>
    </bk>
    <bk>
      <rc t="1" v="8850"/>
    </bk>
    <bk>
      <rc t="1" v="8851"/>
    </bk>
    <bk>
      <rc t="1" v="8852"/>
    </bk>
    <bk>
      <rc t="1" v="8853"/>
    </bk>
    <bk>
      <rc t="1" v="8854"/>
    </bk>
    <bk>
      <rc t="1" v="8855"/>
    </bk>
    <bk>
      <rc t="1" v="8856"/>
    </bk>
    <bk>
      <rc t="1" v="8857"/>
    </bk>
    <bk>
      <rc t="1" v="8858"/>
    </bk>
    <bk>
      <rc t="1" v="8859"/>
    </bk>
    <bk>
      <rc t="1" v="8860"/>
    </bk>
    <bk>
      <rc t="1" v="8861"/>
    </bk>
    <bk>
      <rc t="1" v="8862"/>
    </bk>
    <bk>
      <rc t="1" v="8863"/>
    </bk>
    <bk>
      <rc t="1" v="8864"/>
    </bk>
    <bk>
      <rc t="1" v="8865"/>
    </bk>
    <bk>
      <rc t="1" v="8866"/>
    </bk>
    <bk>
      <rc t="1" v="8867"/>
    </bk>
    <bk>
      <rc t="1" v="8868"/>
    </bk>
    <bk>
      <rc t="1" v="8869"/>
    </bk>
    <bk>
      <rc t="1" v="8870"/>
    </bk>
    <bk>
      <rc t="1" v="8871"/>
    </bk>
    <bk>
      <rc t="1" v="8872"/>
    </bk>
    <bk>
      <rc t="1" v="8873"/>
    </bk>
    <bk>
      <rc t="1" v="8874"/>
    </bk>
    <bk>
      <rc t="1" v="8875"/>
    </bk>
    <bk>
      <rc t="1" v="8876"/>
    </bk>
    <bk>
      <rc t="1" v="8877"/>
    </bk>
    <bk>
      <rc t="1" v="8878"/>
    </bk>
    <bk>
      <rc t="1" v="8879"/>
    </bk>
    <bk>
      <rc t="1" v="8880"/>
    </bk>
    <bk>
      <rc t="1" v="8881"/>
    </bk>
    <bk>
      <rc t="1" v="8882"/>
    </bk>
    <bk>
      <rc t="1" v="8883"/>
    </bk>
    <bk>
      <rc t="1" v="8884"/>
    </bk>
    <bk>
      <rc t="1" v="8885"/>
    </bk>
    <bk>
      <rc t="1" v="8886"/>
    </bk>
    <bk>
      <rc t="1" v="8887"/>
    </bk>
    <bk>
      <rc t="1" v="8888"/>
    </bk>
    <bk>
      <rc t="1" v="8889"/>
    </bk>
    <bk>
      <rc t="1" v="8890"/>
    </bk>
    <bk>
      <rc t="1" v="8891"/>
    </bk>
    <bk>
      <rc t="1" v="8892"/>
    </bk>
    <bk>
      <rc t="1" v="8893"/>
    </bk>
    <bk>
      <rc t="1" v="8894"/>
    </bk>
    <bk>
      <rc t="1" v="8895"/>
    </bk>
    <bk>
      <rc t="1" v="8896"/>
    </bk>
    <bk>
      <rc t="1" v="8897"/>
    </bk>
    <bk>
      <rc t="1" v="8898"/>
    </bk>
    <bk>
      <rc t="1" v="8899"/>
    </bk>
    <bk>
      <rc t="1" v="8900"/>
    </bk>
    <bk>
      <rc t="1" v="8901"/>
    </bk>
    <bk>
      <rc t="1" v="8902"/>
    </bk>
    <bk>
      <rc t="1" v="8903"/>
    </bk>
    <bk>
      <rc t="1" v="8904"/>
    </bk>
    <bk>
      <rc t="1" v="8905"/>
    </bk>
    <bk>
      <rc t="1" v="8906"/>
    </bk>
    <bk>
      <rc t="1" v="8907"/>
    </bk>
    <bk>
      <rc t="1" v="8908"/>
    </bk>
    <bk>
      <rc t="1" v="8909"/>
    </bk>
    <bk>
      <rc t="1" v="8910"/>
    </bk>
    <bk>
      <rc t="1" v="8911"/>
    </bk>
    <bk>
      <rc t="1" v="8912"/>
    </bk>
    <bk>
      <rc t="1" v="8913"/>
    </bk>
    <bk>
      <rc t="1" v="8914"/>
    </bk>
    <bk>
      <rc t="1" v="8915"/>
    </bk>
    <bk>
      <rc t="1" v="8916"/>
    </bk>
    <bk>
      <rc t="1" v="8917"/>
    </bk>
    <bk>
      <rc t="1" v="8918"/>
    </bk>
    <bk>
      <rc t="1" v="8919"/>
    </bk>
    <bk>
      <rc t="1" v="8920"/>
    </bk>
    <bk>
      <rc t="1" v="8921"/>
    </bk>
    <bk>
      <rc t="1" v="8922"/>
    </bk>
    <bk>
      <rc t="1" v="8923"/>
    </bk>
    <bk>
      <rc t="1" v="8924"/>
    </bk>
    <bk>
      <rc t="1" v="8925"/>
    </bk>
    <bk>
      <rc t="1" v="8926"/>
    </bk>
    <bk>
      <rc t="1" v="8927"/>
    </bk>
    <bk>
      <rc t="1" v="8928"/>
    </bk>
    <bk>
      <rc t="1" v="8929"/>
    </bk>
    <bk>
      <rc t="1" v="8930"/>
    </bk>
    <bk>
      <rc t="1" v="8931"/>
    </bk>
    <bk>
      <rc t="1" v="8932"/>
    </bk>
    <bk>
      <rc t="1" v="8933"/>
    </bk>
    <bk>
      <rc t="1" v="8934"/>
    </bk>
    <bk>
      <rc t="1" v="8935"/>
    </bk>
    <bk>
      <rc t="1" v="8936"/>
    </bk>
    <bk>
      <rc t="1" v="8937"/>
    </bk>
    <bk>
      <rc t="1" v="8938"/>
    </bk>
    <bk>
      <rc t="1" v="8939"/>
    </bk>
    <bk>
      <rc t="1" v="8940"/>
    </bk>
    <bk>
      <rc t="1" v="8941"/>
    </bk>
    <bk>
      <rc t="1" v="8942"/>
    </bk>
    <bk>
      <rc t="1" v="8943"/>
    </bk>
    <bk>
      <rc t="1" v="8944"/>
    </bk>
    <bk>
      <rc t="1" v="8945"/>
    </bk>
    <bk>
      <rc t="1" v="8946"/>
    </bk>
    <bk>
      <rc t="1" v="8947"/>
    </bk>
    <bk>
      <rc t="1" v="8948"/>
    </bk>
    <bk>
      <rc t="1" v="8949"/>
    </bk>
    <bk>
      <rc t="1" v="8950"/>
    </bk>
    <bk>
      <rc t="1" v="8951"/>
    </bk>
    <bk>
      <rc t="1" v="8952"/>
    </bk>
    <bk>
      <rc t="1" v="8953"/>
    </bk>
    <bk>
      <rc t="1" v="8954"/>
    </bk>
    <bk>
      <rc t="1" v="8955"/>
    </bk>
    <bk>
      <rc t="1" v="8956"/>
    </bk>
    <bk>
      <rc t="1" v="8957"/>
    </bk>
    <bk>
      <rc t="1" v="8958"/>
    </bk>
    <bk>
      <rc t="1" v="8959"/>
    </bk>
    <bk>
      <rc t="1" v="8960"/>
    </bk>
    <bk>
      <rc t="1" v="8961"/>
    </bk>
    <bk>
      <rc t="1" v="8962"/>
    </bk>
    <bk>
      <rc t="1" v="8963"/>
    </bk>
    <bk>
      <rc t="1" v="8964"/>
    </bk>
    <bk>
      <rc t="1" v="8965"/>
    </bk>
    <bk>
      <rc t="1" v="8966"/>
    </bk>
    <bk>
      <rc t="1" v="8967"/>
    </bk>
    <bk>
      <rc t="1" v="8968"/>
    </bk>
    <bk>
      <rc t="1" v="8969"/>
    </bk>
    <bk>
      <rc t="1" v="8970"/>
    </bk>
    <bk>
      <rc t="1" v="8971"/>
    </bk>
    <bk>
      <rc t="1" v="8972"/>
    </bk>
    <bk>
      <rc t="1" v="8973"/>
    </bk>
    <bk>
      <rc t="1" v="8974"/>
    </bk>
    <bk>
      <rc t="1" v="8975"/>
    </bk>
    <bk>
      <rc t="1" v="8976"/>
    </bk>
    <bk>
      <rc t="1" v="8977"/>
    </bk>
    <bk>
      <rc t="1" v="8978"/>
    </bk>
    <bk>
      <rc t="1" v="8979"/>
    </bk>
    <bk>
      <rc t="1" v="8980"/>
    </bk>
    <bk>
      <rc t="1" v="8981"/>
    </bk>
    <bk>
      <rc t="1" v="8982"/>
    </bk>
    <bk>
      <rc t="1" v="8983"/>
    </bk>
    <bk>
      <rc t="1" v="8984"/>
    </bk>
    <bk>
      <rc t="1" v="8985"/>
    </bk>
    <bk>
      <rc t="1" v="8986"/>
    </bk>
    <bk>
      <rc t="1" v="8987"/>
    </bk>
    <bk>
      <rc t="1" v="8988"/>
    </bk>
    <bk>
      <rc t="1" v="8989"/>
    </bk>
    <bk>
      <rc t="1" v="8990"/>
    </bk>
    <bk>
      <rc t="1" v="8991"/>
    </bk>
    <bk>
      <rc t="1" v="8992"/>
    </bk>
    <bk>
      <rc t="1" v="8993"/>
    </bk>
    <bk>
      <rc t="1" v="8994"/>
    </bk>
    <bk>
      <rc t="1" v="8995"/>
    </bk>
    <bk>
      <rc t="1" v="8996"/>
    </bk>
    <bk>
      <rc t="1" v="8997"/>
    </bk>
    <bk>
      <rc t="1" v="8998"/>
    </bk>
    <bk>
      <rc t="1" v="8999"/>
    </bk>
    <bk>
      <rc t="1" v="9000"/>
    </bk>
    <bk>
      <rc t="1" v="9001"/>
    </bk>
    <bk>
      <rc t="1" v="9002"/>
    </bk>
    <bk>
      <rc t="1" v="9003"/>
    </bk>
    <bk>
      <rc t="1" v="9004"/>
    </bk>
    <bk>
      <rc t="1" v="9005"/>
    </bk>
    <bk>
      <rc t="1" v="9006"/>
    </bk>
    <bk>
      <rc t="1" v="9007"/>
    </bk>
    <bk>
      <rc t="1" v="9008"/>
    </bk>
    <bk>
      <rc t="1" v="9009"/>
    </bk>
    <bk>
      <rc t="1" v="9010"/>
    </bk>
    <bk>
      <rc t="1" v="9011"/>
    </bk>
    <bk>
      <rc t="1" v="9012"/>
    </bk>
    <bk>
      <rc t="1" v="9013"/>
    </bk>
    <bk>
      <rc t="1" v="9014"/>
    </bk>
    <bk>
      <rc t="1" v="9015"/>
    </bk>
    <bk>
      <rc t="1" v="9016"/>
    </bk>
    <bk>
      <rc t="1" v="9017"/>
    </bk>
    <bk>
      <rc t="1" v="9018"/>
    </bk>
    <bk>
      <rc t="1" v="9019"/>
    </bk>
    <bk>
      <rc t="1" v="9020"/>
    </bk>
    <bk>
      <rc t="1" v="9021"/>
    </bk>
    <bk>
      <rc t="1" v="9022"/>
    </bk>
    <bk>
      <rc t="1" v="9023"/>
    </bk>
    <bk>
      <rc t="1" v="9024"/>
    </bk>
    <bk>
      <rc t="1" v="9025"/>
    </bk>
    <bk>
      <rc t="1" v="9026"/>
    </bk>
    <bk>
      <rc t="1" v="9027"/>
    </bk>
    <bk>
      <rc t="1" v="9028"/>
    </bk>
    <bk>
      <rc t="1" v="9029"/>
    </bk>
    <bk>
      <rc t="1" v="9030"/>
    </bk>
    <bk>
      <rc t="1" v="9031"/>
    </bk>
    <bk>
      <rc t="1" v="9032"/>
    </bk>
    <bk>
      <rc t="1" v="9033"/>
    </bk>
    <bk>
      <rc t="1" v="9034"/>
    </bk>
    <bk>
      <rc t="1" v="9035"/>
    </bk>
    <bk>
      <rc t="1" v="9036"/>
    </bk>
    <bk>
      <rc t="1" v="9037"/>
    </bk>
    <bk>
      <rc t="1" v="9038"/>
    </bk>
    <bk>
      <rc t="1" v="9039"/>
    </bk>
    <bk>
      <rc t="1" v="9040"/>
    </bk>
    <bk>
      <rc t="1" v="9041"/>
    </bk>
    <bk>
      <rc t="1" v="9042"/>
    </bk>
    <bk>
      <rc t="1" v="9043"/>
    </bk>
    <bk>
      <rc t="1" v="9044"/>
    </bk>
    <bk>
      <rc t="1" v="9045"/>
    </bk>
    <bk>
      <rc t="1" v="9046"/>
    </bk>
    <bk>
      <rc t="1" v="9047"/>
    </bk>
    <bk>
      <rc t="1" v="9048"/>
    </bk>
    <bk>
      <rc t="1" v="9049"/>
    </bk>
    <bk>
      <rc t="1" v="9050"/>
    </bk>
    <bk>
      <rc t="1" v="9051"/>
    </bk>
    <bk>
      <rc t="1" v="9052"/>
    </bk>
    <bk>
      <rc t="1" v="9053"/>
    </bk>
    <bk>
      <rc t="1" v="9054"/>
    </bk>
    <bk>
      <rc t="1" v="9055"/>
    </bk>
    <bk>
      <rc t="1" v="9056"/>
    </bk>
    <bk>
      <rc t="1" v="9057"/>
    </bk>
    <bk>
      <rc t="1" v="9058"/>
    </bk>
    <bk>
      <rc t="1" v="9059"/>
    </bk>
    <bk>
      <rc t="1" v="9060"/>
    </bk>
    <bk>
      <rc t="1" v="9061"/>
    </bk>
    <bk>
      <rc t="1" v="9062"/>
    </bk>
    <bk>
      <rc t="1" v="9063"/>
    </bk>
    <bk>
      <rc t="1" v="9064"/>
    </bk>
    <bk>
      <rc t="1" v="9065"/>
    </bk>
    <bk>
      <rc t="1" v="9066"/>
    </bk>
    <bk>
      <rc t="1" v="9067"/>
    </bk>
    <bk>
      <rc t="1" v="9068"/>
    </bk>
    <bk>
      <rc t="1" v="9069"/>
    </bk>
    <bk>
      <rc t="1" v="9070"/>
    </bk>
    <bk>
      <rc t="1" v="9071"/>
    </bk>
    <bk>
      <rc t="1" v="9072"/>
    </bk>
    <bk>
      <rc t="1" v="9073"/>
    </bk>
    <bk>
      <rc t="1" v="9074"/>
    </bk>
    <bk>
      <rc t="1" v="9075"/>
    </bk>
    <bk>
      <rc t="1" v="9076"/>
    </bk>
    <bk>
      <rc t="1" v="9077"/>
    </bk>
    <bk>
      <rc t="1" v="9078"/>
    </bk>
    <bk>
      <rc t="1" v="9079"/>
    </bk>
    <bk>
      <rc t="1" v="9080"/>
    </bk>
    <bk>
      <rc t="1" v="9081"/>
    </bk>
    <bk>
      <rc t="1" v="9082"/>
    </bk>
    <bk>
      <rc t="1" v="9083"/>
    </bk>
    <bk>
      <rc t="1" v="9084"/>
    </bk>
    <bk>
      <rc t="1" v="9085"/>
    </bk>
    <bk>
      <rc t="1" v="9086"/>
    </bk>
    <bk>
      <rc t="1" v="9087"/>
    </bk>
    <bk>
      <rc t="1" v="9088"/>
    </bk>
    <bk>
      <rc t="1" v="9089"/>
    </bk>
    <bk>
      <rc t="1" v="9090"/>
    </bk>
    <bk>
      <rc t="1" v="9091"/>
    </bk>
    <bk>
      <rc t="1" v="9092"/>
    </bk>
    <bk>
      <rc t="1" v="9093"/>
    </bk>
    <bk>
      <rc t="1" v="9094"/>
    </bk>
    <bk>
      <rc t="1" v="9095"/>
    </bk>
    <bk>
      <rc t="1" v="9096"/>
    </bk>
    <bk>
      <rc t="1" v="9097"/>
    </bk>
    <bk>
      <rc t="1" v="9098"/>
    </bk>
    <bk>
      <rc t="1" v="9099"/>
    </bk>
    <bk>
      <rc t="1" v="9100"/>
    </bk>
    <bk>
      <rc t="1" v="9101"/>
    </bk>
    <bk>
      <rc t="1" v="9102"/>
    </bk>
    <bk>
      <rc t="1" v="9103"/>
    </bk>
    <bk>
      <rc t="1" v="9104"/>
    </bk>
    <bk>
      <rc t="1" v="9105"/>
    </bk>
    <bk>
      <rc t="1" v="9106"/>
    </bk>
    <bk>
      <rc t="1" v="9107"/>
    </bk>
    <bk>
      <rc t="1" v="9108"/>
    </bk>
    <bk>
      <rc t="1" v="9109"/>
    </bk>
    <bk>
      <rc t="1" v="9110"/>
    </bk>
    <bk>
      <rc t="1" v="9111"/>
    </bk>
    <bk>
      <rc t="1" v="9112"/>
    </bk>
    <bk>
      <rc t="1" v="9113"/>
    </bk>
    <bk>
      <rc t="1" v="9114"/>
    </bk>
    <bk>
      <rc t="1" v="9115"/>
    </bk>
    <bk>
      <rc t="1" v="9116"/>
    </bk>
    <bk>
      <rc t="1" v="9117"/>
    </bk>
    <bk>
      <rc t="1" v="9118"/>
    </bk>
    <bk>
      <rc t="1" v="9119"/>
    </bk>
    <bk>
      <rc t="1" v="9120"/>
    </bk>
    <bk>
      <rc t="1" v="9121"/>
    </bk>
    <bk>
      <rc t="1" v="9122"/>
    </bk>
    <bk>
      <rc t="1" v="9123"/>
    </bk>
    <bk>
      <rc t="1" v="9124"/>
    </bk>
    <bk>
      <rc t="1" v="9125"/>
    </bk>
    <bk>
      <rc t="1" v="9126"/>
    </bk>
    <bk>
      <rc t="1" v="9127"/>
    </bk>
    <bk>
      <rc t="1" v="9128"/>
    </bk>
    <bk>
      <rc t="1" v="9129"/>
    </bk>
    <bk>
      <rc t="1" v="9130"/>
    </bk>
    <bk>
      <rc t="1" v="9131"/>
    </bk>
    <bk>
      <rc t="1" v="9132"/>
    </bk>
    <bk>
      <rc t="1" v="9133"/>
    </bk>
    <bk>
      <rc t="1" v="9134"/>
    </bk>
    <bk>
      <rc t="1" v="9135"/>
    </bk>
    <bk>
      <rc t="1" v="9136"/>
    </bk>
    <bk>
      <rc t="1" v="9137"/>
    </bk>
    <bk>
      <rc t="1" v="9138"/>
    </bk>
    <bk>
      <rc t="1" v="9139"/>
    </bk>
    <bk>
      <rc t="1" v="9140"/>
    </bk>
    <bk>
      <rc t="1" v="9141"/>
    </bk>
    <bk>
      <rc t="1" v="9142"/>
    </bk>
    <bk>
      <rc t="1" v="9143"/>
    </bk>
    <bk>
      <rc t="1" v="9144"/>
    </bk>
    <bk>
      <rc t="1" v="9145"/>
    </bk>
    <bk>
      <rc t="1" v="9146"/>
    </bk>
    <bk>
      <rc t="1" v="9147"/>
    </bk>
    <bk>
      <rc t="1" v="9148"/>
    </bk>
    <bk>
      <rc t="1" v="9149"/>
    </bk>
    <bk>
      <rc t="1" v="9150"/>
    </bk>
    <bk>
      <rc t="1" v="9151"/>
    </bk>
    <bk>
      <rc t="1" v="9152"/>
    </bk>
    <bk>
      <rc t="1" v="9153"/>
    </bk>
    <bk>
      <rc t="1" v="9154"/>
    </bk>
    <bk>
      <rc t="1" v="9155"/>
    </bk>
    <bk>
      <rc t="1" v="9156"/>
    </bk>
    <bk>
      <rc t="1" v="9157"/>
    </bk>
    <bk>
      <rc t="1" v="9158"/>
    </bk>
    <bk>
      <rc t="1" v="9159"/>
    </bk>
    <bk>
      <rc t="1" v="9160"/>
    </bk>
    <bk>
      <rc t="1" v="9161"/>
    </bk>
    <bk>
      <rc t="1" v="9162"/>
    </bk>
    <bk>
      <rc t="1" v="9163"/>
    </bk>
    <bk>
      <rc t="1" v="9164"/>
    </bk>
    <bk>
      <rc t="1" v="9165"/>
    </bk>
    <bk>
      <rc t="1" v="9166"/>
    </bk>
    <bk>
      <rc t="1" v="9167"/>
    </bk>
    <bk>
      <rc t="1" v="9168"/>
    </bk>
    <bk>
      <rc t="1" v="9169"/>
    </bk>
    <bk>
      <rc t="1" v="9170"/>
    </bk>
    <bk>
      <rc t="1" v="9171"/>
    </bk>
    <bk>
      <rc t="1" v="9172"/>
    </bk>
    <bk>
      <rc t="1" v="9173"/>
    </bk>
    <bk>
      <rc t="1" v="9174"/>
    </bk>
    <bk>
      <rc t="1" v="9175"/>
    </bk>
    <bk>
      <rc t="1" v="9176"/>
    </bk>
    <bk>
      <rc t="1" v="9177"/>
    </bk>
    <bk>
      <rc t="1" v="9178"/>
    </bk>
    <bk>
      <rc t="1" v="9179"/>
    </bk>
    <bk>
      <rc t="1" v="9180"/>
    </bk>
    <bk>
      <rc t="1" v="9181"/>
    </bk>
    <bk>
      <rc t="1" v="9182"/>
    </bk>
    <bk>
      <rc t="1" v="9183"/>
    </bk>
    <bk>
      <rc t="1" v="9184"/>
    </bk>
    <bk>
      <rc t="1" v="9185"/>
    </bk>
    <bk>
      <rc t="1" v="9186"/>
    </bk>
    <bk>
      <rc t="1" v="9187"/>
    </bk>
    <bk>
      <rc t="1" v="9188"/>
    </bk>
    <bk>
      <rc t="1" v="9189"/>
    </bk>
    <bk>
      <rc t="1" v="9190"/>
    </bk>
    <bk>
      <rc t="1" v="9191"/>
    </bk>
    <bk>
      <rc t="1" v="9192"/>
    </bk>
    <bk>
      <rc t="1" v="9193"/>
    </bk>
    <bk>
      <rc t="1" v="9194"/>
    </bk>
    <bk>
      <rc t="1" v="9195"/>
    </bk>
    <bk>
      <rc t="1" v="9196"/>
    </bk>
    <bk>
      <rc t="1" v="9197"/>
    </bk>
    <bk>
      <rc t="1" v="9198"/>
    </bk>
    <bk>
      <rc t="1" v="9199"/>
    </bk>
    <bk>
      <rc t="1" v="9200"/>
    </bk>
    <bk>
      <rc t="1" v="9201"/>
    </bk>
    <bk>
      <rc t="1" v="9202"/>
    </bk>
    <bk>
      <rc t="1" v="9203"/>
    </bk>
    <bk>
      <rc t="1" v="9204"/>
    </bk>
    <bk>
      <rc t="1" v="9205"/>
    </bk>
    <bk>
      <rc t="1" v="9206"/>
    </bk>
    <bk>
      <rc t="1" v="9207"/>
    </bk>
    <bk>
      <rc t="1" v="9208"/>
    </bk>
    <bk>
      <rc t="1" v="9209"/>
    </bk>
    <bk>
      <rc t="1" v="9210"/>
    </bk>
    <bk>
      <rc t="1" v="9211"/>
    </bk>
    <bk>
      <rc t="1" v="9212"/>
    </bk>
    <bk>
      <rc t="1" v="9213"/>
    </bk>
    <bk>
      <rc t="1" v="9214"/>
    </bk>
    <bk>
      <rc t="1" v="9215"/>
    </bk>
    <bk>
      <rc t="1" v="9216"/>
    </bk>
    <bk>
      <rc t="1" v="9217"/>
    </bk>
    <bk>
      <rc t="1" v="9218"/>
    </bk>
    <bk>
      <rc t="1" v="9219"/>
    </bk>
    <bk>
      <rc t="1" v="9220"/>
    </bk>
    <bk>
      <rc t="1" v="9221"/>
    </bk>
    <bk>
      <rc t="1" v="9222"/>
    </bk>
    <bk>
      <rc t="1" v="9223"/>
    </bk>
    <bk>
      <rc t="1" v="9224"/>
    </bk>
    <bk>
      <rc t="1" v="9225"/>
    </bk>
    <bk>
      <rc t="1" v="9226"/>
    </bk>
    <bk>
      <rc t="1" v="9227"/>
    </bk>
    <bk>
      <rc t="1" v="9228"/>
    </bk>
    <bk>
      <rc t="1" v="9229"/>
    </bk>
    <bk>
      <rc t="1" v="9230"/>
    </bk>
    <bk>
      <rc t="1" v="9231"/>
    </bk>
    <bk>
      <rc t="1" v="9232"/>
    </bk>
    <bk>
      <rc t="1" v="9233"/>
    </bk>
    <bk>
      <rc t="1" v="9234"/>
    </bk>
    <bk>
      <rc t="1" v="9235"/>
    </bk>
    <bk>
      <rc t="1" v="9236"/>
    </bk>
    <bk>
      <rc t="1" v="9237"/>
    </bk>
    <bk>
      <rc t="1" v="9238"/>
    </bk>
    <bk>
      <rc t="1" v="9239"/>
    </bk>
    <bk>
      <rc t="1" v="9240"/>
    </bk>
    <bk>
      <rc t="1" v="9241"/>
    </bk>
    <bk>
      <rc t="1" v="9242"/>
    </bk>
    <bk>
      <rc t="1" v="9243"/>
    </bk>
    <bk>
      <rc t="1" v="9244"/>
    </bk>
    <bk>
      <rc t="1" v="9245"/>
    </bk>
    <bk>
      <rc t="1" v="9246"/>
    </bk>
    <bk>
      <rc t="1" v="9247"/>
    </bk>
    <bk>
      <rc t="1" v="9248"/>
    </bk>
    <bk>
      <rc t="1" v="9249"/>
    </bk>
    <bk>
      <rc t="1" v="9250"/>
    </bk>
    <bk>
      <rc t="1" v="9251"/>
    </bk>
    <bk>
      <rc t="1" v="9252"/>
    </bk>
    <bk>
      <rc t="1" v="9253"/>
    </bk>
    <bk>
      <rc t="1" v="9254"/>
    </bk>
    <bk>
      <rc t="1" v="9255"/>
    </bk>
    <bk>
      <rc t="1" v="9256"/>
    </bk>
    <bk>
      <rc t="1" v="9257"/>
    </bk>
    <bk>
      <rc t="1" v="9258"/>
    </bk>
    <bk>
      <rc t="1" v="9259"/>
    </bk>
    <bk>
      <rc t="1" v="9260"/>
    </bk>
    <bk>
      <rc t="1" v="9261"/>
    </bk>
    <bk>
      <rc t="1" v="9262"/>
    </bk>
    <bk>
      <rc t="1" v="9263"/>
    </bk>
    <bk>
      <rc t="1" v="9264"/>
    </bk>
    <bk>
      <rc t="1" v="9265"/>
    </bk>
    <bk>
      <rc t="1" v="9266"/>
    </bk>
    <bk>
      <rc t="1" v="9267"/>
    </bk>
    <bk>
      <rc t="1" v="9268"/>
    </bk>
    <bk>
      <rc t="1" v="9269"/>
    </bk>
    <bk>
      <rc t="1" v="9270"/>
    </bk>
    <bk>
      <rc t="1" v="9271"/>
    </bk>
    <bk>
      <rc t="1" v="9272"/>
    </bk>
    <bk>
      <rc t="1" v="9273"/>
    </bk>
    <bk>
      <rc t="1" v="9274"/>
    </bk>
    <bk>
      <rc t="1" v="9275"/>
    </bk>
    <bk>
      <rc t="1" v="9276"/>
    </bk>
    <bk>
      <rc t="1" v="9277"/>
    </bk>
    <bk>
      <rc t="1" v="9278"/>
    </bk>
    <bk>
      <rc t="1" v="9279"/>
    </bk>
    <bk>
      <rc t="1" v="9280"/>
    </bk>
    <bk>
      <rc t="1" v="9281"/>
    </bk>
    <bk>
      <rc t="1" v="9282"/>
    </bk>
    <bk>
      <rc t="1" v="9283"/>
    </bk>
    <bk>
      <rc t="1" v="9284"/>
    </bk>
    <bk>
      <rc t="1" v="9285"/>
    </bk>
    <bk>
      <rc t="1" v="9286"/>
    </bk>
    <bk>
      <rc t="1" v="9287"/>
    </bk>
    <bk>
      <rc t="1" v="9288"/>
    </bk>
    <bk>
      <rc t="1" v="9289"/>
    </bk>
    <bk>
      <rc t="1" v="9290"/>
    </bk>
    <bk>
      <rc t="1" v="9291"/>
    </bk>
    <bk>
      <rc t="1" v="9292"/>
    </bk>
    <bk>
      <rc t="1" v="9293"/>
    </bk>
    <bk>
      <rc t="1" v="9294"/>
    </bk>
    <bk>
      <rc t="1" v="9295"/>
    </bk>
    <bk>
      <rc t="1" v="9296"/>
    </bk>
    <bk>
      <rc t="1" v="9297"/>
    </bk>
    <bk>
      <rc t="1" v="9298"/>
    </bk>
    <bk>
      <rc t="1" v="9299"/>
    </bk>
    <bk>
      <rc t="1" v="9300"/>
    </bk>
    <bk>
      <rc t="1" v="9301"/>
    </bk>
    <bk>
      <rc t="1" v="9302"/>
    </bk>
    <bk>
      <rc t="1" v="9303"/>
    </bk>
    <bk>
      <rc t="1" v="9304"/>
    </bk>
    <bk>
      <rc t="1" v="9305"/>
    </bk>
    <bk>
      <rc t="1" v="9306"/>
    </bk>
    <bk>
      <rc t="1" v="9307"/>
    </bk>
    <bk>
      <rc t="1" v="9308"/>
    </bk>
    <bk>
      <rc t="1" v="9309"/>
    </bk>
    <bk>
      <rc t="1" v="9310"/>
    </bk>
    <bk>
      <rc t="1" v="9311"/>
    </bk>
    <bk>
      <rc t="1" v="9312"/>
    </bk>
    <bk>
      <rc t="1" v="9313"/>
    </bk>
    <bk>
      <rc t="1" v="9314"/>
    </bk>
    <bk>
      <rc t="1" v="9315"/>
    </bk>
    <bk>
      <rc t="1" v="9316"/>
    </bk>
    <bk>
      <rc t="1" v="9317"/>
    </bk>
    <bk>
      <rc t="1" v="9318"/>
    </bk>
    <bk>
      <rc t="1" v="9319"/>
    </bk>
    <bk>
      <rc t="1" v="9320"/>
    </bk>
    <bk>
      <rc t="1" v="9321"/>
    </bk>
    <bk>
      <rc t="1" v="9322"/>
    </bk>
    <bk>
      <rc t="1" v="9323"/>
    </bk>
    <bk>
      <rc t="1" v="9324"/>
    </bk>
    <bk>
      <rc t="1" v="9325"/>
    </bk>
    <bk>
      <rc t="1" v="9326"/>
    </bk>
    <bk>
      <rc t="1" v="9327"/>
    </bk>
    <bk>
      <rc t="1" v="9328"/>
    </bk>
    <bk>
      <rc t="1" v="9329"/>
    </bk>
    <bk>
      <rc t="1" v="9330"/>
    </bk>
    <bk>
      <rc t="1" v="9331"/>
    </bk>
    <bk>
      <rc t="1" v="9332"/>
    </bk>
    <bk>
      <rc t="1" v="9333"/>
    </bk>
    <bk>
      <rc t="1" v="9334"/>
    </bk>
    <bk>
      <rc t="1" v="9335"/>
    </bk>
    <bk>
      <rc t="1" v="9336"/>
    </bk>
    <bk>
      <rc t="1" v="9337"/>
    </bk>
    <bk>
      <rc t="1" v="9338"/>
    </bk>
    <bk>
      <rc t="1" v="9339"/>
    </bk>
    <bk>
      <rc t="1" v="9340"/>
    </bk>
    <bk>
      <rc t="1" v="9341"/>
    </bk>
    <bk>
      <rc t="1" v="9342"/>
    </bk>
    <bk>
      <rc t="1" v="9343"/>
    </bk>
    <bk>
      <rc t="1" v="9344"/>
    </bk>
    <bk>
      <rc t="1" v="9345"/>
    </bk>
    <bk>
      <rc t="1" v="9346"/>
    </bk>
    <bk>
      <rc t="1" v="9347"/>
    </bk>
    <bk>
      <rc t="1" v="9348"/>
    </bk>
    <bk>
      <rc t="1" v="9349"/>
    </bk>
    <bk>
      <rc t="1" v="9350"/>
    </bk>
    <bk>
      <rc t="1" v="9351"/>
    </bk>
    <bk>
      <rc t="1" v="9352"/>
    </bk>
    <bk>
      <rc t="1" v="9353"/>
    </bk>
    <bk>
      <rc t="1" v="9354"/>
    </bk>
    <bk>
      <rc t="1" v="9355"/>
    </bk>
    <bk>
      <rc t="1" v="9356"/>
    </bk>
    <bk>
      <rc t="1" v="9357"/>
    </bk>
    <bk>
      <rc t="1" v="9358"/>
    </bk>
    <bk>
      <rc t="1" v="9359"/>
    </bk>
    <bk>
      <rc t="1" v="9360"/>
    </bk>
    <bk>
      <rc t="1" v="9361"/>
    </bk>
    <bk>
      <rc t="1" v="9362"/>
    </bk>
    <bk>
      <rc t="1" v="9363"/>
    </bk>
    <bk>
      <rc t="1" v="9364"/>
    </bk>
    <bk>
      <rc t="1" v="9365"/>
    </bk>
    <bk>
      <rc t="1" v="9366"/>
    </bk>
    <bk>
      <rc t="1" v="9367"/>
    </bk>
    <bk>
      <rc t="1" v="9368"/>
    </bk>
    <bk>
      <rc t="1" v="9369"/>
    </bk>
    <bk>
      <rc t="1" v="9370"/>
    </bk>
    <bk>
      <rc t="1" v="9371"/>
    </bk>
    <bk>
      <rc t="1" v="9372"/>
    </bk>
    <bk>
      <rc t="1" v="9373"/>
    </bk>
    <bk>
      <rc t="1" v="9374"/>
    </bk>
    <bk>
      <rc t="1" v="9375"/>
    </bk>
    <bk>
      <rc t="1" v="9376"/>
    </bk>
    <bk>
      <rc t="1" v="9377"/>
    </bk>
    <bk>
      <rc t="1" v="9378"/>
    </bk>
    <bk>
      <rc t="1" v="9379"/>
    </bk>
    <bk>
      <rc t="1" v="9380"/>
    </bk>
    <bk>
      <rc t="1" v="9381"/>
    </bk>
    <bk>
      <rc t="1" v="9382"/>
    </bk>
    <bk>
      <rc t="1" v="9383"/>
    </bk>
    <bk>
      <rc t="1" v="9384"/>
    </bk>
    <bk>
      <rc t="1" v="9385"/>
    </bk>
    <bk>
      <rc t="1" v="9386"/>
    </bk>
    <bk>
      <rc t="1" v="9387"/>
    </bk>
    <bk>
      <rc t="1" v="9388"/>
    </bk>
    <bk>
      <rc t="1" v="9389"/>
    </bk>
    <bk>
      <rc t="1" v="9390"/>
    </bk>
    <bk>
      <rc t="1" v="9391"/>
    </bk>
    <bk>
      <rc t="1" v="9392"/>
    </bk>
    <bk>
      <rc t="1" v="9393"/>
    </bk>
    <bk>
      <rc t="1" v="9394"/>
    </bk>
    <bk>
      <rc t="1" v="9395"/>
    </bk>
    <bk>
      <rc t="1" v="9396"/>
    </bk>
    <bk>
      <rc t="1" v="9397"/>
    </bk>
    <bk>
      <rc t="1" v="9398"/>
    </bk>
    <bk>
      <rc t="1" v="9399"/>
    </bk>
    <bk>
      <rc t="1" v="9400"/>
    </bk>
    <bk>
      <rc t="1" v="9401"/>
    </bk>
    <bk>
      <rc t="1" v="9402"/>
    </bk>
    <bk>
      <rc t="1" v="9403"/>
    </bk>
    <bk>
      <rc t="1" v="9404"/>
    </bk>
    <bk>
      <rc t="1" v="9405"/>
    </bk>
    <bk>
      <rc t="1" v="9406"/>
    </bk>
    <bk>
      <rc t="1" v="9407"/>
    </bk>
    <bk>
      <rc t="1" v="9408"/>
    </bk>
    <bk>
      <rc t="1" v="9409"/>
    </bk>
    <bk>
      <rc t="1" v="9410"/>
    </bk>
    <bk>
      <rc t="1" v="9411"/>
    </bk>
    <bk>
      <rc t="1" v="9412"/>
    </bk>
    <bk>
      <rc t="1" v="9413"/>
    </bk>
    <bk>
      <rc t="1" v="9414"/>
    </bk>
    <bk>
      <rc t="1" v="9415"/>
    </bk>
    <bk>
      <rc t="1" v="9416"/>
    </bk>
    <bk>
      <rc t="1" v="9417"/>
    </bk>
    <bk>
      <rc t="1" v="9418"/>
    </bk>
    <bk>
      <rc t="1" v="9419"/>
    </bk>
    <bk>
      <rc t="1" v="9420"/>
    </bk>
    <bk>
      <rc t="1" v="9421"/>
    </bk>
    <bk>
      <rc t="1" v="9422"/>
    </bk>
    <bk>
      <rc t="1" v="9423"/>
    </bk>
    <bk>
      <rc t="1" v="9424"/>
    </bk>
    <bk>
      <rc t="1" v="9425"/>
    </bk>
    <bk>
      <rc t="1" v="9426"/>
    </bk>
    <bk>
      <rc t="1" v="9427"/>
    </bk>
    <bk>
      <rc t="1" v="9428"/>
    </bk>
    <bk>
      <rc t="1" v="9429"/>
    </bk>
    <bk>
      <rc t="1" v="9430"/>
    </bk>
    <bk>
      <rc t="1" v="9431"/>
    </bk>
    <bk>
      <rc t="1" v="9432"/>
    </bk>
    <bk>
      <rc t="1" v="9433"/>
    </bk>
    <bk>
      <rc t="1" v="9434"/>
    </bk>
    <bk>
      <rc t="1" v="9435"/>
    </bk>
    <bk>
      <rc t="1" v="9436"/>
    </bk>
    <bk>
      <rc t="1" v="9437"/>
    </bk>
    <bk>
      <rc t="1" v="9438"/>
    </bk>
    <bk>
      <rc t="1" v="9439"/>
    </bk>
    <bk>
      <rc t="1" v="9440"/>
    </bk>
    <bk>
      <rc t="1" v="9441"/>
    </bk>
    <bk>
      <rc t="1" v="9442"/>
    </bk>
    <bk>
      <rc t="1" v="9443"/>
    </bk>
    <bk>
      <rc t="1" v="9444"/>
    </bk>
    <bk>
      <rc t="1" v="9445"/>
    </bk>
    <bk>
      <rc t="1" v="9446"/>
    </bk>
    <bk>
      <rc t="1" v="9447"/>
    </bk>
    <bk>
      <rc t="1" v="9448"/>
    </bk>
    <bk>
      <rc t="1" v="9449"/>
    </bk>
    <bk>
      <rc t="1" v="9450"/>
    </bk>
    <bk>
      <rc t="1" v="9451"/>
    </bk>
    <bk>
      <rc t="1" v="9452"/>
    </bk>
    <bk>
      <rc t="1" v="9453"/>
    </bk>
    <bk>
      <rc t="1" v="9454"/>
    </bk>
    <bk>
      <rc t="1" v="9455"/>
    </bk>
    <bk>
      <rc t="1" v="9456"/>
    </bk>
    <bk>
      <rc t="1" v="9457"/>
    </bk>
    <bk>
      <rc t="1" v="9458"/>
    </bk>
    <bk>
      <rc t="1" v="9459"/>
    </bk>
    <bk>
      <rc t="1" v="9460"/>
    </bk>
    <bk>
      <rc t="1" v="9461"/>
    </bk>
    <bk>
      <rc t="1" v="9462"/>
    </bk>
    <bk>
      <rc t="1" v="9463"/>
    </bk>
    <bk>
      <rc t="1" v="9464"/>
    </bk>
    <bk>
      <rc t="1" v="9465"/>
    </bk>
    <bk>
      <rc t="1" v="9466"/>
    </bk>
    <bk>
      <rc t="1" v="9467"/>
    </bk>
    <bk>
      <rc t="1" v="9468"/>
    </bk>
    <bk>
      <rc t="1" v="9469"/>
    </bk>
    <bk>
      <rc t="1" v="9470"/>
    </bk>
    <bk>
      <rc t="1" v="9471"/>
    </bk>
    <bk>
      <rc t="1" v="9472"/>
    </bk>
    <bk>
      <rc t="1" v="9473"/>
    </bk>
    <bk>
      <rc t="1" v="9474"/>
    </bk>
    <bk>
      <rc t="1" v="9475"/>
    </bk>
    <bk>
      <rc t="1" v="9476"/>
    </bk>
    <bk>
      <rc t="1" v="9477"/>
    </bk>
    <bk>
      <rc t="1" v="9478"/>
    </bk>
    <bk>
      <rc t="1" v="9479"/>
    </bk>
    <bk>
      <rc t="1" v="9480"/>
    </bk>
    <bk>
      <rc t="1" v="9481"/>
    </bk>
    <bk>
      <rc t="1" v="9482"/>
    </bk>
    <bk>
      <rc t="1" v="9483"/>
    </bk>
    <bk>
      <rc t="1" v="9484"/>
    </bk>
    <bk>
      <rc t="1" v="9485"/>
    </bk>
    <bk>
      <rc t="1" v="9486"/>
    </bk>
    <bk>
      <rc t="1" v="9487"/>
    </bk>
    <bk>
      <rc t="1" v="9488"/>
    </bk>
    <bk>
      <rc t="1" v="9489"/>
    </bk>
    <bk>
      <rc t="1" v="9490"/>
    </bk>
    <bk>
      <rc t="1" v="9491"/>
    </bk>
    <bk>
      <rc t="1" v="9492"/>
    </bk>
    <bk>
      <rc t="1" v="9493"/>
    </bk>
    <bk>
      <rc t="1" v="9494"/>
    </bk>
    <bk>
      <rc t="1" v="9495"/>
    </bk>
    <bk>
      <rc t="1" v="9496"/>
    </bk>
    <bk>
      <rc t="1" v="9497"/>
    </bk>
    <bk>
      <rc t="1" v="9498"/>
    </bk>
    <bk>
      <rc t="1" v="9499"/>
    </bk>
    <bk>
      <rc t="1" v="9500"/>
    </bk>
    <bk>
      <rc t="1" v="9501"/>
    </bk>
    <bk>
      <rc t="1" v="9502"/>
    </bk>
    <bk>
      <rc t="1" v="9503"/>
    </bk>
    <bk>
      <rc t="1" v="9504"/>
    </bk>
    <bk>
      <rc t="1" v="9505"/>
    </bk>
    <bk>
      <rc t="1" v="9506"/>
    </bk>
    <bk>
      <rc t="1" v="9507"/>
    </bk>
    <bk>
      <rc t="1" v="9508"/>
    </bk>
    <bk>
      <rc t="1" v="9509"/>
    </bk>
    <bk>
      <rc t="1" v="9510"/>
    </bk>
    <bk>
      <rc t="1" v="9511"/>
    </bk>
    <bk>
      <rc t="1" v="9512"/>
    </bk>
    <bk>
      <rc t="1" v="9513"/>
    </bk>
    <bk>
      <rc t="1" v="9514"/>
    </bk>
    <bk>
      <rc t="1" v="9515"/>
    </bk>
    <bk>
      <rc t="1" v="9516"/>
    </bk>
    <bk>
      <rc t="1" v="9517"/>
    </bk>
    <bk>
      <rc t="1" v="9518"/>
    </bk>
    <bk>
      <rc t="1" v="9519"/>
    </bk>
    <bk>
      <rc t="1" v="9520"/>
    </bk>
    <bk>
      <rc t="1" v="9521"/>
    </bk>
    <bk>
      <rc t="1" v="9522"/>
    </bk>
    <bk>
      <rc t="1" v="9523"/>
    </bk>
    <bk>
      <rc t="1" v="9524"/>
    </bk>
    <bk>
      <rc t="1" v="9525"/>
    </bk>
    <bk>
      <rc t="1" v="9526"/>
    </bk>
    <bk>
      <rc t="1" v="9527"/>
    </bk>
    <bk>
      <rc t="1" v="9528"/>
    </bk>
    <bk>
      <rc t="1" v="9529"/>
    </bk>
    <bk>
      <rc t="1" v="9530"/>
    </bk>
    <bk>
      <rc t="1" v="9531"/>
    </bk>
    <bk>
      <rc t="1" v="9532"/>
    </bk>
    <bk>
      <rc t="1" v="9533"/>
    </bk>
    <bk>
      <rc t="1" v="9534"/>
    </bk>
    <bk>
      <rc t="1" v="9535"/>
    </bk>
    <bk>
      <rc t="1" v="9536"/>
    </bk>
    <bk>
      <rc t="1" v="9537"/>
    </bk>
    <bk>
      <rc t="1" v="9538"/>
    </bk>
    <bk>
      <rc t="1" v="9539"/>
    </bk>
    <bk>
      <rc t="1" v="9540"/>
    </bk>
    <bk>
      <rc t="1" v="9541"/>
    </bk>
    <bk>
      <rc t="1" v="9542"/>
    </bk>
    <bk>
      <rc t="1" v="9543"/>
    </bk>
    <bk>
      <rc t="1" v="9544"/>
    </bk>
    <bk>
      <rc t="1" v="9545"/>
    </bk>
    <bk>
      <rc t="1" v="9546"/>
    </bk>
    <bk>
      <rc t="1" v="9547"/>
    </bk>
    <bk>
      <rc t="1" v="9548"/>
    </bk>
    <bk>
      <rc t="1" v="9549"/>
    </bk>
    <bk>
      <rc t="1" v="9550"/>
    </bk>
    <bk>
      <rc t="1" v="9551"/>
    </bk>
    <bk>
      <rc t="1" v="9552"/>
    </bk>
    <bk>
      <rc t="1" v="9553"/>
    </bk>
    <bk>
      <rc t="1" v="9554"/>
    </bk>
    <bk>
      <rc t="1" v="9555"/>
    </bk>
    <bk>
      <rc t="1" v="9556"/>
    </bk>
    <bk>
      <rc t="1" v="9557"/>
    </bk>
    <bk>
      <rc t="1" v="9558"/>
    </bk>
    <bk>
      <rc t="1" v="9559"/>
    </bk>
    <bk>
      <rc t="1" v="9560"/>
    </bk>
    <bk>
      <rc t="1" v="9561"/>
    </bk>
    <bk>
      <rc t="1" v="9562"/>
    </bk>
    <bk>
      <rc t="1" v="9563"/>
    </bk>
    <bk>
      <rc t="1" v="9564"/>
    </bk>
    <bk>
      <rc t="1" v="9565"/>
    </bk>
    <bk>
      <rc t="1" v="9566"/>
    </bk>
    <bk>
      <rc t="1" v="9567"/>
    </bk>
    <bk>
      <rc t="1" v="9568"/>
    </bk>
    <bk>
      <rc t="1" v="9569"/>
    </bk>
    <bk>
      <rc t="1" v="9570"/>
    </bk>
    <bk>
      <rc t="1" v="9571"/>
    </bk>
    <bk>
      <rc t="1" v="9572"/>
    </bk>
    <bk>
      <rc t="1" v="9573"/>
    </bk>
    <bk>
      <rc t="1" v="9574"/>
    </bk>
    <bk>
      <rc t="1" v="9575"/>
    </bk>
    <bk>
      <rc t="1" v="9576"/>
    </bk>
    <bk>
      <rc t="1" v="9577"/>
    </bk>
    <bk>
      <rc t="1" v="9578"/>
    </bk>
    <bk>
      <rc t="1" v="9579"/>
    </bk>
    <bk>
      <rc t="1" v="9580"/>
    </bk>
    <bk>
      <rc t="1" v="9581"/>
    </bk>
    <bk>
      <rc t="1" v="9582"/>
    </bk>
    <bk>
      <rc t="1" v="9583"/>
    </bk>
    <bk>
      <rc t="1" v="9584"/>
    </bk>
    <bk>
      <rc t="1" v="9585"/>
    </bk>
    <bk>
      <rc t="1" v="9586"/>
    </bk>
    <bk>
      <rc t="1" v="9587"/>
    </bk>
    <bk>
      <rc t="1" v="9588"/>
    </bk>
    <bk>
      <rc t="1" v="9589"/>
    </bk>
    <bk>
      <rc t="1" v="9590"/>
    </bk>
    <bk>
      <rc t="1" v="9591"/>
    </bk>
    <bk>
      <rc t="1" v="9592"/>
    </bk>
    <bk>
      <rc t="1" v="9593"/>
    </bk>
    <bk>
      <rc t="1" v="9594"/>
    </bk>
    <bk>
      <rc t="1" v="9595"/>
    </bk>
    <bk>
      <rc t="1" v="9596"/>
    </bk>
    <bk>
      <rc t="1" v="9597"/>
    </bk>
    <bk>
      <rc t="1" v="9598"/>
    </bk>
    <bk>
      <rc t="1" v="9599"/>
    </bk>
    <bk>
      <rc t="1" v="9600"/>
    </bk>
    <bk>
      <rc t="1" v="9601"/>
    </bk>
    <bk>
      <rc t="1" v="9602"/>
    </bk>
    <bk>
      <rc t="1" v="9603"/>
    </bk>
    <bk>
      <rc t="1" v="9604"/>
    </bk>
    <bk>
      <rc t="1" v="9605"/>
    </bk>
    <bk>
      <rc t="1" v="9606"/>
    </bk>
    <bk>
      <rc t="1" v="9607"/>
    </bk>
    <bk>
      <rc t="1" v="9608"/>
    </bk>
    <bk>
      <rc t="1" v="9609"/>
    </bk>
    <bk>
      <rc t="1" v="9610"/>
    </bk>
    <bk>
      <rc t="1" v="9611"/>
    </bk>
    <bk>
      <rc t="1" v="9612"/>
    </bk>
    <bk>
      <rc t="1" v="9613"/>
    </bk>
    <bk>
      <rc t="1" v="9614"/>
    </bk>
    <bk>
      <rc t="1" v="9615"/>
    </bk>
    <bk>
      <rc t="1" v="9616"/>
    </bk>
    <bk>
      <rc t="1" v="9617"/>
    </bk>
    <bk>
      <rc t="1" v="9618"/>
    </bk>
    <bk>
      <rc t="1" v="9619"/>
    </bk>
    <bk>
      <rc t="1" v="9620"/>
    </bk>
    <bk>
      <rc t="1" v="9621"/>
    </bk>
    <bk>
      <rc t="1" v="9622"/>
    </bk>
    <bk>
      <rc t="1" v="9623"/>
    </bk>
    <bk>
      <rc t="1" v="9624"/>
    </bk>
    <bk>
      <rc t="1" v="9625"/>
    </bk>
    <bk>
      <rc t="1" v="9626"/>
    </bk>
    <bk>
      <rc t="1" v="9627"/>
    </bk>
    <bk>
      <rc t="1" v="9628"/>
    </bk>
    <bk>
      <rc t="1" v="9629"/>
    </bk>
    <bk>
      <rc t="1" v="9630"/>
    </bk>
    <bk>
      <rc t="1" v="9631"/>
    </bk>
    <bk>
      <rc t="1" v="9632"/>
    </bk>
    <bk>
      <rc t="1" v="9633"/>
    </bk>
    <bk>
      <rc t="1" v="9634"/>
    </bk>
    <bk>
      <rc t="1" v="9635"/>
    </bk>
    <bk>
      <rc t="1" v="9636"/>
    </bk>
    <bk>
      <rc t="1" v="9637"/>
    </bk>
    <bk>
      <rc t="1" v="9638"/>
    </bk>
    <bk>
      <rc t="1" v="9639"/>
    </bk>
    <bk>
      <rc t="1" v="9640"/>
    </bk>
    <bk>
      <rc t="1" v="9641"/>
    </bk>
    <bk>
      <rc t="1" v="9642"/>
    </bk>
    <bk>
      <rc t="1" v="9643"/>
    </bk>
    <bk>
      <rc t="1" v="9644"/>
    </bk>
    <bk>
      <rc t="1" v="9645"/>
    </bk>
    <bk>
      <rc t="1" v="9646"/>
    </bk>
    <bk>
      <rc t="1" v="9647"/>
    </bk>
    <bk>
      <rc t="1" v="9648"/>
    </bk>
    <bk>
      <rc t="1" v="9649"/>
    </bk>
    <bk>
      <rc t="1" v="9650"/>
    </bk>
    <bk>
      <rc t="1" v="9651"/>
    </bk>
    <bk>
      <rc t="1" v="9652"/>
    </bk>
    <bk>
      <rc t="1" v="9653"/>
    </bk>
    <bk>
      <rc t="1" v="9654"/>
    </bk>
    <bk>
      <rc t="1" v="9655"/>
    </bk>
    <bk>
      <rc t="1" v="9656"/>
    </bk>
    <bk>
      <rc t="1" v="9657"/>
    </bk>
    <bk>
      <rc t="1" v="9658"/>
    </bk>
    <bk>
      <rc t="1" v="9659"/>
    </bk>
    <bk>
      <rc t="1" v="9660"/>
    </bk>
    <bk>
      <rc t="1" v="9661"/>
    </bk>
    <bk>
      <rc t="1" v="9662"/>
    </bk>
    <bk>
      <rc t="1" v="9663"/>
    </bk>
    <bk>
      <rc t="1" v="9664"/>
    </bk>
    <bk>
      <rc t="1" v="9665"/>
    </bk>
    <bk>
      <rc t="1" v="9666"/>
    </bk>
    <bk>
      <rc t="1" v="9667"/>
    </bk>
    <bk>
      <rc t="1" v="9668"/>
    </bk>
    <bk>
      <rc t="1" v="9669"/>
    </bk>
    <bk>
      <rc t="1" v="9670"/>
    </bk>
    <bk>
      <rc t="1" v="9671"/>
    </bk>
    <bk>
      <rc t="1" v="9672"/>
    </bk>
    <bk>
      <rc t="1" v="9673"/>
    </bk>
    <bk>
      <rc t="1" v="9674"/>
    </bk>
    <bk>
      <rc t="1" v="9675"/>
    </bk>
    <bk>
      <rc t="1" v="9676"/>
    </bk>
    <bk>
      <rc t="1" v="9677"/>
    </bk>
    <bk>
      <rc t="1" v="9678"/>
    </bk>
    <bk>
      <rc t="1" v="9679"/>
    </bk>
    <bk>
      <rc t="1" v="9680"/>
    </bk>
    <bk>
      <rc t="1" v="9681"/>
    </bk>
    <bk>
      <rc t="1" v="9682"/>
    </bk>
    <bk>
      <rc t="1" v="9683"/>
    </bk>
    <bk>
      <rc t="1" v="9684"/>
    </bk>
    <bk>
      <rc t="1" v="9685"/>
    </bk>
    <bk>
      <rc t="1" v="9686"/>
    </bk>
    <bk>
      <rc t="1" v="9687"/>
    </bk>
    <bk>
      <rc t="1" v="9688"/>
    </bk>
    <bk>
      <rc t="1" v="9689"/>
    </bk>
    <bk>
      <rc t="1" v="9690"/>
    </bk>
    <bk>
      <rc t="1" v="9691"/>
    </bk>
    <bk>
      <rc t="1" v="9692"/>
    </bk>
    <bk>
      <rc t="1" v="9693"/>
    </bk>
    <bk>
      <rc t="1" v="9694"/>
    </bk>
    <bk>
      <rc t="1" v="9695"/>
    </bk>
    <bk>
      <rc t="1" v="9696"/>
    </bk>
    <bk>
      <rc t="1" v="9697"/>
    </bk>
    <bk>
      <rc t="1" v="9698"/>
    </bk>
    <bk>
      <rc t="1" v="9699"/>
    </bk>
    <bk>
      <rc t="1" v="9700"/>
    </bk>
    <bk>
      <rc t="1" v="9701"/>
    </bk>
    <bk>
      <rc t="1" v="9702"/>
    </bk>
    <bk>
      <rc t="1" v="9703"/>
    </bk>
    <bk>
      <rc t="1" v="9704"/>
    </bk>
    <bk>
      <rc t="1" v="9705"/>
    </bk>
    <bk>
      <rc t="1" v="9706"/>
    </bk>
    <bk>
      <rc t="1" v="9707"/>
    </bk>
    <bk>
      <rc t="1" v="9708"/>
    </bk>
    <bk>
      <rc t="1" v="9709"/>
    </bk>
    <bk>
      <rc t="1" v="9710"/>
    </bk>
    <bk>
      <rc t="1" v="9711"/>
    </bk>
    <bk>
      <rc t="1" v="9712"/>
    </bk>
    <bk>
      <rc t="1" v="9713"/>
    </bk>
    <bk>
      <rc t="1" v="9714"/>
    </bk>
    <bk>
      <rc t="1" v="9715"/>
    </bk>
    <bk>
      <rc t="1" v="9716"/>
    </bk>
    <bk>
      <rc t="1" v="9717"/>
    </bk>
    <bk>
      <rc t="1" v="9718"/>
    </bk>
    <bk>
      <rc t="1" v="9719"/>
    </bk>
    <bk>
      <rc t="1" v="9720"/>
    </bk>
    <bk>
      <rc t="1" v="9721"/>
    </bk>
    <bk>
      <rc t="1" v="9722"/>
    </bk>
    <bk>
      <rc t="1" v="9723"/>
    </bk>
    <bk>
      <rc t="1" v="9724"/>
    </bk>
    <bk>
      <rc t="1" v="9725"/>
    </bk>
    <bk>
      <rc t="1" v="9726"/>
    </bk>
    <bk>
      <rc t="1" v="9727"/>
    </bk>
    <bk>
      <rc t="1" v="9728"/>
    </bk>
    <bk>
      <rc t="1" v="9729"/>
    </bk>
    <bk>
      <rc t="1" v="9730"/>
    </bk>
    <bk>
      <rc t="1" v="9731"/>
    </bk>
    <bk>
      <rc t="1" v="9732"/>
    </bk>
    <bk>
      <rc t="1" v="9733"/>
    </bk>
    <bk>
      <rc t="1" v="9734"/>
    </bk>
    <bk>
      <rc t="1" v="9735"/>
    </bk>
    <bk>
      <rc t="1" v="9736"/>
    </bk>
    <bk>
      <rc t="1" v="9737"/>
    </bk>
    <bk>
      <rc t="1" v="9738"/>
    </bk>
    <bk>
      <rc t="1" v="9739"/>
    </bk>
    <bk>
      <rc t="1" v="9740"/>
    </bk>
    <bk>
      <rc t="1" v="9741"/>
    </bk>
    <bk>
      <rc t="1" v="9742"/>
    </bk>
    <bk>
      <rc t="1" v="9743"/>
    </bk>
    <bk>
      <rc t="1" v="9744"/>
    </bk>
    <bk>
      <rc t="1" v="9745"/>
    </bk>
    <bk>
      <rc t="1" v="9746"/>
    </bk>
    <bk>
      <rc t="1" v="9747"/>
    </bk>
    <bk>
      <rc t="1" v="9748"/>
    </bk>
    <bk>
      <rc t="1" v="9749"/>
    </bk>
    <bk>
      <rc t="1" v="9750"/>
    </bk>
    <bk>
      <rc t="1" v="9751"/>
    </bk>
    <bk>
      <rc t="1" v="9752"/>
    </bk>
    <bk>
      <rc t="1" v="9753"/>
    </bk>
    <bk>
      <rc t="1" v="9754"/>
    </bk>
    <bk>
      <rc t="1" v="9755"/>
    </bk>
    <bk>
      <rc t="1" v="9756"/>
    </bk>
    <bk>
      <rc t="1" v="9757"/>
    </bk>
    <bk>
      <rc t="1" v="9758"/>
    </bk>
    <bk>
      <rc t="1" v="9759"/>
    </bk>
    <bk>
      <rc t="1" v="9760"/>
    </bk>
    <bk>
      <rc t="1" v="9761"/>
    </bk>
    <bk>
      <rc t="1" v="9762"/>
    </bk>
    <bk>
      <rc t="1" v="9763"/>
    </bk>
    <bk>
      <rc t="1" v="9764"/>
    </bk>
    <bk>
      <rc t="1" v="9765"/>
    </bk>
    <bk>
      <rc t="1" v="9766"/>
    </bk>
    <bk>
      <rc t="1" v="9767"/>
    </bk>
    <bk>
      <rc t="1" v="9768"/>
    </bk>
    <bk>
      <rc t="1" v="9769"/>
    </bk>
    <bk>
      <rc t="1" v="9770"/>
    </bk>
    <bk>
      <rc t="1" v="9771"/>
    </bk>
    <bk>
      <rc t="1" v="9772"/>
    </bk>
    <bk>
      <rc t="1" v="9773"/>
    </bk>
    <bk>
      <rc t="1" v="9774"/>
    </bk>
    <bk>
      <rc t="1" v="9775"/>
    </bk>
    <bk>
      <rc t="1" v="9776"/>
    </bk>
    <bk>
      <rc t="1" v="9777"/>
    </bk>
    <bk>
      <rc t="1" v="9778"/>
    </bk>
    <bk>
      <rc t="1" v="9779"/>
    </bk>
    <bk>
      <rc t="1" v="9780"/>
    </bk>
    <bk>
      <rc t="1" v="9781"/>
    </bk>
    <bk>
      <rc t="1" v="9782"/>
    </bk>
    <bk>
      <rc t="1" v="9783"/>
    </bk>
    <bk>
      <rc t="1" v="9784"/>
    </bk>
    <bk>
      <rc t="1" v="9785"/>
    </bk>
    <bk>
      <rc t="1" v="9786"/>
    </bk>
    <bk>
      <rc t="1" v="9787"/>
    </bk>
    <bk>
      <rc t="1" v="9788"/>
    </bk>
    <bk>
      <rc t="1" v="9789"/>
    </bk>
    <bk>
      <rc t="1" v="9790"/>
    </bk>
    <bk>
      <rc t="1" v="9791"/>
    </bk>
    <bk>
      <rc t="1" v="9792"/>
    </bk>
    <bk>
      <rc t="1" v="9793"/>
    </bk>
    <bk>
      <rc t="1" v="9794"/>
    </bk>
    <bk>
      <rc t="1" v="9795"/>
    </bk>
    <bk>
      <rc t="1" v="9796"/>
    </bk>
    <bk>
      <rc t="1" v="9797"/>
    </bk>
    <bk>
      <rc t="1" v="9798"/>
    </bk>
    <bk>
      <rc t="1" v="9799"/>
    </bk>
    <bk>
      <rc t="1" v="9800"/>
    </bk>
    <bk>
      <rc t="1" v="9801"/>
    </bk>
    <bk>
      <rc t="1" v="9802"/>
    </bk>
    <bk>
      <rc t="1" v="9803"/>
    </bk>
    <bk>
      <rc t="1" v="9804"/>
    </bk>
    <bk>
      <rc t="1" v="9805"/>
    </bk>
    <bk>
      <rc t="1" v="9806"/>
    </bk>
    <bk>
      <rc t="1" v="9807"/>
    </bk>
    <bk>
      <rc t="1" v="9808"/>
    </bk>
    <bk>
      <rc t="1" v="9809"/>
    </bk>
    <bk>
      <rc t="1" v="9810"/>
    </bk>
    <bk>
      <rc t="1" v="9811"/>
    </bk>
    <bk>
      <rc t="1" v="9812"/>
    </bk>
    <bk>
      <rc t="1" v="9813"/>
    </bk>
    <bk>
      <rc t="1" v="9814"/>
    </bk>
    <bk>
      <rc t="1" v="9815"/>
    </bk>
    <bk>
      <rc t="1" v="9816"/>
    </bk>
    <bk>
      <rc t="1" v="9817"/>
    </bk>
    <bk>
      <rc t="1" v="9818"/>
    </bk>
    <bk>
      <rc t="1" v="9819"/>
    </bk>
    <bk>
      <rc t="1" v="9820"/>
    </bk>
    <bk>
      <rc t="1" v="9821"/>
    </bk>
    <bk>
      <rc t="1" v="9822"/>
    </bk>
    <bk>
      <rc t="1" v="9823"/>
    </bk>
    <bk>
      <rc t="1" v="9824"/>
    </bk>
    <bk>
      <rc t="1" v="9825"/>
    </bk>
    <bk>
      <rc t="1" v="9826"/>
    </bk>
    <bk>
      <rc t="1" v="9827"/>
    </bk>
    <bk>
      <rc t="1" v="9828"/>
    </bk>
    <bk>
      <rc t="1" v="9829"/>
    </bk>
    <bk>
      <rc t="1" v="9830"/>
    </bk>
    <bk>
      <rc t="1" v="9831"/>
    </bk>
    <bk>
      <rc t="1" v="9832"/>
    </bk>
    <bk>
      <rc t="1" v="9833"/>
    </bk>
    <bk>
      <rc t="1" v="9834"/>
    </bk>
    <bk>
      <rc t="1" v="9835"/>
    </bk>
    <bk>
      <rc t="1" v="9836"/>
    </bk>
    <bk>
      <rc t="1" v="9837"/>
    </bk>
    <bk>
      <rc t="1" v="9838"/>
    </bk>
    <bk>
      <rc t="1" v="9839"/>
    </bk>
    <bk>
      <rc t="1" v="9840"/>
    </bk>
    <bk>
      <rc t="1" v="9841"/>
    </bk>
    <bk>
      <rc t="1" v="9842"/>
    </bk>
    <bk>
      <rc t="1" v="9843"/>
    </bk>
    <bk>
      <rc t="1" v="9844"/>
    </bk>
    <bk>
      <rc t="1" v="9845"/>
    </bk>
    <bk>
      <rc t="1" v="9846"/>
    </bk>
    <bk>
      <rc t="1" v="9847"/>
    </bk>
    <bk>
      <rc t="1" v="9848"/>
    </bk>
    <bk>
      <rc t="1" v="9849"/>
    </bk>
    <bk>
      <rc t="1" v="9850"/>
    </bk>
    <bk>
      <rc t="1" v="9851"/>
    </bk>
    <bk>
      <rc t="1" v="9852"/>
    </bk>
    <bk>
      <rc t="1" v="9853"/>
    </bk>
    <bk>
      <rc t="1" v="9854"/>
    </bk>
    <bk>
      <rc t="1" v="9855"/>
    </bk>
    <bk>
      <rc t="1" v="9856"/>
    </bk>
    <bk>
      <rc t="1" v="9857"/>
    </bk>
    <bk>
      <rc t="1" v="9858"/>
    </bk>
    <bk>
      <rc t="1" v="9859"/>
    </bk>
    <bk>
      <rc t="1" v="9860"/>
    </bk>
    <bk>
      <rc t="1" v="9861"/>
    </bk>
    <bk>
      <rc t="1" v="9862"/>
    </bk>
    <bk>
      <rc t="1" v="9863"/>
    </bk>
    <bk>
      <rc t="1" v="9864"/>
    </bk>
    <bk>
      <rc t="1" v="9865"/>
    </bk>
    <bk>
      <rc t="1" v="9866"/>
    </bk>
    <bk>
      <rc t="1" v="9867"/>
    </bk>
    <bk>
      <rc t="1" v="9868"/>
    </bk>
    <bk>
      <rc t="1" v="9869"/>
    </bk>
    <bk>
      <rc t="1" v="9870"/>
    </bk>
    <bk>
      <rc t="1" v="9871"/>
    </bk>
    <bk>
      <rc t="1" v="9872"/>
    </bk>
    <bk>
      <rc t="1" v="9873"/>
    </bk>
    <bk>
      <rc t="1" v="9874"/>
    </bk>
    <bk>
      <rc t="1" v="9875"/>
    </bk>
    <bk>
      <rc t="1" v="9876"/>
    </bk>
    <bk>
      <rc t="1" v="9877"/>
    </bk>
    <bk>
      <rc t="1" v="9878"/>
    </bk>
    <bk>
      <rc t="1" v="9879"/>
    </bk>
    <bk>
      <rc t="1" v="9880"/>
    </bk>
    <bk>
      <rc t="1" v="9881"/>
    </bk>
    <bk>
      <rc t="1" v="9882"/>
    </bk>
    <bk>
      <rc t="1" v="9883"/>
    </bk>
    <bk>
      <rc t="1" v="9884"/>
    </bk>
    <bk>
      <rc t="1" v="9885"/>
    </bk>
    <bk>
      <rc t="1" v="9886"/>
    </bk>
    <bk>
      <rc t="1" v="9887"/>
    </bk>
    <bk>
      <rc t="1" v="9888"/>
    </bk>
    <bk>
      <rc t="1" v="9889"/>
    </bk>
    <bk>
      <rc t="1" v="9890"/>
    </bk>
    <bk>
      <rc t="1" v="9891"/>
    </bk>
    <bk>
      <rc t="1" v="9892"/>
    </bk>
    <bk>
      <rc t="1" v="9893"/>
    </bk>
    <bk>
      <rc t="1" v="9894"/>
    </bk>
    <bk>
      <rc t="1" v="9895"/>
    </bk>
    <bk>
      <rc t="1" v="9896"/>
    </bk>
    <bk>
      <rc t="1" v="9897"/>
    </bk>
    <bk>
      <rc t="1" v="9898"/>
    </bk>
    <bk>
      <rc t="1" v="9899"/>
    </bk>
    <bk>
      <rc t="1" v="9900"/>
    </bk>
    <bk>
      <rc t="1" v="9901"/>
    </bk>
    <bk>
      <rc t="1" v="9902"/>
    </bk>
    <bk>
      <rc t="1" v="9903"/>
    </bk>
    <bk>
      <rc t="1" v="9904"/>
    </bk>
    <bk>
      <rc t="1" v="9905"/>
    </bk>
    <bk>
      <rc t="1" v="9906"/>
    </bk>
    <bk>
      <rc t="1" v="9907"/>
    </bk>
    <bk>
      <rc t="1" v="9908"/>
    </bk>
    <bk>
      <rc t="1" v="9909"/>
    </bk>
    <bk>
      <rc t="1" v="9910"/>
    </bk>
    <bk>
      <rc t="1" v="9911"/>
    </bk>
    <bk>
      <rc t="1" v="9912"/>
    </bk>
    <bk>
      <rc t="1" v="9913"/>
    </bk>
    <bk>
      <rc t="1" v="9914"/>
    </bk>
    <bk>
      <rc t="1" v="9915"/>
    </bk>
    <bk>
      <rc t="1" v="9916"/>
    </bk>
    <bk>
      <rc t="1" v="9917"/>
    </bk>
    <bk>
      <rc t="1" v="9918"/>
    </bk>
    <bk>
      <rc t="1" v="9919"/>
    </bk>
    <bk>
      <rc t="1" v="9920"/>
    </bk>
    <bk>
      <rc t="1" v="9921"/>
    </bk>
    <bk>
      <rc t="1" v="9922"/>
    </bk>
    <bk>
      <rc t="1" v="9923"/>
    </bk>
    <bk>
      <rc t="1" v="9924"/>
    </bk>
    <bk>
      <rc t="1" v="9925"/>
    </bk>
    <bk>
      <rc t="1" v="9926"/>
    </bk>
    <bk>
      <rc t="1" v="9927"/>
    </bk>
    <bk>
      <rc t="1" v="9928"/>
    </bk>
    <bk>
      <rc t="1" v="9929"/>
    </bk>
    <bk>
      <rc t="1" v="9930"/>
    </bk>
    <bk>
      <rc t="1" v="9931"/>
    </bk>
    <bk>
      <rc t="1" v="9932"/>
    </bk>
    <bk>
      <rc t="1" v="9933"/>
    </bk>
    <bk>
      <rc t="1" v="9934"/>
    </bk>
    <bk>
      <rc t="1" v="9935"/>
    </bk>
    <bk>
      <rc t="1" v="9936"/>
    </bk>
    <bk>
      <rc t="1" v="9937"/>
    </bk>
    <bk>
      <rc t="1" v="9938"/>
    </bk>
    <bk>
      <rc t="1" v="9939"/>
    </bk>
    <bk>
      <rc t="1" v="9940"/>
    </bk>
    <bk>
      <rc t="1" v="9941"/>
    </bk>
    <bk>
      <rc t="1" v="9942"/>
    </bk>
    <bk>
      <rc t="1" v="9943"/>
    </bk>
    <bk>
      <rc t="1" v="9944"/>
    </bk>
    <bk>
      <rc t="1" v="9945"/>
    </bk>
    <bk>
      <rc t="1" v="9946"/>
    </bk>
    <bk>
      <rc t="1" v="9947"/>
    </bk>
    <bk>
      <rc t="1" v="9948"/>
    </bk>
    <bk>
      <rc t="1" v="9949"/>
    </bk>
    <bk>
      <rc t="1" v="9950"/>
    </bk>
    <bk>
      <rc t="1" v="9951"/>
    </bk>
    <bk>
      <rc t="1" v="9952"/>
    </bk>
    <bk>
      <rc t="1" v="9953"/>
    </bk>
    <bk>
      <rc t="1" v="9954"/>
    </bk>
    <bk>
      <rc t="1" v="9955"/>
    </bk>
    <bk>
      <rc t="1" v="9956"/>
    </bk>
    <bk>
      <rc t="1" v="9957"/>
    </bk>
    <bk>
      <rc t="1" v="9958"/>
    </bk>
    <bk>
      <rc t="1" v="9959"/>
    </bk>
    <bk>
      <rc t="1" v="9960"/>
    </bk>
    <bk>
      <rc t="1" v="9961"/>
    </bk>
    <bk>
      <rc t="1" v="9962"/>
    </bk>
    <bk>
      <rc t="1" v="9963"/>
    </bk>
    <bk>
      <rc t="1" v="9964"/>
    </bk>
    <bk>
      <rc t="1" v="9965"/>
    </bk>
    <bk>
      <rc t="1" v="9966"/>
    </bk>
    <bk>
      <rc t="1" v="9967"/>
    </bk>
    <bk>
      <rc t="1" v="9968"/>
    </bk>
    <bk>
      <rc t="1" v="9969"/>
    </bk>
    <bk>
      <rc t="1" v="9970"/>
    </bk>
    <bk>
      <rc t="1" v="9971"/>
    </bk>
    <bk>
      <rc t="1" v="9972"/>
    </bk>
    <bk>
      <rc t="1" v="9973"/>
    </bk>
    <bk>
      <rc t="1" v="9974"/>
    </bk>
    <bk>
      <rc t="1" v="9975"/>
    </bk>
    <bk>
      <rc t="1" v="9976"/>
    </bk>
    <bk>
      <rc t="1" v="9977"/>
    </bk>
    <bk>
      <rc t="1" v="9978"/>
    </bk>
    <bk>
      <rc t="1" v="9979"/>
    </bk>
    <bk>
      <rc t="1" v="9980"/>
    </bk>
    <bk>
      <rc t="1" v="9981"/>
    </bk>
    <bk>
      <rc t="1" v="9982"/>
    </bk>
    <bk>
      <rc t="1" v="9983"/>
    </bk>
    <bk>
      <rc t="1" v="9984"/>
    </bk>
    <bk>
      <rc t="1" v="9985"/>
    </bk>
    <bk>
      <rc t="1" v="9986"/>
    </bk>
    <bk>
      <rc t="1" v="9987"/>
    </bk>
    <bk>
      <rc t="1" v="9988"/>
    </bk>
    <bk>
      <rc t="1" v="9989"/>
    </bk>
    <bk>
      <rc t="1" v="9990"/>
    </bk>
    <bk>
      <rc t="1" v="9991"/>
    </bk>
    <bk>
      <rc t="1" v="9992"/>
    </bk>
    <bk>
      <rc t="1" v="9993"/>
    </bk>
    <bk>
      <rc t="1" v="9994"/>
    </bk>
    <bk>
      <rc t="1" v="9995"/>
    </bk>
    <bk>
      <rc t="1" v="9996"/>
    </bk>
    <bk>
      <rc t="1" v="9997"/>
    </bk>
    <bk>
      <rc t="1" v="9998"/>
    </bk>
    <bk>
      <rc t="1" v="9999"/>
    </bk>
    <bk>
      <rc t="1" v="10000"/>
    </bk>
    <bk>
      <rc t="1" v="10001"/>
    </bk>
    <bk>
      <rc t="1" v="10002"/>
    </bk>
    <bk>
      <rc t="1" v="10003"/>
    </bk>
    <bk>
      <rc t="1" v="10004"/>
    </bk>
    <bk>
      <rc t="1" v="10005"/>
    </bk>
    <bk>
      <rc t="1" v="10006"/>
    </bk>
    <bk>
      <rc t="1" v="10007"/>
    </bk>
    <bk>
      <rc t="1" v="10008"/>
    </bk>
    <bk>
      <rc t="1" v="10009"/>
    </bk>
    <bk>
      <rc t="1" v="10010"/>
    </bk>
    <bk>
      <rc t="1" v="10011"/>
    </bk>
    <bk>
      <rc t="1" v="10012"/>
    </bk>
    <bk>
      <rc t="1" v="10013"/>
    </bk>
    <bk>
      <rc t="1" v="10014"/>
    </bk>
    <bk>
      <rc t="1" v="10015"/>
    </bk>
    <bk>
      <rc t="1" v="10016"/>
    </bk>
    <bk>
      <rc t="1" v="10017"/>
    </bk>
    <bk>
      <rc t="1" v="10018"/>
    </bk>
    <bk>
      <rc t="1" v="10019"/>
    </bk>
    <bk>
      <rc t="1" v="10020"/>
    </bk>
    <bk>
      <rc t="1" v="10021"/>
    </bk>
    <bk>
      <rc t="1" v="10022"/>
    </bk>
    <bk>
      <rc t="1" v="10023"/>
    </bk>
    <bk>
      <rc t="1" v="10024"/>
    </bk>
    <bk>
      <rc t="1" v="10025"/>
    </bk>
    <bk>
      <rc t="1" v="10026"/>
    </bk>
    <bk>
      <rc t="1" v="10027"/>
    </bk>
    <bk>
      <rc t="1" v="10028"/>
    </bk>
    <bk>
      <rc t="1" v="10029"/>
    </bk>
    <bk>
      <rc t="1" v="10030"/>
    </bk>
    <bk>
      <rc t="1" v="10031"/>
    </bk>
    <bk>
      <rc t="1" v="10032"/>
    </bk>
    <bk>
      <rc t="1" v="10033"/>
    </bk>
    <bk>
      <rc t="1" v="10034"/>
    </bk>
    <bk>
      <rc t="1" v="10035"/>
    </bk>
    <bk>
      <rc t="1" v="10036"/>
    </bk>
    <bk>
      <rc t="1" v="10037"/>
    </bk>
    <bk>
      <rc t="1" v="10038"/>
    </bk>
    <bk>
      <rc t="1" v="10039"/>
    </bk>
    <bk>
      <rc t="1" v="10040"/>
    </bk>
    <bk>
      <rc t="1" v="10041"/>
    </bk>
    <bk>
      <rc t="1" v="10042"/>
    </bk>
    <bk>
      <rc t="1" v="10043"/>
    </bk>
    <bk>
      <rc t="1" v="10044"/>
    </bk>
    <bk>
      <rc t="1" v="10045"/>
    </bk>
    <bk>
      <rc t="1" v="10046"/>
    </bk>
    <bk>
      <rc t="1" v="10047"/>
    </bk>
    <bk>
      <rc t="1" v="10048"/>
    </bk>
    <bk>
      <rc t="1" v="10049"/>
    </bk>
    <bk>
      <rc t="1" v="10050"/>
    </bk>
    <bk>
      <rc t="1" v="10051"/>
    </bk>
    <bk>
      <rc t="1" v="10052"/>
    </bk>
    <bk>
      <rc t="1" v="10053"/>
    </bk>
    <bk>
      <rc t="1" v="10054"/>
    </bk>
    <bk>
      <rc t="1" v="10055"/>
    </bk>
    <bk>
      <rc t="1" v="10056"/>
    </bk>
    <bk>
      <rc t="1" v="10057"/>
    </bk>
    <bk>
      <rc t="1" v="10058"/>
    </bk>
    <bk>
      <rc t="1" v="10059"/>
    </bk>
    <bk>
      <rc t="1" v="10060"/>
    </bk>
    <bk>
      <rc t="1" v="10061"/>
    </bk>
    <bk>
      <rc t="1" v="10062"/>
    </bk>
    <bk>
      <rc t="1" v="10063"/>
    </bk>
    <bk>
      <rc t="1" v="10064"/>
    </bk>
    <bk>
      <rc t="1" v="10065"/>
    </bk>
    <bk>
      <rc t="1" v="10066"/>
    </bk>
    <bk>
      <rc t="1" v="10067"/>
    </bk>
    <bk>
      <rc t="1" v="10068"/>
    </bk>
    <bk>
      <rc t="1" v="10069"/>
    </bk>
    <bk>
      <rc t="1" v="10070"/>
    </bk>
    <bk>
      <rc t="1" v="10071"/>
    </bk>
    <bk>
      <rc t="1" v="10072"/>
    </bk>
    <bk>
      <rc t="1" v="10073"/>
    </bk>
    <bk>
      <rc t="1" v="10074"/>
    </bk>
    <bk>
      <rc t="1" v="10075"/>
    </bk>
    <bk>
      <rc t="1" v="10076"/>
    </bk>
    <bk>
      <rc t="1" v="10077"/>
    </bk>
    <bk>
      <rc t="1" v="10078"/>
    </bk>
    <bk>
      <rc t="1" v="10079"/>
    </bk>
    <bk>
      <rc t="1" v="10080"/>
    </bk>
    <bk>
      <rc t="1" v="10081"/>
    </bk>
    <bk>
      <rc t="1" v="10082"/>
    </bk>
    <bk>
      <rc t="1" v="10083"/>
    </bk>
    <bk>
      <rc t="1" v="10084"/>
    </bk>
    <bk>
      <rc t="1" v="10085"/>
    </bk>
    <bk>
      <rc t="1" v="10086"/>
    </bk>
    <bk>
      <rc t="1" v="10087"/>
    </bk>
    <bk>
      <rc t="1" v="10088"/>
    </bk>
    <bk>
      <rc t="1" v="10089"/>
    </bk>
    <bk>
      <rc t="1" v="10090"/>
    </bk>
    <bk>
      <rc t="1" v="10091"/>
    </bk>
    <bk>
      <rc t="1" v="10092"/>
    </bk>
    <bk>
      <rc t="1" v="10093"/>
    </bk>
    <bk>
      <rc t="1" v="10094"/>
    </bk>
    <bk>
      <rc t="1" v="10095"/>
    </bk>
    <bk>
      <rc t="1" v="10096"/>
    </bk>
    <bk>
      <rc t="1" v="10097"/>
    </bk>
    <bk>
      <rc t="1" v="10098"/>
    </bk>
    <bk>
      <rc t="1" v="10099"/>
    </bk>
    <bk>
      <rc t="1" v="10100"/>
    </bk>
    <bk>
      <rc t="1" v="10101"/>
    </bk>
    <bk>
      <rc t="1" v="10102"/>
    </bk>
    <bk>
      <rc t="1" v="10103"/>
    </bk>
    <bk>
      <rc t="1" v="10104"/>
    </bk>
    <bk>
      <rc t="1" v="10105"/>
    </bk>
    <bk>
      <rc t="1" v="10106"/>
    </bk>
    <bk>
      <rc t="1" v="10107"/>
    </bk>
    <bk>
      <rc t="1" v="10108"/>
    </bk>
    <bk>
      <rc t="1" v="10109"/>
    </bk>
    <bk>
      <rc t="1" v="10110"/>
    </bk>
    <bk>
      <rc t="1" v="10111"/>
    </bk>
    <bk>
      <rc t="1" v="10112"/>
    </bk>
    <bk>
      <rc t="1" v="10113"/>
    </bk>
    <bk>
      <rc t="1" v="10114"/>
    </bk>
    <bk>
      <rc t="1" v="10115"/>
    </bk>
    <bk>
      <rc t="1" v="10116"/>
    </bk>
    <bk>
      <rc t="1" v="10117"/>
    </bk>
    <bk>
      <rc t="1" v="10118"/>
    </bk>
    <bk>
      <rc t="1" v="10119"/>
    </bk>
    <bk>
      <rc t="1" v="10120"/>
    </bk>
    <bk>
      <rc t="1" v="10121"/>
    </bk>
    <bk>
      <rc t="1" v="10122"/>
    </bk>
    <bk>
      <rc t="1" v="10123"/>
    </bk>
    <bk>
      <rc t="1" v="10124"/>
    </bk>
    <bk>
      <rc t="1" v="10125"/>
    </bk>
    <bk>
      <rc t="1" v="10126"/>
    </bk>
    <bk>
      <rc t="1" v="10127"/>
    </bk>
    <bk>
      <rc t="1" v="10128"/>
    </bk>
    <bk>
      <rc t="1" v="10129"/>
    </bk>
    <bk>
      <rc t="1" v="10130"/>
    </bk>
    <bk>
      <rc t="1" v="10131"/>
    </bk>
    <bk>
      <rc t="1" v="10132"/>
    </bk>
    <bk>
      <rc t="1" v="10133"/>
    </bk>
    <bk>
      <rc t="1" v="10134"/>
    </bk>
    <bk>
      <rc t="1" v="10135"/>
    </bk>
    <bk>
      <rc t="1" v="10136"/>
    </bk>
    <bk>
      <rc t="1" v="10137"/>
    </bk>
    <bk>
      <rc t="1" v="10138"/>
    </bk>
    <bk>
      <rc t="1" v="10139"/>
    </bk>
    <bk>
      <rc t="1" v="10140"/>
    </bk>
    <bk>
      <rc t="1" v="10141"/>
    </bk>
    <bk>
      <rc t="1" v="10142"/>
    </bk>
    <bk>
      <rc t="1" v="10143"/>
    </bk>
    <bk>
      <rc t="1" v="10144"/>
    </bk>
    <bk>
      <rc t="1" v="10145"/>
    </bk>
    <bk>
      <rc t="1" v="10146"/>
    </bk>
    <bk>
      <rc t="1" v="10147"/>
    </bk>
    <bk>
      <rc t="1" v="10148"/>
    </bk>
    <bk>
      <rc t="1" v="10149"/>
    </bk>
    <bk>
      <rc t="1" v="10150"/>
    </bk>
    <bk>
      <rc t="1" v="10151"/>
    </bk>
    <bk>
      <rc t="1" v="10152"/>
    </bk>
    <bk>
      <rc t="1" v="10153"/>
    </bk>
    <bk>
      <rc t="1" v="10154"/>
    </bk>
    <bk>
      <rc t="1" v="10155"/>
    </bk>
    <bk>
      <rc t="1" v="10156"/>
    </bk>
    <bk>
      <rc t="1" v="10157"/>
    </bk>
    <bk>
      <rc t="1" v="10158"/>
    </bk>
    <bk>
      <rc t="1" v="10159"/>
    </bk>
    <bk>
      <rc t="1" v="10160"/>
    </bk>
    <bk>
      <rc t="1" v="10161"/>
    </bk>
    <bk>
      <rc t="1" v="10162"/>
    </bk>
    <bk>
      <rc t="1" v="10163"/>
    </bk>
    <bk>
      <rc t="1" v="10164"/>
    </bk>
    <bk>
      <rc t="1" v="10165"/>
    </bk>
    <bk>
      <rc t="1" v="10166"/>
    </bk>
    <bk>
      <rc t="1" v="10167"/>
    </bk>
    <bk>
      <rc t="1" v="10168"/>
    </bk>
    <bk>
      <rc t="1" v="10169"/>
    </bk>
    <bk>
      <rc t="1" v="10170"/>
    </bk>
    <bk>
      <rc t="1" v="10171"/>
    </bk>
    <bk>
      <rc t="1" v="10172"/>
    </bk>
    <bk>
      <rc t="1" v="10173"/>
    </bk>
    <bk>
      <rc t="1" v="10174"/>
    </bk>
    <bk>
      <rc t="1" v="10175"/>
    </bk>
    <bk>
      <rc t="1" v="10176"/>
    </bk>
    <bk>
      <rc t="1" v="10177"/>
    </bk>
    <bk>
      <rc t="1" v="10178"/>
    </bk>
    <bk>
      <rc t="1" v="10179"/>
    </bk>
    <bk>
      <rc t="1" v="10180"/>
    </bk>
    <bk>
      <rc t="1" v="10181"/>
    </bk>
    <bk>
      <rc t="1" v="10182"/>
    </bk>
    <bk>
      <rc t="1" v="10183"/>
    </bk>
    <bk>
      <rc t="1" v="10184"/>
    </bk>
    <bk>
      <rc t="1" v="10185"/>
    </bk>
    <bk>
      <rc t="1" v="10186"/>
    </bk>
    <bk>
      <rc t="1" v="10187"/>
    </bk>
    <bk>
      <rc t="1" v="10188"/>
    </bk>
    <bk>
      <rc t="1" v="10189"/>
    </bk>
    <bk>
      <rc t="1" v="10190"/>
    </bk>
    <bk>
      <rc t="1" v="10191"/>
    </bk>
    <bk>
      <rc t="1" v="10192"/>
    </bk>
    <bk>
      <rc t="1" v="10193"/>
    </bk>
    <bk>
      <rc t="1" v="10194"/>
    </bk>
    <bk>
      <rc t="1" v="10195"/>
    </bk>
    <bk>
      <rc t="1" v="10196"/>
    </bk>
    <bk>
      <rc t="1" v="10197"/>
    </bk>
    <bk>
      <rc t="1" v="10198"/>
    </bk>
    <bk>
      <rc t="1" v="10199"/>
    </bk>
    <bk>
      <rc t="1" v="10200"/>
    </bk>
    <bk>
      <rc t="1" v="10201"/>
    </bk>
    <bk>
      <rc t="1" v="10202"/>
    </bk>
    <bk>
      <rc t="1" v="10203"/>
    </bk>
    <bk>
      <rc t="1" v="10204"/>
    </bk>
    <bk>
      <rc t="1" v="10205"/>
    </bk>
    <bk>
      <rc t="1" v="10206"/>
    </bk>
    <bk>
      <rc t="1" v="10207"/>
    </bk>
    <bk>
      <rc t="1" v="10208"/>
    </bk>
    <bk>
      <rc t="1" v="10209"/>
    </bk>
    <bk>
      <rc t="1" v="10210"/>
    </bk>
    <bk>
      <rc t="1" v="10211"/>
    </bk>
    <bk>
      <rc t="1" v="10212"/>
    </bk>
    <bk>
      <rc t="1" v="10213"/>
    </bk>
    <bk>
      <rc t="1" v="10214"/>
    </bk>
    <bk>
      <rc t="1" v="10215"/>
    </bk>
    <bk>
      <rc t="1" v="10216"/>
    </bk>
    <bk>
      <rc t="1" v="10217"/>
    </bk>
    <bk>
      <rc t="1" v="10218"/>
    </bk>
    <bk>
      <rc t="1" v="10219"/>
    </bk>
    <bk>
      <rc t="1" v="10220"/>
    </bk>
    <bk>
      <rc t="1" v="10221"/>
    </bk>
    <bk>
      <rc t="1" v="10222"/>
    </bk>
    <bk>
      <rc t="1" v="10223"/>
    </bk>
    <bk>
      <rc t="1" v="10224"/>
    </bk>
    <bk>
      <rc t="1" v="10225"/>
    </bk>
    <bk>
      <rc t="1" v="10226"/>
    </bk>
    <bk>
      <rc t="1" v="10227"/>
    </bk>
    <bk>
      <rc t="1" v="10228"/>
    </bk>
    <bk>
      <rc t="1" v="10229"/>
    </bk>
    <bk>
      <rc t="1" v="10230"/>
    </bk>
    <bk>
      <rc t="1" v="10231"/>
    </bk>
    <bk>
      <rc t="1" v="10232"/>
    </bk>
    <bk>
      <rc t="1" v="10233"/>
    </bk>
    <bk>
      <rc t="1" v="10234"/>
    </bk>
    <bk>
      <rc t="1" v="10235"/>
    </bk>
    <bk>
      <rc t="1" v="10236"/>
    </bk>
    <bk>
      <rc t="1" v="10237"/>
    </bk>
    <bk>
      <rc t="1" v="10238"/>
    </bk>
    <bk>
      <rc t="1" v="10239"/>
    </bk>
    <bk>
      <rc t="1" v="10240"/>
    </bk>
    <bk>
      <rc t="1" v="10241"/>
    </bk>
    <bk>
      <rc t="1" v="10242"/>
    </bk>
    <bk>
      <rc t="1" v="10243"/>
    </bk>
    <bk>
      <rc t="1" v="10244"/>
    </bk>
    <bk>
      <rc t="1" v="10245"/>
    </bk>
    <bk>
      <rc t="1" v="10246"/>
    </bk>
    <bk>
      <rc t="1" v="10247"/>
    </bk>
    <bk>
      <rc t="1" v="10248"/>
    </bk>
    <bk>
      <rc t="1" v="10249"/>
    </bk>
    <bk>
      <rc t="1" v="10250"/>
    </bk>
    <bk>
      <rc t="1" v="10251"/>
    </bk>
    <bk>
      <rc t="1" v="10252"/>
    </bk>
    <bk>
      <rc t="1" v="10253"/>
    </bk>
    <bk>
      <rc t="1" v="10254"/>
    </bk>
    <bk>
      <rc t="1" v="10255"/>
    </bk>
    <bk>
      <rc t="1" v="10256"/>
    </bk>
    <bk>
      <rc t="1" v="10257"/>
    </bk>
    <bk>
      <rc t="1" v="10258"/>
    </bk>
    <bk>
      <rc t="1" v="10259"/>
    </bk>
    <bk>
      <rc t="1" v="10260"/>
    </bk>
    <bk>
      <rc t="1" v="10261"/>
    </bk>
    <bk>
      <rc t="1" v="10262"/>
    </bk>
    <bk>
      <rc t="1" v="10263"/>
    </bk>
    <bk>
      <rc t="1" v="10264"/>
    </bk>
    <bk>
      <rc t="1" v="10265"/>
    </bk>
    <bk>
      <rc t="1" v="10266"/>
    </bk>
    <bk>
      <rc t="1" v="10267"/>
    </bk>
    <bk>
      <rc t="1" v="10268"/>
    </bk>
    <bk>
      <rc t="1" v="10269"/>
    </bk>
    <bk>
      <rc t="1" v="10270"/>
    </bk>
    <bk>
      <rc t="1" v="10271"/>
    </bk>
    <bk>
      <rc t="1" v="10272"/>
    </bk>
    <bk>
      <rc t="1" v="10273"/>
    </bk>
    <bk>
      <rc t="1" v="10274"/>
    </bk>
    <bk>
      <rc t="1" v="10275"/>
    </bk>
    <bk>
      <rc t="1" v="10276"/>
    </bk>
    <bk>
      <rc t="1" v="10277"/>
    </bk>
    <bk>
      <rc t="1" v="10278"/>
    </bk>
    <bk>
      <rc t="1" v="10279"/>
    </bk>
    <bk>
      <rc t="1" v="10280"/>
    </bk>
    <bk>
      <rc t="1" v="10281"/>
    </bk>
    <bk>
      <rc t="1" v="10282"/>
    </bk>
    <bk>
      <rc t="1" v="10283"/>
    </bk>
    <bk>
      <rc t="1" v="10284"/>
    </bk>
    <bk>
      <rc t="1" v="10285"/>
    </bk>
    <bk>
      <rc t="1" v="10286"/>
    </bk>
    <bk>
      <rc t="1" v="10287"/>
    </bk>
    <bk>
      <rc t="1" v="10288"/>
    </bk>
    <bk>
      <rc t="1" v="10289"/>
    </bk>
    <bk>
      <rc t="1" v="10290"/>
    </bk>
    <bk>
      <rc t="1" v="10291"/>
    </bk>
    <bk>
      <rc t="1" v="10292"/>
    </bk>
    <bk>
      <rc t="1" v="10293"/>
    </bk>
    <bk>
      <rc t="1" v="10294"/>
    </bk>
    <bk>
      <rc t="1" v="10295"/>
    </bk>
    <bk>
      <rc t="1" v="10296"/>
    </bk>
    <bk>
      <rc t="1" v="10297"/>
    </bk>
    <bk>
      <rc t="1" v="10298"/>
    </bk>
    <bk>
      <rc t="1" v="10299"/>
    </bk>
    <bk>
      <rc t="1" v="10300"/>
    </bk>
    <bk>
      <rc t="1" v="10301"/>
    </bk>
    <bk>
      <rc t="1" v="10302"/>
    </bk>
    <bk>
      <rc t="1" v="10303"/>
    </bk>
    <bk>
      <rc t="1" v="10304"/>
    </bk>
    <bk>
      <rc t="1" v="10305"/>
    </bk>
    <bk>
      <rc t="1" v="10306"/>
    </bk>
    <bk>
      <rc t="1" v="10307"/>
    </bk>
    <bk>
      <rc t="1" v="10308"/>
    </bk>
    <bk>
      <rc t="1" v="10309"/>
    </bk>
    <bk>
      <rc t="1" v="10310"/>
    </bk>
    <bk>
      <rc t="1" v="10311"/>
    </bk>
    <bk>
      <rc t="1" v="10312"/>
    </bk>
    <bk>
      <rc t="1" v="10313"/>
    </bk>
    <bk>
      <rc t="1" v="10314"/>
    </bk>
    <bk>
      <rc t="1" v="10315"/>
    </bk>
    <bk>
      <rc t="1" v="10316"/>
    </bk>
    <bk>
      <rc t="1" v="10317"/>
    </bk>
    <bk>
      <rc t="1" v="10318"/>
    </bk>
    <bk>
      <rc t="1" v="10319"/>
    </bk>
    <bk>
      <rc t="1" v="10320"/>
    </bk>
    <bk>
      <rc t="1" v="10321"/>
    </bk>
    <bk>
      <rc t="1" v="10322"/>
    </bk>
    <bk>
      <rc t="1" v="10323"/>
    </bk>
    <bk>
      <rc t="1" v="10324"/>
    </bk>
    <bk>
      <rc t="1" v="10325"/>
    </bk>
    <bk>
      <rc t="1" v="10326"/>
    </bk>
    <bk>
      <rc t="1" v="10327"/>
    </bk>
    <bk>
      <rc t="1" v="10328"/>
    </bk>
    <bk>
      <rc t="1" v="10329"/>
    </bk>
    <bk>
      <rc t="1" v="10330"/>
    </bk>
    <bk>
      <rc t="1" v="10331"/>
    </bk>
    <bk>
      <rc t="1" v="10332"/>
    </bk>
    <bk>
      <rc t="1" v="10333"/>
    </bk>
    <bk>
      <rc t="1" v="10334"/>
    </bk>
    <bk>
      <rc t="1" v="10335"/>
    </bk>
    <bk>
      <rc t="1" v="10336"/>
    </bk>
    <bk>
      <rc t="1" v="10337"/>
    </bk>
    <bk>
      <rc t="1" v="10338"/>
    </bk>
    <bk>
      <rc t="1" v="10339"/>
    </bk>
    <bk>
      <rc t="1" v="10340"/>
    </bk>
    <bk>
      <rc t="1" v="10341"/>
    </bk>
    <bk>
      <rc t="1" v="10342"/>
    </bk>
    <bk>
      <rc t="1" v="10343"/>
    </bk>
    <bk>
      <rc t="1" v="10344"/>
    </bk>
    <bk>
      <rc t="1" v="10345"/>
    </bk>
    <bk>
      <rc t="1" v="10346"/>
    </bk>
    <bk>
      <rc t="1" v="10347"/>
    </bk>
    <bk>
      <rc t="1" v="10348"/>
    </bk>
    <bk>
      <rc t="1" v="10349"/>
    </bk>
    <bk>
      <rc t="1" v="10350"/>
    </bk>
    <bk>
      <rc t="1" v="10351"/>
    </bk>
    <bk>
      <rc t="1" v="10352"/>
    </bk>
    <bk>
      <rc t="1" v="10353"/>
    </bk>
    <bk>
      <rc t="1" v="10354"/>
    </bk>
    <bk>
      <rc t="1" v="10355"/>
    </bk>
    <bk>
      <rc t="1" v="10356"/>
    </bk>
    <bk>
      <rc t="1" v="10357"/>
    </bk>
    <bk>
      <rc t="1" v="10358"/>
    </bk>
    <bk>
      <rc t="1" v="10359"/>
    </bk>
    <bk>
      <rc t="1" v="10360"/>
    </bk>
    <bk>
      <rc t="1" v="10361"/>
    </bk>
    <bk>
      <rc t="1" v="10362"/>
    </bk>
    <bk>
      <rc t="1" v="10363"/>
    </bk>
    <bk>
      <rc t="1" v="10364"/>
    </bk>
    <bk>
      <rc t="1" v="10365"/>
    </bk>
    <bk>
      <rc t="1" v="10366"/>
    </bk>
    <bk>
      <rc t="1" v="10367"/>
    </bk>
    <bk>
      <rc t="1" v="10368"/>
    </bk>
    <bk>
      <rc t="1" v="10369"/>
    </bk>
    <bk>
      <rc t="1" v="10370"/>
    </bk>
    <bk>
      <rc t="1" v="10371"/>
    </bk>
    <bk>
      <rc t="1" v="10372"/>
    </bk>
    <bk>
      <rc t="1" v="10373"/>
    </bk>
    <bk>
      <rc t="1" v="10374"/>
    </bk>
    <bk>
      <rc t="1" v="10375"/>
    </bk>
    <bk>
      <rc t="1" v="10376"/>
    </bk>
    <bk>
      <rc t="1" v="10377"/>
    </bk>
    <bk>
      <rc t="1" v="10378"/>
    </bk>
    <bk>
      <rc t="1" v="10379"/>
    </bk>
    <bk>
      <rc t="1" v="10380"/>
    </bk>
    <bk>
      <rc t="1" v="10381"/>
    </bk>
    <bk>
      <rc t="1" v="10382"/>
    </bk>
    <bk>
      <rc t="1" v="10383"/>
    </bk>
    <bk>
      <rc t="1" v="10384"/>
    </bk>
    <bk>
      <rc t="1" v="10385"/>
    </bk>
    <bk>
      <rc t="1" v="10386"/>
    </bk>
    <bk>
      <rc t="1" v="10387"/>
    </bk>
    <bk>
      <rc t="1" v="10388"/>
    </bk>
    <bk>
      <rc t="1" v="10389"/>
    </bk>
    <bk>
      <rc t="1" v="10390"/>
    </bk>
    <bk>
      <rc t="1" v="10391"/>
    </bk>
    <bk>
      <rc t="1" v="10392"/>
    </bk>
    <bk>
      <rc t="1" v="10393"/>
    </bk>
    <bk>
      <rc t="1" v="10394"/>
    </bk>
    <bk>
      <rc t="1" v="10395"/>
    </bk>
    <bk>
      <rc t="1" v="10396"/>
    </bk>
    <bk>
      <rc t="1" v="10397"/>
    </bk>
    <bk>
      <rc t="1" v="10398"/>
    </bk>
    <bk>
      <rc t="1" v="10399"/>
    </bk>
    <bk>
      <rc t="1" v="10400"/>
    </bk>
    <bk>
      <rc t="1" v="10401"/>
    </bk>
    <bk>
      <rc t="1" v="10402"/>
    </bk>
    <bk>
      <rc t="1" v="10403"/>
    </bk>
    <bk>
      <rc t="1" v="10404"/>
    </bk>
    <bk>
      <rc t="1" v="10405"/>
    </bk>
    <bk>
      <rc t="1" v="10406"/>
    </bk>
    <bk>
      <rc t="1" v="10407"/>
    </bk>
    <bk>
      <rc t="1" v="10408"/>
    </bk>
    <bk>
      <rc t="1" v="10409"/>
    </bk>
    <bk>
      <rc t="1" v="10410"/>
    </bk>
    <bk>
      <rc t="1" v="10411"/>
    </bk>
    <bk>
      <rc t="1" v="10412"/>
    </bk>
    <bk>
      <rc t="1" v="10413"/>
    </bk>
    <bk>
      <rc t="1" v="10414"/>
    </bk>
    <bk>
      <rc t="1" v="10415"/>
    </bk>
    <bk>
      <rc t="1" v="10416"/>
    </bk>
    <bk>
      <rc t="1" v="10417"/>
    </bk>
    <bk>
      <rc t="1" v="10418"/>
    </bk>
    <bk>
      <rc t="1" v="10419"/>
    </bk>
    <bk>
      <rc t="1" v="10420"/>
    </bk>
    <bk>
      <rc t="1" v="10421"/>
    </bk>
    <bk>
      <rc t="1" v="10422"/>
    </bk>
    <bk>
      <rc t="1" v="10423"/>
    </bk>
    <bk>
      <rc t="1" v="10424"/>
    </bk>
    <bk>
      <rc t="1" v="10425"/>
    </bk>
    <bk>
      <rc t="1" v="10426"/>
    </bk>
    <bk>
      <rc t="1" v="10427"/>
    </bk>
    <bk>
      <rc t="1" v="10428"/>
    </bk>
    <bk>
      <rc t="1" v="10429"/>
    </bk>
    <bk>
      <rc t="1" v="10430"/>
    </bk>
    <bk>
      <rc t="1" v="10431"/>
    </bk>
    <bk>
      <rc t="1" v="10432"/>
    </bk>
    <bk>
      <rc t="1" v="10433"/>
    </bk>
    <bk>
      <rc t="1" v="10434"/>
    </bk>
    <bk>
      <rc t="1" v="10435"/>
    </bk>
    <bk>
      <rc t="1" v="10436"/>
    </bk>
    <bk>
      <rc t="1" v="10437"/>
    </bk>
    <bk>
      <rc t="1" v="10438"/>
    </bk>
    <bk>
      <rc t="1" v="10439"/>
    </bk>
    <bk>
      <rc t="1" v="10440"/>
    </bk>
    <bk>
      <rc t="1" v="10441"/>
    </bk>
    <bk>
      <rc t="1" v="10442"/>
    </bk>
    <bk>
      <rc t="1" v="10443"/>
    </bk>
    <bk>
      <rc t="1" v="10444"/>
    </bk>
    <bk>
      <rc t="1" v="10445"/>
    </bk>
    <bk>
      <rc t="1" v="10446"/>
    </bk>
    <bk>
      <rc t="1" v="10447"/>
    </bk>
    <bk>
      <rc t="1" v="10448"/>
    </bk>
    <bk>
      <rc t="1" v="10449"/>
    </bk>
    <bk>
      <rc t="1" v="10450"/>
    </bk>
    <bk>
      <rc t="1" v="10451"/>
    </bk>
    <bk>
      <rc t="1" v="10452"/>
    </bk>
    <bk>
      <rc t="1" v="10453"/>
    </bk>
    <bk>
      <rc t="1" v="10454"/>
    </bk>
    <bk>
      <rc t="1" v="10455"/>
    </bk>
    <bk>
      <rc t="1" v="10456"/>
    </bk>
    <bk>
      <rc t="1" v="10457"/>
    </bk>
    <bk>
      <rc t="1" v="10458"/>
    </bk>
    <bk>
      <rc t="1" v="10459"/>
    </bk>
    <bk>
      <rc t="1" v="10460"/>
    </bk>
    <bk>
      <rc t="1" v="10461"/>
    </bk>
    <bk>
      <rc t="1" v="10462"/>
    </bk>
    <bk>
      <rc t="1" v="10463"/>
    </bk>
    <bk>
      <rc t="1" v="10464"/>
    </bk>
    <bk>
      <rc t="1" v="10465"/>
    </bk>
    <bk>
      <rc t="1" v="10466"/>
    </bk>
    <bk>
      <rc t="1" v="10467"/>
    </bk>
    <bk>
      <rc t="1" v="10468"/>
    </bk>
    <bk>
      <rc t="1" v="10469"/>
    </bk>
    <bk>
      <rc t="1" v="10470"/>
    </bk>
    <bk>
      <rc t="1" v="10471"/>
    </bk>
    <bk>
      <rc t="1" v="10472"/>
    </bk>
    <bk>
      <rc t="1" v="10473"/>
    </bk>
    <bk>
      <rc t="1" v="10474"/>
    </bk>
    <bk>
      <rc t="1" v="10475"/>
    </bk>
    <bk>
      <rc t="1" v="10476"/>
    </bk>
    <bk>
      <rc t="1" v="10477"/>
    </bk>
    <bk>
      <rc t="1" v="10478"/>
    </bk>
    <bk>
      <rc t="1" v="10479"/>
    </bk>
    <bk>
      <rc t="1" v="10480"/>
    </bk>
    <bk>
      <rc t="1" v="10481"/>
    </bk>
    <bk>
      <rc t="1" v="10482"/>
    </bk>
    <bk>
      <rc t="1" v="10483"/>
    </bk>
    <bk>
      <rc t="1" v="10484"/>
    </bk>
    <bk>
      <rc t="1" v="10485"/>
    </bk>
    <bk>
      <rc t="1" v="10486"/>
    </bk>
    <bk>
      <rc t="1" v="10487"/>
    </bk>
    <bk>
      <rc t="1" v="10488"/>
    </bk>
    <bk>
      <rc t="1" v="10489"/>
    </bk>
    <bk>
      <rc t="1" v="10490"/>
    </bk>
    <bk>
      <rc t="1" v="10491"/>
    </bk>
    <bk>
      <rc t="1" v="10492"/>
    </bk>
    <bk>
      <rc t="1" v="10493"/>
    </bk>
    <bk>
      <rc t="1" v="10494"/>
    </bk>
    <bk>
      <rc t="1" v="10495"/>
    </bk>
    <bk>
      <rc t="1" v="10496"/>
    </bk>
    <bk>
      <rc t="1" v="10497"/>
    </bk>
    <bk>
      <rc t="1" v="10498"/>
    </bk>
    <bk>
      <rc t="1" v="10499"/>
    </bk>
    <bk>
      <rc t="1" v="10500"/>
    </bk>
    <bk>
      <rc t="1" v="10501"/>
    </bk>
    <bk>
      <rc t="1" v="10502"/>
    </bk>
    <bk>
      <rc t="1" v="10503"/>
    </bk>
    <bk>
      <rc t="1" v="10504"/>
    </bk>
    <bk>
      <rc t="1" v="10505"/>
    </bk>
    <bk>
      <rc t="1" v="10506"/>
    </bk>
    <bk>
      <rc t="1" v="10507"/>
    </bk>
    <bk>
      <rc t="1" v="10508"/>
    </bk>
    <bk>
      <rc t="1" v="10509"/>
    </bk>
    <bk>
      <rc t="1" v="10510"/>
    </bk>
    <bk>
      <rc t="1" v="10511"/>
    </bk>
    <bk>
      <rc t="1" v="10512"/>
    </bk>
    <bk>
      <rc t="1" v="10513"/>
    </bk>
    <bk>
      <rc t="1" v="10514"/>
    </bk>
    <bk>
      <rc t="1" v="10515"/>
    </bk>
    <bk>
      <rc t="1" v="10516"/>
    </bk>
    <bk>
      <rc t="1" v="10517"/>
    </bk>
    <bk>
      <rc t="1" v="10518"/>
    </bk>
    <bk>
      <rc t="1" v="10519"/>
    </bk>
    <bk>
      <rc t="1" v="10520"/>
    </bk>
    <bk>
      <rc t="1" v="10521"/>
    </bk>
    <bk>
      <rc t="1" v="10522"/>
    </bk>
    <bk>
      <rc t="1" v="10523"/>
    </bk>
    <bk>
      <rc t="1" v="10524"/>
    </bk>
    <bk>
      <rc t="1" v="10525"/>
    </bk>
    <bk>
      <rc t="1" v="10526"/>
    </bk>
    <bk>
      <rc t="1" v="10527"/>
    </bk>
    <bk>
      <rc t="1" v="10528"/>
    </bk>
    <bk>
      <rc t="1" v="10529"/>
    </bk>
    <bk>
      <rc t="1" v="10530"/>
    </bk>
    <bk>
      <rc t="1" v="10531"/>
    </bk>
    <bk>
      <rc t="1" v="10532"/>
    </bk>
    <bk>
      <rc t="1" v="10533"/>
    </bk>
    <bk>
      <rc t="1" v="10534"/>
    </bk>
    <bk>
      <rc t="1" v="10535"/>
    </bk>
    <bk>
      <rc t="1" v="10536"/>
    </bk>
    <bk>
      <rc t="1" v="10537"/>
    </bk>
    <bk>
      <rc t="1" v="10538"/>
    </bk>
    <bk>
      <rc t="1" v="10539"/>
    </bk>
    <bk>
      <rc t="1" v="10540"/>
    </bk>
    <bk>
      <rc t="1" v="10541"/>
    </bk>
    <bk>
      <rc t="1" v="10542"/>
    </bk>
    <bk>
      <rc t="1" v="10543"/>
    </bk>
    <bk>
      <rc t="1" v="10544"/>
    </bk>
    <bk>
      <rc t="1" v="10545"/>
    </bk>
    <bk>
      <rc t="1" v="10546"/>
    </bk>
    <bk>
      <rc t="1" v="10547"/>
    </bk>
    <bk>
      <rc t="1" v="10548"/>
    </bk>
    <bk>
      <rc t="1" v="10549"/>
    </bk>
    <bk>
      <rc t="1" v="10550"/>
    </bk>
    <bk>
      <rc t="1" v="10551"/>
    </bk>
    <bk>
      <rc t="1" v="10552"/>
    </bk>
    <bk>
      <rc t="1" v="10553"/>
    </bk>
    <bk>
      <rc t="1" v="10554"/>
    </bk>
    <bk>
      <rc t="1" v="10555"/>
    </bk>
    <bk>
      <rc t="1" v="10556"/>
    </bk>
    <bk>
      <rc t="1" v="10557"/>
    </bk>
    <bk>
      <rc t="1" v="10558"/>
    </bk>
    <bk>
      <rc t="1" v="10559"/>
    </bk>
    <bk>
      <rc t="1" v="10560"/>
    </bk>
    <bk>
      <rc t="1" v="10561"/>
    </bk>
    <bk>
      <rc t="1" v="10562"/>
    </bk>
    <bk>
      <rc t="1" v="10563"/>
    </bk>
    <bk>
      <rc t="1" v="10564"/>
    </bk>
    <bk>
      <rc t="1" v="10565"/>
    </bk>
    <bk>
      <rc t="1" v="10566"/>
    </bk>
    <bk>
      <rc t="1" v="10567"/>
    </bk>
    <bk>
      <rc t="1" v="10568"/>
    </bk>
    <bk>
      <rc t="1" v="10569"/>
    </bk>
    <bk>
      <rc t="1" v="10570"/>
    </bk>
    <bk>
      <rc t="1" v="10571"/>
    </bk>
    <bk>
      <rc t="1" v="10572"/>
    </bk>
    <bk>
      <rc t="1" v="10573"/>
    </bk>
    <bk>
      <rc t="1" v="10574"/>
    </bk>
    <bk>
      <rc t="1" v="10575"/>
    </bk>
    <bk>
      <rc t="1" v="10576"/>
    </bk>
    <bk>
      <rc t="1" v="10577"/>
    </bk>
    <bk>
      <rc t="1" v="10578"/>
    </bk>
    <bk>
      <rc t="1" v="10579"/>
    </bk>
    <bk>
      <rc t="1" v="10580"/>
    </bk>
    <bk>
      <rc t="1" v="10581"/>
    </bk>
    <bk>
      <rc t="1" v="10582"/>
    </bk>
    <bk>
      <rc t="1" v="10583"/>
    </bk>
    <bk>
      <rc t="1" v="10584"/>
    </bk>
    <bk>
      <rc t="1" v="10585"/>
    </bk>
    <bk>
      <rc t="1" v="10586"/>
    </bk>
    <bk>
      <rc t="1" v="10587"/>
    </bk>
    <bk>
      <rc t="1" v="10588"/>
    </bk>
    <bk>
      <rc t="1" v="10589"/>
    </bk>
    <bk>
      <rc t="1" v="10590"/>
    </bk>
    <bk>
      <rc t="1" v="10591"/>
    </bk>
    <bk>
      <rc t="1" v="10592"/>
    </bk>
    <bk>
      <rc t="1" v="10593"/>
    </bk>
    <bk>
      <rc t="1" v="10594"/>
    </bk>
    <bk>
      <rc t="1" v="10595"/>
    </bk>
    <bk>
      <rc t="1" v="10596"/>
    </bk>
    <bk>
      <rc t="1" v="10597"/>
    </bk>
    <bk>
      <rc t="1" v="10598"/>
    </bk>
    <bk>
      <rc t="1" v="10599"/>
    </bk>
    <bk>
      <rc t="1" v="10600"/>
    </bk>
    <bk>
      <rc t="1" v="10601"/>
    </bk>
    <bk>
      <rc t="1" v="10602"/>
    </bk>
    <bk>
      <rc t="1" v="10603"/>
    </bk>
    <bk>
      <rc t="1" v="10604"/>
    </bk>
    <bk>
      <rc t="1" v="10605"/>
    </bk>
    <bk>
      <rc t="1" v="10606"/>
    </bk>
    <bk>
      <rc t="1" v="10607"/>
    </bk>
    <bk>
      <rc t="1" v="10608"/>
    </bk>
    <bk>
      <rc t="1" v="10609"/>
    </bk>
    <bk>
      <rc t="1" v="10610"/>
    </bk>
    <bk>
      <rc t="1" v="10611"/>
    </bk>
    <bk>
      <rc t="1" v="10612"/>
    </bk>
    <bk>
      <rc t="1" v="10613"/>
    </bk>
    <bk>
      <rc t="1" v="10614"/>
    </bk>
    <bk>
      <rc t="1" v="10615"/>
    </bk>
    <bk>
      <rc t="1" v="10616"/>
    </bk>
    <bk>
      <rc t="1" v="10617"/>
    </bk>
    <bk>
      <rc t="1" v="10618"/>
    </bk>
    <bk>
      <rc t="1" v="10619"/>
    </bk>
    <bk>
      <rc t="1" v="10620"/>
    </bk>
    <bk>
      <rc t="1" v="10621"/>
    </bk>
    <bk>
      <rc t="1" v="10622"/>
    </bk>
    <bk>
      <rc t="1" v="10623"/>
    </bk>
    <bk>
      <rc t="1" v="10624"/>
    </bk>
    <bk>
      <rc t="1" v="10625"/>
    </bk>
    <bk>
      <rc t="1" v="10626"/>
    </bk>
    <bk>
      <rc t="1" v="10627"/>
    </bk>
    <bk>
      <rc t="1" v="10628"/>
    </bk>
    <bk>
      <rc t="1" v="10629"/>
    </bk>
    <bk>
      <rc t="1" v="10630"/>
    </bk>
    <bk>
      <rc t="1" v="10631"/>
    </bk>
    <bk>
      <rc t="1" v="10632"/>
    </bk>
    <bk>
      <rc t="1" v="10633"/>
    </bk>
    <bk>
      <rc t="1" v="10634"/>
    </bk>
    <bk>
      <rc t="1" v="10635"/>
    </bk>
    <bk>
      <rc t="1" v="10636"/>
    </bk>
    <bk>
      <rc t="1" v="10637"/>
    </bk>
    <bk>
      <rc t="1" v="10638"/>
    </bk>
    <bk>
      <rc t="1" v="10639"/>
    </bk>
    <bk>
      <rc t="1" v="10640"/>
    </bk>
    <bk>
      <rc t="1" v="10641"/>
    </bk>
    <bk>
      <rc t="1" v="10642"/>
    </bk>
    <bk>
      <rc t="1" v="10643"/>
    </bk>
    <bk>
      <rc t="1" v="10644"/>
    </bk>
    <bk>
      <rc t="1" v="10645"/>
    </bk>
    <bk>
      <rc t="1" v="10646"/>
    </bk>
    <bk>
      <rc t="1" v="10647"/>
    </bk>
    <bk>
      <rc t="1" v="10648"/>
    </bk>
    <bk>
      <rc t="1" v="10649"/>
    </bk>
    <bk>
      <rc t="1" v="10650"/>
    </bk>
    <bk>
      <rc t="1" v="10651"/>
    </bk>
    <bk>
      <rc t="1" v="10652"/>
    </bk>
    <bk>
      <rc t="1" v="10653"/>
    </bk>
    <bk>
      <rc t="1" v="10654"/>
    </bk>
    <bk>
      <rc t="1" v="10655"/>
    </bk>
    <bk>
      <rc t="1" v="10656"/>
    </bk>
    <bk>
      <rc t="1" v="10657"/>
    </bk>
    <bk>
      <rc t="1" v="10658"/>
    </bk>
    <bk>
      <rc t="1" v="10659"/>
    </bk>
    <bk>
      <rc t="1" v="10660"/>
    </bk>
    <bk>
      <rc t="1" v="10661"/>
    </bk>
    <bk>
      <rc t="1" v="10662"/>
    </bk>
    <bk>
      <rc t="1" v="10663"/>
    </bk>
    <bk>
      <rc t="1" v="10664"/>
    </bk>
    <bk>
      <rc t="1" v="10665"/>
    </bk>
    <bk>
      <rc t="1" v="10666"/>
    </bk>
    <bk>
      <rc t="1" v="10667"/>
    </bk>
    <bk>
      <rc t="1" v="10668"/>
    </bk>
    <bk>
      <rc t="1" v="10669"/>
    </bk>
    <bk>
      <rc t="1" v="10670"/>
    </bk>
    <bk>
      <rc t="1" v="10671"/>
    </bk>
    <bk>
      <rc t="1" v="10672"/>
    </bk>
    <bk>
      <rc t="1" v="10673"/>
    </bk>
    <bk>
      <rc t="1" v="10674"/>
    </bk>
    <bk>
      <rc t="1" v="10675"/>
    </bk>
    <bk>
      <rc t="1" v="10676"/>
    </bk>
    <bk>
      <rc t="1" v="10677"/>
    </bk>
    <bk>
      <rc t="1" v="10678"/>
    </bk>
    <bk>
      <rc t="1" v="10679"/>
    </bk>
    <bk>
      <rc t="1" v="10680"/>
    </bk>
    <bk>
      <rc t="1" v="10681"/>
    </bk>
    <bk>
      <rc t="1" v="10682"/>
    </bk>
    <bk>
      <rc t="1" v="10683"/>
    </bk>
    <bk>
      <rc t="1" v="10684"/>
    </bk>
    <bk>
      <rc t="1" v="10685"/>
    </bk>
    <bk>
      <rc t="1" v="10686"/>
    </bk>
    <bk>
      <rc t="1" v="10687"/>
    </bk>
    <bk>
      <rc t="1" v="10688"/>
    </bk>
    <bk>
      <rc t="1" v="10689"/>
    </bk>
    <bk>
      <rc t="1" v="10690"/>
    </bk>
    <bk>
      <rc t="1" v="10691"/>
    </bk>
    <bk>
      <rc t="1" v="10692"/>
    </bk>
    <bk>
      <rc t="1" v="10693"/>
    </bk>
    <bk>
      <rc t="1" v="10694"/>
    </bk>
    <bk>
      <rc t="1" v="10695"/>
    </bk>
    <bk>
      <rc t="1" v="10696"/>
    </bk>
    <bk>
      <rc t="1" v="10697"/>
    </bk>
    <bk>
      <rc t="1" v="10698"/>
    </bk>
    <bk>
      <rc t="1" v="10699"/>
    </bk>
    <bk>
      <rc t="1" v="10700"/>
    </bk>
    <bk>
      <rc t="1" v="10701"/>
    </bk>
    <bk>
      <rc t="1" v="10702"/>
    </bk>
    <bk>
      <rc t="1" v="10703"/>
    </bk>
    <bk>
      <rc t="1" v="10704"/>
    </bk>
    <bk>
      <rc t="1" v="10705"/>
    </bk>
    <bk>
      <rc t="1" v="10706"/>
    </bk>
    <bk>
      <rc t="1" v="10707"/>
    </bk>
    <bk>
      <rc t="1" v="10708"/>
    </bk>
    <bk>
      <rc t="1" v="10709"/>
    </bk>
    <bk>
      <rc t="1" v="10710"/>
    </bk>
    <bk>
      <rc t="1" v="10711"/>
    </bk>
    <bk>
      <rc t="1" v="10712"/>
    </bk>
    <bk>
      <rc t="1" v="10713"/>
    </bk>
    <bk>
      <rc t="1" v="10714"/>
    </bk>
    <bk>
      <rc t="1" v="10715"/>
    </bk>
    <bk>
      <rc t="1" v="10716"/>
    </bk>
    <bk>
      <rc t="1" v="10717"/>
    </bk>
    <bk>
      <rc t="1" v="10718"/>
    </bk>
    <bk>
      <rc t="1" v="10719"/>
    </bk>
    <bk>
      <rc t="1" v="10720"/>
    </bk>
    <bk>
      <rc t="1" v="10721"/>
    </bk>
    <bk>
      <rc t="1" v="10722"/>
    </bk>
    <bk>
      <rc t="1" v="10723"/>
    </bk>
    <bk>
      <rc t="1" v="10724"/>
    </bk>
    <bk>
      <rc t="1" v="10725"/>
    </bk>
    <bk>
      <rc t="1" v="10726"/>
    </bk>
    <bk>
      <rc t="1" v="10727"/>
    </bk>
    <bk>
      <rc t="1" v="10728"/>
    </bk>
    <bk>
      <rc t="1" v="10729"/>
    </bk>
    <bk>
      <rc t="1" v="10730"/>
    </bk>
    <bk>
      <rc t="1" v="10731"/>
    </bk>
    <bk>
      <rc t="1" v="10732"/>
    </bk>
    <bk>
      <rc t="1" v="10733"/>
    </bk>
    <bk>
      <rc t="1" v="10734"/>
    </bk>
    <bk>
      <rc t="1" v="10735"/>
    </bk>
    <bk>
      <rc t="1" v="10736"/>
    </bk>
    <bk>
      <rc t="1" v="10737"/>
    </bk>
    <bk>
      <rc t="1" v="10738"/>
    </bk>
    <bk>
      <rc t="1" v="10739"/>
    </bk>
    <bk>
      <rc t="1" v="10740"/>
    </bk>
    <bk>
      <rc t="1" v="10741"/>
    </bk>
    <bk>
      <rc t="1" v="10742"/>
    </bk>
    <bk>
      <rc t="1" v="10743"/>
    </bk>
    <bk>
      <rc t="1" v="10744"/>
    </bk>
    <bk>
      <rc t="1" v="10745"/>
    </bk>
    <bk>
      <rc t="1" v="10746"/>
    </bk>
    <bk>
      <rc t="1" v="10747"/>
    </bk>
    <bk>
      <rc t="1" v="10748"/>
    </bk>
    <bk>
      <rc t="1" v="10749"/>
    </bk>
    <bk>
      <rc t="1" v="10750"/>
    </bk>
    <bk>
      <rc t="1" v="10751"/>
    </bk>
    <bk>
      <rc t="1" v="10752"/>
    </bk>
    <bk>
      <rc t="1" v="10753"/>
    </bk>
    <bk>
      <rc t="1" v="10754"/>
    </bk>
    <bk>
      <rc t="1" v="10755"/>
    </bk>
    <bk>
      <rc t="1" v="10756"/>
    </bk>
    <bk>
      <rc t="1" v="10757"/>
    </bk>
    <bk>
      <rc t="1" v="10758"/>
    </bk>
    <bk>
      <rc t="1" v="10759"/>
    </bk>
    <bk>
      <rc t="1" v="10760"/>
    </bk>
    <bk>
      <rc t="1" v="10761"/>
    </bk>
    <bk>
      <rc t="1" v="10762"/>
    </bk>
    <bk>
      <rc t="1" v="10763"/>
    </bk>
    <bk>
      <rc t="1" v="10764"/>
    </bk>
    <bk>
      <rc t="1" v="10765"/>
    </bk>
    <bk>
      <rc t="1" v="10766"/>
    </bk>
    <bk>
      <rc t="1" v="10767"/>
    </bk>
    <bk>
      <rc t="1" v="10768"/>
    </bk>
    <bk>
      <rc t="1" v="10769"/>
    </bk>
    <bk>
      <rc t="1" v="10770"/>
    </bk>
    <bk>
      <rc t="1" v="10771"/>
    </bk>
    <bk>
      <rc t="1" v="10772"/>
    </bk>
    <bk>
      <rc t="1" v="10773"/>
    </bk>
    <bk>
      <rc t="1" v="10774"/>
    </bk>
    <bk>
      <rc t="1" v="10775"/>
    </bk>
    <bk>
      <rc t="1" v="10776"/>
    </bk>
    <bk>
      <rc t="1" v="10777"/>
    </bk>
    <bk>
      <rc t="1" v="10778"/>
    </bk>
    <bk>
      <rc t="1" v="10779"/>
    </bk>
    <bk>
      <rc t="1" v="10780"/>
    </bk>
    <bk>
      <rc t="1" v="10781"/>
    </bk>
    <bk>
      <rc t="1" v="10782"/>
    </bk>
    <bk>
      <rc t="1" v="10783"/>
    </bk>
    <bk>
      <rc t="1" v="10784"/>
    </bk>
    <bk>
      <rc t="1" v="10785"/>
    </bk>
    <bk>
      <rc t="1" v="10786"/>
    </bk>
    <bk>
      <rc t="1" v="10787"/>
    </bk>
    <bk>
      <rc t="1" v="10788"/>
    </bk>
    <bk>
      <rc t="1" v="10789"/>
    </bk>
    <bk>
      <rc t="1" v="10790"/>
    </bk>
    <bk>
      <rc t="1" v="10791"/>
    </bk>
    <bk>
      <rc t="1" v="10792"/>
    </bk>
    <bk>
      <rc t="1" v="10793"/>
    </bk>
    <bk>
      <rc t="1" v="10794"/>
    </bk>
    <bk>
      <rc t="1" v="10795"/>
    </bk>
    <bk>
      <rc t="1" v="10796"/>
    </bk>
    <bk>
      <rc t="1" v="10797"/>
    </bk>
    <bk>
      <rc t="1" v="10798"/>
    </bk>
    <bk>
      <rc t="1" v="10799"/>
    </bk>
    <bk>
      <rc t="1" v="10800"/>
    </bk>
    <bk>
      <rc t="1" v="10801"/>
    </bk>
    <bk>
      <rc t="1" v="10802"/>
    </bk>
    <bk>
      <rc t="1" v="10803"/>
    </bk>
    <bk>
      <rc t="1" v="10804"/>
    </bk>
    <bk>
      <rc t="1" v="10805"/>
    </bk>
    <bk>
      <rc t="1" v="10806"/>
    </bk>
    <bk>
      <rc t="1" v="10807"/>
    </bk>
    <bk>
      <rc t="1" v="10808"/>
    </bk>
    <bk>
      <rc t="1" v="10809"/>
    </bk>
    <bk>
      <rc t="1" v="10810"/>
    </bk>
    <bk>
      <rc t="1" v="10811"/>
    </bk>
    <bk>
      <rc t="1" v="10812"/>
    </bk>
    <bk>
      <rc t="1" v="10813"/>
    </bk>
    <bk>
      <rc t="1" v="10814"/>
    </bk>
    <bk>
      <rc t="1" v="10815"/>
    </bk>
    <bk>
      <rc t="1" v="10816"/>
    </bk>
    <bk>
      <rc t="1" v="10817"/>
    </bk>
    <bk>
      <rc t="1" v="10818"/>
    </bk>
    <bk>
      <rc t="1" v="10819"/>
    </bk>
    <bk>
      <rc t="1" v="10820"/>
    </bk>
    <bk>
      <rc t="1" v="10821"/>
    </bk>
    <bk>
      <rc t="1" v="10822"/>
    </bk>
    <bk>
      <rc t="1" v="10823"/>
    </bk>
    <bk>
      <rc t="1" v="10824"/>
    </bk>
    <bk>
      <rc t="1" v="10825"/>
    </bk>
    <bk>
      <rc t="1" v="10826"/>
    </bk>
    <bk>
      <rc t="1" v="10827"/>
    </bk>
    <bk>
      <rc t="1" v="10828"/>
    </bk>
    <bk>
      <rc t="1" v="10829"/>
    </bk>
    <bk>
      <rc t="1" v="10830"/>
    </bk>
    <bk>
      <rc t="1" v="10831"/>
    </bk>
    <bk>
      <rc t="1" v="10832"/>
    </bk>
    <bk>
      <rc t="1" v="10833"/>
    </bk>
    <bk>
      <rc t="1" v="10834"/>
    </bk>
    <bk>
      <rc t="1" v="10835"/>
    </bk>
    <bk>
      <rc t="1" v="10836"/>
    </bk>
    <bk>
      <rc t="1" v="10837"/>
    </bk>
    <bk>
      <rc t="1" v="10838"/>
    </bk>
    <bk>
      <rc t="1" v="10839"/>
    </bk>
    <bk>
      <rc t="1" v="10840"/>
    </bk>
    <bk>
      <rc t="1" v="10841"/>
    </bk>
    <bk>
      <rc t="1" v="10842"/>
    </bk>
    <bk>
      <rc t="1" v="10843"/>
    </bk>
    <bk>
      <rc t="1" v="10844"/>
    </bk>
    <bk>
      <rc t="1" v="10845"/>
    </bk>
    <bk>
      <rc t="1" v="10846"/>
    </bk>
    <bk>
      <rc t="1" v="10847"/>
    </bk>
    <bk>
      <rc t="1" v="10848"/>
    </bk>
    <bk>
      <rc t="1" v="10849"/>
    </bk>
    <bk>
      <rc t="1" v="10850"/>
    </bk>
    <bk>
      <rc t="1" v="10851"/>
    </bk>
    <bk>
      <rc t="1" v="10852"/>
    </bk>
    <bk>
      <rc t="1" v="10853"/>
    </bk>
    <bk>
      <rc t="1" v="10854"/>
    </bk>
    <bk>
      <rc t="1" v="10855"/>
    </bk>
    <bk>
      <rc t="1" v="10856"/>
    </bk>
    <bk>
      <rc t="1" v="10857"/>
    </bk>
    <bk>
      <rc t="1" v="10858"/>
    </bk>
    <bk>
      <rc t="1" v="10859"/>
    </bk>
    <bk>
      <rc t="1" v="10860"/>
    </bk>
    <bk>
      <rc t="1" v="10861"/>
    </bk>
    <bk>
      <rc t="1" v="10862"/>
    </bk>
    <bk>
      <rc t="1" v="10863"/>
    </bk>
    <bk>
      <rc t="1" v="10864"/>
    </bk>
    <bk>
      <rc t="1" v="10865"/>
    </bk>
    <bk>
      <rc t="1" v="10866"/>
    </bk>
    <bk>
      <rc t="1" v="10867"/>
    </bk>
    <bk>
      <rc t="1" v="10868"/>
    </bk>
    <bk>
      <rc t="1" v="10869"/>
    </bk>
    <bk>
      <rc t="1" v="10870"/>
    </bk>
    <bk>
      <rc t="1" v="10871"/>
    </bk>
    <bk>
      <rc t="1" v="10872"/>
    </bk>
    <bk>
      <rc t="1" v="10873"/>
    </bk>
    <bk>
      <rc t="1" v="10874"/>
    </bk>
    <bk>
      <rc t="1" v="10875"/>
    </bk>
    <bk>
      <rc t="1" v="10876"/>
    </bk>
    <bk>
      <rc t="1" v="10877"/>
    </bk>
    <bk>
      <rc t="1" v="10878"/>
    </bk>
    <bk>
      <rc t="1" v="10879"/>
    </bk>
    <bk>
      <rc t="1" v="10880"/>
    </bk>
    <bk>
      <rc t="1" v="10881"/>
    </bk>
    <bk>
      <rc t="1" v="10882"/>
    </bk>
    <bk>
      <rc t="1" v="10883"/>
    </bk>
    <bk>
      <rc t="1" v="10884"/>
    </bk>
    <bk>
      <rc t="1" v="10885"/>
    </bk>
    <bk>
      <rc t="1" v="10886"/>
    </bk>
    <bk>
      <rc t="1" v="10887"/>
    </bk>
    <bk>
      <rc t="1" v="10888"/>
    </bk>
    <bk>
      <rc t="1" v="10889"/>
    </bk>
    <bk>
      <rc t="1" v="10890"/>
    </bk>
    <bk>
      <rc t="1" v="10891"/>
    </bk>
    <bk>
      <rc t="1" v="10892"/>
    </bk>
    <bk>
      <rc t="1" v="10893"/>
    </bk>
    <bk>
      <rc t="1" v="10894"/>
    </bk>
    <bk>
      <rc t="1" v="10895"/>
    </bk>
    <bk>
      <rc t="1" v="10896"/>
    </bk>
    <bk>
      <rc t="1" v="10897"/>
    </bk>
    <bk>
      <rc t="1" v="10898"/>
    </bk>
    <bk>
      <rc t="1" v="10899"/>
    </bk>
    <bk>
      <rc t="1" v="10900"/>
    </bk>
    <bk>
      <rc t="1" v="10901"/>
    </bk>
    <bk>
      <rc t="1" v="10902"/>
    </bk>
    <bk>
      <rc t="1" v="10903"/>
    </bk>
    <bk>
      <rc t="1" v="10904"/>
    </bk>
    <bk>
      <rc t="1" v="10905"/>
    </bk>
    <bk>
      <rc t="1" v="10906"/>
    </bk>
    <bk>
      <rc t="1" v="10907"/>
    </bk>
    <bk>
      <rc t="1" v="10908"/>
    </bk>
    <bk>
      <rc t="1" v="10909"/>
    </bk>
    <bk>
      <rc t="1" v="10910"/>
    </bk>
    <bk>
      <rc t="1" v="10911"/>
    </bk>
    <bk>
      <rc t="1" v="10912"/>
    </bk>
    <bk>
      <rc t="1" v="10913"/>
    </bk>
    <bk>
      <rc t="1" v="10914"/>
    </bk>
    <bk>
      <rc t="1" v="10915"/>
    </bk>
    <bk>
      <rc t="1" v="10916"/>
    </bk>
    <bk>
      <rc t="1" v="10917"/>
    </bk>
    <bk>
      <rc t="1" v="10918"/>
    </bk>
    <bk>
      <rc t="1" v="10919"/>
    </bk>
    <bk>
      <rc t="1" v="10920"/>
    </bk>
    <bk>
      <rc t="1" v="10921"/>
    </bk>
    <bk>
      <rc t="1" v="10922"/>
    </bk>
    <bk>
      <rc t="1" v="10923"/>
    </bk>
    <bk>
      <rc t="1" v="10924"/>
    </bk>
    <bk>
      <rc t="1" v="10925"/>
    </bk>
    <bk>
      <rc t="1" v="10926"/>
    </bk>
    <bk>
      <rc t="1" v="10927"/>
    </bk>
    <bk>
      <rc t="1" v="10928"/>
    </bk>
    <bk>
      <rc t="1" v="10929"/>
    </bk>
    <bk>
      <rc t="1" v="10930"/>
    </bk>
    <bk>
      <rc t="1" v="10931"/>
    </bk>
    <bk>
      <rc t="1" v="10932"/>
    </bk>
    <bk>
      <rc t="1" v="10933"/>
    </bk>
    <bk>
      <rc t="1" v="10934"/>
    </bk>
    <bk>
      <rc t="1" v="10935"/>
    </bk>
    <bk>
      <rc t="1" v="10936"/>
    </bk>
    <bk>
      <rc t="1" v="10937"/>
    </bk>
    <bk>
      <rc t="1" v="10938"/>
    </bk>
    <bk>
      <rc t="1" v="10939"/>
    </bk>
    <bk>
      <rc t="1" v="10940"/>
    </bk>
    <bk>
      <rc t="1" v="10941"/>
    </bk>
    <bk>
      <rc t="1" v="10942"/>
    </bk>
    <bk>
      <rc t="1" v="10943"/>
    </bk>
    <bk>
      <rc t="1" v="10944"/>
    </bk>
    <bk>
      <rc t="1" v="10945"/>
    </bk>
    <bk>
      <rc t="1" v="10946"/>
    </bk>
    <bk>
      <rc t="1" v="10947"/>
    </bk>
    <bk>
      <rc t="1" v="10948"/>
    </bk>
    <bk>
      <rc t="1" v="10949"/>
    </bk>
    <bk>
      <rc t="1" v="10950"/>
    </bk>
    <bk>
      <rc t="1" v="10951"/>
    </bk>
    <bk>
      <rc t="1" v="10952"/>
    </bk>
    <bk>
      <rc t="1" v="10953"/>
    </bk>
    <bk>
      <rc t="1" v="10954"/>
    </bk>
    <bk>
      <rc t="1" v="10955"/>
    </bk>
    <bk>
      <rc t="1" v="10956"/>
    </bk>
    <bk>
      <rc t="1" v="10957"/>
    </bk>
    <bk>
      <rc t="1" v="10958"/>
    </bk>
    <bk>
      <rc t="1" v="10959"/>
    </bk>
    <bk>
      <rc t="1" v="10960"/>
    </bk>
    <bk>
      <rc t="1" v="10961"/>
    </bk>
    <bk>
      <rc t="1" v="10962"/>
    </bk>
    <bk>
      <rc t="1" v="10963"/>
    </bk>
    <bk>
      <rc t="1" v="10964"/>
    </bk>
    <bk>
      <rc t="1" v="10965"/>
    </bk>
    <bk>
      <rc t="1" v="10966"/>
    </bk>
    <bk>
      <rc t="1" v="10967"/>
    </bk>
    <bk>
      <rc t="1" v="10968"/>
    </bk>
    <bk>
      <rc t="1" v="10969"/>
    </bk>
    <bk>
      <rc t="1" v="10970"/>
    </bk>
    <bk>
      <rc t="1" v="10971"/>
    </bk>
    <bk>
      <rc t="1" v="10972"/>
    </bk>
    <bk>
      <rc t="1" v="10973"/>
    </bk>
    <bk>
      <rc t="1" v="10974"/>
    </bk>
    <bk>
      <rc t="1" v="10975"/>
    </bk>
    <bk>
      <rc t="1" v="10976"/>
    </bk>
    <bk>
      <rc t="1" v="10977"/>
    </bk>
    <bk>
      <rc t="1" v="10978"/>
    </bk>
    <bk>
      <rc t="1" v="10979"/>
    </bk>
    <bk>
      <rc t="1" v="10980"/>
    </bk>
    <bk>
      <rc t="1" v="10981"/>
    </bk>
    <bk>
      <rc t="1" v="10982"/>
    </bk>
    <bk>
      <rc t="1" v="10983"/>
    </bk>
    <bk>
      <rc t="1" v="10984"/>
    </bk>
    <bk>
      <rc t="1" v="10985"/>
    </bk>
    <bk>
      <rc t="1" v="10986"/>
    </bk>
    <bk>
      <rc t="1" v="10987"/>
    </bk>
    <bk>
      <rc t="1" v="10988"/>
    </bk>
    <bk>
      <rc t="1" v="10989"/>
    </bk>
    <bk>
      <rc t="1" v="10990"/>
    </bk>
    <bk>
      <rc t="1" v="10991"/>
    </bk>
    <bk>
      <rc t="1" v="10992"/>
    </bk>
    <bk>
      <rc t="1" v="10993"/>
    </bk>
    <bk>
      <rc t="1" v="10994"/>
    </bk>
    <bk>
      <rc t="1" v="10995"/>
    </bk>
    <bk>
      <rc t="1" v="10996"/>
    </bk>
    <bk>
      <rc t="1" v="10997"/>
    </bk>
    <bk>
      <rc t="1" v="10998"/>
    </bk>
    <bk>
      <rc t="1" v="10999"/>
    </bk>
    <bk>
      <rc t="1" v="11000"/>
    </bk>
    <bk>
      <rc t="1" v="11001"/>
    </bk>
    <bk>
      <rc t="1" v="11002"/>
    </bk>
    <bk>
      <rc t="1" v="11003"/>
    </bk>
    <bk>
      <rc t="1" v="11004"/>
    </bk>
    <bk>
      <rc t="1" v="11005"/>
    </bk>
    <bk>
      <rc t="1" v="11006"/>
    </bk>
    <bk>
      <rc t="1" v="11007"/>
    </bk>
    <bk>
      <rc t="1" v="11008"/>
    </bk>
    <bk>
      <rc t="1" v="11009"/>
    </bk>
    <bk>
      <rc t="1" v="11010"/>
    </bk>
    <bk>
      <rc t="1" v="11011"/>
    </bk>
    <bk>
      <rc t="1" v="11012"/>
    </bk>
    <bk>
      <rc t="1" v="11013"/>
    </bk>
    <bk>
      <rc t="1" v="11014"/>
    </bk>
    <bk>
      <rc t="1" v="11015"/>
    </bk>
    <bk>
      <rc t="1" v="11016"/>
    </bk>
    <bk>
      <rc t="1" v="11017"/>
    </bk>
    <bk>
      <rc t="1" v="11018"/>
    </bk>
    <bk>
      <rc t="1" v="11019"/>
    </bk>
    <bk>
      <rc t="1" v="11020"/>
    </bk>
    <bk>
      <rc t="1" v="11021"/>
    </bk>
    <bk>
      <rc t="1" v="11022"/>
    </bk>
    <bk>
      <rc t="1" v="11023"/>
    </bk>
    <bk>
      <rc t="1" v="11024"/>
    </bk>
    <bk>
      <rc t="1" v="11025"/>
    </bk>
    <bk>
      <rc t="1" v="11026"/>
    </bk>
    <bk>
      <rc t="1" v="11027"/>
    </bk>
    <bk>
      <rc t="1" v="11028"/>
    </bk>
    <bk>
      <rc t="1" v="11029"/>
    </bk>
    <bk>
      <rc t="1" v="11030"/>
    </bk>
    <bk>
      <rc t="1" v="11031"/>
    </bk>
    <bk>
      <rc t="1" v="11032"/>
    </bk>
    <bk>
      <rc t="1" v="11033"/>
    </bk>
    <bk>
      <rc t="1" v="11034"/>
    </bk>
    <bk>
      <rc t="1" v="11035"/>
    </bk>
    <bk>
      <rc t="1" v="11036"/>
    </bk>
    <bk>
      <rc t="1" v="11037"/>
    </bk>
    <bk>
      <rc t="1" v="11038"/>
    </bk>
    <bk>
      <rc t="1" v="11039"/>
    </bk>
    <bk>
      <rc t="1" v="11040"/>
    </bk>
    <bk>
      <rc t="1" v="11041"/>
    </bk>
    <bk>
      <rc t="1" v="11042"/>
    </bk>
    <bk>
      <rc t="1" v="11043"/>
    </bk>
    <bk>
      <rc t="1" v="11044"/>
    </bk>
    <bk>
      <rc t="1" v="11045"/>
    </bk>
    <bk>
      <rc t="1" v="11046"/>
    </bk>
    <bk>
      <rc t="1" v="11047"/>
    </bk>
    <bk>
      <rc t="1" v="11048"/>
    </bk>
    <bk>
      <rc t="1" v="11049"/>
    </bk>
    <bk>
      <rc t="1" v="11050"/>
    </bk>
    <bk>
      <rc t="1" v="11051"/>
    </bk>
    <bk>
      <rc t="1" v="11052"/>
    </bk>
    <bk>
      <rc t="1" v="11053"/>
    </bk>
    <bk>
      <rc t="1" v="11054"/>
    </bk>
    <bk>
      <rc t="1" v="11055"/>
    </bk>
    <bk>
      <rc t="1" v="11056"/>
    </bk>
    <bk>
      <rc t="1" v="11057"/>
    </bk>
    <bk>
      <rc t="1" v="11058"/>
    </bk>
    <bk>
      <rc t="1" v="11059"/>
    </bk>
    <bk>
      <rc t="1" v="11060"/>
    </bk>
    <bk>
      <rc t="1" v="11061"/>
    </bk>
    <bk>
      <rc t="1" v="11062"/>
    </bk>
    <bk>
      <rc t="1" v="11063"/>
    </bk>
    <bk>
      <rc t="1" v="11064"/>
    </bk>
    <bk>
      <rc t="1" v="11065"/>
    </bk>
    <bk>
      <rc t="1" v="11066"/>
    </bk>
    <bk>
      <rc t="1" v="11067"/>
    </bk>
    <bk>
      <rc t="1" v="11068"/>
    </bk>
    <bk>
      <rc t="1" v="11069"/>
    </bk>
    <bk>
      <rc t="1" v="11070"/>
    </bk>
    <bk>
      <rc t="1" v="11071"/>
    </bk>
    <bk>
      <rc t="1" v="11072"/>
    </bk>
    <bk>
      <rc t="1" v="11073"/>
    </bk>
    <bk>
      <rc t="1" v="11074"/>
    </bk>
    <bk>
      <rc t="1" v="11075"/>
    </bk>
    <bk>
      <rc t="1" v="11076"/>
    </bk>
    <bk>
      <rc t="1" v="11077"/>
    </bk>
    <bk>
      <rc t="1" v="11078"/>
    </bk>
    <bk>
      <rc t="1" v="11079"/>
    </bk>
    <bk>
      <rc t="1" v="11080"/>
    </bk>
    <bk>
      <rc t="1" v="11081"/>
    </bk>
    <bk>
      <rc t="1" v="11082"/>
    </bk>
    <bk>
      <rc t="1" v="11083"/>
    </bk>
    <bk>
      <rc t="1" v="11084"/>
    </bk>
    <bk>
      <rc t="1" v="11085"/>
    </bk>
    <bk>
      <rc t="1" v="11086"/>
    </bk>
    <bk>
      <rc t="1" v="11087"/>
    </bk>
    <bk>
      <rc t="1" v="11088"/>
    </bk>
    <bk>
      <rc t="1" v="11089"/>
    </bk>
    <bk>
      <rc t="1" v="11090"/>
    </bk>
    <bk>
      <rc t="1" v="11091"/>
    </bk>
    <bk>
      <rc t="1" v="11092"/>
    </bk>
    <bk>
      <rc t="1" v="11093"/>
    </bk>
    <bk>
      <rc t="1" v="11094"/>
    </bk>
    <bk>
      <rc t="1" v="11095"/>
    </bk>
    <bk>
      <rc t="1" v="11096"/>
    </bk>
    <bk>
      <rc t="1" v="11097"/>
    </bk>
    <bk>
      <rc t="1" v="11098"/>
    </bk>
    <bk>
      <rc t="1" v="11099"/>
    </bk>
    <bk>
      <rc t="1" v="11100"/>
    </bk>
    <bk>
      <rc t="1" v="11101"/>
    </bk>
    <bk>
      <rc t="1" v="11102"/>
    </bk>
    <bk>
      <rc t="1" v="11103"/>
    </bk>
    <bk>
      <rc t="1" v="11104"/>
    </bk>
    <bk>
      <rc t="1" v="11105"/>
    </bk>
    <bk>
      <rc t="1" v="11106"/>
    </bk>
    <bk>
      <rc t="1" v="11107"/>
    </bk>
    <bk>
      <rc t="1" v="11108"/>
    </bk>
    <bk>
      <rc t="1" v="11109"/>
    </bk>
    <bk>
      <rc t="1" v="11110"/>
    </bk>
    <bk>
      <rc t="1" v="11111"/>
    </bk>
    <bk>
      <rc t="1" v="11112"/>
    </bk>
    <bk>
      <rc t="1" v="11113"/>
    </bk>
    <bk>
      <rc t="1" v="11114"/>
    </bk>
    <bk>
      <rc t="1" v="11115"/>
    </bk>
    <bk>
      <rc t="1" v="11116"/>
    </bk>
    <bk>
      <rc t="1" v="11117"/>
    </bk>
    <bk>
      <rc t="1" v="11118"/>
    </bk>
    <bk>
      <rc t="1" v="11119"/>
    </bk>
    <bk>
      <rc t="1" v="11120"/>
    </bk>
    <bk>
      <rc t="1" v="11121"/>
    </bk>
    <bk>
      <rc t="1" v="11122"/>
    </bk>
    <bk>
      <rc t="1" v="11123"/>
    </bk>
    <bk>
      <rc t="1" v="11124"/>
    </bk>
    <bk>
      <rc t="1" v="11125"/>
    </bk>
    <bk>
      <rc t="1" v="11126"/>
    </bk>
    <bk>
      <rc t="1" v="11127"/>
    </bk>
    <bk>
      <rc t="1" v="11128"/>
    </bk>
    <bk>
      <rc t="1" v="11129"/>
    </bk>
    <bk>
      <rc t="1" v="11130"/>
    </bk>
    <bk>
      <rc t="1" v="11131"/>
    </bk>
    <bk>
      <rc t="1" v="11132"/>
    </bk>
    <bk>
      <rc t="1" v="11133"/>
    </bk>
    <bk>
      <rc t="1" v="11134"/>
    </bk>
    <bk>
      <rc t="1" v="11135"/>
    </bk>
    <bk>
      <rc t="1" v="11136"/>
    </bk>
    <bk>
      <rc t="1" v="11137"/>
    </bk>
    <bk>
      <rc t="1" v="11138"/>
    </bk>
    <bk>
      <rc t="1" v="11139"/>
    </bk>
    <bk>
      <rc t="1" v="11140"/>
    </bk>
    <bk>
      <rc t="1" v="11141"/>
    </bk>
    <bk>
      <rc t="1" v="11142"/>
    </bk>
    <bk>
      <rc t="1" v="11143"/>
    </bk>
    <bk>
      <rc t="1" v="11144"/>
    </bk>
    <bk>
      <rc t="1" v="11145"/>
    </bk>
    <bk>
      <rc t="1" v="11146"/>
    </bk>
    <bk>
      <rc t="1" v="11147"/>
    </bk>
    <bk>
      <rc t="1" v="11148"/>
    </bk>
    <bk>
      <rc t="1" v="11149"/>
    </bk>
    <bk>
      <rc t="1" v="11150"/>
    </bk>
    <bk>
      <rc t="1" v="11151"/>
    </bk>
    <bk>
      <rc t="1" v="11152"/>
    </bk>
    <bk>
      <rc t="1" v="11153"/>
    </bk>
    <bk>
      <rc t="1" v="11154"/>
    </bk>
    <bk>
      <rc t="1" v="11155"/>
    </bk>
    <bk>
      <rc t="1" v="11156"/>
    </bk>
    <bk>
      <rc t="1" v="11157"/>
    </bk>
    <bk>
      <rc t="1" v="11158"/>
    </bk>
    <bk>
      <rc t="1" v="11159"/>
    </bk>
    <bk>
      <rc t="1" v="11160"/>
    </bk>
    <bk>
      <rc t="1" v="11161"/>
    </bk>
    <bk>
      <rc t="1" v="11162"/>
    </bk>
    <bk>
      <rc t="1" v="11163"/>
    </bk>
    <bk>
      <rc t="1" v="11164"/>
    </bk>
    <bk>
      <rc t="1" v="11165"/>
    </bk>
    <bk>
      <rc t="1" v="11166"/>
    </bk>
    <bk>
      <rc t="1" v="11167"/>
    </bk>
    <bk>
      <rc t="1" v="11168"/>
    </bk>
    <bk>
      <rc t="1" v="11169"/>
    </bk>
    <bk>
      <rc t="1" v="11170"/>
    </bk>
    <bk>
      <rc t="1" v="11171"/>
    </bk>
    <bk>
      <rc t="1" v="11172"/>
    </bk>
    <bk>
      <rc t="1" v="11173"/>
    </bk>
    <bk>
      <rc t="1" v="11174"/>
    </bk>
    <bk>
      <rc t="1" v="11175"/>
    </bk>
    <bk>
      <rc t="1" v="11176"/>
    </bk>
    <bk>
      <rc t="1" v="11177"/>
    </bk>
    <bk>
      <rc t="1" v="11178"/>
    </bk>
    <bk>
      <rc t="1" v="11179"/>
    </bk>
    <bk>
      <rc t="1" v="11180"/>
    </bk>
    <bk>
      <rc t="1" v="11181"/>
    </bk>
    <bk>
      <rc t="1" v="11182"/>
    </bk>
    <bk>
      <rc t="1" v="11183"/>
    </bk>
    <bk>
      <rc t="1" v="11184"/>
    </bk>
    <bk>
      <rc t="1" v="11185"/>
    </bk>
    <bk>
      <rc t="1" v="11186"/>
    </bk>
    <bk>
      <rc t="1" v="11187"/>
    </bk>
    <bk>
      <rc t="1" v="11188"/>
    </bk>
    <bk>
      <rc t="1" v="11189"/>
    </bk>
    <bk>
      <rc t="1" v="11190"/>
    </bk>
    <bk>
      <rc t="1" v="11191"/>
    </bk>
    <bk>
      <rc t="1" v="11192"/>
    </bk>
    <bk>
      <rc t="1" v="11193"/>
    </bk>
    <bk>
      <rc t="1" v="11194"/>
    </bk>
    <bk>
      <rc t="1" v="11195"/>
    </bk>
    <bk>
      <rc t="1" v="11196"/>
    </bk>
    <bk>
      <rc t="1" v="11197"/>
    </bk>
    <bk>
      <rc t="1" v="11198"/>
    </bk>
    <bk>
      <rc t="1" v="11199"/>
    </bk>
    <bk>
      <rc t="1" v="11200"/>
    </bk>
    <bk>
      <rc t="1" v="11201"/>
    </bk>
    <bk>
      <rc t="1" v="11202"/>
    </bk>
    <bk>
      <rc t="1" v="11203"/>
    </bk>
    <bk>
      <rc t="1" v="11204"/>
    </bk>
    <bk>
      <rc t="1" v="11205"/>
    </bk>
    <bk>
      <rc t="1" v="11206"/>
    </bk>
    <bk>
      <rc t="1" v="11207"/>
    </bk>
    <bk>
      <rc t="1" v="11208"/>
    </bk>
    <bk>
      <rc t="1" v="11209"/>
    </bk>
    <bk>
      <rc t="1" v="11210"/>
    </bk>
    <bk>
      <rc t="1" v="11211"/>
    </bk>
    <bk>
      <rc t="1" v="11212"/>
    </bk>
    <bk>
      <rc t="1" v="11213"/>
    </bk>
    <bk>
      <rc t="1" v="11214"/>
    </bk>
    <bk>
      <rc t="1" v="11215"/>
    </bk>
    <bk>
      <rc t="1" v="11216"/>
    </bk>
    <bk>
      <rc t="1" v="11217"/>
    </bk>
    <bk>
      <rc t="1" v="11218"/>
    </bk>
    <bk>
      <rc t="1" v="11219"/>
    </bk>
    <bk>
      <rc t="1" v="11220"/>
    </bk>
    <bk>
      <rc t="1" v="11221"/>
    </bk>
    <bk>
      <rc t="1" v="11222"/>
    </bk>
    <bk>
      <rc t="1" v="11223"/>
    </bk>
    <bk>
      <rc t="1" v="11224"/>
    </bk>
    <bk>
      <rc t="1" v="11225"/>
    </bk>
    <bk>
      <rc t="1" v="11226"/>
    </bk>
    <bk>
      <rc t="1" v="11227"/>
    </bk>
    <bk>
      <rc t="1" v="11228"/>
    </bk>
    <bk>
      <rc t="1" v="11229"/>
    </bk>
    <bk>
      <rc t="1" v="11230"/>
    </bk>
    <bk>
      <rc t="1" v="11231"/>
    </bk>
    <bk>
      <rc t="1" v="11232"/>
    </bk>
    <bk>
      <rc t="1" v="11233"/>
    </bk>
    <bk>
      <rc t="1" v="11234"/>
    </bk>
    <bk>
      <rc t="1" v="11235"/>
    </bk>
    <bk>
      <rc t="1" v="11236"/>
    </bk>
    <bk>
      <rc t="1" v="11237"/>
    </bk>
    <bk>
      <rc t="1" v="11238"/>
    </bk>
    <bk>
      <rc t="1" v="11239"/>
    </bk>
    <bk>
      <rc t="1" v="11240"/>
    </bk>
    <bk>
      <rc t="1" v="11241"/>
    </bk>
    <bk>
      <rc t="1" v="11242"/>
    </bk>
    <bk>
      <rc t="1" v="11243"/>
    </bk>
    <bk>
      <rc t="1" v="11244"/>
    </bk>
    <bk>
      <rc t="1" v="11245"/>
    </bk>
    <bk>
      <rc t="1" v="11246"/>
    </bk>
    <bk>
      <rc t="1" v="11247"/>
    </bk>
    <bk>
      <rc t="1" v="11248"/>
    </bk>
    <bk>
      <rc t="1" v="11249"/>
    </bk>
    <bk>
      <rc t="1" v="11250"/>
    </bk>
    <bk>
      <rc t="1" v="11251"/>
    </bk>
    <bk>
      <rc t="1" v="11252"/>
    </bk>
    <bk>
      <rc t="1" v="11253"/>
    </bk>
    <bk>
      <rc t="1" v="11254"/>
    </bk>
    <bk>
      <rc t="1" v="11255"/>
    </bk>
    <bk>
      <rc t="1" v="11256"/>
    </bk>
    <bk>
      <rc t="1" v="11257"/>
    </bk>
    <bk>
      <rc t="1" v="11258"/>
    </bk>
    <bk>
      <rc t="1" v="11259"/>
    </bk>
    <bk>
      <rc t="1" v="11260"/>
    </bk>
    <bk>
      <rc t="1" v="11261"/>
    </bk>
    <bk>
      <rc t="1" v="11262"/>
    </bk>
    <bk>
      <rc t="1" v="11263"/>
    </bk>
    <bk>
      <rc t="1" v="11264"/>
    </bk>
    <bk>
      <rc t="1" v="11265"/>
    </bk>
    <bk>
      <rc t="1" v="11266"/>
    </bk>
    <bk>
      <rc t="1" v="11267"/>
    </bk>
    <bk>
      <rc t="1" v="11268"/>
    </bk>
    <bk>
      <rc t="1" v="11269"/>
    </bk>
    <bk>
      <rc t="1" v="11270"/>
    </bk>
    <bk>
      <rc t="1" v="11271"/>
    </bk>
    <bk>
      <rc t="1" v="11272"/>
    </bk>
    <bk>
      <rc t="1" v="11273"/>
    </bk>
    <bk>
      <rc t="1" v="11274"/>
    </bk>
    <bk>
      <rc t="1" v="11275"/>
    </bk>
    <bk>
      <rc t="1" v="11276"/>
    </bk>
    <bk>
      <rc t="1" v="11277"/>
    </bk>
    <bk>
      <rc t="1" v="11278"/>
    </bk>
    <bk>
      <rc t="1" v="11279"/>
    </bk>
    <bk>
      <rc t="1" v="11280"/>
    </bk>
    <bk>
      <rc t="1" v="11281"/>
    </bk>
    <bk>
      <rc t="1" v="11282"/>
    </bk>
    <bk>
      <rc t="1" v="11283"/>
    </bk>
    <bk>
      <rc t="1" v="11284"/>
    </bk>
    <bk>
      <rc t="1" v="11285"/>
    </bk>
    <bk>
      <rc t="1" v="11286"/>
    </bk>
    <bk>
      <rc t="1" v="11287"/>
    </bk>
    <bk>
      <rc t="1" v="11288"/>
    </bk>
    <bk>
      <rc t="1" v="11289"/>
    </bk>
    <bk>
      <rc t="1" v="11290"/>
    </bk>
    <bk>
      <rc t="1" v="11291"/>
    </bk>
    <bk>
      <rc t="1" v="11292"/>
    </bk>
    <bk>
      <rc t="1" v="11293"/>
    </bk>
    <bk>
      <rc t="1" v="11294"/>
    </bk>
    <bk>
      <rc t="1" v="11295"/>
    </bk>
    <bk>
      <rc t="1" v="11296"/>
    </bk>
    <bk>
      <rc t="1" v="11297"/>
    </bk>
    <bk>
      <rc t="1" v="11298"/>
    </bk>
    <bk>
      <rc t="1" v="11299"/>
    </bk>
    <bk>
      <rc t="1" v="11300"/>
    </bk>
    <bk>
      <rc t="1" v="11301"/>
    </bk>
    <bk>
      <rc t="1" v="11302"/>
    </bk>
    <bk>
      <rc t="1" v="11303"/>
    </bk>
    <bk>
      <rc t="1" v="11304"/>
    </bk>
    <bk>
      <rc t="1" v="11305"/>
    </bk>
    <bk>
      <rc t="1" v="11306"/>
    </bk>
    <bk>
      <rc t="1" v="11307"/>
    </bk>
    <bk>
      <rc t="1" v="11308"/>
    </bk>
    <bk>
      <rc t="1" v="11309"/>
    </bk>
    <bk>
      <rc t="1" v="11310"/>
    </bk>
    <bk>
      <rc t="1" v="11311"/>
    </bk>
    <bk>
      <rc t="1" v="11312"/>
    </bk>
    <bk>
      <rc t="1" v="11313"/>
    </bk>
    <bk>
      <rc t="1" v="11314"/>
    </bk>
    <bk>
      <rc t="1" v="11315"/>
    </bk>
    <bk>
      <rc t="1" v="11316"/>
    </bk>
    <bk>
      <rc t="1" v="11317"/>
    </bk>
    <bk>
      <rc t="1" v="11318"/>
    </bk>
    <bk>
      <rc t="1" v="11319"/>
    </bk>
    <bk>
      <rc t="1" v="11320"/>
    </bk>
    <bk>
      <rc t="1" v="11321"/>
    </bk>
    <bk>
      <rc t="1" v="11322"/>
    </bk>
    <bk>
      <rc t="1" v="11323"/>
    </bk>
    <bk>
      <rc t="1" v="11324"/>
    </bk>
    <bk>
      <rc t="1" v="11325"/>
    </bk>
    <bk>
      <rc t="1" v="11326"/>
    </bk>
    <bk>
      <rc t="1" v="11327"/>
    </bk>
    <bk>
      <rc t="1" v="11328"/>
    </bk>
    <bk>
      <rc t="1" v="11329"/>
    </bk>
    <bk>
      <rc t="1" v="11330"/>
    </bk>
    <bk>
      <rc t="1" v="11331"/>
    </bk>
    <bk>
      <rc t="1" v="11332"/>
    </bk>
    <bk>
      <rc t="1" v="11333"/>
    </bk>
    <bk>
      <rc t="1" v="11334"/>
    </bk>
    <bk>
      <rc t="1" v="11335"/>
    </bk>
    <bk>
      <rc t="1" v="11336"/>
    </bk>
    <bk>
      <rc t="1" v="11337"/>
    </bk>
    <bk>
      <rc t="1" v="11338"/>
    </bk>
    <bk>
      <rc t="1" v="11339"/>
    </bk>
    <bk>
      <rc t="1" v="11340"/>
    </bk>
    <bk>
      <rc t="1" v="11341"/>
    </bk>
    <bk>
      <rc t="1" v="11342"/>
    </bk>
    <bk>
      <rc t="1" v="11343"/>
    </bk>
    <bk>
      <rc t="1" v="11344"/>
    </bk>
    <bk>
      <rc t="1" v="11345"/>
    </bk>
    <bk>
      <rc t="1" v="11346"/>
    </bk>
    <bk>
      <rc t="1" v="11347"/>
    </bk>
    <bk>
      <rc t="1" v="11348"/>
    </bk>
    <bk>
      <rc t="1" v="11349"/>
    </bk>
    <bk>
      <rc t="1" v="11350"/>
    </bk>
    <bk>
      <rc t="1" v="11351"/>
    </bk>
    <bk>
      <rc t="1" v="11352"/>
    </bk>
    <bk>
      <rc t="1" v="11353"/>
    </bk>
    <bk>
      <rc t="1" v="11354"/>
    </bk>
    <bk>
      <rc t="1" v="11355"/>
    </bk>
    <bk>
      <rc t="1" v="11356"/>
    </bk>
    <bk>
      <rc t="1" v="11357"/>
    </bk>
    <bk>
      <rc t="1" v="11358"/>
    </bk>
    <bk>
      <rc t="1" v="11359"/>
    </bk>
    <bk>
      <rc t="1" v="11360"/>
    </bk>
    <bk>
      <rc t="1" v="11361"/>
    </bk>
    <bk>
      <rc t="1" v="11362"/>
    </bk>
    <bk>
      <rc t="1" v="11363"/>
    </bk>
    <bk>
      <rc t="1" v="11364"/>
    </bk>
    <bk>
      <rc t="1" v="11365"/>
    </bk>
    <bk>
      <rc t="1" v="11366"/>
    </bk>
    <bk>
      <rc t="1" v="11367"/>
    </bk>
    <bk>
      <rc t="1" v="11368"/>
    </bk>
    <bk>
      <rc t="1" v="11369"/>
    </bk>
    <bk>
      <rc t="1" v="11370"/>
    </bk>
    <bk>
      <rc t="1" v="11371"/>
    </bk>
    <bk>
      <rc t="1" v="11372"/>
    </bk>
    <bk>
      <rc t="1" v="11373"/>
    </bk>
    <bk>
      <rc t="1" v="11374"/>
    </bk>
    <bk>
      <rc t="1" v="11375"/>
    </bk>
    <bk>
      <rc t="1" v="11376"/>
    </bk>
    <bk>
      <rc t="1" v="11377"/>
    </bk>
    <bk>
      <rc t="1" v="11378"/>
    </bk>
    <bk>
      <rc t="1" v="11379"/>
    </bk>
    <bk>
      <rc t="1" v="11380"/>
    </bk>
    <bk>
      <rc t="1" v="11381"/>
    </bk>
    <bk>
      <rc t="1" v="11382"/>
    </bk>
    <bk>
      <rc t="1" v="11383"/>
    </bk>
    <bk>
      <rc t="1" v="11384"/>
    </bk>
    <bk>
      <rc t="1" v="11385"/>
    </bk>
    <bk>
      <rc t="1" v="11386"/>
    </bk>
    <bk>
      <rc t="1" v="11387"/>
    </bk>
    <bk>
      <rc t="1" v="11388"/>
    </bk>
    <bk>
      <rc t="1" v="11389"/>
    </bk>
    <bk>
      <rc t="1" v="11390"/>
    </bk>
    <bk>
      <rc t="1" v="11391"/>
    </bk>
    <bk>
      <rc t="1" v="11392"/>
    </bk>
    <bk>
      <rc t="1" v="11393"/>
    </bk>
    <bk>
      <rc t="1" v="11394"/>
    </bk>
    <bk>
      <rc t="1" v="11395"/>
    </bk>
    <bk>
      <rc t="1" v="11396"/>
    </bk>
    <bk>
      <rc t="1" v="11397"/>
    </bk>
    <bk>
      <rc t="1" v="11398"/>
    </bk>
    <bk>
      <rc t="1" v="11399"/>
    </bk>
    <bk>
      <rc t="1" v="11400"/>
    </bk>
    <bk>
      <rc t="1" v="11401"/>
    </bk>
    <bk>
      <rc t="1" v="11402"/>
    </bk>
    <bk>
      <rc t="1" v="11403"/>
    </bk>
    <bk>
      <rc t="1" v="11404"/>
    </bk>
    <bk>
      <rc t="1" v="11405"/>
    </bk>
    <bk>
      <rc t="1" v="11406"/>
    </bk>
    <bk>
      <rc t="1" v="11407"/>
    </bk>
    <bk>
      <rc t="1" v="11408"/>
    </bk>
    <bk>
      <rc t="1" v="11409"/>
    </bk>
    <bk>
      <rc t="1" v="11410"/>
    </bk>
    <bk>
      <rc t="1" v="11411"/>
    </bk>
    <bk>
      <rc t="1" v="11412"/>
    </bk>
    <bk>
      <rc t="1" v="11413"/>
    </bk>
    <bk>
      <rc t="1" v="11414"/>
    </bk>
    <bk>
      <rc t="1" v="11415"/>
    </bk>
    <bk>
      <rc t="1" v="11416"/>
    </bk>
    <bk>
      <rc t="1" v="11417"/>
    </bk>
    <bk>
      <rc t="1" v="11418"/>
    </bk>
    <bk>
      <rc t="1" v="11419"/>
    </bk>
    <bk>
      <rc t="1" v="11420"/>
    </bk>
    <bk>
      <rc t="1" v="11421"/>
    </bk>
    <bk>
      <rc t="1" v="11422"/>
    </bk>
    <bk>
      <rc t="1" v="11423"/>
    </bk>
    <bk>
      <rc t="1" v="11424"/>
    </bk>
    <bk>
      <rc t="1" v="11425"/>
    </bk>
    <bk>
      <rc t="1" v="11426"/>
    </bk>
    <bk>
      <rc t="1" v="11427"/>
    </bk>
    <bk>
      <rc t="1" v="11428"/>
    </bk>
    <bk>
      <rc t="1" v="11429"/>
    </bk>
    <bk>
      <rc t="1" v="11430"/>
    </bk>
    <bk>
      <rc t="1" v="11431"/>
    </bk>
    <bk>
      <rc t="1" v="11432"/>
    </bk>
    <bk>
      <rc t="1" v="11433"/>
    </bk>
    <bk>
      <rc t="1" v="11434"/>
    </bk>
    <bk>
      <rc t="1" v="11435"/>
    </bk>
    <bk>
      <rc t="1" v="11436"/>
    </bk>
    <bk>
      <rc t="1" v="11437"/>
    </bk>
    <bk>
      <rc t="1" v="11438"/>
    </bk>
    <bk>
      <rc t="1" v="11439"/>
    </bk>
    <bk>
      <rc t="1" v="11440"/>
    </bk>
    <bk>
      <rc t="1" v="11441"/>
    </bk>
    <bk>
      <rc t="1" v="11442"/>
    </bk>
    <bk>
      <rc t="1" v="11443"/>
    </bk>
    <bk>
      <rc t="1" v="11444"/>
    </bk>
    <bk>
      <rc t="1" v="11445"/>
    </bk>
    <bk>
      <rc t="1" v="11446"/>
    </bk>
    <bk>
      <rc t="1" v="11447"/>
    </bk>
    <bk>
      <rc t="1" v="11448"/>
    </bk>
    <bk>
      <rc t="1" v="11449"/>
    </bk>
    <bk>
      <rc t="1" v="11450"/>
    </bk>
    <bk>
      <rc t="1" v="11451"/>
    </bk>
    <bk>
      <rc t="1" v="11452"/>
    </bk>
    <bk>
      <rc t="1" v="11453"/>
    </bk>
    <bk>
      <rc t="1" v="11454"/>
    </bk>
    <bk>
      <rc t="1" v="11455"/>
    </bk>
    <bk>
      <rc t="1" v="11456"/>
    </bk>
    <bk>
      <rc t="1" v="11457"/>
    </bk>
    <bk>
      <rc t="1" v="11458"/>
    </bk>
    <bk>
      <rc t="1" v="11459"/>
    </bk>
    <bk>
      <rc t="1" v="11460"/>
    </bk>
    <bk>
      <rc t="1" v="11461"/>
    </bk>
    <bk>
      <rc t="1" v="11462"/>
    </bk>
    <bk>
      <rc t="1" v="11463"/>
    </bk>
    <bk>
      <rc t="1" v="11464"/>
    </bk>
    <bk>
      <rc t="1" v="11465"/>
    </bk>
    <bk>
      <rc t="1" v="11466"/>
    </bk>
    <bk>
      <rc t="1" v="11467"/>
    </bk>
    <bk>
      <rc t="1" v="11468"/>
    </bk>
    <bk>
      <rc t="1" v="11469"/>
    </bk>
    <bk>
      <rc t="1" v="11470"/>
    </bk>
    <bk>
      <rc t="1" v="11471"/>
    </bk>
    <bk>
      <rc t="1" v="11472"/>
    </bk>
    <bk>
      <rc t="1" v="11473"/>
    </bk>
    <bk>
      <rc t="1" v="11474"/>
    </bk>
    <bk>
      <rc t="1" v="11475"/>
    </bk>
    <bk>
      <rc t="1" v="11476"/>
    </bk>
    <bk>
      <rc t="1" v="11477"/>
    </bk>
    <bk>
      <rc t="1" v="11478"/>
    </bk>
    <bk>
      <rc t="1" v="11479"/>
    </bk>
    <bk>
      <rc t="1" v="11480"/>
    </bk>
    <bk>
      <rc t="1" v="11481"/>
    </bk>
    <bk>
      <rc t="1" v="11482"/>
    </bk>
    <bk>
      <rc t="1" v="11483"/>
    </bk>
    <bk>
      <rc t="1" v="11484"/>
    </bk>
    <bk>
      <rc t="1" v="11485"/>
    </bk>
    <bk>
      <rc t="1" v="11486"/>
    </bk>
    <bk>
      <rc t="1" v="11487"/>
    </bk>
    <bk>
      <rc t="1" v="11488"/>
    </bk>
    <bk>
      <rc t="1" v="11489"/>
    </bk>
    <bk>
      <rc t="1" v="11490"/>
    </bk>
    <bk>
      <rc t="1" v="11491"/>
    </bk>
    <bk>
      <rc t="1" v="11492"/>
    </bk>
    <bk>
      <rc t="1" v="11493"/>
    </bk>
    <bk>
      <rc t="1" v="11494"/>
    </bk>
    <bk>
      <rc t="1" v="11495"/>
    </bk>
    <bk>
      <rc t="1" v="11496"/>
    </bk>
    <bk>
      <rc t="1" v="11497"/>
    </bk>
    <bk>
      <rc t="1" v="11498"/>
    </bk>
    <bk>
      <rc t="1" v="11499"/>
    </bk>
    <bk>
      <rc t="1" v="11500"/>
    </bk>
    <bk>
      <rc t="1" v="11501"/>
    </bk>
    <bk>
      <rc t="1" v="11502"/>
    </bk>
    <bk>
      <rc t="1" v="11503"/>
    </bk>
    <bk>
      <rc t="1" v="11504"/>
    </bk>
    <bk>
      <rc t="1" v="11505"/>
    </bk>
    <bk>
      <rc t="1" v="11506"/>
    </bk>
    <bk>
      <rc t="1" v="11507"/>
    </bk>
    <bk>
      <rc t="1" v="11508"/>
    </bk>
    <bk>
      <rc t="1" v="11509"/>
    </bk>
    <bk>
      <rc t="1" v="11510"/>
    </bk>
    <bk>
      <rc t="1" v="11511"/>
    </bk>
    <bk>
      <rc t="1" v="11512"/>
    </bk>
    <bk>
      <rc t="1" v="11513"/>
    </bk>
    <bk>
      <rc t="1" v="11514"/>
    </bk>
    <bk>
      <rc t="1" v="11515"/>
    </bk>
    <bk>
      <rc t="1" v="11516"/>
    </bk>
    <bk>
      <rc t="1" v="11517"/>
    </bk>
    <bk>
      <rc t="1" v="11518"/>
    </bk>
    <bk>
      <rc t="1" v="11519"/>
    </bk>
    <bk>
      <rc t="1" v="11520"/>
    </bk>
    <bk>
      <rc t="1" v="11521"/>
    </bk>
    <bk>
      <rc t="1" v="11522"/>
    </bk>
    <bk>
      <rc t="1" v="11523"/>
    </bk>
    <bk>
      <rc t="1" v="11524"/>
    </bk>
    <bk>
      <rc t="1" v="11525"/>
    </bk>
    <bk>
      <rc t="1" v="11526"/>
    </bk>
    <bk>
      <rc t="1" v="11527"/>
    </bk>
    <bk>
      <rc t="1" v="11528"/>
    </bk>
    <bk>
      <rc t="1" v="11529"/>
    </bk>
    <bk>
      <rc t="1" v="11530"/>
    </bk>
    <bk>
      <rc t="1" v="11531"/>
    </bk>
    <bk>
      <rc t="1" v="11532"/>
    </bk>
    <bk>
      <rc t="1" v="11533"/>
    </bk>
    <bk>
      <rc t="1" v="11534"/>
    </bk>
    <bk>
      <rc t="1" v="11535"/>
    </bk>
    <bk>
      <rc t="1" v="11536"/>
    </bk>
    <bk>
      <rc t="1" v="11537"/>
    </bk>
    <bk>
      <rc t="1" v="11538"/>
    </bk>
    <bk>
      <rc t="1" v="11539"/>
    </bk>
    <bk>
      <rc t="1" v="11540"/>
    </bk>
    <bk>
      <rc t="1" v="11541"/>
    </bk>
    <bk>
      <rc t="1" v="11542"/>
    </bk>
    <bk>
      <rc t="1" v="11543"/>
    </bk>
    <bk>
      <rc t="1" v="11544"/>
    </bk>
    <bk>
      <rc t="1" v="11545"/>
    </bk>
    <bk>
      <rc t="1" v="11546"/>
    </bk>
    <bk>
      <rc t="1" v="11547"/>
    </bk>
    <bk>
      <rc t="1" v="11548"/>
    </bk>
    <bk>
      <rc t="1" v="11549"/>
    </bk>
    <bk>
      <rc t="1" v="11550"/>
    </bk>
    <bk>
      <rc t="1" v="11551"/>
    </bk>
    <bk>
      <rc t="1" v="11552"/>
    </bk>
    <bk>
      <rc t="1" v="11553"/>
    </bk>
    <bk>
      <rc t="1" v="11554"/>
    </bk>
    <bk>
      <rc t="1" v="11555"/>
    </bk>
    <bk>
      <rc t="1" v="11556"/>
    </bk>
    <bk>
      <rc t="1" v="11557"/>
    </bk>
    <bk>
      <rc t="1" v="11558"/>
    </bk>
    <bk>
      <rc t="1" v="11559"/>
    </bk>
    <bk>
      <rc t="1" v="11560"/>
    </bk>
    <bk>
      <rc t="1" v="11561"/>
    </bk>
    <bk>
      <rc t="1" v="11562"/>
    </bk>
    <bk>
      <rc t="1" v="11563"/>
    </bk>
    <bk>
      <rc t="1" v="11564"/>
    </bk>
    <bk>
      <rc t="1" v="11565"/>
    </bk>
    <bk>
      <rc t="1" v="11566"/>
    </bk>
    <bk>
      <rc t="1" v="11567"/>
    </bk>
    <bk>
      <rc t="1" v="11568"/>
    </bk>
    <bk>
      <rc t="1" v="11569"/>
    </bk>
    <bk>
      <rc t="1" v="11570"/>
    </bk>
    <bk>
      <rc t="1" v="11571"/>
    </bk>
    <bk>
      <rc t="1" v="11572"/>
    </bk>
    <bk>
      <rc t="1" v="11573"/>
    </bk>
    <bk>
      <rc t="1" v="11574"/>
    </bk>
    <bk>
      <rc t="1" v="11575"/>
    </bk>
    <bk>
      <rc t="1" v="11576"/>
    </bk>
    <bk>
      <rc t="1" v="11577"/>
    </bk>
    <bk>
      <rc t="1" v="11578"/>
    </bk>
    <bk>
      <rc t="1" v="11579"/>
    </bk>
    <bk>
      <rc t="1" v="11580"/>
    </bk>
    <bk>
      <rc t="1" v="11581"/>
    </bk>
    <bk>
      <rc t="1" v="11582"/>
    </bk>
    <bk>
      <rc t="1" v="11583"/>
    </bk>
    <bk>
      <rc t="1" v="11584"/>
    </bk>
    <bk>
      <rc t="1" v="11585"/>
    </bk>
    <bk>
      <rc t="1" v="11586"/>
    </bk>
    <bk>
      <rc t="1" v="11587"/>
    </bk>
    <bk>
      <rc t="1" v="11588"/>
    </bk>
    <bk>
      <rc t="1" v="11589"/>
    </bk>
    <bk>
      <rc t="1" v="11590"/>
    </bk>
    <bk>
      <rc t="1" v="11591"/>
    </bk>
    <bk>
      <rc t="1" v="11592"/>
    </bk>
    <bk>
      <rc t="1" v="11593"/>
    </bk>
    <bk>
      <rc t="1" v="11594"/>
    </bk>
    <bk>
      <rc t="1" v="11595"/>
    </bk>
    <bk>
      <rc t="1" v="11596"/>
    </bk>
    <bk>
      <rc t="1" v="11597"/>
    </bk>
    <bk>
      <rc t="1" v="11598"/>
    </bk>
    <bk>
      <rc t="1" v="11599"/>
    </bk>
    <bk>
      <rc t="1" v="11600"/>
    </bk>
    <bk>
      <rc t="1" v="11601"/>
    </bk>
    <bk>
      <rc t="1" v="11602"/>
    </bk>
    <bk>
      <rc t="1" v="11603"/>
    </bk>
    <bk>
      <rc t="1" v="11604"/>
    </bk>
    <bk>
      <rc t="1" v="11605"/>
    </bk>
    <bk>
      <rc t="1" v="11606"/>
    </bk>
    <bk>
      <rc t="1" v="11607"/>
    </bk>
    <bk>
      <rc t="1" v="11608"/>
    </bk>
    <bk>
      <rc t="1" v="11609"/>
    </bk>
    <bk>
      <rc t="1" v="11610"/>
    </bk>
    <bk>
      <rc t="1" v="11611"/>
    </bk>
    <bk>
      <rc t="1" v="11612"/>
    </bk>
    <bk>
      <rc t="1" v="11613"/>
    </bk>
    <bk>
      <rc t="1" v="11614"/>
    </bk>
    <bk>
      <rc t="1" v="11615"/>
    </bk>
    <bk>
      <rc t="1" v="11616"/>
    </bk>
    <bk>
      <rc t="1" v="11617"/>
    </bk>
    <bk>
      <rc t="1" v="11618"/>
    </bk>
    <bk>
      <rc t="1" v="11619"/>
    </bk>
    <bk>
      <rc t="1" v="11620"/>
    </bk>
    <bk>
      <rc t="1" v="11621"/>
    </bk>
    <bk>
      <rc t="1" v="11622"/>
    </bk>
    <bk>
      <rc t="1" v="11623"/>
    </bk>
    <bk>
      <rc t="1" v="11624"/>
    </bk>
    <bk>
      <rc t="1" v="11625"/>
    </bk>
    <bk>
      <rc t="1" v="11626"/>
    </bk>
    <bk>
      <rc t="1" v="11627"/>
    </bk>
    <bk>
      <rc t="1" v="11628"/>
    </bk>
    <bk>
      <rc t="1" v="11629"/>
    </bk>
    <bk>
      <rc t="1" v="11630"/>
    </bk>
    <bk>
      <rc t="1" v="11631"/>
    </bk>
    <bk>
      <rc t="1" v="11632"/>
    </bk>
    <bk>
      <rc t="1" v="11633"/>
    </bk>
    <bk>
      <rc t="1" v="11634"/>
    </bk>
    <bk>
      <rc t="1" v="11635"/>
    </bk>
    <bk>
      <rc t="1" v="11636"/>
    </bk>
    <bk>
      <rc t="1" v="11637"/>
    </bk>
    <bk>
      <rc t="1" v="11638"/>
    </bk>
    <bk>
      <rc t="1" v="11639"/>
    </bk>
    <bk>
      <rc t="1" v="11640"/>
    </bk>
    <bk>
      <rc t="1" v="11641"/>
    </bk>
    <bk>
      <rc t="1" v="11642"/>
    </bk>
    <bk>
      <rc t="1" v="11643"/>
    </bk>
    <bk>
      <rc t="1" v="11644"/>
    </bk>
    <bk>
      <rc t="1" v="11645"/>
    </bk>
    <bk>
      <rc t="1" v="11646"/>
    </bk>
    <bk>
      <rc t="1" v="11647"/>
    </bk>
    <bk>
      <rc t="1" v="11648"/>
    </bk>
    <bk>
      <rc t="1" v="11649"/>
    </bk>
    <bk>
      <rc t="1" v="11650"/>
    </bk>
    <bk>
      <rc t="1" v="11651"/>
    </bk>
    <bk>
      <rc t="1" v="11652"/>
    </bk>
    <bk>
      <rc t="1" v="11653"/>
    </bk>
    <bk>
      <rc t="1" v="11654"/>
    </bk>
    <bk>
      <rc t="1" v="11655"/>
    </bk>
    <bk>
      <rc t="1" v="11656"/>
    </bk>
    <bk>
      <rc t="1" v="11657"/>
    </bk>
    <bk>
      <rc t="1" v="11658"/>
    </bk>
    <bk>
      <rc t="1" v="11659"/>
    </bk>
    <bk>
      <rc t="1" v="11660"/>
    </bk>
    <bk>
      <rc t="1" v="11661"/>
    </bk>
    <bk>
      <rc t="1" v="11662"/>
    </bk>
    <bk>
      <rc t="1" v="11663"/>
    </bk>
    <bk>
      <rc t="1" v="11664"/>
    </bk>
    <bk>
      <rc t="1" v="11665"/>
    </bk>
    <bk>
      <rc t="1" v="11666"/>
    </bk>
    <bk>
      <rc t="1" v="11667"/>
    </bk>
    <bk>
      <rc t="1" v="11668"/>
    </bk>
    <bk>
      <rc t="1" v="11669"/>
    </bk>
    <bk>
      <rc t="1" v="11670"/>
    </bk>
    <bk>
      <rc t="1" v="11671"/>
    </bk>
    <bk>
      <rc t="1" v="11672"/>
    </bk>
    <bk>
      <rc t="1" v="11673"/>
    </bk>
    <bk>
      <rc t="1" v="11674"/>
    </bk>
    <bk>
      <rc t="1" v="11675"/>
    </bk>
    <bk>
      <rc t="1" v="11676"/>
    </bk>
    <bk>
      <rc t="1" v="11677"/>
    </bk>
    <bk>
      <rc t="1" v="11678"/>
    </bk>
    <bk>
      <rc t="1" v="11679"/>
    </bk>
    <bk>
      <rc t="1" v="11680"/>
    </bk>
    <bk>
      <rc t="1" v="11681"/>
    </bk>
    <bk>
      <rc t="1" v="11682"/>
    </bk>
    <bk>
      <rc t="1" v="11683"/>
    </bk>
    <bk>
      <rc t="1" v="11684"/>
    </bk>
    <bk>
      <rc t="1" v="11685"/>
    </bk>
    <bk>
      <rc t="1" v="11686"/>
    </bk>
    <bk>
      <rc t="1" v="11687"/>
    </bk>
    <bk>
      <rc t="1" v="11688"/>
    </bk>
    <bk>
      <rc t="1" v="11689"/>
    </bk>
    <bk>
      <rc t="1" v="11690"/>
    </bk>
    <bk>
      <rc t="1" v="11691"/>
    </bk>
    <bk>
      <rc t="1" v="11692"/>
    </bk>
    <bk>
      <rc t="1" v="11693"/>
    </bk>
    <bk>
      <rc t="1" v="11694"/>
    </bk>
    <bk>
      <rc t="1" v="11695"/>
    </bk>
    <bk>
      <rc t="1" v="11696"/>
    </bk>
    <bk>
      <rc t="1" v="11697"/>
    </bk>
    <bk>
      <rc t="1" v="11698"/>
    </bk>
    <bk>
      <rc t="1" v="11699"/>
    </bk>
    <bk>
      <rc t="1" v="11700"/>
    </bk>
    <bk>
      <rc t="1" v="11701"/>
    </bk>
    <bk>
      <rc t="1" v="11702"/>
    </bk>
    <bk>
      <rc t="1" v="11703"/>
    </bk>
    <bk>
      <rc t="1" v="11704"/>
    </bk>
    <bk>
      <rc t="1" v="11705"/>
    </bk>
    <bk>
      <rc t="1" v="11706"/>
    </bk>
    <bk>
      <rc t="1" v="11707"/>
    </bk>
    <bk>
      <rc t="1" v="11708"/>
    </bk>
    <bk>
      <rc t="1" v="11709"/>
    </bk>
    <bk>
      <rc t="1" v="11710"/>
    </bk>
    <bk>
      <rc t="1" v="11711"/>
    </bk>
    <bk>
      <rc t="1" v="11712"/>
    </bk>
    <bk>
      <rc t="1" v="11713"/>
    </bk>
    <bk>
      <rc t="1" v="11714"/>
    </bk>
    <bk>
      <rc t="1" v="11715"/>
    </bk>
    <bk>
      <rc t="1" v="11716"/>
    </bk>
    <bk>
      <rc t="1" v="11717"/>
    </bk>
    <bk>
      <rc t="1" v="11718"/>
    </bk>
    <bk>
      <rc t="1" v="11719"/>
    </bk>
    <bk>
      <rc t="1" v="11720"/>
    </bk>
    <bk>
      <rc t="1" v="11721"/>
    </bk>
    <bk>
      <rc t="1" v="11722"/>
    </bk>
    <bk>
      <rc t="1" v="11723"/>
    </bk>
    <bk>
      <rc t="1" v="11724"/>
    </bk>
    <bk>
      <rc t="1" v="11725"/>
    </bk>
    <bk>
      <rc t="1" v="11726"/>
    </bk>
    <bk>
      <rc t="1" v="11727"/>
    </bk>
    <bk>
      <rc t="1" v="11728"/>
    </bk>
    <bk>
      <rc t="1" v="11729"/>
    </bk>
    <bk>
      <rc t="1" v="11730"/>
    </bk>
    <bk>
      <rc t="1" v="11731"/>
    </bk>
    <bk>
      <rc t="1" v="11732"/>
    </bk>
    <bk>
      <rc t="1" v="11733"/>
    </bk>
    <bk>
      <rc t="1" v="11734"/>
    </bk>
    <bk>
      <rc t="1" v="11735"/>
    </bk>
    <bk>
      <rc t="1" v="11736"/>
    </bk>
    <bk>
      <rc t="1" v="11737"/>
    </bk>
    <bk>
      <rc t="1" v="11738"/>
    </bk>
    <bk>
      <rc t="1" v="11739"/>
    </bk>
    <bk>
      <rc t="1" v="11740"/>
    </bk>
    <bk>
      <rc t="1" v="11741"/>
    </bk>
    <bk>
      <rc t="1" v="11742"/>
    </bk>
    <bk>
      <rc t="1" v="11743"/>
    </bk>
    <bk>
      <rc t="1" v="11744"/>
    </bk>
    <bk>
      <rc t="1" v="11745"/>
    </bk>
    <bk>
      <rc t="1" v="11746"/>
    </bk>
    <bk>
      <rc t="1" v="11747"/>
    </bk>
    <bk>
      <rc t="1" v="11748"/>
    </bk>
    <bk>
      <rc t="1" v="11749"/>
    </bk>
    <bk>
      <rc t="1" v="11750"/>
    </bk>
    <bk>
      <rc t="1" v="11751"/>
    </bk>
    <bk>
      <rc t="1" v="11752"/>
    </bk>
    <bk>
      <rc t="1" v="11753"/>
    </bk>
    <bk>
      <rc t="1" v="11754"/>
    </bk>
    <bk>
      <rc t="1" v="11755"/>
    </bk>
    <bk>
      <rc t="1" v="11756"/>
    </bk>
    <bk>
      <rc t="1" v="11757"/>
    </bk>
    <bk>
      <rc t="1" v="11758"/>
    </bk>
    <bk>
      <rc t="1" v="11759"/>
    </bk>
    <bk>
      <rc t="1" v="11760"/>
    </bk>
    <bk>
      <rc t="1" v="11761"/>
    </bk>
    <bk>
      <rc t="1" v="11762"/>
    </bk>
    <bk>
      <rc t="1" v="11763"/>
    </bk>
    <bk>
      <rc t="1" v="11764"/>
    </bk>
    <bk>
      <rc t="1" v="11765"/>
    </bk>
    <bk>
      <rc t="1" v="11766"/>
    </bk>
    <bk>
      <rc t="1" v="11767"/>
    </bk>
    <bk>
      <rc t="1" v="11768"/>
    </bk>
    <bk>
      <rc t="1" v="11769"/>
    </bk>
    <bk>
      <rc t="1" v="11770"/>
    </bk>
    <bk>
      <rc t="1" v="11771"/>
    </bk>
    <bk>
      <rc t="1" v="11772"/>
    </bk>
    <bk>
      <rc t="1" v="11773"/>
    </bk>
    <bk>
      <rc t="1" v="11774"/>
    </bk>
    <bk>
      <rc t="1" v="11775"/>
    </bk>
    <bk>
      <rc t="1" v="11776"/>
    </bk>
    <bk>
      <rc t="1" v="11777"/>
    </bk>
    <bk>
      <rc t="1" v="11778"/>
    </bk>
    <bk>
      <rc t="1" v="11779"/>
    </bk>
    <bk>
      <rc t="1" v="11780"/>
    </bk>
    <bk>
      <rc t="1" v="11781"/>
    </bk>
    <bk>
      <rc t="1" v="11782"/>
    </bk>
    <bk>
      <rc t="1" v="11783"/>
    </bk>
    <bk>
      <rc t="1" v="11784"/>
    </bk>
    <bk>
      <rc t="1" v="11785"/>
    </bk>
    <bk>
      <rc t="1" v="11786"/>
    </bk>
    <bk>
      <rc t="1" v="11787"/>
    </bk>
    <bk>
      <rc t="1" v="11788"/>
    </bk>
    <bk>
      <rc t="1" v="11789"/>
    </bk>
    <bk>
      <rc t="1" v="11790"/>
    </bk>
    <bk>
      <rc t="1" v="11791"/>
    </bk>
    <bk>
      <rc t="1" v="11792"/>
    </bk>
    <bk>
      <rc t="1" v="11793"/>
    </bk>
    <bk>
      <rc t="1" v="11794"/>
    </bk>
    <bk>
      <rc t="1" v="11795"/>
    </bk>
    <bk>
      <rc t="1" v="11796"/>
    </bk>
    <bk>
      <rc t="1" v="11797"/>
    </bk>
    <bk>
      <rc t="1" v="11798"/>
    </bk>
    <bk>
      <rc t="1" v="11799"/>
    </bk>
    <bk>
      <rc t="1" v="11800"/>
    </bk>
    <bk>
      <rc t="1" v="11801"/>
    </bk>
    <bk>
      <rc t="1" v="11802"/>
    </bk>
    <bk>
      <rc t="1" v="11803"/>
    </bk>
    <bk>
      <rc t="1" v="11804"/>
    </bk>
    <bk>
      <rc t="1" v="11805"/>
    </bk>
    <bk>
      <rc t="1" v="11806"/>
    </bk>
    <bk>
      <rc t="1" v="11807"/>
    </bk>
    <bk>
      <rc t="1" v="11808"/>
    </bk>
    <bk>
      <rc t="1" v="11809"/>
    </bk>
    <bk>
      <rc t="1" v="11810"/>
    </bk>
    <bk>
      <rc t="1" v="11811"/>
    </bk>
    <bk>
      <rc t="1" v="11812"/>
    </bk>
    <bk>
      <rc t="1" v="11813"/>
    </bk>
    <bk>
      <rc t="1" v="11814"/>
    </bk>
    <bk>
      <rc t="1" v="11815"/>
    </bk>
    <bk>
      <rc t="1" v="11816"/>
    </bk>
    <bk>
      <rc t="1" v="11817"/>
    </bk>
    <bk>
      <rc t="1" v="11818"/>
    </bk>
    <bk>
      <rc t="1" v="11819"/>
    </bk>
    <bk>
      <rc t="1" v="11820"/>
    </bk>
    <bk>
      <rc t="1" v="11821"/>
    </bk>
    <bk>
      <rc t="1" v="11822"/>
    </bk>
    <bk>
      <rc t="1" v="11823"/>
    </bk>
    <bk>
      <rc t="1" v="11824"/>
    </bk>
    <bk>
      <rc t="1" v="11825"/>
    </bk>
    <bk>
      <rc t="1" v="11826"/>
    </bk>
    <bk>
      <rc t="1" v="11827"/>
    </bk>
    <bk>
      <rc t="1" v="11828"/>
    </bk>
    <bk>
      <rc t="1" v="11829"/>
    </bk>
    <bk>
      <rc t="1" v="11830"/>
    </bk>
    <bk>
      <rc t="1" v="11831"/>
    </bk>
    <bk>
      <rc t="1" v="11832"/>
    </bk>
    <bk>
      <rc t="1" v="11833"/>
    </bk>
    <bk>
      <rc t="1" v="11834"/>
    </bk>
    <bk>
      <rc t="1" v="11835"/>
    </bk>
    <bk>
      <rc t="1" v="11836"/>
    </bk>
    <bk>
      <rc t="1" v="11837"/>
    </bk>
    <bk>
      <rc t="1" v="11838"/>
    </bk>
    <bk>
      <rc t="1" v="11839"/>
    </bk>
    <bk>
      <rc t="1" v="11840"/>
    </bk>
    <bk>
      <rc t="1" v="11841"/>
    </bk>
    <bk>
      <rc t="1" v="11842"/>
    </bk>
    <bk>
      <rc t="1" v="11843"/>
    </bk>
    <bk>
      <rc t="1" v="11844"/>
    </bk>
    <bk>
      <rc t="1" v="11845"/>
    </bk>
    <bk>
      <rc t="1" v="11846"/>
    </bk>
    <bk>
      <rc t="1" v="11847"/>
    </bk>
    <bk>
      <rc t="1" v="11848"/>
    </bk>
    <bk>
      <rc t="1" v="11849"/>
    </bk>
    <bk>
      <rc t="1" v="11850"/>
    </bk>
    <bk>
      <rc t="1" v="11851"/>
    </bk>
    <bk>
      <rc t="1" v="11852"/>
    </bk>
    <bk>
      <rc t="1" v="11853"/>
    </bk>
    <bk>
      <rc t="1" v="11854"/>
    </bk>
    <bk>
      <rc t="1" v="11855"/>
    </bk>
    <bk>
      <rc t="1" v="11856"/>
    </bk>
    <bk>
      <rc t="1" v="11857"/>
    </bk>
    <bk>
      <rc t="1" v="11858"/>
    </bk>
    <bk>
      <rc t="1" v="11859"/>
    </bk>
    <bk>
      <rc t="1" v="11860"/>
    </bk>
    <bk>
      <rc t="1" v="11861"/>
    </bk>
    <bk>
      <rc t="1" v="11862"/>
    </bk>
    <bk>
      <rc t="1" v="11863"/>
    </bk>
    <bk>
      <rc t="1" v="11864"/>
    </bk>
    <bk>
      <rc t="1" v="11865"/>
    </bk>
    <bk>
      <rc t="1" v="11866"/>
    </bk>
    <bk>
      <rc t="1" v="11867"/>
    </bk>
    <bk>
      <rc t="1" v="11868"/>
    </bk>
    <bk>
      <rc t="1" v="11869"/>
    </bk>
    <bk>
      <rc t="1" v="11870"/>
    </bk>
    <bk>
      <rc t="1" v="11871"/>
    </bk>
    <bk>
      <rc t="1" v="11872"/>
    </bk>
    <bk>
      <rc t="1" v="11873"/>
    </bk>
    <bk>
      <rc t="1" v="11874"/>
    </bk>
    <bk>
      <rc t="1" v="11875"/>
    </bk>
    <bk>
      <rc t="1" v="11876"/>
    </bk>
    <bk>
      <rc t="1" v="11877"/>
    </bk>
    <bk>
      <rc t="1" v="11878"/>
    </bk>
    <bk>
      <rc t="1" v="11879"/>
    </bk>
    <bk>
      <rc t="1" v="11880"/>
    </bk>
    <bk>
      <rc t="1" v="11881"/>
    </bk>
    <bk>
      <rc t="1" v="11882"/>
    </bk>
    <bk>
      <rc t="1" v="11883"/>
    </bk>
    <bk>
      <rc t="1" v="11884"/>
    </bk>
    <bk>
      <rc t="1" v="11885"/>
    </bk>
    <bk>
      <rc t="1" v="11886"/>
    </bk>
    <bk>
      <rc t="1" v="11887"/>
    </bk>
    <bk>
      <rc t="1" v="11888"/>
    </bk>
    <bk>
      <rc t="1" v="11889"/>
    </bk>
    <bk>
      <rc t="1" v="11890"/>
    </bk>
    <bk>
      <rc t="1" v="11891"/>
    </bk>
    <bk>
      <rc t="1" v="11892"/>
    </bk>
    <bk>
      <rc t="1" v="11893"/>
    </bk>
    <bk>
      <rc t="1" v="11894"/>
    </bk>
    <bk>
      <rc t="1" v="11895"/>
    </bk>
    <bk>
      <rc t="1" v="11896"/>
    </bk>
    <bk>
      <rc t="1" v="11897"/>
    </bk>
    <bk>
      <rc t="1" v="11898"/>
    </bk>
    <bk>
      <rc t="1" v="11899"/>
    </bk>
    <bk>
      <rc t="1" v="11900"/>
    </bk>
    <bk>
      <rc t="1" v="11901"/>
    </bk>
    <bk>
      <rc t="1" v="11902"/>
    </bk>
    <bk>
      <rc t="1" v="11903"/>
    </bk>
    <bk>
      <rc t="1" v="11904"/>
    </bk>
    <bk>
      <rc t="1" v="11905"/>
    </bk>
    <bk>
      <rc t="1" v="11906"/>
    </bk>
    <bk>
      <rc t="1" v="11907"/>
    </bk>
    <bk>
      <rc t="1" v="11908"/>
    </bk>
    <bk>
      <rc t="1" v="11909"/>
    </bk>
    <bk>
      <rc t="1" v="11910"/>
    </bk>
    <bk>
      <rc t="1" v="11911"/>
    </bk>
    <bk>
      <rc t="1" v="11912"/>
    </bk>
    <bk>
      <rc t="1" v="11913"/>
    </bk>
    <bk>
      <rc t="1" v="11914"/>
    </bk>
    <bk>
      <rc t="1" v="11915"/>
    </bk>
    <bk>
      <rc t="1" v="11916"/>
    </bk>
    <bk>
      <rc t="1" v="11917"/>
    </bk>
    <bk>
      <rc t="1" v="11918"/>
    </bk>
    <bk>
      <rc t="1" v="11919"/>
    </bk>
    <bk>
      <rc t="1" v="11920"/>
    </bk>
    <bk>
      <rc t="1" v="11921"/>
    </bk>
    <bk>
      <rc t="1" v="11922"/>
    </bk>
    <bk>
      <rc t="1" v="11923"/>
    </bk>
    <bk>
      <rc t="1" v="11924"/>
    </bk>
    <bk>
      <rc t="1" v="11925"/>
    </bk>
    <bk>
      <rc t="1" v="11926"/>
    </bk>
    <bk>
      <rc t="1" v="11927"/>
    </bk>
    <bk>
      <rc t="1" v="11928"/>
    </bk>
    <bk>
      <rc t="1" v="11929"/>
    </bk>
    <bk>
      <rc t="1" v="11930"/>
    </bk>
    <bk>
      <rc t="1" v="11931"/>
    </bk>
    <bk>
      <rc t="1" v="11932"/>
    </bk>
    <bk>
      <rc t="1" v="11933"/>
    </bk>
    <bk>
      <rc t="1" v="11934"/>
    </bk>
    <bk>
      <rc t="1" v="11935"/>
    </bk>
    <bk>
      <rc t="1" v="11936"/>
    </bk>
    <bk>
      <rc t="1" v="11937"/>
    </bk>
    <bk>
      <rc t="1" v="11938"/>
    </bk>
    <bk>
      <rc t="1" v="11939"/>
    </bk>
    <bk>
      <rc t="1" v="11940"/>
    </bk>
    <bk>
      <rc t="1" v="11941"/>
    </bk>
    <bk>
      <rc t="1" v="11942"/>
    </bk>
    <bk>
      <rc t="1" v="11943"/>
    </bk>
    <bk>
      <rc t="1" v="11944"/>
    </bk>
    <bk>
      <rc t="1" v="11945"/>
    </bk>
    <bk>
      <rc t="1" v="11946"/>
    </bk>
    <bk>
      <rc t="1" v="11947"/>
    </bk>
    <bk>
      <rc t="1" v="11948"/>
    </bk>
    <bk>
      <rc t="1" v="11949"/>
    </bk>
    <bk>
      <rc t="1" v="11950"/>
    </bk>
    <bk>
      <rc t="1" v="11951"/>
    </bk>
    <bk>
      <rc t="1" v="11952"/>
    </bk>
    <bk>
      <rc t="1" v="11953"/>
    </bk>
    <bk>
      <rc t="1" v="11954"/>
    </bk>
    <bk>
      <rc t="1" v="11955"/>
    </bk>
    <bk>
      <rc t="1" v="11956"/>
    </bk>
    <bk>
      <rc t="1" v="11957"/>
    </bk>
    <bk>
      <rc t="1" v="11958"/>
    </bk>
    <bk>
      <rc t="1" v="11959"/>
    </bk>
    <bk>
      <rc t="1" v="11960"/>
    </bk>
    <bk>
      <rc t="1" v="11961"/>
    </bk>
    <bk>
      <rc t="1" v="11962"/>
    </bk>
    <bk>
      <rc t="1" v="11963"/>
    </bk>
    <bk>
      <rc t="1" v="11964"/>
    </bk>
    <bk>
      <rc t="1" v="11965"/>
    </bk>
    <bk>
      <rc t="1" v="11966"/>
    </bk>
    <bk>
      <rc t="1" v="11967"/>
    </bk>
    <bk>
      <rc t="1" v="11968"/>
    </bk>
    <bk>
      <rc t="1" v="11969"/>
    </bk>
    <bk>
      <rc t="1" v="11970"/>
    </bk>
    <bk>
      <rc t="1" v="11971"/>
    </bk>
    <bk>
      <rc t="1" v="11972"/>
    </bk>
    <bk>
      <rc t="1" v="11973"/>
    </bk>
    <bk>
      <rc t="1" v="11974"/>
    </bk>
    <bk>
      <rc t="1" v="11975"/>
    </bk>
    <bk>
      <rc t="1" v="11976"/>
    </bk>
    <bk>
      <rc t="1" v="11977"/>
    </bk>
    <bk>
      <rc t="1" v="11978"/>
    </bk>
    <bk>
      <rc t="1" v="11979"/>
    </bk>
    <bk>
      <rc t="1" v="11980"/>
    </bk>
    <bk>
      <rc t="1" v="11981"/>
    </bk>
    <bk>
      <rc t="1" v="11982"/>
    </bk>
    <bk>
      <rc t="1" v="11983"/>
    </bk>
    <bk>
      <rc t="1" v="11984"/>
    </bk>
    <bk>
      <rc t="1" v="11985"/>
    </bk>
    <bk>
      <rc t="1" v="11986"/>
    </bk>
    <bk>
      <rc t="1" v="11987"/>
    </bk>
    <bk>
      <rc t="1" v="11988"/>
    </bk>
    <bk>
      <rc t="1" v="11989"/>
    </bk>
    <bk>
      <rc t="1" v="11990"/>
    </bk>
    <bk>
      <rc t="1" v="11991"/>
    </bk>
    <bk>
      <rc t="1" v="11992"/>
    </bk>
    <bk>
      <rc t="1" v="11993"/>
    </bk>
    <bk>
      <rc t="1" v="11994"/>
    </bk>
    <bk>
      <rc t="1" v="11995"/>
    </bk>
    <bk>
      <rc t="1" v="11996"/>
    </bk>
    <bk>
      <rc t="1" v="11997"/>
    </bk>
    <bk>
      <rc t="1" v="11998"/>
    </bk>
    <bk>
      <rc t="1" v="11999"/>
    </bk>
    <bk>
      <rc t="1" v="12000"/>
    </bk>
    <bk>
      <rc t="1" v="12001"/>
    </bk>
    <bk>
      <rc t="1" v="12002"/>
    </bk>
    <bk>
      <rc t="1" v="12003"/>
    </bk>
    <bk>
      <rc t="1" v="12004"/>
    </bk>
    <bk>
      <rc t="1" v="12005"/>
    </bk>
    <bk>
      <rc t="1" v="12006"/>
    </bk>
    <bk>
      <rc t="1" v="12007"/>
    </bk>
    <bk>
      <rc t="1" v="12008"/>
    </bk>
    <bk>
      <rc t="1" v="12009"/>
    </bk>
    <bk>
      <rc t="1" v="12010"/>
    </bk>
    <bk>
      <rc t="1" v="12011"/>
    </bk>
    <bk>
      <rc t="1" v="12012"/>
    </bk>
    <bk>
      <rc t="1" v="12013"/>
    </bk>
    <bk>
      <rc t="1" v="12014"/>
    </bk>
    <bk>
      <rc t="1" v="12015"/>
    </bk>
    <bk>
      <rc t="1" v="12016"/>
    </bk>
    <bk>
      <rc t="1" v="12017"/>
    </bk>
    <bk>
      <rc t="1" v="12018"/>
    </bk>
    <bk>
      <rc t="1" v="12019"/>
    </bk>
    <bk>
      <rc t="1" v="12020"/>
    </bk>
    <bk>
      <rc t="1" v="12021"/>
    </bk>
    <bk>
      <rc t="1" v="12022"/>
    </bk>
    <bk>
      <rc t="1" v="12023"/>
    </bk>
    <bk>
      <rc t="1" v="12024"/>
    </bk>
    <bk>
      <rc t="1" v="12025"/>
    </bk>
    <bk>
      <rc t="1" v="12026"/>
    </bk>
    <bk>
      <rc t="1" v="12027"/>
    </bk>
    <bk>
      <rc t="1" v="12028"/>
    </bk>
    <bk>
      <rc t="1" v="12029"/>
    </bk>
    <bk>
      <rc t="1" v="12030"/>
    </bk>
    <bk>
      <rc t="1" v="12031"/>
    </bk>
    <bk>
      <rc t="1" v="12032"/>
    </bk>
    <bk>
      <rc t="1" v="12033"/>
    </bk>
    <bk>
      <rc t="1" v="12034"/>
    </bk>
    <bk>
      <rc t="1" v="12035"/>
    </bk>
    <bk>
      <rc t="1" v="12036"/>
    </bk>
    <bk>
      <rc t="1" v="12037"/>
    </bk>
    <bk>
      <rc t="1" v="12038"/>
    </bk>
    <bk>
      <rc t="1" v="12039"/>
    </bk>
    <bk>
      <rc t="1" v="12040"/>
    </bk>
    <bk>
      <rc t="1" v="12041"/>
    </bk>
    <bk>
      <rc t="1" v="12042"/>
    </bk>
    <bk>
      <rc t="1" v="12043"/>
    </bk>
    <bk>
      <rc t="1" v="12044"/>
    </bk>
    <bk>
      <rc t="1" v="12045"/>
    </bk>
    <bk>
      <rc t="1" v="12046"/>
    </bk>
    <bk>
      <rc t="1" v="12047"/>
    </bk>
    <bk>
      <rc t="1" v="12048"/>
    </bk>
    <bk>
      <rc t="1" v="12049"/>
    </bk>
    <bk>
      <rc t="1" v="12050"/>
    </bk>
    <bk>
      <rc t="1" v="12051"/>
    </bk>
    <bk>
      <rc t="1" v="12052"/>
    </bk>
    <bk>
      <rc t="1" v="12053"/>
    </bk>
    <bk>
      <rc t="1" v="12054"/>
    </bk>
    <bk>
      <rc t="1" v="12055"/>
    </bk>
    <bk>
      <rc t="1" v="12056"/>
    </bk>
    <bk>
      <rc t="1" v="12057"/>
    </bk>
    <bk>
      <rc t="1" v="12058"/>
    </bk>
    <bk>
      <rc t="1" v="12059"/>
    </bk>
    <bk>
      <rc t="1" v="12060"/>
    </bk>
    <bk>
      <rc t="1" v="12061"/>
    </bk>
    <bk>
      <rc t="1" v="12062"/>
    </bk>
    <bk>
      <rc t="1" v="12063"/>
    </bk>
    <bk>
      <rc t="1" v="12064"/>
    </bk>
    <bk>
      <rc t="1" v="12065"/>
    </bk>
    <bk>
      <rc t="1" v="12066"/>
    </bk>
    <bk>
      <rc t="1" v="12067"/>
    </bk>
    <bk>
      <rc t="1" v="12068"/>
    </bk>
    <bk>
      <rc t="1" v="12069"/>
    </bk>
    <bk>
      <rc t="1" v="12070"/>
    </bk>
    <bk>
      <rc t="1" v="12071"/>
    </bk>
    <bk>
      <rc t="1" v="12072"/>
    </bk>
    <bk>
      <rc t="1" v="12073"/>
    </bk>
    <bk>
      <rc t="1" v="12074"/>
    </bk>
    <bk>
      <rc t="1" v="12075"/>
    </bk>
    <bk>
      <rc t="1" v="12076"/>
    </bk>
    <bk>
      <rc t="1" v="12077"/>
    </bk>
    <bk>
      <rc t="1" v="12078"/>
    </bk>
    <bk>
      <rc t="1" v="12079"/>
    </bk>
    <bk>
      <rc t="1" v="12080"/>
    </bk>
    <bk>
      <rc t="1" v="12081"/>
    </bk>
    <bk>
      <rc t="1" v="12082"/>
    </bk>
    <bk>
      <rc t="1" v="12083"/>
    </bk>
    <bk>
      <rc t="1" v="12084"/>
    </bk>
    <bk>
      <rc t="1" v="12085"/>
    </bk>
    <bk>
      <rc t="1" v="12086"/>
    </bk>
    <bk>
      <rc t="1" v="12087"/>
    </bk>
    <bk>
      <rc t="1" v="12088"/>
    </bk>
    <bk>
      <rc t="1" v="12089"/>
    </bk>
    <bk>
      <rc t="1" v="12090"/>
    </bk>
    <bk>
      <rc t="1" v="12091"/>
    </bk>
    <bk>
      <rc t="1" v="12092"/>
    </bk>
    <bk>
      <rc t="1" v="12093"/>
    </bk>
    <bk>
      <rc t="1" v="12094"/>
    </bk>
    <bk>
      <rc t="1" v="12095"/>
    </bk>
    <bk>
      <rc t="1" v="12096"/>
    </bk>
    <bk>
      <rc t="1" v="12097"/>
    </bk>
    <bk>
      <rc t="1" v="12098"/>
    </bk>
    <bk>
      <rc t="1" v="12099"/>
    </bk>
    <bk>
      <rc t="1" v="12100"/>
    </bk>
    <bk>
      <rc t="1" v="12101"/>
    </bk>
    <bk>
      <rc t="1" v="12102"/>
    </bk>
    <bk>
      <rc t="1" v="12103"/>
    </bk>
    <bk>
      <rc t="1" v="12104"/>
    </bk>
    <bk>
      <rc t="1" v="12105"/>
    </bk>
    <bk>
      <rc t="1" v="12106"/>
    </bk>
    <bk>
      <rc t="1" v="12107"/>
    </bk>
    <bk>
      <rc t="1" v="12108"/>
    </bk>
    <bk>
      <rc t="1" v="12109"/>
    </bk>
    <bk>
      <rc t="1" v="12110"/>
    </bk>
    <bk>
      <rc t="1" v="12111"/>
    </bk>
    <bk>
      <rc t="1" v="12112"/>
    </bk>
    <bk>
      <rc t="1" v="12113"/>
    </bk>
    <bk>
      <rc t="1" v="12114"/>
    </bk>
    <bk>
      <rc t="1" v="12115"/>
    </bk>
    <bk>
      <rc t="1" v="12116"/>
    </bk>
    <bk>
      <rc t="1" v="12117"/>
    </bk>
    <bk>
      <rc t="1" v="12118"/>
    </bk>
    <bk>
      <rc t="1" v="12119"/>
    </bk>
    <bk>
      <rc t="1" v="12120"/>
    </bk>
    <bk>
      <rc t="1" v="12121"/>
    </bk>
    <bk>
      <rc t="1" v="12122"/>
    </bk>
    <bk>
      <rc t="1" v="12123"/>
    </bk>
    <bk>
      <rc t="1" v="12124"/>
    </bk>
    <bk>
      <rc t="1" v="12125"/>
    </bk>
    <bk>
      <rc t="1" v="12126"/>
    </bk>
    <bk>
      <rc t="1" v="12127"/>
    </bk>
    <bk>
      <rc t="1" v="12128"/>
    </bk>
    <bk>
      <rc t="1" v="12129"/>
    </bk>
    <bk>
      <rc t="1" v="12130"/>
    </bk>
    <bk>
      <rc t="1" v="12131"/>
    </bk>
    <bk>
      <rc t="1" v="12132"/>
    </bk>
    <bk>
      <rc t="1" v="12133"/>
    </bk>
    <bk>
      <rc t="1" v="12134"/>
    </bk>
    <bk>
      <rc t="1" v="12135"/>
    </bk>
    <bk>
      <rc t="1" v="12136"/>
    </bk>
    <bk>
      <rc t="1" v="12137"/>
    </bk>
    <bk>
      <rc t="1" v="12138"/>
    </bk>
    <bk>
      <rc t="1" v="12139"/>
    </bk>
    <bk>
      <rc t="1" v="12140"/>
    </bk>
    <bk>
      <rc t="1" v="12141"/>
    </bk>
    <bk>
      <rc t="1" v="12142"/>
    </bk>
    <bk>
      <rc t="1" v="12143"/>
    </bk>
    <bk>
      <rc t="1" v="12144"/>
    </bk>
    <bk>
      <rc t="1" v="12145"/>
    </bk>
    <bk>
      <rc t="1" v="12146"/>
    </bk>
    <bk>
      <rc t="1" v="12147"/>
    </bk>
    <bk>
      <rc t="1" v="12148"/>
    </bk>
    <bk>
      <rc t="1" v="12149"/>
    </bk>
    <bk>
      <rc t="1" v="12150"/>
    </bk>
    <bk>
      <rc t="1" v="12151"/>
    </bk>
    <bk>
      <rc t="1" v="12152"/>
    </bk>
    <bk>
      <rc t="1" v="12153"/>
    </bk>
    <bk>
      <rc t="1" v="12154"/>
    </bk>
    <bk>
      <rc t="1" v="12155"/>
    </bk>
    <bk>
      <rc t="1" v="12156"/>
    </bk>
    <bk>
      <rc t="1" v="12157"/>
    </bk>
    <bk>
      <rc t="1" v="12158"/>
    </bk>
    <bk>
      <rc t="1" v="12159"/>
    </bk>
    <bk>
      <rc t="1" v="12160"/>
    </bk>
    <bk>
      <rc t="1" v="12161"/>
    </bk>
    <bk>
      <rc t="1" v="12162"/>
    </bk>
    <bk>
      <rc t="1" v="12163"/>
    </bk>
    <bk>
      <rc t="1" v="12164"/>
    </bk>
    <bk>
      <rc t="1" v="12165"/>
    </bk>
    <bk>
      <rc t="1" v="12166"/>
    </bk>
    <bk>
      <rc t="1" v="12167"/>
    </bk>
    <bk>
      <rc t="1" v="12168"/>
    </bk>
    <bk>
      <rc t="1" v="12169"/>
    </bk>
    <bk>
      <rc t="1" v="12170"/>
    </bk>
    <bk>
      <rc t="1" v="12171"/>
    </bk>
    <bk>
      <rc t="1" v="12172"/>
    </bk>
    <bk>
      <rc t="1" v="12173"/>
    </bk>
    <bk>
      <rc t="1" v="12174"/>
    </bk>
    <bk>
      <rc t="1" v="12175"/>
    </bk>
    <bk>
      <rc t="1" v="12176"/>
    </bk>
    <bk>
      <rc t="1" v="12177"/>
    </bk>
    <bk>
      <rc t="1" v="12178"/>
    </bk>
    <bk>
      <rc t="1" v="12179"/>
    </bk>
    <bk>
      <rc t="1" v="12180"/>
    </bk>
    <bk>
      <rc t="1" v="12181"/>
    </bk>
    <bk>
      <rc t="1" v="12182"/>
    </bk>
    <bk>
      <rc t="1" v="12183"/>
    </bk>
    <bk>
      <rc t="1" v="12184"/>
    </bk>
    <bk>
      <rc t="1" v="12185"/>
    </bk>
    <bk>
      <rc t="1" v="12186"/>
    </bk>
    <bk>
      <rc t="1" v="12187"/>
    </bk>
    <bk>
      <rc t="1" v="12188"/>
    </bk>
    <bk>
      <rc t="1" v="12189"/>
    </bk>
    <bk>
      <rc t="1" v="12190"/>
    </bk>
    <bk>
      <rc t="1" v="12191"/>
    </bk>
    <bk>
      <rc t="1" v="12192"/>
    </bk>
    <bk>
      <rc t="1" v="12193"/>
    </bk>
    <bk>
      <rc t="1" v="12194"/>
    </bk>
    <bk>
      <rc t="1" v="12195"/>
    </bk>
    <bk>
      <rc t="1" v="12196"/>
    </bk>
    <bk>
      <rc t="1" v="12197"/>
    </bk>
    <bk>
      <rc t="1" v="12198"/>
    </bk>
    <bk>
      <rc t="1" v="12199"/>
    </bk>
    <bk>
      <rc t="1" v="12200"/>
    </bk>
    <bk>
      <rc t="1" v="12201"/>
    </bk>
    <bk>
      <rc t="1" v="12202"/>
    </bk>
    <bk>
      <rc t="1" v="12203"/>
    </bk>
    <bk>
      <rc t="1" v="12204"/>
    </bk>
    <bk>
      <rc t="1" v="12205"/>
    </bk>
    <bk>
      <rc t="1" v="12206"/>
    </bk>
    <bk>
      <rc t="1" v="12207"/>
    </bk>
    <bk>
      <rc t="1" v="12208"/>
    </bk>
    <bk>
      <rc t="1" v="12209"/>
    </bk>
    <bk>
      <rc t="1" v="12210"/>
    </bk>
    <bk>
      <rc t="1" v="12211"/>
    </bk>
    <bk>
      <rc t="1" v="12212"/>
    </bk>
    <bk>
      <rc t="1" v="12213"/>
    </bk>
    <bk>
      <rc t="1" v="12214"/>
    </bk>
    <bk>
      <rc t="1" v="12215"/>
    </bk>
    <bk>
      <rc t="1" v="12216"/>
    </bk>
    <bk>
      <rc t="1" v="12217"/>
    </bk>
    <bk>
      <rc t="1" v="12218"/>
    </bk>
    <bk>
      <rc t="1" v="12219"/>
    </bk>
    <bk>
      <rc t="1" v="12220"/>
    </bk>
    <bk>
      <rc t="1" v="12221"/>
    </bk>
    <bk>
      <rc t="1" v="12222"/>
    </bk>
    <bk>
      <rc t="1" v="12223"/>
    </bk>
    <bk>
      <rc t="1" v="12224"/>
    </bk>
    <bk>
      <rc t="1" v="12225"/>
    </bk>
    <bk>
      <rc t="1" v="12226"/>
    </bk>
    <bk>
      <rc t="1" v="12227"/>
    </bk>
    <bk>
      <rc t="1" v="12228"/>
    </bk>
    <bk>
      <rc t="1" v="12229"/>
    </bk>
    <bk>
      <rc t="1" v="12230"/>
    </bk>
    <bk>
      <rc t="1" v="12231"/>
    </bk>
    <bk>
      <rc t="1" v="12232"/>
    </bk>
    <bk>
      <rc t="1" v="12233"/>
    </bk>
    <bk>
      <rc t="1" v="12234"/>
    </bk>
    <bk>
      <rc t="1" v="12235"/>
    </bk>
    <bk>
      <rc t="1" v="12236"/>
    </bk>
    <bk>
      <rc t="1" v="12237"/>
    </bk>
    <bk>
      <rc t="1" v="12238"/>
    </bk>
    <bk>
      <rc t="1" v="12239"/>
    </bk>
    <bk>
      <rc t="1" v="12240"/>
    </bk>
    <bk>
      <rc t="1" v="12241"/>
    </bk>
    <bk>
      <rc t="1" v="12242"/>
    </bk>
    <bk>
      <rc t="1" v="12243"/>
    </bk>
    <bk>
      <rc t="1" v="12244"/>
    </bk>
    <bk>
      <rc t="1" v="12245"/>
    </bk>
    <bk>
      <rc t="1" v="12246"/>
    </bk>
    <bk>
      <rc t="1" v="12247"/>
    </bk>
    <bk>
      <rc t="1" v="12248"/>
    </bk>
    <bk>
      <rc t="1" v="12249"/>
    </bk>
    <bk>
      <rc t="1" v="12250"/>
    </bk>
    <bk>
      <rc t="1" v="12251"/>
    </bk>
    <bk>
      <rc t="1" v="12252"/>
    </bk>
    <bk>
      <rc t="1" v="12253"/>
    </bk>
    <bk>
      <rc t="1" v="12254"/>
    </bk>
    <bk>
      <rc t="1" v="12255"/>
    </bk>
    <bk>
      <rc t="1" v="12256"/>
    </bk>
    <bk>
      <rc t="1" v="12257"/>
    </bk>
    <bk>
      <rc t="1" v="12258"/>
    </bk>
    <bk>
      <rc t="1" v="12259"/>
    </bk>
    <bk>
      <rc t="1" v="12260"/>
    </bk>
    <bk>
      <rc t="1" v="12261"/>
    </bk>
    <bk>
      <rc t="1" v="12262"/>
    </bk>
    <bk>
      <rc t="1" v="12263"/>
    </bk>
    <bk>
      <rc t="1" v="12264"/>
    </bk>
    <bk>
      <rc t="1" v="12265"/>
    </bk>
    <bk>
      <rc t="1" v="12266"/>
    </bk>
    <bk>
      <rc t="1" v="12267"/>
    </bk>
    <bk>
      <rc t="1" v="12268"/>
    </bk>
    <bk>
      <rc t="1" v="12269"/>
    </bk>
    <bk>
      <rc t="1" v="12270"/>
    </bk>
    <bk>
      <rc t="1" v="12271"/>
    </bk>
    <bk>
      <rc t="1" v="12272"/>
    </bk>
    <bk>
      <rc t="1" v="12273"/>
    </bk>
    <bk>
      <rc t="1" v="12274"/>
    </bk>
    <bk>
      <rc t="1" v="12275"/>
    </bk>
    <bk>
      <rc t="1" v="12276"/>
    </bk>
    <bk>
      <rc t="1" v="12277"/>
    </bk>
    <bk>
      <rc t="1" v="12278"/>
    </bk>
    <bk>
      <rc t="1" v="12279"/>
    </bk>
    <bk>
      <rc t="1" v="12280"/>
    </bk>
    <bk>
      <rc t="1" v="12281"/>
    </bk>
    <bk>
      <rc t="1" v="12282"/>
    </bk>
    <bk>
      <rc t="1" v="12283"/>
    </bk>
    <bk>
      <rc t="1" v="12284"/>
    </bk>
    <bk>
      <rc t="1" v="12285"/>
    </bk>
    <bk>
      <rc t="1" v="12286"/>
    </bk>
    <bk>
      <rc t="1" v="12287"/>
    </bk>
    <bk>
      <rc t="1" v="12288"/>
    </bk>
    <bk>
      <rc t="1" v="12289"/>
    </bk>
    <bk>
      <rc t="1" v="12290"/>
    </bk>
    <bk>
      <rc t="1" v="12291"/>
    </bk>
    <bk>
      <rc t="1" v="12292"/>
    </bk>
    <bk>
      <rc t="1" v="12293"/>
    </bk>
    <bk>
      <rc t="1" v="12294"/>
    </bk>
    <bk>
      <rc t="1" v="12295"/>
    </bk>
    <bk>
      <rc t="1" v="12296"/>
    </bk>
    <bk>
      <rc t="1" v="12297"/>
    </bk>
    <bk>
      <rc t="1" v="12298"/>
    </bk>
    <bk>
      <rc t="1" v="12299"/>
    </bk>
    <bk>
      <rc t="1" v="12300"/>
    </bk>
    <bk>
      <rc t="1" v="12301"/>
    </bk>
    <bk>
      <rc t="1" v="12302"/>
    </bk>
    <bk>
      <rc t="1" v="12303"/>
    </bk>
    <bk>
      <rc t="1" v="12304"/>
    </bk>
    <bk>
      <rc t="1" v="12305"/>
    </bk>
    <bk>
      <rc t="1" v="12306"/>
    </bk>
    <bk>
      <rc t="1" v="12307"/>
    </bk>
    <bk>
      <rc t="1" v="12308"/>
    </bk>
    <bk>
      <rc t="1" v="12309"/>
    </bk>
    <bk>
      <rc t="1" v="12310"/>
    </bk>
    <bk>
      <rc t="1" v="12311"/>
    </bk>
    <bk>
      <rc t="1" v="12312"/>
    </bk>
    <bk>
      <rc t="1" v="12313"/>
    </bk>
    <bk>
      <rc t="1" v="12314"/>
    </bk>
    <bk>
      <rc t="1" v="12315"/>
    </bk>
    <bk>
      <rc t="1" v="12316"/>
    </bk>
    <bk>
      <rc t="1" v="12317"/>
    </bk>
    <bk>
      <rc t="1" v="12318"/>
    </bk>
    <bk>
      <rc t="1" v="12319"/>
    </bk>
    <bk>
      <rc t="1" v="12320"/>
    </bk>
    <bk>
      <rc t="1" v="12321"/>
    </bk>
    <bk>
      <rc t="1" v="12322"/>
    </bk>
    <bk>
      <rc t="1" v="12323"/>
    </bk>
    <bk>
      <rc t="1" v="12324"/>
    </bk>
    <bk>
      <rc t="1" v="12325"/>
    </bk>
    <bk>
      <rc t="1" v="12326"/>
    </bk>
    <bk>
      <rc t="1" v="12327"/>
    </bk>
    <bk>
      <rc t="1" v="12328"/>
    </bk>
    <bk>
      <rc t="1" v="12329"/>
    </bk>
    <bk>
      <rc t="1" v="12330"/>
    </bk>
    <bk>
      <rc t="1" v="12331"/>
    </bk>
    <bk>
      <rc t="1" v="12332"/>
    </bk>
    <bk>
      <rc t="1" v="12333"/>
    </bk>
    <bk>
      <rc t="1" v="12334"/>
    </bk>
    <bk>
      <rc t="1" v="12335"/>
    </bk>
    <bk>
      <rc t="1" v="12336"/>
    </bk>
    <bk>
      <rc t="1" v="12337"/>
    </bk>
    <bk>
      <rc t="1" v="12338"/>
    </bk>
    <bk>
      <rc t="1" v="12339"/>
    </bk>
    <bk>
      <rc t="1" v="12340"/>
    </bk>
    <bk>
      <rc t="1" v="12341"/>
    </bk>
    <bk>
      <rc t="1" v="12342"/>
    </bk>
    <bk>
      <rc t="1" v="12343"/>
    </bk>
    <bk>
      <rc t="1" v="12344"/>
    </bk>
    <bk>
      <rc t="1" v="12345"/>
    </bk>
    <bk>
      <rc t="1" v="12346"/>
    </bk>
    <bk>
      <rc t="1" v="12347"/>
    </bk>
    <bk>
      <rc t="1" v="12348"/>
    </bk>
    <bk>
      <rc t="1" v="12349"/>
    </bk>
    <bk>
      <rc t="1" v="12350"/>
    </bk>
    <bk>
      <rc t="1" v="12351"/>
    </bk>
    <bk>
      <rc t="1" v="12352"/>
    </bk>
    <bk>
      <rc t="1" v="12353"/>
    </bk>
    <bk>
      <rc t="1" v="12354"/>
    </bk>
    <bk>
      <rc t="1" v="12355"/>
    </bk>
    <bk>
      <rc t="1" v="12356"/>
    </bk>
    <bk>
      <rc t="1" v="12357"/>
    </bk>
    <bk>
      <rc t="1" v="12358"/>
    </bk>
    <bk>
      <rc t="1" v="12359"/>
    </bk>
    <bk>
      <rc t="1" v="12360"/>
    </bk>
    <bk>
      <rc t="1" v="12361"/>
    </bk>
    <bk>
      <rc t="1" v="12362"/>
    </bk>
    <bk>
      <rc t="1" v="12363"/>
    </bk>
    <bk>
      <rc t="1" v="12364"/>
    </bk>
    <bk>
      <rc t="1" v="12365"/>
    </bk>
    <bk>
      <rc t="1" v="12366"/>
    </bk>
    <bk>
      <rc t="1" v="12367"/>
    </bk>
    <bk>
      <rc t="1" v="12368"/>
    </bk>
    <bk>
      <rc t="1" v="12369"/>
    </bk>
    <bk>
      <rc t="1" v="12370"/>
    </bk>
    <bk>
      <rc t="1" v="12371"/>
    </bk>
    <bk>
      <rc t="1" v="12372"/>
    </bk>
    <bk>
      <rc t="1" v="12373"/>
    </bk>
    <bk>
      <rc t="1" v="12374"/>
    </bk>
    <bk>
      <rc t="1" v="12375"/>
    </bk>
    <bk>
      <rc t="1" v="12376"/>
    </bk>
    <bk>
      <rc t="1" v="12377"/>
    </bk>
    <bk>
      <rc t="1" v="12378"/>
    </bk>
    <bk>
      <rc t="1" v="12379"/>
    </bk>
    <bk>
      <rc t="1" v="12380"/>
    </bk>
    <bk>
      <rc t="1" v="12381"/>
    </bk>
    <bk>
      <rc t="1" v="12382"/>
    </bk>
    <bk>
      <rc t="1" v="12383"/>
    </bk>
    <bk>
      <rc t="1" v="12384"/>
    </bk>
    <bk>
      <rc t="1" v="12385"/>
    </bk>
    <bk>
      <rc t="1" v="12386"/>
    </bk>
    <bk>
      <rc t="1" v="12387"/>
    </bk>
    <bk>
      <rc t="1" v="12388"/>
    </bk>
    <bk>
      <rc t="1" v="12389"/>
    </bk>
    <bk>
      <rc t="1" v="12390"/>
    </bk>
    <bk>
      <rc t="1" v="12391"/>
    </bk>
    <bk>
      <rc t="1" v="12392"/>
    </bk>
    <bk>
      <rc t="1" v="12393"/>
    </bk>
    <bk>
      <rc t="1" v="12394"/>
    </bk>
    <bk>
      <rc t="1" v="12395"/>
    </bk>
    <bk>
      <rc t="1" v="12396"/>
    </bk>
    <bk>
      <rc t="1" v="12397"/>
    </bk>
    <bk>
      <rc t="1" v="12398"/>
    </bk>
    <bk>
      <rc t="1" v="12399"/>
    </bk>
    <bk>
      <rc t="1" v="12400"/>
    </bk>
    <bk>
      <rc t="1" v="12401"/>
    </bk>
    <bk>
      <rc t="1" v="12402"/>
    </bk>
    <bk>
      <rc t="1" v="12403"/>
    </bk>
    <bk>
      <rc t="1" v="12404"/>
    </bk>
    <bk>
      <rc t="1" v="12405"/>
    </bk>
    <bk>
      <rc t="1" v="12406"/>
    </bk>
    <bk>
      <rc t="1" v="12407"/>
    </bk>
    <bk>
      <rc t="1" v="12408"/>
    </bk>
    <bk>
      <rc t="1" v="12409"/>
    </bk>
    <bk>
      <rc t="1" v="12410"/>
    </bk>
    <bk>
      <rc t="1" v="12411"/>
    </bk>
    <bk>
      <rc t="1" v="12412"/>
    </bk>
    <bk>
      <rc t="1" v="12413"/>
    </bk>
    <bk>
      <rc t="1" v="12414"/>
    </bk>
    <bk>
      <rc t="1" v="12415"/>
    </bk>
    <bk>
      <rc t="1" v="12416"/>
    </bk>
    <bk>
      <rc t="1" v="12417"/>
    </bk>
    <bk>
      <rc t="1" v="12418"/>
    </bk>
    <bk>
      <rc t="1" v="12419"/>
    </bk>
    <bk>
      <rc t="1" v="12420"/>
    </bk>
    <bk>
      <rc t="1" v="12421"/>
    </bk>
    <bk>
      <rc t="1" v="12422"/>
    </bk>
    <bk>
      <rc t="1" v="12423"/>
    </bk>
    <bk>
      <rc t="1" v="12424"/>
    </bk>
    <bk>
      <rc t="1" v="12425"/>
    </bk>
    <bk>
      <rc t="1" v="12426"/>
    </bk>
    <bk>
      <rc t="1" v="12427"/>
    </bk>
    <bk>
      <rc t="1" v="12428"/>
    </bk>
    <bk>
      <rc t="1" v="12429"/>
    </bk>
    <bk>
      <rc t="1" v="12430"/>
    </bk>
    <bk>
      <rc t="1" v="12431"/>
    </bk>
    <bk>
      <rc t="1" v="12432"/>
    </bk>
    <bk>
      <rc t="1" v="12433"/>
    </bk>
    <bk>
      <rc t="1" v="12434"/>
    </bk>
    <bk>
      <rc t="1" v="12435"/>
    </bk>
    <bk>
      <rc t="1" v="12436"/>
    </bk>
    <bk>
      <rc t="1" v="12437"/>
    </bk>
    <bk>
      <rc t="1" v="12438"/>
    </bk>
    <bk>
      <rc t="1" v="12439"/>
    </bk>
    <bk>
      <rc t="1" v="12440"/>
    </bk>
    <bk>
      <rc t="1" v="12441"/>
    </bk>
    <bk>
      <rc t="1" v="12442"/>
    </bk>
    <bk>
      <rc t="1" v="12443"/>
    </bk>
    <bk>
      <rc t="1" v="12444"/>
    </bk>
    <bk>
      <rc t="1" v="12445"/>
    </bk>
    <bk>
      <rc t="1" v="12446"/>
    </bk>
    <bk>
      <rc t="1" v="12447"/>
    </bk>
    <bk>
      <rc t="1" v="12448"/>
    </bk>
    <bk>
      <rc t="1" v="12449"/>
    </bk>
    <bk>
      <rc t="1" v="12450"/>
    </bk>
    <bk>
      <rc t="1" v="12451"/>
    </bk>
    <bk>
      <rc t="1" v="12452"/>
    </bk>
    <bk>
      <rc t="1" v="12453"/>
    </bk>
    <bk>
      <rc t="1" v="12454"/>
    </bk>
    <bk>
      <rc t="1" v="12455"/>
    </bk>
    <bk>
      <rc t="1" v="12456"/>
    </bk>
    <bk>
      <rc t="1" v="12457"/>
    </bk>
    <bk>
      <rc t="1" v="12458"/>
    </bk>
    <bk>
      <rc t="1" v="12459"/>
    </bk>
    <bk>
      <rc t="1" v="12460"/>
    </bk>
    <bk>
      <rc t="1" v="12461"/>
    </bk>
    <bk>
      <rc t="1" v="12462"/>
    </bk>
    <bk>
      <rc t="1" v="12463"/>
    </bk>
    <bk>
      <rc t="1" v="12464"/>
    </bk>
    <bk>
      <rc t="1" v="12465"/>
    </bk>
    <bk>
      <rc t="1" v="12466"/>
    </bk>
    <bk>
      <rc t="1" v="12467"/>
    </bk>
    <bk>
      <rc t="1" v="12468"/>
    </bk>
    <bk>
      <rc t="1" v="12469"/>
    </bk>
    <bk>
      <rc t="1" v="12470"/>
    </bk>
    <bk>
      <rc t="1" v="12471"/>
    </bk>
    <bk>
      <rc t="1" v="12472"/>
    </bk>
    <bk>
      <rc t="1" v="12473"/>
    </bk>
    <bk>
      <rc t="1" v="12474"/>
    </bk>
    <bk>
      <rc t="1" v="12475"/>
    </bk>
    <bk>
      <rc t="1" v="12476"/>
    </bk>
    <bk>
      <rc t="1" v="12477"/>
    </bk>
    <bk>
      <rc t="1" v="12478"/>
    </bk>
    <bk>
      <rc t="1" v="12479"/>
    </bk>
    <bk>
      <rc t="1" v="12480"/>
    </bk>
    <bk>
      <rc t="1" v="12481"/>
    </bk>
    <bk>
      <rc t="1" v="12482"/>
    </bk>
    <bk>
      <rc t="1" v="12483"/>
    </bk>
    <bk>
      <rc t="1" v="12484"/>
    </bk>
    <bk>
      <rc t="1" v="12485"/>
    </bk>
    <bk>
      <rc t="1" v="12486"/>
    </bk>
    <bk>
      <rc t="1" v="12487"/>
    </bk>
    <bk>
      <rc t="1" v="12488"/>
    </bk>
    <bk>
      <rc t="1" v="12489"/>
    </bk>
    <bk>
      <rc t="1" v="12490"/>
    </bk>
    <bk>
      <rc t="1" v="12491"/>
    </bk>
    <bk>
      <rc t="1" v="12492"/>
    </bk>
    <bk>
      <rc t="1" v="12493"/>
    </bk>
    <bk>
      <rc t="1" v="12494"/>
    </bk>
    <bk>
      <rc t="1" v="12495"/>
    </bk>
    <bk>
      <rc t="1" v="12496"/>
    </bk>
    <bk>
      <rc t="1" v="12497"/>
    </bk>
    <bk>
      <rc t="1" v="12498"/>
    </bk>
    <bk>
      <rc t="1" v="12499"/>
    </bk>
    <bk>
      <rc t="1" v="12500"/>
    </bk>
    <bk>
      <rc t="1" v="12501"/>
    </bk>
    <bk>
      <rc t="1" v="12502"/>
    </bk>
    <bk>
      <rc t="1" v="12503"/>
    </bk>
    <bk>
      <rc t="1" v="12504"/>
    </bk>
    <bk>
      <rc t="1" v="12505"/>
    </bk>
    <bk>
      <rc t="1" v="12506"/>
    </bk>
    <bk>
      <rc t="1" v="12507"/>
    </bk>
    <bk>
      <rc t="1" v="12508"/>
    </bk>
    <bk>
      <rc t="1" v="12509"/>
    </bk>
    <bk>
      <rc t="1" v="12510"/>
    </bk>
    <bk>
      <rc t="1" v="12511"/>
    </bk>
    <bk>
      <rc t="1" v="12512"/>
    </bk>
    <bk>
      <rc t="1" v="12513"/>
    </bk>
    <bk>
      <rc t="1" v="12514"/>
    </bk>
    <bk>
      <rc t="1" v="12515"/>
    </bk>
    <bk>
      <rc t="1" v="12516"/>
    </bk>
    <bk>
      <rc t="1" v="12517"/>
    </bk>
    <bk>
      <rc t="1" v="12518"/>
    </bk>
    <bk>
      <rc t="1" v="12519"/>
    </bk>
    <bk>
      <rc t="1" v="12520"/>
    </bk>
    <bk>
      <rc t="1" v="12521"/>
    </bk>
    <bk>
      <rc t="1" v="12522"/>
    </bk>
    <bk>
      <rc t="1" v="12523"/>
    </bk>
    <bk>
      <rc t="1" v="12524"/>
    </bk>
    <bk>
      <rc t="1" v="12525"/>
    </bk>
    <bk>
      <rc t="1" v="12526"/>
    </bk>
    <bk>
      <rc t="1" v="12527"/>
    </bk>
    <bk>
      <rc t="1" v="12528"/>
    </bk>
    <bk>
      <rc t="1" v="12529"/>
    </bk>
    <bk>
      <rc t="1" v="12530"/>
    </bk>
    <bk>
      <rc t="1" v="12531"/>
    </bk>
    <bk>
      <rc t="1" v="12532"/>
    </bk>
    <bk>
      <rc t="1" v="12533"/>
    </bk>
    <bk>
      <rc t="1" v="12534"/>
    </bk>
    <bk>
      <rc t="1" v="12535"/>
    </bk>
    <bk>
      <rc t="1" v="12536"/>
    </bk>
    <bk>
      <rc t="1" v="12537"/>
    </bk>
    <bk>
      <rc t="1" v="12538"/>
    </bk>
    <bk>
      <rc t="1" v="12539"/>
    </bk>
    <bk>
      <rc t="1" v="12540"/>
    </bk>
    <bk>
      <rc t="1" v="12541"/>
    </bk>
    <bk>
      <rc t="1" v="12542"/>
    </bk>
    <bk>
      <rc t="1" v="12543"/>
    </bk>
    <bk>
      <rc t="1" v="12544"/>
    </bk>
    <bk>
      <rc t="1" v="12545"/>
    </bk>
    <bk>
      <rc t="1" v="12546"/>
    </bk>
    <bk>
      <rc t="1" v="12547"/>
    </bk>
    <bk>
      <rc t="1" v="12548"/>
    </bk>
    <bk>
      <rc t="1" v="12549"/>
    </bk>
    <bk>
      <rc t="1" v="12550"/>
    </bk>
    <bk>
      <rc t="1" v="12551"/>
    </bk>
    <bk>
      <rc t="1" v="12552"/>
    </bk>
    <bk>
      <rc t="1" v="12553"/>
    </bk>
    <bk>
      <rc t="1" v="12554"/>
    </bk>
    <bk>
      <rc t="1" v="12555"/>
    </bk>
    <bk>
      <rc t="1" v="12556"/>
    </bk>
    <bk>
      <rc t="1" v="12557"/>
    </bk>
    <bk>
      <rc t="1" v="12558"/>
    </bk>
    <bk>
      <rc t="1" v="12559"/>
    </bk>
    <bk>
      <rc t="1" v="12560"/>
    </bk>
    <bk>
      <rc t="1" v="12561"/>
    </bk>
    <bk>
      <rc t="1" v="12562"/>
    </bk>
    <bk>
      <rc t="1" v="12563"/>
    </bk>
    <bk>
      <rc t="1" v="12564"/>
    </bk>
    <bk>
      <rc t="1" v="12565"/>
    </bk>
    <bk>
      <rc t="1" v="12566"/>
    </bk>
    <bk>
      <rc t="1" v="12567"/>
    </bk>
    <bk>
      <rc t="1" v="12568"/>
    </bk>
    <bk>
      <rc t="1" v="12569"/>
    </bk>
    <bk>
      <rc t="1" v="12570"/>
    </bk>
    <bk>
      <rc t="1" v="12571"/>
    </bk>
    <bk>
      <rc t="1" v="12572"/>
    </bk>
    <bk>
      <rc t="1" v="12573"/>
    </bk>
    <bk>
      <rc t="1" v="12574"/>
    </bk>
    <bk>
      <rc t="1" v="12575"/>
    </bk>
    <bk>
      <rc t="1" v="12576"/>
    </bk>
    <bk>
      <rc t="1" v="12577"/>
    </bk>
    <bk>
      <rc t="1" v="12578"/>
    </bk>
    <bk>
      <rc t="1" v="12579"/>
    </bk>
    <bk>
      <rc t="1" v="12580"/>
    </bk>
    <bk>
      <rc t="1" v="12581"/>
    </bk>
    <bk>
      <rc t="1" v="12582"/>
    </bk>
    <bk>
      <rc t="1" v="12583"/>
    </bk>
    <bk>
      <rc t="1" v="12584"/>
    </bk>
    <bk>
      <rc t="1" v="12585"/>
    </bk>
    <bk>
      <rc t="1" v="12586"/>
    </bk>
    <bk>
      <rc t="1" v="12587"/>
    </bk>
    <bk>
      <rc t="1" v="12588"/>
    </bk>
    <bk>
      <rc t="1" v="12589"/>
    </bk>
    <bk>
      <rc t="1" v="12590"/>
    </bk>
    <bk>
      <rc t="1" v="12591"/>
    </bk>
    <bk>
      <rc t="1" v="12592"/>
    </bk>
    <bk>
      <rc t="1" v="12593"/>
    </bk>
    <bk>
      <rc t="1" v="12594"/>
    </bk>
    <bk>
      <rc t="1" v="12595"/>
    </bk>
    <bk>
      <rc t="1" v="12596"/>
    </bk>
    <bk>
      <rc t="1" v="12597"/>
    </bk>
    <bk>
      <rc t="1" v="12598"/>
    </bk>
    <bk>
      <rc t="1" v="12599"/>
    </bk>
    <bk>
      <rc t="1" v="12600"/>
    </bk>
    <bk>
      <rc t="1" v="12601"/>
    </bk>
    <bk>
      <rc t="1" v="12602"/>
    </bk>
    <bk>
      <rc t="1" v="12603"/>
    </bk>
    <bk>
      <rc t="1" v="12604"/>
    </bk>
    <bk>
      <rc t="1" v="12605"/>
    </bk>
    <bk>
      <rc t="1" v="12606"/>
    </bk>
    <bk>
      <rc t="1" v="12607"/>
    </bk>
    <bk>
      <rc t="1" v="12608"/>
    </bk>
    <bk>
      <rc t="1" v="12609"/>
    </bk>
    <bk>
      <rc t="1" v="12610"/>
    </bk>
    <bk>
      <rc t="1" v="12611"/>
    </bk>
    <bk>
      <rc t="1" v="12612"/>
    </bk>
    <bk>
      <rc t="1" v="12613"/>
    </bk>
    <bk>
      <rc t="1" v="12614"/>
    </bk>
    <bk>
      <rc t="1" v="12615"/>
    </bk>
    <bk>
      <rc t="1" v="12616"/>
    </bk>
    <bk>
      <rc t="1" v="12617"/>
    </bk>
    <bk>
      <rc t="1" v="12618"/>
    </bk>
    <bk>
      <rc t="1" v="12619"/>
    </bk>
    <bk>
      <rc t="1" v="12620"/>
    </bk>
    <bk>
      <rc t="1" v="12621"/>
    </bk>
    <bk>
      <rc t="1" v="12622"/>
    </bk>
    <bk>
      <rc t="1" v="12623"/>
    </bk>
    <bk>
      <rc t="1" v="12624"/>
    </bk>
    <bk>
      <rc t="1" v="12625"/>
    </bk>
    <bk>
      <rc t="1" v="12626"/>
    </bk>
    <bk>
      <rc t="1" v="12627"/>
    </bk>
    <bk>
      <rc t="1" v="12628"/>
    </bk>
    <bk>
      <rc t="1" v="12629"/>
    </bk>
    <bk>
      <rc t="1" v="12630"/>
    </bk>
    <bk>
      <rc t="1" v="12631"/>
    </bk>
    <bk>
      <rc t="1" v="12632"/>
    </bk>
    <bk>
      <rc t="1" v="12633"/>
    </bk>
    <bk>
      <rc t="1" v="12634"/>
    </bk>
    <bk>
      <rc t="1" v="12635"/>
    </bk>
    <bk>
      <rc t="1" v="12636"/>
    </bk>
    <bk>
      <rc t="1" v="12637"/>
    </bk>
    <bk>
      <rc t="1" v="12638"/>
    </bk>
    <bk>
      <rc t="1" v="12639"/>
    </bk>
    <bk>
      <rc t="1" v="12640"/>
    </bk>
    <bk>
      <rc t="1" v="12641"/>
    </bk>
    <bk>
      <rc t="1" v="12642"/>
    </bk>
    <bk>
      <rc t="1" v="12643"/>
    </bk>
    <bk>
      <rc t="1" v="12644"/>
    </bk>
    <bk>
      <rc t="1" v="12645"/>
    </bk>
    <bk>
      <rc t="1" v="12646"/>
    </bk>
    <bk>
      <rc t="1" v="12647"/>
    </bk>
    <bk>
      <rc t="1" v="12648"/>
    </bk>
    <bk>
      <rc t="1" v="12649"/>
    </bk>
    <bk>
      <rc t="1" v="12650"/>
    </bk>
    <bk>
      <rc t="1" v="12651"/>
    </bk>
    <bk>
      <rc t="1" v="12652"/>
    </bk>
    <bk>
      <rc t="1" v="12653"/>
    </bk>
    <bk>
      <rc t="1" v="12654"/>
    </bk>
    <bk>
      <rc t="1" v="12655"/>
    </bk>
    <bk>
      <rc t="1" v="12656"/>
    </bk>
    <bk>
      <rc t="1" v="12657"/>
    </bk>
    <bk>
      <rc t="1" v="12658"/>
    </bk>
    <bk>
      <rc t="1" v="12659"/>
    </bk>
    <bk>
      <rc t="1" v="12660"/>
    </bk>
    <bk>
      <rc t="1" v="12661"/>
    </bk>
    <bk>
      <rc t="1" v="12662"/>
    </bk>
    <bk>
      <rc t="1" v="12663"/>
    </bk>
    <bk>
      <rc t="1" v="12664"/>
    </bk>
    <bk>
      <rc t="1" v="12665"/>
    </bk>
    <bk>
      <rc t="1" v="12666"/>
    </bk>
    <bk>
      <rc t="1" v="12667"/>
    </bk>
    <bk>
      <rc t="1" v="12668"/>
    </bk>
    <bk>
      <rc t="1" v="12669"/>
    </bk>
    <bk>
      <rc t="1" v="12670"/>
    </bk>
    <bk>
      <rc t="1" v="12671"/>
    </bk>
    <bk>
      <rc t="1" v="12672"/>
    </bk>
    <bk>
      <rc t="1" v="12673"/>
    </bk>
    <bk>
      <rc t="1" v="12674"/>
    </bk>
    <bk>
      <rc t="1" v="12675"/>
    </bk>
    <bk>
      <rc t="1" v="12676"/>
    </bk>
    <bk>
      <rc t="1" v="12677"/>
    </bk>
    <bk>
      <rc t="1" v="12678"/>
    </bk>
    <bk>
      <rc t="1" v="12679"/>
    </bk>
    <bk>
      <rc t="1" v="12680"/>
    </bk>
    <bk>
      <rc t="1" v="12681"/>
    </bk>
    <bk>
      <rc t="1" v="12682"/>
    </bk>
    <bk>
      <rc t="1" v="12683"/>
    </bk>
    <bk>
      <rc t="1" v="12684"/>
    </bk>
    <bk>
      <rc t="1" v="12685"/>
    </bk>
    <bk>
      <rc t="1" v="12686"/>
    </bk>
    <bk>
      <rc t="1" v="12687"/>
    </bk>
    <bk>
      <rc t="1" v="12688"/>
    </bk>
    <bk>
      <rc t="1" v="12689"/>
    </bk>
    <bk>
      <rc t="1" v="12690"/>
    </bk>
    <bk>
      <rc t="1" v="12691"/>
    </bk>
    <bk>
      <rc t="1" v="12692"/>
    </bk>
    <bk>
      <rc t="1" v="12693"/>
    </bk>
    <bk>
      <rc t="1" v="12694"/>
    </bk>
    <bk>
      <rc t="1" v="12695"/>
    </bk>
    <bk>
      <rc t="1" v="12696"/>
    </bk>
    <bk>
      <rc t="1" v="12697"/>
    </bk>
    <bk>
      <rc t="1" v="12698"/>
    </bk>
    <bk>
      <rc t="1" v="12699"/>
    </bk>
    <bk>
      <rc t="1" v="12700"/>
    </bk>
    <bk>
      <rc t="1" v="12701"/>
    </bk>
    <bk>
      <rc t="1" v="12702"/>
    </bk>
    <bk>
      <rc t="1" v="12703"/>
    </bk>
    <bk>
      <rc t="1" v="12704"/>
    </bk>
    <bk>
      <rc t="1" v="12705"/>
    </bk>
    <bk>
      <rc t="1" v="12706"/>
    </bk>
    <bk>
      <rc t="1" v="12707"/>
    </bk>
    <bk>
      <rc t="1" v="12708"/>
    </bk>
    <bk>
      <rc t="1" v="12709"/>
    </bk>
    <bk>
      <rc t="1" v="12710"/>
    </bk>
    <bk>
      <rc t="1" v="12711"/>
    </bk>
    <bk>
      <rc t="1" v="12712"/>
    </bk>
    <bk>
      <rc t="1" v="12713"/>
    </bk>
    <bk>
      <rc t="1" v="12714"/>
    </bk>
    <bk>
      <rc t="1" v="12715"/>
    </bk>
    <bk>
      <rc t="1" v="12716"/>
    </bk>
    <bk>
      <rc t="1" v="12717"/>
    </bk>
    <bk>
      <rc t="1" v="12718"/>
    </bk>
    <bk>
      <rc t="1" v="12719"/>
    </bk>
    <bk>
      <rc t="1" v="12720"/>
    </bk>
    <bk>
      <rc t="1" v="12721"/>
    </bk>
    <bk>
      <rc t="1" v="12722"/>
    </bk>
    <bk>
      <rc t="1" v="12723"/>
    </bk>
    <bk>
      <rc t="1" v="12724"/>
    </bk>
    <bk>
      <rc t="1" v="12725"/>
    </bk>
    <bk>
      <rc t="1" v="12726"/>
    </bk>
    <bk>
      <rc t="1" v="12727"/>
    </bk>
    <bk>
      <rc t="1" v="12728"/>
    </bk>
    <bk>
      <rc t="1" v="12729"/>
    </bk>
    <bk>
      <rc t="1" v="12730"/>
    </bk>
    <bk>
      <rc t="1" v="12731"/>
    </bk>
    <bk>
      <rc t="1" v="12732"/>
    </bk>
    <bk>
      <rc t="1" v="12733"/>
    </bk>
    <bk>
      <rc t="1" v="12734"/>
    </bk>
    <bk>
      <rc t="1" v="12735"/>
    </bk>
    <bk>
      <rc t="1" v="12736"/>
    </bk>
    <bk>
      <rc t="1" v="12737"/>
    </bk>
    <bk>
      <rc t="1" v="12738"/>
    </bk>
    <bk>
      <rc t="1" v="12739"/>
    </bk>
    <bk>
      <rc t="1" v="12740"/>
    </bk>
    <bk>
      <rc t="1" v="12741"/>
    </bk>
    <bk>
      <rc t="1" v="12742"/>
    </bk>
    <bk>
      <rc t="1" v="12743"/>
    </bk>
    <bk>
      <rc t="1" v="12744"/>
    </bk>
    <bk>
      <rc t="1" v="12745"/>
    </bk>
    <bk>
      <rc t="1" v="12746"/>
    </bk>
    <bk>
      <rc t="1" v="12747"/>
    </bk>
    <bk>
      <rc t="1" v="12748"/>
    </bk>
    <bk>
      <rc t="1" v="12749"/>
    </bk>
    <bk>
      <rc t="1" v="12750"/>
    </bk>
    <bk>
      <rc t="1" v="12751"/>
    </bk>
    <bk>
      <rc t="1" v="12752"/>
    </bk>
    <bk>
      <rc t="1" v="12753"/>
    </bk>
    <bk>
      <rc t="1" v="12754"/>
    </bk>
    <bk>
      <rc t="1" v="12755"/>
    </bk>
    <bk>
      <rc t="1" v="12756"/>
    </bk>
    <bk>
      <rc t="1" v="12757"/>
    </bk>
    <bk>
      <rc t="1" v="12758"/>
    </bk>
    <bk>
      <rc t="1" v="12759"/>
    </bk>
    <bk>
      <rc t="1" v="12760"/>
    </bk>
    <bk>
      <rc t="1" v="12761"/>
    </bk>
    <bk>
      <rc t="1" v="12762"/>
    </bk>
    <bk>
      <rc t="1" v="12763"/>
    </bk>
    <bk>
      <rc t="1" v="12764"/>
    </bk>
    <bk>
      <rc t="1" v="12765"/>
    </bk>
    <bk>
      <rc t="1" v="12766"/>
    </bk>
    <bk>
      <rc t="1" v="12767"/>
    </bk>
    <bk>
      <rc t="1" v="12768"/>
    </bk>
    <bk>
      <rc t="1" v="12769"/>
    </bk>
    <bk>
      <rc t="1" v="12770"/>
    </bk>
    <bk>
      <rc t="1" v="12771"/>
    </bk>
    <bk>
      <rc t="1" v="12772"/>
    </bk>
    <bk>
      <rc t="1" v="12773"/>
    </bk>
    <bk>
      <rc t="1" v="12774"/>
    </bk>
    <bk>
      <rc t="1" v="12775"/>
    </bk>
    <bk>
      <rc t="1" v="12776"/>
    </bk>
    <bk>
      <rc t="1" v="12777"/>
    </bk>
    <bk>
      <rc t="1" v="12778"/>
    </bk>
    <bk>
      <rc t="1" v="12779"/>
    </bk>
    <bk>
      <rc t="1" v="12780"/>
    </bk>
    <bk>
      <rc t="1" v="12781"/>
    </bk>
    <bk>
      <rc t="1" v="12782"/>
    </bk>
    <bk>
      <rc t="1" v="12783"/>
    </bk>
    <bk>
      <rc t="1" v="12784"/>
    </bk>
    <bk>
      <rc t="1" v="12785"/>
    </bk>
    <bk>
      <rc t="1" v="12786"/>
    </bk>
    <bk>
      <rc t="1" v="12787"/>
    </bk>
    <bk>
      <rc t="1" v="12788"/>
    </bk>
    <bk>
      <rc t="1" v="12789"/>
    </bk>
    <bk>
      <rc t="1" v="12790"/>
    </bk>
    <bk>
      <rc t="1" v="12791"/>
    </bk>
    <bk>
      <rc t="1" v="12792"/>
    </bk>
    <bk>
      <rc t="1" v="12793"/>
    </bk>
    <bk>
      <rc t="1" v="12794"/>
    </bk>
    <bk>
      <rc t="1" v="12795"/>
    </bk>
    <bk>
      <rc t="1" v="12796"/>
    </bk>
    <bk>
      <rc t="1" v="12797"/>
    </bk>
    <bk>
      <rc t="1" v="12798"/>
    </bk>
    <bk>
      <rc t="1" v="12799"/>
    </bk>
    <bk>
      <rc t="1" v="12800"/>
    </bk>
    <bk>
      <rc t="1" v="12801"/>
    </bk>
    <bk>
      <rc t="1" v="12802"/>
    </bk>
    <bk>
      <rc t="1" v="12803"/>
    </bk>
    <bk>
      <rc t="1" v="12804"/>
    </bk>
    <bk>
      <rc t="1" v="12805"/>
    </bk>
    <bk>
      <rc t="1" v="12806"/>
    </bk>
    <bk>
      <rc t="1" v="12807"/>
    </bk>
    <bk>
      <rc t="1" v="12808"/>
    </bk>
    <bk>
      <rc t="1" v="12809"/>
    </bk>
    <bk>
      <rc t="1" v="12810"/>
    </bk>
    <bk>
      <rc t="1" v="12811"/>
    </bk>
    <bk>
      <rc t="1" v="12812"/>
    </bk>
    <bk>
      <rc t="1" v="12813"/>
    </bk>
    <bk>
      <rc t="1" v="12814"/>
    </bk>
    <bk>
      <rc t="1" v="12815"/>
    </bk>
    <bk>
      <rc t="1" v="12816"/>
    </bk>
    <bk>
      <rc t="1" v="12817"/>
    </bk>
    <bk>
      <rc t="1" v="12818"/>
    </bk>
    <bk>
      <rc t="1" v="12819"/>
    </bk>
    <bk>
      <rc t="1" v="12820"/>
    </bk>
    <bk>
      <rc t="1" v="12821"/>
    </bk>
    <bk>
      <rc t="1" v="12822"/>
    </bk>
    <bk>
      <rc t="1" v="12823"/>
    </bk>
    <bk>
      <rc t="1" v="12824"/>
    </bk>
    <bk>
      <rc t="1" v="12825"/>
    </bk>
    <bk>
      <rc t="1" v="12826"/>
    </bk>
    <bk>
      <rc t="1" v="12827"/>
    </bk>
    <bk>
      <rc t="1" v="12828"/>
    </bk>
    <bk>
      <rc t="1" v="12829"/>
    </bk>
    <bk>
      <rc t="1" v="12830"/>
    </bk>
    <bk>
      <rc t="1" v="12831"/>
    </bk>
    <bk>
      <rc t="1" v="12832"/>
    </bk>
    <bk>
      <rc t="1" v="12833"/>
    </bk>
    <bk>
      <rc t="1" v="12834"/>
    </bk>
    <bk>
      <rc t="1" v="12835"/>
    </bk>
    <bk>
      <rc t="1" v="12836"/>
    </bk>
    <bk>
      <rc t="1" v="12837"/>
    </bk>
    <bk>
      <rc t="1" v="12838"/>
    </bk>
    <bk>
      <rc t="1" v="12839"/>
    </bk>
    <bk>
      <rc t="1" v="12840"/>
    </bk>
    <bk>
      <rc t="1" v="12841"/>
    </bk>
    <bk>
      <rc t="1" v="12842"/>
    </bk>
    <bk>
      <rc t="1" v="12843"/>
    </bk>
    <bk>
      <rc t="1" v="12844"/>
    </bk>
    <bk>
      <rc t="1" v="12845"/>
    </bk>
    <bk>
      <rc t="1" v="12846"/>
    </bk>
    <bk>
      <rc t="1" v="12847"/>
    </bk>
    <bk>
      <rc t="1" v="12848"/>
    </bk>
    <bk>
      <rc t="1" v="12849"/>
    </bk>
    <bk>
      <rc t="1" v="12850"/>
    </bk>
    <bk>
      <rc t="1" v="12851"/>
    </bk>
    <bk>
      <rc t="1" v="12852"/>
    </bk>
    <bk>
      <rc t="1" v="12853"/>
    </bk>
    <bk>
      <rc t="1" v="12854"/>
    </bk>
    <bk>
      <rc t="1" v="12855"/>
    </bk>
    <bk>
      <rc t="1" v="12856"/>
    </bk>
    <bk>
      <rc t="1" v="12857"/>
    </bk>
    <bk>
      <rc t="1" v="12858"/>
    </bk>
    <bk>
      <rc t="1" v="12859"/>
    </bk>
    <bk>
      <rc t="1" v="12860"/>
    </bk>
    <bk>
      <rc t="1" v="12861"/>
    </bk>
    <bk>
      <rc t="1" v="12862"/>
    </bk>
    <bk>
      <rc t="1" v="12863"/>
    </bk>
    <bk>
      <rc t="1" v="12864"/>
    </bk>
    <bk>
      <rc t="1" v="12865"/>
    </bk>
    <bk>
      <rc t="1" v="12866"/>
    </bk>
    <bk>
      <rc t="1" v="12867"/>
    </bk>
    <bk>
      <rc t="1" v="12868"/>
    </bk>
    <bk>
      <rc t="1" v="12869"/>
    </bk>
    <bk>
      <rc t="1" v="12870"/>
    </bk>
    <bk>
      <rc t="1" v="12871"/>
    </bk>
    <bk>
      <rc t="1" v="12872"/>
    </bk>
    <bk>
      <rc t="1" v="12873"/>
    </bk>
    <bk>
      <rc t="1" v="12874"/>
    </bk>
    <bk>
      <rc t="1" v="12875"/>
    </bk>
    <bk>
      <rc t="1" v="12876"/>
    </bk>
    <bk>
      <rc t="1" v="12877"/>
    </bk>
    <bk>
      <rc t="1" v="12878"/>
    </bk>
    <bk>
      <rc t="1" v="12879"/>
    </bk>
    <bk>
      <rc t="1" v="12880"/>
    </bk>
    <bk>
      <rc t="1" v="12881"/>
    </bk>
    <bk>
      <rc t="1" v="12882"/>
    </bk>
    <bk>
      <rc t="1" v="12883"/>
    </bk>
    <bk>
      <rc t="1" v="12884"/>
    </bk>
    <bk>
      <rc t="1" v="12885"/>
    </bk>
    <bk>
      <rc t="1" v="12886"/>
    </bk>
    <bk>
      <rc t="1" v="12887"/>
    </bk>
    <bk>
      <rc t="1" v="12888"/>
    </bk>
    <bk>
      <rc t="1" v="12889"/>
    </bk>
    <bk>
      <rc t="1" v="12890"/>
    </bk>
    <bk>
      <rc t="1" v="12891"/>
    </bk>
    <bk>
      <rc t="1" v="12892"/>
    </bk>
    <bk>
      <rc t="1" v="12893"/>
    </bk>
    <bk>
      <rc t="1" v="12894"/>
    </bk>
    <bk>
      <rc t="1" v="12895"/>
    </bk>
    <bk>
      <rc t="1" v="12896"/>
    </bk>
    <bk>
      <rc t="1" v="12897"/>
    </bk>
    <bk>
      <rc t="1" v="12898"/>
    </bk>
    <bk>
      <rc t="1" v="12899"/>
    </bk>
    <bk>
      <rc t="1" v="12900"/>
    </bk>
    <bk>
      <rc t="1" v="12901"/>
    </bk>
    <bk>
      <rc t="1" v="12902"/>
    </bk>
    <bk>
      <rc t="1" v="12903"/>
    </bk>
    <bk>
      <rc t="1" v="12904"/>
    </bk>
    <bk>
      <rc t="1" v="12905"/>
    </bk>
    <bk>
      <rc t="1" v="12906"/>
    </bk>
    <bk>
      <rc t="1" v="12907"/>
    </bk>
    <bk>
      <rc t="1" v="12908"/>
    </bk>
    <bk>
      <rc t="1" v="12909"/>
    </bk>
    <bk>
      <rc t="1" v="12910"/>
    </bk>
    <bk>
      <rc t="1" v="12911"/>
    </bk>
    <bk>
      <rc t="1" v="12912"/>
    </bk>
    <bk>
      <rc t="1" v="12913"/>
    </bk>
    <bk>
      <rc t="1" v="12914"/>
    </bk>
    <bk>
      <rc t="1" v="12915"/>
    </bk>
    <bk>
      <rc t="1" v="12916"/>
    </bk>
    <bk>
      <rc t="1" v="12917"/>
    </bk>
    <bk>
      <rc t="1" v="12918"/>
    </bk>
    <bk>
      <rc t="1" v="12919"/>
    </bk>
    <bk>
      <rc t="1" v="12920"/>
    </bk>
    <bk>
      <rc t="1" v="12921"/>
    </bk>
    <bk>
      <rc t="1" v="12922"/>
    </bk>
    <bk>
      <rc t="1" v="12923"/>
    </bk>
    <bk>
      <rc t="1" v="12924"/>
    </bk>
    <bk>
      <rc t="1" v="12925"/>
    </bk>
    <bk>
      <rc t="1" v="12926"/>
    </bk>
    <bk>
      <rc t="1" v="12927"/>
    </bk>
    <bk>
      <rc t="1" v="12928"/>
    </bk>
    <bk>
      <rc t="1" v="12929"/>
    </bk>
    <bk>
      <rc t="1" v="12930"/>
    </bk>
    <bk>
      <rc t="1" v="12931"/>
    </bk>
    <bk>
      <rc t="1" v="12932"/>
    </bk>
    <bk>
      <rc t="1" v="12933"/>
    </bk>
    <bk>
      <rc t="1" v="12934"/>
    </bk>
    <bk>
      <rc t="1" v="12935"/>
    </bk>
    <bk>
      <rc t="1" v="12936"/>
    </bk>
    <bk>
      <rc t="1" v="12937"/>
    </bk>
    <bk>
      <rc t="1" v="12938"/>
    </bk>
    <bk>
      <rc t="1" v="12939"/>
    </bk>
    <bk>
      <rc t="1" v="12940"/>
    </bk>
    <bk>
      <rc t="1" v="12941"/>
    </bk>
    <bk>
      <rc t="1" v="12942"/>
    </bk>
    <bk>
      <rc t="1" v="12943"/>
    </bk>
    <bk>
      <rc t="1" v="12944"/>
    </bk>
    <bk>
      <rc t="1" v="12945"/>
    </bk>
    <bk>
      <rc t="1" v="12946"/>
    </bk>
    <bk>
      <rc t="1" v="12947"/>
    </bk>
    <bk>
      <rc t="1" v="12948"/>
    </bk>
    <bk>
      <rc t="1" v="12949"/>
    </bk>
    <bk>
      <rc t="1" v="12950"/>
    </bk>
    <bk>
      <rc t="1" v="12951"/>
    </bk>
    <bk>
      <rc t="1" v="12952"/>
    </bk>
    <bk>
      <rc t="1" v="12953"/>
    </bk>
    <bk>
      <rc t="1" v="12954"/>
    </bk>
    <bk>
      <rc t="1" v="12955"/>
    </bk>
    <bk>
      <rc t="1" v="12956"/>
    </bk>
    <bk>
      <rc t="1" v="12957"/>
    </bk>
    <bk>
      <rc t="1" v="12958"/>
    </bk>
    <bk>
      <rc t="1" v="12959"/>
    </bk>
    <bk>
      <rc t="1" v="12960"/>
    </bk>
    <bk>
      <rc t="1" v="12961"/>
    </bk>
    <bk>
      <rc t="1" v="12962"/>
    </bk>
    <bk>
      <rc t="1" v="12963"/>
    </bk>
    <bk>
      <rc t="1" v="12964"/>
    </bk>
    <bk>
      <rc t="1" v="12965"/>
    </bk>
    <bk>
      <rc t="1" v="12966"/>
    </bk>
    <bk>
      <rc t="1" v="12967"/>
    </bk>
    <bk>
      <rc t="1" v="12968"/>
    </bk>
    <bk>
      <rc t="1" v="12969"/>
    </bk>
    <bk>
      <rc t="1" v="12970"/>
    </bk>
    <bk>
      <rc t="1" v="12971"/>
    </bk>
    <bk>
      <rc t="1" v="12972"/>
    </bk>
    <bk>
      <rc t="1" v="12973"/>
    </bk>
    <bk>
      <rc t="1" v="12974"/>
    </bk>
    <bk>
      <rc t="1" v="12975"/>
    </bk>
    <bk>
      <rc t="1" v="12976"/>
    </bk>
    <bk>
      <rc t="1" v="12977"/>
    </bk>
    <bk>
      <rc t="1" v="12978"/>
    </bk>
    <bk>
      <rc t="1" v="12979"/>
    </bk>
    <bk>
      <rc t="1" v="12980"/>
    </bk>
    <bk>
      <rc t="1" v="12981"/>
    </bk>
    <bk>
      <rc t="1" v="12982"/>
    </bk>
    <bk>
      <rc t="1" v="12983"/>
    </bk>
    <bk>
      <rc t="1" v="12984"/>
    </bk>
    <bk>
      <rc t="1" v="12985"/>
    </bk>
    <bk>
      <rc t="1" v="12986"/>
    </bk>
    <bk>
      <rc t="1" v="12987"/>
    </bk>
    <bk>
      <rc t="1" v="12988"/>
    </bk>
    <bk>
      <rc t="1" v="12989"/>
    </bk>
    <bk>
      <rc t="1" v="12990"/>
    </bk>
    <bk>
      <rc t="1" v="12991"/>
    </bk>
    <bk>
      <rc t="1" v="12992"/>
    </bk>
    <bk>
      <rc t="1" v="12993"/>
    </bk>
    <bk>
      <rc t="1" v="12994"/>
    </bk>
    <bk>
      <rc t="1" v="12995"/>
    </bk>
    <bk>
      <rc t="1" v="12996"/>
    </bk>
    <bk>
      <rc t="1" v="12997"/>
    </bk>
    <bk>
      <rc t="1" v="12998"/>
    </bk>
    <bk>
      <rc t="1" v="12999"/>
    </bk>
    <bk>
      <rc t="1" v="13000"/>
    </bk>
    <bk>
      <rc t="1" v="13001"/>
    </bk>
    <bk>
      <rc t="1" v="13002"/>
    </bk>
    <bk>
      <rc t="1" v="13003"/>
    </bk>
    <bk>
      <rc t="1" v="13004"/>
    </bk>
    <bk>
      <rc t="1" v="13005"/>
    </bk>
    <bk>
      <rc t="1" v="13006"/>
    </bk>
    <bk>
      <rc t="1" v="13007"/>
    </bk>
    <bk>
      <rc t="1" v="13008"/>
    </bk>
    <bk>
      <rc t="1" v="13009"/>
    </bk>
    <bk>
      <rc t="1" v="13010"/>
    </bk>
    <bk>
      <rc t="1" v="13011"/>
    </bk>
    <bk>
      <rc t="1" v="13012"/>
    </bk>
    <bk>
      <rc t="1" v="13013"/>
    </bk>
    <bk>
      <rc t="1" v="13014"/>
    </bk>
    <bk>
      <rc t="1" v="13015"/>
    </bk>
    <bk>
      <rc t="1" v="13016"/>
    </bk>
    <bk>
      <rc t="1" v="13017"/>
    </bk>
    <bk>
      <rc t="1" v="13018"/>
    </bk>
    <bk>
      <rc t="1" v="13019"/>
    </bk>
    <bk>
      <rc t="1" v="13020"/>
    </bk>
    <bk>
      <rc t="1" v="13021"/>
    </bk>
    <bk>
      <rc t="1" v="13022"/>
    </bk>
    <bk>
      <rc t="1" v="13023"/>
    </bk>
    <bk>
      <rc t="1" v="13024"/>
    </bk>
    <bk>
      <rc t="1" v="13025"/>
    </bk>
    <bk>
      <rc t="1" v="13026"/>
    </bk>
    <bk>
      <rc t="1" v="13027"/>
    </bk>
    <bk>
      <rc t="1" v="13028"/>
    </bk>
    <bk>
      <rc t="1" v="13029"/>
    </bk>
    <bk>
      <rc t="1" v="13030"/>
    </bk>
    <bk>
      <rc t="1" v="13031"/>
    </bk>
    <bk>
      <rc t="1" v="13032"/>
    </bk>
    <bk>
      <rc t="1" v="13033"/>
    </bk>
    <bk>
      <rc t="1" v="13034"/>
    </bk>
    <bk>
      <rc t="1" v="13035"/>
    </bk>
    <bk>
      <rc t="1" v="13036"/>
    </bk>
    <bk>
      <rc t="1" v="13037"/>
    </bk>
    <bk>
      <rc t="1" v="13038"/>
    </bk>
    <bk>
      <rc t="1" v="13039"/>
    </bk>
    <bk>
      <rc t="1" v="13040"/>
    </bk>
    <bk>
      <rc t="1" v="13041"/>
    </bk>
    <bk>
      <rc t="1" v="13042"/>
    </bk>
    <bk>
      <rc t="1" v="13043"/>
    </bk>
    <bk>
      <rc t="1" v="13044"/>
    </bk>
    <bk>
      <rc t="1" v="13045"/>
    </bk>
    <bk>
      <rc t="1" v="13046"/>
    </bk>
    <bk>
      <rc t="1" v="13047"/>
    </bk>
    <bk>
      <rc t="1" v="13048"/>
    </bk>
    <bk>
      <rc t="1" v="13049"/>
    </bk>
    <bk>
      <rc t="1" v="13050"/>
    </bk>
    <bk>
      <rc t="1" v="13051"/>
    </bk>
    <bk>
      <rc t="1" v="13052"/>
    </bk>
    <bk>
      <rc t="1" v="13053"/>
    </bk>
    <bk>
      <rc t="1" v="13054"/>
    </bk>
    <bk>
      <rc t="1" v="13055"/>
    </bk>
    <bk>
      <rc t="1" v="13056"/>
    </bk>
    <bk>
      <rc t="1" v="13057"/>
    </bk>
    <bk>
      <rc t="1" v="13058"/>
    </bk>
    <bk>
      <rc t="1" v="13059"/>
    </bk>
    <bk>
      <rc t="1" v="13060"/>
    </bk>
    <bk>
      <rc t="1" v="13061"/>
    </bk>
    <bk>
      <rc t="1" v="13062"/>
    </bk>
    <bk>
      <rc t="1" v="13063"/>
    </bk>
    <bk>
      <rc t="1" v="13064"/>
    </bk>
    <bk>
      <rc t="1" v="13065"/>
    </bk>
    <bk>
      <rc t="1" v="13066"/>
    </bk>
    <bk>
      <rc t="1" v="13067"/>
    </bk>
    <bk>
      <rc t="1" v="13068"/>
    </bk>
    <bk>
      <rc t="1" v="13069"/>
    </bk>
    <bk>
      <rc t="1" v="13070"/>
    </bk>
    <bk>
      <rc t="1" v="13071"/>
    </bk>
    <bk>
      <rc t="1" v="13072"/>
    </bk>
    <bk>
      <rc t="1" v="13073"/>
    </bk>
    <bk>
      <rc t="1" v="13074"/>
    </bk>
    <bk>
      <rc t="1" v="13075"/>
    </bk>
    <bk>
      <rc t="1" v="13076"/>
    </bk>
    <bk>
      <rc t="1" v="13077"/>
    </bk>
    <bk>
      <rc t="1" v="13078"/>
    </bk>
    <bk>
      <rc t="1" v="13079"/>
    </bk>
    <bk>
      <rc t="1" v="13080"/>
    </bk>
    <bk>
      <rc t="1" v="13081"/>
    </bk>
    <bk>
      <rc t="1" v="13082"/>
    </bk>
    <bk>
      <rc t="1" v="13083"/>
    </bk>
    <bk>
      <rc t="1" v="13084"/>
    </bk>
    <bk>
      <rc t="1" v="13085"/>
    </bk>
    <bk>
      <rc t="1" v="13086"/>
    </bk>
    <bk>
      <rc t="1" v="13087"/>
    </bk>
    <bk>
      <rc t="1" v="13088"/>
    </bk>
    <bk>
      <rc t="1" v="13089"/>
    </bk>
    <bk>
      <rc t="1" v="13090"/>
    </bk>
    <bk>
      <rc t="1" v="13091"/>
    </bk>
    <bk>
      <rc t="1" v="13092"/>
    </bk>
    <bk>
      <rc t="1" v="13093"/>
    </bk>
    <bk>
      <rc t="1" v="13094"/>
    </bk>
    <bk>
      <rc t="1" v="13095"/>
    </bk>
    <bk>
      <rc t="1" v="13096"/>
    </bk>
    <bk>
      <rc t="1" v="13097"/>
    </bk>
    <bk>
      <rc t="1" v="13098"/>
    </bk>
    <bk>
      <rc t="1" v="13099"/>
    </bk>
    <bk>
      <rc t="1" v="13100"/>
    </bk>
    <bk>
      <rc t="1" v="13101"/>
    </bk>
    <bk>
      <rc t="1" v="13102"/>
    </bk>
    <bk>
      <rc t="1" v="13103"/>
    </bk>
    <bk>
      <rc t="1" v="13104"/>
    </bk>
    <bk>
      <rc t="1" v="13105"/>
    </bk>
    <bk>
      <rc t="1" v="13106"/>
    </bk>
    <bk>
      <rc t="1" v="13107"/>
    </bk>
    <bk>
      <rc t="1" v="13108"/>
    </bk>
    <bk>
      <rc t="1" v="13109"/>
    </bk>
    <bk>
      <rc t="1" v="13110"/>
    </bk>
    <bk>
      <rc t="1" v="13111"/>
    </bk>
    <bk>
      <rc t="1" v="13112"/>
    </bk>
    <bk>
      <rc t="1" v="13113"/>
    </bk>
    <bk>
      <rc t="1" v="13114"/>
    </bk>
    <bk>
      <rc t="1" v="13115"/>
    </bk>
    <bk>
      <rc t="1" v="13116"/>
    </bk>
    <bk>
      <rc t="1" v="13117"/>
    </bk>
    <bk>
      <rc t="1" v="13118"/>
    </bk>
    <bk>
      <rc t="1" v="13119"/>
    </bk>
    <bk>
      <rc t="1" v="13120"/>
    </bk>
    <bk>
      <rc t="1" v="13121"/>
    </bk>
    <bk>
      <rc t="1" v="13122"/>
    </bk>
    <bk>
      <rc t="1" v="13123"/>
    </bk>
    <bk>
      <rc t="1" v="13124"/>
    </bk>
    <bk>
      <rc t="1" v="13125"/>
    </bk>
    <bk>
      <rc t="1" v="13126"/>
    </bk>
    <bk>
      <rc t="1" v="13127"/>
    </bk>
    <bk>
      <rc t="1" v="13128"/>
    </bk>
    <bk>
      <rc t="1" v="13129"/>
    </bk>
    <bk>
      <rc t="1" v="13130"/>
    </bk>
    <bk>
      <rc t="1" v="13131"/>
    </bk>
    <bk>
      <rc t="1" v="13132"/>
    </bk>
    <bk>
      <rc t="1" v="13133"/>
    </bk>
    <bk>
      <rc t="1" v="13134"/>
    </bk>
    <bk>
      <rc t="1" v="13135"/>
    </bk>
    <bk>
      <rc t="1" v="13136"/>
    </bk>
    <bk>
      <rc t="1" v="13137"/>
    </bk>
    <bk>
      <rc t="1" v="13138"/>
    </bk>
    <bk>
      <rc t="1" v="13139"/>
    </bk>
    <bk>
      <rc t="1" v="13140"/>
    </bk>
    <bk>
      <rc t="1" v="13141"/>
    </bk>
    <bk>
      <rc t="1" v="13142"/>
    </bk>
    <bk>
      <rc t="1" v="13143"/>
    </bk>
    <bk>
      <rc t="1" v="13144"/>
    </bk>
    <bk>
      <rc t="1" v="13145"/>
    </bk>
    <bk>
      <rc t="1" v="13146"/>
    </bk>
    <bk>
      <rc t="1" v="13147"/>
    </bk>
    <bk>
      <rc t="1" v="13148"/>
    </bk>
    <bk>
      <rc t="1" v="13149"/>
    </bk>
    <bk>
      <rc t="1" v="13150"/>
    </bk>
    <bk>
      <rc t="1" v="13151"/>
    </bk>
    <bk>
      <rc t="1" v="13152"/>
    </bk>
    <bk>
      <rc t="1" v="13153"/>
    </bk>
    <bk>
      <rc t="1" v="13154"/>
    </bk>
    <bk>
      <rc t="1" v="13155"/>
    </bk>
    <bk>
      <rc t="1" v="13156"/>
    </bk>
    <bk>
      <rc t="1" v="13157"/>
    </bk>
    <bk>
      <rc t="1" v="13158"/>
    </bk>
    <bk>
      <rc t="1" v="13159"/>
    </bk>
    <bk>
      <rc t="1" v="13160"/>
    </bk>
    <bk>
      <rc t="1" v="13161"/>
    </bk>
    <bk>
      <rc t="1" v="13162"/>
    </bk>
    <bk>
      <rc t="1" v="13163"/>
    </bk>
    <bk>
      <rc t="1" v="13164"/>
    </bk>
    <bk>
      <rc t="1" v="13165"/>
    </bk>
    <bk>
      <rc t="1" v="13166"/>
    </bk>
    <bk>
      <rc t="1" v="13167"/>
    </bk>
    <bk>
      <rc t="1" v="13168"/>
    </bk>
    <bk>
      <rc t="1" v="13169"/>
    </bk>
    <bk>
      <rc t="1" v="13170"/>
    </bk>
    <bk>
      <rc t="1" v="13171"/>
    </bk>
    <bk>
      <rc t="1" v="13172"/>
    </bk>
    <bk>
      <rc t="1" v="13173"/>
    </bk>
    <bk>
      <rc t="1" v="13174"/>
    </bk>
    <bk>
      <rc t="1" v="13175"/>
    </bk>
    <bk>
      <rc t="1" v="13176"/>
    </bk>
    <bk>
      <rc t="1" v="13177"/>
    </bk>
    <bk>
      <rc t="1" v="13178"/>
    </bk>
    <bk>
      <rc t="1" v="13179"/>
    </bk>
    <bk>
      <rc t="1" v="13180"/>
    </bk>
    <bk>
      <rc t="1" v="13181"/>
    </bk>
    <bk>
      <rc t="1" v="13182"/>
    </bk>
    <bk>
      <rc t="1" v="13183"/>
    </bk>
    <bk>
      <rc t="1" v="13184"/>
    </bk>
    <bk>
      <rc t="1" v="13185"/>
    </bk>
    <bk>
      <rc t="1" v="13186"/>
    </bk>
    <bk>
      <rc t="1" v="13187"/>
    </bk>
    <bk>
      <rc t="1" v="13188"/>
    </bk>
    <bk>
      <rc t="1" v="13189"/>
    </bk>
    <bk>
      <rc t="1" v="13190"/>
    </bk>
    <bk>
      <rc t="1" v="13191"/>
    </bk>
    <bk>
      <rc t="1" v="13192"/>
    </bk>
    <bk>
      <rc t="1" v="13193"/>
    </bk>
    <bk>
      <rc t="1" v="13194"/>
    </bk>
    <bk>
      <rc t="1" v="13195"/>
    </bk>
    <bk>
      <rc t="1" v="13196"/>
    </bk>
    <bk>
      <rc t="1" v="13197"/>
    </bk>
    <bk>
      <rc t="1" v="13198"/>
    </bk>
    <bk>
      <rc t="1" v="13199"/>
    </bk>
    <bk>
      <rc t="1" v="13200"/>
    </bk>
    <bk>
      <rc t="1" v="13201"/>
    </bk>
    <bk>
      <rc t="1" v="13202"/>
    </bk>
    <bk>
      <rc t="1" v="13203"/>
    </bk>
    <bk>
      <rc t="1" v="13204"/>
    </bk>
    <bk>
      <rc t="1" v="13205"/>
    </bk>
    <bk>
      <rc t="1" v="13206"/>
    </bk>
    <bk>
      <rc t="1" v="13207"/>
    </bk>
    <bk>
      <rc t="1" v="13208"/>
    </bk>
    <bk>
      <rc t="1" v="13209"/>
    </bk>
    <bk>
      <rc t="1" v="13210"/>
    </bk>
    <bk>
      <rc t="1" v="13211"/>
    </bk>
    <bk>
      <rc t="1" v="13212"/>
    </bk>
    <bk>
      <rc t="1" v="13213"/>
    </bk>
    <bk>
      <rc t="1" v="13214"/>
    </bk>
    <bk>
      <rc t="1" v="13215"/>
    </bk>
    <bk>
      <rc t="1" v="13216"/>
    </bk>
    <bk>
      <rc t="1" v="13217"/>
    </bk>
    <bk>
      <rc t="1" v="13218"/>
    </bk>
    <bk>
      <rc t="1" v="13219"/>
    </bk>
    <bk>
      <rc t="1" v="13220"/>
    </bk>
    <bk>
      <rc t="1" v="13221"/>
    </bk>
    <bk>
      <rc t="1" v="13222"/>
    </bk>
    <bk>
      <rc t="1" v="13223"/>
    </bk>
    <bk>
      <rc t="1" v="13224"/>
    </bk>
    <bk>
      <rc t="1" v="13225"/>
    </bk>
    <bk>
      <rc t="1" v="13226"/>
    </bk>
    <bk>
      <rc t="1" v="13227"/>
    </bk>
    <bk>
      <rc t="1" v="13228"/>
    </bk>
    <bk>
      <rc t="1" v="13229"/>
    </bk>
    <bk>
      <rc t="1" v="13230"/>
    </bk>
    <bk>
      <rc t="1" v="13231"/>
    </bk>
    <bk>
      <rc t="1" v="13232"/>
    </bk>
    <bk>
      <rc t="1" v="13233"/>
    </bk>
    <bk>
      <rc t="1" v="13234"/>
    </bk>
    <bk>
      <rc t="1" v="13235"/>
    </bk>
    <bk>
      <rc t="1" v="13236"/>
    </bk>
    <bk>
      <rc t="1" v="13237"/>
    </bk>
    <bk>
      <rc t="1" v="13238"/>
    </bk>
    <bk>
      <rc t="1" v="13239"/>
    </bk>
    <bk>
      <rc t="1" v="13240"/>
    </bk>
    <bk>
      <rc t="1" v="13241"/>
    </bk>
    <bk>
      <rc t="1" v="13242"/>
    </bk>
    <bk>
      <rc t="1" v="13243"/>
    </bk>
    <bk>
      <rc t="1" v="13244"/>
    </bk>
    <bk>
      <rc t="1" v="13245"/>
    </bk>
    <bk>
      <rc t="1" v="13246"/>
    </bk>
    <bk>
      <rc t="1" v="13247"/>
    </bk>
    <bk>
      <rc t="1" v="13248"/>
    </bk>
    <bk>
      <rc t="1" v="13249"/>
    </bk>
    <bk>
      <rc t="1" v="13250"/>
    </bk>
    <bk>
      <rc t="1" v="13251"/>
    </bk>
    <bk>
      <rc t="1" v="13252"/>
    </bk>
    <bk>
      <rc t="1" v="13253"/>
    </bk>
    <bk>
      <rc t="1" v="13254"/>
    </bk>
    <bk>
      <rc t="1" v="13255"/>
    </bk>
    <bk>
      <rc t="1" v="13256"/>
    </bk>
    <bk>
      <rc t="1" v="13257"/>
    </bk>
    <bk>
      <rc t="1" v="13258"/>
    </bk>
    <bk>
      <rc t="1" v="13259"/>
    </bk>
    <bk>
      <rc t="1" v="13260"/>
    </bk>
    <bk>
      <rc t="1" v="13261"/>
    </bk>
    <bk>
      <rc t="1" v="13262"/>
    </bk>
    <bk>
      <rc t="1" v="13263"/>
    </bk>
    <bk>
      <rc t="1" v="13264"/>
    </bk>
    <bk>
      <rc t="1" v="13265"/>
    </bk>
    <bk>
      <rc t="1" v="13266"/>
    </bk>
    <bk>
      <rc t="1" v="13267"/>
    </bk>
    <bk>
      <rc t="1" v="13268"/>
    </bk>
    <bk>
      <rc t="1" v="13269"/>
    </bk>
    <bk>
      <rc t="1" v="13270"/>
    </bk>
    <bk>
      <rc t="1" v="13271"/>
    </bk>
    <bk>
      <rc t="1" v="13272"/>
    </bk>
    <bk>
      <rc t="1" v="13273"/>
    </bk>
    <bk>
      <rc t="1" v="13274"/>
    </bk>
    <bk>
      <rc t="1" v="13275"/>
    </bk>
    <bk>
      <rc t="1" v="13276"/>
    </bk>
    <bk>
      <rc t="1" v="13277"/>
    </bk>
    <bk>
      <rc t="1" v="13278"/>
    </bk>
    <bk>
      <rc t="1" v="13279"/>
    </bk>
    <bk>
      <rc t="1" v="13280"/>
    </bk>
    <bk>
      <rc t="1" v="13281"/>
    </bk>
    <bk>
      <rc t="1" v="13282"/>
    </bk>
    <bk>
      <rc t="1" v="13283"/>
    </bk>
    <bk>
      <rc t="1" v="13284"/>
    </bk>
    <bk>
      <rc t="1" v="13285"/>
    </bk>
    <bk>
      <rc t="1" v="13286"/>
    </bk>
    <bk>
      <rc t="1" v="13287"/>
    </bk>
    <bk>
      <rc t="1" v="13288"/>
    </bk>
    <bk>
      <rc t="1" v="13289"/>
    </bk>
    <bk>
      <rc t="1" v="13290"/>
    </bk>
    <bk>
      <rc t="1" v="13291"/>
    </bk>
    <bk>
      <rc t="1" v="13292"/>
    </bk>
    <bk>
      <rc t="1" v="13293"/>
    </bk>
    <bk>
      <rc t="1" v="13294"/>
    </bk>
    <bk>
      <rc t="1" v="13295"/>
    </bk>
    <bk>
      <rc t="1" v="13296"/>
    </bk>
    <bk>
      <rc t="1" v="13297"/>
    </bk>
    <bk>
      <rc t="1" v="13298"/>
    </bk>
    <bk>
      <rc t="1" v="13299"/>
    </bk>
    <bk>
      <rc t="1" v="13300"/>
    </bk>
    <bk>
      <rc t="1" v="13301"/>
    </bk>
    <bk>
      <rc t="1" v="13302"/>
    </bk>
    <bk>
      <rc t="1" v="13303"/>
    </bk>
    <bk>
      <rc t="1" v="13304"/>
    </bk>
    <bk>
      <rc t="1" v="13305"/>
    </bk>
    <bk>
      <rc t="1" v="13306"/>
    </bk>
    <bk>
      <rc t="1" v="13307"/>
    </bk>
    <bk>
      <rc t="1" v="13308"/>
    </bk>
    <bk>
      <rc t="1" v="13309"/>
    </bk>
    <bk>
      <rc t="1" v="13310"/>
    </bk>
    <bk>
      <rc t="1" v="13311"/>
    </bk>
    <bk>
      <rc t="1" v="13312"/>
    </bk>
    <bk>
      <rc t="1" v="13313"/>
    </bk>
    <bk>
      <rc t="1" v="13314"/>
    </bk>
    <bk>
      <rc t="1" v="13315"/>
    </bk>
    <bk>
      <rc t="1" v="13316"/>
    </bk>
    <bk>
      <rc t="1" v="13317"/>
    </bk>
    <bk>
      <rc t="1" v="13318"/>
    </bk>
    <bk>
      <rc t="1" v="13319"/>
    </bk>
    <bk>
      <rc t="1" v="13320"/>
    </bk>
    <bk>
      <rc t="1" v="13321"/>
    </bk>
    <bk>
      <rc t="1" v="13322"/>
    </bk>
    <bk>
      <rc t="1" v="13323"/>
    </bk>
    <bk>
      <rc t="1" v="13324"/>
    </bk>
    <bk>
      <rc t="1" v="13325"/>
    </bk>
    <bk>
      <rc t="1" v="13326"/>
    </bk>
    <bk>
      <rc t="1" v="13327"/>
    </bk>
    <bk>
      <rc t="1" v="13328"/>
    </bk>
    <bk>
      <rc t="1" v="13329"/>
    </bk>
    <bk>
      <rc t="1" v="13330"/>
    </bk>
    <bk>
      <rc t="1" v="13331"/>
    </bk>
    <bk>
      <rc t="1" v="13332"/>
    </bk>
    <bk>
      <rc t="1" v="13333"/>
    </bk>
    <bk>
      <rc t="1" v="13334"/>
    </bk>
    <bk>
      <rc t="1" v="13335"/>
    </bk>
    <bk>
      <rc t="1" v="13336"/>
    </bk>
    <bk>
      <rc t="1" v="13337"/>
    </bk>
    <bk>
      <rc t="1" v="13338"/>
    </bk>
    <bk>
      <rc t="1" v="13339"/>
    </bk>
    <bk>
      <rc t="1" v="13340"/>
    </bk>
    <bk>
      <rc t="1" v="13341"/>
    </bk>
    <bk>
      <rc t="1" v="13342"/>
    </bk>
    <bk>
      <rc t="1" v="13343"/>
    </bk>
    <bk>
      <rc t="1" v="13344"/>
    </bk>
    <bk>
      <rc t="1" v="13345"/>
    </bk>
    <bk>
      <rc t="1" v="13346"/>
    </bk>
    <bk>
      <rc t="1" v="13347"/>
    </bk>
    <bk>
      <rc t="1" v="13348"/>
    </bk>
    <bk>
      <rc t="1" v="13349"/>
    </bk>
    <bk>
      <rc t="1" v="13350"/>
    </bk>
    <bk>
      <rc t="1" v="13351"/>
    </bk>
    <bk>
      <rc t="1" v="13352"/>
    </bk>
    <bk>
      <rc t="1" v="13353"/>
    </bk>
    <bk>
      <rc t="1" v="13354"/>
    </bk>
    <bk>
      <rc t="1" v="13355"/>
    </bk>
    <bk>
      <rc t="1" v="13356"/>
    </bk>
    <bk>
      <rc t="1" v="13357"/>
    </bk>
    <bk>
      <rc t="1" v="13358"/>
    </bk>
    <bk>
      <rc t="1" v="13359"/>
    </bk>
    <bk>
      <rc t="1" v="13360"/>
    </bk>
    <bk>
      <rc t="1" v="13361"/>
    </bk>
    <bk>
      <rc t="1" v="13362"/>
    </bk>
    <bk>
      <rc t="1" v="13363"/>
    </bk>
    <bk>
      <rc t="1" v="13364"/>
    </bk>
    <bk>
      <rc t="1" v="13365"/>
    </bk>
    <bk>
      <rc t="1" v="13366"/>
    </bk>
    <bk>
      <rc t="1" v="13367"/>
    </bk>
    <bk>
      <rc t="1" v="13368"/>
    </bk>
    <bk>
      <rc t="1" v="13369"/>
    </bk>
    <bk>
      <rc t="1" v="13370"/>
    </bk>
    <bk>
      <rc t="1" v="13371"/>
    </bk>
    <bk>
      <rc t="1" v="13372"/>
    </bk>
    <bk>
      <rc t="1" v="13373"/>
    </bk>
    <bk>
      <rc t="1" v="13374"/>
    </bk>
    <bk>
      <rc t="1" v="13375"/>
    </bk>
    <bk>
      <rc t="1" v="13376"/>
    </bk>
    <bk>
      <rc t="1" v="13377"/>
    </bk>
    <bk>
      <rc t="1" v="13378"/>
    </bk>
    <bk>
      <rc t="1" v="13379"/>
    </bk>
    <bk>
      <rc t="1" v="13380"/>
    </bk>
    <bk>
      <rc t="1" v="13381"/>
    </bk>
    <bk>
      <rc t="1" v="13382"/>
    </bk>
    <bk>
      <rc t="1" v="13383"/>
    </bk>
    <bk>
      <rc t="1" v="13384"/>
    </bk>
    <bk>
      <rc t="1" v="13385"/>
    </bk>
    <bk>
      <rc t="1" v="13386"/>
    </bk>
    <bk>
      <rc t="1" v="13387"/>
    </bk>
    <bk>
      <rc t="1" v="13388"/>
    </bk>
    <bk>
      <rc t="1" v="13389"/>
    </bk>
    <bk>
      <rc t="1" v="13390"/>
    </bk>
    <bk>
      <rc t="1" v="13391"/>
    </bk>
    <bk>
      <rc t="1" v="13392"/>
    </bk>
    <bk>
      <rc t="1" v="13393"/>
    </bk>
    <bk>
      <rc t="1" v="13394"/>
    </bk>
    <bk>
      <rc t="1" v="13395"/>
    </bk>
    <bk>
      <rc t="1" v="13396"/>
    </bk>
    <bk>
      <rc t="1" v="13397"/>
    </bk>
    <bk>
      <rc t="1" v="13398"/>
    </bk>
    <bk>
      <rc t="1" v="13399"/>
    </bk>
    <bk>
      <rc t="1" v="13400"/>
    </bk>
    <bk>
      <rc t="1" v="13401"/>
    </bk>
    <bk>
      <rc t="1" v="13402"/>
    </bk>
    <bk>
      <rc t="1" v="13403"/>
    </bk>
    <bk>
      <rc t="1" v="13404"/>
    </bk>
    <bk>
      <rc t="1" v="13405"/>
    </bk>
    <bk>
      <rc t="1" v="13406"/>
    </bk>
    <bk>
      <rc t="1" v="13407"/>
    </bk>
    <bk>
      <rc t="1" v="13408"/>
    </bk>
    <bk>
      <rc t="1" v="13409"/>
    </bk>
    <bk>
      <rc t="1" v="13410"/>
    </bk>
    <bk>
      <rc t="1" v="13411"/>
    </bk>
    <bk>
      <rc t="1" v="13412"/>
    </bk>
    <bk>
      <rc t="1" v="13413"/>
    </bk>
    <bk>
      <rc t="1" v="13414"/>
    </bk>
    <bk>
      <rc t="1" v="13415"/>
    </bk>
    <bk>
      <rc t="1" v="13416"/>
    </bk>
    <bk>
      <rc t="1" v="13417"/>
    </bk>
    <bk>
      <rc t="1" v="13418"/>
    </bk>
    <bk>
      <rc t="1" v="13419"/>
    </bk>
    <bk>
      <rc t="1" v="13420"/>
    </bk>
    <bk>
      <rc t="1" v="13421"/>
    </bk>
    <bk>
      <rc t="1" v="13422"/>
    </bk>
    <bk>
      <rc t="1" v="13423"/>
    </bk>
    <bk>
      <rc t="1" v="13424"/>
    </bk>
    <bk>
      <rc t="1" v="13425"/>
    </bk>
    <bk>
      <rc t="1" v="13426"/>
    </bk>
    <bk>
      <rc t="1" v="13427"/>
    </bk>
    <bk>
      <rc t="1" v="13428"/>
    </bk>
    <bk>
      <rc t="1" v="13429"/>
    </bk>
    <bk>
      <rc t="1" v="13430"/>
    </bk>
    <bk>
      <rc t="1" v="13431"/>
    </bk>
    <bk>
      <rc t="1" v="13432"/>
    </bk>
    <bk>
      <rc t="1" v="13433"/>
    </bk>
    <bk>
      <rc t="1" v="13434"/>
    </bk>
    <bk>
      <rc t="1" v="13435"/>
    </bk>
    <bk>
      <rc t="1" v="13436"/>
    </bk>
    <bk>
      <rc t="1" v="13437"/>
    </bk>
    <bk>
      <rc t="1" v="13438"/>
    </bk>
    <bk>
      <rc t="1" v="13439"/>
    </bk>
    <bk>
      <rc t="1" v="13440"/>
    </bk>
    <bk>
      <rc t="1" v="13441"/>
    </bk>
    <bk>
      <rc t="1" v="13442"/>
    </bk>
    <bk>
      <rc t="1" v="13443"/>
    </bk>
    <bk>
      <rc t="1" v="13444"/>
    </bk>
    <bk>
      <rc t="1" v="13445"/>
    </bk>
    <bk>
      <rc t="1" v="13446"/>
    </bk>
    <bk>
      <rc t="1" v="13447"/>
    </bk>
    <bk>
      <rc t="1" v="13448"/>
    </bk>
    <bk>
      <rc t="1" v="13449"/>
    </bk>
    <bk>
      <rc t="1" v="13450"/>
    </bk>
    <bk>
      <rc t="1" v="13451"/>
    </bk>
    <bk>
      <rc t="1" v="13452"/>
    </bk>
    <bk>
      <rc t="1" v="13453"/>
    </bk>
    <bk>
      <rc t="1" v="13454"/>
    </bk>
    <bk>
      <rc t="1" v="13455"/>
    </bk>
    <bk>
      <rc t="1" v="13456"/>
    </bk>
    <bk>
      <rc t="1" v="13457"/>
    </bk>
    <bk>
      <rc t="1" v="13458"/>
    </bk>
    <bk>
      <rc t="1" v="13459"/>
    </bk>
    <bk>
      <rc t="1" v="13460"/>
    </bk>
    <bk>
      <rc t="1" v="13461"/>
    </bk>
    <bk>
      <rc t="1" v="13462"/>
    </bk>
    <bk>
      <rc t="1" v="13463"/>
    </bk>
    <bk>
      <rc t="1" v="13464"/>
    </bk>
    <bk>
      <rc t="1" v="13465"/>
    </bk>
    <bk>
      <rc t="1" v="13466"/>
    </bk>
    <bk>
      <rc t="1" v="13467"/>
    </bk>
    <bk>
      <rc t="1" v="13468"/>
    </bk>
    <bk>
      <rc t="1" v="13469"/>
    </bk>
    <bk>
      <rc t="1" v="13470"/>
    </bk>
    <bk>
      <rc t="1" v="13471"/>
    </bk>
    <bk>
      <rc t="1" v="13472"/>
    </bk>
    <bk>
      <rc t="1" v="13473"/>
    </bk>
    <bk>
      <rc t="1" v="13474"/>
    </bk>
    <bk>
      <rc t="1" v="13475"/>
    </bk>
    <bk>
      <rc t="1" v="13476"/>
    </bk>
    <bk>
      <rc t="1" v="13477"/>
    </bk>
    <bk>
      <rc t="1" v="13478"/>
    </bk>
    <bk>
      <rc t="1" v="13479"/>
    </bk>
    <bk>
      <rc t="1" v="13480"/>
    </bk>
    <bk>
      <rc t="1" v="13481"/>
    </bk>
    <bk>
      <rc t="1" v="13482"/>
    </bk>
    <bk>
      <rc t="1" v="13483"/>
    </bk>
    <bk>
      <rc t="1" v="13484"/>
    </bk>
    <bk>
      <rc t="1" v="13485"/>
    </bk>
    <bk>
      <rc t="1" v="13486"/>
    </bk>
    <bk>
      <rc t="1" v="13487"/>
    </bk>
    <bk>
      <rc t="1" v="13488"/>
    </bk>
    <bk>
      <rc t="1" v="13489"/>
    </bk>
    <bk>
      <rc t="1" v="13490"/>
    </bk>
    <bk>
      <rc t="1" v="13491"/>
    </bk>
    <bk>
      <rc t="1" v="13492"/>
    </bk>
    <bk>
      <rc t="1" v="13493"/>
    </bk>
    <bk>
      <rc t="1" v="13494"/>
    </bk>
    <bk>
      <rc t="1" v="13495"/>
    </bk>
    <bk>
      <rc t="1" v="13496"/>
    </bk>
    <bk>
      <rc t="1" v="13497"/>
    </bk>
    <bk>
      <rc t="1" v="13498"/>
    </bk>
    <bk>
      <rc t="1" v="13499"/>
    </bk>
    <bk>
      <rc t="1" v="13500"/>
    </bk>
    <bk>
      <rc t="1" v="13501"/>
    </bk>
    <bk>
      <rc t="1" v="13502"/>
    </bk>
    <bk>
      <rc t="1" v="13503"/>
    </bk>
    <bk>
      <rc t="1" v="13504"/>
    </bk>
    <bk>
      <rc t="1" v="13505"/>
    </bk>
    <bk>
      <rc t="1" v="13506"/>
    </bk>
    <bk>
      <rc t="1" v="13507"/>
    </bk>
    <bk>
      <rc t="1" v="13508"/>
    </bk>
    <bk>
      <rc t="1" v="13509"/>
    </bk>
    <bk>
      <rc t="1" v="13510"/>
    </bk>
    <bk>
      <rc t="1" v="13511"/>
    </bk>
    <bk>
      <rc t="1" v="13512"/>
    </bk>
    <bk>
      <rc t="1" v="13513"/>
    </bk>
    <bk>
      <rc t="1" v="13514"/>
    </bk>
    <bk>
      <rc t="1" v="13515"/>
    </bk>
    <bk>
      <rc t="1" v="13516"/>
    </bk>
    <bk>
      <rc t="1" v="13517"/>
    </bk>
    <bk>
      <rc t="1" v="13518"/>
    </bk>
    <bk>
      <rc t="1" v="13519"/>
    </bk>
    <bk>
      <rc t="1" v="13520"/>
    </bk>
    <bk>
      <rc t="1" v="13521"/>
    </bk>
    <bk>
      <rc t="1" v="13522"/>
    </bk>
    <bk>
      <rc t="1" v="13523"/>
    </bk>
    <bk>
      <rc t="1" v="13524"/>
    </bk>
    <bk>
      <rc t="1" v="13525"/>
    </bk>
    <bk>
      <rc t="1" v="13526"/>
    </bk>
    <bk>
      <rc t="1" v="13527"/>
    </bk>
    <bk>
      <rc t="1" v="13528"/>
    </bk>
    <bk>
      <rc t="1" v="13529"/>
    </bk>
    <bk>
      <rc t="1" v="13530"/>
    </bk>
    <bk>
      <rc t="1" v="13531"/>
    </bk>
    <bk>
      <rc t="1" v="13532"/>
    </bk>
    <bk>
      <rc t="1" v="13533"/>
    </bk>
    <bk>
      <rc t="1" v="13534"/>
    </bk>
    <bk>
      <rc t="1" v="13535"/>
    </bk>
    <bk>
      <rc t="1" v="13536"/>
    </bk>
    <bk>
      <rc t="1" v="13537"/>
    </bk>
    <bk>
      <rc t="1" v="13538"/>
    </bk>
    <bk>
      <rc t="1" v="13539"/>
    </bk>
    <bk>
      <rc t="1" v="13540"/>
    </bk>
    <bk>
      <rc t="1" v="13541"/>
    </bk>
    <bk>
      <rc t="1" v="13542"/>
    </bk>
    <bk>
      <rc t="1" v="13543"/>
    </bk>
    <bk>
      <rc t="1" v="13544"/>
    </bk>
    <bk>
      <rc t="1" v="13545"/>
    </bk>
    <bk>
      <rc t="1" v="13546"/>
    </bk>
    <bk>
      <rc t="1" v="13547"/>
    </bk>
    <bk>
      <rc t="1" v="13548"/>
    </bk>
    <bk>
      <rc t="1" v="13549"/>
    </bk>
    <bk>
      <rc t="1" v="13550"/>
    </bk>
    <bk>
      <rc t="1" v="13551"/>
    </bk>
    <bk>
      <rc t="1" v="13552"/>
    </bk>
    <bk>
      <rc t="1" v="13553"/>
    </bk>
    <bk>
      <rc t="1" v="13554"/>
    </bk>
    <bk>
      <rc t="1" v="13555"/>
    </bk>
    <bk>
      <rc t="1" v="13556"/>
    </bk>
    <bk>
      <rc t="1" v="13557"/>
    </bk>
    <bk>
      <rc t="1" v="13558"/>
    </bk>
    <bk>
      <rc t="1" v="13559"/>
    </bk>
    <bk>
      <rc t="1" v="13560"/>
    </bk>
    <bk>
      <rc t="1" v="13561"/>
    </bk>
    <bk>
      <rc t="1" v="13562"/>
    </bk>
    <bk>
      <rc t="1" v="13563"/>
    </bk>
    <bk>
      <rc t="1" v="13564"/>
    </bk>
    <bk>
      <rc t="1" v="13565"/>
    </bk>
    <bk>
      <rc t="1" v="13566"/>
    </bk>
    <bk>
      <rc t="1" v="13567"/>
    </bk>
    <bk>
      <rc t="1" v="13568"/>
    </bk>
    <bk>
      <rc t="1" v="13569"/>
    </bk>
    <bk>
      <rc t="1" v="13570"/>
    </bk>
    <bk>
      <rc t="1" v="13571"/>
    </bk>
    <bk>
      <rc t="1" v="13572"/>
    </bk>
    <bk>
      <rc t="1" v="13573"/>
    </bk>
    <bk>
      <rc t="1" v="13574"/>
    </bk>
    <bk>
      <rc t="1" v="13575"/>
    </bk>
    <bk>
      <rc t="1" v="13576"/>
    </bk>
    <bk>
      <rc t="1" v="13577"/>
    </bk>
    <bk>
      <rc t="1" v="13578"/>
    </bk>
    <bk>
      <rc t="1" v="13579"/>
    </bk>
    <bk>
      <rc t="1" v="13580"/>
    </bk>
    <bk>
      <rc t="1" v="13581"/>
    </bk>
    <bk>
      <rc t="1" v="13582"/>
    </bk>
    <bk>
      <rc t="1" v="13583"/>
    </bk>
    <bk>
      <rc t="1" v="13584"/>
    </bk>
    <bk>
      <rc t="1" v="13585"/>
    </bk>
    <bk>
      <rc t="1" v="13586"/>
    </bk>
    <bk>
      <rc t="1" v="13587"/>
    </bk>
    <bk>
      <rc t="1" v="13588"/>
    </bk>
    <bk>
      <rc t="1" v="13589"/>
    </bk>
    <bk>
      <rc t="1" v="13590"/>
    </bk>
    <bk>
      <rc t="1" v="13591"/>
    </bk>
    <bk>
      <rc t="1" v="13592"/>
    </bk>
    <bk>
      <rc t="1" v="13593"/>
    </bk>
    <bk>
      <rc t="1" v="13594"/>
    </bk>
    <bk>
      <rc t="1" v="13595"/>
    </bk>
    <bk>
      <rc t="1" v="13596"/>
    </bk>
    <bk>
      <rc t="1" v="13597"/>
    </bk>
    <bk>
      <rc t="1" v="13598"/>
    </bk>
    <bk>
      <rc t="1" v="13599"/>
    </bk>
    <bk>
      <rc t="1" v="13600"/>
    </bk>
    <bk>
      <rc t="1" v="13601"/>
    </bk>
    <bk>
      <rc t="1" v="13602"/>
    </bk>
    <bk>
      <rc t="1" v="13603"/>
    </bk>
    <bk>
      <rc t="1" v="13604"/>
    </bk>
    <bk>
      <rc t="1" v="13605"/>
    </bk>
    <bk>
      <rc t="1" v="13606"/>
    </bk>
    <bk>
      <rc t="1" v="13607"/>
    </bk>
    <bk>
      <rc t="1" v="13608"/>
    </bk>
    <bk>
      <rc t="1" v="13609"/>
    </bk>
    <bk>
      <rc t="1" v="13610"/>
    </bk>
    <bk>
      <rc t="1" v="13611"/>
    </bk>
    <bk>
      <rc t="1" v="13612"/>
    </bk>
    <bk>
      <rc t="1" v="13613"/>
    </bk>
    <bk>
      <rc t="1" v="13614"/>
    </bk>
    <bk>
      <rc t="1" v="13615"/>
    </bk>
    <bk>
      <rc t="1" v="13616"/>
    </bk>
    <bk>
      <rc t="1" v="13617"/>
    </bk>
    <bk>
      <rc t="1" v="13618"/>
    </bk>
    <bk>
      <rc t="1" v="13619"/>
    </bk>
    <bk>
      <rc t="1" v="13620"/>
    </bk>
    <bk>
      <rc t="1" v="13621"/>
    </bk>
    <bk>
      <rc t="1" v="13622"/>
    </bk>
    <bk>
      <rc t="1" v="13623"/>
    </bk>
    <bk>
      <rc t="1" v="13624"/>
    </bk>
    <bk>
      <rc t="1" v="13625"/>
    </bk>
    <bk>
      <rc t="1" v="13626"/>
    </bk>
    <bk>
      <rc t="1" v="13627"/>
    </bk>
    <bk>
      <rc t="1" v="13628"/>
    </bk>
    <bk>
      <rc t="1" v="13629"/>
    </bk>
    <bk>
      <rc t="1" v="13630"/>
    </bk>
    <bk>
      <rc t="1" v="13631"/>
    </bk>
    <bk>
      <rc t="1" v="13632"/>
    </bk>
    <bk>
      <rc t="1" v="13633"/>
    </bk>
    <bk>
      <rc t="1" v="13634"/>
    </bk>
    <bk>
      <rc t="1" v="13635"/>
    </bk>
    <bk>
      <rc t="1" v="13636"/>
    </bk>
    <bk>
      <rc t="1" v="13637"/>
    </bk>
    <bk>
      <rc t="1" v="13638"/>
    </bk>
    <bk>
      <rc t="1" v="13639"/>
    </bk>
    <bk>
      <rc t="1" v="13640"/>
    </bk>
    <bk>
      <rc t="1" v="13641"/>
    </bk>
    <bk>
      <rc t="1" v="13642"/>
    </bk>
    <bk>
      <rc t="1" v="13643"/>
    </bk>
    <bk>
      <rc t="1" v="13644"/>
    </bk>
    <bk>
      <rc t="1" v="13645"/>
    </bk>
    <bk>
      <rc t="1" v="13646"/>
    </bk>
    <bk>
      <rc t="1" v="13647"/>
    </bk>
    <bk>
      <rc t="1" v="13648"/>
    </bk>
    <bk>
      <rc t="1" v="13649"/>
    </bk>
    <bk>
      <rc t="1" v="13650"/>
    </bk>
    <bk>
      <rc t="1" v="13651"/>
    </bk>
    <bk>
      <rc t="1" v="13652"/>
    </bk>
    <bk>
      <rc t="1" v="13653"/>
    </bk>
    <bk>
      <rc t="1" v="13654"/>
    </bk>
    <bk>
      <rc t="1" v="13655"/>
    </bk>
    <bk>
      <rc t="1" v="13656"/>
    </bk>
    <bk>
      <rc t="1" v="13657"/>
    </bk>
    <bk>
      <rc t="1" v="13658"/>
    </bk>
    <bk>
      <rc t="1" v="13659"/>
    </bk>
    <bk>
      <rc t="1" v="13660"/>
    </bk>
    <bk>
      <rc t="1" v="13661"/>
    </bk>
    <bk>
      <rc t="1" v="13662"/>
    </bk>
    <bk>
      <rc t="1" v="13663"/>
    </bk>
    <bk>
      <rc t="1" v="13664"/>
    </bk>
    <bk>
      <rc t="1" v="13665"/>
    </bk>
    <bk>
      <rc t="1" v="13666"/>
    </bk>
    <bk>
      <rc t="1" v="13667"/>
    </bk>
    <bk>
      <rc t="1" v="13668"/>
    </bk>
    <bk>
      <rc t="1" v="13669"/>
    </bk>
    <bk>
      <rc t="1" v="13670"/>
    </bk>
    <bk>
      <rc t="1" v="13671"/>
    </bk>
    <bk>
      <rc t="1" v="13672"/>
    </bk>
    <bk>
      <rc t="1" v="13673"/>
    </bk>
    <bk>
      <rc t="1" v="13674"/>
    </bk>
    <bk>
      <rc t="1" v="13675"/>
    </bk>
    <bk>
      <rc t="1" v="13676"/>
    </bk>
    <bk>
      <rc t="1" v="13677"/>
    </bk>
    <bk>
      <rc t="1" v="13678"/>
    </bk>
    <bk>
      <rc t="1" v="13679"/>
    </bk>
    <bk>
      <rc t="1" v="13680"/>
    </bk>
    <bk>
      <rc t="1" v="13681"/>
    </bk>
    <bk>
      <rc t="1" v="13682"/>
    </bk>
    <bk>
      <rc t="1" v="13683"/>
    </bk>
    <bk>
      <rc t="1" v="13684"/>
    </bk>
    <bk>
      <rc t="1" v="13685"/>
    </bk>
    <bk>
      <rc t="1" v="13686"/>
    </bk>
    <bk>
      <rc t="1" v="13687"/>
    </bk>
    <bk>
      <rc t="1" v="13688"/>
    </bk>
    <bk>
      <rc t="1" v="13689"/>
    </bk>
    <bk>
      <rc t="1" v="13690"/>
    </bk>
    <bk>
      <rc t="1" v="13691"/>
    </bk>
    <bk>
      <rc t="1" v="13692"/>
    </bk>
    <bk>
      <rc t="1" v="13693"/>
    </bk>
    <bk>
      <rc t="1" v="13694"/>
    </bk>
    <bk>
      <rc t="1" v="13695"/>
    </bk>
    <bk>
      <rc t="1" v="13696"/>
    </bk>
    <bk>
      <rc t="1" v="13697"/>
    </bk>
    <bk>
      <rc t="1" v="13698"/>
    </bk>
    <bk>
      <rc t="1" v="13699"/>
    </bk>
    <bk>
      <rc t="1" v="13700"/>
    </bk>
    <bk>
      <rc t="1" v="13701"/>
    </bk>
    <bk>
      <rc t="1" v="13702"/>
    </bk>
    <bk>
      <rc t="1" v="13703"/>
    </bk>
    <bk>
      <rc t="1" v="13704"/>
    </bk>
    <bk>
      <rc t="1" v="13705"/>
    </bk>
    <bk>
      <rc t="1" v="13706"/>
    </bk>
    <bk>
      <rc t="1" v="13707"/>
    </bk>
    <bk>
      <rc t="1" v="13708"/>
    </bk>
    <bk>
      <rc t="1" v="13709"/>
    </bk>
    <bk>
      <rc t="1" v="13710"/>
    </bk>
    <bk>
      <rc t="1" v="13711"/>
    </bk>
    <bk>
      <rc t="1" v="13712"/>
    </bk>
    <bk>
      <rc t="1" v="13713"/>
    </bk>
    <bk>
      <rc t="1" v="13714"/>
    </bk>
    <bk>
      <rc t="1" v="13715"/>
    </bk>
    <bk>
      <rc t="1" v="13716"/>
    </bk>
    <bk>
      <rc t="1" v="13717"/>
    </bk>
    <bk>
      <rc t="1" v="13718"/>
    </bk>
    <bk>
      <rc t="1" v="13719"/>
    </bk>
    <bk>
      <rc t="1" v="13720"/>
    </bk>
    <bk>
      <rc t="1" v="13721"/>
    </bk>
    <bk>
      <rc t="1" v="13722"/>
    </bk>
    <bk>
      <rc t="1" v="13723"/>
    </bk>
    <bk>
      <rc t="1" v="13724"/>
    </bk>
    <bk>
      <rc t="1" v="13725"/>
    </bk>
    <bk>
      <rc t="1" v="13726"/>
    </bk>
    <bk>
      <rc t="1" v="13727"/>
    </bk>
    <bk>
      <rc t="1" v="13728"/>
    </bk>
    <bk>
      <rc t="1" v="13729"/>
    </bk>
    <bk>
      <rc t="1" v="13730"/>
    </bk>
    <bk>
      <rc t="1" v="13731"/>
    </bk>
    <bk>
      <rc t="1" v="13732"/>
    </bk>
    <bk>
      <rc t="1" v="13733"/>
    </bk>
    <bk>
      <rc t="1" v="13734"/>
    </bk>
    <bk>
      <rc t="1" v="13735"/>
    </bk>
    <bk>
      <rc t="1" v="13736"/>
    </bk>
    <bk>
      <rc t="1" v="13737"/>
    </bk>
    <bk>
      <rc t="1" v="13738"/>
    </bk>
    <bk>
      <rc t="1" v="13739"/>
    </bk>
    <bk>
      <rc t="1" v="13740"/>
    </bk>
    <bk>
      <rc t="1" v="13741"/>
    </bk>
    <bk>
      <rc t="1" v="13742"/>
    </bk>
    <bk>
      <rc t="1" v="13743"/>
    </bk>
    <bk>
      <rc t="1" v="13744"/>
    </bk>
    <bk>
      <rc t="1" v="13745"/>
    </bk>
    <bk>
      <rc t="1" v="13746"/>
    </bk>
    <bk>
      <rc t="1" v="13747"/>
    </bk>
    <bk>
      <rc t="1" v="13748"/>
    </bk>
    <bk>
      <rc t="1" v="13749"/>
    </bk>
    <bk>
      <rc t="1" v="13750"/>
    </bk>
    <bk>
      <rc t="1" v="13751"/>
    </bk>
    <bk>
      <rc t="1" v="13752"/>
    </bk>
    <bk>
      <rc t="1" v="13753"/>
    </bk>
    <bk>
      <rc t="1" v="13754"/>
    </bk>
    <bk>
      <rc t="1" v="13755"/>
    </bk>
    <bk>
      <rc t="1" v="13756"/>
    </bk>
    <bk>
      <rc t="1" v="13757"/>
    </bk>
    <bk>
      <rc t="1" v="13758"/>
    </bk>
    <bk>
      <rc t="1" v="13759"/>
    </bk>
    <bk>
      <rc t="1" v="13760"/>
    </bk>
    <bk>
      <rc t="1" v="13761"/>
    </bk>
    <bk>
      <rc t="1" v="13762"/>
    </bk>
    <bk>
      <rc t="1" v="13763"/>
    </bk>
    <bk>
      <rc t="1" v="13764"/>
    </bk>
    <bk>
      <rc t="1" v="13765"/>
    </bk>
    <bk>
      <rc t="1" v="13766"/>
    </bk>
    <bk>
      <rc t="1" v="13767"/>
    </bk>
    <bk>
      <rc t="1" v="13768"/>
    </bk>
    <bk>
      <rc t="1" v="13769"/>
    </bk>
    <bk>
      <rc t="1" v="13770"/>
    </bk>
    <bk>
      <rc t="1" v="13771"/>
    </bk>
    <bk>
      <rc t="1" v="13772"/>
    </bk>
    <bk>
      <rc t="1" v="13773"/>
    </bk>
    <bk>
      <rc t="1" v="13774"/>
    </bk>
    <bk>
      <rc t="1" v="13775"/>
    </bk>
    <bk>
      <rc t="1" v="13776"/>
    </bk>
    <bk>
      <rc t="1" v="13777"/>
    </bk>
    <bk>
      <rc t="1" v="13778"/>
    </bk>
    <bk>
      <rc t="1" v="13779"/>
    </bk>
    <bk>
      <rc t="1" v="13780"/>
    </bk>
    <bk>
      <rc t="1" v="13781"/>
    </bk>
    <bk>
      <rc t="1" v="13782"/>
    </bk>
    <bk>
      <rc t="1" v="13783"/>
    </bk>
    <bk>
      <rc t="1" v="13784"/>
    </bk>
    <bk>
      <rc t="1" v="13785"/>
    </bk>
    <bk>
      <rc t="1" v="13786"/>
    </bk>
    <bk>
      <rc t="1" v="13787"/>
    </bk>
    <bk>
      <rc t="1" v="13788"/>
    </bk>
    <bk>
      <rc t="1" v="13789"/>
    </bk>
    <bk>
      <rc t="1" v="13790"/>
    </bk>
    <bk>
      <rc t="1" v="13791"/>
    </bk>
    <bk>
      <rc t="1" v="13792"/>
    </bk>
    <bk>
      <rc t="1" v="13793"/>
    </bk>
    <bk>
      <rc t="1" v="13794"/>
    </bk>
    <bk>
      <rc t="1" v="13795"/>
    </bk>
    <bk>
      <rc t="1" v="13796"/>
    </bk>
    <bk>
      <rc t="1" v="13797"/>
    </bk>
    <bk>
      <rc t="1" v="13798"/>
    </bk>
    <bk>
      <rc t="1" v="13799"/>
    </bk>
    <bk>
      <rc t="1" v="13800"/>
    </bk>
    <bk>
      <rc t="1" v="13801"/>
    </bk>
    <bk>
      <rc t="1" v="13802"/>
    </bk>
    <bk>
      <rc t="1" v="13803"/>
    </bk>
    <bk>
      <rc t="1" v="13804"/>
    </bk>
    <bk>
      <rc t="1" v="13805"/>
    </bk>
    <bk>
      <rc t="1" v="13806"/>
    </bk>
    <bk>
      <rc t="1" v="13807"/>
    </bk>
    <bk>
      <rc t="1" v="13808"/>
    </bk>
    <bk>
      <rc t="1" v="13809"/>
    </bk>
    <bk>
      <rc t="1" v="13810"/>
    </bk>
    <bk>
      <rc t="1" v="13811"/>
    </bk>
    <bk>
      <rc t="1" v="13812"/>
    </bk>
    <bk>
      <rc t="1" v="13813"/>
    </bk>
    <bk>
      <rc t="1" v="13814"/>
    </bk>
    <bk>
      <rc t="1" v="13815"/>
    </bk>
    <bk>
      <rc t="1" v="13816"/>
    </bk>
    <bk>
      <rc t="1" v="13817"/>
    </bk>
    <bk>
      <rc t="1" v="13818"/>
    </bk>
    <bk>
      <rc t="1" v="13819"/>
    </bk>
    <bk>
      <rc t="1" v="13820"/>
    </bk>
    <bk>
      <rc t="1" v="13821"/>
    </bk>
    <bk>
      <rc t="1" v="13822"/>
    </bk>
    <bk>
      <rc t="1" v="13823"/>
    </bk>
    <bk>
      <rc t="1" v="13824"/>
    </bk>
    <bk>
      <rc t="1" v="13825"/>
    </bk>
    <bk>
      <rc t="1" v="13826"/>
    </bk>
    <bk>
      <rc t="1" v="13827"/>
    </bk>
    <bk>
      <rc t="1" v="13828"/>
    </bk>
    <bk>
      <rc t="1" v="13829"/>
    </bk>
    <bk>
      <rc t="1" v="13830"/>
    </bk>
    <bk>
      <rc t="1" v="13831"/>
    </bk>
    <bk>
      <rc t="1" v="13832"/>
    </bk>
    <bk>
      <rc t="1" v="13833"/>
    </bk>
    <bk>
      <rc t="1" v="13834"/>
    </bk>
    <bk>
      <rc t="1" v="13835"/>
    </bk>
    <bk>
      <rc t="1" v="13836"/>
    </bk>
    <bk>
      <rc t="1" v="13837"/>
    </bk>
    <bk>
      <rc t="1" v="13838"/>
    </bk>
    <bk>
      <rc t="1" v="13839"/>
    </bk>
    <bk>
      <rc t="1" v="13840"/>
    </bk>
    <bk>
      <rc t="1" v="13841"/>
    </bk>
    <bk>
      <rc t="1" v="13842"/>
    </bk>
    <bk>
      <rc t="1" v="13843"/>
    </bk>
    <bk>
      <rc t="1" v="13844"/>
    </bk>
    <bk>
      <rc t="1" v="13845"/>
    </bk>
    <bk>
      <rc t="1" v="13846"/>
    </bk>
    <bk>
      <rc t="1" v="13847"/>
    </bk>
    <bk>
      <rc t="1" v="13848"/>
    </bk>
    <bk>
      <rc t="1" v="13849"/>
    </bk>
    <bk>
      <rc t="1" v="13850"/>
    </bk>
    <bk>
      <rc t="1" v="13851"/>
    </bk>
    <bk>
      <rc t="1" v="13852"/>
    </bk>
    <bk>
      <rc t="1" v="13853"/>
    </bk>
    <bk>
      <rc t="1" v="13854"/>
    </bk>
    <bk>
      <rc t="1" v="13855"/>
    </bk>
    <bk>
      <rc t="1" v="13856"/>
    </bk>
    <bk>
      <rc t="1" v="13857"/>
    </bk>
    <bk>
      <rc t="1" v="13858"/>
    </bk>
    <bk>
      <rc t="1" v="13859"/>
    </bk>
    <bk>
      <rc t="1" v="13860"/>
    </bk>
    <bk>
      <rc t="1" v="13861"/>
    </bk>
    <bk>
      <rc t="1" v="13862"/>
    </bk>
    <bk>
      <rc t="1" v="13863"/>
    </bk>
    <bk>
      <rc t="1" v="13864"/>
    </bk>
    <bk>
      <rc t="1" v="13865"/>
    </bk>
    <bk>
      <rc t="1" v="13866"/>
    </bk>
    <bk>
      <rc t="1" v="13867"/>
    </bk>
    <bk>
      <rc t="1" v="13868"/>
    </bk>
    <bk>
      <rc t="1" v="13869"/>
    </bk>
    <bk>
      <rc t="1" v="13870"/>
    </bk>
    <bk>
      <rc t="1" v="13871"/>
    </bk>
    <bk>
      <rc t="1" v="13872"/>
    </bk>
    <bk>
      <rc t="1" v="13873"/>
    </bk>
    <bk>
      <rc t="1" v="13874"/>
    </bk>
    <bk>
      <rc t="1" v="13875"/>
    </bk>
    <bk>
      <rc t="1" v="13876"/>
    </bk>
    <bk>
      <rc t="1" v="13877"/>
    </bk>
    <bk>
      <rc t="1" v="13878"/>
    </bk>
    <bk>
      <rc t="1" v="13879"/>
    </bk>
    <bk>
      <rc t="1" v="13880"/>
    </bk>
    <bk>
      <rc t="1" v="13881"/>
    </bk>
    <bk>
      <rc t="1" v="13882"/>
    </bk>
    <bk>
      <rc t="1" v="13883"/>
    </bk>
    <bk>
      <rc t="1" v="13884"/>
    </bk>
    <bk>
      <rc t="1" v="13885"/>
    </bk>
    <bk>
      <rc t="1" v="13886"/>
    </bk>
    <bk>
      <rc t="1" v="13887"/>
    </bk>
    <bk>
      <rc t="1" v="13888"/>
    </bk>
    <bk>
      <rc t="1" v="13889"/>
    </bk>
    <bk>
      <rc t="1" v="13890"/>
    </bk>
    <bk>
      <rc t="1" v="13891"/>
    </bk>
    <bk>
      <rc t="1" v="13892"/>
    </bk>
    <bk>
      <rc t="1" v="13893"/>
    </bk>
    <bk>
      <rc t="1" v="13894"/>
    </bk>
    <bk>
      <rc t="1" v="13895"/>
    </bk>
    <bk>
      <rc t="1" v="13896"/>
    </bk>
    <bk>
      <rc t="1" v="13897"/>
    </bk>
    <bk>
      <rc t="1" v="13898"/>
    </bk>
    <bk>
      <rc t="1" v="13899"/>
    </bk>
    <bk>
      <rc t="1" v="13900"/>
    </bk>
    <bk>
      <rc t="1" v="13901"/>
    </bk>
    <bk>
      <rc t="1" v="13902"/>
    </bk>
    <bk>
      <rc t="1" v="13903"/>
    </bk>
    <bk>
      <rc t="1" v="13904"/>
    </bk>
    <bk>
      <rc t="1" v="13905"/>
    </bk>
    <bk>
      <rc t="1" v="13906"/>
    </bk>
    <bk>
      <rc t="1" v="13907"/>
    </bk>
    <bk>
      <rc t="1" v="13908"/>
    </bk>
    <bk>
      <rc t="1" v="13909"/>
    </bk>
    <bk>
      <rc t="1" v="13910"/>
    </bk>
    <bk>
      <rc t="1" v="13911"/>
    </bk>
    <bk>
      <rc t="1" v="13912"/>
    </bk>
    <bk>
      <rc t="1" v="13913"/>
    </bk>
    <bk>
      <rc t="1" v="13914"/>
    </bk>
    <bk>
      <rc t="1" v="13915"/>
    </bk>
    <bk>
      <rc t="1" v="13916"/>
    </bk>
    <bk>
      <rc t="1" v="13917"/>
    </bk>
    <bk>
      <rc t="1" v="13918"/>
    </bk>
    <bk>
      <rc t="1" v="13919"/>
    </bk>
    <bk>
      <rc t="1" v="13920"/>
    </bk>
    <bk>
      <rc t="1" v="13921"/>
    </bk>
    <bk>
      <rc t="1" v="13922"/>
    </bk>
    <bk>
      <rc t="1" v="13923"/>
    </bk>
    <bk>
      <rc t="1" v="13924"/>
    </bk>
    <bk>
      <rc t="1" v="13925"/>
    </bk>
    <bk>
      <rc t="1" v="13926"/>
    </bk>
    <bk>
      <rc t="1" v="13927"/>
    </bk>
    <bk>
      <rc t="1" v="13928"/>
    </bk>
    <bk>
      <rc t="1" v="13929"/>
    </bk>
    <bk>
      <rc t="1" v="13930"/>
    </bk>
    <bk>
      <rc t="1" v="13931"/>
    </bk>
    <bk>
      <rc t="1" v="13932"/>
    </bk>
    <bk>
      <rc t="1" v="13933"/>
    </bk>
    <bk>
      <rc t="1" v="13934"/>
    </bk>
    <bk>
      <rc t="1" v="13935"/>
    </bk>
    <bk>
      <rc t="1" v="13936"/>
    </bk>
    <bk>
      <rc t="1" v="13937"/>
    </bk>
    <bk>
      <rc t="1" v="13938"/>
    </bk>
    <bk>
      <rc t="1" v="13939"/>
    </bk>
    <bk>
      <rc t="1" v="13940"/>
    </bk>
    <bk>
      <rc t="1" v="13941"/>
    </bk>
    <bk>
      <rc t="1" v="13942"/>
    </bk>
    <bk>
      <rc t="1" v="13943"/>
    </bk>
    <bk>
      <rc t="1" v="13944"/>
    </bk>
    <bk>
      <rc t="1" v="13945"/>
    </bk>
    <bk>
      <rc t="1" v="13946"/>
    </bk>
    <bk>
      <rc t="1" v="13947"/>
    </bk>
    <bk>
      <rc t="1" v="13948"/>
    </bk>
    <bk>
      <rc t="1" v="13949"/>
    </bk>
    <bk>
      <rc t="1" v="13950"/>
    </bk>
    <bk>
      <rc t="1" v="13951"/>
    </bk>
    <bk>
      <rc t="1" v="13952"/>
    </bk>
    <bk>
      <rc t="1" v="13953"/>
    </bk>
    <bk>
      <rc t="1" v="13954"/>
    </bk>
    <bk>
      <rc t="1" v="13955"/>
    </bk>
    <bk>
      <rc t="1" v="13956"/>
    </bk>
    <bk>
      <rc t="1" v="13957"/>
    </bk>
    <bk>
      <rc t="1" v="13958"/>
    </bk>
    <bk>
      <rc t="1" v="13959"/>
    </bk>
    <bk>
      <rc t="1" v="13960"/>
    </bk>
    <bk>
      <rc t="1" v="13961"/>
    </bk>
    <bk>
      <rc t="1" v="13962"/>
    </bk>
    <bk>
      <rc t="1" v="13963"/>
    </bk>
    <bk>
      <rc t="1" v="13964"/>
    </bk>
    <bk>
      <rc t="1" v="13965"/>
    </bk>
    <bk>
      <rc t="1" v="13966"/>
    </bk>
    <bk>
      <rc t="1" v="13967"/>
    </bk>
    <bk>
      <rc t="1" v="13968"/>
    </bk>
    <bk>
      <rc t="1" v="13969"/>
    </bk>
    <bk>
      <rc t="1" v="13970"/>
    </bk>
    <bk>
      <rc t="1" v="13971"/>
    </bk>
    <bk>
      <rc t="1" v="13972"/>
    </bk>
    <bk>
      <rc t="1" v="13973"/>
    </bk>
    <bk>
      <rc t="1" v="13974"/>
    </bk>
    <bk>
      <rc t="1" v="13975"/>
    </bk>
    <bk>
      <rc t="1" v="13976"/>
    </bk>
    <bk>
      <rc t="1" v="13977"/>
    </bk>
    <bk>
      <rc t="1" v="13978"/>
    </bk>
    <bk>
      <rc t="1" v="13979"/>
    </bk>
    <bk>
      <rc t="1" v="13980"/>
    </bk>
    <bk>
      <rc t="1" v="13981"/>
    </bk>
    <bk>
      <rc t="1" v="13982"/>
    </bk>
    <bk>
      <rc t="1" v="13983"/>
    </bk>
    <bk>
      <rc t="1" v="13984"/>
    </bk>
    <bk>
      <rc t="1" v="13985"/>
    </bk>
    <bk>
      <rc t="1" v="13986"/>
    </bk>
    <bk>
      <rc t="1" v="13987"/>
    </bk>
    <bk>
      <rc t="1" v="13988"/>
    </bk>
    <bk>
      <rc t="1" v="13989"/>
    </bk>
    <bk>
      <rc t="1" v="13990"/>
    </bk>
    <bk>
      <rc t="1" v="13991"/>
    </bk>
    <bk>
      <rc t="1" v="13992"/>
    </bk>
    <bk>
      <rc t="1" v="13993"/>
    </bk>
    <bk>
      <rc t="1" v="13994"/>
    </bk>
    <bk>
      <rc t="1" v="13995"/>
    </bk>
    <bk>
      <rc t="1" v="13996"/>
    </bk>
    <bk>
      <rc t="1" v="13997"/>
    </bk>
    <bk>
      <rc t="1" v="13998"/>
    </bk>
    <bk>
      <rc t="1" v="13999"/>
    </bk>
    <bk>
      <rc t="1" v="14000"/>
    </bk>
    <bk>
      <rc t="1" v="14001"/>
    </bk>
    <bk>
      <rc t="1" v="14002"/>
    </bk>
    <bk>
      <rc t="1" v="14003"/>
    </bk>
    <bk>
      <rc t="1" v="14004"/>
    </bk>
    <bk>
      <rc t="1" v="14005"/>
    </bk>
    <bk>
      <rc t="1" v="14006"/>
    </bk>
    <bk>
      <rc t="1" v="14007"/>
    </bk>
    <bk>
      <rc t="1" v="14008"/>
    </bk>
    <bk>
      <rc t="1" v="14009"/>
    </bk>
    <bk>
      <rc t="1" v="14010"/>
    </bk>
    <bk>
      <rc t="1" v="14011"/>
    </bk>
    <bk>
      <rc t="1" v="14012"/>
    </bk>
    <bk>
      <rc t="1" v="14013"/>
    </bk>
    <bk>
      <rc t="1" v="14014"/>
    </bk>
    <bk>
      <rc t="1" v="14015"/>
    </bk>
    <bk>
      <rc t="1" v="14016"/>
    </bk>
    <bk>
      <rc t="1" v="14017"/>
    </bk>
    <bk>
      <rc t="1" v="14018"/>
    </bk>
    <bk>
      <rc t="1" v="14019"/>
    </bk>
    <bk>
      <rc t="1" v="14020"/>
    </bk>
    <bk>
      <rc t="1" v="14021"/>
    </bk>
    <bk>
      <rc t="1" v="14022"/>
    </bk>
    <bk>
      <rc t="1" v="14023"/>
    </bk>
    <bk>
      <rc t="1" v="14024"/>
    </bk>
    <bk>
      <rc t="1" v="14025"/>
    </bk>
    <bk>
      <rc t="1" v="14026"/>
    </bk>
    <bk>
      <rc t="1" v="14027"/>
    </bk>
    <bk>
      <rc t="1" v="14028"/>
    </bk>
    <bk>
      <rc t="1" v="14029"/>
    </bk>
    <bk>
      <rc t="1" v="14030"/>
    </bk>
    <bk>
      <rc t="1" v="14031"/>
    </bk>
    <bk>
      <rc t="1" v="14032"/>
    </bk>
    <bk>
      <rc t="1" v="14033"/>
    </bk>
    <bk>
      <rc t="1" v="14034"/>
    </bk>
    <bk>
      <rc t="1" v="14035"/>
    </bk>
    <bk>
      <rc t="1" v="14036"/>
    </bk>
    <bk>
      <rc t="1" v="14037"/>
    </bk>
    <bk>
      <rc t="1" v="14038"/>
    </bk>
    <bk>
      <rc t="1" v="14039"/>
    </bk>
    <bk>
      <rc t="1" v="14040"/>
    </bk>
    <bk>
      <rc t="1" v="14041"/>
    </bk>
    <bk>
      <rc t="1" v="14042"/>
    </bk>
    <bk>
      <rc t="1" v="14043"/>
    </bk>
    <bk>
      <rc t="1" v="14044"/>
    </bk>
    <bk>
      <rc t="1" v="14045"/>
    </bk>
    <bk>
      <rc t="1" v="14046"/>
    </bk>
    <bk>
      <rc t="1" v="14047"/>
    </bk>
    <bk>
      <rc t="1" v="14048"/>
    </bk>
    <bk>
      <rc t="1" v="14049"/>
    </bk>
    <bk>
      <rc t="1" v="14050"/>
    </bk>
    <bk>
      <rc t="1" v="14051"/>
    </bk>
    <bk>
      <rc t="1" v="14052"/>
    </bk>
    <bk>
      <rc t="1" v="14053"/>
    </bk>
    <bk>
      <rc t="1" v="14054"/>
    </bk>
    <bk>
      <rc t="1" v="14055"/>
    </bk>
    <bk>
      <rc t="1" v="14056"/>
    </bk>
    <bk>
      <rc t="1" v="14057"/>
    </bk>
    <bk>
      <rc t="1" v="14058"/>
    </bk>
    <bk>
      <rc t="1" v="14059"/>
    </bk>
    <bk>
      <rc t="1" v="14060"/>
    </bk>
    <bk>
      <rc t="1" v="14061"/>
    </bk>
    <bk>
      <rc t="1" v="14062"/>
    </bk>
    <bk>
      <rc t="1" v="14063"/>
    </bk>
    <bk>
      <rc t="1" v="14064"/>
    </bk>
    <bk>
      <rc t="1" v="14065"/>
    </bk>
    <bk>
      <rc t="1" v="14066"/>
    </bk>
    <bk>
      <rc t="1" v="14067"/>
    </bk>
    <bk>
      <rc t="1" v="14068"/>
    </bk>
    <bk>
      <rc t="1" v="14069"/>
    </bk>
    <bk>
      <rc t="1" v="14070"/>
    </bk>
    <bk>
      <rc t="1" v="14071"/>
    </bk>
    <bk>
      <rc t="1" v="14072"/>
    </bk>
    <bk>
      <rc t="1" v="14073"/>
    </bk>
    <bk>
      <rc t="1" v="14074"/>
    </bk>
    <bk>
      <rc t="1" v="14075"/>
    </bk>
    <bk>
      <rc t="1" v="14076"/>
    </bk>
    <bk>
      <rc t="1" v="14077"/>
    </bk>
    <bk>
      <rc t="1" v="14078"/>
    </bk>
    <bk>
      <rc t="1" v="14079"/>
    </bk>
    <bk>
      <rc t="1" v="14080"/>
    </bk>
    <bk>
      <rc t="1" v="14081"/>
    </bk>
    <bk>
      <rc t="1" v="14082"/>
    </bk>
    <bk>
      <rc t="1" v="14083"/>
    </bk>
    <bk>
      <rc t="1" v="14084"/>
    </bk>
    <bk>
      <rc t="1" v="14085"/>
    </bk>
    <bk>
      <rc t="1" v="14086"/>
    </bk>
    <bk>
      <rc t="1" v="14087"/>
    </bk>
    <bk>
      <rc t="1" v="14088"/>
    </bk>
    <bk>
      <rc t="1" v="14089"/>
    </bk>
    <bk>
      <rc t="1" v="14090"/>
    </bk>
    <bk>
      <rc t="1" v="14091"/>
    </bk>
    <bk>
      <rc t="1" v="14092"/>
    </bk>
    <bk>
      <rc t="1" v="14093"/>
    </bk>
    <bk>
      <rc t="1" v="14094"/>
    </bk>
    <bk>
      <rc t="1" v="14095"/>
    </bk>
    <bk>
      <rc t="1" v="14096"/>
    </bk>
    <bk>
      <rc t="1" v="14097"/>
    </bk>
    <bk>
      <rc t="1" v="14098"/>
    </bk>
    <bk>
      <rc t="1" v="14099"/>
    </bk>
    <bk>
      <rc t="1" v="14100"/>
    </bk>
    <bk>
      <rc t="1" v="14101"/>
    </bk>
    <bk>
      <rc t="1" v="14102"/>
    </bk>
    <bk>
      <rc t="1" v="14103"/>
    </bk>
    <bk>
      <rc t="1" v="14104"/>
    </bk>
    <bk>
      <rc t="1" v="14105"/>
    </bk>
    <bk>
      <rc t="1" v="14106"/>
    </bk>
    <bk>
      <rc t="1" v="14107"/>
    </bk>
    <bk>
      <rc t="1" v="14108"/>
    </bk>
    <bk>
      <rc t="1" v="14109"/>
    </bk>
    <bk>
      <rc t="1" v="14110"/>
    </bk>
    <bk>
      <rc t="1" v="14111"/>
    </bk>
    <bk>
      <rc t="1" v="14112"/>
    </bk>
    <bk>
      <rc t="1" v="14113"/>
    </bk>
    <bk>
      <rc t="1" v="14114"/>
    </bk>
    <bk>
      <rc t="1" v="14115"/>
    </bk>
    <bk>
      <rc t="1" v="14116"/>
    </bk>
    <bk>
      <rc t="1" v="14117"/>
    </bk>
    <bk>
      <rc t="1" v="14118"/>
    </bk>
    <bk>
      <rc t="1" v="14119"/>
    </bk>
    <bk>
      <rc t="1" v="14120"/>
    </bk>
    <bk>
      <rc t="1" v="14121"/>
    </bk>
    <bk>
      <rc t="1" v="14122"/>
    </bk>
    <bk>
      <rc t="1" v="14123"/>
    </bk>
    <bk>
      <rc t="1" v="14124"/>
    </bk>
    <bk>
      <rc t="1" v="14125"/>
    </bk>
    <bk>
      <rc t="1" v="14126"/>
    </bk>
    <bk>
      <rc t="1" v="14127"/>
    </bk>
    <bk>
      <rc t="1" v="14128"/>
    </bk>
    <bk>
      <rc t="1" v="14129"/>
    </bk>
    <bk>
      <rc t="1" v="14130"/>
    </bk>
    <bk>
      <rc t="1" v="14131"/>
    </bk>
    <bk>
      <rc t="1" v="14132"/>
    </bk>
    <bk>
      <rc t="1" v="14133"/>
    </bk>
    <bk>
      <rc t="1" v="14134"/>
    </bk>
    <bk>
      <rc t="1" v="14135"/>
    </bk>
    <bk>
      <rc t="1" v="14136"/>
    </bk>
    <bk>
      <rc t="1" v="14137"/>
    </bk>
    <bk>
      <rc t="1" v="14138"/>
    </bk>
    <bk>
      <rc t="1" v="14139"/>
    </bk>
    <bk>
      <rc t="1" v="14140"/>
    </bk>
    <bk>
      <rc t="1" v="14141"/>
    </bk>
    <bk>
      <rc t="1" v="14142"/>
    </bk>
    <bk>
      <rc t="1" v="14143"/>
    </bk>
    <bk>
      <rc t="1" v="14144"/>
    </bk>
    <bk>
      <rc t="1" v="14145"/>
    </bk>
    <bk>
      <rc t="1" v="14146"/>
    </bk>
    <bk>
      <rc t="1" v="14147"/>
    </bk>
    <bk>
      <rc t="1" v="14148"/>
    </bk>
    <bk>
      <rc t="1" v="14149"/>
    </bk>
    <bk>
      <rc t="1" v="14150"/>
    </bk>
    <bk>
      <rc t="1" v="14151"/>
    </bk>
    <bk>
      <rc t="1" v="14152"/>
    </bk>
    <bk>
      <rc t="1" v="14153"/>
    </bk>
    <bk>
      <rc t="1" v="14154"/>
    </bk>
    <bk>
      <rc t="1" v="14155"/>
    </bk>
    <bk>
      <rc t="1" v="14156"/>
    </bk>
    <bk>
      <rc t="1" v="14157"/>
    </bk>
    <bk>
      <rc t="1" v="14158"/>
    </bk>
    <bk>
      <rc t="1" v="14159"/>
    </bk>
    <bk>
      <rc t="1" v="14160"/>
    </bk>
    <bk>
      <rc t="1" v="14161"/>
    </bk>
    <bk>
      <rc t="1" v="14162"/>
    </bk>
    <bk>
      <rc t="1" v="14163"/>
    </bk>
    <bk>
      <rc t="1" v="14164"/>
    </bk>
    <bk>
      <rc t="1" v="14165"/>
    </bk>
    <bk>
      <rc t="1" v="14166"/>
    </bk>
    <bk>
      <rc t="1" v="14167"/>
    </bk>
    <bk>
      <rc t="1" v="14168"/>
    </bk>
    <bk>
      <rc t="1" v="14169"/>
    </bk>
    <bk>
      <rc t="1" v="14170"/>
    </bk>
    <bk>
      <rc t="1" v="14171"/>
    </bk>
    <bk>
      <rc t="1" v="14172"/>
    </bk>
    <bk>
      <rc t="1" v="14173"/>
    </bk>
    <bk>
      <rc t="1" v="14174"/>
    </bk>
    <bk>
      <rc t="1" v="14175"/>
    </bk>
    <bk>
      <rc t="1" v="14176"/>
    </bk>
    <bk>
      <rc t="1" v="14177"/>
    </bk>
    <bk>
      <rc t="1" v="14178"/>
    </bk>
    <bk>
      <rc t="1" v="14179"/>
    </bk>
    <bk>
      <rc t="1" v="14180"/>
    </bk>
    <bk>
      <rc t="1" v="14181"/>
    </bk>
    <bk>
      <rc t="1" v="14182"/>
    </bk>
    <bk>
      <rc t="1" v="14183"/>
    </bk>
    <bk>
      <rc t="1" v="14184"/>
    </bk>
    <bk>
      <rc t="1" v="14185"/>
    </bk>
    <bk>
      <rc t="1" v="14186"/>
    </bk>
    <bk>
      <rc t="1" v="14187"/>
    </bk>
    <bk>
      <rc t="1" v="14188"/>
    </bk>
    <bk>
      <rc t="1" v="14189"/>
    </bk>
    <bk>
      <rc t="1" v="14190"/>
    </bk>
    <bk>
      <rc t="1" v="14191"/>
    </bk>
    <bk>
      <rc t="1" v="14192"/>
    </bk>
    <bk>
      <rc t="1" v="14193"/>
    </bk>
    <bk>
      <rc t="1" v="14194"/>
    </bk>
    <bk>
      <rc t="1" v="14195"/>
    </bk>
    <bk>
      <rc t="1" v="14196"/>
    </bk>
    <bk>
      <rc t="1" v="14197"/>
    </bk>
    <bk>
      <rc t="1" v="14198"/>
    </bk>
    <bk>
      <rc t="1" v="14199"/>
    </bk>
    <bk>
      <rc t="1" v="14200"/>
    </bk>
    <bk>
      <rc t="1" v="14201"/>
    </bk>
    <bk>
      <rc t="1" v="14202"/>
    </bk>
    <bk>
      <rc t="1" v="14203"/>
    </bk>
    <bk>
      <rc t="1" v="14204"/>
    </bk>
    <bk>
      <rc t="1" v="14205"/>
    </bk>
    <bk>
      <rc t="1" v="14206"/>
    </bk>
    <bk>
      <rc t="1" v="14207"/>
    </bk>
    <bk>
      <rc t="1" v="14208"/>
    </bk>
    <bk>
      <rc t="1" v="14209"/>
    </bk>
    <bk>
      <rc t="1" v="14210"/>
    </bk>
    <bk>
      <rc t="1" v="14211"/>
    </bk>
    <bk>
      <rc t="1" v="14212"/>
    </bk>
    <bk>
      <rc t="1" v="14213"/>
    </bk>
    <bk>
      <rc t="1" v="14214"/>
    </bk>
    <bk>
      <rc t="1" v="14215"/>
    </bk>
    <bk>
      <rc t="1" v="14216"/>
    </bk>
    <bk>
      <rc t="1" v="14217"/>
    </bk>
    <bk>
      <rc t="1" v="14218"/>
    </bk>
    <bk>
      <rc t="1" v="14219"/>
    </bk>
    <bk>
      <rc t="1" v="14220"/>
    </bk>
    <bk>
      <rc t="1" v="14221"/>
    </bk>
    <bk>
      <rc t="1" v="14222"/>
    </bk>
    <bk>
      <rc t="1" v="14223"/>
    </bk>
    <bk>
      <rc t="1" v="14224"/>
    </bk>
    <bk>
      <rc t="1" v="14225"/>
    </bk>
    <bk>
      <rc t="1" v="14226"/>
    </bk>
    <bk>
      <rc t="1" v="14227"/>
    </bk>
    <bk>
      <rc t="1" v="14228"/>
    </bk>
    <bk>
      <rc t="1" v="14229"/>
    </bk>
    <bk>
      <rc t="1" v="14230"/>
    </bk>
    <bk>
      <rc t="1" v="14231"/>
    </bk>
    <bk>
      <rc t="1" v="14232"/>
    </bk>
    <bk>
      <rc t="1" v="14233"/>
    </bk>
    <bk>
      <rc t="1" v="14234"/>
    </bk>
    <bk>
      <rc t="1" v="14235"/>
    </bk>
    <bk>
      <rc t="1" v="14236"/>
    </bk>
    <bk>
      <rc t="1" v="14237"/>
    </bk>
    <bk>
      <rc t="1" v="14238"/>
    </bk>
    <bk>
      <rc t="1" v="14239"/>
    </bk>
    <bk>
      <rc t="1" v="14240"/>
    </bk>
    <bk>
      <rc t="1" v="14241"/>
    </bk>
    <bk>
      <rc t="1" v="14242"/>
    </bk>
    <bk>
      <rc t="1" v="14243"/>
    </bk>
    <bk>
      <rc t="1" v="14244"/>
    </bk>
    <bk>
      <rc t="1" v="14245"/>
    </bk>
    <bk>
      <rc t="1" v="14246"/>
    </bk>
    <bk>
      <rc t="1" v="14247"/>
    </bk>
    <bk>
      <rc t="1" v="14248"/>
    </bk>
    <bk>
      <rc t="1" v="14249"/>
    </bk>
    <bk>
      <rc t="1" v="14250"/>
    </bk>
    <bk>
      <rc t="1" v="14251"/>
    </bk>
    <bk>
      <rc t="1" v="14252"/>
    </bk>
    <bk>
      <rc t="1" v="14253"/>
    </bk>
    <bk>
      <rc t="1" v="14254"/>
    </bk>
    <bk>
      <rc t="1" v="14255"/>
    </bk>
    <bk>
      <rc t="1" v="14256"/>
    </bk>
    <bk>
      <rc t="1" v="14257"/>
    </bk>
    <bk>
      <rc t="1" v="14258"/>
    </bk>
    <bk>
      <rc t="1" v="14259"/>
    </bk>
    <bk>
      <rc t="1" v="14260"/>
    </bk>
    <bk>
      <rc t="1" v="14261"/>
    </bk>
    <bk>
      <rc t="1" v="14262"/>
    </bk>
    <bk>
      <rc t="1" v="14263"/>
    </bk>
    <bk>
      <rc t="1" v="14264"/>
    </bk>
    <bk>
      <rc t="1" v="14265"/>
    </bk>
    <bk>
      <rc t="1" v="14266"/>
    </bk>
    <bk>
      <rc t="1" v="14267"/>
    </bk>
    <bk>
      <rc t="1" v="14268"/>
    </bk>
    <bk>
      <rc t="1" v="14269"/>
    </bk>
    <bk>
      <rc t="1" v="14270"/>
    </bk>
    <bk>
      <rc t="1" v="14271"/>
    </bk>
    <bk>
      <rc t="1" v="14272"/>
    </bk>
    <bk>
      <rc t="1" v="14273"/>
    </bk>
    <bk>
      <rc t="1" v="14274"/>
    </bk>
    <bk>
      <rc t="1" v="14275"/>
    </bk>
    <bk>
      <rc t="1" v="14276"/>
    </bk>
    <bk>
      <rc t="1" v="14277"/>
    </bk>
    <bk>
      <rc t="1" v="14278"/>
    </bk>
    <bk>
      <rc t="1" v="14279"/>
    </bk>
    <bk>
      <rc t="1" v="14280"/>
    </bk>
    <bk>
      <rc t="1" v="14281"/>
    </bk>
    <bk>
      <rc t="1" v="14282"/>
    </bk>
    <bk>
      <rc t="1" v="14283"/>
    </bk>
    <bk>
      <rc t="1" v="14284"/>
    </bk>
    <bk>
      <rc t="1" v="14285"/>
    </bk>
    <bk>
      <rc t="1" v="14286"/>
    </bk>
    <bk>
      <rc t="1" v="14287"/>
    </bk>
    <bk>
      <rc t="1" v="14288"/>
    </bk>
    <bk>
      <rc t="1" v="14289"/>
    </bk>
    <bk>
      <rc t="1" v="14290"/>
    </bk>
    <bk>
      <rc t="1" v="14291"/>
    </bk>
    <bk>
      <rc t="1" v="14292"/>
    </bk>
    <bk>
      <rc t="1" v="14293"/>
    </bk>
    <bk>
      <rc t="1" v="14294"/>
    </bk>
    <bk>
      <rc t="1" v="14295"/>
    </bk>
    <bk>
      <rc t="1" v="14296"/>
    </bk>
    <bk>
      <rc t="1" v="14297"/>
    </bk>
    <bk>
      <rc t="1" v="14298"/>
    </bk>
    <bk>
      <rc t="1" v="14299"/>
    </bk>
    <bk>
      <rc t="1" v="14300"/>
    </bk>
    <bk>
      <rc t="1" v="14301"/>
    </bk>
    <bk>
      <rc t="1" v="14302"/>
    </bk>
    <bk>
      <rc t="1" v="14303"/>
    </bk>
    <bk>
      <rc t="1" v="14304"/>
    </bk>
    <bk>
      <rc t="1" v="14305"/>
    </bk>
    <bk>
      <rc t="1" v="14306"/>
    </bk>
    <bk>
      <rc t="1" v="14307"/>
    </bk>
    <bk>
      <rc t="1" v="14308"/>
    </bk>
    <bk>
      <rc t="1" v="14309"/>
    </bk>
    <bk>
      <rc t="1" v="14310"/>
    </bk>
    <bk>
      <rc t="1" v="14311"/>
    </bk>
    <bk>
      <rc t="1" v="14312"/>
    </bk>
    <bk>
      <rc t="1" v="14313"/>
    </bk>
    <bk>
      <rc t="1" v="14314"/>
    </bk>
    <bk>
      <rc t="1" v="14315"/>
    </bk>
    <bk>
      <rc t="1" v="14316"/>
    </bk>
    <bk>
      <rc t="1" v="14317"/>
    </bk>
    <bk>
      <rc t="1" v="14318"/>
    </bk>
    <bk>
      <rc t="1" v="14319"/>
    </bk>
    <bk>
      <rc t="1" v="14320"/>
    </bk>
    <bk>
      <rc t="1" v="14321"/>
    </bk>
    <bk>
      <rc t="1" v="14322"/>
    </bk>
    <bk>
      <rc t="1" v="14323"/>
    </bk>
    <bk>
      <rc t="1" v="14324"/>
    </bk>
    <bk>
      <rc t="1" v="14325"/>
    </bk>
    <bk>
      <rc t="1" v="14326"/>
    </bk>
    <bk>
      <rc t="1" v="14327"/>
    </bk>
    <bk>
      <rc t="1" v="14328"/>
    </bk>
    <bk>
      <rc t="1" v="14329"/>
    </bk>
    <bk>
      <rc t="1" v="14330"/>
    </bk>
    <bk>
      <rc t="1" v="14331"/>
    </bk>
    <bk>
      <rc t="1" v="14332"/>
    </bk>
    <bk>
      <rc t="1" v="14333"/>
    </bk>
    <bk>
      <rc t="1" v="14334"/>
    </bk>
    <bk>
      <rc t="1" v="14335"/>
    </bk>
    <bk>
      <rc t="1" v="14336"/>
    </bk>
    <bk>
      <rc t="1" v="14337"/>
    </bk>
    <bk>
      <rc t="1" v="14338"/>
    </bk>
    <bk>
      <rc t="1" v="14339"/>
    </bk>
    <bk>
      <rc t="1" v="14340"/>
    </bk>
    <bk>
      <rc t="1" v="14341"/>
    </bk>
    <bk>
      <rc t="1" v="14342"/>
    </bk>
    <bk>
      <rc t="1" v="14343"/>
    </bk>
    <bk>
      <rc t="1" v="14344"/>
    </bk>
    <bk>
      <rc t="1" v="14345"/>
    </bk>
    <bk>
      <rc t="1" v="14346"/>
    </bk>
    <bk>
      <rc t="1" v="14347"/>
    </bk>
    <bk>
      <rc t="1" v="14348"/>
    </bk>
    <bk>
      <rc t="1" v="14349"/>
    </bk>
    <bk>
      <rc t="1" v="14350"/>
    </bk>
    <bk>
      <rc t="1" v="14351"/>
    </bk>
    <bk>
      <rc t="1" v="14352"/>
    </bk>
    <bk>
      <rc t="1" v="14353"/>
    </bk>
    <bk>
      <rc t="1" v="14354"/>
    </bk>
    <bk>
      <rc t="1" v="14355"/>
    </bk>
    <bk>
      <rc t="1" v="14356"/>
    </bk>
    <bk>
      <rc t="1" v="14357"/>
    </bk>
    <bk>
      <rc t="1" v="14358"/>
    </bk>
    <bk>
      <rc t="1" v="14359"/>
    </bk>
    <bk>
      <rc t="1" v="14360"/>
    </bk>
    <bk>
      <rc t="1" v="14361"/>
    </bk>
    <bk>
      <rc t="1" v="14362"/>
    </bk>
    <bk>
      <rc t="1" v="14363"/>
    </bk>
    <bk>
      <rc t="1" v="14364"/>
    </bk>
    <bk>
      <rc t="1" v="14365"/>
    </bk>
    <bk>
      <rc t="1" v="14366"/>
    </bk>
    <bk>
      <rc t="1" v="14367"/>
    </bk>
    <bk>
      <rc t="1" v="14368"/>
    </bk>
    <bk>
      <rc t="1" v="14369"/>
    </bk>
    <bk>
      <rc t="1" v="14370"/>
    </bk>
    <bk>
      <rc t="1" v="14371"/>
    </bk>
    <bk>
      <rc t="1" v="14372"/>
    </bk>
    <bk>
      <rc t="1" v="14373"/>
    </bk>
    <bk>
      <rc t="1" v="14374"/>
    </bk>
    <bk>
      <rc t="1" v="14375"/>
    </bk>
    <bk>
      <rc t="1" v="14376"/>
    </bk>
    <bk>
      <rc t="1" v="14377"/>
    </bk>
    <bk>
      <rc t="1" v="14378"/>
    </bk>
    <bk>
      <rc t="1" v="14379"/>
    </bk>
    <bk>
      <rc t="1" v="14380"/>
    </bk>
    <bk>
      <rc t="1" v="14381"/>
    </bk>
    <bk>
      <rc t="1" v="14382"/>
    </bk>
    <bk>
      <rc t="1" v="14383"/>
    </bk>
    <bk>
      <rc t="1" v="14384"/>
    </bk>
    <bk>
      <rc t="1" v="14385"/>
    </bk>
    <bk>
      <rc t="1" v="14386"/>
    </bk>
    <bk>
      <rc t="1" v="14387"/>
    </bk>
    <bk>
      <rc t="1" v="14388"/>
    </bk>
    <bk>
      <rc t="1" v="14389"/>
    </bk>
    <bk>
      <rc t="1" v="14390"/>
    </bk>
    <bk>
      <rc t="1" v="14391"/>
    </bk>
    <bk>
      <rc t="1" v="14392"/>
    </bk>
    <bk>
      <rc t="1" v="14393"/>
    </bk>
    <bk>
      <rc t="1" v="14394"/>
    </bk>
    <bk>
      <rc t="1" v="14395"/>
    </bk>
    <bk>
      <rc t="1" v="14396"/>
    </bk>
    <bk>
      <rc t="1" v="14397"/>
    </bk>
    <bk>
      <rc t="1" v="14398"/>
    </bk>
    <bk>
      <rc t="1" v="14399"/>
    </bk>
    <bk>
      <rc t="1" v="14400"/>
    </bk>
    <bk>
      <rc t="1" v="14401"/>
    </bk>
    <bk>
      <rc t="1" v="14402"/>
    </bk>
    <bk>
      <rc t="1" v="14403"/>
    </bk>
    <bk>
      <rc t="1" v="14404"/>
    </bk>
    <bk>
      <rc t="1" v="14405"/>
    </bk>
    <bk>
      <rc t="1" v="14406"/>
    </bk>
    <bk>
      <rc t="1" v="14407"/>
    </bk>
    <bk>
      <rc t="1" v="14408"/>
    </bk>
    <bk>
      <rc t="1" v="14409"/>
    </bk>
    <bk>
      <rc t="1" v="14410"/>
    </bk>
    <bk>
      <rc t="1" v="14411"/>
    </bk>
    <bk>
      <rc t="1" v="14412"/>
    </bk>
    <bk>
      <rc t="1" v="14413"/>
    </bk>
    <bk>
      <rc t="1" v="14414"/>
    </bk>
    <bk>
      <rc t="1" v="14415"/>
    </bk>
    <bk>
      <rc t="1" v="14416"/>
    </bk>
    <bk>
      <rc t="1" v="14417"/>
    </bk>
    <bk>
      <rc t="1" v="14418"/>
    </bk>
    <bk>
      <rc t="1" v="14419"/>
    </bk>
    <bk>
      <rc t="1" v="14420"/>
    </bk>
    <bk>
      <rc t="1" v="14421"/>
    </bk>
    <bk>
      <rc t="1" v="14422"/>
    </bk>
    <bk>
      <rc t="1" v="14423"/>
    </bk>
    <bk>
      <rc t="1" v="14424"/>
    </bk>
    <bk>
      <rc t="1" v="14425"/>
    </bk>
    <bk>
      <rc t="1" v="14426"/>
    </bk>
    <bk>
      <rc t="1" v="14427"/>
    </bk>
    <bk>
      <rc t="1" v="14428"/>
    </bk>
    <bk>
      <rc t="1" v="14429"/>
    </bk>
    <bk>
      <rc t="1" v="14430"/>
    </bk>
    <bk>
      <rc t="1" v="14431"/>
    </bk>
    <bk>
      <rc t="1" v="14432"/>
    </bk>
    <bk>
      <rc t="1" v="14433"/>
    </bk>
    <bk>
      <rc t="1" v="14434"/>
    </bk>
    <bk>
      <rc t="1" v="14435"/>
    </bk>
    <bk>
      <rc t="1" v="14436"/>
    </bk>
    <bk>
      <rc t="1" v="14437"/>
    </bk>
    <bk>
      <rc t="1" v="14438"/>
    </bk>
    <bk>
      <rc t="1" v="14439"/>
    </bk>
    <bk>
      <rc t="1" v="14440"/>
    </bk>
    <bk>
      <rc t="1" v="14441"/>
    </bk>
    <bk>
      <rc t="1" v="14442"/>
    </bk>
    <bk>
      <rc t="1" v="14443"/>
    </bk>
    <bk>
      <rc t="1" v="14444"/>
    </bk>
    <bk>
      <rc t="1" v="14445"/>
    </bk>
    <bk>
      <rc t="1" v="14446"/>
    </bk>
    <bk>
      <rc t="1" v="14447"/>
    </bk>
    <bk>
      <rc t="1" v="14448"/>
    </bk>
    <bk>
      <rc t="1" v="14449"/>
    </bk>
    <bk>
      <rc t="1" v="14450"/>
    </bk>
    <bk>
      <rc t="1" v="14451"/>
    </bk>
    <bk>
      <rc t="1" v="14452"/>
    </bk>
    <bk>
      <rc t="1" v="14453"/>
    </bk>
    <bk>
      <rc t="1" v="14454"/>
    </bk>
    <bk>
      <rc t="1" v="14455"/>
    </bk>
    <bk>
      <rc t="1" v="14456"/>
    </bk>
    <bk>
      <rc t="1" v="14457"/>
    </bk>
    <bk>
      <rc t="1" v="14458"/>
    </bk>
    <bk>
      <rc t="1" v="14459"/>
    </bk>
    <bk>
      <rc t="1" v="14460"/>
    </bk>
    <bk>
      <rc t="1" v="14461"/>
    </bk>
    <bk>
      <rc t="1" v="14462"/>
    </bk>
    <bk>
      <rc t="1" v="14463"/>
    </bk>
    <bk>
      <rc t="1" v="14464"/>
    </bk>
    <bk>
      <rc t="1" v="14465"/>
    </bk>
    <bk>
      <rc t="1" v="14466"/>
    </bk>
    <bk>
      <rc t="1" v="14467"/>
    </bk>
    <bk>
      <rc t="1" v="14468"/>
    </bk>
    <bk>
      <rc t="1" v="14469"/>
    </bk>
    <bk>
      <rc t="1" v="14470"/>
    </bk>
    <bk>
      <rc t="1" v="14471"/>
    </bk>
    <bk>
      <rc t="1" v="14472"/>
    </bk>
    <bk>
      <rc t="1" v="14473"/>
    </bk>
    <bk>
      <rc t="1" v="14474"/>
    </bk>
    <bk>
      <rc t="1" v="14475"/>
    </bk>
    <bk>
      <rc t="1" v="14476"/>
    </bk>
    <bk>
      <rc t="1" v="14477"/>
    </bk>
    <bk>
      <rc t="1" v="14478"/>
    </bk>
    <bk>
      <rc t="1" v="14479"/>
    </bk>
    <bk>
      <rc t="1" v="14480"/>
    </bk>
    <bk>
      <rc t="1" v="14481"/>
    </bk>
    <bk>
      <rc t="1" v="14482"/>
    </bk>
    <bk>
      <rc t="1" v="14483"/>
    </bk>
    <bk>
      <rc t="1" v="14484"/>
    </bk>
    <bk>
      <rc t="1" v="14485"/>
    </bk>
    <bk>
      <rc t="1" v="14486"/>
    </bk>
    <bk>
      <rc t="1" v="14487"/>
    </bk>
    <bk>
      <rc t="1" v="14488"/>
    </bk>
    <bk>
      <rc t="1" v="14489"/>
    </bk>
    <bk>
      <rc t="1" v="14490"/>
    </bk>
    <bk>
      <rc t="1" v="14491"/>
    </bk>
    <bk>
      <rc t="1" v="14492"/>
    </bk>
    <bk>
      <rc t="1" v="14493"/>
    </bk>
    <bk>
      <rc t="1" v="14494"/>
    </bk>
    <bk>
      <rc t="1" v="14495"/>
    </bk>
    <bk>
      <rc t="1" v="14496"/>
    </bk>
    <bk>
      <rc t="1" v="14497"/>
    </bk>
    <bk>
      <rc t="1" v="14498"/>
    </bk>
    <bk>
      <rc t="1" v="14499"/>
    </bk>
    <bk>
      <rc t="1" v="14500"/>
    </bk>
    <bk>
      <rc t="1" v="14501"/>
    </bk>
    <bk>
      <rc t="1" v="14502"/>
    </bk>
    <bk>
      <rc t="1" v="14503"/>
    </bk>
    <bk>
      <rc t="1" v="14504"/>
    </bk>
    <bk>
      <rc t="1" v="14505"/>
    </bk>
    <bk>
      <rc t="1" v="14506"/>
    </bk>
    <bk>
      <rc t="1" v="14507"/>
    </bk>
    <bk>
      <rc t="1" v="14508"/>
    </bk>
    <bk>
      <rc t="1" v="14509"/>
    </bk>
    <bk>
      <rc t="1" v="14510"/>
    </bk>
    <bk>
      <rc t="1" v="14511"/>
    </bk>
    <bk>
      <rc t="1" v="14512"/>
    </bk>
    <bk>
      <rc t="1" v="14513"/>
    </bk>
    <bk>
      <rc t="1" v="14514"/>
    </bk>
    <bk>
      <rc t="1" v="14515"/>
    </bk>
    <bk>
      <rc t="1" v="14516"/>
    </bk>
    <bk>
      <rc t="1" v="14517"/>
    </bk>
    <bk>
      <rc t="1" v="14518"/>
    </bk>
    <bk>
      <rc t="1" v="14519"/>
    </bk>
    <bk>
      <rc t="1" v="14520"/>
    </bk>
    <bk>
      <rc t="1" v="14521"/>
    </bk>
    <bk>
      <rc t="1" v="14522"/>
    </bk>
    <bk>
      <rc t="1" v="14523"/>
    </bk>
    <bk>
      <rc t="1" v="14524"/>
    </bk>
    <bk>
      <rc t="1" v="14525"/>
    </bk>
    <bk>
      <rc t="1" v="14526"/>
    </bk>
    <bk>
      <rc t="1" v="14527"/>
    </bk>
    <bk>
      <rc t="1" v="14528"/>
    </bk>
    <bk>
      <rc t="1" v="14529"/>
    </bk>
    <bk>
      <rc t="1" v="14530"/>
    </bk>
    <bk>
      <rc t="1" v="14531"/>
    </bk>
    <bk>
      <rc t="1" v="14532"/>
    </bk>
    <bk>
      <rc t="1" v="14533"/>
    </bk>
    <bk>
      <rc t="1" v="14534"/>
    </bk>
    <bk>
      <rc t="1" v="14535"/>
    </bk>
    <bk>
      <rc t="1" v="14536"/>
    </bk>
    <bk>
      <rc t="1" v="14537"/>
    </bk>
    <bk>
      <rc t="1" v="14538"/>
    </bk>
    <bk>
      <rc t="1" v="14539"/>
    </bk>
    <bk>
      <rc t="1" v="14540"/>
    </bk>
    <bk>
      <rc t="1" v="14541"/>
    </bk>
    <bk>
      <rc t="1" v="14542"/>
    </bk>
    <bk>
      <rc t="1" v="14543"/>
    </bk>
    <bk>
      <rc t="1" v="14544"/>
    </bk>
    <bk>
      <rc t="1" v="14545"/>
    </bk>
    <bk>
      <rc t="1" v="14546"/>
    </bk>
    <bk>
      <rc t="1" v="14547"/>
    </bk>
    <bk>
      <rc t="1" v="14548"/>
    </bk>
    <bk>
      <rc t="1" v="14549"/>
    </bk>
    <bk>
      <rc t="1" v="14550"/>
    </bk>
    <bk>
      <rc t="1" v="14551"/>
    </bk>
    <bk>
      <rc t="1" v="14552"/>
    </bk>
    <bk>
      <rc t="1" v="14553"/>
    </bk>
    <bk>
      <rc t="1" v="14554"/>
    </bk>
    <bk>
      <rc t="1" v="14555"/>
    </bk>
    <bk>
      <rc t="1" v="14556"/>
    </bk>
    <bk>
      <rc t="1" v="14557"/>
    </bk>
    <bk>
      <rc t="1" v="14558"/>
    </bk>
    <bk>
      <rc t="1" v="14559"/>
    </bk>
    <bk>
      <rc t="1" v="14560"/>
    </bk>
    <bk>
      <rc t="1" v="14561"/>
    </bk>
    <bk>
      <rc t="1" v="14562"/>
    </bk>
    <bk>
      <rc t="1" v="14563"/>
    </bk>
    <bk>
      <rc t="1" v="14564"/>
    </bk>
    <bk>
      <rc t="1" v="14565"/>
    </bk>
    <bk>
      <rc t="1" v="14566"/>
    </bk>
    <bk>
      <rc t="1" v="14567"/>
    </bk>
    <bk>
      <rc t="1" v="14568"/>
    </bk>
    <bk>
      <rc t="1" v="14569"/>
    </bk>
    <bk>
      <rc t="1" v="14570"/>
    </bk>
    <bk>
      <rc t="1" v="14571"/>
    </bk>
    <bk>
      <rc t="1" v="14572"/>
    </bk>
    <bk>
      <rc t="1" v="14573"/>
    </bk>
    <bk>
      <rc t="1" v="14574"/>
    </bk>
    <bk>
      <rc t="1" v="14575"/>
    </bk>
    <bk>
      <rc t="1" v="14576"/>
    </bk>
    <bk>
      <rc t="1" v="14577"/>
    </bk>
    <bk>
      <rc t="1" v="14578"/>
    </bk>
    <bk>
      <rc t="1" v="14579"/>
    </bk>
    <bk>
      <rc t="1" v="14580"/>
    </bk>
    <bk>
      <rc t="1" v="14581"/>
    </bk>
    <bk>
      <rc t="1" v="14582"/>
    </bk>
    <bk>
      <rc t="1" v="14583"/>
    </bk>
    <bk>
      <rc t="1" v="14584"/>
    </bk>
    <bk>
      <rc t="1" v="14585"/>
    </bk>
    <bk>
      <rc t="1" v="14586"/>
    </bk>
    <bk>
      <rc t="1" v="14587"/>
    </bk>
    <bk>
      <rc t="1" v="14588"/>
    </bk>
    <bk>
      <rc t="1" v="14589"/>
    </bk>
    <bk>
      <rc t="1" v="14590"/>
    </bk>
    <bk>
      <rc t="1" v="14591"/>
    </bk>
    <bk>
      <rc t="1" v="14592"/>
    </bk>
    <bk>
      <rc t="1" v="14593"/>
    </bk>
    <bk>
      <rc t="1" v="14594"/>
    </bk>
    <bk>
      <rc t="1" v="14595"/>
    </bk>
    <bk>
      <rc t="1" v="14596"/>
    </bk>
    <bk>
      <rc t="1" v="14597"/>
    </bk>
    <bk>
      <rc t="1" v="14598"/>
    </bk>
    <bk>
      <rc t="1" v="14599"/>
    </bk>
    <bk>
      <rc t="1" v="14600"/>
    </bk>
    <bk>
      <rc t="1" v="14601"/>
    </bk>
    <bk>
      <rc t="1" v="14602"/>
    </bk>
    <bk>
      <rc t="1" v="14603"/>
    </bk>
    <bk>
      <rc t="1" v="14604"/>
    </bk>
    <bk>
      <rc t="1" v="14605"/>
    </bk>
    <bk>
      <rc t="1" v="14606"/>
    </bk>
    <bk>
      <rc t="1" v="14607"/>
    </bk>
    <bk>
      <rc t="1" v="14608"/>
    </bk>
    <bk>
      <rc t="1" v="14609"/>
    </bk>
    <bk>
      <rc t="1" v="14610"/>
    </bk>
    <bk>
      <rc t="1" v="14611"/>
    </bk>
    <bk>
      <rc t="1" v="14612"/>
    </bk>
    <bk>
      <rc t="1" v="14613"/>
    </bk>
    <bk>
      <rc t="1" v="14614"/>
    </bk>
    <bk>
      <rc t="1" v="14615"/>
    </bk>
    <bk>
      <rc t="1" v="14616"/>
    </bk>
    <bk>
      <rc t="1" v="14617"/>
    </bk>
    <bk>
      <rc t="1" v="14618"/>
    </bk>
    <bk>
      <rc t="1" v="14619"/>
    </bk>
    <bk>
      <rc t="1" v="14620"/>
    </bk>
    <bk>
      <rc t="1" v="14621"/>
    </bk>
    <bk>
      <rc t="1" v="14622"/>
    </bk>
    <bk>
      <rc t="1" v="14623"/>
    </bk>
    <bk>
      <rc t="1" v="14624"/>
    </bk>
    <bk>
      <rc t="1" v="14625"/>
    </bk>
    <bk>
      <rc t="1" v="14626"/>
    </bk>
    <bk>
      <rc t="1" v="14627"/>
    </bk>
    <bk>
      <rc t="1" v="14628"/>
    </bk>
    <bk>
      <rc t="1" v="14629"/>
    </bk>
    <bk>
      <rc t="1" v="14630"/>
    </bk>
    <bk>
      <rc t="1" v="14631"/>
    </bk>
    <bk>
      <rc t="1" v="14632"/>
    </bk>
    <bk>
      <rc t="1" v="14633"/>
    </bk>
    <bk>
      <rc t="1" v="14634"/>
    </bk>
    <bk>
      <rc t="1" v="14635"/>
    </bk>
    <bk>
      <rc t="1" v="14636"/>
    </bk>
    <bk>
      <rc t="1" v="14637"/>
    </bk>
    <bk>
      <rc t="1" v="14638"/>
    </bk>
    <bk>
      <rc t="1" v="14639"/>
    </bk>
    <bk>
      <rc t="1" v="14640"/>
    </bk>
    <bk>
      <rc t="1" v="14641"/>
    </bk>
    <bk>
      <rc t="1" v="14642"/>
    </bk>
    <bk>
      <rc t="1" v="14643"/>
    </bk>
    <bk>
      <rc t="1" v="14644"/>
    </bk>
    <bk>
      <rc t="1" v="14645"/>
    </bk>
    <bk>
      <rc t="1" v="14646"/>
    </bk>
    <bk>
      <rc t="1" v="14647"/>
    </bk>
    <bk>
      <rc t="1" v="14648"/>
    </bk>
    <bk>
      <rc t="1" v="14649"/>
    </bk>
    <bk>
      <rc t="1" v="14650"/>
    </bk>
    <bk>
      <rc t="1" v="14651"/>
    </bk>
    <bk>
      <rc t="1" v="14652"/>
    </bk>
    <bk>
      <rc t="1" v="14653"/>
    </bk>
    <bk>
      <rc t="1" v="14654"/>
    </bk>
    <bk>
      <rc t="1" v="14655"/>
    </bk>
    <bk>
      <rc t="1" v="14656"/>
    </bk>
    <bk>
      <rc t="1" v="14657"/>
    </bk>
    <bk>
      <rc t="1" v="14658"/>
    </bk>
    <bk>
      <rc t="1" v="14659"/>
    </bk>
    <bk>
      <rc t="1" v="14660"/>
    </bk>
    <bk>
      <rc t="1" v="14661"/>
    </bk>
    <bk>
      <rc t="1" v="14662"/>
    </bk>
    <bk>
      <rc t="1" v="14663"/>
    </bk>
    <bk>
      <rc t="1" v="14664"/>
    </bk>
    <bk>
      <rc t="1" v="14665"/>
    </bk>
    <bk>
      <rc t="1" v="14666"/>
    </bk>
    <bk>
      <rc t="1" v="14667"/>
    </bk>
    <bk>
      <rc t="1" v="14668"/>
    </bk>
    <bk>
      <rc t="1" v="14669"/>
    </bk>
    <bk>
      <rc t="1" v="14670"/>
    </bk>
    <bk>
      <rc t="1" v="14671"/>
    </bk>
    <bk>
      <rc t="1" v="14672"/>
    </bk>
    <bk>
      <rc t="1" v="14673"/>
    </bk>
    <bk>
      <rc t="1" v="14674"/>
    </bk>
    <bk>
      <rc t="1" v="14675"/>
    </bk>
    <bk>
      <rc t="1" v="14676"/>
    </bk>
    <bk>
      <rc t="1" v="14677"/>
    </bk>
    <bk>
      <rc t="1" v="14678"/>
    </bk>
    <bk>
      <rc t="1" v="14679"/>
    </bk>
    <bk>
      <rc t="1" v="14680"/>
    </bk>
    <bk>
      <rc t="1" v="14681"/>
    </bk>
    <bk>
      <rc t="1" v="14682"/>
    </bk>
    <bk>
      <rc t="1" v="14683"/>
    </bk>
    <bk>
      <rc t="1" v="14684"/>
    </bk>
    <bk>
      <rc t="1" v="14685"/>
    </bk>
    <bk>
      <rc t="1" v="14686"/>
    </bk>
    <bk>
      <rc t="1" v="14687"/>
    </bk>
    <bk>
      <rc t="1" v="14688"/>
    </bk>
    <bk>
      <rc t="1" v="14689"/>
    </bk>
    <bk>
      <rc t="1" v="14690"/>
    </bk>
    <bk>
      <rc t="1" v="14691"/>
    </bk>
    <bk>
      <rc t="1" v="14692"/>
    </bk>
    <bk>
      <rc t="1" v="14693"/>
    </bk>
    <bk>
      <rc t="1" v="14694"/>
    </bk>
    <bk>
      <rc t="1" v="14695"/>
    </bk>
    <bk>
      <rc t="1" v="14696"/>
    </bk>
    <bk>
      <rc t="1" v="14697"/>
    </bk>
    <bk>
      <rc t="1" v="14698"/>
    </bk>
    <bk>
      <rc t="1" v="14699"/>
    </bk>
    <bk>
      <rc t="1" v="14700"/>
    </bk>
    <bk>
      <rc t="1" v="14701"/>
    </bk>
    <bk>
      <rc t="1" v="14702"/>
    </bk>
    <bk>
      <rc t="1" v="14703"/>
    </bk>
    <bk>
      <rc t="1" v="14704"/>
    </bk>
    <bk>
      <rc t="1" v="14705"/>
    </bk>
    <bk>
      <rc t="1" v="14706"/>
    </bk>
    <bk>
      <rc t="1" v="14707"/>
    </bk>
    <bk>
      <rc t="1" v="14708"/>
    </bk>
    <bk>
      <rc t="1" v="14709"/>
    </bk>
    <bk>
      <rc t="1" v="14710"/>
    </bk>
    <bk>
      <rc t="1" v="14711"/>
    </bk>
    <bk>
      <rc t="1" v="14712"/>
    </bk>
    <bk>
      <rc t="1" v="14713"/>
    </bk>
    <bk>
      <rc t="1" v="14714"/>
    </bk>
    <bk>
      <rc t="1" v="14715"/>
    </bk>
    <bk>
      <rc t="1" v="14716"/>
    </bk>
    <bk>
      <rc t="1" v="14717"/>
    </bk>
    <bk>
      <rc t="1" v="14718"/>
    </bk>
    <bk>
      <rc t="1" v="14719"/>
    </bk>
    <bk>
      <rc t="1" v="14720"/>
    </bk>
    <bk>
      <rc t="1" v="14721"/>
    </bk>
    <bk>
      <rc t="1" v="14722"/>
    </bk>
    <bk>
      <rc t="1" v="14723"/>
    </bk>
    <bk>
      <rc t="1" v="14724"/>
    </bk>
    <bk>
      <rc t="1" v="14725"/>
    </bk>
    <bk>
      <rc t="1" v="14726"/>
    </bk>
    <bk>
      <rc t="1" v="14727"/>
    </bk>
    <bk>
      <rc t="1" v="14728"/>
    </bk>
    <bk>
      <rc t="1" v="14729"/>
    </bk>
    <bk>
      <rc t="1" v="14730"/>
    </bk>
    <bk>
      <rc t="1" v="14731"/>
    </bk>
    <bk>
      <rc t="1" v="14732"/>
    </bk>
    <bk>
      <rc t="1" v="14733"/>
    </bk>
    <bk>
      <rc t="1" v="14734"/>
    </bk>
    <bk>
      <rc t="1" v="14735"/>
    </bk>
    <bk>
      <rc t="1" v="14736"/>
    </bk>
    <bk>
      <rc t="1" v="14737"/>
    </bk>
    <bk>
      <rc t="1" v="14738"/>
    </bk>
    <bk>
      <rc t="1" v="14739"/>
    </bk>
    <bk>
      <rc t="1" v="14740"/>
    </bk>
    <bk>
      <rc t="1" v="14741"/>
    </bk>
    <bk>
      <rc t="1" v="14742"/>
    </bk>
    <bk>
      <rc t="1" v="14743"/>
    </bk>
    <bk>
      <rc t="1" v="14744"/>
    </bk>
    <bk>
      <rc t="1" v="14745"/>
    </bk>
    <bk>
      <rc t="1" v="14746"/>
    </bk>
    <bk>
      <rc t="1" v="14747"/>
    </bk>
    <bk>
      <rc t="1" v="14748"/>
    </bk>
    <bk>
      <rc t="1" v="14749"/>
    </bk>
    <bk>
      <rc t="1" v="14750"/>
    </bk>
    <bk>
      <rc t="1" v="14751"/>
    </bk>
    <bk>
      <rc t="1" v="14752"/>
    </bk>
    <bk>
      <rc t="1" v="14753"/>
    </bk>
    <bk>
      <rc t="1" v="14754"/>
    </bk>
    <bk>
      <rc t="1" v="14755"/>
    </bk>
    <bk>
      <rc t="1" v="14756"/>
    </bk>
    <bk>
      <rc t="1" v="14757"/>
    </bk>
    <bk>
      <rc t="1" v="14758"/>
    </bk>
    <bk>
      <rc t="1" v="14759"/>
    </bk>
    <bk>
      <rc t="1" v="14760"/>
    </bk>
    <bk>
      <rc t="1" v="14761"/>
    </bk>
    <bk>
      <rc t="1" v="14762"/>
    </bk>
    <bk>
      <rc t="1" v="14763"/>
    </bk>
    <bk>
      <rc t="1" v="14764"/>
    </bk>
    <bk>
      <rc t="1" v="14765"/>
    </bk>
    <bk>
      <rc t="1" v="14766"/>
    </bk>
    <bk>
      <rc t="1" v="14767"/>
    </bk>
    <bk>
      <rc t="1" v="14768"/>
    </bk>
    <bk>
      <rc t="1" v="14769"/>
    </bk>
    <bk>
      <rc t="1" v="14770"/>
    </bk>
    <bk>
      <rc t="1" v="14771"/>
    </bk>
    <bk>
      <rc t="1" v="14772"/>
    </bk>
    <bk>
      <rc t="1" v="14773"/>
    </bk>
    <bk>
      <rc t="1" v="14774"/>
    </bk>
    <bk>
      <rc t="1" v="14775"/>
    </bk>
    <bk>
      <rc t="1" v="14776"/>
    </bk>
    <bk>
      <rc t="1" v="14777"/>
    </bk>
    <bk>
      <rc t="1" v="14778"/>
    </bk>
    <bk>
      <rc t="1" v="14779"/>
    </bk>
    <bk>
      <rc t="1" v="14780"/>
    </bk>
    <bk>
      <rc t="1" v="14781"/>
    </bk>
    <bk>
      <rc t="1" v="14782"/>
    </bk>
    <bk>
      <rc t="1" v="14783"/>
    </bk>
    <bk>
      <rc t="1" v="14784"/>
    </bk>
    <bk>
      <rc t="1" v="14785"/>
    </bk>
    <bk>
      <rc t="1" v="14786"/>
    </bk>
    <bk>
      <rc t="1" v="14787"/>
    </bk>
    <bk>
      <rc t="1" v="14788"/>
    </bk>
    <bk>
      <rc t="1" v="14789"/>
    </bk>
    <bk>
      <rc t="1" v="14790"/>
    </bk>
    <bk>
      <rc t="1" v="14791"/>
    </bk>
    <bk>
      <rc t="1" v="14792"/>
    </bk>
    <bk>
      <rc t="1" v="14793"/>
    </bk>
    <bk>
      <rc t="1" v="14794"/>
    </bk>
    <bk>
      <rc t="1" v="14795"/>
    </bk>
    <bk>
      <rc t="1" v="14796"/>
    </bk>
    <bk>
      <rc t="1" v="14797"/>
    </bk>
    <bk>
      <rc t="1" v="14798"/>
    </bk>
    <bk>
      <rc t="1" v="14799"/>
    </bk>
    <bk>
      <rc t="1" v="14800"/>
    </bk>
    <bk>
      <rc t="1" v="14801"/>
    </bk>
    <bk>
      <rc t="1" v="14802"/>
    </bk>
    <bk>
      <rc t="1" v="14803"/>
    </bk>
    <bk>
      <rc t="1" v="14804"/>
    </bk>
    <bk>
      <rc t="1" v="14805"/>
    </bk>
    <bk>
      <rc t="1" v="14806"/>
    </bk>
    <bk>
      <rc t="1" v="14807"/>
    </bk>
    <bk>
      <rc t="1" v="14808"/>
    </bk>
    <bk>
      <rc t="1" v="14809"/>
    </bk>
    <bk>
      <rc t="1" v="14810"/>
    </bk>
    <bk>
      <rc t="1" v="14811"/>
    </bk>
    <bk>
      <rc t="1" v="14812"/>
    </bk>
    <bk>
      <rc t="1" v="14813"/>
    </bk>
    <bk>
      <rc t="1" v="14814"/>
    </bk>
    <bk>
      <rc t="1" v="14815"/>
    </bk>
    <bk>
      <rc t="1" v="14816"/>
    </bk>
    <bk>
      <rc t="1" v="14817"/>
    </bk>
    <bk>
      <rc t="1" v="14818"/>
    </bk>
    <bk>
      <rc t="1" v="14819"/>
    </bk>
    <bk>
      <rc t="1" v="14820"/>
    </bk>
    <bk>
      <rc t="1" v="14821"/>
    </bk>
    <bk>
      <rc t="1" v="14822"/>
    </bk>
    <bk>
      <rc t="1" v="14823"/>
    </bk>
    <bk>
      <rc t="1" v="14824"/>
    </bk>
    <bk>
      <rc t="1" v="14825"/>
    </bk>
    <bk>
      <rc t="1" v="14826"/>
    </bk>
    <bk>
      <rc t="1" v="14827"/>
    </bk>
    <bk>
      <rc t="1" v="14828"/>
    </bk>
    <bk>
      <rc t="1" v="14829"/>
    </bk>
    <bk>
      <rc t="1" v="14830"/>
    </bk>
    <bk>
      <rc t="1" v="14831"/>
    </bk>
    <bk>
      <rc t="1" v="14832"/>
    </bk>
    <bk>
      <rc t="1" v="14833"/>
    </bk>
    <bk>
      <rc t="1" v="14834"/>
    </bk>
    <bk>
      <rc t="1" v="14835"/>
    </bk>
    <bk>
      <rc t="1" v="14836"/>
    </bk>
    <bk>
      <rc t="1" v="14837"/>
    </bk>
    <bk>
      <rc t="1" v="14838"/>
    </bk>
    <bk>
      <rc t="1" v="14839"/>
    </bk>
    <bk>
      <rc t="1" v="14840"/>
    </bk>
    <bk>
      <rc t="1" v="14841"/>
    </bk>
    <bk>
      <rc t="1" v="14842"/>
    </bk>
    <bk>
      <rc t="1" v="14843"/>
    </bk>
    <bk>
      <rc t="1" v="14844"/>
    </bk>
    <bk>
      <rc t="1" v="14845"/>
    </bk>
    <bk>
      <rc t="1" v="14846"/>
    </bk>
    <bk>
      <rc t="1" v="14847"/>
    </bk>
    <bk>
      <rc t="1" v="14848"/>
    </bk>
    <bk>
      <rc t="1" v="14849"/>
    </bk>
    <bk>
      <rc t="1" v="14850"/>
    </bk>
    <bk>
      <rc t="1" v="14851"/>
    </bk>
    <bk>
      <rc t="1" v="14852"/>
    </bk>
    <bk>
      <rc t="1" v="14853"/>
    </bk>
    <bk>
      <rc t="1" v="14854"/>
    </bk>
    <bk>
      <rc t="1" v="14855"/>
    </bk>
    <bk>
      <rc t="1" v="14856"/>
    </bk>
    <bk>
      <rc t="1" v="14857"/>
    </bk>
    <bk>
      <rc t="1" v="14858"/>
    </bk>
    <bk>
      <rc t="1" v="14859"/>
    </bk>
    <bk>
      <rc t="1" v="14860"/>
    </bk>
    <bk>
      <rc t="1" v="14861"/>
    </bk>
    <bk>
      <rc t="1" v="14862"/>
    </bk>
    <bk>
      <rc t="1" v="14863"/>
    </bk>
    <bk>
      <rc t="1" v="14864"/>
    </bk>
    <bk>
      <rc t="1" v="14865"/>
    </bk>
    <bk>
      <rc t="1" v="14866"/>
    </bk>
    <bk>
      <rc t="1" v="14867"/>
    </bk>
    <bk>
      <rc t="1" v="14868"/>
    </bk>
    <bk>
      <rc t="1" v="14869"/>
    </bk>
    <bk>
      <rc t="1" v="14870"/>
    </bk>
    <bk>
      <rc t="1" v="14871"/>
    </bk>
    <bk>
      <rc t="1" v="14872"/>
    </bk>
    <bk>
      <rc t="1" v="14873"/>
    </bk>
    <bk>
      <rc t="1" v="14874"/>
    </bk>
    <bk>
      <rc t="1" v="14875"/>
    </bk>
    <bk>
      <rc t="1" v="14876"/>
    </bk>
    <bk>
      <rc t="1" v="14877"/>
    </bk>
    <bk>
      <rc t="1" v="14878"/>
    </bk>
    <bk>
      <rc t="1" v="14879"/>
    </bk>
    <bk>
      <rc t="1" v="14880"/>
    </bk>
    <bk>
      <rc t="1" v="14881"/>
    </bk>
    <bk>
      <rc t="1" v="14882"/>
    </bk>
    <bk>
      <rc t="1" v="14883"/>
    </bk>
    <bk>
      <rc t="1" v="14884"/>
    </bk>
    <bk>
      <rc t="1" v="14885"/>
    </bk>
    <bk>
      <rc t="1" v="14886"/>
    </bk>
    <bk>
      <rc t="1" v="14887"/>
    </bk>
    <bk>
      <rc t="1" v="14888"/>
    </bk>
    <bk>
      <rc t="1" v="14889"/>
    </bk>
    <bk>
      <rc t="1" v="14890"/>
    </bk>
    <bk>
      <rc t="1" v="14891"/>
    </bk>
    <bk>
      <rc t="1" v="14892"/>
    </bk>
    <bk>
      <rc t="1" v="14893"/>
    </bk>
    <bk>
      <rc t="1" v="14894"/>
    </bk>
    <bk>
      <rc t="1" v="14895"/>
    </bk>
    <bk>
      <rc t="1" v="14896"/>
    </bk>
    <bk>
      <rc t="1" v="14897"/>
    </bk>
    <bk>
      <rc t="1" v="14898"/>
    </bk>
    <bk>
      <rc t="1" v="14899"/>
    </bk>
    <bk>
      <rc t="1" v="14900"/>
    </bk>
    <bk>
      <rc t="1" v="14901"/>
    </bk>
    <bk>
      <rc t="1" v="14902"/>
    </bk>
    <bk>
      <rc t="1" v="14903"/>
    </bk>
    <bk>
      <rc t="1" v="14904"/>
    </bk>
    <bk>
      <rc t="1" v="14905"/>
    </bk>
    <bk>
      <rc t="1" v="14906"/>
    </bk>
    <bk>
      <rc t="1" v="14907"/>
    </bk>
    <bk>
      <rc t="1" v="14908"/>
    </bk>
    <bk>
      <rc t="1" v="14909"/>
    </bk>
    <bk>
      <rc t="1" v="14910"/>
    </bk>
    <bk>
      <rc t="1" v="14911"/>
    </bk>
    <bk>
      <rc t="1" v="14912"/>
    </bk>
    <bk>
      <rc t="1" v="14913"/>
    </bk>
    <bk>
      <rc t="1" v="14914"/>
    </bk>
    <bk>
      <rc t="1" v="14915"/>
    </bk>
    <bk>
      <rc t="1" v="14916"/>
    </bk>
    <bk>
      <rc t="1" v="14917"/>
    </bk>
    <bk>
      <rc t="1" v="14918"/>
    </bk>
    <bk>
      <rc t="1" v="14919"/>
    </bk>
    <bk>
      <rc t="1" v="14920"/>
    </bk>
    <bk>
      <rc t="1" v="14921"/>
    </bk>
    <bk>
      <rc t="1" v="14922"/>
    </bk>
    <bk>
      <rc t="1" v="14923"/>
    </bk>
    <bk>
      <rc t="1" v="14924"/>
    </bk>
    <bk>
      <rc t="1" v="14925"/>
    </bk>
    <bk>
      <rc t="1" v="14926"/>
    </bk>
    <bk>
      <rc t="1" v="14927"/>
    </bk>
    <bk>
      <rc t="1" v="14928"/>
    </bk>
    <bk>
      <rc t="1" v="14929"/>
    </bk>
    <bk>
      <rc t="1" v="14930"/>
    </bk>
    <bk>
      <rc t="1" v="14931"/>
    </bk>
    <bk>
      <rc t="1" v="14932"/>
    </bk>
    <bk>
      <rc t="1" v="14933"/>
    </bk>
    <bk>
      <rc t="1" v="14934"/>
    </bk>
    <bk>
      <rc t="1" v="14935"/>
    </bk>
    <bk>
      <rc t="1" v="14936"/>
    </bk>
    <bk>
      <rc t="1" v="14937"/>
    </bk>
    <bk>
      <rc t="1" v="14938"/>
    </bk>
    <bk>
      <rc t="1" v="14939"/>
    </bk>
    <bk>
      <rc t="1" v="14940"/>
    </bk>
    <bk>
      <rc t="1" v="14941"/>
    </bk>
    <bk>
      <rc t="1" v="14942"/>
    </bk>
    <bk>
      <rc t="1" v="14943"/>
    </bk>
    <bk>
      <rc t="1" v="14944"/>
    </bk>
    <bk>
      <rc t="1" v="14945"/>
    </bk>
    <bk>
      <rc t="1" v="14946"/>
    </bk>
    <bk>
      <rc t="1" v="14947"/>
    </bk>
    <bk>
      <rc t="1" v="14948"/>
    </bk>
    <bk>
      <rc t="1" v="14949"/>
    </bk>
    <bk>
      <rc t="1" v="14950"/>
    </bk>
    <bk>
      <rc t="1" v="14951"/>
    </bk>
    <bk>
      <rc t="1" v="14952"/>
    </bk>
    <bk>
      <rc t="1" v="14953"/>
    </bk>
    <bk>
      <rc t="1" v="14954"/>
    </bk>
    <bk>
      <rc t="1" v="14955"/>
    </bk>
    <bk>
      <rc t="1" v="14956"/>
    </bk>
    <bk>
      <rc t="1" v="14957"/>
    </bk>
    <bk>
      <rc t="1" v="14958"/>
    </bk>
    <bk>
      <rc t="1" v="14959"/>
    </bk>
    <bk>
      <rc t="1" v="14960"/>
    </bk>
    <bk>
      <rc t="1" v="14961"/>
    </bk>
    <bk>
      <rc t="1" v="14962"/>
    </bk>
    <bk>
      <rc t="1" v="14963"/>
    </bk>
    <bk>
      <rc t="1" v="14964"/>
    </bk>
    <bk>
      <rc t="1" v="14965"/>
    </bk>
    <bk>
      <rc t="1" v="14966"/>
    </bk>
    <bk>
      <rc t="1" v="14967"/>
    </bk>
    <bk>
      <rc t="1" v="14968"/>
    </bk>
    <bk>
      <rc t="1" v="14969"/>
    </bk>
    <bk>
      <rc t="1" v="14970"/>
    </bk>
    <bk>
      <rc t="1" v="14971"/>
    </bk>
    <bk>
      <rc t="1" v="14972"/>
    </bk>
    <bk>
      <rc t="1" v="14973"/>
    </bk>
    <bk>
      <rc t="1" v="14974"/>
    </bk>
    <bk>
      <rc t="1" v="14975"/>
    </bk>
    <bk>
      <rc t="1" v="14976"/>
    </bk>
    <bk>
      <rc t="1" v="14977"/>
    </bk>
    <bk>
      <rc t="1" v="14978"/>
    </bk>
    <bk>
      <rc t="1" v="14979"/>
    </bk>
    <bk>
      <rc t="1" v="14980"/>
    </bk>
    <bk>
      <rc t="1" v="14981"/>
    </bk>
    <bk>
      <rc t="1" v="14982"/>
    </bk>
    <bk>
      <rc t="1" v="14983"/>
    </bk>
    <bk>
      <rc t="1" v="14984"/>
    </bk>
    <bk>
      <rc t="1" v="14985"/>
    </bk>
    <bk>
      <rc t="1" v="14986"/>
    </bk>
    <bk>
      <rc t="1" v="14987"/>
    </bk>
    <bk>
      <rc t="1" v="14988"/>
    </bk>
    <bk>
      <rc t="1" v="14989"/>
    </bk>
    <bk>
      <rc t="1" v="14990"/>
    </bk>
    <bk>
      <rc t="1" v="14991"/>
    </bk>
    <bk>
      <rc t="1" v="14992"/>
    </bk>
    <bk>
      <rc t="1" v="14993"/>
    </bk>
    <bk>
      <rc t="1" v="14994"/>
    </bk>
    <bk>
      <rc t="1" v="14995"/>
    </bk>
    <bk>
      <rc t="1" v="14996"/>
    </bk>
    <bk>
      <rc t="1" v="14997"/>
    </bk>
    <bk>
      <rc t="1" v="14998"/>
    </bk>
    <bk>
      <rc t="1" v="14999"/>
    </bk>
    <bk>
      <rc t="1" v="15000"/>
    </bk>
    <bk>
      <rc t="1" v="15001"/>
    </bk>
    <bk>
      <rc t="1" v="15002"/>
    </bk>
    <bk>
      <rc t="1" v="15003"/>
    </bk>
    <bk>
      <rc t="1" v="15004"/>
    </bk>
    <bk>
      <rc t="1" v="15005"/>
    </bk>
    <bk>
      <rc t="1" v="15006"/>
    </bk>
    <bk>
      <rc t="1" v="15007"/>
    </bk>
    <bk>
      <rc t="1" v="15008"/>
    </bk>
    <bk>
      <rc t="1" v="15009"/>
    </bk>
    <bk>
      <rc t="1" v="15010"/>
    </bk>
    <bk>
      <rc t="1" v="15011"/>
    </bk>
    <bk>
      <rc t="1" v="15012"/>
    </bk>
    <bk>
      <rc t="1" v="15013"/>
    </bk>
    <bk>
      <rc t="1" v="15014"/>
    </bk>
    <bk>
      <rc t="1" v="15015"/>
    </bk>
    <bk>
      <rc t="1" v="15016"/>
    </bk>
    <bk>
      <rc t="1" v="15017"/>
    </bk>
    <bk>
      <rc t="1" v="15018"/>
    </bk>
    <bk>
      <rc t="1" v="15019"/>
    </bk>
    <bk>
      <rc t="1" v="15020"/>
    </bk>
    <bk>
      <rc t="1" v="15021"/>
    </bk>
    <bk>
      <rc t="1" v="15022"/>
    </bk>
    <bk>
      <rc t="1" v="15023"/>
    </bk>
    <bk>
      <rc t="1" v="15024"/>
    </bk>
    <bk>
      <rc t="1" v="15025"/>
    </bk>
    <bk>
      <rc t="1" v="15026"/>
    </bk>
    <bk>
      <rc t="1" v="15027"/>
    </bk>
    <bk>
      <rc t="1" v="15028"/>
    </bk>
    <bk>
      <rc t="1" v="15029"/>
    </bk>
    <bk>
      <rc t="1" v="15030"/>
    </bk>
    <bk>
      <rc t="1" v="15031"/>
    </bk>
    <bk>
      <rc t="1" v="15032"/>
    </bk>
    <bk>
      <rc t="1" v="15033"/>
    </bk>
    <bk>
      <rc t="1" v="15034"/>
    </bk>
    <bk>
      <rc t="1" v="15035"/>
    </bk>
    <bk>
      <rc t="1" v="15036"/>
    </bk>
    <bk>
      <rc t="1" v="15037"/>
    </bk>
    <bk>
      <rc t="1" v="15038"/>
    </bk>
    <bk>
      <rc t="1" v="15039"/>
    </bk>
    <bk>
      <rc t="1" v="15040"/>
    </bk>
    <bk>
      <rc t="1" v="15041"/>
    </bk>
    <bk>
      <rc t="1" v="15042"/>
    </bk>
    <bk>
      <rc t="1" v="15043"/>
    </bk>
    <bk>
      <rc t="1" v="15044"/>
    </bk>
    <bk>
      <rc t="1" v="15045"/>
    </bk>
    <bk>
      <rc t="1" v="15046"/>
    </bk>
    <bk>
      <rc t="1" v="15047"/>
    </bk>
    <bk>
      <rc t="1" v="15048"/>
    </bk>
    <bk>
      <rc t="1" v="15049"/>
    </bk>
    <bk>
      <rc t="1" v="15050"/>
    </bk>
    <bk>
      <rc t="1" v="15051"/>
    </bk>
    <bk>
      <rc t="1" v="15052"/>
    </bk>
    <bk>
      <rc t="1" v="15053"/>
    </bk>
    <bk>
      <rc t="1" v="15054"/>
    </bk>
    <bk>
      <rc t="1" v="15055"/>
    </bk>
    <bk>
      <rc t="1" v="15056"/>
    </bk>
    <bk>
      <rc t="1" v="15057"/>
    </bk>
    <bk>
      <rc t="1" v="15058"/>
    </bk>
    <bk>
      <rc t="1" v="15059"/>
    </bk>
    <bk>
      <rc t="1" v="15060"/>
    </bk>
    <bk>
      <rc t="1" v="15061"/>
    </bk>
    <bk>
      <rc t="1" v="15062"/>
    </bk>
    <bk>
      <rc t="1" v="15063"/>
    </bk>
    <bk>
      <rc t="1" v="15064"/>
    </bk>
    <bk>
      <rc t="1" v="15065"/>
    </bk>
    <bk>
      <rc t="1" v="15066"/>
    </bk>
    <bk>
      <rc t="1" v="15067"/>
    </bk>
    <bk>
      <rc t="1" v="15068"/>
    </bk>
    <bk>
      <rc t="1" v="15069"/>
    </bk>
    <bk>
      <rc t="1" v="15070"/>
    </bk>
    <bk>
      <rc t="1" v="15071"/>
    </bk>
    <bk>
      <rc t="1" v="15072"/>
    </bk>
    <bk>
      <rc t="1" v="15073"/>
    </bk>
    <bk>
      <rc t="1" v="15074"/>
    </bk>
    <bk>
      <rc t="1" v="15075"/>
    </bk>
    <bk>
      <rc t="1" v="15076"/>
    </bk>
    <bk>
      <rc t="1" v="15077"/>
    </bk>
    <bk>
      <rc t="1" v="15078"/>
    </bk>
    <bk>
      <rc t="1" v="15079"/>
    </bk>
    <bk>
      <rc t="1" v="15080"/>
    </bk>
    <bk>
      <rc t="1" v="15081"/>
    </bk>
    <bk>
      <rc t="1" v="15082"/>
    </bk>
    <bk>
      <rc t="1" v="15083"/>
    </bk>
    <bk>
      <rc t="1" v="15084"/>
    </bk>
    <bk>
      <rc t="1" v="15085"/>
    </bk>
    <bk>
      <rc t="1" v="15086"/>
    </bk>
    <bk>
      <rc t="1" v="15087"/>
    </bk>
    <bk>
      <rc t="1" v="15088"/>
    </bk>
    <bk>
      <rc t="1" v="15089"/>
    </bk>
    <bk>
      <rc t="1" v="15090"/>
    </bk>
    <bk>
      <rc t="1" v="15091"/>
    </bk>
    <bk>
      <rc t="1" v="15092"/>
    </bk>
    <bk>
      <rc t="1" v="15093"/>
    </bk>
    <bk>
      <rc t="1" v="15094"/>
    </bk>
    <bk>
      <rc t="1" v="15095"/>
    </bk>
    <bk>
      <rc t="1" v="15096"/>
    </bk>
    <bk>
      <rc t="1" v="15097"/>
    </bk>
    <bk>
      <rc t="1" v="15098"/>
    </bk>
    <bk>
      <rc t="1" v="15099"/>
    </bk>
    <bk>
      <rc t="1" v="15100"/>
    </bk>
    <bk>
      <rc t="1" v="15101"/>
    </bk>
    <bk>
      <rc t="1" v="15102"/>
    </bk>
    <bk>
      <rc t="1" v="15103"/>
    </bk>
    <bk>
      <rc t="1" v="15104"/>
    </bk>
    <bk>
      <rc t="1" v="15105"/>
    </bk>
    <bk>
      <rc t="1" v="15106"/>
    </bk>
    <bk>
      <rc t="1" v="15107"/>
    </bk>
    <bk>
      <rc t="1" v="15108"/>
    </bk>
    <bk>
      <rc t="1" v="15109"/>
    </bk>
    <bk>
      <rc t="1" v="15110"/>
    </bk>
    <bk>
      <rc t="1" v="15111"/>
    </bk>
    <bk>
      <rc t="1" v="15112"/>
    </bk>
    <bk>
      <rc t="1" v="15113"/>
    </bk>
    <bk>
      <rc t="1" v="15114"/>
    </bk>
    <bk>
      <rc t="1" v="15115"/>
    </bk>
    <bk>
      <rc t="1" v="15116"/>
    </bk>
    <bk>
      <rc t="1" v="15117"/>
    </bk>
    <bk>
      <rc t="1" v="15118"/>
    </bk>
    <bk>
      <rc t="1" v="15119"/>
    </bk>
    <bk>
      <rc t="1" v="15120"/>
    </bk>
    <bk>
      <rc t="1" v="15121"/>
    </bk>
    <bk>
      <rc t="1" v="15122"/>
    </bk>
    <bk>
      <rc t="1" v="15123"/>
    </bk>
    <bk>
      <rc t="1" v="15124"/>
    </bk>
    <bk>
      <rc t="1" v="15125"/>
    </bk>
    <bk>
      <rc t="1" v="15126"/>
    </bk>
    <bk>
      <rc t="1" v="15127"/>
    </bk>
    <bk>
      <rc t="1" v="15128"/>
    </bk>
    <bk>
      <rc t="1" v="15129"/>
    </bk>
    <bk>
      <rc t="1" v="15130"/>
    </bk>
    <bk>
      <rc t="1" v="15131"/>
    </bk>
    <bk>
      <rc t="1" v="15132"/>
    </bk>
    <bk>
      <rc t="1" v="15133"/>
    </bk>
    <bk>
      <rc t="1" v="15134"/>
    </bk>
    <bk>
      <rc t="1" v="15135"/>
    </bk>
    <bk>
      <rc t="1" v="15136"/>
    </bk>
    <bk>
      <rc t="1" v="15137"/>
    </bk>
    <bk>
      <rc t="1" v="15138"/>
    </bk>
    <bk>
      <rc t="1" v="15139"/>
    </bk>
    <bk>
      <rc t="1" v="15140"/>
    </bk>
    <bk>
      <rc t="1" v="15141"/>
    </bk>
    <bk>
      <rc t="1" v="15142"/>
    </bk>
    <bk>
      <rc t="1" v="15143"/>
    </bk>
    <bk>
      <rc t="1" v="15144"/>
    </bk>
    <bk>
      <rc t="1" v="15145"/>
    </bk>
    <bk>
      <rc t="1" v="15146"/>
    </bk>
    <bk>
      <rc t="1" v="15147"/>
    </bk>
    <bk>
      <rc t="1" v="15148"/>
    </bk>
    <bk>
      <rc t="1" v="15149"/>
    </bk>
    <bk>
      <rc t="1" v="15150"/>
    </bk>
    <bk>
      <rc t="1" v="15151"/>
    </bk>
    <bk>
      <rc t="1" v="15152"/>
    </bk>
    <bk>
      <rc t="1" v="15153"/>
    </bk>
    <bk>
      <rc t="1" v="15154"/>
    </bk>
    <bk>
      <rc t="1" v="15155"/>
    </bk>
    <bk>
      <rc t="1" v="15156"/>
    </bk>
    <bk>
      <rc t="1" v="15157"/>
    </bk>
    <bk>
      <rc t="1" v="15158"/>
    </bk>
    <bk>
      <rc t="1" v="15159"/>
    </bk>
    <bk>
      <rc t="1" v="15160"/>
    </bk>
    <bk>
      <rc t="1" v="15161"/>
    </bk>
    <bk>
      <rc t="1" v="15162"/>
    </bk>
    <bk>
      <rc t="1" v="15163"/>
    </bk>
    <bk>
      <rc t="1" v="15164"/>
    </bk>
    <bk>
      <rc t="1" v="15165"/>
    </bk>
    <bk>
      <rc t="1" v="15166"/>
    </bk>
    <bk>
      <rc t="1" v="15167"/>
    </bk>
    <bk>
      <rc t="1" v="15168"/>
    </bk>
    <bk>
      <rc t="1" v="15169"/>
    </bk>
    <bk>
      <rc t="1" v="15170"/>
    </bk>
    <bk>
      <rc t="1" v="15171"/>
    </bk>
    <bk>
      <rc t="1" v="15172"/>
    </bk>
    <bk>
      <rc t="1" v="15173"/>
    </bk>
    <bk>
      <rc t="1" v="15174"/>
    </bk>
    <bk>
      <rc t="1" v="15175"/>
    </bk>
    <bk>
      <rc t="1" v="15176"/>
    </bk>
    <bk>
      <rc t="1" v="15177"/>
    </bk>
    <bk>
      <rc t="1" v="15178"/>
    </bk>
    <bk>
      <rc t="1" v="15179"/>
    </bk>
    <bk>
      <rc t="1" v="15180"/>
    </bk>
    <bk>
      <rc t="1" v="15181"/>
    </bk>
    <bk>
      <rc t="1" v="15182"/>
    </bk>
    <bk>
      <rc t="1" v="15183"/>
    </bk>
    <bk>
      <rc t="1" v="15184"/>
    </bk>
    <bk>
      <rc t="1" v="15185"/>
    </bk>
    <bk>
      <rc t="1" v="15186"/>
    </bk>
    <bk>
      <rc t="1" v="15187"/>
    </bk>
    <bk>
      <rc t="1" v="15188"/>
    </bk>
    <bk>
      <rc t="1" v="15189"/>
    </bk>
    <bk>
      <rc t="1" v="15190"/>
    </bk>
    <bk>
      <rc t="1" v="15191"/>
    </bk>
    <bk>
      <rc t="1" v="15192"/>
    </bk>
    <bk>
      <rc t="1" v="15193"/>
    </bk>
    <bk>
      <rc t="1" v="15194"/>
    </bk>
    <bk>
      <rc t="1" v="15195"/>
    </bk>
    <bk>
      <rc t="1" v="15196"/>
    </bk>
    <bk>
      <rc t="1" v="15197"/>
    </bk>
    <bk>
      <rc t="1" v="15198"/>
    </bk>
    <bk>
      <rc t="1" v="15199"/>
    </bk>
    <bk>
      <rc t="1" v="15200"/>
    </bk>
    <bk>
      <rc t="1" v="15201"/>
    </bk>
    <bk>
      <rc t="1" v="15202"/>
    </bk>
    <bk>
      <rc t="1" v="15203"/>
    </bk>
    <bk>
      <rc t="1" v="15204"/>
    </bk>
    <bk>
      <rc t="1" v="15205"/>
    </bk>
    <bk>
      <rc t="1" v="15206"/>
    </bk>
    <bk>
      <rc t="1" v="15207"/>
    </bk>
    <bk>
      <rc t="1" v="15208"/>
    </bk>
    <bk>
      <rc t="1" v="15209"/>
    </bk>
    <bk>
      <rc t="1" v="15210"/>
    </bk>
    <bk>
      <rc t="1" v="15211"/>
    </bk>
    <bk>
      <rc t="1" v="15212"/>
    </bk>
    <bk>
      <rc t="1" v="15213"/>
    </bk>
    <bk>
      <rc t="1" v="15214"/>
    </bk>
    <bk>
      <rc t="1" v="15215"/>
    </bk>
    <bk>
      <rc t="1" v="15216"/>
    </bk>
    <bk>
      <rc t="1" v="15217"/>
    </bk>
    <bk>
      <rc t="1" v="15218"/>
    </bk>
    <bk>
      <rc t="1" v="15219"/>
    </bk>
    <bk>
      <rc t="1" v="15220"/>
    </bk>
    <bk>
      <rc t="1" v="15221"/>
    </bk>
    <bk>
      <rc t="1" v="15222"/>
    </bk>
    <bk>
      <rc t="1" v="15223"/>
    </bk>
    <bk>
      <rc t="1" v="15224"/>
    </bk>
    <bk>
      <rc t="1" v="15225"/>
    </bk>
    <bk>
      <rc t="1" v="15226"/>
    </bk>
    <bk>
      <rc t="1" v="15227"/>
    </bk>
    <bk>
      <rc t="1" v="15228"/>
    </bk>
    <bk>
      <rc t="1" v="15229"/>
    </bk>
    <bk>
      <rc t="1" v="15230"/>
    </bk>
    <bk>
      <rc t="1" v="15231"/>
    </bk>
    <bk>
      <rc t="1" v="15232"/>
    </bk>
    <bk>
      <rc t="1" v="15233"/>
    </bk>
    <bk>
      <rc t="1" v="15234"/>
    </bk>
    <bk>
      <rc t="1" v="15235"/>
    </bk>
    <bk>
      <rc t="1" v="15236"/>
    </bk>
    <bk>
      <rc t="1" v="15237"/>
    </bk>
    <bk>
      <rc t="1" v="15238"/>
    </bk>
    <bk>
      <rc t="1" v="15239"/>
    </bk>
    <bk>
      <rc t="1" v="15240"/>
    </bk>
    <bk>
      <rc t="1" v="15241"/>
    </bk>
    <bk>
      <rc t="1" v="15242"/>
    </bk>
    <bk>
      <rc t="1" v="15243"/>
    </bk>
    <bk>
      <rc t="1" v="15244"/>
    </bk>
    <bk>
      <rc t="1" v="15245"/>
    </bk>
    <bk>
      <rc t="1" v="15246"/>
    </bk>
    <bk>
      <rc t="1" v="15247"/>
    </bk>
    <bk>
      <rc t="1" v="15248"/>
    </bk>
    <bk>
      <rc t="1" v="15249"/>
    </bk>
    <bk>
      <rc t="1" v="15250"/>
    </bk>
    <bk>
      <rc t="1" v="15251"/>
    </bk>
    <bk>
      <rc t="1" v="15252"/>
    </bk>
    <bk>
      <rc t="1" v="15253"/>
    </bk>
    <bk>
      <rc t="1" v="15254"/>
    </bk>
    <bk>
      <rc t="1" v="15255"/>
    </bk>
    <bk>
      <rc t="1" v="15256"/>
    </bk>
    <bk>
      <rc t="1" v="15257"/>
    </bk>
    <bk>
      <rc t="1" v="15258"/>
    </bk>
    <bk>
      <rc t="1" v="15259"/>
    </bk>
    <bk>
      <rc t="1" v="15260"/>
    </bk>
    <bk>
      <rc t="1" v="15261"/>
    </bk>
    <bk>
      <rc t="1" v="15262"/>
    </bk>
    <bk>
      <rc t="1" v="15263"/>
    </bk>
    <bk>
      <rc t="1" v="15264"/>
    </bk>
    <bk>
      <rc t="1" v="15265"/>
    </bk>
    <bk>
      <rc t="1" v="15266"/>
    </bk>
    <bk>
      <rc t="1" v="15267"/>
    </bk>
    <bk>
      <rc t="1" v="15268"/>
    </bk>
    <bk>
      <rc t="1" v="15269"/>
    </bk>
    <bk>
      <rc t="1" v="15270"/>
    </bk>
    <bk>
      <rc t="1" v="15271"/>
    </bk>
    <bk>
      <rc t="1" v="15272"/>
    </bk>
    <bk>
      <rc t="1" v="15273"/>
    </bk>
    <bk>
      <rc t="1" v="15274"/>
    </bk>
    <bk>
      <rc t="1" v="15275"/>
    </bk>
    <bk>
      <rc t="1" v="15276"/>
    </bk>
    <bk>
      <rc t="1" v="15277"/>
    </bk>
    <bk>
      <rc t="1" v="15278"/>
    </bk>
    <bk>
      <rc t="1" v="15279"/>
    </bk>
    <bk>
      <rc t="1" v="15280"/>
    </bk>
    <bk>
      <rc t="1" v="15281"/>
    </bk>
    <bk>
      <rc t="1" v="15282"/>
    </bk>
    <bk>
      <rc t="1" v="15283"/>
    </bk>
    <bk>
      <rc t="1" v="15284"/>
    </bk>
    <bk>
      <rc t="1" v="15285"/>
    </bk>
    <bk>
      <rc t="1" v="15286"/>
    </bk>
    <bk>
      <rc t="1" v="15287"/>
    </bk>
    <bk>
      <rc t="1" v="15288"/>
    </bk>
    <bk>
      <rc t="1" v="15289"/>
    </bk>
    <bk>
      <rc t="1" v="15290"/>
    </bk>
    <bk>
      <rc t="1" v="15291"/>
    </bk>
    <bk>
      <rc t="1" v="15292"/>
    </bk>
    <bk>
      <rc t="1" v="15293"/>
    </bk>
    <bk>
      <rc t="1" v="15294"/>
    </bk>
    <bk>
      <rc t="1" v="15295"/>
    </bk>
    <bk>
      <rc t="1" v="15296"/>
    </bk>
    <bk>
      <rc t="1" v="15297"/>
    </bk>
    <bk>
      <rc t="1" v="15298"/>
    </bk>
    <bk>
      <rc t="1" v="15299"/>
    </bk>
    <bk>
      <rc t="1" v="15300"/>
    </bk>
    <bk>
      <rc t="1" v="15301"/>
    </bk>
    <bk>
      <rc t="1" v="15302"/>
    </bk>
    <bk>
      <rc t="1" v="15303"/>
    </bk>
    <bk>
      <rc t="1" v="15304"/>
    </bk>
    <bk>
      <rc t="1" v="15305"/>
    </bk>
    <bk>
      <rc t="1" v="15306"/>
    </bk>
    <bk>
      <rc t="1" v="15307"/>
    </bk>
    <bk>
      <rc t="1" v="15308"/>
    </bk>
    <bk>
      <rc t="1" v="15309"/>
    </bk>
    <bk>
      <rc t="1" v="15310"/>
    </bk>
    <bk>
      <rc t="1" v="15311"/>
    </bk>
    <bk>
      <rc t="1" v="15312"/>
    </bk>
    <bk>
      <rc t="1" v="15313"/>
    </bk>
    <bk>
      <rc t="1" v="15314"/>
    </bk>
    <bk>
      <rc t="1" v="15315"/>
    </bk>
    <bk>
      <rc t="1" v="15316"/>
    </bk>
    <bk>
      <rc t="1" v="15317"/>
    </bk>
    <bk>
      <rc t="1" v="15318"/>
    </bk>
    <bk>
      <rc t="1" v="15319"/>
    </bk>
    <bk>
      <rc t="1" v="15320"/>
    </bk>
    <bk>
      <rc t="1" v="15321"/>
    </bk>
    <bk>
      <rc t="1" v="15322"/>
    </bk>
    <bk>
      <rc t="1" v="15323"/>
    </bk>
    <bk>
      <rc t="1" v="15324"/>
    </bk>
    <bk>
      <rc t="1" v="15325"/>
    </bk>
    <bk>
      <rc t="1" v="15326"/>
    </bk>
    <bk>
      <rc t="1" v="15327"/>
    </bk>
    <bk>
      <rc t="1" v="15328"/>
    </bk>
    <bk>
      <rc t="1" v="15329"/>
    </bk>
    <bk>
      <rc t="1" v="15330"/>
    </bk>
    <bk>
      <rc t="1" v="15331"/>
    </bk>
    <bk>
      <rc t="1" v="15332"/>
    </bk>
    <bk>
      <rc t="1" v="15333"/>
    </bk>
    <bk>
      <rc t="1" v="15334"/>
    </bk>
    <bk>
      <rc t="1" v="15335"/>
    </bk>
    <bk>
      <rc t="1" v="15336"/>
    </bk>
    <bk>
      <rc t="1" v="15337"/>
    </bk>
    <bk>
      <rc t="1" v="15338"/>
    </bk>
    <bk>
      <rc t="1" v="15339"/>
    </bk>
    <bk>
      <rc t="1" v="15340"/>
    </bk>
    <bk>
      <rc t="1" v="15341"/>
    </bk>
    <bk>
      <rc t="1" v="15342"/>
    </bk>
    <bk>
      <rc t="1" v="15343"/>
    </bk>
    <bk>
      <rc t="1" v="15344"/>
    </bk>
    <bk>
      <rc t="1" v="15345"/>
    </bk>
    <bk>
      <rc t="1" v="15346"/>
    </bk>
    <bk>
      <rc t="1" v="15347"/>
    </bk>
    <bk>
      <rc t="1" v="15348"/>
    </bk>
    <bk>
      <rc t="1" v="15349"/>
    </bk>
    <bk>
      <rc t="1" v="15350"/>
    </bk>
    <bk>
      <rc t="1" v="15351"/>
    </bk>
    <bk>
      <rc t="1" v="15352"/>
    </bk>
    <bk>
      <rc t="1" v="15353"/>
    </bk>
    <bk>
      <rc t="1" v="15354"/>
    </bk>
    <bk>
      <rc t="1" v="15355"/>
    </bk>
    <bk>
      <rc t="1" v="15356"/>
    </bk>
    <bk>
      <rc t="1" v="15357"/>
    </bk>
    <bk>
      <rc t="1" v="15358"/>
    </bk>
    <bk>
      <rc t="1" v="15359"/>
    </bk>
    <bk>
      <rc t="1" v="15360"/>
    </bk>
    <bk>
      <rc t="1" v="15361"/>
    </bk>
    <bk>
      <rc t="1" v="15362"/>
    </bk>
    <bk>
      <rc t="1" v="15363"/>
    </bk>
    <bk>
      <rc t="1" v="15364"/>
    </bk>
    <bk>
      <rc t="1" v="15365"/>
    </bk>
    <bk>
      <rc t="1" v="15366"/>
    </bk>
    <bk>
      <rc t="1" v="15367"/>
    </bk>
    <bk>
      <rc t="1" v="15368"/>
    </bk>
    <bk>
      <rc t="1" v="15369"/>
    </bk>
    <bk>
      <rc t="1" v="15370"/>
    </bk>
    <bk>
      <rc t="1" v="15371"/>
    </bk>
    <bk>
      <rc t="1" v="15372"/>
    </bk>
    <bk>
      <rc t="1" v="15373"/>
    </bk>
    <bk>
      <rc t="1" v="15374"/>
    </bk>
    <bk>
      <rc t="1" v="15375"/>
    </bk>
    <bk>
      <rc t="1" v="15376"/>
    </bk>
    <bk>
      <rc t="1" v="15377"/>
    </bk>
    <bk>
      <rc t="1" v="15378"/>
    </bk>
    <bk>
      <rc t="1" v="15379"/>
    </bk>
    <bk>
      <rc t="1" v="15380"/>
    </bk>
    <bk>
      <rc t="1" v="15381"/>
    </bk>
    <bk>
      <rc t="1" v="15382"/>
    </bk>
    <bk>
      <rc t="1" v="15383"/>
    </bk>
    <bk>
      <rc t="1" v="15384"/>
    </bk>
    <bk>
      <rc t="1" v="15385"/>
    </bk>
    <bk>
      <rc t="1" v="15386"/>
    </bk>
    <bk>
      <rc t="1" v="15387"/>
    </bk>
    <bk>
      <rc t="1" v="15388"/>
    </bk>
    <bk>
      <rc t="1" v="15389"/>
    </bk>
    <bk>
      <rc t="1" v="15390"/>
    </bk>
    <bk>
      <rc t="1" v="15391"/>
    </bk>
    <bk>
      <rc t="1" v="15392"/>
    </bk>
    <bk>
      <rc t="1" v="15393"/>
    </bk>
    <bk>
      <rc t="1" v="15394"/>
    </bk>
    <bk>
      <rc t="1" v="15395"/>
    </bk>
    <bk>
      <rc t="1" v="15396"/>
    </bk>
    <bk>
      <rc t="1" v="15397"/>
    </bk>
    <bk>
      <rc t="1" v="15398"/>
    </bk>
    <bk>
      <rc t="1" v="15399"/>
    </bk>
    <bk>
      <rc t="1" v="15400"/>
    </bk>
    <bk>
      <rc t="1" v="15401"/>
    </bk>
    <bk>
      <rc t="1" v="15402"/>
    </bk>
    <bk>
      <rc t="1" v="15403"/>
    </bk>
    <bk>
      <rc t="1" v="15404"/>
    </bk>
    <bk>
      <rc t="1" v="15405"/>
    </bk>
    <bk>
      <rc t="1" v="15406"/>
    </bk>
    <bk>
      <rc t="1" v="15407"/>
    </bk>
    <bk>
      <rc t="1" v="15408"/>
    </bk>
    <bk>
      <rc t="1" v="15409"/>
    </bk>
    <bk>
      <rc t="1" v="15410"/>
    </bk>
    <bk>
      <rc t="1" v="15411"/>
    </bk>
    <bk>
      <rc t="1" v="15412"/>
    </bk>
    <bk>
      <rc t="1" v="15413"/>
    </bk>
    <bk>
      <rc t="1" v="15414"/>
    </bk>
    <bk>
      <rc t="1" v="15415"/>
    </bk>
    <bk>
      <rc t="1" v="15416"/>
    </bk>
    <bk>
      <rc t="1" v="15417"/>
    </bk>
    <bk>
      <rc t="1" v="15418"/>
    </bk>
    <bk>
      <rc t="1" v="15419"/>
    </bk>
    <bk>
      <rc t="1" v="15420"/>
    </bk>
    <bk>
      <rc t="1" v="15421"/>
    </bk>
    <bk>
      <rc t="1" v="15422"/>
    </bk>
    <bk>
      <rc t="1" v="15423"/>
    </bk>
    <bk>
      <rc t="1" v="15424"/>
    </bk>
    <bk>
      <rc t="1" v="15425"/>
    </bk>
    <bk>
      <rc t="1" v="15426"/>
    </bk>
    <bk>
      <rc t="1" v="15427"/>
    </bk>
    <bk>
      <rc t="1" v="15428"/>
    </bk>
    <bk>
      <rc t="1" v="15429"/>
    </bk>
    <bk>
      <rc t="1" v="15430"/>
    </bk>
    <bk>
      <rc t="1" v="15431"/>
    </bk>
    <bk>
      <rc t="1" v="15432"/>
    </bk>
    <bk>
      <rc t="1" v="15433"/>
    </bk>
    <bk>
      <rc t="1" v="15434"/>
    </bk>
    <bk>
      <rc t="1" v="15435"/>
    </bk>
    <bk>
      <rc t="1" v="15436"/>
    </bk>
    <bk>
      <rc t="1" v="15437"/>
    </bk>
    <bk>
      <rc t="1" v="15438"/>
    </bk>
    <bk>
      <rc t="1" v="15439"/>
    </bk>
    <bk>
      <rc t="1" v="15440"/>
    </bk>
    <bk>
      <rc t="1" v="15441"/>
    </bk>
    <bk>
      <rc t="1" v="15442"/>
    </bk>
    <bk>
      <rc t="1" v="15443"/>
    </bk>
    <bk>
      <rc t="1" v="15444"/>
    </bk>
    <bk>
      <rc t="1" v="15445"/>
    </bk>
    <bk>
      <rc t="1" v="15446"/>
    </bk>
    <bk>
      <rc t="1" v="15447"/>
    </bk>
    <bk>
      <rc t="1" v="15448"/>
    </bk>
    <bk>
      <rc t="1" v="15449"/>
    </bk>
    <bk>
      <rc t="1" v="15450"/>
    </bk>
    <bk>
      <rc t="1" v="15451"/>
    </bk>
    <bk>
      <rc t="1" v="15452"/>
    </bk>
    <bk>
      <rc t="1" v="15453"/>
    </bk>
    <bk>
      <rc t="1" v="15454"/>
    </bk>
    <bk>
      <rc t="1" v="15455"/>
    </bk>
    <bk>
      <rc t="1" v="15456"/>
    </bk>
    <bk>
      <rc t="1" v="15457"/>
    </bk>
    <bk>
      <rc t="1" v="15458"/>
    </bk>
    <bk>
      <rc t="1" v="15459"/>
    </bk>
    <bk>
      <rc t="1" v="15460"/>
    </bk>
    <bk>
      <rc t="1" v="15461"/>
    </bk>
    <bk>
      <rc t="1" v="15462"/>
    </bk>
    <bk>
      <rc t="1" v="15463"/>
    </bk>
    <bk>
      <rc t="1" v="15464"/>
    </bk>
    <bk>
      <rc t="1" v="15465"/>
    </bk>
    <bk>
      <rc t="1" v="15466"/>
    </bk>
    <bk>
      <rc t="1" v="15467"/>
    </bk>
    <bk>
      <rc t="1" v="15468"/>
    </bk>
    <bk>
      <rc t="1" v="15469"/>
    </bk>
    <bk>
      <rc t="1" v="15470"/>
    </bk>
    <bk>
      <rc t="1" v="15471"/>
    </bk>
    <bk>
      <rc t="1" v="15472"/>
    </bk>
    <bk>
      <rc t="1" v="15473"/>
    </bk>
    <bk>
      <rc t="1" v="15474"/>
    </bk>
    <bk>
      <rc t="1" v="15475"/>
    </bk>
    <bk>
      <rc t="1" v="15476"/>
    </bk>
    <bk>
      <rc t="1" v="15477"/>
    </bk>
    <bk>
      <rc t="1" v="15478"/>
    </bk>
    <bk>
      <rc t="1" v="15479"/>
    </bk>
    <bk>
      <rc t="1" v="15480"/>
    </bk>
    <bk>
      <rc t="1" v="15481"/>
    </bk>
    <bk>
      <rc t="1" v="15482"/>
    </bk>
    <bk>
      <rc t="1" v="15483"/>
    </bk>
    <bk>
      <rc t="1" v="15484"/>
    </bk>
    <bk>
      <rc t="1" v="15485"/>
    </bk>
    <bk>
      <rc t="1" v="15486"/>
    </bk>
    <bk>
      <rc t="1" v="15487"/>
    </bk>
    <bk>
      <rc t="1" v="15488"/>
    </bk>
    <bk>
      <rc t="1" v="15489"/>
    </bk>
    <bk>
      <rc t="1" v="15490"/>
    </bk>
    <bk>
      <rc t="1" v="15491"/>
    </bk>
    <bk>
      <rc t="1" v="15492"/>
    </bk>
    <bk>
      <rc t="1" v="15493"/>
    </bk>
    <bk>
      <rc t="1" v="15494"/>
    </bk>
    <bk>
      <rc t="1" v="15495"/>
    </bk>
    <bk>
      <rc t="1" v="15496"/>
    </bk>
    <bk>
      <rc t="1" v="15497"/>
    </bk>
    <bk>
      <rc t="1" v="15498"/>
    </bk>
    <bk>
      <rc t="1" v="15499"/>
    </bk>
    <bk>
      <rc t="1" v="15500"/>
    </bk>
    <bk>
      <rc t="1" v="15501"/>
    </bk>
    <bk>
      <rc t="1" v="15502"/>
    </bk>
    <bk>
      <rc t="1" v="15503"/>
    </bk>
    <bk>
      <rc t="1" v="15504"/>
    </bk>
    <bk>
      <rc t="1" v="15505"/>
    </bk>
    <bk>
      <rc t="1" v="15506"/>
    </bk>
    <bk>
      <rc t="1" v="15507"/>
    </bk>
    <bk>
      <rc t="1" v="15508"/>
    </bk>
    <bk>
      <rc t="1" v="15509"/>
    </bk>
    <bk>
      <rc t="1" v="15510"/>
    </bk>
    <bk>
      <rc t="1" v="15511"/>
    </bk>
    <bk>
      <rc t="1" v="15512"/>
    </bk>
    <bk>
      <rc t="1" v="15513"/>
    </bk>
    <bk>
      <rc t="1" v="15514"/>
    </bk>
    <bk>
      <rc t="1" v="15515"/>
    </bk>
    <bk>
      <rc t="1" v="15516"/>
    </bk>
    <bk>
      <rc t="1" v="15517"/>
    </bk>
    <bk>
      <rc t="1" v="15518"/>
    </bk>
    <bk>
      <rc t="1" v="15519"/>
    </bk>
    <bk>
      <rc t="1" v="15520"/>
    </bk>
    <bk>
      <rc t="1" v="15521"/>
    </bk>
    <bk>
      <rc t="1" v="15522"/>
    </bk>
    <bk>
      <rc t="1" v="15523"/>
    </bk>
    <bk>
      <rc t="1" v="15524"/>
    </bk>
    <bk>
      <rc t="1" v="15525"/>
    </bk>
    <bk>
      <rc t="1" v="15526"/>
    </bk>
    <bk>
      <rc t="1" v="15527"/>
    </bk>
    <bk>
      <rc t="1" v="15528"/>
    </bk>
    <bk>
      <rc t="1" v="15529"/>
    </bk>
    <bk>
      <rc t="1" v="15530"/>
    </bk>
    <bk>
      <rc t="1" v="15531"/>
    </bk>
    <bk>
      <rc t="1" v="15532"/>
    </bk>
    <bk>
      <rc t="1" v="15533"/>
    </bk>
    <bk>
      <rc t="1" v="15534"/>
    </bk>
    <bk>
      <rc t="1" v="15535"/>
    </bk>
    <bk>
      <rc t="1" v="15536"/>
    </bk>
    <bk>
      <rc t="1" v="15537"/>
    </bk>
    <bk>
      <rc t="1" v="15538"/>
    </bk>
    <bk>
      <rc t="1" v="15539"/>
    </bk>
    <bk>
      <rc t="1" v="15540"/>
    </bk>
    <bk>
      <rc t="1" v="15541"/>
    </bk>
    <bk>
      <rc t="1" v="15542"/>
    </bk>
    <bk>
      <rc t="1" v="15543"/>
    </bk>
    <bk>
      <rc t="1" v="15544"/>
    </bk>
    <bk>
      <rc t="1" v="15545"/>
    </bk>
    <bk>
      <rc t="1" v="15546"/>
    </bk>
    <bk>
      <rc t="1" v="15547"/>
    </bk>
    <bk>
      <rc t="1" v="15548"/>
    </bk>
    <bk>
      <rc t="1" v="15549"/>
    </bk>
    <bk>
      <rc t="1" v="15550"/>
    </bk>
    <bk>
      <rc t="1" v="15551"/>
    </bk>
    <bk>
      <rc t="1" v="15552"/>
    </bk>
    <bk>
      <rc t="1" v="15553"/>
    </bk>
    <bk>
      <rc t="1" v="15554"/>
    </bk>
    <bk>
      <rc t="1" v="15555"/>
    </bk>
    <bk>
      <rc t="1" v="15556"/>
    </bk>
    <bk>
      <rc t="1" v="15557"/>
    </bk>
    <bk>
      <rc t="1" v="15558"/>
    </bk>
    <bk>
      <rc t="1" v="15559"/>
    </bk>
    <bk>
      <rc t="1" v="15560"/>
    </bk>
    <bk>
      <rc t="1" v="15561"/>
    </bk>
    <bk>
      <rc t="1" v="15562"/>
    </bk>
    <bk>
      <rc t="1" v="15563"/>
    </bk>
    <bk>
      <rc t="1" v="15564"/>
    </bk>
    <bk>
      <rc t="1" v="15565"/>
    </bk>
    <bk>
      <rc t="1" v="15566"/>
    </bk>
    <bk>
      <rc t="1" v="15567"/>
    </bk>
    <bk>
      <rc t="1" v="15568"/>
    </bk>
    <bk>
      <rc t="1" v="15569"/>
    </bk>
    <bk>
      <rc t="1" v="15570"/>
    </bk>
    <bk>
      <rc t="1" v="15571"/>
    </bk>
    <bk>
      <rc t="1" v="15572"/>
    </bk>
    <bk>
      <rc t="1" v="15573"/>
    </bk>
    <bk>
      <rc t="1" v="15574"/>
    </bk>
    <bk>
      <rc t="1" v="15575"/>
    </bk>
    <bk>
      <rc t="1" v="15576"/>
    </bk>
    <bk>
      <rc t="1" v="15577"/>
    </bk>
    <bk>
      <rc t="1" v="15578"/>
    </bk>
    <bk>
      <rc t="1" v="15579"/>
    </bk>
    <bk>
      <rc t="1" v="15580"/>
    </bk>
    <bk>
      <rc t="1" v="15581"/>
    </bk>
    <bk>
      <rc t="1" v="15582"/>
    </bk>
    <bk>
      <rc t="1" v="15583"/>
    </bk>
    <bk>
      <rc t="1" v="15584"/>
    </bk>
    <bk>
      <rc t="1" v="15585"/>
    </bk>
    <bk>
      <rc t="1" v="15586"/>
    </bk>
    <bk>
      <rc t="1" v="15587"/>
    </bk>
    <bk>
      <rc t="1" v="15588"/>
    </bk>
    <bk>
      <rc t="1" v="15589"/>
    </bk>
    <bk>
      <rc t="1" v="15590"/>
    </bk>
    <bk>
      <rc t="1" v="15591"/>
    </bk>
    <bk>
      <rc t="1" v="15592"/>
    </bk>
    <bk>
      <rc t="1" v="15593"/>
    </bk>
    <bk>
      <rc t="1" v="15594"/>
    </bk>
    <bk>
      <rc t="1" v="15595"/>
    </bk>
    <bk>
      <rc t="1" v="15596"/>
    </bk>
    <bk>
      <rc t="1" v="15597"/>
    </bk>
    <bk>
      <rc t="1" v="15598"/>
    </bk>
    <bk>
      <rc t="1" v="15599"/>
    </bk>
    <bk>
      <rc t="1" v="15600"/>
    </bk>
    <bk>
      <rc t="1" v="15601"/>
    </bk>
    <bk>
      <rc t="1" v="15602"/>
    </bk>
    <bk>
      <rc t="1" v="15603"/>
    </bk>
    <bk>
      <rc t="1" v="15604"/>
    </bk>
    <bk>
      <rc t="1" v="15605"/>
    </bk>
    <bk>
      <rc t="1" v="15606"/>
    </bk>
    <bk>
      <rc t="1" v="15607"/>
    </bk>
    <bk>
      <rc t="1" v="15608"/>
    </bk>
    <bk>
      <rc t="1" v="15609"/>
    </bk>
    <bk>
      <rc t="1" v="15610"/>
    </bk>
    <bk>
      <rc t="1" v="15611"/>
    </bk>
    <bk>
      <rc t="1" v="15612"/>
    </bk>
    <bk>
      <rc t="1" v="15613"/>
    </bk>
    <bk>
      <rc t="1" v="15614"/>
    </bk>
    <bk>
      <rc t="1" v="15615"/>
    </bk>
    <bk>
      <rc t="1" v="15616"/>
    </bk>
    <bk>
      <rc t="1" v="15617"/>
    </bk>
    <bk>
      <rc t="1" v="15618"/>
    </bk>
    <bk>
      <rc t="1" v="15619"/>
    </bk>
    <bk>
      <rc t="1" v="15620"/>
    </bk>
    <bk>
      <rc t="1" v="15621"/>
    </bk>
    <bk>
      <rc t="1" v="15622"/>
    </bk>
    <bk>
      <rc t="1" v="15623"/>
    </bk>
    <bk>
      <rc t="1" v="15624"/>
    </bk>
    <bk>
      <rc t="1" v="15625"/>
    </bk>
    <bk>
      <rc t="1" v="15626"/>
    </bk>
    <bk>
      <rc t="1" v="15627"/>
    </bk>
    <bk>
      <rc t="1" v="15628"/>
    </bk>
    <bk>
      <rc t="1" v="15629"/>
    </bk>
    <bk>
      <rc t="1" v="15630"/>
    </bk>
    <bk>
      <rc t="1" v="15631"/>
    </bk>
    <bk>
      <rc t="1" v="15632"/>
    </bk>
    <bk>
      <rc t="1" v="15633"/>
    </bk>
    <bk>
      <rc t="1" v="15634"/>
    </bk>
    <bk>
      <rc t="1" v="15635"/>
    </bk>
    <bk>
      <rc t="1" v="15636"/>
    </bk>
    <bk>
      <rc t="1" v="15637"/>
    </bk>
    <bk>
      <rc t="1" v="15638"/>
    </bk>
    <bk>
      <rc t="1" v="15639"/>
    </bk>
    <bk>
      <rc t="1" v="15640"/>
    </bk>
    <bk>
      <rc t="1" v="15641"/>
    </bk>
    <bk>
      <rc t="1" v="15642"/>
    </bk>
    <bk>
      <rc t="1" v="15643"/>
    </bk>
    <bk>
      <rc t="1" v="15644"/>
    </bk>
    <bk>
      <rc t="1" v="15645"/>
    </bk>
    <bk>
      <rc t="1" v="15646"/>
    </bk>
    <bk>
      <rc t="1" v="15647"/>
    </bk>
    <bk>
      <rc t="1" v="15648"/>
    </bk>
    <bk>
      <rc t="1" v="15649"/>
    </bk>
    <bk>
      <rc t="1" v="15650"/>
    </bk>
    <bk>
      <rc t="1" v="15651"/>
    </bk>
    <bk>
      <rc t="1" v="15652"/>
    </bk>
    <bk>
      <rc t="1" v="15653"/>
    </bk>
    <bk>
      <rc t="1" v="15654"/>
    </bk>
    <bk>
      <rc t="1" v="15655"/>
    </bk>
    <bk>
      <rc t="1" v="15656"/>
    </bk>
    <bk>
      <rc t="1" v="15657"/>
    </bk>
    <bk>
      <rc t="1" v="15658"/>
    </bk>
    <bk>
      <rc t="1" v="15659"/>
    </bk>
    <bk>
      <rc t="1" v="15660"/>
    </bk>
    <bk>
      <rc t="1" v="15661"/>
    </bk>
    <bk>
      <rc t="1" v="15662"/>
    </bk>
    <bk>
      <rc t="1" v="15663"/>
    </bk>
    <bk>
      <rc t="1" v="15664"/>
    </bk>
    <bk>
      <rc t="1" v="15665"/>
    </bk>
    <bk>
      <rc t="1" v="15666"/>
    </bk>
    <bk>
      <rc t="1" v="15667"/>
    </bk>
    <bk>
      <rc t="1" v="15668"/>
    </bk>
    <bk>
      <rc t="1" v="15669"/>
    </bk>
    <bk>
      <rc t="1" v="15670"/>
    </bk>
    <bk>
      <rc t="1" v="15671"/>
    </bk>
    <bk>
      <rc t="1" v="15672"/>
    </bk>
    <bk>
      <rc t="1" v="15673"/>
    </bk>
    <bk>
      <rc t="1" v="15674"/>
    </bk>
    <bk>
      <rc t="1" v="15675"/>
    </bk>
    <bk>
      <rc t="1" v="15676"/>
    </bk>
    <bk>
      <rc t="1" v="15677"/>
    </bk>
    <bk>
      <rc t="1" v="15678"/>
    </bk>
    <bk>
      <rc t="1" v="15679"/>
    </bk>
    <bk>
      <rc t="1" v="15680"/>
    </bk>
    <bk>
      <rc t="1" v="15681"/>
    </bk>
    <bk>
      <rc t="1" v="15682"/>
    </bk>
    <bk>
      <rc t="1" v="15683"/>
    </bk>
    <bk>
      <rc t="1" v="15684"/>
    </bk>
    <bk>
      <rc t="1" v="15685"/>
    </bk>
    <bk>
      <rc t="1" v="15686"/>
    </bk>
    <bk>
      <rc t="1" v="15687"/>
    </bk>
    <bk>
      <rc t="1" v="15688"/>
    </bk>
    <bk>
      <rc t="1" v="15689"/>
    </bk>
    <bk>
      <rc t="1" v="15690"/>
    </bk>
    <bk>
      <rc t="1" v="15691"/>
    </bk>
    <bk>
      <rc t="1" v="15692"/>
    </bk>
    <bk>
      <rc t="1" v="15693"/>
    </bk>
    <bk>
      <rc t="1" v="15694"/>
    </bk>
    <bk>
      <rc t="1" v="15695"/>
    </bk>
    <bk>
      <rc t="1" v="15696"/>
    </bk>
    <bk>
      <rc t="1" v="15697"/>
    </bk>
    <bk>
      <rc t="1" v="15698"/>
    </bk>
    <bk>
      <rc t="1" v="15699"/>
    </bk>
    <bk>
      <rc t="1" v="15700"/>
    </bk>
    <bk>
      <rc t="1" v="15701"/>
    </bk>
    <bk>
      <rc t="1" v="15702"/>
    </bk>
    <bk>
      <rc t="1" v="15703"/>
    </bk>
    <bk>
      <rc t="1" v="15704"/>
    </bk>
    <bk>
      <rc t="1" v="15705"/>
    </bk>
    <bk>
      <rc t="1" v="15706"/>
    </bk>
    <bk>
      <rc t="1" v="15707"/>
    </bk>
    <bk>
      <rc t="1" v="15708"/>
    </bk>
    <bk>
      <rc t="1" v="15709"/>
    </bk>
    <bk>
      <rc t="1" v="15710"/>
    </bk>
    <bk>
      <rc t="1" v="15711"/>
    </bk>
    <bk>
      <rc t="1" v="15712"/>
    </bk>
    <bk>
      <rc t="1" v="15713"/>
    </bk>
    <bk>
      <rc t="1" v="15714"/>
    </bk>
    <bk>
      <rc t="1" v="15715"/>
    </bk>
    <bk>
      <rc t="1" v="15716"/>
    </bk>
    <bk>
      <rc t="1" v="15717"/>
    </bk>
    <bk>
      <rc t="1" v="15718"/>
    </bk>
    <bk>
      <rc t="1" v="15719"/>
    </bk>
    <bk>
      <rc t="1" v="15720"/>
    </bk>
    <bk>
      <rc t="1" v="15721"/>
    </bk>
    <bk>
      <rc t="1" v="15722"/>
    </bk>
    <bk>
      <rc t="1" v="15723"/>
    </bk>
    <bk>
      <rc t="1" v="15724"/>
    </bk>
    <bk>
      <rc t="1" v="15725"/>
    </bk>
    <bk>
      <rc t="1" v="15726"/>
    </bk>
    <bk>
      <rc t="1" v="15727"/>
    </bk>
    <bk>
      <rc t="1" v="15728"/>
    </bk>
    <bk>
      <rc t="1" v="15729"/>
    </bk>
    <bk>
      <rc t="1" v="15730"/>
    </bk>
    <bk>
      <rc t="1" v="15731"/>
    </bk>
    <bk>
      <rc t="1" v="15732"/>
    </bk>
    <bk>
      <rc t="1" v="15733"/>
    </bk>
    <bk>
      <rc t="1" v="15734"/>
    </bk>
    <bk>
      <rc t="1" v="15735"/>
    </bk>
    <bk>
      <rc t="1" v="15736"/>
    </bk>
    <bk>
      <rc t="1" v="15737"/>
    </bk>
    <bk>
      <rc t="1" v="15738"/>
    </bk>
    <bk>
      <rc t="1" v="15739"/>
    </bk>
    <bk>
      <rc t="1" v="15740"/>
    </bk>
    <bk>
      <rc t="1" v="15741"/>
    </bk>
    <bk>
      <rc t="1" v="15742"/>
    </bk>
    <bk>
      <rc t="1" v="15743"/>
    </bk>
    <bk>
      <rc t="1" v="15744"/>
    </bk>
    <bk>
      <rc t="1" v="15745"/>
    </bk>
    <bk>
      <rc t="1" v="15746"/>
    </bk>
    <bk>
      <rc t="1" v="15747"/>
    </bk>
    <bk>
      <rc t="1" v="15748"/>
    </bk>
    <bk>
      <rc t="1" v="15749"/>
    </bk>
    <bk>
      <rc t="1" v="15750"/>
    </bk>
    <bk>
      <rc t="1" v="15751"/>
    </bk>
    <bk>
      <rc t="1" v="15752"/>
    </bk>
    <bk>
      <rc t="1" v="15753"/>
    </bk>
    <bk>
      <rc t="1" v="15754"/>
    </bk>
    <bk>
      <rc t="1" v="15755"/>
    </bk>
    <bk>
      <rc t="1" v="15756"/>
    </bk>
    <bk>
      <rc t="1" v="15757"/>
    </bk>
    <bk>
      <rc t="1" v="15758"/>
    </bk>
    <bk>
      <rc t="1" v="15759"/>
    </bk>
    <bk>
      <rc t="1" v="15760"/>
    </bk>
    <bk>
      <rc t="1" v="15761"/>
    </bk>
    <bk>
      <rc t="1" v="15762"/>
    </bk>
    <bk>
      <rc t="1" v="15763"/>
    </bk>
    <bk>
      <rc t="1" v="15764"/>
    </bk>
    <bk>
      <rc t="1" v="15765"/>
    </bk>
    <bk>
      <rc t="1" v="15766"/>
    </bk>
    <bk>
      <rc t="1" v="15767"/>
    </bk>
    <bk>
      <rc t="1" v="15768"/>
    </bk>
    <bk>
      <rc t="1" v="15769"/>
    </bk>
    <bk>
      <rc t="1" v="15770"/>
    </bk>
    <bk>
      <rc t="1" v="15771"/>
    </bk>
    <bk>
      <rc t="1" v="15772"/>
    </bk>
    <bk>
      <rc t="1" v="15773"/>
    </bk>
    <bk>
      <rc t="1" v="15774"/>
    </bk>
    <bk>
      <rc t="1" v="15775"/>
    </bk>
    <bk>
      <rc t="1" v="15776"/>
    </bk>
    <bk>
      <rc t="1" v="15777"/>
    </bk>
    <bk>
      <rc t="1" v="15778"/>
    </bk>
    <bk>
      <rc t="1" v="15779"/>
    </bk>
    <bk>
      <rc t="1" v="15780"/>
    </bk>
    <bk>
      <rc t="1" v="15781"/>
    </bk>
    <bk>
      <rc t="1" v="15782"/>
    </bk>
    <bk>
      <rc t="1" v="15783"/>
    </bk>
    <bk>
      <rc t="1" v="15784"/>
    </bk>
    <bk>
      <rc t="1" v="15785"/>
    </bk>
    <bk>
      <rc t="1" v="15786"/>
    </bk>
    <bk>
      <rc t="1" v="15787"/>
    </bk>
    <bk>
      <rc t="1" v="15788"/>
    </bk>
    <bk>
      <rc t="1" v="15789"/>
    </bk>
    <bk>
      <rc t="1" v="15790"/>
    </bk>
    <bk>
      <rc t="1" v="15791"/>
    </bk>
    <bk>
      <rc t="1" v="15792"/>
    </bk>
    <bk>
      <rc t="1" v="15793"/>
    </bk>
    <bk>
      <rc t="1" v="15794"/>
    </bk>
    <bk>
      <rc t="1" v="15795"/>
    </bk>
    <bk>
      <rc t="1" v="15796"/>
    </bk>
    <bk>
      <rc t="1" v="15797"/>
    </bk>
    <bk>
      <rc t="1" v="15798"/>
    </bk>
    <bk>
      <rc t="1" v="15799"/>
    </bk>
    <bk>
      <rc t="1" v="15800"/>
    </bk>
    <bk>
      <rc t="1" v="15801"/>
    </bk>
    <bk>
      <rc t="1" v="15802"/>
    </bk>
    <bk>
      <rc t="1" v="15803"/>
    </bk>
    <bk>
      <rc t="1" v="15804"/>
    </bk>
    <bk>
      <rc t="1" v="15805"/>
    </bk>
    <bk>
      <rc t="1" v="15806"/>
    </bk>
    <bk>
      <rc t="1" v="15807"/>
    </bk>
    <bk>
      <rc t="1" v="15808"/>
    </bk>
    <bk>
      <rc t="1" v="15809"/>
    </bk>
    <bk>
      <rc t="1" v="15810"/>
    </bk>
    <bk>
      <rc t="1" v="15811"/>
    </bk>
    <bk>
      <rc t="1" v="15812"/>
    </bk>
    <bk>
      <rc t="1" v="15813"/>
    </bk>
    <bk>
      <rc t="1" v="15814"/>
    </bk>
    <bk>
      <rc t="1" v="15815"/>
    </bk>
    <bk>
      <rc t="1" v="15816"/>
    </bk>
    <bk>
      <rc t="1" v="15817"/>
    </bk>
    <bk>
      <rc t="1" v="15818"/>
    </bk>
    <bk>
      <rc t="1" v="15819"/>
    </bk>
    <bk>
      <rc t="1" v="15820"/>
    </bk>
    <bk>
      <rc t="1" v="15821"/>
    </bk>
    <bk>
      <rc t="1" v="15822"/>
    </bk>
    <bk>
      <rc t="1" v="15823"/>
    </bk>
    <bk>
      <rc t="1" v="15824"/>
    </bk>
    <bk>
      <rc t="1" v="15825"/>
    </bk>
    <bk>
      <rc t="1" v="15826"/>
    </bk>
    <bk>
      <rc t="1" v="15827"/>
    </bk>
    <bk>
      <rc t="1" v="15828"/>
    </bk>
    <bk>
      <rc t="1" v="15829"/>
    </bk>
    <bk>
      <rc t="1" v="15830"/>
    </bk>
    <bk>
      <rc t="1" v="15831"/>
    </bk>
    <bk>
      <rc t="1" v="15832"/>
    </bk>
    <bk>
      <rc t="1" v="15833"/>
    </bk>
    <bk>
      <rc t="1" v="15834"/>
    </bk>
    <bk>
      <rc t="1" v="15835"/>
    </bk>
    <bk>
      <rc t="1" v="15836"/>
    </bk>
    <bk>
      <rc t="1" v="15837"/>
    </bk>
    <bk>
      <rc t="1" v="15838"/>
    </bk>
    <bk>
      <rc t="1" v="15839"/>
    </bk>
    <bk>
      <rc t="1" v="15840"/>
    </bk>
    <bk>
      <rc t="1" v="15841"/>
    </bk>
    <bk>
      <rc t="1" v="15842"/>
    </bk>
    <bk>
      <rc t="1" v="15843"/>
    </bk>
    <bk>
      <rc t="1" v="15844"/>
    </bk>
    <bk>
      <rc t="1" v="15845"/>
    </bk>
    <bk>
      <rc t="1" v="15846"/>
    </bk>
    <bk>
      <rc t="1" v="15847"/>
    </bk>
    <bk>
      <rc t="1" v="15848"/>
    </bk>
    <bk>
      <rc t="1" v="15849"/>
    </bk>
    <bk>
      <rc t="1" v="15850"/>
    </bk>
    <bk>
      <rc t="1" v="15851"/>
    </bk>
    <bk>
      <rc t="1" v="15852"/>
    </bk>
    <bk>
      <rc t="1" v="15853"/>
    </bk>
    <bk>
      <rc t="1" v="15854"/>
    </bk>
    <bk>
      <rc t="1" v="15855"/>
    </bk>
    <bk>
      <rc t="1" v="15856"/>
    </bk>
    <bk>
      <rc t="1" v="15857"/>
    </bk>
    <bk>
      <rc t="1" v="15858"/>
    </bk>
    <bk>
      <rc t="1" v="15859"/>
    </bk>
    <bk>
      <rc t="1" v="15860"/>
    </bk>
    <bk>
      <rc t="1" v="15861"/>
    </bk>
    <bk>
      <rc t="1" v="15862"/>
    </bk>
    <bk>
      <rc t="1" v="15863"/>
    </bk>
    <bk>
      <rc t="1" v="15864"/>
    </bk>
    <bk>
      <rc t="1" v="15865"/>
    </bk>
    <bk>
      <rc t="1" v="15866"/>
    </bk>
    <bk>
      <rc t="1" v="15867"/>
    </bk>
    <bk>
      <rc t="1" v="15868"/>
    </bk>
    <bk>
      <rc t="1" v="15869"/>
    </bk>
    <bk>
      <rc t="1" v="15870"/>
    </bk>
    <bk>
      <rc t="1" v="15871"/>
    </bk>
    <bk>
      <rc t="1" v="15872"/>
    </bk>
    <bk>
      <rc t="1" v="15873"/>
    </bk>
    <bk>
      <rc t="1" v="15874"/>
    </bk>
    <bk>
      <rc t="1" v="15875"/>
    </bk>
    <bk>
      <rc t="1" v="15876"/>
    </bk>
    <bk>
      <rc t="1" v="15877"/>
    </bk>
    <bk>
      <rc t="1" v="15878"/>
    </bk>
    <bk>
      <rc t="1" v="15879"/>
    </bk>
    <bk>
      <rc t="1" v="15880"/>
    </bk>
    <bk>
      <rc t="1" v="15881"/>
    </bk>
    <bk>
      <rc t="1" v="15882"/>
    </bk>
    <bk>
      <rc t="1" v="15883"/>
    </bk>
    <bk>
      <rc t="1" v="15884"/>
    </bk>
    <bk>
      <rc t="1" v="15885"/>
    </bk>
    <bk>
      <rc t="1" v="15886"/>
    </bk>
    <bk>
      <rc t="1" v="15887"/>
    </bk>
    <bk>
      <rc t="1" v="15888"/>
    </bk>
    <bk>
      <rc t="1" v="15889"/>
    </bk>
    <bk>
      <rc t="1" v="15890"/>
    </bk>
    <bk>
      <rc t="1" v="15891"/>
    </bk>
    <bk>
      <rc t="1" v="15892"/>
    </bk>
    <bk>
      <rc t="1" v="15893"/>
    </bk>
    <bk>
      <rc t="1" v="15894"/>
    </bk>
    <bk>
      <rc t="1" v="15895"/>
    </bk>
    <bk>
      <rc t="1" v="15896"/>
    </bk>
    <bk>
      <rc t="1" v="15897"/>
    </bk>
    <bk>
      <rc t="1" v="15898"/>
    </bk>
    <bk>
      <rc t="1" v="15899"/>
    </bk>
    <bk>
      <rc t="1" v="15900"/>
    </bk>
    <bk>
      <rc t="1" v="15901"/>
    </bk>
    <bk>
      <rc t="1" v="15902"/>
    </bk>
    <bk>
      <rc t="1" v="15903"/>
    </bk>
    <bk>
      <rc t="1" v="15904"/>
    </bk>
    <bk>
      <rc t="1" v="15905"/>
    </bk>
    <bk>
      <rc t="1" v="15906"/>
    </bk>
    <bk>
      <rc t="1" v="15907"/>
    </bk>
    <bk>
      <rc t="1" v="15908"/>
    </bk>
    <bk>
      <rc t="1" v="15909"/>
    </bk>
    <bk>
      <rc t="1" v="15910"/>
    </bk>
    <bk>
      <rc t="1" v="15911"/>
    </bk>
    <bk>
      <rc t="1" v="15912"/>
    </bk>
    <bk>
      <rc t="1" v="15913"/>
    </bk>
    <bk>
      <rc t="1" v="15914"/>
    </bk>
    <bk>
      <rc t="1" v="15915"/>
    </bk>
    <bk>
      <rc t="1" v="15916"/>
    </bk>
    <bk>
      <rc t="1" v="15917"/>
    </bk>
    <bk>
      <rc t="1" v="15918"/>
    </bk>
    <bk>
      <rc t="1" v="15919"/>
    </bk>
    <bk>
      <rc t="1" v="15920"/>
    </bk>
    <bk>
      <rc t="1" v="15921"/>
    </bk>
    <bk>
      <rc t="1" v="15922"/>
    </bk>
    <bk>
      <rc t="1" v="15923"/>
    </bk>
    <bk>
      <rc t="1" v="15924"/>
    </bk>
    <bk>
      <rc t="1" v="15925"/>
    </bk>
    <bk>
      <rc t="1" v="15926"/>
    </bk>
    <bk>
      <rc t="1" v="15927"/>
    </bk>
    <bk>
      <rc t="1" v="15928"/>
    </bk>
    <bk>
      <rc t="1" v="15929"/>
    </bk>
    <bk>
      <rc t="1" v="15930"/>
    </bk>
    <bk>
      <rc t="1" v="15931"/>
    </bk>
    <bk>
      <rc t="1" v="15932"/>
    </bk>
    <bk>
      <rc t="1" v="15933"/>
    </bk>
    <bk>
      <rc t="1" v="15934"/>
    </bk>
    <bk>
      <rc t="1" v="15935"/>
    </bk>
    <bk>
      <rc t="1" v="15936"/>
    </bk>
    <bk>
      <rc t="1" v="15937"/>
    </bk>
    <bk>
      <rc t="1" v="15938"/>
    </bk>
    <bk>
      <rc t="1" v="15939"/>
    </bk>
    <bk>
      <rc t="1" v="15940"/>
    </bk>
    <bk>
      <rc t="1" v="15941"/>
    </bk>
    <bk>
      <rc t="1" v="15942"/>
    </bk>
    <bk>
      <rc t="1" v="15943"/>
    </bk>
    <bk>
      <rc t="1" v="15944"/>
    </bk>
    <bk>
      <rc t="1" v="15945"/>
    </bk>
    <bk>
      <rc t="1" v="15946"/>
    </bk>
    <bk>
      <rc t="1" v="15947"/>
    </bk>
    <bk>
      <rc t="1" v="15948"/>
    </bk>
    <bk>
      <rc t="1" v="15949"/>
    </bk>
    <bk>
      <rc t="1" v="15950"/>
    </bk>
    <bk>
      <rc t="1" v="15951"/>
    </bk>
    <bk>
      <rc t="1" v="15952"/>
    </bk>
    <bk>
      <rc t="1" v="15953"/>
    </bk>
    <bk>
      <rc t="1" v="15954"/>
    </bk>
    <bk>
      <rc t="1" v="15955"/>
    </bk>
    <bk>
      <rc t="1" v="15956"/>
    </bk>
    <bk>
      <rc t="1" v="15957"/>
    </bk>
    <bk>
      <rc t="1" v="15958"/>
    </bk>
    <bk>
      <rc t="1" v="15959"/>
    </bk>
    <bk>
      <rc t="1" v="15960"/>
    </bk>
    <bk>
      <rc t="1" v="15961"/>
    </bk>
    <bk>
      <rc t="1" v="15962"/>
    </bk>
    <bk>
      <rc t="1" v="15963"/>
    </bk>
    <bk>
      <rc t="1" v="15964"/>
    </bk>
    <bk>
      <rc t="1" v="15965"/>
    </bk>
    <bk>
      <rc t="1" v="15966"/>
    </bk>
    <bk>
      <rc t="1" v="15967"/>
    </bk>
    <bk>
      <rc t="1" v="15968"/>
    </bk>
    <bk>
      <rc t="1" v="15969"/>
    </bk>
    <bk>
      <rc t="1" v="15970"/>
    </bk>
    <bk>
      <rc t="1" v="15971"/>
    </bk>
    <bk>
      <rc t="1" v="15972"/>
    </bk>
    <bk>
      <rc t="1" v="15973"/>
    </bk>
    <bk>
      <rc t="1" v="15974"/>
    </bk>
    <bk>
      <rc t="1" v="15975"/>
    </bk>
    <bk>
      <rc t="1" v="15976"/>
    </bk>
    <bk>
      <rc t="1" v="15977"/>
    </bk>
    <bk>
      <rc t="1" v="15978"/>
    </bk>
    <bk>
      <rc t="1" v="15979"/>
    </bk>
    <bk>
      <rc t="1" v="15980"/>
    </bk>
    <bk>
      <rc t="1" v="15981"/>
    </bk>
    <bk>
      <rc t="1" v="15982"/>
    </bk>
    <bk>
      <rc t="1" v="15983"/>
    </bk>
    <bk>
      <rc t="1" v="15984"/>
    </bk>
    <bk>
      <rc t="1" v="15985"/>
    </bk>
    <bk>
      <rc t="1" v="15986"/>
    </bk>
    <bk>
      <rc t="1" v="15987"/>
    </bk>
    <bk>
      <rc t="1" v="15988"/>
    </bk>
    <bk>
      <rc t="1" v="15989"/>
    </bk>
    <bk>
      <rc t="1" v="15990"/>
    </bk>
    <bk>
      <rc t="1" v="15991"/>
    </bk>
    <bk>
      <rc t="1" v="15992"/>
    </bk>
    <bk>
      <rc t="1" v="15993"/>
    </bk>
    <bk>
      <rc t="1" v="15994"/>
    </bk>
    <bk>
      <rc t="1" v="15995"/>
    </bk>
    <bk>
      <rc t="1" v="15996"/>
    </bk>
    <bk>
      <rc t="1" v="15997"/>
    </bk>
    <bk>
      <rc t="1" v="15998"/>
    </bk>
    <bk>
      <rc t="1" v="15999"/>
    </bk>
    <bk>
      <rc t="1" v="16000"/>
    </bk>
    <bk>
      <rc t="1" v="16001"/>
    </bk>
    <bk>
      <rc t="1" v="16002"/>
    </bk>
    <bk>
      <rc t="1" v="16003"/>
    </bk>
    <bk>
      <rc t="1" v="16004"/>
    </bk>
    <bk>
      <rc t="1" v="16005"/>
    </bk>
    <bk>
      <rc t="1" v="16006"/>
    </bk>
    <bk>
      <rc t="1" v="16007"/>
    </bk>
    <bk>
      <rc t="1" v="16008"/>
    </bk>
    <bk>
      <rc t="1" v="16009"/>
    </bk>
    <bk>
      <rc t="1" v="16010"/>
    </bk>
    <bk>
      <rc t="1" v="16011"/>
    </bk>
    <bk>
      <rc t="1" v="16012"/>
    </bk>
    <bk>
      <rc t="1" v="16013"/>
    </bk>
    <bk>
      <rc t="1" v="16014"/>
    </bk>
    <bk>
      <rc t="1" v="16015"/>
    </bk>
    <bk>
      <rc t="1" v="16016"/>
    </bk>
    <bk>
      <rc t="1" v="16017"/>
    </bk>
    <bk>
      <rc t="1" v="16018"/>
    </bk>
    <bk>
      <rc t="1" v="16019"/>
    </bk>
    <bk>
      <rc t="1" v="16020"/>
    </bk>
    <bk>
      <rc t="1" v="16021"/>
    </bk>
    <bk>
      <rc t="1" v="16022"/>
    </bk>
    <bk>
      <rc t="1" v="16023"/>
    </bk>
    <bk>
      <rc t="1" v="16024"/>
    </bk>
    <bk>
      <rc t="1" v="16025"/>
    </bk>
    <bk>
      <rc t="1" v="16026"/>
    </bk>
    <bk>
      <rc t="1" v="16027"/>
    </bk>
    <bk>
      <rc t="1" v="16028"/>
    </bk>
    <bk>
      <rc t="1" v="16029"/>
    </bk>
    <bk>
      <rc t="1" v="16030"/>
    </bk>
    <bk>
      <rc t="1" v="16031"/>
    </bk>
    <bk>
      <rc t="1" v="16032"/>
    </bk>
    <bk>
      <rc t="1" v="16033"/>
    </bk>
    <bk>
      <rc t="1" v="16034"/>
    </bk>
    <bk>
      <rc t="1" v="16035"/>
    </bk>
    <bk>
      <rc t="1" v="16036"/>
    </bk>
    <bk>
      <rc t="1" v="16037"/>
    </bk>
    <bk>
      <rc t="1" v="16038"/>
    </bk>
    <bk>
      <rc t="1" v="16039"/>
    </bk>
    <bk>
      <rc t="1" v="16040"/>
    </bk>
    <bk>
      <rc t="1" v="16041"/>
    </bk>
    <bk>
      <rc t="1" v="16042"/>
    </bk>
    <bk>
      <rc t="1" v="16043"/>
    </bk>
    <bk>
      <rc t="1" v="16044"/>
    </bk>
    <bk>
      <rc t="1" v="16045"/>
    </bk>
    <bk>
      <rc t="1" v="16046"/>
    </bk>
    <bk>
      <rc t="1" v="16047"/>
    </bk>
    <bk>
      <rc t="1" v="16048"/>
    </bk>
    <bk>
      <rc t="1" v="16049"/>
    </bk>
    <bk>
      <rc t="1" v="16050"/>
    </bk>
    <bk>
      <rc t="1" v="16051"/>
    </bk>
    <bk>
      <rc t="1" v="16052"/>
    </bk>
    <bk>
      <rc t="1" v="16053"/>
    </bk>
    <bk>
      <rc t="1" v="16054"/>
    </bk>
    <bk>
      <rc t="1" v="16055"/>
    </bk>
    <bk>
      <rc t="1" v="16056"/>
    </bk>
    <bk>
      <rc t="1" v="16057"/>
    </bk>
    <bk>
      <rc t="1" v="16058"/>
    </bk>
    <bk>
      <rc t="1" v="16059"/>
    </bk>
    <bk>
      <rc t="1" v="16060"/>
    </bk>
    <bk>
      <rc t="1" v="16061"/>
    </bk>
    <bk>
      <rc t="1" v="16062"/>
    </bk>
    <bk>
      <rc t="1" v="16063"/>
    </bk>
    <bk>
      <rc t="1" v="16064"/>
    </bk>
    <bk>
      <rc t="1" v="16065"/>
    </bk>
    <bk>
      <rc t="1" v="16066"/>
    </bk>
    <bk>
      <rc t="1" v="16067"/>
    </bk>
    <bk>
      <rc t="1" v="16068"/>
    </bk>
    <bk>
      <rc t="1" v="16069"/>
    </bk>
    <bk>
      <rc t="1" v="16070"/>
    </bk>
    <bk>
      <rc t="1" v="16071"/>
    </bk>
    <bk>
      <rc t="1" v="16072"/>
    </bk>
    <bk>
      <rc t="1" v="16073"/>
    </bk>
    <bk>
      <rc t="1" v="16074"/>
    </bk>
    <bk>
      <rc t="1" v="16075"/>
    </bk>
    <bk>
      <rc t="1" v="16076"/>
    </bk>
    <bk>
      <rc t="1" v="16077"/>
    </bk>
    <bk>
      <rc t="1" v="16078"/>
    </bk>
    <bk>
      <rc t="1" v="16079"/>
    </bk>
    <bk>
      <rc t="1" v="16080"/>
    </bk>
    <bk>
      <rc t="1" v="16081"/>
    </bk>
    <bk>
      <rc t="1" v="16082"/>
    </bk>
    <bk>
      <rc t="1" v="16083"/>
    </bk>
    <bk>
      <rc t="1" v="16084"/>
    </bk>
    <bk>
      <rc t="1" v="16085"/>
    </bk>
    <bk>
      <rc t="1" v="16086"/>
    </bk>
    <bk>
      <rc t="1" v="16087"/>
    </bk>
    <bk>
      <rc t="1" v="16088"/>
    </bk>
    <bk>
      <rc t="1" v="16089"/>
    </bk>
    <bk>
      <rc t="1" v="16090"/>
    </bk>
    <bk>
      <rc t="1" v="16091"/>
    </bk>
    <bk>
      <rc t="1" v="16092"/>
    </bk>
    <bk>
      <rc t="1" v="16093"/>
    </bk>
    <bk>
      <rc t="1" v="16094"/>
    </bk>
    <bk>
      <rc t="1" v="16095"/>
    </bk>
    <bk>
      <rc t="1" v="16096"/>
    </bk>
    <bk>
      <rc t="1" v="16097"/>
    </bk>
    <bk>
      <rc t="1" v="16098"/>
    </bk>
    <bk>
      <rc t="1" v="16099"/>
    </bk>
    <bk>
      <rc t="1" v="16100"/>
    </bk>
    <bk>
      <rc t="1" v="16101"/>
    </bk>
    <bk>
      <rc t="1" v="16102"/>
    </bk>
    <bk>
      <rc t="1" v="16103"/>
    </bk>
    <bk>
      <rc t="1" v="16104"/>
    </bk>
    <bk>
      <rc t="1" v="16105"/>
    </bk>
    <bk>
      <rc t="1" v="16106"/>
    </bk>
    <bk>
      <rc t="1" v="16107"/>
    </bk>
    <bk>
      <rc t="1" v="16108"/>
    </bk>
    <bk>
      <rc t="1" v="16109"/>
    </bk>
    <bk>
      <rc t="1" v="16110"/>
    </bk>
    <bk>
      <rc t="1" v="16111"/>
    </bk>
    <bk>
      <rc t="1" v="16112"/>
    </bk>
    <bk>
      <rc t="1" v="16113"/>
    </bk>
    <bk>
      <rc t="1" v="16114"/>
    </bk>
    <bk>
      <rc t="1" v="16115"/>
    </bk>
    <bk>
      <rc t="1" v="16116"/>
    </bk>
    <bk>
      <rc t="1" v="16117"/>
    </bk>
    <bk>
      <rc t="1" v="16118"/>
    </bk>
    <bk>
      <rc t="1" v="16119"/>
    </bk>
    <bk>
      <rc t="1" v="16120"/>
    </bk>
    <bk>
      <rc t="1" v="16121"/>
    </bk>
    <bk>
      <rc t="1" v="16122"/>
    </bk>
    <bk>
      <rc t="1" v="16123"/>
    </bk>
    <bk>
      <rc t="1" v="16124"/>
    </bk>
    <bk>
      <rc t="1" v="16125"/>
    </bk>
    <bk>
      <rc t="1" v="16126"/>
    </bk>
    <bk>
      <rc t="1" v="16127"/>
    </bk>
    <bk>
      <rc t="1" v="16128"/>
    </bk>
    <bk>
      <rc t="1" v="16129"/>
    </bk>
    <bk>
      <rc t="1" v="16130"/>
    </bk>
    <bk>
      <rc t="1" v="16131"/>
    </bk>
    <bk>
      <rc t="1" v="16132"/>
    </bk>
    <bk>
      <rc t="1" v="16133"/>
    </bk>
    <bk>
      <rc t="1" v="16134"/>
    </bk>
    <bk>
      <rc t="1" v="16135"/>
    </bk>
    <bk>
      <rc t="1" v="16136"/>
    </bk>
    <bk>
      <rc t="1" v="16137"/>
    </bk>
    <bk>
      <rc t="1" v="16138"/>
    </bk>
    <bk>
      <rc t="1" v="16139"/>
    </bk>
    <bk>
      <rc t="1" v="16140"/>
    </bk>
    <bk>
      <rc t="1" v="16141"/>
    </bk>
    <bk>
      <rc t="1" v="16142"/>
    </bk>
    <bk>
      <rc t="1" v="16143"/>
    </bk>
    <bk>
      <rc t="1" v="16144"/>
    </bk>
    <bk>
      <rc t="1" v="16145"/>
    </bk>
    <bk>
      <rc t="1" v="16146"/>
    </bk>
    <bk>
      <rc t="1" v="16147"/>
    </bk>
    <bk>
      <rc t="1" v="16148"/>
    </bk>
    <bk>
      <rc t="1" v="16149"/>
    </bk>
    <bk>
      <rc t="1" v="16150"/>
    </bk>
    <bk>
      <rc t="1" v="16151"/>
    </bk>
    <bk>
      <rc t="1" v="16152"/>
    </bk>
    <bk>
      <rc t="1" v="16153"/>
    </bk>
    <bk>
      <rc t="1" v="16154"/>
    </bk>
    <bk>
      <rc t="1" v="16155"/>
    </bk>
    <bk>
      <rc t="1" v="16156"/>
    </bk>
    <bk>
      <rc t="1" v="16157"/>
    </bk>
    <bk>
      <rc t="1" v="16158"/>
    </bk>
    <bk>
      <rc t="1" v="16159"/>
    </bk>
    <bk>
      <rc t="1" v="16160"/>
    </bk>
    <bk>
      <rc t="1" v="16161"/>
    </bk>
    <bk>
      <rc t="1" v="16162"/>
    </bk>
    <bk>
      <rc t="1" v="16163"/>
    </bk>
    <bk>
      <rc t="1" v="16164"/>
    </bk>
    <bk>
      <rc t="1" v="16165"/>
    </bk>
    <bk>
      <rc t="1" v="16166"/>
    </bk>
    <bk>
      <rc t="1" v="16167"/>
    </bk>
    <bk>
      <rc t="1" v="16168"/>
    </bk>
    <bk>
      <rc t="1" v="16169"/>
    </bk>
    <bk>
      <rc t="1" v="16170"/>
    </bk>
    <bk>
      <rc t="1" v="16171"/>
    </bk>
    <bk>
      <rc t="1" v="16172"/>
    </bk>
    <bk>
      <rc t="1" v="16173"/>
    </bk>
    <bk>
      <rc t="1" v="16174"/>
    </bk>
    <bk>
      <rc t="1" v="16175"/>
    </bk>
    <bk>
      <rc t="1" v="16176"/>
    </bk>
    <bk>
      <rc t="1" v="16177"/>
    </bk>
    <bk>
      <rc t="1" v="16178"/>
    </bk>
    <bk>
      <rc t="1" v="16179"/>
    </bk>
    <bk>
      <rc t="1" v="16180"/>
    </bk>
    <bk>
      <rc t="1" v="16181"/>
    </bk>
    <bk>
      <rc t="1" v="16182"/>
    </bk>
    <bk>
      <rc t="1" v="16183"/>
    </bk>
    <bk>
      <rc t="1" v="16184"/>
    </bk>
    <bk>
      <rc t="1" v="16185"/>
    </bk>
    <bk>
      <rc t="1" v="16186"/>
    </bk>
    <bk>
      <rc t="1" v="16187"/>
    </bk>
    <bk>
      <rc t="1" v="16188"/>
    </bk>
    <bk>
      <rc t="1" v="16189"/>
    </bk>
    <bk>
      <rc t="1" v="16190"/>
    </bk>
    <bk>
      <rc t="1" v="16191"/>
    </bk>
    <bk>
      <rc t="1" v="16192"/>
    </bk>
    <bk>
      <rc t="1" v="16193"/>
    </bk>
    <bk>
      <rc t="1" v="16194"/>
    </bk>
    <bk>
      <rc t="1" v="16195"/>
    </bk>
    <bk>
      <rc t="1" v="16196"/>
    </bk>
    <bk>
      <rc t="1" v="16197"/>
    </bk>
    <bk>
      <rc t="1" v="16198"/>
    </bk>
    <bk>
      <rc t="1" v="16199"/>
    </bk>
    <bk>
      <rc t="1" v="16200"/>
    </bk>
    <bk>
      <rc t="1" v="16201"/>
    </bk>
    <bk>
      <rc t="1" v="16202"/>
    </bk>
    <bk>
      <rc t="1" v="16203"/>
    </bk>
    <bk>
      <rc t="1" v="16204"/>
    </bk>
    <bk>
      <rc t="1" v="16205"/>
    </bk>
    <bk>
      <rc t="1" v="16206"/>
    </bk>
    <bk>
      <rc t="1" v="16207"/>
    </bk>
    <bk>
      <rc t="1" v="16208"/>
    </bk>
    <bk>
      <rc t="1" v="16209"/>
    </bk>
    <bk>
      <rc t="1" v="16210"/>
    </bk>
    <bk>
      <rc t="1" v="16211"/>
    </bk>
    <bk>
      <rc t="1" v="16212"/>
    </bk>
    <bk>
      <rc t="1" v="16213"/>
    </bk>
    <bk>
      <rc t="1" v="16214"/>
    </bk>
    <bk>
      <rc t="1" v="16215"/>
    </bk>
    <bk>
      <rc t="1" v="16216"/>
    </bk>
    <bk>
      <rc t="1" v="16217"/>
    </bk>
    <bk>
      <rc t="1" v="16218"/>
    </bk>
    <bk>
      <rc t="1" v="16219"/>
    </bk>
    <bk>
      <rc t="1" v="16220"/>
    </bk>
    <bk>
      <rc t="1" v="16221"/>
    </bk>
    <bk>
      <rc t="1" v="16222"/>
    </bk>
    <bk>
      <rc t="1" v="16223"/>
    </bk>
    <bk>
      <rc t="1" v="16224"/>
    </bk>
    <bk>
      <rc t="1" v="16225"/>
    </bk>
    <bk>
      <rc t="1" v="16226"/>
    </bk>
    <bk>
      <rc t="1" v="16227"/>
    </bk>
    <bk>
      <rc t="1" v="16228"/>
    </bk>
    <bk>
      <rc t="1" v="16229"/>
    </bk>
    <bk>
      <rc t="1" v="16230"/>
    </bk>
    <bk>
      <rc t="1" v="16231"/>
    </bk>
    <bk>
      <rc t="1" v="16232"/>
    </bk>
    <bk>
      <rc t="1" v="16233"/>
    </bk>
    <bk>
      <rc t="1" v="16234"/>
    </bk>
    <bk>
      <rc t="1" v="16235"/>
    </bk>
    <bk>
      <rc t="1" v="16236"/>
    </bk>
    <bk>
      <rc t="1" v="16237"/>
    </bk>
    <bk>
      <rc t="1" v="16238"/>
    </bk>
    <bk>
      <rc t="1" v="16239"/>
    </bk>
    <bk>
      <rc t="1" v="16240"/>
    </bk>
    <bk>
      <rc t="1" v="16241"/>
    </bk>
    <bk>
      <rc t="1" v="16242"/>
    </bk>
    <bk>
      <rc t="1" v="16243"/>
    </bk>
    <bk>
      <rc t="1" v="16244"/>
    </bk>
    <bk>
      <rc t="1" v="16245"/>
    </bk>
    <bk>
      <rc t="1" v="16246"/>
    </bk>
    <bk>
      <rc t="1" v="16247"/>
    </bk>
    <bk>
      <rc t="1" v="16248"/>
    </bk>
    <bk>
      <rc t="1" v="16249"/>
    </bk>
    <bk>
      <rc t="1" v="16250"/>
    </bk>
    <bk>
      <rc t="1" v="16251"/>
    </bk>
    <bk>
      <rc t="1" v="16252"/>
    </bk>
    <bk>
      <rc t="1" v="16253"/>
    </bk>
    <bk>
      <rc t="1" v="16254"/>
    </bk>
    <bk>
      <rc t="1" v="16255"/>
    </bk>
    <bk>
      <rc t="1" v="16256"/>
    </bk>
    <bk>
      <rc t="1" v="16257"/>
    </bk>
    <bk>
      <rc t="1" v="16258"/>
    </bk>
    <bk>
      <rc t="1" v="16259"/>
    </bk>
    <bk>
      <rc t="1" v="16260"/>
    </bk>
    <bk>
      <rc t="1" v="16261"/>
    </bk>
    <bk>
      <rc t="1" v="16262"/>
    </bk>
    <bk>
      <rc t="1" v="16263"/>
    </bk>
    <bk>
      <rc t="1" v="16264"/>
    </bk>
    <bk>
      <rc t="1" v="16265"/>
    </bk>
    <bk>
      <rc t="1" v="16266"/>
    </bk>
    <bk>
      <rc t="1" v="16267"/>
    </bk>
    <bk>
      <rc t="1" v="16268"/>
    </bk>
    <bk>
      <rc t="1" v="16269"/>
    </bk>
    <bk>
      <rc t="1" v="16270"/>
    </bk>
    <bk>
      <rc t="1" v="16271"/>
    </bk>
    <bk>
      <rc t="1" v="16272"/>
    </bk>
    <bk>
      <rc t="1" v="16273"/>
    </bk>
    <bk>
      <rc t="1" v="16274"/>
    </bk>
    <bk>
      <rc t="1" v="16275"/>
    </bk>
    <bk>
      <rc t="1" v="16276"/>
    </bk>
    <bk>
      <rc t="1" v="16277"/>
    </bk>
    <bk>
      <rc t="1" v="16278"/>
    </bk>
    <bk>
      <rc t="1" v="16279"/>
    </bk>
    <bk>
      <rc t="1" v="16280"/>
    </bk>
    <bk>
      <rc t="1" v="16281"/>
    </bk>
    <bk>
      <rc t="1" v="16282"/>
    </bk>
    <bk>
      <rc t="1" v="16283"/>
    </bk>
    <bk>
      <rc t="1" v="16284"/>
    </bk>
    <bk>
      <rc t="1" v="16285"/>
    </bk>
    <bk>
      <rc t="1" v="16286"/>
    </bk>
    <bk>
      <rc t="1" v="16287"/>
    </bk>
    <bk>
      <rc t="1" v="16288"/>
    </bk>
    <bk>
      <rc t="1" v="16289"/>
    </bk>
    <bk>
      <rc t="1" v="16290"/>
    </bk>
    <bk>
      <rc t="1" v="16291"/>
    </bk>
    <bk>
      <rc t="1" v="16292"/>
    </bk>
    <bk>
      <rc t="1" v="16293"/>
    </bk>
    <bk>
      <rc t="1" v="16294"/>
    </bk>
    <bk>
      <rc t="1" v="16295"/>
    </bk>
    <bk>
      <rc t="1" v="16296"/>
    </bk>
    <bk>
      <rc t="1" v="16297"/>
    </bk>
    <bk>
      <rc t="1" v="16298"/>
    </bk>
    <bk>
      <rc t="1" v="16299"/>
    </bk>
    <bk>
      <rc t="1" v="16300"/>
    </bk>
    <bk>
      <rc t="1" v="16301"/>
    </bk>
    <bk>
      <rc t="1" v="16302"/>
    </bk>
    <bk>
      <rc t="1" v="16303"/>
    </bk>
    <bk>
      <rc t="1" v="16304"/>
    </bk>
    <bk>
      <rc t="1" v="16305"/>
    </bk>
    <bk>
      <rc t="1" v="16306"/>
    </bk>
    <bk>
      <rc t="1" v="16307"/>
    </bk>
    <bk>
      <rc t="1" v="16308"/>
    </bk>
    <bk>
      <rc t="1" v="16309"/>
    </bk>
    <bk>
      <rc t="1" v="16310"/>
    </bk>
    <bk>
      <rc t="1" v="16311"/>
    </bk>
    <bk>
      <rc t="1" v="16312"/>
    </bk>
    <bk>
      <rc t="1" v="16313"/>
    </bk>
    <bk>
      <rc t="1" v="16314"/>
    </bk>
    <bk>
      <rc t="1" v="16315"/>
    </bk>
    <bk>
      <rc t="1" v="16316"/>
    </bk>
    <bk>
      <rc t="1" v="16317"/>
    </bk>
    <bk>
      <rc t="1" v="16318"/>
    </bk>
    <bk>
      <rc t="1" v="16319"/>
    </bk>
    <bk>
      <rc t="1" v="16320"/>
    </bk>
    <bk>
      <rc t="1" v="16321"/>
    </bk>
    <bk>
      <rc t="1" v="16322"/>
    </bk>
    <bk>
      <rc t="1" v="16323"/>
    </bk>
    <bk>
      <rc t="1" v="16324"/>
    </bk>
    <bk>
      <rc t="1" v="16325"/>
    </bk>
    <bk>
      <rc t="1" v="16326"/>
    </bk>
    <bk>
      <rc t="1" v="16327"/>
    </bk>
    <bk>
      <rc t="1" v="16328"/>
    </bk>
    <bk>
      <rc t="1" v="16329"/>
    </bk>
    <bk>
      <rc t="1" v="16330"/>
    </bk>
    <bk>
      <rc t="1" v="16331"/>
    </bk>
    <bk>
      <rc t="1" v="16332"/>
    </bk>
    <bk>
      <rc t="1" v="16333"/>
    </bk>
    <bk>
      <rc t="1" v="16334"/>
    </bk>
    <bk>
      <rc t="1" v="16335"/>
    </bk>
    <bk>
      <rc t="1" v="16336"/>
    </bk>
    <bk>
      <rc t="1" v="16337"/>
    </bk>
    <bk>
      <rc t="1" v="16338"/>
    </bk>
    <bk>
      <rc t="1" v="16339"/>
    </bk>
    <bk>
      <rc t="1" v="16340"/>
    </bk>
    <bk>
      <rc t="1" v="16341"/>
    </bk>
    <bk>
      <rc t="1" v="16342"/>
    </bk>
    <bk>
      <rc t="1" v="16343"/>
    </bk>
    <bk>
      <rc t="1" v="16344"/>
    </bk>
    <bk>
      <rc t="1" v="16345"/>
    </bk>
    <bk>
      <rc t="1" v="16346"/>
    </bk>
    <bk>
      <rc t="1" v="16347"/>
    </bk>
    <bk>
      <rc t="1" v="16348"/>
    </bk>
    <bk>
      <rc t="1" v="16349"/>
    </bk>
    <bk>
      <rc t="1" v="16350"/>
    </bk>
    <bk>
      <rc t="1" v="16351"/>
    </bk>
    <bk>
      <rc t="1" v="16352"/>
    </bk>
    <bk>
      <rc t="1" v="16353"/>
    </bk>
    <bk>
      <rc t="1" v="16354"/>
    </bk>
    <bk>
      <rc t="1" v="16355"/>
    </bk>
    <bk>
      <rc t="1" v="16356"/>
    </bk>
    <bk>
      <rc t="1" v="16357"/>
    </bk>
    <bk>
      <rc t="1" v="16358"/>
    </bk>
    <bk>
      <rc t="1" v="16359"/>
    </bk>
    <bk>
      <rc t="1" v="16360"/>
    </bk>
    <bk>
      <rc t="1" v="16361"/>
    </bk>
    <bk>
      <rc t="1" v="16362"/>
    </bk>
    <bk>
      <rc t="1" v="16363"/>
    </bk>
    <bk>
      <rc t="1" v="16364"/>
    </bk>
    <bk>
      <rc t="1" v="16365"/>
    </bk>
    <bk>
      <rc t="1" v="16366"/>
    </bk>
    <bk>
      <rc t="1" v="16367"/>
    </bk>
    <bk>
      <rc t="1" v="16368"/>
    </bk>
    <bk>
      <rc t="1" v="16369"/>
    </bk>
    <bk>
      <rc t="1" v="16370"/>
    </bk>
    <bk>
      <rc t="1" v="16371"/>
    </bk>
    <bk>
      <rc t="1" v="16372"/>
    </bk>
    <bk>
      <rc t="1" v="16373"/>
    </bk>
    <bk>
      <rc t="1" v="16374"/>
    </bk>
    <bk>
      <rc t="1" v="16375"/>
    </bk>
    <bk>
      <rc t="1" v="16376"/>
    </bk>
    <bk>
      <rc t="1" v="16377"/>
    </bk>
    <bk>
      <rc t="1" v="16378"/>
    </bk>
    <bk>
      <rc t="1" v="16379"/>
    </bk>
    <bk>
      <rc t="1" v="16380"/>
    </bk>
    <bk>
      <rc t="1" v="16381"/>
    </bk>
    <bk>
      <rc t="1" v="16382"/>
    </bk>
    <bk>
      <rc t="1" v="16383"/>
    </bk>
    <bk>
      <rc t="1" v="16384"/>
    </bk>
    <bk>
      <rc t="1" v="16385"/>
    </bk>
    <bk>
      <rc t="1" v="16386"/>
    </bk>
    <bk>
      <rc t="1" v="16387"/>
    </bk>
    <bk>
      <rc t="1" v="16388"/>
    </bk>
    <bk>
      <rc t="1" v="16389"/>
    </bk>
    <bk>
      <rc t="1" v="16390"/>
    </bk>
    <bk>
      <rc t="1" v="16391"/>
    </bk>
    <bk>
      <rc t="1" v="16392"/>
    </bk>
    <bk>
      <rc t="1" v="16393"/>
    </bk>
    <bk>
      <rc t="1" v="16394"/>
    </bk>
    <bk>
      <rc t="1" v="16395"/>
    </bk>
    <bk>
      <rc t="1" v="16396"/>
    </bk>
    <bk>
      <rc t="1" v="16397"/>
    </bk>
    <bk>
      <rc t="1" v="16398"/>
    </bk>
    <bk>
      <rc t="1" v="16399"/>
    </bk>
    <bk>
      <rc t="1" v="16400"/>
    </bk>
    <bk>
      <rc t="1" v="16401"/>
    </bk>
    <bk>
      <rc t="1" v="16402"/>
    </bk>
    <bk>
      <rc t="1" v="16403"/>
    </bk>
    <bk>
      <rc t="1" v="16404"/>
    </bk>
    <bk>
      <rc t="1" v="16405"/>
    </bk>
    <bk>
      <rc t="1" v="16406"/>
    </bk>
    <bk>
      <rc t="1" v="16407"/>
    </bk>
    <bk>
      <rc t="1" v="16408"/>
    </bk>
    <bk>
      <rc t="1" v="16409"/>
    </bk>
    <bk>
      <rc t="1" v="16410"/>
    </bk>
    <bk>
      <rc t="1" v="16411"/>
    </bk>
    <bk>
      <rc t="1" v="16412"/>
    </bk>
    <bk>
      <rc t="1" v="16413"/>
    </bk>
    <bk>
      <rc t="1" v="16414"/>
    </bk>
    <bk>
      <rc t="1" v="16415"/>
    </bk>
    <bk>
      <rc t="1" v="16416"/>
    </bk>
    <bk>
      <rc t="1" v="16417"/>
    </bk>
    <bk>
      <rc t="1" v="16418"/>
    </bk>
    <bk>
      <rc t="1" v="16419"/>
    </bk>
    <bk>
      <rc t="1" v="16420"/>
    </bk>
    <bk>
      <rc t="1" v="16421"/>
    </bk>
    <bk>
      <rc t="1" v="16422"/>
    </bk>
    <bk>
      <rc t="1" v="16423"/>
    </bk>
    <bk>
      <rc t="1" v="16424"/>
    </bk>
    <bk>
      <rc t="1" v="16425"/>
    </bk>
    <bk>
      <rc t="1" v="16426"/>
    </bk>
    <bk>
      <rc t="1" v="16427"/>
    </bk>
    <bk>
      <rc t="1" v="16428"/>
    </bk>
    <bk>
      <rc t="1" v="16429"/>
    </bk>
    <bk>
      <rc t="1" v="16430"/>
    </bk>
    <bk>
      <rc t="1" v="16431"/>
    </bk>
    <bk>
      <rc t="1" v="16432"/>
    </bk>
    <bk>
      <rc t="1" v="16433"/>
    </bk>
    <bk>
      <rc t="1" v="16434"/>
    </bk>
    <bk>
      <rc t="1" v="16435"/>
    </bk>
    <bk>
      <rc t="1" v="16436"/>
    </bk>
    <bk>
      <rc t="1" v="16437"/>
    </bk>
    <bk>
      <rc t="1" v="16438"/>
    </bk>
    <bk>
      <rc t="1" v="16439"/>
    </bk>
    <bk>
      <rc t="1" v="16440"/>
    </bk>
    <bk>
      <rc t="1" v="16441"/>
    </bk>
    <bk>
      <rc t="1" v="16442"/>
    </bk>
    <bk>
      <rc t="1" v="16443"/>
    </bk>
    <bk>
      <rc t="1" v="16444"/>
    </bk>
    <bk>
      <rc t="1" v="16445"/>
    </bk>
    <bk>
      <rc t="1" v="16446"/>
    </bk>
    <bk>
      <rc t="1" v="16447"/>
    </bk>
    <bk>
      <rc t="1" v="16448"/>
    </bk>
    <bk>
      <rc t="1" v="16449"/>
    </bk>
    <bk>
      <rc t="1" v="16450"/>
    </bk>
    <bk>
      <rc t="1" v="16451"/>
    </bk>
    <bk>
      <rc t="1" v="16452"/>
    </bk>
    <bk>
      <rc t="1" v="16453"/>
    </bk>
    <bk>
      <rc t="1" v="16454"/>
    </bk>
    <bk>
      <rc t="1" v="16455"/>
    </bk>
    <bk>
      <rc t="1" v="16456"/>
    </bk>
    <bk>
      <rc t="1" v="16457"/>
    </bk>
    <bk>
      <rc t="1" v="16458"/>
    </bk>
    <bk>
      <rc t="1" v="16459"/>
    </bk>
    <bk>
      <rc t="1" v="16460"/>
    </bk>
    <bk>
      <rc t="1" v="16461"/>
    </bk>
    <bk>
      <rc t="1" v="16462"/>
    </bk>
    <bk>
      <rc t="1" v="16463"/>
    </bk>
    <bk>
      <rc t="1" v="16464"/>
    </bk>
    <bk>
      <rc t="1" v="16465"/>
    </bk>
    <bk>
      <rc t="1" v="16466"/>
    </bk>
    <bk>
      <rc t="1" v="16467"/>
    </bk>
    <bk>
      <rc t="1" v="16468"/>
    </bk>
    <bk>
      <rc t="1" v="16469"/>
    </bk>
    <bk>
      <rc t="1" v="16470"/>
    </bk>
    <bk>
      <rc t="1" v="16471"/>
    </bk>
    <bk>
      <rc t="1" v="16472"/>
    </bk>
    <bk>
      <rc t="1" v="16473"/>
    </bk>
    <bk>
      <rc t="1" v="16474"/>
    </bk>
    <bk>
      <rc t="1" v="16475"/>
    </bk>
    <bk>
      <rc t="1" v="16476"/>
    </bk>
    <bk>
      <rc t="1" v="16477"/>
    </bk>
    <bk>
      <rc t="1" v="16478"/>
    </bk>
    <bk>
      <rc t="1" v="16479"/>
    </bk>
    <bk>
      <rc t="1" v="16480"/>
    </bk>
    <bk>
      <rc t="1" v="16481"/>
    </bk>
    <bk>
      <rc t="1" v="16482"/>
    </bk>
    <bk>
      <rc t="1" v="16483"/>
    </bk>
    <bk>
      <rc t="1" v="16484"/>
    </bk>
    <bk>
      <rc t="1" v="16485"/>
    </bk>
    <bk>
      <rc t="1" v="16486"/>
    </bk>
    <bk>
      <rc t="1" v="16487"/>
    </bk>
    <bk>
      <rc t="1" v="16488"/>
    </bk>
    <bk>
      <rc t="1" v="16489"/>
    </bk>
    <bk>
      <rc t="1" v="16490"/>
    </bk>
    <bk>
      <rc t="1" v="16491"/>
    </bk>
    <bk>
      <rc t="1" v="16492"/>
    </bk>
    <bk>
      <rc t="1" v="16493"/>
    </bk>
    <bk>
      <rc t="1" v="16494"/>
    </bk>
    <bk>
      <rc t="1" v="16495"/>
    </bk>
    <bk>
      <rc t="1" v="16496"/>
    </bk>
    <bk>
      <rc t="1" v="16497"/>
    </bk>
    <bk>
      <rc t="1" v="16498"/>
    </bk>
    <bk>
      <rc t="1" v="16499"/>
    </bk>
    <bk>
      <rc t="1" v="16500"/>
    </bk>
    <bk>
      <rc t="1" v="16501"/>
    </bk>
    <bk>
      <rc t="1" v="16502"/>
    </bk>
    <bk>
      <rc t="1" v="16503"/>
    </bk>
    <bk>
      <rc t="1" v="16504"/>
    </bk>
    <bk>
      <rc t="1" v="16505"/>
    </bk>
    <bk>
      <rc t="1" v="16506"/>
    </bk>
    <bk>
      <rc t="1" v="16507"/>
    </bk>
    <bk>
      <rc t="1" v="16508"/>
    </bk>
    <bk>
      <rc t="1" v="16509"/>
    </bk>
    <bk>
      <rc t="1" v="16510"/>
    </bk>
    <bk>
      <rc t="1" v="16511"/>
    </bk>
    <bk>
      <rc t="1" v="16512"/>
    </bk>
    <bk>
      <rc t="1" v="16513"/>
    </bk>
    <bk>
      <rc t="1" v="16514"/>
    </bk>
    <bk>
      <rc t="1" v="16515"/>
    </bk>
    <bk>
      <rc t="1" v="16516"/>
    </bk>
    <bk>
      <rc t="1" v="16517"/>
    </bk>
    <bk>
      <rc t="1" v="16518"/>
    </bk>
    <bk>
      <rc t="1" v="16519"/>
    </bk>
    <bk>
      <rc t="1" v="16520"/>
    </bk>
    <bk>
      <rc t="1" v="16521"/>
    </bk>
    <bk>
      <rc t="1" v="16522"/>
    </bk>
    <bk>
      <rc t="1" v="16523"/>
    </bk>
    <bk>
      <rc t="1" v="16524"/>
    </bk>
    <bk>
      <rc t="1" v="16525"/>
    </bk>
    <bk>
      <rc t="1" v="16526"/>
    </bk>
    <bk>
      <rc t="1" v="16527"/>
    </bk>
    <bk>
      <rc t="1" v="16528"/>
    </bk>
    <bk>
      <rc t="1" v="16529"/>
    </bk>
    <bk>
      <rc t="1" v="16530"/>
    </bk>
    <bk>
      <rc t="1" v="16531"/>
    </bk>
    <bk>
      <rc t="1" v="16532"/>
    </bk>
    <bk>
      <rc t="1" v="16533"/>
    </bk>
    <bk>
      <rc t="1" v="16534"/>
    </bk>
    <bk>
      <rc t="1" v="16535"/>
    </bk>
    <bk>
      <rc t="1" v="16536"/>
    </bk>
    <bk>
      <rc t="1" v="16537"/>
    </bk>
    <bk>
      <rc t="1" v="16538"/>
    </bk>
    <bk>
      <rc t="1" v="16539"/>
    </bk>
    <bk>
      <rc t="1" v="16540"/>
    </bk>
    <bk>
      <rc t="1" v="16541"/>
    </bk>
    <bk>
      <rc t="1" v="16542"/>
    </bk>
    <bk>
      <rc t="1" v="16543"/>
    </bk>
    <bk>
      <rc t="1" v="16544"/>
    </bk>
    <bk>
      <rc t="1" v="16545"/>
    </bk>
    <bk>
      <rc t="1" v="16546"/>
    </bk>
    <bk>
      <rc t="1" v="16547"/>
    </bk>
    <bk>
      <rc t="1" v="16548"/>
    </bk>
    <bk>
      <rc t="1" v="16549"/>
    </bk>
    <bk>
      <rc t="1" v="16550"/>
    </bk>
    <bk>
      <rc t="1" v="16551"/>
    </bk>
    <bk>
      <rc t="1" v="16552"/>
    </bk>
    <bk>
      <rc t="1" v="16553"/>
    </bk>
    <bk>
      <rc t="1" v="16554"/>
    </bk>
    <bk>
      <rc t="1" v="16555"/>
    </bk>
    <bk>
      <rc t="1" v="16556"/>
    </bk>
    <bk>
      <rc t="1" v="16557"/>
    </bk>
    <bk>
      <rc t="1" v="16558"/>
    </bk>
    <bk>
      <rc t="1" v="16559"/>
    </bk>
    <bk>
      <rc t="1" v="16560"/>
    </bk>
    <bk>
      <rc t="1" v="16561"/>
    </bk>
    <bk>
      <rc t="1" v="16562"/>
    </bk>
    <bk>
      <rc t="1" v="16563"/>
    </bk>
    <bk>
      <rc t="1" v="16564"/>
    </bk>
    <bk>
      <rc t="1" v="16565"/>
    </bk>
    <bk>
      <rc t="1" v="16566"/>
    </bk>
    <bk>
      <rc t="1" v="16567"/>
    </bk>
    <bk>
      <rc t="1" v="16568"/>
    </bk>
    <bk>
      <rc t="1" v="16569"/>
    </bk>
    <bk>
      <rc t="1" v="16570"/>
    </bk>
    <bk>
      <rc t="1" v="16571"/>
    </bk>
    <bk>
      <rc t="1" v="16572"/>
    </bk>
    <bk>
      <rc t="1" v="16573"/>
    </bk>
    <bk>
      <rc t="1" v="16574"/>
    </bk>
    <bk>
      <rc t="1" v="16575"/>
    </bk>
    <bk>
      <rc t="1" v="16576"/>
    </bk>
    <bk>
      <rc t="1" v="16577"/>
    </bk>
    <bk>
      <rc t="1" v="16578"/>
    </bk>
    <bk>
      <rc t="1" v="16579"/>
    </bk>
    <bk>
      <rc t="1" v="16580"/>
    </bk>
    <bk>
      <rc t="1" v="16581"/>
    </bk>
    <bk>
      <rc t="1" v="16582"/>
    </bk>
    <bk>
      <rc t="1" v="16583"/>
    </bk>
    <bk>
      <rc t="1" v="16584"/>
    </bk>
    <bk>
      <rc t="1" v="16585"/>
    </bk>
    <bk>
      <rc t="1" v="16586"/>
    </bk>
    <bk>
      <rc t="1" v="16587"/>
    </bk>
    <bk>
      <rc t="1" v="16588"/>
    </bk>
    <bk>
      <rc t="1" v="16589"/>
    </bk>
    <bk>
      <rc t="1" v="16590"/>
    </bk>
    <bk>
      <rc t="1" v="16591"/>
    </bk>
    <bk>
      <rc t="1" v="16592"/>
    </bk>
    <bk>
      <rc t="1" v="16593"/>
    </bk>
    <bk>
      <rc t="1" v="16594"/>
    </bk>
    <bk>
      <rc t="1" v="16595"/>
    </bk>
    <bk>
      <rc t="1" v="16596"/>
    </bk>
    <bk>
      <rc t="1" v="16597"/>
    </bk>
    <bk>
      <rc t="1" v="16598"/>
    </bk>
    <bk>
      <rc t="1" v="16599"/>
    </bk>
    <bk>
      <rc t="1" v="16600"/>
    </bk>
    <bk>
      <rc t="1" v="16601"/>
    </bk>
    <bk>
      <rc t="1" v="16602"/>
    </bk>
    <bk>
      <rc t="1" v="16603"/>
    </bk>
    <bk>
      <rc t="1" v="16604"/>
    </bk>
    <bk>
      <rc t="1" v="16605"/>
    </bk>
    <bk>
      <rc t="1" v="16606"/>
    </bk>
    <bk>
      <rc t="1" v="16607"/>
    </bk>
    <bk>
      <rc t="1" v="16608"/>
    </bk>
    <bk>
      <rc t="1" v="16609"/>
    </bk>
    <bk>
      <rc t="1" v="16610"/>
    </bk>
    <bk>
      <rc t="1" v="16611"/>
    </bk>
    <bk>
      <rc t="1" v="16612"/>
    </bk>
    <bk>
      <rc t="1" v="16613"/>
    </bk>
    <bk>
      <rc t="1" v="16614"/>
    </bk>
    <bk>
      <rc t="1" v="16615"/>
    </bk>
    <bk>
      <rc t="1" v="16616"/>
    </bk>
    <bk>
      <rc t="1" v="16617"/>
    </bk>
    <bk>
      <rc t="1" v="16618"/>
    </bk>
    <bk>
      <rc t="1" v="16619"/>
    </bk>
    <bk>
      <rc t="1" v="16620"/>
    </bk>
    <bk>
      <rc t="1" v="16621"/>
    </bk>
    <bk>
      <rc t="1" v="16622"/>
    </bk>
    <bk>
      <rc t="1" v="16623"/>
    </bk>
    <bk>
      <rc t="1" v="16624"/>
    </bk>
    <bk>
      <rc t="1" v="16625"/>
    </bk>
    <bk>
      <rc t="1" v="16626"/>
    </bk>
    <bk>
      <rc t="1" v="16627"/>
    </bk>
    <bk>
      <rc t="1" v="16628"/>
    </bk>
    <bk>
      <rc t="1" v="16629"/>
    </bk>
    <bk>
      <rc t="1" v="16630"/>
    </bk>
    <bk>
      <rc t="1" v="16631"/>
    </bk>
    <bk>
      <rc t="1" v="16632"/>
    </bk>
    <bk>
      <rc t="1" v="16633"/>
    </bk>
    <bk>
      <rc t="1" v="16634"/>
    </bk>
    <bk>
      <rc t="1" v="16635"/>
    </bk>
    <bk>
      <rc t="1" v="16636"/>
    </bk>
    <bk>
      <rc t="1" v="16637"/>
    </bk>
    <bk>
      <rc t="1" v="16638"/>
    </bk>
    <bk>
      <rc t="1" v="16639"/>
    </bk>
    <bk>
      <rc t="1" v="16640"/>
    </bk>
    <bk>
      <rc t="1" v="16641"/>
    </bk>
    <bk>
      <rc t="1" v="16642"/>
    </bk>
    <bk>
      <rc t="1" v="16643"/>
    </bk>
    <bk>
      <rc t="1" v="16644"/>
    </bk>
    <bk>
      <rc t="1" v="16645"/>
    </bk>
    <bk>
      <rc t="1" v="16646"/>
    </bk>
    <bk>
      <rc t="1" v="16647"/>
    </bk>
    <bk>
      <rc t="1" v="16648"/>
    </bk>
    <bk>
      <rc t="1" v="16649"/>
    </bk>
    <bk>
      <rc t="1" v="16650"/>
    </bk>
    <bk>
      <rc t="1" v="16651"/>
    </bk>
    <bk>
      <rc t="1" v="16652"/>
    </bk>
    <bk>
      <rc t="1" v="16653"/>
    </bk>
    <bk>
      <rc t="1" v="16654"/>
    </bk>
    <bk>
      <rc t="1" v="16655"/>
    </bk>
    <bk>
      <rc t="1" v="16656"/>
    </bk>
    <bk>
      <rc t="1" v="16657"/>
    </bk>
    <bk>
      <rc t="1" v="16658"/>
    </bk>
    <bk>
      <rc t="1" v="16659"/>
    </bk>
    <bk>
      <rc t="1" v="16660"/>
    </bk>
    <bk>
      <rc t="1" v="16661"/>
    </bk>
    <bk>
      <rc t="1" v="16662"/>
    </bk>
    <bk>
      <rc t="1" v="16663"/>
    </bk>
    <bk>
      <rc t="1" v="16664"/>
    </bk>
    <bk>
      <rc t="1" v="16665"/>
    </bk>
    <bk>
      <rc t="1" v="16666"/>
    </bk>
    <bk>
      <rc t="1" v="16667"/>
    </bk>
    <bk>
      <rc t="1" v="16668"/>
    </bk>
    <bk>
      <rc t="1" v="16669"/>
    </bk>
    <bk>
      <rc t="1" v="16670"/>
    </bk>
    <bk>
      <rc t="1" v="16671"/>
    </bk>
    <bk>
      <rc t="1" v="16672"/>
    </bk>
    <bk>
      <rc t="1" v="16673"/>
    </bk>
    <bk>
      <rc t="1" v="16674"/>
    </bk>
    <bk>
      <rc t="1" v="16675"/>
    </bk>
    <bk>
      <rc t="1" v="16676"/>
    </bk>
    <bk>
      <rc t="1" v="16677"/>
    </bk>
    <bk>
      <rc t="1" v="16678"/>
    </bk>
    <bk>
      <rc t="1" v="16679"/>
    </bk>
    <bk>
      <rc t="1" v="16680"/>
    </bk>
    <bk>
      <rc t="1" v="16681"/>
    </bk>
    <bk>
      <rc t="1" v="16682"/>
    </bk>
    <bk>
      <rc t="1" v="16683"/>
    </bk>
    <bk>
      <rc t="1" v="16684"/>
    </bk>
    <bk>
      <rc t="1" v="16685"/>
    </bk>
    <bk>
      <rc t="1" v="16686"/>
    </bk>
    <bk>
      <rc t="1" v="16687"/>
    </bk>
    <bk>
      <rc t="1" v="16688"/>
    </bk>
    <bk>
      <rc t="1" v="16689"/>
    </bk>
    <bk>
      <rc t="1" v="16690"/>
    </bk>
    <bk>
      <rc t="1" v="16691"/>
    </bk>
    <bk>
      <rc t="1" v="16692"/>
    </bk>
    <bk>
      <rc t="1" v="16693"/>
    </bk>
    <bk>
      <rc t="1" v="16694"/>
    </bk>
    <bk>
      <rc t="1" v="16695"/>
    </bk>
    <bk>
      <rc t="1" v="16696"/>
    </bk>
    <bk>
      <rc t="1" v="16697"/>
    </bk>
    <bk>
      <rc t="1" v="16698"/>
    </bk>
    <bk>
      <rc t="1" v="16699"/>
    </bk>
    <bk>
      <rc t="1" v="16700"/>
    </bk>
    <bk>
      <rc t="1" v="16701"/>
    </bk>
    <bk>
      <rc t="1" v="16702"/>
    </bk>
    <bk>
      <rc t="1" v="16703"/>
    </bk>
    <bk>
      <rc t="1" v="16704"/>
    </bk>
    <bk>
      <rc t="1" v="16705"/>
    </bk>
    <bk>
      <rc t="1" v="16706"/>
    </bk>
    <bk>
      <rc t="1" v="16707"/>
    </bk>
    <bk>
      <rc t="1" v="16708"/>
    </bk>
    <bk>
      <rc t="1" v="16709"/>
    </bk>
    <bk>
      <rc t="1" v="16710"/>
    </bk>
    <bk>
      <rc t="1" v="16711"/>
    </bk>
    <bk>
      <rc t="1" v="16712"/>
    </bk>
    <bk>
      <rc t="1" v="16713"/>
    </bk>
    <bk>
      <rc t="1" v="16714"/>
    </bk>
    <bk>
      <rc t="1" v="16715"/>
    </bk>
    <bk>
      <rc t="1" v="16716"/>
    </bk>
    <bk>
      <rc t="1" v="16717"/>
    </bk>
    <bk>
      <rc t="1" v="16718"/>
    </bk>
    <bk>
      <rc t="1" v="16719"/>
    </bk>
    <bk>
      <rc t="1" v="16720"/>
    </bk>
    <bk>
      <rc t="1" v="16721"/>
    </bk>
    <bk>
      <rc t="1" v="16722"/>
    </bk>
    <bk>
      <rc t="1" v="16723"/>
    </bk>
    <bk>
      <rc t="1" v="16724"/>
    </bk>
    <bk>
      <rc t="1" v="16725"/>
    </bk>
    <bk>
      <rc t="1" v="16726"/>
    </bk>
    <bk>
      <rc t="1" v="16727"/>
    </bk>
    <bk>
      <rc t="1" v="16728"/>
    </bk>
    <bk>
      <rc t="1" v="16729"/>
    </bk>
    <bk>
      <rc t="1" v="16730"/>
    </bk>
    <bk>
      <rc t="1" v="16731"/>
    </bk>
    <bk>
      <rc t="1" v="16732"/>
    </bk>
    <bk>
      <rc t="1" v="16733"/>
    </bk>
    <bk>
      <rc t="1" v="16734"/>
    </bk>
    <bk>
      <rc t="1" v="16735"/>
    </bk>
    <bk>
      <rc t="1" v="16736"/>
    </bk>
    <bk>
      <rc t="1" v="16737"/>
    </bk>
    <bk>
      <rc t="1" v="16738"/>
    </bk>
    <bk>
      <rc t="1" v="16739"/>
    </bk>
    <bk>
      <rc t="1" v="16740"/>
    </bk>
    <bk>
      <rc t="1" v="16741"/>
    </bk>
    <bk>
      <rc t="1" v="16742"/>
    </bk>
    <bk>
      <rc t="1" v="16743"/>
    </bk>
    <bk>
      <rc t="1" v="16744"/>
    </bk>
    <bk>
      <rc t="1" v="16745"/>
    </bk>
    <bk>
      <rc t="1" v="16746"/>
    </bk>
    <bk>
      <rc t="1" v="16747"/>
    </bk>
    <bk>
      <rc t="1" v="16748"/>
    </bk>
    <bk>
      <rc t="1" v="16749"/>
    </bk>
    <bk>
      <rc t="1" v="16750"/>
    </bk>
    <bk>
      <rc t="1" v="16751"/>
    </bk>
    <bk>
      <rc t="1" v="16752"/>
    </bk>
    <bk>
      <rc t="1" v="16753"/>
    </bk>
    <bk>
      <rc t="1" v="16754"/>
    </bk>
    <bk>
      <rc t="1" v="16755"/>
    </bk>
    <bk>
      <rc t="1" v="16756"/>
    </bk>
    <bk>
      <rc t="1" v="16757"/>
    </bk>
    <bk>
      <rc t="1" v="16758"/>
    </bk>
    <bk>
      <rc t="1" v="16759"/>
    </bk>
    <bk>
      <rc t="1" v="16760"/>
    </bk>
    <bk>
      <rc t="1" v="16761"/>
    </bk>
    <bk>
      <rc t="1" v="16762"/>
    </bk>
    <bk>
      <rc t="1" v="16763"/>
    </bk>
    <bk>
      <rc t="1" v="16764"/>
    </bk>
    <bk>
      <rc t="1" v="16765"/>
    </bk>
    <bk>
      <rc t="1" v="16766"/>
    </bk>
    <bk>
      <rc t="1" v="16767"/>
    </bk>
    <bk>
      <rc t="1" v="16768"/>
    </bk>
    <bk>
      <rc t="1" v="16769"/>
    </bk>
    <bk>
      <rc t="1" v="16770"/>
    </bk>
    <bk>
      <rc t="1" v="16771"/>
    </bk>
    <bk>
      <rc t="1" v="16772"/>
    </bk>
    <bk>
      <rc t="1" v="16773"/>
    </bk>
    <bk>
      <rc t="1" v="16774"/>
    </bk>
    <bk>
      <rc t="1" v="16775"/>
    </bk>
    <bk>
      <rc t="1" v="16776"/>
    </bk>
    <bk>
      <rc t="1" v="16777"/>
    </bk>
    <bk>
      <rc t="1" v="16778"/>
    </bk>
    <bk>
      <rc t="1" v="16779"/>
    </bk>
    <bk>
      <rc t="1" v="16780"/>
    </bk>
    <bk>
      <rc t="1" v="16781"/>
    </bk>
    <bk>
      <rc t="1" v="16782"/>
    </bk>
    <bk>
      <rc t="1" v="16783"/>
    </bk>
    <bk>
      <rc t="1" v="16784"/>
    </bk>
    <bk>
      <rc t="1" v="16785"/>
    </bk>
    <bk>
      <rc t="1" v="16786"/>
    </bk>
    <bk>
      <rc t="1" v="16787"/>
    </bk>
    <bk>
      <rc t="1" v="16788"/>
    </bk>
    <bk>
      <rc t="1" v="16789"/>
    </bk>
    <bk>
      <rc t="1" v="16790"/>
    </bk>
    <bk>
      <rc t="1" v="16791"/>
    </bk>
    <bk>
      <rc t="1" v="16792"/>
    </bk>
    <bk>
      <rc t="1" v="16793"/>
    </bk>
    <bk>
      <rc t="1" v="16794"/>
    </bk>
    <bk>
      <rc t="1" v="16795"/>
    </bk>
    <bk>
      <rc t="1" v="16796"/>
    </bk>
    <bk>
      <rc t="1" v="16797"/>
    </bk>
    <bk>
      <rc t="1" v="16798"/>
    </bk>
    <bk>
      <rc t="1" v="16799"/>
    </bk>
    <bk>
      <rc t="1" v="16800"/>
    </bk>
    <bk>
      <rc t="1" v="16801"/>
    </bk>
    <bk>
      <rc t="1" v="16802"/>
    </bk>
    <bk>
      <rc t="1" v="16803"/>
    </bk>
    <bk>
      <rc t="1" v="16804"/>
    </bk>
    <bk>
      <rc t="1" v="16805"/>
    </bk>
    <bk>
      <rc t="1" v="16806"/>
    </bk>
    <bk>
      <rc t="1" v="16807"/>
    </bk>
    <bk>
      <rc t="1" v="16808"/>
    </bk>
    <bk>
      <rc t="1" v="16809"/>
    </bk>
    <bk>
      <rc t="1" v="16810"/>
    </bk>
    <bk>
      <rc t="1" v="16811"/>
    </bk>
    <bk>
      <rc t="1" v="16812"/>
    </bk>
    <bk>
      <rc t="1" v="16813"/>
    </bk>
    <bk>
      <rc t="1" v="16814"/>
    </bk>
    <bk>
      <rc t="1" v="16815"/>
    </bk>
    <bk>
      <rc t="1" v="16816"/>
    </bk>
    <bk>
      <rc t="1" v="16817"/>
    </bk>
    <bk>
      <rc t="1" v="16818"/>
    </bk>
    <bk>
      <rc t="1" v="16819"/>
    </bk>
    <bk>
      <rc t="1" v="16820"/>
    </bk>
    <bk>
      <rc t="1" v="16821"/>
    </bk>
    <bk>
      <rc t="1" v="16822"/>
    </bk>
    <bk>
      <rc t="1" v="16823"/>
    </bk>
    <bk>
      <rc t="1" v="16824"/>
    </bk>
    <bk>
      <rc t="1" v="16825"/>
    </bk>
    <bk>
      <rc t="1" v="16826"/>
    </bk>
    <bk>
      <rc t="1" v="16827"/>
    </bk>
    <bk>
      <rc t="1" v="16828"/>
    </bk>
    <bk>
      <rc t="1" v="16829"/>
    </bk>
    <bk>
      <rc t="1" v="16830"/>
    </bk>
    <bk>
      <rc t="1" v="16831"/>
    </bk>
    <bk>
      <rc t="1" v="16832"/>
    </bk>
    <bk>
      <rc t="1" v="16833"/>
    </bk>
    <bk>
      <rc t="1" v="16834"/>
    </bk>
    <bk>
      <rc t="1" v="16835"/>
    </bk>
    <bk>
      <rc t="1" v="16836"/>
    </bk>
    <bk>
      <rc t="1" v="16837"/>
    </bk>
    <bk>
      <rc t="1" v="16838"/>
    </bk>
    <bk>
      <rc t="1" v="16839"/>
    </bk>
    <bk>
      <rc t="1" v="16840"/>
    </bk>
    <bk>
      <rc t="1" v="16841"/>
    </bk>
    <bk>
      <rc t="1" v="16842"/>
    </bk>
    <bk>
      <rc t="1" v="16843"/>
    </bk>
    <bk>
      <rc t="1" v="16844"/>
    </bk>
    <bk>
      <rc t="1" v="16845"/>
    </bk>
    <bk>
      <rc t="1" v="16846"/>
    </bk>
    <bk>
      <rc t="1" v="16847"/>
    </bk>
    <bk>
      <rc t="1" v="16848"/>
    </bk>
    <bk>
      <rc t="1" v="16849"/>
    </bk>
    <bk>
      <rc t="1" v="16850"/>
    </bk>
    <bk>
      <rc t="1" v="16851"/>
    </bk>
    <bk>
      <rc t="1" v="16852"/>
    </bk>
    <bk>
      <rc t="1" v="16853"/>
    </bk>
    <bk>
      <rc t="1" v="16854"/>
    </bk>
    <bk>
      <rc t="1" v="16855"/>
    </bk>
    <bk>
      <rc t="1" v="16856"/>
    </bk>
    <bk>
      <rc t="1" v="16857"/>
    </bk>
    <bk>
      <rc t="1" v="16858"/>
    </bk>
    <bk>
      <rc t="1" v="16859"/>
    </bk>
    <bk>
      <rc t="1" v="16860"/>
    </bk>
    <bk>
      <rc t="1" v="16861"/>
    </bk>
    <bk>
      <rc t="1" v="16862"/>
    </bk>
    <bk>
      <rc t="1" v="16863"/>
    </bk>
    <bk>
      <rc t="1" v="16864"/>
    </bk>
    <bk>
      <rc t="1" v="16865"/>
    </bk>
    <bk>
      <rc t="1" v="16866"/>
    </bk>
    <bk>
      <rc t="1" v="16867"/>
    </bk>
    <bk>
      <rc t="1" v="16868"/>
    </bk>
    <bk>
      <rc t="1" v="16869"/>
    </bk>
    <bk>
      <rc t="1" v="16870"/>
    </bk>
    <bk>
      <rc t="1" v="16871"/>
    </bk>
    <bk>
      <rc t="1" v="16872"/>
    </bk>
    <bk>
      <rc t="1" v="16873"/>
    </bk>
    <bk>
      <rc t="1" v="16874"/>
    </bk>
    <bk>
      <rc t="1" v="16875"/>
    </bk>
    <bk>
      <rc t="1" v="16876"/>
    </bk>
    <bk>
      <rc t="1" v="16877"/>
    </bk>
    <bk>
      <rc t="1" v="16878"/>
    </bk>
    <bk>
      <rc t="1" v="16879"/>
    </bk>
    <bk>
      <rc t="1" v="16880"/>
    </bk>
    <bk>
      <rc t="1" v="16881"/>
    </bk>
    <bk>
      <rc t="1" v="16882"/>
    </bk>
    <bk>
      <rc t="1" v="16883"/>
    </bk>
    <bk>
      <rc t="1" v="16884"/>
    </bk>
    <bk>
      <rc t="1" v="16885"/>
    </bk>
    <bk>
      <rc t="1" v="16886"/>
    </bk>
    <bk>
      <rc t="1" v="16887"/>
    </bk>
    <bk>
      <rc t="1" v="16888"/>
    </bk>
    <bk>
      <rc t="1" v="16889"/>
    </bk>
    <bk>
      <rc t="1" v="16890"/>
    </bk>
    <bk>
      <rc t="1" v="16891"/>
    </bk>
    <bk>
      <rc t="1" v="16892"/>
    </bk>
    <bk>
      <rc t="1" v="16893"/>
    </bk>
    <bk>
      <rc t="1" v="16894"/>
    </bk>
    <bk>
      <rc t="1" v="16895"/>
    </bk>
    <bk>
      <rc t="1" v="16896"/>
    </bk>
    <bk>
      <rc t="1" v="16897"/>
    </bk>
    <bk>
      <rc t="1" v="16898"/>
    </bk>
    <bk>
      <rc t="1" v="16899"/>
    </bk>
    <bk>
      <rc t="1" v="16900"/>
    </bk>
    <bk>
      <rc t="1" v="16901"/>
    </bk>
    <bk>
      <rc t="1" v="16902"/>
    </bk>
    <bk>
      <rc t="1" v="16903"/>
    </bk>
    <bk>
      <rc t="1" v="16904"/>
    </bk>
    <bk>
      <rc t="1" v="16905"/>
    </bk>
    <bk>
      <rc t="1" v="16906"/>
    </bk>
    <bk>
      <rc t="1" v="16907"/>
    </bk>
    <bk>
      <rc t="1" v="16908"/>
    </bk>
    <bk>
      <rc t="1" v="16909"/>
    </bk>
    <bk>
      <rc t="1" v="16910"/>
    </bk>
    <bk>
      <rc t="1" v="16911"/>
    </bk>
    <bk>
      <rc t="1" v="16912"/>
    </bk>
    <bk>
      <rc t="1" v="16913"/>
    </bk>
    <bk>
      <rc t="1" v="16914"/>
    </bk>
    <bk>
      <rc t="1" v="16915"/>
    </bk>
    <bk>
      <rc t="1" v="16916"/>
    </bk>
    <bk>
      <rc t="1" v="16917"/>
    </bk>
    <bk>
      <rc t="1" v="16918"/>
    </bk>
    <bk>
      <rc t="1" v="16919"/>
    </bk>
    <bk>
      <rc t="1" v="16920"/>
    </bk>
    <bk>
      <rc t="1" v="16921"/>
    </bk>
    <bk>
      <rc t="1" v="16922"/>
    </bk>
    <bk>
      <rc t="1" v="16923"/>
    </bk>
    <bk>
      <rc t="1" v="16924"/>
    </bk>
    <bk>
      <rc t="1" v="16925"/>
    </bk>
    <bk>
      <rc t="1" v="16926"/>
    </bk>
    <bk>
      <rc t="1" v="16927"/>
    </bk>
    <bk>
      <rc t="1" v="16928"/>
    </bk>
    <bk>
      <rc t="1" v="16929"/>
    </bk>
    <bk>
      <rc t="1" v="16930"/>
    </bk>
    <bk>
      <rc t="1" v="16931"/>
    </bk>
    <bk>
      <rc t="1" v="16932"/>
    </bk>
    <bk>
      <rc t="1" v="16933"/>
    </bk>
    <bk>
      <rc t="1" v="16934"/>
    </bk>
    <bk>
      <rc t="1" v="16935"/>
    </bk>
    <bk>
      <rc t="1" v="16936"/>
    </bk>
    <bk>
      <rc t="1" v="16937"/>
    </bk>
    <bk>
      <rc t="1" v="16938"/>
    </bk>
    <bk>
      <rc t="1" v="16939"/>
    </bk>
    <bk>
      <rc t="1" v="16940"/>
    </bk>
    <bk>
      <rc t="1" v="16941"/>
    </bk>
    <bk>
      <rc t="1" v="16942"/>
    </bk>
    <bk>
      <rc t="1" v="16943"/>
    </bk>
    <bk>
      <rc t="1" v="16944"/>
    </bk>
    <bk>
      <rc t="1" v="16945"/>
    </bk>
    <bk>
      <rc t="1" v="16946"/>
    </bk>
    <bk>
      <rc t="1" v="16947"/>
    </bk>
    <bk>
      <rc t="1" v="16948"/>
    </bk>
    <bk>
      <rc t="1" v="16949"/>
    </bk>
    <bk>
      <rc t="1" v="16950"/>
    </bk>
    <bk>
      <rc t="1" v="16951"/>
    </bk>
    <bk>
      <rc t="1" v="16952"/>
    </bk>
    <bk>
      <rc t="1" v="16953"/>
    </bk>
    <bk>
      <rc t="1" v="16954"/>
    </bk>
    <bk>
      <rc t="1" v="16955"/>
    </bk>
    <bk>
      <rc t="1" v="16956"/>
    </bk>
    <bk>
      <rc t="1" v="16957"/>
    </bk>
    <bk>
      <rc t="1" v="16958"/>
    </bk>
    <bk>
      <rc t="1" v="16959"/>
    </bk>
    <bk>
      <rc t="1" v="16960"/>
    </bk>
    <bk>
      <rc t="1" v="16961"/>
    </bk>
    <bk>
      <rc t="1" v="16962"/>
    </bk>
    <bk>
      <rc t="1" v="16963"/>
    </bk>
    <bk>
      <rc t="1" v="16964"/>
    </bk>
    <bk>
      <rc t="1" v="16965"/>
    </bk>
    <bk>
      <rc t="1" v="16966"/>
    </bk>
    <bk>
      <rc t="1" v="16967"/>
    </bk>
    <bk>
      <rc t="1" v="16968"/>
    </bk>
    <bk>
      <rc t="1" v="16969"/>
    </bk>
    <bk>
      <rc t="1" v="16970"/>
    </bk>
    <bk>
      <rc t="1" v="16971"/>
    </bk>
    <bk>
      <rc t="1" v="16972"/>
    </bk>
    <bk>
      <rc t="1" v="16973"/>
    </bk>
    <bk>
      <rc t="1" v="16974"/>
    </bk>
    <bk>
      <rc t="1" v="16975"/>
    </bk>
    <bk>
      <rc t="1" v="16976"/>
    </bk>
    <bk>
      <rc t="1" v="16977"/>
    </bk>
    <bk>
      <rc t="1" v="16978"/>
    </bk>
    <bk>
      <rc t="1" v="16979"/>
    </bk>
    <bk>
      <rc t="1" v="16980"/>
    </bk>
    <bk>
      <rc t="1" v="16981"/>
    </bk>
    <bk>
      <rc t="1" v="16982"/>
    </bk>
    <bk>
      <rc t="1" v="16983"/>
    </bk>
    <bk>
      <rc t="1" v="16984"/>
    </bk>
    <bk>
      <rc t="1" v="16985"/>
    </bk>
    <bk>
      <rc t="1" v="16986"/>
    </bk>
    <bk>
      <rc t="1" v="16987"/>
    </bk>
    <bk>
      <rc t="1" v="16988"/>
    </bk>
    <bk>
      <rc t="1" v="16989"/>
    </bk>
    <bk>
      <rc t="1" v="16990"/>
    </bk>
    <bk>
      <rc t="1" v="16991"/>
    </bk>
    <bk>
      <rc t="1" v="16992"/>
    </bk>
    <bk>
      <rc t="1" v="16993"/>
    </bk>
    <bk>
      <rc t="1" v="16994"/>
    </bk>
    <bk>
      <rc t="1" v="16995"/>
    </bk>
    <bk>
      <rc t="1" v="16996"/>
    </bk>
    <bk>
      <rc t="1" v="16997"/>
    </bk>
    <bk>
      <rc t="1" v="16998"/>
    </bk>
    <bk>
      <rc t="1" v="16999"/>
    </bk>
    <bk>
      <rc t="1" v="17000"/>
    </bk>
    <bk>
      <rc t="1" v="17001"/>
    </bk>
    <bk>
      <rc t="1" v="17002"/>
    </bk>
    <bk>
      <rc t="1" v="17003"/>
    </bk>
    <bk>
      <rc t="1" v="17004"/>
    </bk>
    <bk>
      <rc t="1" v="17005"/>
    </bk>
    <bk>
      <rc t="1" v="17006"/>
    </bk>
    <bk>
      <rc t="1" v="17007"/>
    </bk>
    <bk>
      <rc t="1" v="17008"/>
    </bk>
    <bk>
      <rc t="1" v="17009"/>
    </bk>
    <bk>
      <rc t="1" v="17010"/>
    </bk>
    <bk>
      <rc t="1" v="17011"/>
    </bk>
    <bk>
      <rc t="1" v="17012"/>
    </bk>
    <bk>
      <rc t="1" v="17013"/>
    </bk>
    <bk>
      <rc t="1" v="17014"/>
    </bk>
    <bk>
      <rc t="1" v="17015"/>
    </bk>
    <bk>
      <rc t="1" v="17016"/>
    </bk>
    <bk>
      <rc t="1" v="17017"/>
    </bk>
    <bk>
      <rc t="1" v="17018"/>
    </bk>
    <bk>
      <rc t="1" v="17019"/>
    </bk>
    <bk>
      <rc t="1" v="17020"/>
    </bk>
    <bk>
      <rc t="1" v="17021"/>
    </bk>
    <bk>
      <rc t="1" v="17022"/>
    </bk>
    <bk>
      <rc t="1" v="17023"/>
    </bk>
    <bk>
      <rc t="1" v="17024"/>
    </bk>
    <bk>
      <rc t="1" v="17025"/>
    </bk>
    <bk>
      <rc t="1" v="17026"/>
    </bk>
    <bk>
      <rc t="1" v="17027"/>
    </bk>
    <bk>
      <rc t="1" v="17028"/>
    </bk>
    <bk>
      <rc t="1" v="17029"/>
    </bk>
    <bk>
      <rc t="1" v="17030"/>
    </bk>
    <bk>
      <rc t="1" v="17031"/>
    </bk>
    <bk>
      <rc t="1" v="17032"/>
    </bk>
    <bk>
      <rc t="1" v="17033"/>
    </bk>
    <bk>
      <rc t="1" v="17034"/>
    </bk>
    <bk>
      <rc t="1" v="17035"/>
    </bk>
    <bk>
      <rc t="1" v="17036"/>
    </bk>
    <bk>
      <rc t="1" v="17037"/>
    </bk>
    <bk>
      <rc t="1" v="17038"/>
    </bk>
    <bk>
      <rc t="1" v="17039"/>
    </bk>
    <bk>
      <rc t="1" v="17040"/>
    </bk>
    <bk>
      <rc t="1" v="17041"/>
    </bk>
    <bk>
      <rc t="1" v="17042"/>
    </bk>
    <bk>
      <rc t="1" v="17043"/>
    </bk>
    <bk>
      <rc t="1" v="17044"/>
    </bk>
    <bk>
      <rc t="1" v="17045"/>
    </bk>
    <bk>
      <rc t="1" v="17046"/>
    </bk>
    <bk>
      <rc t="1" v="17047"/>
    </bk>
    <bk>
      <rc t="1" v="17048"/>
    </bk>
    <bk>
      <rc t="1" v="17049"/>
    </bk>
    <bk>
      <rc t="1" v="17050"/>
    </bk>
    <bk>
      <rc t="1" v="17051"/>
    </bk>
    <bk>
      <rc t="1" v="17052"/>
    </bk>
    <bk>
      <rc t="1" v="17053"/>
    </bk>
    <bk>
      <rc t="1" v="17054"/>
    </bk>
    <bk>
      <rc t="1" v="17055"/>
    </bk>
    <bk>
      <rc t="1" v="17056"/>
    </bk>
    <bk>
      <rc t="1" v="17057"/>
    </bk>
    <bk>
      <rc t="1" v="17058"/>
    </bk>
    <bk>
      <rc t="1" v="17059"/>
    </bk>
    <bk>
      <rc t="1" v="17060"/>
    </bk>
    <bk>
      <rc t="1" v="17061"/>
    </bk>
    <bk>
      <rc t="1" v="17062"/>
    </bk>
    <bk>
      <rc t="1" v="17063"/>
    </bk>
    <bk>
      <rc t="1" v="17064"/>
    </bk>
    <bk>
      <rc t="1" v="17065"/>
    </bk>
    <bk>
      <rc t="1" v="17066"/>
    </bk>
    <bk>
      <rc t="1" v="17067"/>
    </bk>
    <bk>
      <rc t="1" v="17068"/>
    </bk>
    <bk>
      <rc t="1" v="17069"/>
    </bk>
    <bk>
      <rc t="1" v="17070"/>
    </bk>
    <bk>
      <rc t="1" v="17071"/>
    </bk>
    <bk>
      <rc t="1" v="17072"/>
    </bk>
    <bk>
      <rc t="1" v="17073"/>
    </bk>
    <bk>
      <rc t="1" v="17074"/>
    </bk>
    <bk>
      <rc t="1" v="17075"/>
    </bk>
    <bk>
      <rc t="1" v="17076"/>
    </bk>
    <bk>
      <rc t="1" v="17077"/>
    </bk>
    <bk>
      <rc t="1" v="17078"/>
    </bk>
    <bk>
      <rc t="1" v="17079"/>
    </bk>
    <bk>
      <rc t="1" v="17080"/>
    </bk>
    <bk>
      <rc t="1" v="17081"/>
    </bk>
    <bk>
      <rc t="1" v="17082"/>
    </bk>
    <bk>
      <rc t="1" v="17083"/>
    </bk>
    <bk>
      <rc t="1" v="17084"/>
    </bk>
    <bk>
      <rc t="1" v="17085"/>
    </bk>
    <bk>
      <rc t="1" v="17086"/>
    </bk>
    <bk>
      <rc t="1" v="17087"/>
    </bk>
    <bk>
      <rc t="1" v="17088"/>
    </bk>
    <bk>
      <rc t="1" v="17089"/>
    </bk>
    <bk>
      <rc t="1" v="17090"/>
    </bk>
    <bk>
      <rc t="1" v="17091"/>
    </bk>
    <bk>
      <rc t="1" v="17092"/>
    </bk>
    <bk>
      <rc t="1" v="17093"/>
    </bk>
    <bk>
      <rc t="1" v="17094"/>
    </bk>
    <bk>
      <rc t="1" v="17095"/>
    </bk>
    <bk>
      <rc t="1" v="17096"/>
    </bk>
    <bk>
      <rc t="1" v="17097"/>
    </bk>
    <bk>
      <rc t="1" v="17098"/>
    </bk>
    <bk>
      <rc t="1" v="17099"/>
    </bk>
    <bk>
      <rc t="1" v="17100"/>
    </bk>
    <bk>
      <rc t="1" v="17101"/>
    </bk>
    <bk>
      <rc t="1" v="17102"/>
    </bk>
    <bk>
      <rc t="1" v="17103"/>
    </bk>
    <bk>
      <rc t="1" v="17104"/>
    </bk>
    <bk>
      <rc t="1" v="17105"/>
    </bk>
    <bk>
      <rc t="1" v="17106"/>
    </bk>
    <bk>
      <rc t="1" v="17107"/>
    </bk>
    <bk>
      <rc t="1" v="17108"/>
    </bk>
    <bk>
      <rc t="1" v="17109"/>
    </bk>
    <bk>
      <rc t="1" v="17110"/>
    </bk>
    <bk>
      <rc t="1" v="17111"/>
    </bk>
    <bk>
      <rc t="1" v="17112"/>
    </bk>
    <bk>
      <rc t="1" v="17113"/>
    </bk>
    <bk>
      <rc t="1" v="17114"/>
    </bk>
    <bk>
      <rc t="1" v="17115"/>
    </bk>
    <bk>
      <rc t="1" v="17116"/>
    </bk>
    <bk>
      <rc t="1" v="17117"/>
    </bk>
    <bk>
      <rc t="1" v="17118"/>
    </bk>
    <bk>
      <rc t="1" v="17119"/>
    </bk>
    <bk>
      <rc t="1" v="17120"/>
    </bk>
    <bk>
      <rc t="1" v="17121"/>
    </bk>
    <bk>
      <rc t="1" v="17122"/>
    </bk>
    <bk>
      <rc t="1" v="17123"/>
    </bk>
    <bk>
      <rc t="1" v="17124"/>
    </bk>
    <bk>
      <rc t="1" v="17125"/>
    </bk>
    <bk>
      <rc t="1" v="17126"/>
    </bk>
    <bk>
      <rc t="1" v="17127"/>
    </bk>
    <bk>
      <rc t="1" v="17128"/>
    </bk>
    <bk>
      <rc t="1" v="17129"/>
    </bk>
    <bk>
      <rc t="1" v="17130"/>
    </bk>
    <bk>
      <rc t="1" v="17131"/>
    </bk>
    <bk>
      <rc t="1" v="17132"/>
    </bk>
    <bk>
      <rc t="1" v="17133"/>
    </bk>
    <bk>
      <rc t="1" v="17134"/>
    </bk>
    <bk>
      <rc t="1" v="17135"/>
    </bk>
    <bk>
      <rc t="1" v="17136"/>
    </bk>
    <bk>
      <rc t="1" v="17137"/>
    </bk>
    <bk>
      <rc t="1" v="17138"/>
    </bk>
    <bk>
      <rc t="1" v="17139"/>
    </bk>
    <bk>
      <rc t="1" v="17140"/>
    </bk>
    <bk>
      <rc t="1" v="17141"/>
    </bk>
    <bk>
      <rc t="1" v="17142"/>
    </bk>
    <bk>
      <rc t="1" v="17143"/>
    </bk>
    <bk>
      <rc t="1" v="17144"/>
    </bk>
    <bk>
      <rc t="1" v="17145"/>
    </bk>
    <bk>
      <rc t="1" v="17146"/>
    </bk>
    <bk>
      <rc t="1" v="17147"/>
    </bk>
    <bk>
      <rc t="1" v="17148"/>
    </bk>
    <bk>
      <rc t="1" v="17149"/>
    </bk>
    <bk>
      <rc t="1" v="17150"/>
    </bk>
    <bk>
      <rc t="1" v="17151"/>
    </bk>
    <bk>
      <rc t="1" v="17152"/>
    </bk>
    <bk>
      <rc t="1" v="17153"/>
    </bk>
    <bk>
      <rc t="1" v="17154"/>
    </bk>
    <bk>
      <rc t="1" v="17155"/>
    </bk>
    <bk>
      <rc t="1" v="17156"/>
    </bk>
    <bk>
      <rc t="1" v="17157"/>
    </bk>
    <bk>
      <rc t="1" v="17158"/>
    </bk>
    <bk>
      <rc t="1" v="17159"/>
    </bk>
    <bk>
      <rc t="1" v="17160"/>
    </bk>
    <bk>
      <rc t="1" v="17161"/>
    </bk>
    <bk>
      <rc t="1" v="17162"/>
    </bk>
    <bk>
      <rc t="1" v="17163"/>
    </bk>
    <bk>
      <rc t="1" v="17164"/>
    </bk>
    <bk>
      <rc t="1" v="17165"/>
    </bk>
    <bk>
      <rc t="1" v="17166"/>
    </bk>
    <bk>
      <rc t="1" v="17167"/>
    </bk>
    <bk>
      <rc t="1" v="17168"/>
    </bk>
    <bk>
      <rc t="1" v="17169"/>
    </bk>
    <bk>
      <rc t="1" v="17170"/>
    </bk>
    <bk>
      <rc t="1" v="17171"/>
    </bk>
    <bk>
      <rc t="1" v="17172"/>
    </bk>
    <bk>
      <rc t="1" v="17173"/>
    </bk>
    <bk>
      <rc t="1" v="17174"/>
    </bk>
    <bk>
      <rc t="1" v="17175"/>
    </bk>
    <bk>
      <rc t="1" v="17176"/>
    </bk>
    <bk>
      <rc t="1" v="17177"/>
    </bk>
    <bk>
      <rc t="1" v="17178"/>
    </bk>
    <bk>
      <rc t="1" v="17179"/>
    </bk>
    <bk>
      <rc t="1" v="17180"/>
    </bk>
    <bk>
      <rc t="1" v="17181"/>
    </bk>
    <bk>
      <rc t="1" v="17182"/>
    </bk>
    <bk>
      <rc t="1" v="17183"/>
    </bk>
    <bk>
      <rc t="1" v="17184"/>
    </bk>
    <bk>
      <rc t="1" v="17185"/>
    </bk>
    <bk>
      <rc t="1" v="17186"/>
    </bk>
    <bk>
      <rc t="1" v="17187"/>
    </bk>
    <bk>
      <rc t="1" v="17188"/>
    </bk>
    <bk>
      <rc t="1" v="17189"/>
    </bk>
    <bk>
      <rc t="1" v="17190"/>
    </bk>
    <bk>
      <rc t="1" v="17191"/>
    </bk>
    <bk>
      <rc t="1" v="17192"/>
    </bk>
    <bk>
      <rc t="1" v="17193"/>
    </bk>
    <bk>
      <rc t="1" v="17194"/>
    </bk>
    <bk>
      <rc t="1" v="17195"/>
    </bk>
    <bk>
      <rc t="1" v="17196"/>
    </bk>
    <bk>
      <rc t="1" v="17197"/>
    </bk>
    <bk>
      <rc t="1" v="17198"/>
    </bk>
    <bk>
      <rc t="1" v="17199"/>
    </bk>
    <bk>
      <rc t="1" v="17200"/>
    </bk>
    <bk>
      <rc t="1" v="17201"/>
    </bk>
    <bk>
      <rc t="1" v="17202"/>
    </bk>
    <bk>
      <rc t="1" v="17203"/>
    </bk>
    <bk>
      <rc t="1" v="17204"/>
    </bk>
    <bk>
      <rc t="1" v="17205"/>
    </bk>
    <bk>
      <rc t="1" v="17206"/>
    </bk>
    <bk>
      <rc t="1" v="17207"/>
    </bk>
    <bk>
      <rc t="1" v="17208"/>
    </bk>
    <bk>
      <rc t="1" v="17209"/>
    </bk>
    <bk>
      <rc t="1" v="17210"/>
    </bk>
    <bk>
      <rc t="1" v="17211"/>
    </bk>
    <bk>
      <rc t="1" v="17212"/>
    </bk>
  </valueMetadata>
</metadata>
</file>

<file path=xl/sharedStrings.xml><?xml version="1.0" encoding="utf-8"?>
<sst xmlns="http://schemas.openxmlformats.org/spreadsheetml/2006/main" count="90" uniqueCount="15">
  <si>
    <t>Rapporteringsmåned</t>
  </si>
  <si>
    <t>Uddannelse</t>
  </si>
  <si>
    <t>I alt</t>
  </si>
  <si>
    <t>Køn</t>
  </si>
  <si>
    <t>Uddannelsesretning</t>
  </si>
  <si>
    <t>Antal forsikrede</t>
  </si>
  <si>
    <t>Brutto-ledige</t>
  </si>
  <si>
    <t>Procent</t>
  </si>
  <si>
    <t>Kandidatalder</t>
  </si>
  <si>
    <t>Alder</t>
  </si>
  <si>
    <t>Geografi</t>
  </si>
  <si>
    <t>OPTÆLLING AF SOMMERDIMITTENDER</t>
  </si>
  <si>
    <t>Dimittenddato</t>
  </si>
  <si>
    <t>Sommerdimittender</t>
  </si>
  <si>
    <t>Jul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</si>
</sst>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.0\ %;\-#,##0.0\ %;#,##0.0\ %"/>
    <numFmt numFmtId="165" formatCode="0.0%"/>
    <numFmt numFmtId="166" formatCode="0.0"/>
    <numFmt numFmtId="167" formatCode="#,##0.0"/>
    <numFmt numFmtId="168" formatCode="_ * #,##0.0_ ;_ * \-#,##0.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  <font>
      <sz val="11"/>
      <color theme="9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164" fontId="0" fillId="0" borderId="0" xfId="0" applyNumberFormat="1"/>
    <xf numFmtId="0" fontId="0" fillId="0" borderId="0" xfId="0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0" fillId="0" borderId="0" xfId="0" applyBorder="1"/>
    <xf numFmtId="0" fontId="3" fillId="0" borderId="2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165" fontId="0" fillId="0" borderId="0" xfId="1" applyNumberFormat="1" applyFont="1" applyFill="1" applyBorder="1"/>
    <xf numFmtId="0" fontId="5" fillId="0" borderId="0" xfId="0" applyFont="1" applyFill="1" applyBorder="1" applyAlignment="1"/>
    <xf numFmtId="0" fontId="5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14" xfId="0" applyFont="1" applyFill="1" applyBorder="1"/>
    <xf numFmtId="166" fontId="3" fillId="0" borderId="6" xfId="1" applyNumberFormat="1" applyFont="1" applyFill="1" applyBorder="1"/>
    <xf numFmtId="0" fontId="3" fillId="0" borderId="7" xfId="0" applyFont="1" applyFill="1" applyBorder="1"/>
    <xf numFmtId="166" fontId="3" fillId="0" borderId="8" xfId="1" applyNumberFormat="1" applyFont="1" applyFill="1" applyBorder="1"/>
    <xf numFmtId="0" fontId="2" fillId="0" borderId="3" xfId="0" applyFont="1" applyFill="1" applyBorder="1"/>
    <xf numFmtId="166" fontId="2" fillId="0" borderId="5" xfId="1" applyNumberFormat="1" applyFont="1" applyFill="1" applyBorder="1"/>
    <xf numFmtId="0" fontId="6" fillId="0" borderId="1" xfId="0" applyFont="1" applyFill="1" applyBorder="1"/>
    <xf numFmtId="1" fontId="3" fillId="0" borderId="0" xfId="2" applyNumberFormat="1" applyFont="1" applyFill="1" applyBorder="1"/>
    <xf numFmtId="1" fontId="3" fillId="0" borderId="15" xfId="2" applyNumberFormat="1" applyFont="1" applyFill="1" applyBorder="1"/>
    <xf numFmtId="1" fontId="2" fillId="0" borderId="4" xfId="2" applyNumberFormat="1" applyFont="1" applyFill="1" applyBorder="1"/>
    <xf numFmtId="166" fontId="2" fillId="0" borderId="10" xfId="0" applyNumberFormat="1" applyFont="1" applyBorder="1"/>
    <xf numFmtId="166" fontId="1" fillId="0" borderId="0" xfId="0" applyNumberFormat="1" applyFont="1" applyBorder="1"/>
    <xf numFmtId="1" fontId="3" fillId="0" borderId="0" xfId="0" applyNumberFormat="1" applyFont="1" applyFill="1" applyBorder="1"/>
    <xf numFmtId="1" fontId="3" fillId="0" borderId="15" xfId="0" applyNumberFormat="1" applyFont="1" applyFill="1" applyBorder="1"/>
    <xf numFmtId="1" fontId="2" fillId="0" borderId="4" xfId="0" applyNumberFormat="1" applyFont="1" applyFill="1" applyBorder="1"/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3" fillId="0" borderId="9" xfId="0" applyFont="1" applyFill="1" applyBorder="1"/>
    <xf numFmtId="1" fontId="3" fillId="0" borderId="10" xfId="2" applyNumberFormat="1" applyFont="1" applyFill="1" applyBorder="1"/>
    <xf numFmtId="166" fontId="3" fillId="0" borderId="11" xfId="1" applyNumberFormat="1" applyFont="1" applyFill="1" applyBorder="1"/>
    <xf numFmtId="1" fontId="3" fillId="0" borderId="10" xfId="0" applyNumberFormat="1" applyFont="1" applyFill="1" applyBorder="1"/>
    <xf numFmtId="0" fontId="3" fillId="2" borderId="2" xfId="0" applyFont="1" applyFill="1" applyBorder="1"/>
    <xf numFmtId="0" fontId="3" fillId="2" borderId="14" xfId="0" applyFont="1" applyFill="1" applyBorder="1"/>
    <xf numFmtId="1" fontId="3" fillId="2" borderId="15" xfId="2" applyNumberFormat="1" applyFont="1" applyFill="1" applyBorder="1"/>
    <xf numFmtId="166" fontId="3" fillId="2" borderId="6" xfId="1" applyNumberFormat="1" applyFont="1" applyFill="1" applyBorder="1"/>
    <xf numFmtId="1" fontId="3" fillId="2" borderId="15" xfId="0" applyNumberFormat="1" applyFont="1" applyFill="1" applyBorder="1"/>
    <xf numFmtId="0" fontId="3" fillId="2" borderId="12" xfId="0" applyFont="1" applyFill="1" applyBorder="1"/>
    <xf numFmtId="0" fontId="3" fillId="2" borderId="7" xfId="0" applyFont="1" applyFill="1" applyBorder="1"/>
    <xf numFmtId="1" fontId="3" fillId="2" borderId="0" xfId="2" applyNumberFormat="1" applyFont="1" applyFill="1" applyBorder="1"/>
    <xf numFmtId="166" fontId="3" fillId="2" borderId="8" xfId="1" applyNumberFormat="1" applyFont="1" applyFill="1" applyBorder="1"/>
    <xf numFmtId="1" fontId="3" fillId="2" borderId="0" xfId="0" applyNumberFormat="1" applyFont="1" applyFill="1" applyBorder="1"/>
    <xf numFmtId="0" fontId="3" fillId="2" borderId="13" xfId="0" applyFont="1" applyFill="1" applyBorder="1"/>
    <xf numFmtId="0" fontId="3" fillId="2" borderId="9" xfId="0" applyFont="1" applyFill="1" applyBorder="1"/>
    <xf numFmtId="1" fontId="3" fillId="2" borderId="10" xfId="2" applyNumberFormat="1" applyFont="1" applyFill="1" applyBorder="1"/>
    <xf numFmtId="166" fontId="3" fillId="2" borderId="11" xfId="1" applyNumberFormat="1" applyFont="1" applyFill="1" applyBorder="1"/>
    <xf numFmtId="1" fontId="3" fillId="2" borderId="10" xfId="0" applyNumberFormat="1" applyFont="1" applyFill="1" applyBorder="1"/>
    <xf numFmtId="0" fontId="6" fillId="2" borderId="13" xfId="0" applyFont="1" applyFill="1" applyBorder="1"/>
    <xf numFmtId="0" fontId="2" fillId="2" borderId="13" xfId="0" applyFont="1" applyFill="1" applyBorder="1"/>
    <xf numFmtId="3" fontId="2" fillId="2" borderId="9" xfId="0" applyNumberFormat="1" applyFont="1" applyFill="1" applyBorder="1"/>
    <xf numFmtId="1" fontId="2" fillId="2" borderId="10" xfId="2" applyNumberFormat="1" applyFont="1" applyFill="1" applyBorder="1"/>
    <xf numFmtId="1" fontId="2" fillId="2" borderId="10" xfId="0" applyNumberFormat="1" applyFont="1" applyFill="1" applyBorder="1"/>
    <xf numFmtId="0" fontId="7" fillId="0" borderId="0" xfId="0" applyFont="1"/>
    <xf numFmtId="0" fontId="1" fillId="3" borderId="14" xfId="0" applyFont="1" applyFill="1" applyBorder="1"/>
    <xf numFmtId="0" fontId="1" fillId="3" borderId="7" xfId="0" applyFont="1" applyFill="1" applyBorder="1"/>
    <xf numFmtId="0" fontId="9" fillId="3" borderId="0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/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/>
    <xf numFmtId="0" fontId="9" fillId="3" borderId="7" xfId="0" applyFont="1" applyFill="1" applyBorder="1" applyAlignment="1">
      <alignment horizontal="left"/>
    </xf>
    <xf numFmtId="0" fontId="11" fillId="3" borderId="6" xfId="0" applyFont="1" applyFill="1" applyBorder="1" applyAlignment="1"/>
    <xf numFmtId="0" fontId="2" fillId="0" borderId="9" xfId="0" applyFont="1" applyBorder="1"/>
    <xf numFmtId="0" fontId="1" fillId="3" borderId="6" xfId="0" applyFont="1" applyFill="1" applyBorder="1"/>
    <xf numFmtId="0" fontId="9" fillId="3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  <xf numFmtId="0" fontId="10" fillId="3" borderId="14" xfId="0" applyFont="1" applyFill="1" applyBorder="1"/>
    <xf numFmtId="0" fontId="9" fillId="3" borderId="15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166" fontId="1" fillId="2" borderId="8" xfId="0" applyNumberFormat="1" applyFont="1" applyFill="1" applyBorder="1"/>
    <xf numFmtId="166" fontId="1" fillId="2" borderId="0" xfId="0" applyNumberFormat="1" applyFont="1" applyFill="1" applyBorder="1"/>
    <xf numFmtId="166" fontId="1" fillId="0" borderId="8" xfId="0" applyNumberFormat="1" applyFont="1" applyBorder="1"/>
    <xf numFmtId="166" fontId="2" fillId="0" borderId="11" xfId="0" applyNumberFormat="1" applyFont="1" applyBorder="1"/>
    <xf numFmtId="166" fontId="8" fillId="0" borderId="10" xfId="0" applyNumberFormat="1" applyFont="1" applyBorder="1"/>
    <xf numFmtId="166" fontId="8" fillId="0" borderId="11" xfId="0" applyNumberFormat="1" applyFont="1" applyBorder="1"/>
    <xf numFmtId="166" fontId="1" fillId="2" borderId="0" xfId="1" applyNumberFormat="1" applyFont="1" applyFill="1" applyBorder="1"/>
    <xf numFmtId="166" fontId="1" fillId="0" borderId="0" xfId="1" applyNumberFormat="1" applyFont="1" applyBorder="1"/>
    <xf numFmtId="166" fontId="2" fillId="0" borderId="10" xfId="1" applyNumberFormat="1" applyFont="1" applyBorder="1"/>
    <xf numFmtId="166" fontId="1" fillId="2" borderId="8" xfId="1" applyNumberFormat="1" applyFont="1" applyFill="1" applyBorder="1"/>
    <xf numFmtId="166" fontId="1" fillId="0" borderId="8" xfId="1" applyNumberFormat="1" applyFont="1" applyBorder="1"/>
    <xf numFmtId="166" fontId="2" fillId="0" borderId="11" xfId="1" applyNumberFormat="1" applyFont="1" applyBorder="1"/>
    <xf numFmtId="166" fontId="1" fillId="0" borderId="0" xfId="0" applyNumberFormat="1" applyFont="1" applyFill="1" applyBorder="1"/>
    <xf numFmtId="166" fontId="2" fillId="2" borderId="11" xfId="1" applyNumberFormat="1" applyFont="1" applyFill="1" applyBorder="1"/>
    <xf numFmtId="3" fontId="1" fillId="2" borderId="0" xfId="0" applyNumberFormat="1" applyFont="1" applyFill="1" applyBorder="1"/>
    <xf numFmtId="3" fontId="1" fillId="0" borderId="0" xfId="0" applyNumberFormat="1" applyFont="1" applyBorder="1"/>
    <xf numFmtId="3" fontId="8" fillId="0" borderId="10" xfId="0" applyNumberFormat="1" applyFont="1" applyBorder="1"/>
    <xf numFmtId="3" fontId="3" fillId="2" borderId="15" xfId="2" applyNumberFormat="1" applyFont="1" applyFill="1" applyBorder="1"/>
    <xf numFmtId="3" fontId="3" fillId="0" borderId="15" xfId="2" applyNumberFormat="1" applyFont="1" applyFill="1" applyBorder="1"/>
    <xf numFmtId="3" fontId="3" fillId="2" borderId="0" xfId="2" applyNumberFormat="1" applyFont="1" applyFill="1" applyBorder="1"/>
    <xf numFmtId="3" fontId="3" fillId="0" borderId="0" xfId="2" applyNumberFormat="1" applyFont="1" applyFill="1" applyBorder="1"/>
    <xf numFmtId="3" fontId="3" fillId="0" borderId="10" xfId="2" applyNumberFormat="1" applyFont="1" applyFill="1" applyBorder="1"/>
    <xf numFmtId="3" fontId="3" fillId="2" borderId="10" xfId="2" applyNumberFormat="1" applyFont="1" applyFill="1" applyBorder="1"/>
    <xf numFmtId="3" fontId="2" fillId="2" borderId="10" xfId="2" applyNumberFormat="1" applyFont="1" applyFill="1" applyBorder="1"/>
    <xf numFmtId="3" fontId="2" fillId="0" borderId="4" xfId="2" applyNumberFormat="1" applyFont="1" applyFill="1" applyBorder="1"/>
    <xf numFmtId="3" fontId="3" fillId="2" borderId="15" xfId="0" applyNumberFormat="1" applyFont="1" applyFill="1" applyBorder="1"/>
    <xf numFmtId="3" fontId="3" fillId="0" borderId="15" xfId="0" applyNumberFormat="1" applyFont="1" applyFill="1" applyBorder="1"/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3" fontId="3" fillId="0" borderId="10" xfId="0" applyNumberFormat="1" applyFont="1" applyFill="1" applyBorder="1"/>
    <xf numFmtId="3" fontId="3" fillId="2" borderId="10" xfId="0" applyNumberFormat="1" applyFont="1" applyFill="1" applyBorder="1"/>
    <xf numFmtId="3" fontId="2" fillId="2" borderId="10" xfId="0" applyNumberFormat="1" applyFont="1" applyFill="1" applyBorder="1"/>
    <xf numFmtId="3" fontId="2" fillId="0" borderId="4" xfId="0" applyNumberFormat="1" applyFont="1" applyFill="1" applyBorder="1"/>
    <xf numFmtId="167" fontId="2" fillId="2" borderId="11" xfId="1" applyNumberFormat="1" applyFont="1" applyFill="1" applyBorder="1"/>
    <xf numFmtId="1" fontId="1" fillId="2" borderId="0" xfId="0" applyNumberFormat="1" applyFont="1" applyFill="1" applyBorder="1"/>
    <xf numFmtId="1" fontId="1" fillId="0" borderId="0" xfId="0" applyNumberFormat="1" applyFont="1" applyBorder="1"/>
    <xf numFmtId="4" fontId="0" fillId="0" borderId="0" xfId="0" applyNumberFormat="1"/>
    <xf numFmtId="3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168" fontId="1" fillId="0" borderId="0" xfId="2" applyNumberFormat="1" applyFont="1" applyFill="1" applyBorder="1"/>
    <xf numFmtId="168" fontId="1" fillId="0" borderId="8" xfId="2" applyNumberFormat="1" applyFont="1" applyFill="1" applyBorder="1"/>
    <xf numFmtId="168" fontId="1" fillId="2" borderId="0" xfId="2" applyNumberFormat="1" applyFont="1" applyFill="1" applyBorder="1"/>
    <xf numFmtId="168" fontId="1" fillId="2" borderId="8" xfId="2" applyNumberFormat="1" applyFont="1" applyFill="1" applyBorder="1"/>
    <xf numFmtId="168" fontId="8" fillId="0" borderId="10" xfId="2" applyNumberFormat="1" applyFont="1" applyBorder="1"/>
    <xf numFmtId="168" fontId="8" fillId="0" borderId="11" xfId="2" applyNumberFormat="1" applyFont="1" applyBorder="1"/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right"/>
    </xf>
    <xf numFmtId="1" fontId="1" fillId="0" borderId="0" xfId="0" applyNumberFormat="1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0" xfId="0" applyNumberFormat="1" applyFont="1" applyFill="1" applyBorder="1"/>
    <xf numFmtId="0" fontId="12" fillId="0" borderId="0" xfId="0" pivotButton="1" applyFont="1"/>
    <xf numFmtId="0" fontId="12" fillId="0" borderId="0" xfId="0" applyFont="1"/>
    <xf numFmtId="0" fontId="11" fillId="3" borderId="1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3">
    <cellStyle name="Komma" xfId="2" builtinId="3"/>
    <cellStyle name="Normal" xfId="0" builtinId="0"/>
    <cellStyle name="Procent" xfId="1" builtinId="5"/>
  </cellStyles>
  <dxfs count="4"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BIDB">
      <tp t="e">
        <v>#N/A</v>
        <stp>1</stp>
        <tr r="K161" s="11"/>
        <tr r="L177" s="11"/>
        <tr r="L91" s="11"/>
        <tr r="C170" s="11"/>
        <tr r="C309" s="11"/>
        <tr r="J192" s="11"/>
        <tr r="H1179" s="11"/>
        <tr r="D819" s="11"/>
        <tr r="K332" s="11"/>
        <tr r="D234" s="11"/>
        <tr r="K967" s="11"/>
        <tr r="N35" s="8"/>
        <tr r="N35" s="8"/>
        <tr r="N35" s="8"/>
        <tr r="L110" s="11"/>
        <tr r="L92" s="11"/>
        <tr r="L158" s="11"/>
        <tr r="L112" s="11"/>
        <tr r="L119" s="11"/>
        <tr r="L210" s="11"/>
        <tr r="G163" s="11"/>
        <tr r="C183" s="11"/>
        <tr r="D968" s="11"/>
        <tr r="J106" s="11"/>
        <tr r="F1225" s="11"/>
        <tr r="G327" s="11"/>
        <tr r="G1185" s="11"/>
        <tr r="J1281" s="11"/>
        <tr r="C637" s="11"/>
        <tr r="E150" s="11"/>
        <tr r="G754" s="11"/>
        <tr r="H806" s="11"/>
        <tr r="G925" s="11"/>
        <tr r="D1229" s="11"/>
        <tr r="H234" s="11"/>
        <tr r="G1227" s="11"/>
        <tr r="K767" s="11"/>
        <tr r="D1238" s="11"/>
        <tr r="K892" s="11"/>
        <tr r="D1198" s="11"/>
        <tr r="D243" s="11"/>
        <tr r="J554" s="11"/>
        <tr r="B1254" s="11"/>
        <tr r="M37" s="8"/>
        <tr r="M37" s="8"/>
        <tr r="M37" s="8"/>
        <tr r="H97" s="11"/>
        <tr r="L32" s="11"/>
        <tr r="L186" s="11"/>
        <tr r="D1160" s="11"/>
        <tr r="D1094" s="11"/>
        <tr r="J165" s="11"/>
        <tr r="G955" s="11"/>
        <tr r="D317" s="11"/>
        <tr r="K932" s="11"/>
        <tr r="F336" s="11"/>
        <tr r="J35" s="10"/>
        <tr r="J35" s="10"/>
        <tr r="J35" s="10"/>
        <tr r="B191" s="11"/>
        <tr r="N40" s="8"/>
        <tr r="N40" s="8"/>
        <tr r="N40" s="8"/>
        <tr r="M11" s="8"/>
        <tr r="M11" s="8"/>
        <tr r="M11" s="8"/>
        <tr r="M5" s="8"/>
        <tr r="M5" s="8"/>
        <tr r="M5" s="8"/>
        <tr r="H161" s="11"/>
        <tr r="B212" s="11"/>
        <tr r="L96" s="11"/>
        <tr r="L152" s="11"/>
        <tr r="L56" s="11"/>
        <tr r="L202" s="11"/>
        <tr r="L108" s="11"/>
        <tr r="L76" s="11"/>
        <tr r="G204" s="11"/>
        <tr r="G722" s="11"/>
        <tr r="E384" s="11"/>
        <tr r="L415" s="11"/>
        <tr r="D1204" s="11"/>
        <tr r="K805" s="11"/>
        <tr r="H1234" s="11"/>
        <tr r="D1072" s="11"/>
        <tr r="J1225" s="11"/>
        <tr r="D436" s="11"/>
        <tr r="B1238" s="11"/>
        <tr r="G744" s="11"/>
        <tr r="G236" s="11"/>
        <tr r="K730" s="11"/>
        <tr r="B584" s="11"/>
        <tr r="J1198" s="11"/>
        <tr r="F1253" s="11"/>
        <tr r="L1243" s="11"/>
        <tr r="J116" s="11"/>
        <tr r="C372" s="11"/>
        <tr r="B646" s="11"/>
        <tr r="H368" s="11"/>
        <tr r="C1031" s="11"/>
        <tr r="N11" s="8"/>
        <tr r="N11" s="8"/>
        <tr r="N11" s="8"/>
        <tr r="N5" s="8"/>
        <tr r="N5" s="8"/>
        <tr r="N5" s="8"/>
        <tr r="L159" s="11"/>
        <tr r="L209" s="11"/>
        <tr r="K212" s="11"/>
        <tr r="J102" s="11"/>
        <tr r="H961" s="11"/>
        <tr r="C227" s="11"/>
        <tr r="H1207" s="11"/>
        <tr r="G946" s="11"/>
        <tr r="I356" s="11"/>
        <tr r="J1248" s="11"/>
        <tr r="N42" s="8"/>
        <tr r="N42" s="8"/>
        <tr r="N42" s="8"/>
        <tr r="S7" s="9"/>
        <tr r="S7" s="9"/>
        <tr r="S7" s="9"/>
        <tr r="M50" s="8"/>
        <tr r="M50" s="8"/>
        <tr r="M50" s="8"/>
        <tr r="M31" s="8"/>
        <tr r="M31" s="8"/>
        <tr r="M31" s="8"/>
        <tr r="J7" s="9"/>
        <tr r="J7" s="9"/>
        <tr r="J7" s="9"/>
        <tr r="N17" s="8"/>
        <tr r="N17" s="8"/>
        <tr r="N17" s="8"/>
        <tr r="N39" s="8"/>
        <tr r="N39" s="8"/>
        <tr r="N39" s="8"/>
        <tr r="B110" s="11"/>
        <tr r="L47" s="11"/>
        <tr r="L39" s="11"/>
        <tr r="L116" s="11"/>
        <tr r="L130" s="11"/>
        <tr r="L34" s="11"/>
        <tr r="K129" s="11"/>
        <tr r="G179" s="11"/>
        <tr r="K358" s="11"/>
        <tr r="J157" s="11"/>
        <tr r="E151" s="11"/>
        <tr r="L413" s="11"/>
        <tr r="G951" s="11"/>
        <tr r="L231" s="11"/>
        <tr r="H340" s="11"/>
        <tr r="D281" s="11"/>
        <tr r="L347" s="11"/>
        <tr r="D889" s="11"/>
        <tr r="D1075" s="11"/>
        <tr r="C241" s="11"/>
        <tr r="D1083" s="11"/>
        <tr r="L359" s="11"/>
        <tr r="F1240" s="11"/>
        <tr r="J397" s="11"/>
        <tr r="B1239" s="11"/>
        <tr r="K952" s="11"/>
        <tr r="D1032" s="11"/>
        <tr r="K362" s="11"/>
        <tr r="D245" s="11"/>
        <tr r="K823" s="11"/>
        <tr r="K859" s="11"/>
        <tr r="H415" s="11"/>
        <tr r="B1037" s="11"/>
        <tr r="G841" s="11"/>
        <tr r="K8" s="11"/>
        <tr r="D175" s="11"/>
        <tr r="C1232" s="11"/>
        <tr r="C871" s="11"/>
        <tr r="L1077" s="11"/>
        <tr r="E412" s="11"/>
        <tr r="G545" s="11"/>
        <tr r="H993" s="11"/>
        <tr r="G991" s="11"/>
        <tr r="G735" s="11"/>
        <tr r="C858" s="11"/>
        <tr r="G1056" s="11"/>
        <tr r="I573" s="11"/>
        <tr r="H453" s="11"/>
        <tr r="J542" s="11"/>
        <tr r="J445" s="11"/>
        <tr r="G866" s="11"/>
        <tr r="D105" s="11"/>
        <tr r="K1246" s="11"/>
        <tr r="G271" s="11"/>
        <tr r="G406" s="11"/>
        <tr r="C736" s="11"/>
        <tr r="D1008" s="11"/>
        <tr r="J1056" s="11"/>
        <tr r="J93" s="11"/>
        <tr r="F362" s="11"/>
        <tr r="L892" s="11"/>
        <tr r="F1281" s="11"/>
        <tr r="K935" s="11"/>
        <tr r="L1289" s="11"/>
        <tr r="G945" s="11"/>
        <tr r="D213" s="11"/>
        <tr r="H252" s="11"/>
        <tr r="I4" s="11"/>
        <tr r="H399" s="11"/>
        <tr r="G383" s="11"/>
        <tr r="J1252" s="11"/>
        <tr r="D354" s="11"/>
        <tr r="D57" s="11"/>
        <tr r="L1271" s="11"/>
        <tr r="K1000" s="11"/>
        <tr r="C775" s="11"/>
        <tr r="J501" s="11"/>
        <tr r="K753" s="11"/>
        <tr r="H277" s="11"/>
        <tr r="D978" s="11"/>
        <tr r="E452" s="11"/>
        <tr r="G920" s="11"/>
        <tr r="B566" s="11"/>
        <tr r="K222" s="11"/>
        <tr r="H900" s="11"/>
        <tr r="C1001" s="11"/>
        <tr r="H1108" s="11"/>
        <tr r="E76" s="11"/>
        <tr r="G723" s="11"/>
        <tr r="I114" s="11"/>
        <tr r="F590" s="11"/>
        <tr r="H1227" s="11"/>
        <tr r="N12" s="8"/>
        <tr r="N12" s="8"/>
        <tr r="N12" s="8"/>
        <tr r="N47" s="8"/>
        <tr r="N47" s="8"/>
        <tr r="N47" s="8"/>
        <tr r="G44" s="9"/>
        <tr r="G44" s="9"/>
        <tr r="G44" s="9"/>
        <tr r="M39" s="8"/>
        <tr r="M39" s="8"/>
        <tr r="M39" s="8"/>
        <tr r="N27" s="8"/>
        <tr r="N27" s="8"/>
        <tr r="N27" s="8"/>
        <tr r="P7" s="9"/>
        <tr r="P7" s="9"/>
        <tr r="P7" s="9"/>
        <tr r="E16" s="8"/>
        <tr r="E16" s="8"/>
        <tr r="E16" s="8"/>
        <tr r="B78" s="11"/>
        <tr r="L113" s="11"/>
        <tr r="L138" s="11"/>
        <tr r="L153" s="11"/>
        <tr r="N9" s="8"/>
        <tr r="N9" s="8"/>
        <tr r="N9" s="8"/>
        <tr r="N20" s="8"/>
        <tr r="N20" s="8"/>
        <tr r="N20" s="8"/>
        <tr r="N50" s="8"/>
        <tr r="N50" s="8"/>
        <tr r="N50" s="8"/>
        <tr r="K7" s="9"/>
        <tr r="K7" s="9"/>
        <tr r="K7" s="9"/>
        <tr r="B161" s="11"/>
        <tr r="E42" s="8"/>
        <tr r="E42" s="8"/>
        <tr r="E42" s="8"/>
        <tr r="B137" s="11"/>
        <tr r="B193" s="11"/>
        <tr r="K113" s="11"/>
        <tr r="L132" s="11"/>
        <tr r="L195" s="11"/>
        <tr r="L188" s="11"/>
        <tr r="L106" s="11"/>
        <tr r="L126" s="11"/>
        <tr r="L208" s="11"/>
        <tr r="L59" s="11"/>
        <tr r="L154" s="11"/>
        <tr r="L212" s="11"/>
        <tr r="C206" s="11"/>
        <tr r="C964" s="11"/>
        <tr r="J44" s="11"/>
        <tr r="J174" s="11"/>
        <tr r="G972" s="11"/>
        <tr r="H1267" s="11"/>
        <tr r="F398" s="11"/>
        <tr r="C1026" s="11"/>
        <tr r="B447" s="11"/>
        <tr r="B1228" s="11"/>
        <tr r="C1019" s="11"/>
        <tr r="J1229" s="11"/>
        <tr r="C812" s="11"/>
        <tr r="L1063" s="11"/>
        <tr r="G330" s="11"/>
        <tr r="G943" s="11"/>
        <tr r="G1158" s="11"/>
        <tr r="D373" s="11"/>
        <tr r="J1196" s="11"/>
        <tr r="L903" s="11"/>
        <tr r="K988" s="11"/>
        <tr r="K776" s="11"/>
        <tr r="J9" s="11"/>
        <tr r="D258" s="11"/>
        <tr r="F389" s="11"/>
        <tr r="F1204" s="11"/>
        <tr r="J1283" s="11"/>
        <tr r="K1137" s="11"/>
        <tr r="C788" s="11"/>
        <tr r="C843" s="11"/>
        <tr r="K447" s="11"/>
        <tr r="K926" s="11"/>
        <tr r="D10" s="11"/>
        <tr r="B1036" s="11"/>
        <tr r="L909" s="11"/>
        <tr r="D844" s="11"/>
        <tr r="D260" s="11"/>
        <tr r="I824" s="11"/>
        <tr r="H1211" s="11"/>
        <tr r="C818" s="11"/>
        <tr r="J339" s="11"/>
        <tr r="C725" s="11"/>
        <tr r="G352" s="11"/>
        <tr r="B369" s="11"/>
        <tr r="B1040" s="11"/>
        <tr r="I372" s="11"/>
        <tr r="B1240" s="11"/>
        <tr r="G756" s="11"/>
        <tr r="G300" s="11"/>
        <tr r="F827" s="11"/>
        <tr r="D49" s="11"/>
        <tr r="F1222" s="11"/>
        <tr r="H852" s="11"/>
        <tr r="J25" s="11"/>
        <tr r="E39" s="11"/>
        <tr r="D232" s="11"/>
        <tr r="G817" s="11"/>
        <tr r="D744" s="11"/>
        <tr r="E148" s="11"/>
        <tr r="K591" s="11"/>
        <tr r="G550" s="11"/>
        <tr r="J1037" s="11"/>
        <tr r="C289" s="11"/>
        <tr r="D1220" s="11"/>
        <tr r="D980" s="11"/>
        <tr r="J622" s="11"/>
        <tr r="D1038" s="11"/>
        <tr r="E156" s="11"/>
        <tr r="G696" s="11"/>
        <tr r="I1088" s="11"/>
        <tr r="D833" s="11"/>
        <tr r="I246" s="11"/>
        <tr r="C923" s="11"/>
        <tr r="B1057" s="11"/>
        <tr r="C340" s="11"/>
        <tr r="H1261" s="11"/>
        <tr r="H613" s="11"/>
        <tr r="K1218" s="11"/>
        <tr r="J499" s="11"/>
        <tr r="C1236" s="11"/>
        <tr r="H903" s="11"/>
        <tr r="D134" s="11"/>
        <tr r="F1213" s="11"/>
        <tr r="H1201" s="11"/>
        <tr r="D1000" s="11"/>
        <tr r="G365" s="11"/>
        <tr r="J1197" s="11"/>
        <tr r="D1172" s="11"/>
        <tr r="K348" s="11"/>
        <tr r="F286" s="11"/>
        <tr r="L392" s="11"/>
        <tr r="E21" s="11"/>
        <tr r="F508" s="11"/>
        <tr r="N26" s="8"/>
        <tr r="N26" s="8"/>
        <tr r="N26" s="8"/>
        <tr r="L161" s="11"/>
        <tr r="M41" s="9"/>
        <tr r="M41" s="9"/>
        <tr r="M41" s="9"/>
        <tr r="B194" s="11"/>
        <tr r="B103" s="11"/>
        <tr r="B180" s="11"/>
        <tr r="L40" s="11"/>
        <tr r="L23" s="11"/>
        <tr r="L157" s="11"/>
        <tr r="L88" s="11"/>
        <tr r="L95" s="11"/>
        <tr r="L78" s="11"/>
        <tr r="L77" s="11"/>
        <tr r="L98" s="11"/>
        <tr r="K193" s="11"/>
        <tr r="G156" s="11"/>
        <tr r="G782" s="11"/>
        <tr r="D1211" s="11"/>
        <tr r="G995" s="11"/>
        <tr r="F1290" s="11"/>
        <tr r="J549" s="11"/>
        <tr r="D21" s="11"/>
        <tr r="D767" s="11"/>
        <tr r="D727" s="11"/>
        <tr r="J134" s="11"/>
        <tr r="H944" s="11"/>
        <tr r="B1277" s="11"/>
        <tr r="D741" s="11"/>
        <tr r="D164" s="11"/>
        <tr r="J53" s="11"/>
        <tr r="L954" s="11"/>
        <tr r="J1216" s="11"/>
        <tr r="D90" s="11"/>
        <tr r="D1034" s="11"/>
        <tr r="G875" s="11"/>
        <tr r="D209" s="11"/>
        <tr r="H834" s="11"/>
        <tr r="E87" s="11"/>
        <tr r="B560" s="11"/>
        <tr r="C1040" s="11"/>
        <tr r="J1209" s="11"/>
        <tr r="D1192" s="11"/>
        <tr r="D515" s="11"/>
        <tr r="B1202" s="11"/>
        <tr r="G791" s="11"/>
        <tr r="E276" s="11"/>
        <tr r="H1218" s="11"/>
        <tr r="L966" s="11"/>
        <tr r="H267" s="11"/>
        <tr r="D1267" s="11"/>
        <tr r="G892" s="11"/>
        <tr r="H498" s="11"/>
        <tr r="J237" s="11"/>
        <tr r="F397" s="11"/>
        <tr r="H889" s="11"/>
        <tr r="D471" s="11"/>
        <tr r="D513" s="11"/>
        <tr r="G1159" s="11"/>
        <tr r="C613" s="11"/>
        <tr r="J34" s="11"/>
        <tr r="D614" s="11"/>
        <tr r="D800" s="11"/>
        <tr r="D1076" s="11"/>
        <tr r="H1010" s="11"/>
        <tr r="H849" s="11"/>
        <tr r="J1184" s="11"/>
        <tr r="B1196" s="11"/>
        <tr r="G726" s="11"/>
        <tr r="F254" s="11"/>
        <tr r="B1266" s="11"/>
        <tr r="L1032" s="11"/>
        <tr r="B493" s="11"/>
        <tr r="H780" s="11"/>
        <tr r="H872" s="11"/>
        <tr r="D229" s="11"/>
        <tr r="H1210" s="11"/>
        <tr r="G797" s="11"/>
        <tr r="G1134" s="11"/>
        <tr r="C601" s="11"/>
        <tr r="I312" s="11"/>
        <tr r="G454" s="11"/>
        <tr r="J195" s="11"/>
        <tr r="K292" s="11"/>
        <tr r="J241" s="11"/>
        <tr r="J652" s="11"/>
        <tr r="D166" s="11"/>
        <tr r="H1143" s="11"/>
        <tr r="C317" s="11"/>
        <tr r="C955" s="11"/>
        <tr r="J384" s="11"/>
        <tr r="H347" s="11"/>
        <tr r="H1069" s="11"/>
        <tr r="K603" s="11"/>
        <tr r="H932" s="11"/>
        <tr r="K1201" s="11"/>
        <tr r="H843" s="11"/>
        <tr r="H288" s="11"/>
        <tr r="G354" s="11"/>
        <tr r="D485" s="11"/>
        <tr r="G287" s="11"/>
        <tr r="D336" s="11"/>
        <tr r="H1277" s="11"/>
        <tr r="L819" s="11"/>
        <tr r="D324" s="11"/>
        <tr r="F1186" s="11"/>
        <tr r="C1023" s="11"/>
        <tr r="E11" s="11"/>
        <tr r="E82" s="11"/>
        <tr r="D856" s="11"/>
        <tr r="M22" s="8"/>
        <tr r="M22" s="8"/>
        <tr r="M22" s="8"/>
        <tr r="M7" s="9"/>
        <tr r="M7" s="9"/>
        <tr r="M7" s="9"/>
        <tr r="B97" s="11"/>
        <tr r="B216" s="11"/>
        <tr r="B179" s="11"/>
        <tr r="L142" s="11"/>
        <tr r="L139" s="11"/>
        <tr r="L64" s="11"/>
        <tr r="L184" s="11"/>
        <tr r="L191" s="11"/>
        <tr r="L148" s="11"/>
        <tr r="L131" s="11"/>
        <tr r="L104" s="11"/>
        <tr r="C129" s="11"/>
        <tr r="G143" s="11"/>
        <tr r="F563" s="11"/>
        <tr r="H848" s="11"/>
        <tr r="G980" s="11"/>
        <tr r="I321" s="11"/>
        <tr r="H576" s="11"/>
        <tr r="J1272" s="11"/>
        <tr r="H1257" s="11"/>
        <tr r="G900" s="11"/>
        <tr r="C456" s="11"/>
        <tr r="G319" s="11"/>
        <tr r="G974" s="11"/>
        <tr r="D1125" s="11"/>
        <tr r="J271" s="11"/>
        <tr r="H1239" s="11"/>
        <tr r="H1137" s="11"/>
        <tr r="G244" s="11"/>
        <tr r="E465" s="11"/>
        <tr r="E233" s="11"/>
        <tr r="D314" s="11"/>
        <tr r="G783" s="11"/>
        <tr r="C806" s="11"/>
        <tr r="G1235" s="11"/>
        <tr r="G856" s="11"/>
        <tr r="F1247" s="11"/>
        <tr r="K238" s="11"/>
        <tr r="C920" s="11"/>
        <tr r="H1272" s="11"/>
        <tr r="D821" s="11"/>
        <tr r="G358" s="11"/>
        <tr r="K446" s="11"/>
        <tr r="J315" s="11"/>
        <tr r="C332" s="11"/>
        <tr r="C528" s="11"/>
        <tr r="B1281" s="11"/>
        <tr r="H1205" s="11"/>
        <tr r="L1057" s="11"/>
        <tr r="L262" s="11"/>
        <tr r="G975" s="11"/>
        <tr r="D1004" s="11"/>
        <tr r="E507" s="11"/>
        <tr r="I350" s="11"/>
        <tr r="K702" s="11"/>
        <tr r="K797" s="11"/>
        <tr r="H1002" s="11"/>
        <tr r="D360" s="11"/>
        <tr r="D757" s="11"/>
        <tr r="K1005" s="11"/>
        <tr r="C633" s="11"/>
        <tr r="E432" s="11"/>
        <tr r="G984" s="11"/>
        <tr r="K1179" s="11"/>
        <tr r="J135" s="11"/>
        <tr r="G894" s="11"/>
        <tr r="J78" s="11"/>
        <tr r="C324" s="11"/>
        <tr r="K711" s="11"/>
        <tr r="J87" s="11"/>
        <tr r="K300" s="11"/>
        <tr r="B1288" s="11"/>
        <tr r="G336" s="11"/>
        <tr r="B355" s="11"/>
        <tr r="K751" s="11"/>
        <tr r="D202" s="11"/>
        <tr r="H945" s="11"/>
        <tr r="H279" s="11"/>
        <tr r="L1026" s="11"/>
        <tr r="H875" s="11"/>
        <tr r="E328" s="11"/>
        <tr r="L984" s="11"/>
        <tr r="F365" s="11"/>
        <tr r="H281" s="11"/>
        <tr r="B407" s="11"/>
        <tr r="D965" s="11"/>
        <tr r="H846" s="11"/>
        <tr r="K1025" s="11"/>
        <tr r="D1089" s="11"/>
        <tr r="H876" s="11"/>
        <tr r="H948" s="11"/>
        <tr r="C435" s="11"/>
        <tr r="F1042" s="11"/>
        <tr r="D1243" s="11"/>
        <tr r="H796" s="11"/>
        <tr r="K1140" s="11"/>
        <tr r="D174" s="11"/>
        <tr r="H1091" s="11"/>
        <tr r="F385" s="11"/>
        <tr r="G927" s="11"/>
        <tr r="E363" s="11"/>
        <tr r="E127" s="11"/>
        <tr r="C951" s="11"/>
        <tr r="F292" s="11"/>
        <tr r="H1044" s="11"/>
        <tr r="G904" s="11"/>
        <tr r="J172" s="11"/>
        <tr r="G993" s="11"/>
        <tr r="H1064" s="11"/>
        <tr r="K241" s="11"/>
        <tr r="L739" s="11"/>
        <tr r="F234" s="11"/>
        <tr r="K870" s="11"/>
        <tr r="G849" s="11"/>
        <tr r="F549" s="11"/>
        <tr r="D93" s="11"/>
        <tr r="C906" s="11"/>
        <tr r="B1219" s="11"/>
        <tr r="G1144" s="11"/>
        <tr r="L335" s="11"/>
        <tr r="C1034" s="11"/>
        <tr r="J535" s="11"/>
        <tr r="C908" s="11"/>
        <tr r="C377" s="11"/>
        <tr r="K763" s="11"/>
        <tr r="J1288" s="11"/>
        <tr r="G799" s="11"/>
        <tr r="E129" s="11"/>
        <tr r="D750" s="11"/>
        <tr r="C772" s="11"/>
        <tr r="J1233" s="11"/>
        <tr r="C899" s="11"/>
        <tr r="C299" s="11"/>
        <tr r="D459" s="11"/>
        <tr r="G1032" s="11"/>
        <tr r="G950" s="11"/>
        <tr r="F1262" s="11"/>
        <tr r="G743" s="11"/>
        <tr r="K1128" s="11"/>
        <tr r="G909" s="11"/>
        <tr r="D805" s="11"/>
        <tr r="L986" s="11"/>
        <tr r="D1060" s="11"/>
        <tr r="D848" s="11"/>
        <tr r="H1078" s="11"/>
        <tr r="D264" s="11"/>
        <tr r="D1142" s="11"/>
        <tr r="L333" s="11"/>
        <tr r="H1275" s="11"/>
        <tr r="G844" s="11"/>
        <tr r="C824" s="11"/>
        <tr r="B273" s="11"/>
        <tr r="D745" s="11"/>
        <tr r="D776" s="11"/>
        <tr r="H969" s="11"/>
        <tr r="D204" s="11"/>
        <tr r="D846" s="11"/>
        <tr r="E84" s="11"/>
        <tr r="J101" s="11"/>
        <tr r="G746" s="11"/>
        <tr r="G944" s="11"/>
        <tr r="E503" s="11"/>
        <tr r="J360" s="11"/>
        <tr r="G242" s="11"/>
        <tr r="K1141" s="11"/>
        <tr r="I507" s="11"/>
        <tr r="H1131" s="11"/>
        <tr r="I208" s="11"/>
        <tr r="J206" s="11"/>
        <tr r="J1053" s="11"/>
        <tr r="G218" s="11"/>
        <tr r="J1223" s="11"/>
        <tr r="B1051" s="11"/>
        <tr r="C353" s="11"/>
        <tr r="D1091" s="11"/>
        <tr r="G1035" s="11"/>
        <tr r="H938" s="11"/>
        <tr r="D1279" s="11"/>
        <tr r="C1183" s="11"/>
        <tr r="K357" s="11"/>
        <tr r="L887" s="11"/>
        <tr r="D996" s="11"/>
        <tr r="C315" s="11"/>
        <tr r="D1287" s="11"/>
        <tr r="F235" s="11"/>
        <tr r="G557" s="11"/>
        <tr r="D1108" s="11"/>
        <tr r="D1058" s="11"/>
        <tr r="D789" s="11"/>
        <tr r="D1207" s="11"/>
        <tr r="G835" s="11"/>
        <tr r="C1152" s="11"/>
        <tr r="D220" s="11"/>
        <tr r="E28" s="11"/>
        <tr r="G568" s="11"/>
        <tr r="B576" s="11"/>
        <tr r="I725" s="11"/>
        <tr r="C573" s="11"/>
        <tr r="K962" s="11"/>
        <tr r="F323" s="11"/>
        <tr r="B413" s="11"/>
        <tr r="G604" s="11"/>
        <tr r="L726" s="11"/>
        <tr r="I171" s="11"/>
        <tr r="F677" s="11"/>
        <tr r="C1033" s="11"/>
        <tr r="C1012" s="11"/>
        <tr r="C235" s="11"/>
        <tr r="H232" s="11"/>
        <tr r="C1172" s="11"/>
        <tr r="K847" s="11"/>
        <tr r="C939" s="11"/>
        <tr r="K1139" s="11"/>
        <tr r="I193" s="11"/>
        <tr r="G899" s="11"/>
        <tr r="K1203" s="11"/>
        <tr r="D118" s="11"/>
        <tr r="K880" s="11"/>
        <tr r="G901" s="11"/>
        <tr r="L1188" s="11"/>
        <tr r="J196" s="11"/>
        <tr r="H890" s="11"/>
        <tr r="L1010" s="11"/>
        <tr r="K1144" s="11"/>
        <tr r="C226" s="11"/>
        <tr r="D1045" s="11"/>
        <tr r="K754" s="11"/>
        <tr r="F1221" s="11"/>
        <tr r="F1211" s="11"/>
        <tr r="I276" s="11"/>
        <tr r="E201" s="11"/>
        <tr r="E386" s="11"/>
        <tr r="J1265" s="11"/>
        <tr r="C347" s="11"/>
        <tr r="E22" s="11"/>
        <tr r="J475" s="11"/>
        <tr r="F552" s="11"/>
        <tr r="I510" s="11"/>
        <tr r="G839" s="11"/>
        <tr r="H964" s="11"/>
        <tr r="K1213" s="11"/>
        <tr r="F386" s="11"/>
        <tr r="I136" s="11"/>
        <tr r="G390" s="11"/>
        <tr r="E487" s="11"/>
        <tr r="H1141" s="11"/>
        <tr r="B1042" s="11"/>
        <tr r="C936" s="11"/>
        <tr r="G332" s="11"/>
        <tr r="K778" s="11"/>
        <tr r="G1203" s="11"/>
        <tr r="G1047" s="11"/>
        <tr r="H312" s="11"/>
        <tr r="C940" s="11"/>
        <tr r="C1048" s="11"/>
        <tr r="B360" s="11"/>
        <tr r="J128" s="11"/>
        <tr r="K981" s="11"/>
        <tr r="H255" s="11"/>
        <tr r="H218" s="11"/>
        <tr r="J50" s="11"/>
        <tr r="H440" s="11"/>
        <tr r="D456" s="11"/>
        <tr r="F248" s="11"/>
        <tr r="J666" s="11"/>
        <tr r="I637" s="11"/>
        <tr r="J1282" s="11"/>
        <tr r="K907" s="11"/>
        <tr r="H266" s="11"/>
        <tr r="J65" s="11"/>
        <tr r="C1147" s="11"/>
        <tr r="C222" s="11"/>
        <tr r="J1215" s="11"/>
        <tr r="H491" s="11"/>
        <tr r="D325" s="11"/>
        <tr r="F566" s="11"/>
        <tr r="J1245" s="11"/>
        <tr r="H779" s="11"/>
        <tr r="G1214" s="11"/>
        <tr r="L1208" s="11"/>
        <tr r="D1092" s="11"/>
        <tr r="D1223" s="11"/>
        <tr r="H472" s="11"/>
        <tr r="C776" s="11"/>
        <tr r="K960" s="11"/>
        <tr r="K440" s="11"/>
        <tr r="I110" s="11"/>
        <tr r="G311" s="11"/>
        <tr r="N33" s="8"/>
        <tr r="N33" s="8"/>
        <tr r="N33" s="8"/>
        <tr r="M12" s="8"/>
        <tr r="M12" s="8"/>
        <tr r="M12" s="8"/>
        <tr r="F161" s="11"/>
        <tr r="M33" s="8"/>
        <tr r="M33" s="8"/>
        <tr r="M33" s="8"/>
        <tr r="M23" s="8"/>
        <tr r="M23" s="8"/>
        <tr r="M23" s="8"/>
        <tr r="Q44" s="9"/>
        <tr r="Q44" s="9"/>
        <tr r="Q44" s="9"/>
        <tr r="C33" s="11"/>
        <tr r="B189" s="11"/>
        <tr r="L111" s="11"/>
        <tr r="L167" s="11"/>
        <tr r="L107" s="11"/>
        <tr r="N31" s="8"/>
        <tr r="N31" s="8"/>
        <tr r="N31" s="8"/>
        <tr r="M13" s="8"/>
        <tr r="M13" s="8"/>
        <tr r="M13" s="8"/>
        <tr r="N38" s="8"/>
        <tr r="N38" s="8"/>
        <tr r="N38" s="8"/>
        <tr r="H7" s="9"/>
        <tr r="H7" s="9"/>
        <tr r="H7" s="9"/>
        <tr r="H23" s="9"/>
        <tr r="H23" s="9"/>
        <tr r="H23" s="9"/>
        <tr r="H48" s="9"/>
        <tr r="H48" s="9"/>
        <tr r="H48" s="9"/>
        <tr r="B149" s="11"/>
        <tr r="B181" s="11"/>
        <tr r="L207" s="11"/>
        <tr r="L192" s="11"/>
        <tr r="L135" s="11"/>
        <tr r="L54" s="11"/>
        <tr r="L163" s="11"/>
        <tr r="L213" s="11"/>
        <tr r="L74" s="11"/>
        <tr r="L118" s="11"/>
        <tr r="L41" s="11"/>
        <tr r="G203" s="11"/>
        <tr r="J1054" s="11"/>
        <tr r="C383" s="11"/>
        <tr r="C1192" s="11"/>
        <tr r="F1059" s="11"/>
        <tr r="C380" s="11"/>
        <tr r="K1237" s="11"/>
        <tr r="G1171" s="11"/>
        <tr r="G770" s="11"/>
        <tr r="B448" s="11"/>
        <tr r="B1257" s="11"/>
        <tr r="I64" s="11"/>
        <tr r="D1282" s="11"/>
        <tr r="D981" s="11"/>
        <tr r="F283" s="11"/>
        <tr r="F1040" s="11"/>
        <tr r="G969" s="11"/>
        <tr r="K924" s="11"/>
        <tr r="L459" s="11"/>
        <tr r="G838" s="11"/>
        <tr r="F1237" s="11"/>
        <tr r="L951" s="11"/>
        <tr r="L482" s="11"/>
        <tr r="D1250" s="11"/>
        <tr r="J202" s="11"/>
        <tr r="D948" s="11"/>
        <tr r="D893" s="11"/>
        <tr r="F366" s="11"/>
        <tr r="B285" s="11"/>
        <tr r="G1206" s="11"/>
        <tr r="F290" s="11"/>
        <tr r="D114" s="11"/>
        <tr r="E736" s="11"/>
        <tr r="D951" s="11"/>
        <tr r="C293" s="11"/>
        <tr r="J187" s="11"/>
        <tr r="C352" s="11"/>
        <tr r="K220" s="11"/>
        <tr r="J8" s="11"/>
        <tr r="D1109" s="11"/>
        <tr r="C813" s="11"/>
        <tr r="J343" s="11"/>
        <tr r="D448" s="11"/>
        <tr r="G1058" s="11"/>
        <tr r="G380" s="11"/>
        <tr r="G1169" s="11"/>
        <tr r="D884" s="11"/>
        <tr r="C247" s="11"/>
        <tr r="C879" s="11"/>
        <tr r="C1191" s="11"/>
        <tr r="B478" s="11"/>
        <tr r="C913" s="11"/>
        <tr r="L1082" s="11"/>
        <tr r="G6" s="11"/>
        <tr r="G737" s="11"/>
        <tr r="D931" s="11"/>
        <tr r="D1027" s="11"/>
        <tr r="K1129" s="11"/>
        <tr r="H891" s="11"/>
        <tr r="J57" s="11"/>
        <tr r="J400" s="11"/>
        <tr r="H1104" s="11"/>
        <tr r="D1275" s="11"/>
        <tr r="D936" s="11"/>
        <tr r="C1176" s="11"/>
        <tr r="C271" s="11"/>
        <tr r="D853" s="11"/>
        <tr r="G819" s="11"/>
        <tr r="G680" s="11"/>
        <tr r="K897" s="11"/>
        <tr r="L330" s="11"/>
        <tr r="G1023" s="11"/>
        <tr r="F1210" s="11"/>
        <tr r="D146" s="11"/>
        <tr r="L1173" s="11"/>
        <tr r="D253" s="11"/>
        <tr r="C432" s="11"/>
        <tr r="G222" s="11"/>
        <tr r="K1022" s="11"/>
        <tr r="L1224" s="11"/>
        <tr r="D9" s="11"/>
        <tr r="G1239" s="11"/>
        <tr r="H859" s="11"/>
        <tr r="B1241" s="11"/>
        <tr r="B291" s="11"/>
        <tr r="G412" s="11"/>
        <tr r="B421" s="11"/>
        <tr r="K1001" s="11"/>
        <tr r="C751" s="11"/>
        <tr r="E37" s="11"/>
        <tr r="D729" s="11"/>
        <tr r="C1144" s="11"/>
        <tr r="L895" s="11"/>
        <tr r="G857" s="11"/>
        <tr r="N25" s="8"/>
        <tr r="N25" s="8"/>
        <tr r="N25" s="8"/>
        <tr r="G161" s="11"/>
        <tr r="G33" s="11"/>
        <tr r="B105" s="11"/>
        <tr r="B129" s="11"/>
        <tr r="G113" s="11"/>
        <tr r="L100" s="11"/>
        <tr r="L194" s="11"/>
        <tr r="L156" s="11"/>
        <tr r="L36" s="11"/>
        <tr r="L94" s="11"/>
        <tr r="L176" s="11"/>
        <tr r="L27" s="11"/>
        <tr r="L67" s="11"/>
        <tr r="G212" s="11"/>
        <tr r="C142" s="11"/>
        <tr r="K265" s="11"/>
        <tr r="D1274" s="11"/>
        <tr r="J100" s="11"/>
        <tr r="G1051" s="11"/>
        <tr r="J349" s="11"/>
        <tr r="C880" s="11"/>
        <tr r="B640" s="11"/>
        <tr r="H937" s="11"/>
        <tr r="G298" s="11"/>
        <tr r="H1087" s="11"/>
        <tr r="J121" s="11"/>
        <tr r="H737" s="11"/>
        <tr r="D1063" s="11"/>
        <tr r="C997" s="11"/>
        <tr r="C1228" s="11"/>
        <tr r="G882" s="11"/>
        <tr r="K1229" s="11"/>
        <tr r="J77" s="11"/>
        <tr r="F1239" s="11"/>
        <tr r="K329" s="11"/>
        <tr r="E5" s="11"/>
        <tr r="F1269" s="11"/>
        <tr r="K1242" s="11"/>
        <tr r="G936" s="11"/>
        <tr r="G1156" s="11"/>
        <tr r="B1236" s="11"/>
        <tr r="H1196" s="11"/>
        <tr r="L1181" s="11"/>
        <tr r="K964" s="11"/>
        <tr r="G1142" s="11"/>
        <tr r="D1234" s="11"/>
        <tr r="C750" s="11"/>
        <tr r="G1138" s="11"/>
        <tr r="J1042" s="11"/>
        <tr r="D273" s="11"/>
        <tr r="C1226" s="11"/>
        <tr r="H412" s="11"/>
        <tr r="H444" s="11"/>
        <tr r="H1155" s="11"/>
        <tr r="D955" s="11"/>
        <tr r="H369" s="11"/>
        <tr r="E489" s="11"/>
        <tr r="B1213" s="11"/>
        <tr r="G769" s="11"/>
        <tr r="D78" s="11"/>
        <tr r="J219" s="11"/>
        <tr r="H954" s="11"/>
        <tr r="G1127" s="11"/>
        <tr r="D375" s="11"/>
        <tr r="H1229" s="11"/>
        <tr r="D1062" s="11"/>
        <tr r="J461" s="11"/>
        <tr r="B564" s="11"/>
        <tr r="G834" s="11"/>
        <tr r="C782" s="11"/>
        <tr r="D294" s="11"/>
        <tr r="C1166" s="11"/>
        <tr r="F506" s="11"/>
        <tr r="C975" s="11"/>
        <tr r="D779" s="11"/>
        <tr r="B1283" s="11"/>
        <tr r="H974" s="11"/>
        <tr r="D993" s="11"/>
        <tr r="D885" s="11"/>
        <tr r="J593" s="11"/>
        <tr r="C237" s="11"/>
        <tr r="E651" s="11"/>
        <tr r="F965" s="11"/>
        <tr r="D131" s="11"/>
        <tr r="I392" s="11"/>
        <tr r="E724" s="11"/>
        <tr r="D70" s="11"/>
        <tr r="J169" s="11"/>
        <tr r="D132" s="11"/>
        <tr r="G348" s="11"/>
        <tr r="B1225" s="11"/>
        <tr r="L778" s="11"/>
        <tr r="D1093" s="11"/>
        <tr r="B1282" s="11"/>
        <tr r="B458" s="11"/>
        <tr r="K1209" s="11"/>
        <tr r="G240" s="11"/>
        <tr r="C1127" s="11"/>
        <tr r="C255" s="11"/>
        <tr r="K873" s="11"/>
        <tr r="F1291" s="11"/>
        <tr r="D943" s="11"/>
        <tr r="H956" s="11"/>
        <tr r="K977" s="11"/>
        <tr r="C1131" s="11"/>
        <tr r="H226" s="11"/>
        <tr r="H694" s="11"/>
        <tr r="N15" s="8"/>
        <tr r="N15" s="8"/>
        <tr r="N15" s="8"/>
        <tr r="M40" s="8"/>
        <tr r="M40" s="8"/>
        <tr r="M40" s="8"/>
        <tr r="J23" s="9"/>
        <tr r="J23" s="9"/>
        <tr r="J23" s="9"/>
        <tr r="B201" s="11"/>
        <tr r="B214" s="11"/>
        <tr r="B124" s="11"/>
        <tr r="L196" s="11"/>
        <tr r="L79" s="11"/>
        <tr r="L125" s="11"/>
        <tr r="L50" s="11"/>
        <tr r="L190" s="11"/>
        <tr r="L46" s="11"/>
        <tr r="L187" s="11"/>
        <tr r="L69" s="11"/>
        <tr r="F193" s="11"/>
        <tr r="G183" s="11"/>
        <tr r="E207" s="11"/>
        <tr r="H1276" s="11"/>
        <tr r="D1145" s="11"/>
        <tr r="D966" s="11"/>
        <tr r="G1200" s="11"/>
        <tr r="G564" s="11"/>
        <tr r="C734" s="11"/>
        <tr r="E453" s="11"/>
        <tr r="K912" s="11"/>
        <tr r="E219" s="11"/>
        <tr r="G316" s="11"/>
        <tr r="B1050" s="11"/>
        <tr r="K1152" s="11"/>
        <tr r="B550" s="11"/>
        <tr r="J1043" s="11"/>
        <tr r="J133" s="11"/>
        <tr r="L1204" s="11"/>
        <tr r="H1097" s="11"/>
        <tr r="D290" s="11"/>
        <tr r="C1028" s="11"/>
        <tr r="F230" s="11"/>
        <tr r="J1269" s="11"/>
        <tr r="G1152" s="11"/>
        <tr r="K306" s="11"/>
        <tr r="J109" s="11"/>
        <tr r="K294" s="11"/>
        <tr r="D803" s="11"/>
        <tr r="G1044" s="11"/>
        <tr r="D1021" s="11"/>
        <tr r="I601" s="11"/>
        <tr r="I296" s="11"/>
        <tr r="D421" s="11"/>
        <tr r="B1171" s="11"/>
        <tr r="C1200" s="11"/>
        <tr r="G299" s="11"/>
        <tr r="D1070" s="11"/>
        <tr r="B445" s="11"/>
        <tr r="G745" s="11"/>
        <tr r="L434" s="11"/>
        <tr r="B312" s="11"/>
        <tr r="B329" s="11"/>
        <tr r="C932" s="11"/>
        <tr r="E334" s="11"/>
        <tr r="H1014" s="11"/>
        <tr r="E343" s="11"/>
        <tr r="J441" s="11"/>
        <tr r="J70" s="11"/>
        <tr r="J1044" s="11"/>
        <tr r="E284" s="11"/>
        <tr r="G1189" s="11"/>
        <tr r="D915" s="11"/>
        <tr r="D366" s="11"/>
        <tr r="J1253" s="11"/>
        <tr r="G897" s="11"/>
        <tr r="C412" s="11"/>
        <tr r="J85" s="11"/>
        <tr r="G1045" s="11"/>
        <tr r="L818" s="11"/>
        <tr r="K1020" s="11"/>
        <tr r="H356" s="11"/>
        <tr r="H1161" s="11"/>
        <tr r="G762" s="11"/>
        <tr r="G1021" s="11"/>
        <tr r="I448" s="11"/>
        <tr r="L381" s="11"/>
        <tr r="B567" s="11"/>
        <tr r="D881" s="11"/>
        <tr r="K416" s="11"/>
        <tr r="K491" s="11"/>
        <tr r="B439" s="11"/>
        <tr r="C1233" s="11"/>
        <tr r="G1163" s="11"/>
        <tr r="K970" s="11"/>
        <tr r="D1018" s="11"/>
        <tr r="C872" s="11"/>
        <tr r="C419" s="11"/>
        <tr r="J507" s="11"/>
        <tr r="J1051" s="11"/>
        <tr r="J1246" s="11"/>
        <tr r="I464" s="11"/>
        <tr r="B1245" s="11"/>
        <tr r="C1188" s="11"/>
        <tr r="D28" s="11"/>
        <tr r="D6" s="11"/>
        <tr r="C922" s="11"/>
        <tr r="J66" s="11"/>
        <tr r="F564" s="11"/>
        <tr r="D76" s="11"/>
        <tr r="D306" s="11"/>
        <tr r="H1032" s="11"/>
        <tr r="D1273" s="11"/>
        <tr r="L420" s="11"/>
        <tr r="D221" s="11"/>
        <tr r="J39" s="11"/>
        <tr r="K224" s="11"/>
        <tr r="K855" s="11"/>
        <tr r="D859" s="11"/>
        <tr r="J20" s="11"/>
        <tr r="B1044" s="11"/>
        <tr r="H774" s="11"/>
        <tr r="B257" s="11"/>
        <tr r="F1199" s="11"/>
        <tr r="K871" s="11"/>
        <tr r="E27" s="11"/>
        <tr r="G837" s="11"/>
        <tr r="D117" s="11"/>
        <tr r="L315" s="11"/>
        <tr r="I132" s="11"/>
        <tr r="L622" s="11"/>
        <tr r="G1033" s="11"/>
        <tr r="J1254" s="11"/>
        <tr r="G1164" s="11"/>
        <tr r="J394" s="11"/>
        <tr r="D752" s="11"/>
        <tr r="D1131" s="11"/>
        <tr r="C856" s="11"/>
        <tr r="G1018" s="11"/>
        <tr r="G342" s="11"/>
        <tr r="H1255" s="11"/>
        <tr r="H355" s="11"/>
        <tr r="B1253" s="11"/>
        <tr r="D82" s="11"/>
        <tr r="K791" s="11"/>
        <tr r="G262" s="11"/>
        <tr r="D973" s="11"/>
        <tr r="I390" s="11"/>
        <tr r="D920" s="11"/>
        <tr r="B1289" s="11"/>
        <tr r="G959" s="11"/>
        <tr r="H1247" s="11"/>
        <tr r="D33" s="11"/>
        <tr r="L1089" s="11"/>
        <tr r="C826" s="11"/>
        <tr r="K247" s="11"/>
        <tr r="J451" s="11"/>
        <tr r="L463" s="11"/>
        <tr r="D374" s="11"/>
        <tr r="B1186" s="11"/>
        <tr r="G324" s="11"/>
        <tr r="H895" s="11"/>
        <tr r="C1195" s="11"/>
        <tr r="L914" s="11"/>
        <tr r="C730" s="11"/>
        <tr r="H1070" s="11"/>
        <tr r="C486" s="11"/>
        <tr r="G812" s="11"/>
        <tr r="F442" s="11"/>
        <tr r="D293" s="11"/>
        <tr r="C1136" s="11"/>
        <tr r="J443" s="11"/>
        <tr r="J6" s="11"/>
        <tr r="H1236" s="11"/>
        <tr r="D811" s="11"/>
        <tr r="E255" s="11"/>
        <tr r="B499" s="11"/>
        <tr r="G861" s="11"/>
        <tr r="J17" s="11"/>
        <tr r="D34" s="11"/>
        <tr r="G1002" s="11"/>
        <tr r="G1190" s="11"/>
        <tr r="H1066" s="11"/>
        <tr r="J1240" s="11"/>
        <tr r="G334" s="11"/>
        <tr r="G507" s="11"/>
        <tr r="D1009" s="11"/>
        <tr r="C831" s="11"/>
        <tr r="H1168" s="11"/>
        <tr r="E299" s="11"/>
        <tr r="D949" s="11"/>
        <tr r="K813" s="11"/>
        <tr r="C769" s="11"/>
        <tr r="B442" s="11"/>
        <tr r="C569" s="11"/>
        <tr r="J200" s="11"/>
        <tr r="C257" s="11"/>
        <tr r="J211" s="11"/>
        <tr r="C301" s="11"/>
        <tr r="D1212" s="11"/>
        <tr r="C312" s="11"/>
        <tr r="K380" s="11"/>
        <tr r="B955" s="11"/>
        <tr r="D8" s="11"/>
        <tr r="L306" s="11"/>
        <tr r="F228" s="11"/>
        <tr r="K697" s="11"/>
        <tr r="H289" s="11"/>
        <tr r="F453" s="11"/>
        <tr r="F619" s="11"/>
        <tr r="D195" s="11"/>
        <tr r="B362" s="11"/>
        <tr r="F618" s="11"/>
        <tr r="F1256" s="11"/>
        <tr r="B1279" s="11"/>
        <tr r="K1196" s="11"/>
        <tr r="H1252" s="11"/>
        <tr r="J1247" s="11"/>
        <tr r="H962" s="11"/>
        <tr r="B1221" s="11"/>
        <tr r="K1057" s="11"/>
        <tr r="H1151" s="11"/>
        <tr r="J74" s="11"/>
        <tr r="G1231" s="11"/>
        <tr r="I332" s="11"/>
        <tr r="J181" s="11"/>
        <tr r="G736" s="11"/>
        <tr r="E15" s="11"/>
        <tr r="B1203" s="11"/>
        <tr r="J178" s="11"/>
        <tr r="C1190" s="11"/>
        <tr r="D1227" s="11"/>
        <tr r="D185" s="11"/>
        <tr r="L390" s="11"/>
        <tr r="D376" s="11"/>
        <tr r="D1068" s="11"/>
        <tr r="J129" s="11"/>
        <tr r="K743" s="11"/>
        <tr r="D1189" s="11"/>
        <tr r="D831" s="11"/>
        <tr r="H393" s="11"/>
        <tr r="D42" s="11"/>
        <tr r="B509" s="11"/>
        <tr r="B854" s="11"/>
        <tr r="D967" s="11"/>
        <tr r="F1189" s="11"/>
        <tr r="G910" s="11"/>
        <tr r="J5" s="11"/>
        <tr r="G930" s="11"/>
        <tr r="C1124" s="11"/>
        <tr r="J123" s="11"/>
        <tr r="D1247" s="11"/>
        <tr r="E168" s="11"/>
        <tr r="G977" s="11"/>
        <tr r="J562" s="11"/>
        <tr r="K1221" s="11"/>
        <tr r="J197" s="11"/>
        <tr r="C1025" s="11"/>
        <tr r="D1048" s="11"/>
        <tr r="F1203" s="11"/>
        <tr r="D1245" s="11"/>
        <tr r="J432" s="11"/>
        <tr r="H324" s="11"/>
        <tr r="E251" s="11"/>
        <tr r="J331" s="11"/>
        <tr r="D781" s="11"/>
        <tr r="G763" s="11"/>
        <tr r="I697" s="11"/>
        <tr r="J365" s="11"/>
        <tr r="G960" s="11"/>
        <tr r="L802" s="11"/>
        <tr r="B632" s="11"/>
        <tr r="K1075" s="11"/>
        <tr r="F1277" s="11"/>
        <tr r="L342" s="11"/>
        <tr r="D1120" s="11"/>
        <tr r="F815" s="11"/>
        <tr r="D1256" s="11"/>
        <tr r="G848" s="11"/>
        <tr r="K484" s="11"/>
        <tr r="K632" s="11"/>
        <tr r="G11" s="11"/>
        <tr r="F1187" s="11"/>
        <tr r="C890" s="11"/>
        <tr r="G274" s="11"/>
        <tr r="J1221" s="11"/>
        <tr r="K1215" s="11"/>
        <tr r="K762" s="11"/>
        <tr r="H871" s="11"/>
        <tr r="G308" s="11"/>
        <tr r="G957" s="11"/>
        <tr r="K1199" s="11"/>
        <tr r="K775" s="11"/>
        <tr r="K1243" s="11"/>
        <tr r="K303" s="11"/>
        <tr r="H511" s="11"/>
        <tr r="N45" s="8"/>
        <tr r="N45" s="8"/>
        <tr r="N45" s="8"/>
        <tr r="Q7" s="9"/>
        <tr r="Q7" s="9"/>
        <tr r="Q7" s="9"/>
        <tr r="M26" s="8"/>
        <tr r="M26" s="8"/>
        <tr r="M26" s="8"/>
        <tr r="H41" s="9"/>
        <tr r="H41" s="9"/>
        <tr r="H41" s="9"/>
        <tr r="N16" s="8"/>
        <tr r="N16" s="8"/>
        <tr r="N16" s="8"/>
        <tr r="M45" s="8"/>
        <tr r="M45" s="8"/>
        <tr r="M45" s="8"/>
        <tr r="C161" s="11"/>
        <tr r="B190" s="11"/>
        <tr r="B192" s="11"/>
        <tr r="L164" s="11"/>
        <tr r="L166" s="11"/>
        <tr r="L165" s="11"/>
        <tr r="M48" s="8"/>
        <tr r="M48" s="8"/>
        <tr r="M48" s="8"/>
        <tr r="N36" s="8"/>
        <tr r="N36" s="8"/>
        <tr r="N36" s="8"/>
        <tr r="M43" s="8"/>
        <tr r="M43" s="8"/>
        <tr r="M43" s="8"/>
        <tr r="N44" s="9"/>
        <tr r="N44" s="9"/>
        <tr r="N44" s="9"/>
        <tr r="G35" s="10"/>
        <tr r="G35" s="10"/>
        <tr r="G35" s="10"/>
        <tr r="C97" s="11"/>
        <tr r="B46" s="11"/>
        <tr r="B70" s="11"/>
        <tr r="L206" s="11"/>
        <tr r="L58" s="11"/>
        <tr r="L134" s="11"/>
        <tr r="L121" s="11"/>
        <tr r="L133" s="11"/>
        <tr r="L85" s="11"/>
        <tr r="L63" s="11"/>
        <tr r="L38" s="11"/>
        <tr r="L24" s="11"/>
        <tr r="G140" s="11"/>
        <tr r="H1173" s="11"/>
        <tr r="C430" s="11"/>
        <tr r="G247" s="11"/>
        <tr r="K902" s="11"/>
        <tr r="K343" s="11"/>
        <tr r="D95" s="11"/>
        <tr r="D11" s="11"/>
        <tr r="B1199" s="11"/>
        <tr r="L395" s="11"/>
        <tr r="C1128" s="11"/>
        <tr r="L1273" s="11"/>
        <tr r="J569" s="11"/>
        <tr r="H1140" s="11"/>
        <tr r="J1193" s="11"/>
        <tr r="G821" s="11"/>
        <tr r="C1169" s="11"/>
        <tr r="B395" s="11"/>
        <tr r="D191" s="11"/>
        <tr r="E159" s="11"/>
        <tr r="L1051" s="11"/>
        <tr r="D723" s="11"/>
        <tr r="K1254" s="11"/>
        <tr r="L1114" s="11"/>
        <tr r="J392" s="11"/>
        <tr r="F1051" s="11"/>
        <tr r="L537" s="11"/>
        <tr r="C915" s="11"/>
        <tr r="I283" s="11"/>
        <tr r="J1250" s="11"/>
        <tr r="K979" s="11"/>
        <tr r="C840" s="11"/>
        <tr r="J12" s="11"/>
        <tr r="E52" s="11"/>
        <tr r="D773" s="11"/>
        <tr r="D1065" s="11"/>
        <tr r="H1062" s="11"/>
        <tr r="K295" s="11"/>
        <tr r="H1266" s="11"/>
        <tr r="K365" s="11"/>
        <tr r="B226" s="11"/>
        <tr r="L517" s="11"/>
        <tr r="E1217" s="11"/>
        <tr r="F406" s="11"/>
        <tr r="J167" s="11"/>
        <tr r="C787" s="11"/>
        <tr r="D1222" s="11"/>
        <tr r="J1199" s="11"/>
        <tr r="D208" s="11"/>
        <tr r="D929" s="11"/>
        <tr r="L728" s="11"/>
        <tr r="B1211" s="11"/>
        <tr r="C744" s="11"/>
        <tr r="C827" s="11"/>
        <tr r="H1219" s="11"/>
        <tr r="D816" s="11"/>
        <tr r="E4" s="11"/>
        <tr r="E375" s="11"/>
        <tr r="D172" s="11"/>
        <tr r="G288" s="11"/>
        <tr r="D1161" s="11"/>
        <tr r="B238" s="11"/>
        <tr r="J567" s="11"/>
        <tr r="G1014" s="11"/>
        <tr r="K341" s="11"/>
        <tr r="D1194" s="11"/>
        <tr r="D1026" s="11"/>
        <tr r="C1032" s="11"/>
        <tr r="C709" s="11"/>
        <tr r="J336" s="11"/>
        <tr r="F249" s="11"/>
        <tr r="D113" s="11"/>
        <tr r="G1040" s="11"/>
        <tr r="J1238" s="11"/>
        <tr r="H1109" s="11"/>
        <tr r="I16" s="11"/>
        <tr r="H973" s="11"/>
        <tr r="K975" s="11"/>
        <tr r="F1226" s="11"/>
        <tr r="H239" s="11"/>
        <tr r="J207" s="11"/>
        <tr r="L263" s="11"/>
        <tr r="K615" s="11"/>
        <tr r="D301" s="11"/>
        <tr r="D1078" s="11"/>
        <tr r="C800" s="11"/>
        <tr r="J193" s="11"/>
        <tr r="J555" s="11"/>
        <tr r="H823" s="11"/>
        <tr r="I33" s="11"/>
        <tr r="D1193" s="11"/>
        <tr r="J380" s="11"/>
        <tr r="D1242" s="11"/>
        <tr r="H379" s="11"/>
        <tr r="N7" s="9"/>
        <tr r="N7" s="9"/>
        <tr r="N7" s="9"/>
        <tr r="N23" s="9"/>
        <tr r="N23" s="9"/>
        <tr r="N23" s="9"/>
        <tr r="P48" s="9"/>
        <tr r="P48" s="9"/>
        <tr r="P48" s="9"/>
        <tr r="B107" s="11"/>
        <tr r="B139" s="11"/>
        <tr r="L175" s="11"/>
        <tr r="L160" s="11"/>
        <tr r="L103" s="11"/>
        <tr r="L20" s="11"/>
        <tr r="L162" s="11"/>
        <tr r="L181" s="11"/>
        <tr r="L42" s="11"/>
        <tr r="L48" s="11"/>
        <tr r="L178" s="11"/>
        <tr r="G139" s="11"/>
        <tr r="H331" s="11"/>
        <tr r="H729" s="11"/>
        <tr r="B1198" s="11"/>
        <tr r="D129" s="11"/>
        <tr r="L1131" s="11"/>
        <tr r="E49" s="11"/>
        <tr r="C269" s="11"/>
        <tr r="G1048" s="11"/>
        <tr r="D363" s="11"/>
        <tr r="C961" s="11"/>
        <tr r="E297" s="11"/>
        <tr r="K1050" s="11"/>
        <tr r="C1134" s="11"/>
        <tr r="L927" s="11"/>
        <tr r="C297" s="11"/>
        <tr r="G375" s="11"/>
        <tr r="C464" s="11"/>
        <tr r="D116" s="11"/>
        <tr r="D1030" s="11"/>
        <tr r="G869" s="11"/>
        <tr r="F322" s="11"/>
        <tr r="E164" s="11"/>
        <tr r="D326" s="11"/>
        <tr r="F1241" s="11"/>
        <tr r="D285" s="11"/>
        <tr r="C900" s="11"/>
        <tr r="G863" s="11"/>
        <tr r="F219" s="11"/>
        <tr r="D883" s="11"/>
        <tr r="D626" s="11"/>
        <tr r="J30" s="11"/>
        <tr r="B241" s="11"/>
        <tr r="H1116" s="11"/>
        <tr r="H978" s="11"/>
        <tr r="B1248" s="11"/>
        <tr r="K1126" s="11"/>
        <tr r="H830" s="11"/>
        <tr r="G1243" s="11"/>
        <tr r="D361" s="11"/>
        <tr r="H1150" s="11"/>
        <tr r="L1078" s="11"/>
        <tr r="B367" s="11"/>
        <tr r="D768" s="11"/>
        <tr r="F1251" s="11"/>
        <tr r="F1271" s="11"/>
        <tr r="K834" s="11"/>
        <tr r="L1234" s="11"/>
        <tr r="K742" s="11"/>
        <tr r="B293" s="11"/>
        <tr r="B485" s="11"/>
        <tr r="L992" s="11"/>
        <tr r="G505" s="11"/>
        <tr r="D1061" s="11"/>
        <tr r="D1046" s="11"/>
        <tr r="H1096" s="11"/>
        <tr r="H1282" s="11"/>
        <tr r="B1244" s="11"/>
        <tr r="L751" s="11"/>
        <tr r="G753" s="11"/>
        <tr r="I474" s="11"/>
        <tr r="F358" s="11"/>
        <tr r="C1204" s="11"/>
        <tr r="J1187" s="11"/>
        <tr r="C815" s="11"/>
        <tr r="K789" s="11"/>
        <tr r="J184" s="11"/>
        <tr r="D1206" s="11"/>
        <tr r="D155" s="11"/>
        <tr r="L1281" s="11"/>
        <tr r="B378" s="11"/>
        <tr r="F556" s="11"/>
        <tr r="D246" s="11"/>
        <tr r="E31" s="11"/>
        <tr r="F554" s="11"/>
        <tr r="H835" s="11"/>
        <tr r="G235" s="11"/>
        <tr r="F1046" s="11"/>
        <tr r="K657" s="11"/>
        <tr r="E429" s="11"/>
        <tr r="J126" s="11"/>
        <tr r="D817" s="11"/>
        <tr r="D950" s="11"/>
        <tr r="C973" s="11"/>
        <tr r="L340" s="11"/>
        <tr r="H1200" s="11"/>
        <tr r="B1247" s="11"/>
        <tr r="H341" s="11"/>
        <tr r="K1192" s="11"/>
        <tr r="E324" s="11"/>
        <tr r="K819" s="11"/>
        <tr r="K339" s="11"/>
        <tr r="F444" s="11"/>
        <tr r="G326" s="11"/>
        <tr r="M30" s="8"/>
        <tr r="M30" s="8"/>
        <tr r="M30" s="8"/>
        <tr r="M46" s="8"/>
        <tr r="M46" s="8"/>
        <tr r="M46" s="8"/>
        <tr r="L33" s="11"/>
        <tr r="B140" s="11"/>
        <tr r="B172" s="11"/>
        <tr r="K177" s="11"/>
        <tr r="L62" s="11"/>
        <tr r="L199" s="11"/>
        <tr r="L124" s="11"/>
        <tr r="L71" s="11"/>
        <tr r="L216" s="11"/>
        <tr r="L144" s="11"/>
        <tr r="L145" s="11"/>
        <tr r="L13" s="11"/>
        <tr r="G191" s="11"/>
        <tr r="C182" s="11"/>
        <tr r="E33" s="11"/>
        <tr r="H227" s="11"/>
        <tr r="H840" s="11"/>
        <tr r="D1137" s="11"/>
        <tr r="G833" s="11"/>
        <tr r="I260" s="11"/>
        <tr r="B866" s="11"/>
        <tr r="I277" s="11"/>
        <tr r="C261" s="11"/>
        <tr r="G269" s="11"/>
        <tr r="B1232" s="11"/>
        <tr r="G912" s="11"/>
        <tr r="L1264" s="11"/>
        <tr r="K957" s="11"/>
        <tr r="K771" s="11"/>
        <tr r="D801" s="11"/>
        <tr r="K313" s="11"/>
        <tr r="B399" s="11"/>
        <tr r="K1131" s="11"/>
        <tr r="H1060" s="11"/>
        <tr r="L786" s="11"/>
        <tr r="G1182" s="11"/>
        <tr r="H1022" s="11"/>
        <tr r="G343" s="11"/>
        <tr r="G854" s="11"/>
        <tr r="G804" s="11"/>
        <tr r="B281" s="11"/>
        <tr r="G1046" s="11"/>
        <tr r="H1180" s="11"/>
        <tr r="J630" s="11"/>
        <tr r="L1180" s="11"/>
        <tr r="K364" s="11"/>
        <tr r="G764" s="11"/>
        <tr r="G942" s="11"/>
        <tr r="D29" s="11"/>
        <tr r="C822" s="11"/>
        <tr r="G1225" s="11"/>
        <tr r="G981" s="11"/>
        <tr r="F310" s="11"/>
        <tr r="C777" s="11"/>
        <tr r="H270" s="11"/>
        <tr r="J15" s="11"/>
        <tr r="G801" s="11"/>
        <tr r="K250" s="11"/>
        <tr r="J215" s="11"/>
        <tr r="K289" s="11"/>
        <tr r="G827" s="11"/>
        <tr r="H916" s="11"/>
        <tr r="L1005" s="11"/>
        <tr r="D1179" s="11"/>
        <tr r="C1053" s="11"/>
        <tr r="G1173" s="11"/>
        <tr r="F392" s="11"/>
        <tr r="J159" s="11"/>
        <tr r="K733" s="11"/>
        <tr r="K731" s="11"/>
        <tr r="C252" s="11"/>
        <tr r="C626" s="11"/>
        <tr r="H909" s="11"/>
        <tr r="C1146" s="11"/>
        <tr r="F1215" s="11"/>
        <tr r="D425" s="11"/>
        <tr r="D937" s="11"/>
        <tr r="D144" s="11"/>
        <tr r="H304" s="11"/>
        <tr r="L1096" s="11"/>
        <tr r="K938" s="11"/>
        <tr r="G725" s="11"/>
        <tr r="K347" s="11"/>
        <tr r="J52" s="11"/>
        <tr r="C1045" s="11"/>
        <tr r="E760" s="11"/>
        <tr r="K1177" s="11"/>
        <tr r="J232" s="11"/>
        <tr r="B549" s="11"/>
        <tr r="H785" s="11"/>
        <tr r="G616" s="11"/>
        <tr r="C835" s="11"/>
        <tr r="E55" s="11"/>
        <tr r="G488" s="11"/>
        <tr r="J31" s="11"/>
        <tr r="J1239" s="11"/>
        <tr r="L331" s="11"/>
        <tr r="L223" s="11"/>
        <tr r="E340" s="11"/>
        <tr r="G1020" s="11"/>
        <tr r="D337" s="11"/>
        <tr r="D862" s="11"/>
        <tr r="J115" s="11"/>
        <tr r="K344" s="11"/>
        <tr r="E385" s="11"/>
        <tr r="J103" s="11"/>
        <tr r="K1034" s="11"/>
        <tr r="J1206" s="11"/>
        <tr r="C674" s="11"/>
        <tr r="G879" s="11"/>
        <tr r="L351" s="11"/>
        <tr r="H1149" s="11"/>
        <tr r="C795" s="11"/>
        <tr r="L500" s="11"/>
        <tr r="J64" s="11"/>
        <tr r="K723" s="11"/>
        <tr r="L1279" s="11"/>
        <tr r="L985" s="11"/>
        <tr r="F1190" s="11"/>
        <tr r="L632" s="11"/>
        <tr r="C479" s="11"/>
        <tr r="B299" s="11"/>
        <tr r="K577" s="11"/>
        <tr r="D1005" s="11"/>
        <tr r="B5" s="11"/>
        <tr r="F1234" s="11"/>
        <tr r="G374" s="11"/>
        <tr r="C260" s="11"/>
        <tr r="D40" s="11"/>
        <tr r="J205" s="11"/>
        <tr r="G1195" s="11"/>
        <tr r="G403" s="11"/>
        <tr r="E161" s="11"/>
        <tr r="H1122" s="11"/>
        <tr r="H732" s="11"/>
        <tr r="B321" s="11"/>
        <tr r="J14" s="11"/>
        <tr r="K900" s="11"/>
        <tr r="C1243" s="11"/>
        <tr r="J153" s="11"/>
        <tr r="K1021" s="11"/>
        <tr r="G939" s="11"/>
        <tr r="J191" s="11"/>
        <tr r="G1216" s="11"/>
        <tr r="C356" s="11"/>
        <tr r="I400" s="11"/>
        <tr r="K773" s="11"/>
        <tr r="L1225" s="11"/>
        <tr r="L611" s="11"/>
        <tr r="J105" s="11"/>
        <tr r="K827" s="11"/>
        <tr r="G842" s="11"/>
        <tr r="J119" s="11"/>
        <tr r="G1160" s="11"/>
        <tr r="C284" s="11"/>
        <tr r="L427" s="11"/>
        <tr r="K340" s="11"/>
        <tr r="L969" s="11"/>
        <tr r="I627" s="11"/>
        <tr r="K298" s="11"/>
        <tr r="J47" s="11"/>
        <tr r="K1173" s="11"/>
        <tr r="H984" s="11"/>
        <tr r="G829" s="11"/>
        <tr r="G778" s="11"/>
        <tr r="H934" s="11"/>
        <tr r="C1198" s="11"/>
        <tr r="C881" s="11"/>
        <tr r="E329" s="11"/>
        <tr r="H1223" s="11"/>
        <tr r="F1188" s="11"/>
        <tr r="K811" s="11"/>
        <tr r="K944" s="11"/>
        <tr r="G784" s="11"/>
        <tr r="E401" s="11"/>
        <tr r="J75" s="11"/>
        <tr r="D254" s="11"/>
        <tr r="G1036" s="11"/>
        <tr r="D732" s="11"/>
        <tr r="C240" s="11"/>
        <tr r="H928" s="11"/>
        <tr r="L443" s="11"/>
        <tr r="D160" s="11"/>
        <tr r="H1071" s="11"/>
        <tr r="H765" s="11"/>
        <tr r="L761" s="11"/>
        <tr r="H894" s="11"/>
        <tr r="B562" s="11"/>
        <tr r="L1141" s="11"/>
        <tr r="B1038" s="11"/>
        <tr r="H272" s="11"/>
        <tr r="D868" s="11"/>
        <tr r="H997" s="11"/>
        <tr r="D979" s="11"/>
        <tr r="K1003" s="11"/>
        <tr r="K998" s="11"/>
        <tr r="J316" s="11"/>
        <tr r="C410" s="11"/>
        <tr r="I621" s="11"/>
        <tr r="H629" s="11"/>
        <tr r="E840" s="11"/>
        <tr r="I625" s="11"/>
        <tr r="K764" s="11"/>
        <tr r="L507" s="11"/>
        <tr r="E294" s="11"/>
        <tr r="G320" s="11"/>
        <tr r="L930" s="11"/>
        <tr r="E65" s="11"/>
        <tr r="L1143" s="11"/>
        <tr r="J1191" s="11"/>
        <tr r="F1201" s="11"/>
        <tr r="B289" s="11"/>
        <tr r="E209" s="11"/>
        <tr r="E197" s="11"/>
        <tr r="D942" s="11"/>
        <tr r="C1187" s="11"/>
        <tr r="I514" s="11"/>
        <tr r="C503" s="11"/>
        <tr r="L1018" s="11"/>
        <tr r="C981" s="11"/>
        <tr r="L11" s="11"/>
        <tr r="G1218" s="11"/>
        <tr r="J143" s="11"/>
        <tr r="H367" s="11"/>
        <tr r="B334" s="11"/>
        <tr r="G887" s="11"/>
        <tr r="I324" s="11"/>
        <tr r="D1152" s="11"/>
        <tr r="G234" s="11"/>
        <tr r="C748" s="11"/>
        <tr r="C849" s="11"/>
        <tr r="J156" s="11"/>
        <tr r="H292" s="11"/>
        <tr r="F565" s="11"/>
        <tr r="L269" s="11"/>
        <tr r="H926" s="11"/>
        <tr r="D785" s="11"/>
        <tr r="K896" s="11"/>
        <tr r="C943" s="11"/>
        <tr r="K1027" s="11"/>
        <tr r="J1259" s="11"/>
        <tr r="G307" s="11"/>
        <tr r="D991" s="11"/>
        <tr r="H1190" s="11"/>
        <tr r="J244" s="11"/>
        <tr r="D154" s="11"/>
        <tr r="C245" s="11"/>
        <tr r="G824" s="11"/>
        <tr r="K242" s="11"/>
        <tr r="B467" s="11"/>
        <tr r="D780" s="11"/>
        <tr r="G227" s="11"/>
        <tr r="F311" s="11"/>
        <tr r="K1248" s="11"/>
        <tr r="H1246" s="11"/>
        <tr r="G807" s="11"/>
        <tr r="G968" s="11"/>
        <tr r="G1210" s="11"/>
        <tr r="H756" s="11"/>
        <tr r="J1256" s="11"/>
        <tr r="K369" s="11"/>
        <tr r="H1129" s="11"/>
        <tr r="K311" s="11"/>
        <tr r="K1166" s="11"/>
        <tr r="G935" s="11"/>
        <tr r="B1041" s="11"/>
        <tr r="D157" s="11"/>
        <tr r="C991" s="11"/>
        <tr r="J138" s="11"/>
        <tr r="G1220" s="11"/>
        <tr r="H259" s="11"/>
        <tr r="D119" s="11"/>
        <tr r="H384" s="11"/>
        <tr r="D46" s="11"/>
        <tr r="J1226" s="11"/>
        <tr r="F562" s="11"/>
        <tr r="J28" s="11"/>
        <tr r="J1219" s="11"/>
        <tr r="D761" s="11"/>
        <tr r="J1055" s="11"/>
        <tr r="K520" s="11"/>
        <tr r="K858" s="11"/>
        <tr r="G1245" s="11"/>
        <tr r="G268" s="11"/>
        <tr r="C1156" s="11"/>
        <tr r="C233" s="11"/>
        <tr r="I112" s="11"/>
        <tr r="I495" s="11"/>
        <tr r="L960" s="11"/>
        <tr r="G312" s="11"/>
        <tr r="C1008" s="11"/>
        <tr r="K954" s="11"/>
        <tr r="F1192" s="11"/>
        <tr r="D1218" s="11"/>
        <tr r="B482" s="11"/>
        <tr r="B1272" s="11"/>
        <tr r="M8" s="8"/>
        <tr r="M8" s="8"/>
        <tr r="M8" s="8"/>
        <tr r="N48" s="8"/>
        <tr r="N48" s="8"/>
        <tr r="N48" s="8"/>
        <tr r="J19" s="10"/>
        <tr r="J19" s="10"/>
        <tr r="J19" s="10"/>
        <tr r="N43" s="8"/>
        <tr r="N43" s="8"/>
        <tr r="N43" s="8"/>
        <tr r="N21" s="8"/>
        <tr r="N21" s="8"/>
        <tr r="N21" s="8"/>
        <tr r="Q19" s="10"/>
        <tr r="Q19" s="10"/>
        <tr r="Q19" s="10"/>
        <tr r="P23" s="9"/>
        <tr r="P23" s="9"/>
        <tr r="P23" s="9"/>
        <tr r="B169" s="11"/>
        <tr r="B135" s="11"/>
        <tr r="L30" s="11"/>
        <tr r="L93" s="11"/>
        <tr r="L117" s="11"/>
        <tr r="N19" s="8"/>
        <tr r="N19" s="8"/>
        <tr r="N19" s="8"/>
        <tr r="M44" s="8"/>
        <tr r="M44" s="8"/>
        <tr r="M44" s="8"/>
        <tr r="M16" s="8"/>
        <tr r="M16" s="8"/>
        <tr r="M16" s="8"/>
        <tr r="S44" s="9"/>
        <tr r="S44" s="9"/>
        <tr r="S44" s="9"/>
        <tr r="G39" s="8"/>
        <tr r="G39" s="8"/>
        <tr r="G39" s="8"/>
        <tr r="B188" s="11"/>
        <tr r="B147" s="11"/>
        <tr r="B93" s="11"/>
        <tr r="L72" s="11"/>
        <tr r="L68" s="11"/>
        <tr r="L189" s="11"/>
        <tr r="L120" s="11"/>
        <tr r="L127" s="11"/>
        <tr r="L84" s="11"/>
        <tr r="L60" s="11"/>
        <tr r="L170" s="11"/>
        <tr r="L193" s="11"/>
        <tr r="G155" s="11"/>
        <tr r="J1260" s="11"/>
        <tr r="G1055" s="11"/>
        <tr r="J45" s="11"/>
        <tr r="C329" s="11"/>
        <tr r="G1004" s="11"/>
        <tr r="F1250" s="11"/>
        <tr r="J425" s="11"/>
        <tr r="H1176" s="11"/>
        <tr r="I263" s="11"/>
        <tr r="K1212" s="11"/>
        <tr r="G864" s="11"/>
        <tr r="J130" s="11"/>
        <tr r="D755" s="11"/>
        <tr r="J386" s="11"/>
        <tr r="F1268" s="11"/>
        <tr r="K422" s="11"/>
        <tr r="G976" s="11"/>
        <tr r="F1214" s="11"/>
        <tr r="F1194" s="11"/>
        <tr r="D895" s="11"/>
        <tr r="H1209" s="11"/>
        <tr r="H1030" s="11"/>
        <tr r="J140" s="11"/>
        <tr r="D1289" s="11"/>
        <tr r="G451" s="11"/>
        <tr r="F1048" s="11"/>
        <tr r="I232" s="11"/>
        <tr r="J563" s="11"/>
        <tr r="I484" s="11"/>
        <tr r="H448" s="11"/>
        <tr r="C931" s="11"/>
        <tr r="H985" s="11"/>
        <tr r="D19" s="11"/>
        <tr r="G934" s="11"/>
        <tr r="G1212" s="11"/>
        <tr r="K402" s="11"/>
        <tr r="D543" s="11"/>
        <tr r="J19" s="11"/>
        <tr r="H307" s="11"/>
        <tr r="B343" s="11"/>
        <tr r="F341" s="11"/>
        <tr r="J568" s="11"/>
        <tr r="B459" s="11"/>
        <tr r="D792" s="11"/>
        <tr r="C617" s="11"/>
        <tr r="L1199" s="11"/>
        <tr r="B1193" s="11"/>
        <tr r="J301" s="11"/>
        <tr r="I460" s="11"/>
        <tr r="G1043" s="11"/>
        <tr r="K406" s="11"/>
        <tr r="G1170" s="11"/>
        <tr r="H879" s="11"/>
        <tr r="J1222" s="11"/>
        <tr r="H1009" s="11"/>
        <tr r="H1145" s="11"/>
        <tr r="D302" s="11"/>
        <tr r="D945" s="11"/>
        <tr r="G880" s="11"/>
        <tr r="K1041" s="11"/>
        <tr r="J158" s="11"/>
        <tr r="B569" s="11"/>
        <tr r="H315" s="11"/>
        <tr r="L323" s="11"/>
        <tr r="J248" s="11"/>
        <tr r="D102" s="11"/>
        <tr r="D168" s="11"/>
        <tr r="I1064" s="11"/>
        <tr r="J419" s="11"/>
        <tr r="I523" s="11"/>
        <tr r="C1178" s="11"/>
        <tr r="G1221" s="11"/>
        <tr r="J335" s="11"/>
        <tr r="E439" s="11"/>
        <tr r="G314" s="11"/>
        <tr r="H376" s="11"/>
        <tr r="L814" s="11"/>
        <tr r="G224" s="11"/>
        <tr r="I938" s="11"/>
        <tr r="K1175" s="11"/>
        <tr r="D1186" s="11"/>
        <tr r="G1223" s="11"/>
        <tr r="E145" s="11"/>
        <tr r="F1233" s="11"/>
        <tr r="D1171" s="11"/>
        <tr r="C884" s="11"/>
        <tr r="C1173" s="11"/>
        <tr r="D891" s="11"/>
        <tr r="J88" s="11"/>
        <tr r="H287" s="11"/>
        <tr r="J577" s="11"/>
        <tr r="F417" s="11"/>
        <tr r="D1263" s="11"/>
        <tr r="P44" s="9"/>
        <tr r="P44" s="9"/>
        <tr r="P44" s="9"/>
        <tr r="P35" s="10"/>
        <tr r="P35" s="10"/>
        <tr r="P35" s="10"/>
        <tr r="F97" s="11"/>
        <tr r="B14" s="11"/>
        <tr r="B38" s="11"/>
        <tr r="L174" s="11"/>
        <tr r="L26" s="11"/>
        <tr r="L102" s="11"/>
        <tr r="L89" s="11"/>
        <tr r="L101" s="11"/>
        <tr r="L180" s="11"/>
        <tr r="L31" s="11"/>
        <tr r="L105" s="11"/>
        <tr r="L129" s="11"/>
        <tr r="G207" s="11"/>
        <tr r="K302" s="11"/>
        <tr r="J122" s="11"/>
        <tr r="D137" s="11"/>
        <tr r="D610" s="11"/>
        <tr r="F379" s="11"/>
        <tr r="F461" s="11"/>
        <tr r="C288" s="11"/>
        <tr r="C892" s="11"/>
        <tr r="I461" s="11"/>
        <tr r="H1291" s="11"/>
        <tr r="J73" s="11"/>
        <tr r="G962" s="11"/>
        <tr r="L998" s="11"/>
        <tr r="F1263" s="11"/>
        <tr r="C337" s="11"/>
        <tr r="F1238" s="11"/>
        <tr r="G720" s="11"/>
        <tr r="L278" s="11"/>
        <tr r="B1189" s="11"/>
        <tr r="G1232" s="11"/>
        <tr r="D13" s="11"/>
        <tr r="J182" s="11"/>
        <tr r="J812" s="11"/>
        <tr r="J7" s="11"/>
        <tr r="D1165" s="11"/>
        <tr r="F396" s="11"/>
        <tr r="K1038" s="11"/>
        <tr r="J146" s="11"/>
        <tr r="B7" s="11"/>
        <tr r="H1036" s="11"/>
        <tr r="G911" s="11"/>
        <tr r="K454" s="11"/>
        <tr r="C478" s="11"/>
        <tr r="J1036" s="11"/>
        <tr r="C860" s="11"/>
        <tr r="H741" s="11"/>
        <tr r="D394" s="11"/>
        <tr r="G483" s="11"/>
        <tr r="L735" s="11"/>
        <tr r="F409" s="11"/>
        <tr r="E40" s="11"/>
        <tr r="I665" s="11"/>
        <tr r="D280" s="11"/>
        <tr r="G772" s="11"/>
        <tr r="L1280" s="11"/>
        <tr r="L745" s="11"/>
        <tr r="G1022" s="11"/>
        <tr r="K898" s="11"/>
        <tr r="J449" s="11"/>
        <tr r="L1125" s="11"/>
        <tr r="G748" s="11"/>
        <tr r="J1200" s="11"/>
        <tr r="B1270" s="11"/>
        <tr r="I244" s="11"/>
        <tr r="C1235" s="11"/>
        <tr r="I466" s="11"/>
        <tr r="D1232" s="11"/>
        <tr r="C351" s="11"/>
        <tr r="D642" s="11"/>
        <tr r="F1260" s="11"/>
        <tr r="B525" s="11"/>
        <tr r="G937" s="11"/>
        <tr r="G302" s="11"/>
        <tr r="H1152" s="11"/>
        <tr r="C370" s="11"/>
        <tr r="K1160" s="11"/>
        <tr r="C248" s="11"/>
        <tr r="L242" s="11"/>
        <tr r="C459" s="11"/>
        <tr r="D651" s="11"/>
        <tr r="K923" s="11"/>
        <tr r="C1248" s="11"/>
        <tr r="K867" s="11"/>
        <tr r="D1123" s="11"/>
        <tr r="K683" s="11"/>
        <tr r="B261" s="11"/>
        <tr r="F607" s="11"/>
        <tr r="D358" s="11"/>
        <tr r="H857" s="11"/>
        <tr r="D1110" s="11"/>
        <tr r="G228" s="11"/>
        <tr r="G781" s="11"/>
        <tr r="C972" s="11"/>
        <tr r="E295" s="11"/>
        <tr r="K883" s="11"/>
        <tr r="B1195" s="11"/>
        <tr r="B1271" s="11"/>
        <tr r="E73" s="11"/>
        <tr r="J604" s="11"/>
        <tr r="D772" s="11"/>
        <tr r="L741" s="11"/>
        <tr r="C1042" s="11"/>
        <tr r="G525" s="11"/>
        <tr r="N23" s="8"/>
        <tr r="N23" s="8"/>
        <tr r="N23" s="8"/>
        <tr r="M32" s="8"/>
        <tr r="M32" s="8"/>
        <tr r="M32" s="8"/>
        <tr r="L97" s="11"/>
        <tr r="B84" s="11"/>
        <tr r="B95" s="11"/>
        <tr r="L143" s="11"/>
        <tr r="L128" s="11"/>
        <tr r="L198" s="11"/>
        <tr r="L185" s="11"/>
        <tr r="L197" s="11"/>
        <tr r="L149" s="11"/>
        <tr r="L203" s="11"/>
        <tr r="L109" s="11"/>
        <tr r="L37" s="11"/>
        <tr r="G167" s="11"/>
        <tr r="B1267" s="11"/>
        <tr r="H1264" s="11"/>
        <tr r="D809" s="11"/>
        <tr r="H1124" s="11"/>
        <tr r="D288" s="11"/>
        <tr r="D92" s="11"/>
        <tr r="G1176" s="11"/>
        <tr r="C848" s="11"/>
        <tr r="F462" s="11"/>
        <tr r="G776" s="11"/>
        <tr r="E458" s="11"/>
        <tr r="H283" s="11"/>
        <tr r="C771" s="11"/>
        <tr r="I374" s="11"/>
        <tr r="B1224" s="11"/>
        <tr r="D906" s="11"/>
        <tr r="F1246" s="11"/>
        <tr r="C279" s="11"/>
        <tr r="C1029" s="11"/>
        <tr r="D841" s="11"/>
        <tr r="C538" s="11"/>
        <tr r="D407" s="11"/>
        <tr r="C836" s="11"/>
        <tr r="D330" s="11"/>
        <tr r="C1167" s="11"/>
        <tr r="K843" s="11"/>
        <tr r="D1071" s="11"/>
        <tr r="J503" s="11"/>
        <tr r="H1055" s="11"/>
        <tr r="D731" s="11"/>
        <tr r="F1267" s="11"/>
        <tr r="G1207" s="11"/>
        <tr r="L1033" s="11"/>
        <tr r="B423" s="11"/>
        <tr r="G1247" s="11"/>
        <tr r="K806" s="11"/>
        <tr r="I391" s="11"/>
        <tr r="G360" s="11"/>
        <tr r="D37" s="11"/>
        <tr r="F314" s="11"/>
        <tr r="I233" s="11"/>
        <tr r="J491" s="11"/>
        <tr r="C244" s="11"/>
        <tr r="K920" s="11"/>
        <tr r="G246" s="11"/>
        <tr r="D389" s="11"/>
        <tr r="J253" s="11"/>
        <tr r="L893" s="11"/>
        <tr r="H452" s="11"/>
        <tr r="L979" s="11"/>
        <tr r="B563" s="11"/>
        <tr r="B1204" s="11"/>
        <tr r="D760" s="11"/>
        <tr r="D66" s="11"/>
        <tr r="G1184" s="11"/>
        <tr r="L1187" s="11"/>
        <tr r="G800" s="11"/>
        <tr r="F438" s="11"/>
        <tr r="H1259" s="11"/>
        <tr r="D1248" s="11"/>
        <tr r="C753" s="11"/>
        <tr r="K747" s="11"/>
        <tr r="J59" s="11"/>
        <tr r="C224" s="11"/>
        <tr r="H1053" s="11"/>
        <tr r="B4" s="11"/>
        <tr r="D852" s="11"/>
        <tr r="K933" s="11"/>
        <tr r="H798" s="11"/>
        <tr r="J547" s="11"/>
        <tr r="K338" s="11"/>
        <tr r="L279" s="11"/>
        <tr r="H1177" s="11"/>
        <tr r="G1240" s="11"/>
        <tr r="D939" s="11"/>
        <tr r="C1199" s="11"/>
        <tr r="D1036" s="11"/>
        <tr r="G1028" s="11"/>
        <tr r="D24" s="11"/>
        <tr r="F1288" s="11"/>
        <tr r="H727" s="11"/>
        <tr r="H300" s="11"/>
        <tr r="E143" s="11"/>
        <tr r="J194" s="11"/>
        <tr r="C1138" s="11"/>
        <tr r="D1201" s="11"/>
        <tr r="G572" s="11"/>
        <tr r="K277" s="11"/>
        <tr r="C483" s="11"/>
        <tr r="J251" s="11"/>
        <tr r="H262" s="11"/>
        <tr r="I17" s="11"/>
        <tr r="D238" s="11"/>
        <tr r="F474" s="11"/>
        <tr r="H844" s="11"/>
        <tr r="B1275" s="11"/>
        <tr r="D1136" s="11"/>
        <tr r="H479" s="11"/>
        <tr r="L847" s="11"/>
        <tr r="F354" s="11"/>
        <tr r="D457" s="11"/>
        <tr r="D14" s="11"/>
        <tr r="G363" s="11"/>
        <tr r="D1159" s="11"/>
        <tr r="C414" s="11"/>
        <tr r="G852" s="11"/>
        <tr r="J280" s="11"/>
        <tr r="L324" s="11"/>
        <tr r="L239" s="11"/>
        <tr r="F1052" s="11"/>
        <tr r="K947" s="11"/>
        <tr r="D1235" s="11"/>
        <tr r="D110" s="11"/>
        <tr r="H820" s="11"/>
        <tr r="H1187" s="11"/>
        <tr r="K817" s="11"/>
        <tr r="G1039" s="11"/>
        <tr r="H1169" s="11"/>
        <tr r="D1074" s="11"/>
        <tr r="D928" s="11"/>
        <tr r="D412" s="11"/>
        <tr r="J117" s="11"/>
        <tr r="J1212" s="11"/>
        <tr r="J1218" s="11"/>
        <tr r="F1212" s="11"/>
        <tr r="B386" s="11"/>
        <tr r="F1258" s="11"/>
        <tr r="E417" s="11"/>
        <tr r="C1216" s="11"/>
        <tr r="F394" s="11"/>
        <tr r="G303" s="11"/>
        <tr r="K810" s="11"/>
        <tr r="D1086" s="11"/>
        <tr r="H814" s="11"/>
        <tr r="E392" s="11"/>
        <tr r="F570" s="11"/>
        <tr r="F1196" s="11"/>
        <tr r="I589" s="11"/>
        <tr r="C864" s="11"/>
        <tr r="G1151" s="11"/>
        <tr r="G231" s="11"/>
        <tr r="K738" s="11"/>
        <tr r="D1073" s="11"/>
        <tr r="H371" s="11"/>
        <tr r="E420" s="11"/>
        <tr r="K350" s="11"/>
        <tr r="J1284" s="11"/>
        <tr r="D26" s="11"/>
        <tr r="H725" s="11"/>
        <tr r="K905" s="11"/>
        <tr r="J137" s="11"/>
        <tr r="C1211" s="11"/>
        <tr r="F226" s="11"/>
        <tr r="K1184" s="11"/>
        <tr r="E259" s="11"/>
        <tr r="J258" s="11"/>
        <tr r="E279" s="11"/>
        <tr r="G958" s="11"/>
        <tr r="L1097" s="11"/>
        <tr r="J144" s="11"/>
        <tr r="D845" s="11"/>
        <tr r="B1217" s="11"/>
        <tr r="F1270" s="11"/>
        <tr r="K1042" s="11"/>
        <tr r="G779" s="11"/>
        <tr r="D173" s="11"/>
        <tr r="K951" s="11"/>
        <tr r="H276" s="11"/>
        <tr r="I643" s="11"/>
        <tr r="C1015" s="11"/>
        <tr r="H264" s="11"/>
        <tr r="H282" s="11"/>
        <tr r="F352" s="11"/>
        <tr r="J388" s="11"/>
        <tr r="G967" s="11"/>
        <tr r="J94" s="11"/>
        <tr r="G1003" s="11"/>
        <tr r="G1236" s="11"/>
        <tr r="D217" s="11"/>
        <tr r="I416" s="11"/>
        <tr r="L1050" s="11"/>
        <tr r="H344" s="11"/>
        <tr r="H337" s="11"/>
        <tr r="G450" s="11"/>
        <tr r="D602" s="11"/>
        <tr r="D183" s="11"/>
        <tr r="L270" s="11"/>
        <tr r="B235" s="11"/>
        <tr r="F722" s="11"/>
        <tr r="E307" s="11"/>
        <tr r="I185" s="11"/>
        <tr r="H549" s="11"/>
        <tr r="I542" s="11"/>
        <tr r="G961" s="11"/>
        <tr r="F470" s="11"/>
        <tr r="I32" s="11"/>
        <tr r="B1276" s="11"/>
        <tr r="D1225" s="11"/>
        <tr r="G888" s="11"/>
        <tr r="H500" s="11"/>
        <tr r="I176" s="11"/>
        <tr r="D441" s="11"/>
        <tr r="K361" s="11"/>
        <tr r="H943" s="11"/>
        <tr r="C1196" s="11"/>
        <tr r="D341" s="11"/>
        <tr r="H827" s="11"/>
        <tr r="D84" s="11"/>
        <tr r="D63" s="11"/>
        <tr r="B259" s="11"/>
        <tr r="H373" s="11"/>
        <tr r="G306" s="11"/>
        <tr r="J559" s="11"/>
        <tr r="J551" s="11"/>
        <tr r="C844" s="11"/>
        <tr r="D269" s="11"/>
        <tr r="H736" s="11"/>
        <tr r="C1222" s="11"/>
        <tr r="C945" s="11"/>
        <tr r="J317" s="11"/>
        <tr r="F1274" s="11"/>
        <tr r="C1122" s="11"/>
        <tr r="G223" s="11"/>
        <tr r="D886" s="11"/>
        <tr r="L565" s="11"/>
        <tr r="C916" s="11"/>
        <tr r="K850" s="11"/>
        <tr r="D1139" s="11"/>
        <tr r="H866" s="11"/>
        <tr r="B366" s="11"/>
        <tr r="B1218" s="11"/>
        <tr r="J177" s="11"/>
        <tr r="D998" s="11"/>
        <tr r="J18" s="11"/>
        <tr r="F1259" s="11"/>
        <tr r="K936" s="11"/>
        <tr r="C792" s="11"/>
        <tr r="G906" s="11"/>
        <tr r="G1196" s="11"/>
        <tr r="D141" s="11"/>
        <tr r="K261" s="11"/>
        <tr r="H408" s="11"/>
        <tr r="C971" s="11"/>
        <tr r="D734" s="11"/>
        <tr r="L596" s="11"/>
        <tr r="J90" s="11"/>
        <tr r="D242" s="11"/>
        <tr r="B1287" s="11"/>
        <tr r="G1204" s="11"/>
        <tr r="J1041" s="11"/>
        <tr r="K1234" s="11"/>
        <tr r="B1256" s="11"/>
        <tr r="D193" s="11"/>
        <tr r="D1016" s="11"/>
        <tr r="H864" s="11"/>
        <tr r="C728" s="11"/>
        <tr r="D270" s="11"/>
        <tr r="H1025" s="11"/>
        <tr r="G411" s="11"/>
        <tr r="G1143" s="11"/>
        <tr r="C740" s="11"/>
        <tr r="H885" s="11"/>
        <tr r="D958" s="11"/>
        <tr r="D824" s="11"/>
        <tr r="G556" s="11"/>
        <tr r="D230" s="11"/>
        <tr r="B1039" s="11"/>
        <tr r="D954" s="11"/>
        <tr r="H336" s="11"/>
        <tr r="C1135" s="11"/>
        <tr r="L339" s="11"/>
        <tr r="C319" s="11"/>
        <tr r="H787" s="11"/>
        <tr r="C546" s="11"/>
        <tr r="J1286" s="11"/>
        <tr r="D50" s="11"/>
        <tr r="F1283" s="11"/>
        <tr r="C952" s="11"/>
        <tr r="L755" s="11"/>
        <tr r="C1004" s="11"/>
        <tr r="E81" s="11"/>
        <tr r="C223" s="11"/>
        <tr r="L1073" s="11"/>
        <tr r="L1178" s="11"/>
        <tr r="D1219" s="11"/>
        <tr r="B387" s="11"/>
        <tr r="D81" s="11"/>
        <tr r="C343" s="11"/>
        <tr r="B232" s="11"/>
        <tr r="D142" s="11"/>
        <tr r="I328" s="11"/>
        <tr r="H972" s="11"/>
        <tr r="H410" s="11"/>
        <tr r="E433" s="11"/>
        <tr r="D1195" s="11"/>
        <tr r="J1268" s="11"/>
        <tr r="D274" s="11"/>
        <tr r="C1240" s="11"/>
        <tr r="C1244" s="11"/>
        <tr r="G379" s="11"/>
        <tr r="C1024" s="11"/>
        <tr r="H839" s="11"/>
        <tr r="D1175" s="11"/>
        <tr r="K1219" s="11"/>
        <tr r="L919" s="11"/>
        <tr r="I402" s="11"/>
        <tr r="C969" s="11"/>
        <tr r="J235" s="11"/>
        <tr r="E175" s="11"/>
        <tr r="H372" s="11"/>
        <tr r="K745" s="11"/>
        <tr r="F367" s="11"/>
        <tr r="D1241" s="11"/>
        <tr r="L769" s="11"/>
        <tr r="H1158" s="11"/>
        <tr r="B472" s="11"/>
        <tr r="B565" s="11"/>
        <tr r="K1004" s="11"/>
        <tr r="H1072" s="11"/>
        <tr r="J86" s="11"/>
        <tr r="L851" s="11"/>
        <tr r="F1273" s="11"/>
        <tr r="K931" s="11"/>
        <tr r="H996" s="11"/>
        <tr r="G947" s="11"/>
        <tr r="G825" s="11"/>
        <tr r="D963" s="11"/>
        <tr r="G749" s="11"/>
        <tr r="C375" s="11"/>
        <tr r="C496" s="11"/>
        <tr r="G1180" s="11"/>
        <tr r="J553" s="11"/>
        <tr r="J214" s="11"/>
        <tr r="K322" s="11"/>
        <tr r="K1241" s="11"/>
        <tr r="D815" s="11"/>
        <tr r="L834" s="11"/>
        <tr r="F1264" s="11"/>
        <tr r="C1212" s="11"/>
        <tr r="C1220" s="11"/>
        <tr r="G1248" s="11"/>
        <tr r="H854" s="11"/>
        <tr r="B1197" s="11"/>
        <tr r="D100" s="11"/>
        <tr r="F1266" s="11"/>
        <tr r="J71" s="11"/>
        <tr r="G364" s="11"/>
        <tr r="B1049" s="11"/>
        <tr r="G846" s="11"/>
        <tr r="K217" s="11"/>
        <tr r="E123" s="11"/>
        <tr r="D1050" s="11"/>
        <tr r="G1241" s="11"/>
        <tr r="G750" s="11"/>
        <tr r="H1245" s="11"/>
        <tr r="J399" s="11"/>
        <tr r="I468" s="11"/>
        <tr r="L311" s="11"/>
        <tr r="H362" s="11"/>
        <tr r="D1056" s="11"/>
        <tr r="J145" s="11"/>
        <tr r="K807" s="11"/>
        <tr r="D1124" s="11"/>
        <tr r="D847" s="11"/>
        <tr r="I347" s="11"/>
        <tr r="D170" s="11"/>
        <tr r="F472" s="11"/>
        <tr r="F663" s="11"/>
        <tr r="D1031" s="11"/>
        <tr r="F571" s="11"/>
        <tr r="C910" s="11"/>
        <tr r="D865" s="11"/>
        <tr r="D25" s="11"/>
        <tr r="D455" s="11"/>
        <tr r="D60" s="11"/>
        <tr r="D896" s="11"/>
        <tr r="J49" s="11"/>
        <tr r="H1153" s="11"/>
        <tr r="C1247" s="11"/>
        <tr r="C242" s="11"/>
        <tr r="F1223" s="11"/>
        <tr r="J1266" s="11"/>
        <tr r="J1201" s="11"/>
        <tr r="J1279" s="11"/>
        <tr r="D1103" s="11"/>
        <tr r="B1053" s="11"/>
        <tr r="C999" s="11"/>
        <tr r="D1097" s="11"/>
        <tr r="D89" s="11"/>
        <tr r="J427" s="11"/>
        <tr r="D196" s="11"/>
        <tr r="D960" s="11"/>
        <tr r="J81" s="11"/>
        <tr r="K9" s="11"/>
        <tr r="D1041" s="11"/>
        <tr r="D783" s="11"/>
        <tr r="K488" s="11"/>
        <tr r="C957" s="11"/>
        <tr r="J322" s="11"/>
        <tr r="E532" s="11"/>
        <tr r="D754" s="11"/>
        <tr r="G372" s="11"/>
        <tr r="C742" s="11"/>
        <tr r="D210" s="11"/>
        <tr r="C1164" s="11"/>
        <tr r="G567" s="11"/>
        <tr r="C846" s="11"/>
        <tr r="D747" s="11"/>
        <tr r="B1251" s="11"/>
        <tr r="H949" s="11"/>
        <tr r="C1052" s="11"/>
        <tr r="K889" s="11"/>
        <tr r="G1237" s="11"/>
        <tr r="D205" s="11"/>
        <tr r="C1051" s="11"/>
        <tr r="J1231" s="11"/>
        <tr r="F550" s="11"/>
        <tr r="H826" s="11"/>
        <tr r="D299" s="11"/>
        <tr r="E125" s="11"/>
        <tr r="B1192" s="11"/>
        <tr r="C1208" s="11"/>
        <tr r="G230" s="11"/>
        <tr r="D664" s="11"/>
        <tr r="K715" s="11"/>
        <tr r="C268" s="11"/>
        <tr r="B659" s="11"/>
        <tr r="B1258" s="11"/>
        <tr r="H1051" s="11"/>
        <tr r="L1024" s="11"/>
        <tr r="I40" s="11"/>
        <tr r="G786" s="11"/>
        <tr r="D855" s="11"/>
        <tr r="L551" s="11"/>
        <tr r="F376" s="11"/>
        <tr r="L705" s="11"/>
        <tr r="E377" s="11"/>
        <tr r="B1285" s="11"/>
        <tr r="D197" s="11"/>
        <tr r="C1043" s="11"/>
        <tr r="E383" s="11"/>
        <tr r="D1271" s="11"/>
        <tr r="H278" s="11"/>
        <tr r="L757" s="11"/>
        <tr r="C571" s="11"/>
        <tr r="K319" s="11"/>
        <tr r="J383" s="11"/>
        <tr r="H490" s="11"/>
        <tr r="L1108" s="11"/>
        <tr r="G361" s="11"/>
        <tr r="K832" s="11"/>
        <tr r="L250" s="11"/>
        <tr r="B1261" s="11"/>
        <tr r="H428" s="11"/>
        <tr r="H1113" s="11"/>
        <tr r="G865" s="11"/>
        <tr r="E59" s="11"/>
        <tr r="J1258" s="11"/>
        <tr r="K853" s="11"/>
        <tr r="J1048" s="11"/>
        <tr r="H1050" s="11"/>
        <tr r="D304" s="11"/>
        <tr r="G237" s="11"/>
        <tr r="L809" s="11"/>
        <tr r="D894" s="11"/>
        <tr r="B1234" s="11"/>
        <tr r="C820" s="11"/>
        <tr r="D1290" s="11"/>
        <tr r="G999" s="11"/>
        <tr r="H256" s="11"/>
        <tr r="J558" s="11"/>
        <tr r="D974" s="11"/>
        <tr r="G747" s="11"/>
        <tr r="C992" s="11"/>
        <tr r="H1021" s="11"/>
        <tr r="F876" s="11"/>
        <tr r="K1155" s="11"/>
        <tr r="K231" s="11"/>
        <tr r="L388" s="11"/>
        <tr r="K1134" s="11"/>
        <tr r="H1039" s="11"/>
        <tr r="G938" s="11"/>
        <tr r="G371" s="11"/>
        <tr r="G1229" s="11"/>
        <tr r="G1217" s="11"/>
        <tr r="D1169" s="11"/>
        <tr r="K972" s="11"/>
        <tr r="C870" s="11"/>
        <tr r="J37" s="11"/>
        <tr r="G789" s="11"/>
        <tr r="G1130" s="11"/>
        <tr r="B373" s="11"/>
        <tr r="I336" s="11"/>
        <tr r="B305" s="11"/>
        <tr r="J198" s="11"/>
        <tr r="G1177" s="11"/>
        <tr r="H1286" s="11"/>
        <tr r="C988" s="11"/>
        <tr r="J69" s="11"/>
        <tr r="K330" s="11"/>
        <tr r="G768" s="11"/>
        <tr r="J63" s="11"/>
        <tr r="G1025" s="11"/>
        <tr r="C228" s="11"/>
        <tr r="G447" s="11"/>
        <tr r="K268" s="11"/>
        <tr r="L722" s="11"/>
        <tr r="K706" s="11"/>
        <tr r="J21" s="11"/>
        <tr r="H1231" s="11"/>
        <tr r="G304" s="11"/>
        <tr r="B1263" s="11"/>
        <tr r="G952" s="11"/>
        <tr r="K1188" s="11"/>
        <tr r="J473" s="11"/>
        <tr r="H1221" s="11"/>
        <tr r="I48" s="11"/>
        <tr r="J1232" s="11"/>
        <tr r="L1195" s="11"/>
        <tr r="F1257" s="11"/>
        <tr r="K826" s="11"/>
        <tr r="L1258" s="11"/>
        <tr r="K863" s="11"/>
        <tr r="C859" s="11"/>
        <tr r="E1050" s="11"/>
        <tr r="K1002" s="11"/>
        <tr r="L566" s="11"/>
        <tr r="J209" s="11"/>
        <tr r="K218" s="11"/>
        <tr r="J80" s="11"/>
        <tr r="K1142" s="11"/>
        <tr r="J11" s="11"/>
        <tr r="K787" s="11"/>
        <tr r="D1190" s="11"/>
        <tr r="K1208" s="11"/>
        <tr r="L1216" s="11"/>
        <tr r="D870" s="11"/>
        <tr r="H1000" s="11"/>
        <tr r="L1107" s="11"/>
        <tr r="L720" s="11"/>
        <tr r="F1202" s="11"/>
        <tr r="B568" s="11"/>
        <tr r="G1147" s="11"/>
        <tr r="F532" s="11"/>
        <tr r="L941" s="11"/>
        <tr r="F473" s="11"/>
        <tr r="C1158" s="11"/>
        <tr r="I286" s="11"/>
        <tr r="J481" s="11"/>
        <tr r="I709" s="11"/>
        <tr r="G761" s="11"/>
        <tr r="H1273" s="11"/>
        <tr r="B383" s="11"/>
        <tr r="D250" s="11"/>
        <tr r="G921" s="11"/>
        <tr r="G294" s="11"/>
        <tr r="H1148" s="11"/>
        <tr r="B494" s="11"/>
        <tr r="J1278" s="11"/>
        <tr r="E449" s="11"/>
        <tr r="L888" s="11"/>
        <tr r="C300" s="11"/>
        <tr r="K320" s="11"/>
        <tr r="H527" s="11"/>
        <tr r="G742" s="11"/>
        <tr r="B1290" s="11"/>
        <tr r="G883" s="11"/>
        <tr r="E327" s="11"/>
        <tr r="K854" s="11"/>
        <tr r="D128" s="11"/>
        <tr r="E394" s="11"/>
        <tr r="G794" s="11"/>
        <tr r="L970" s="11"/>
        <tr r="J347" s="11"/>
        <tr r="D1144" s="11"/>
        <tr r="B1045" s="11"/>
        <tr r="F1278" s="11"/>
        <tr r="K244" s="11"/>
        <tr r="G290" s="11"/>
        <tr r="G987" s="11"/>
        <tr r="H918" s="11"/>
        <tr r="J1040" s="11"/>
        <tr r="C876" s="11"/>
        <tr r="H747" s="11"/>
        <tr r="C978" s="11"/>
        <tr r="L1157" s="11"/>
        <tr r="J188" s="11"/>
        <tr r="C253" s="11"/>
        <tr r="H335" s="11"/>
        <tr r="C354" s="11"/>
        <tr r="F1195" s="11"/>
        <tr r="D1128" s="11"/>
        <tr r="L841" s="11"/>
        <tr r="H772" s="11"/>
        <tr r="D849" s="11"/>
        <tr r="K1054" s="11"/>
        <tr r="C960" s="11"/>
        <tr r="K1044" s="11"/>
        <tr r="K334" s="11"/>
        <tr r="G323" s="11"/>
        <tr r="D1064" s="11"/>
        <tr r="H1178" s="11"/>
        <tr r="E224" s="11"/>
        <tr r="K739" s="11"/>
        <tr r="K840" s="11"/>
        <tr r="B1273" s="11"/>
        <tr r="L1049" s="11"/>
        <tr r="G898" s="11"/>
        <tr r="L394" s="11"/>
        <tr r="L924" s="11"/>
        <tr r="D162" s="11"/>
        <tr r="J1290" s="11"/>
        <tr r="H1136" s="11"/>
        <tr r="E140" s="11"/>
        <tr r="G965" s="11"/>
        <tr r="D916" s="11"/>
        <tr r="G1038" s="11"/>
        <tr r="D1014" s="11"/>
        <tr r="L295" s="11"/>
        <tr r="K997" s="11"/>
        <tr r="K1164" s="11"/>
        <tr r="J60" s="11"/>
        <tr r="L1200" s="11"/>
        <tr r="G1011" s="11"/>
        <tr r="F272" s="11"/>
        <tr r="H23" s="11"/>
        <tr r="D278" s="11"/>
        <tr r="J1243" s="11"/>
        <tr r="C895" s="11"/>
        <tr r="K942" s="11"/>
        <tr r="J1230" s="11"/>
        <tr r="G243" s="11"/>
        <tr r="D778" s="11"/>
        <tr r="H883" s="11"/>
        <tr r="F295" s="11"/>
        <tr r="H970" s="11"/>
        <tr r="H1040" s="11"/>
        <tr r="B553" s="11"/>
        <tr r="L307" s="11"/>
        <tr r="G338" s="11"/>
        <tr r="E515" s="11"/>
        <tr r="L423" s="11"/>
        <tr r="C1139" s="11"/>
        <tr r="J1208" s="11"/>
        <tr r="H1054" s="11"/>
        <tr r="E249" s="11"/>
        <tr r="G787" s="11"/>
        <tr r="K984" s="11"/>
        <tr r="H317" s="11"/>
        <tr r="G1031" s="11"/>
        <tr r="D265" s="11"/>
        <tr r="H821" s="11"/>
        <tr r="L931" s="11"/>
        <tr r="G565" s="11"/>
        <tr r="D309" s="11"/>
        <tr r="G990" s="11"/>
        <tr r="D957" s="11"/>
        <tr r="B1003" s="11"/>
        <tr r="D393" s="11"/>
        <tr r="C444" s="11"/>
        <tr r="J1270" s="11"/>
        <tr r="C1009" s="11"/>
        <tr r="G267" s="11"/>
        <tr r="D1044" s="11"/>
        <tr r="L469" s="11"/>
        <tr r="G318" s="11"/>
        <tr r="J480" s="11"/>
        <tr r="D402" s="11"/>
        <tr r="E409" s="11"/>
        <tr r="H1105" s="11"/>
        <tr r="L1288" s="11"/>
        <tr r="B391" s="11"/>
        <tr r="K976" s="11"/>
        <tr r="H1058" s="11"/>
        <tr r="C1130" s="11"/>
        <tr r="C1175" s="11"/>
        <tr r="I106" s="11"/>
        <tr r="J289" s="11"/>
        <tr r="L255" s="11"/>
        <tr r="L235" s="11"/>
        <tr r="K481" s="11"/>
        <tr r="J602" s="11"/>
        <tr r="C1016" s="11"/>
        <tr r="H770" s="11"/>
        <tr r="E348" s="11"/>
        <tr r="B300" s="11"/>
        <tr r="K377" s="11"/>
        <tr r="D769" s="11"/>
        <tr r="C1227" s="11"/>
        <tr r="J299" s="11"/>
        <tr r="E484" s="11"/>
        <tr r="G366" s="11"/>
        <tr r="C833" s="11"/>
        <tr r="K1046" s="11"/>
        <tr r="L1163" s="11"/>
        <tr r="C878" s="11"/>
        <tr r="K744" s="11"/>
        <tr r="G433" s="11"/>
        <tr r="H832" s="11"/>
        <tr r="G1234" s="11"/>
        <tr r="H1157" s="11"/>
        <tr r="J1236" s="11"/>
        <tr r="G280" s="11"/>
        <tr r="L692" s="11"/>
        <tr r="B1280" s="11"/>
        <tr r="K916" s="11"/>
        <tr r="D1156" s="11"/>
        <tr r="C336" s="11"/>
        <tr r="H225" s="11"/>
        <tr r="D912" s="11"/>
        <tr r="H1242" s="11"/>
        <tr r="L1209" s="11"/>
        <tr r="I161" s="11"/>
        <tr r="B1265" s="11"/>
        <tr r="B1231" s="11"/>
        <tr r="D286" s="11"/>
        <tr r="J170" s="11"/>
        <tr r="D982" s="11"/>
        <tr r="K888" s="11"/>
        <tr r="E79" s="11"/>
        <tr r="H923" s="11"/>
        <tr r="H1235" s="11"/>
        <tr r="G780" s="11"/>
        <tr r="I394" s="11"/>
        <tr r="D832" s="11"/>
        <tr r="D344" s="11"/>
        <tr r="H514" s="11"/>
        <tr r="B1252" s="11"/>
        <tr r="J76" s="11"/>
        <tr r="J199" s="11"/>
        <tr r="G1192" s="11"/>
        <tr r="G1140" s="11"/>
        <tr r="F1224" s="11"/>
        <tr r="J1046" s="11"/>
        <tr r="C305" s="11"/>
        <tr r="G1019" s="11"/>
        <tr r="D1224" s="11"/>
        <tr r="K345" s="11"/>
        <tr r="D984" s="11"/>
        <tr r="H269" s="11"/>
        <tr r="K441" s="11"/>
        <tr r="G878" s="11"/>
        <tr r="F6" s="11"/>
        <tr r="J54" s="11"/>
        <tr r="K985" s="11"/>
        <tr r="G922" s="11"/>
        <tr r="D1168" s="11"/>
        <tr r="K273" s="11"/>
        <tr r="D875" s="11"/>
        <tr r="L1113" s="11"/>
        <tr r="C467" s="11"/>
        <tr r="H17" s="11"/>
        <tr r="J84" s="11"/>
        <tr r="K803" s="11"/>
        <tr r="L1106" s="11"/>
        <tr r="L1028" s="11"/>
        <tr r="B1212" s="11"/>
        <tr r="K915" s="11"/>
        <tr r="C967" s="11"/>
        <tr r="G570" s="11"/>
        <tr r="J10" s="11"/>
        <tr r="F568" s="11"/>
        <tr r="E191" s="11"/>
        <tr r="F1280" s="11"/>
        <tr r="F497" s="11"/>
        <tr r="F1218" s="11"/>
        <tr r="L1111" s="11"/>
        <tr r="D353" s="11"/>
        <tr r="K887" s="11"/>
        <tr r="E41" s="11"/>
        <tr r="D96" s="11"/>
        <tr r="L731" s="11"/>
        <tr r="F299" s="11"/>
        <tr r="L787" s="11"/>
        <tr r="G858" s="11"/>
        <tr r="F1265" s="11"/>
        <tr r="D788" s="11"/>
        <tr r="C801" s="11"/>
        <tr r="K740" s="11"/>
        <tr r="B433" s="11"/>
        <tr r="H290" s="11"/>
        <tr r="C565" s="11"/>
        <tr r="L305" s="11"/>
        <tr r="D1042" s="11"/>
        <tr r="G831" s="11"/>
        <tr r="G566" s="11"/>
        <tr r="E244" s="11"/>
        <tr r="B1056" s="11"/>
        <tr r="D765" s="11"/>
        <tr r="G759" s="11"/>
        <tr r="B722" s="11"/>
        <tr r="B302" s="11"/>
        <tr r="B397" s="11"/>
        <tr r="H1172" s="11"/>
        <tr r="C416" s="11"/>
        <tr r="L815" s="11"/>
        <tr r="H975" s="11"/>
        <tr r="L1274" s="11"/>
        <tr r="H884" s="11"/>
        <tr r="D1264" s="11"/>
        <tr r="B1206" s="11"/>
        <tr r="D1119" s="11"/>
        <tr r="L1171" s="11"/>
        <tr r="H1090" s="11"/>
        <tr r="C441" s="11"/>
        <tr r="F1045" s="11"/>
        <tr r="G1219" s="11"/>
        <tr r="H1111" s="11"/>
        <tr r="H303" s="11"/>
        <tr r="D1200" s="11"/>
        <tr r="D261" s="11"/>
        <tr r="E36" s="11"/>
        <tr r="B1047" s="11"/>
        <tr r="G1001" s="11"/>
        <tr r="G1202" s="11"/>
        <tr r="K759" s="11"/>
        <tr r="D1187" s="11"/>
        <tr r="D835" s="11"/>
        <tr r="H488" s="11"/>
        <tr r="G1136" s="11"/>
        <tr r="H1258" s="11"/>
        <tr r="D1059" s="11"/>
        <tr r="D763" s="11"/>
        <tr r="L549" s="11"/>
        <tr r="B571" s="11"/>
        <tr r="B245" s="11"/>
        <tr r="K1036" s="11"/>
        <tr r="C403" s="11"/>
        <tr r="B1242" s="11"/>
        <tr r="G862" s="11"/>
        <tr r="K229" s="11"/>
        <tr r="D291" s="11"/>
        <tr r="D62" s="11"/>
        <tr r="C887" s="11"/>
        <tr r="L1144" s="11"/>
        <tr r="H407" s="11"/>
        <tr r="B490" s="11"/>
        <tr r="D97" s="11"/>
        <tr r="F424" s="11"/>
        <tr r="G931" s="11"/>
        <tr r="C814" s="11"/>
        <tr r="E167" s="11"/>
        <tr r="I452" s="11"/>
        <tr r="K473" s="11"/>
        <tr r="G1193" s="11"/>
        <tr r="G270" s="11"/>
        <tr r="E477" s="11"/>
        <tr r="G1034" s="11"/>
        <tr r="F318" s="11"/>
        <tr r="K482" s="11"/>
        <tr r="K794" s="11"/>
        <tr r="C928" s="11"/>
        <tr r="D1244" s="11"/>
        <tr r="D161" s="11"/>
        <tr r="G401" s="11"/>
        <tr r="G1246" s="11"/>
        <tr r="C902" s="11"/>
        <tr r="H764" s="11"/>
        <tr r="H235" s="11"/>
        <tr r="L450" s="11"/>
        <tr r="F1056" s="11"/>
        <tr r="G777" s="11"/>
        <tr r="H1214" s="11"/>
        <tr r="C1126" s="11"/>
        <tr r="C912" s="11"/>
        <tr r="C807" s="11"/>
        <tr r="L910" s="11"/>
        <tr r="G430" s="11"/>
        <tr r="K519" s="11"/>
        <tr r="C1203" s="11"/>
        <tr r="C482" s="11"/>
        <tr r="D837" s="11"/>
        <tr r="C311" s="11"/>
        <tr r="J389" s="11"/>
        <tr r="G986" s="11"/>
        <tr r="J578" s="11"/>
        <tr r="G873" s="11"/>
        <tr r="D1236" s="11"/>
        <tr r="E505" s="11"/>
        <tr r="D362" s="11"/>
        <tr r="K1238" s="11"/>
        <tr r="H319" s="11"/>
        <tr r="H790" s="11"/>
        <tr r="J570" s="11"/>
        <tr r="I344" s="11"/>
        <tr r="B438" s="11"/>
        <tr r="E200" s="11"/>
        <tr r="J426" s="11"/>
        <tr r="H1106" s="11"/>
        <tr r="G792" s="11"/>
        <tr r="H1206" s="11"/>
        <tr r="J1242" s="11"/>
        <tr r="L18" s="11"/>
        <tr r="K276" s="11"/>
        <tr r="G378" s="11"/>
        <tr r="G818" s="11"/>
        <tr r="C1231" s="11"/>
        <tr r="C778" s="11"/>
        <tr r="G970" s="11"/>
        <tr r="G948" s="11"/>
        <tr r="D401" s="11"/>
        <tr r="C314" s="11"/>
        <tr r="L1168" s="11"/>
        <tr r="C306" s="11"/>
        <tr r="J168" s="11"/>
        <tr r="K1205" s="11"/>
        <tr r="H308" s="11"/>
        <tr r="C274" s="11"/>
        <tr r="K360" s="11"/>
        <tr r="K355" s="11"/>
        <tr r="E376" s="11"/>
        <tr r="C438" s="11"/>
        <tr r="D1252" s="11"/>
        <tr r="H242" s="11"/>
        <tr r="L721" s="11"/>
        <tr r="L303" s="11"/>
        <tr r="D104" s="11"/>
        <tr r="L956" s="11"/>
        <tr r="G425" s="11"/>
        <tr r="I679" s="11"/>
        <tr r="C258" s="11"/>
        <tr r="B1250" s="11"/>
        <tr r="L1016" s="11"/>
        <tr r="I418" s="11"/>
        <tr r="D98" s="11"/>
        <tr r="C847" s="11"/>
        <tr r="J4" s="11"/>
        <tr r="K1017" s="11"/>
        <tr r="G933" s="11"/>
        <tr r="D1176" s="11"/>
        <tr r="K281" s="11"/>
        <tr r="D907" s="11"/>
        <tr r="L1153" s="11"/>
        <tr r="J464" s="11"/>
        <tr r="G340" s="11"/>
        <tr r="G1197" s="11"/>
        <tr r="B554" s="11"/>
        <tr r="K727" s="11"/>
        <tr r="G836" s="11"/>
        <tr r="D1106" s="11"/>
        <tr r="H1287" s="11"/>
        <tr r="D827" s="11"/>
        <tr r="E187" s="11"/>
        <tr r="E491" s="11"/>
        <tr r="I292" s="11"/>
        <tr r="B1235" s="11"/>
        <tr r="H933" s="11"/>
        <tr r="L275" s="11"/>
        <tr r="D413" s="11"/>
        <tr r="B393" s="11"/>
        <tr r="C763" s="11"/>
        <tr r="E379" s="11"/>
        <tr r="K829" s="11"/>
        <tr r="H330" s="11"/>
        <tr r="J546" s="11"/>
        <tr r="C480" s="11"/>
        <tr r="G828" s="11"/>
        <tr r="I308" s="11"/>
        <tr r="J48" s="11"/>
        <tr r="D158" s="11"/>
        <tr r="G1198" s="11"/>
        <tr r="F1057" s="11"/>
        <tr r="L247" s="11"/>
        <tr r="D828" s="11"/>
        <tr r="K919" s="11"/>
        <tr r="E105" s="11"/>
        <tr r="D244" s="11"/>
        <tr r="L1283" s="11"/>
        <tr r="I337" s="11"/>
        <tr r="J988" s="11"/>
        <tr r="G923" s="11"/>
        <tr r="K799" s="11"/>
        <tr r="H1165" s="11"/>
        <tr r="H1197" s="11"/>
        <tr r="L1226" s="11"/>
        <tr r="G1123" s="11"/>
        <tr r="D1270" s="11"/>
        <tr r="E283" s="11"/>
        <tr r="E579" s="11"/>
        <tr r="K378" s="11"/>
        <tr r="J79" s="11"/>
        <tr r="C308" s="11"/>
        <tr r="K882" s="11"/>
        <tr r="L12" s="11"/>
        <tr r="G860" s="11"/>
        <tr r="G272" s="11"/>
        <tr r="F387" s="11"/>
        <tr r="G279" s="11"/>
        <tr r="H1080" s="11"/>
        <tr r="G796" s="11"/>
        <tr r="K783" s="11"/>
        <tr r="G419" s="11"/>
        <tr r="D7" s="11"/>
        <tr r="D720" s="11"/>
        <tr r="H880" s="11"/>
        <tr r="D148" s="11"/>
        <tr r="D307" s="11"/>
        <tr r="E196" s="11"/>
        <tr r="H917" s="11"/>
        <tr r="G730" s="11"/>
        <tr r="J1189" s="11"/>
        <tr r="F595" s="11"/>
        <tr r="C1170" s="11"/>
        <tr r="D333" s="11"/>
        <tr r="H819" s="11"/>
        <tr r="D72" s="11"/>
        <tr r="D31" s="11"/>
        <tr r="E265" s="11"/>
        <tr r="B1194" s="11"/>
        <tr r="D733" s="11"/>
        <tr r="G351" s="11"/>
        <tr r="D1100" s="11"/>
        <tr r="G470" s="11"/>
        <tr r="D178" s="11"/>
        <tr r="H217" s="11"/>
        <tr r="K914" s="11"/>
        <tr r="F315" s="11"/>
        <tr r="H982" s="11"/>
        <tr r="G871" s="11"/>
        <tr r="J114" s="11"/>
        <tr r="G344" s="11"/>
        <tr r="F1197" s="11"/>
        <tr r="G949" s="11"/>
        <tr r="G973" s="11"/>
        <tr r="D109" s="11"/>
        <tr r="K293" s="11"/>
        <tr r="K466" s="11"/>
        <tr r="C926" s="11"/>
        <tr r="D930" s="11"/>
        <tr r="E44" s="11"/>
        <tr r="B1216" s="11"/>
        <tr r="D749" s="11"/>
        <tr r="G874" s="11"/>
        <tr r="D149" s="11"/>
        <tr r="E228" s="11"/>
        <tr r="L946" s="11"/>
        <tr r="L897" s="11"/>
        <tr r="I100" s="11"/>
        <tr r="L811" s="11"/>
        <tr r="J621" s="11"/>
        <tr r="H1215" s="11"/>
        <tr r="D1088" s="11"/>
        <tr r="D771" s="11"/>
        <tr r="G537" s="11"/>
        <tr r="G1016" s="11"/>
        <tr r="H958" s="11"/>
        <tr r="D989" s="11"/>
        <tr r="D869" s="11"/>
        <tr r="H650" s="11"/>
        <tr r="F1185" s="11"/>
        <tr r="E347" s="11"/>
        <tr r="G1139" s="11"/>
        <tr r="I432" s="11"/>
        <tr r="L926" s="11"/>
        <tr r="J1261" s="11"/>
        <tr r="L447" s="11"/>
        <tr r="C1123" s="11"/>
        <tr r="G1226" s="11"/>
        <tr r="D873" s="11"/>
        <tr r="J223" s="11"/>
        <tr r="E155" s="11"/>
        <tr r="L1149" s="11"/>
        <tr r="J1241" s="11"/>
        <tr r="L1079" s="11"/>
        <tr r="D1251" s="11"/>
        <tr r="B435" s="11"/>
        <tr r="L723" s="11"/>
        <tr r="K1049" s="11"/>
        <tr r="B587" s="11"/>
        <tr r="D877" s="11"/>
        <tr r="D1260" s="11"/>
        <tr r="G322" s="11"/>
        <tr r="J1050" s="11"/>
        <tr r="D277" s="11"/>
        <tr r="C1230" s="11"/>
        <tr r="I310" s="11"/>
        <tr r="G226" s="11"/>
        <tr r="J58" s="11"/>
        <tr r="D5" s="11"/>
        <tr r="C1160" s="11"/>
        <tr r="F368" s="11"/>
        <tr r="K1161" s="11"/>
        <tr r="D787" s="11"/>
        <tr r="K786" s="11"/>
        <tr r="F1276" s="11"/>
        <tr r="F1245" s="11"/>
        <tr r="B225" s="11"/>
        <tr r="E169" s="11"/>
        <tr r="J376" s="11"/>
        <tr r="J1205" s="11"/>
        <tr r="C766" s="11"/>
        <tr r="L233" s="11"/>
        <tr r="E467" s="11"/>
        <tr r="J68" s="11"/>
        <tr r="L1242" s="11"/>
        <tr r="I398" s="11"/>
        <tr r="H1181" s="11"/>
        <tr r="K10" s="11"/>
        <tr r="D736" s="11"/>
        <tr r="K257" s="11"/>
        <tr r="G996" s="11"/>
        <tr r="G1233" s="11"/>
        <tr r="G940" s="11"/>
        <tr r="C798" s="11"/>
        <tr r="K1033" s="11"/>
        <tr r="B1278" s="11"/>
        <tr r="G845" s="11"/>
        <tr r="H1028" s="11"/>
        <tr r="G814" s="11"/>
        <tr r="J132" s="11"/>
        <tr r="H260" s="11"/>
        <tr r="J267" s="11"/>
        <tr r="K370" s="11"/>
        <tr r="K808" s="11"/>
        <tr r="D864" s="11"/>
        <tr r="K321" s="11"/>
        <tr r="G1187" s="11"/>
        <tr r="F560" s="11"/>
        <tr r="D409" s="11"/>
        <tr r="I248" s="11"/>
        <tr r="F413" s="11"/>
        <tr r="J1211" s="11"/>
        <tr r="K1056" s="11"/>
        <tr r="E118" s="11"/>
        <tr r="B502" s="11"/>
        <tr r="B1201" s="11"/>
        <tr r="L876" s="11"/>
        <tr r="L584" s="11"/>
        <tr r="H293" s="11"/>
        <tr r="H744" s="11"/>
        <tr r="D177" s="11"/>
        <tr r="H1203" s="11"/>
        <tr r="G724" s="11"/>
        <tr r="G1172" s="11"/>
        <tr r="G876" s="11"/>
        <tr r="C251" s="11"/>
        <tr r="K374" s="11"/>
        <tr r="G811" s="11"/>
        <tr r="H597" s="11"/>
        <tr r="E313" s="11"/>
        <tr r="G1042" s="11"/>
        <tr r="B850" s="11"/>
        <tr r="G533" s="11"/>
        <tr r="E717" s="11"/>
        <tr r="C1020" s="11"/>
        <tr r="D476" s="11"/>
        <tr r="H807" s="11"/>
        <tr r="D352" s="11"/>
        <tr r="G1238" s="11"/>
        <tr r="G1006" s="11"/>
        <tr r="L754" s="11"/>
        <tr r="K470" s="11"/>
        <tr r="G1205" s="11"/>
        <tr r="K774" s="11"/>
        <tr r="B463" s="11"/>
        <tr r="G296" s="11"/>
        <tr r="C1223" s="11"/>
        <tr r="L403" s="11"/>
        <tr r="F259" s="11"/>
        <tr r="F648" s="11"/>
        <tr r="E260" s="11"/>
        <tr r="D962" s="11"/>
        <tr r="G803" s="11"/>
        <tr r="B608" s="11"/>
        <tr r="F267" s="11"/>
        <tr r="L935" s="11"/>
        <tr r="L379" s="11"/>
        <tr r="L478" s="11"/>
        <tr r="L891" s="11"/>
        <tr r="C1046" s="11"/>
        <tr r="I124" s="11"/>
        <tr r="F296" s="11"/>
        <tr r="D834" s="11"/>
        <tr r="B243" s="11"/>
        <tr r="C501" s="11"/>
        <tr r="G337" s="11"/>
        <tr r="J173" s="11"/>
        <tr r="L386" s="11"/>
        <tr r="G802" s="11"/>
        <tr r="C774" s="11"/>
        <tr r="J1190" s="11"/>
        <tr r="G1137" s="11"/>
        <tr r="H1250" s="11"/>
        <tr r="C321" s="11"/>
        <tr r="I470" s="11"/>
        <tr r="C1210" s="11"/>
        <tr r="D843" s="11"/>
        <tr r="J33" s="11"/>
        <tr r="H1112" s="11"/>
        <tr r="D1025" s="11"/>
        <tr r="D735" s="11"/>
        <tr r="C517" s="11"/>
        <tr r="C365" s="11"/>
        <tr r="E581" s="11"/>
        <tr r="J805" s="11"/>
        <tr r="D247" s="11"/>
        <tr r="H223" s="11"/>
        <tr r="J186" s="11"/>
        <tr r="G982" s="11"/>
        <tr r="K317" s="11"/>
        <tr r="H12" s="11"/>
        <tr r="C770" s="11"/>
        <tr r="C765" s="11"/>
        <tr r="J236" s="11"/>
        <tr r="J353" s="11"/>
        <tr r="B377" s="11"/>
        <tr r="B381" s="11"/>
        <tr r="C534" s="11"/>
        <tr r="G635" s="11"/>
        <tr r="K895" s="11"/>
        <tr r="I146" s="11"/>
        <tr r="L489" s="11"/>
        <tr r="C610" s="11"/>
        <tr r="J614" s="11"/>
        <tr r="K234" s="11"/>
        <tr r="K1220" s="11"/>
        <tr r="F915" s="11"/>
        <tr r="H296" s="11"/>
        <tr r="C1007" s="11"/>
        <tr r="F1044" s="11"/>
        <tr r="B471" s="11"/>
        <tr r="D369" s="11"/>
        <tr r="D112" s="11"/>
        <tr r="L1034" s="11"/>
        <tr r="L375" s="11"/>
        <tr r="K809" s="11"/>
        <tr r="G261" s="11"/>
        <tr r="H1220" s="11"/>
        <tr r="G253" s="11"/>
        <tr r="D1280" s="11"/>
        <tr r="D1261" s="11"/>
        <tr r="H1046" s="11"/>
        <tr r="G221" s="11"/>
        <tr r="K1169" s="11"/>
        <tr r="K1149" s="11"/>
        <tr r="J300" s="11"/>
        <tr r="D403" s="11"/>
        <tr r="G506" s="11"/>
        <tr r="I508" s="11"/>
        <tr r="E664" s="11"/>
        <tr r="I62" s="11"/>
        <tr r="C378" s="11"/>
        <tr r="C768" s="11"/>
        <tr r="C381" s="11"/>
        <tr r="D1208" s="11"/>
        <tr r="B561" s="11"/>
        <tr r="E111" s="11"/>
        <tr r="B350" s="11"/>
        <tr r="C854" s="11"/>
        <tr r="K460" s="11"/>
        <tr r="L461" s="11"/>
        <tr r="C1239" s="11"/>
        <tr r="L465" s="11"/>
        <tr r="L1160" s="11"/>
        <tr r="B650" s="11"/>
        <tr r="L15" s="11"/>
        <tr r="J324" s="11"/>
        <tr r="C1055" s="11"/>
        <tr r="E43" s="11"/>
        <tr r="C1030" s="11"/>
        <tr r="B217" s="11"/>
        <tr r="B375" s="11"/>
        <tr r="E426" s="11"/>
        <tr r="H1068" s="11"/>
        <tr r="D400" s="11"/>
        <tr r="C738" s="11"/>
        <tr r="I395" s="11"/>
        <tr r="C294" s="11"/>
        <tr r="D830" s="11"/>
        <tr r="G413" s="11"/>
        <tr r="G719" s="11"/>
        <tr r="H728" s="11"/>
        <tr r="E278" s="11"/>
        <tr r="H1240" s="11"/>
        <tr r="L1156" s="11"/>
        <tr r="E277" s="11"/>
        <tr r="H858" s="11"/>
        <tr r="D331" s="11"/>
        <tr r="E29" s="11"/>
        <tr r="E582" s="11"/>
        <tr r="L499" s="11"/>
        <tr r="H955" s="11"/>
        <tr r="L826" s="11"/>
        <tr r="C462" s="11"/>
        <tr r="L1145" s="11"/>
        <tr r="D20" s="11"/>
        <tr r="L435" s="11"/>
        <tr r="J1133" s="11"/>
        <tr r="B668" s="11"/>
        <tr r="F412" s="11"/>
        <tr r="I801" s="11"/>
        <tr r="J374" s="11"/>
        <tr r="E1056" s="11"/>
        <tr r="I630" s="11"/>
        <tr r="C1112" s="11"/>
        <tr r="D619" s="11"/>
        <tr r="G607" s="11"/>
        <tr r="F281" s="11"/>
        <tr r="L703" s="11"/>
        <tr r="E1019" s="11"/>
        <tr r="C554" s="11"/>
        <tr r="J728" s="11"/>
        <tr r="C550" s="11"/>
        <tr r="B799" s="11"/>
        <tr r="J9" s="3"/>
        <tr r="J9" s="3"/>
        <tr r="J9" s="3"/>
        <tr r="E769" s="11"/>
        <tr r="L991" s="11"/>
        <tr r="J945" s="11"/>
        <tr r="H607" s="11"/>
        <tr r="G578" s="11"/>
        <tr r="F1024" s="11"/>
        <tr r="D1228" s="11"/>
        <tr r="D271" s="11"/>
        <tr r="H375" s="11"/>
        <tr r="B346" s="11"/>
        <tr r="H364" s="11"/>
        <tr r="B394" s="11"/>
        <tr r="L1210" s="11"/>
        <tr r="L227" s="11"/>
        <tr r="H321" s="11"/>
        <tr r="H1119" s="11"/>
        <tr r="H1099" s="11"/>
        <tr r="L414" s="11"/>
        <tr r="L477" s="11"/>
        <tr r="D940" s="11"/>
        <tr r="L1009" s="11"/>
        <tr r="E64" s="11"/>
        <tr r="G427" s="11"/>
        <tr r="H935" s="11"/>
        <tr r="J305" s="11"/>
        <tr r="I145" s="11"/>
        <tr r="K1029" s="11"/>
        <tr r="H298" s="11"/>
        <tr r="G368" s="11"/>
        <tr r="E461" s="11"/>
        <tr r="H769" s="11"/>
        <tr r="C760" s="11"/>
        <tr r="K1194" s="11"/>
        <tr r="K282" s="11"/>
        <tr r="J27" s="11"/>
        <tr r="K1224" s="11"/>
        <tr r="H1020" s="11"/>
        <tr r="F1275" s="11"/>
        <tr r="D804" s="11"/>
        <tr r="K804" s="11"/>
        <tr r="H354" s="11"/>
        <tr r="L906" s="11"/>
        <tr r="H346" s="11"/>
        <tr r="G988" s="11"/>
        <tr r="F390" s="11"/>
        <tr r="L383" s="11"/>
        <tr r="H314" s="11"/>
        <tr r="H767" s="11"/>
        <tr r="H760" s="11"/>
        <tr r="H443" s="11"/>
        <tr r="G559" s="11"/>
        <tr r="D251" s="11"/>
        <tr r="L350" s="11"/>
        <tr r="B219" s="11"/>
        <tr r="D902" s="11"/>
        <tr r="B363" s="11"/>
        <tr r="D1262" s="11"/>
        <tr r="H377" s="11"/>
        <tr r="B670" s="11"/>
        <tr r="D878" s="11"/>
        <tr r="C976" s="11"/>
        <tr r="K831" s="11"/>
        <tr r="D1114" s="11"/>
        <tr r="I198" s="11"/>
        <tr r="B1274" s="11"/>
        <tr r="L1071" s="11"/>
        <tr r="H1217" s="11"/>
        <tr r="G402" s="11"/>
        <tr r="D1035" s="11"/>
        <tr r="I316" s="11"/>
        <tr r="H564" s="11"/>
        <tr r="C1050" s="11"/>
        <tr r="E53" s="11"/>
        <tr r="H419" s="11"/>
        <tr r="C323" s="11"/>
        <tr r="E425" s="11"/>
        <tr r="K1214" s="11"/>
        <tr r="D416" s="11"/>
        <tr r="B511" s="11"/>
        <tr r="C733" s="11"/>
        <tr r="D398" s="11"/>
        <tr r="G458" s="11"/>
        <tr r="K971" s="11"/>
        <tr r="F703" s="11"/>
        <tr r="K379" s="11"/>
        <tr r="K445" s="11"/>
        <tr r="L1121" s="11"/>
        <tr r="K399" s="11"/>
        <tr r="L245" s="11"/>
        <tr r="C509" s="11"/>
        <tr r="H853" s="11"/>
        <tr r="L746" s="11"/>
        <tr r="H506" s="11"/>
        <tr r="F527" s="11"/>
        <tr r="J255" s="11"/>
        <tr r="J428" s="11"/>
        <tr r="E144" s="11"/>
        <tr r="L312" s="11"/>
        <tr r="L1135" s="11"/>
        <tr r="I52" s="11"/>
        <tr r="J660" s="11"/>
        <tr r="E545" s="11"/>
        <tr r="L384" s="11"/>
        <tr r="H589" s="11"/>
        <tr r="I1233" s="11"/>
        <tr r="I554" s="11"/>
        <tr r="L448" s="11"/>
        <tr r="I908" s="11"/>
        <tr r="F927" s="11"/>
        <tr r="J524" s="11"/>
        <tr r="J661" s="11"/>
        <tr r="C705" s="11"/>
        <tr r="E419" s="11"/>
        <tr r="F760" s="11"/>
        <tr r="L836" s="11"/>
        <tr r="D529" s="11"/>
        <tr r="L870" s="11"/>
        <tr r="G649" s="11"/>
        <tr r="B436" s="11"/>
        <tr r="E410" s="11"/>
        <tr r="B680" s="11"/>
        <tr r="L599" s="11"/>
        <tr r="L631" s="11"/>
        <tr r="J655" s="11"/>
        <tr r="I1111" s="11"/>
        <tr r="C376" s="11"/>
        <tr r="L370" s="11"/>
        <tr r="I447" s="11"/>
        <tr r="G595" s="11"/>
        <tr r="J448" s="11"/>
        <tr r="K1225" s="11"/>
        <tr r="D1246" s="11"/>
        <tr r="D956" s="11"/>
        <tr r="C451" s="11"/>
        <tr r="I348" s="11"/>
        <tr r="I352" s="11"/>
        <tr r="G521" s="11"/>
        <tr r="E350" s="11"/>
        <tr r="C729" s="11"/>
        <tr r="F243" s="11"/>
        <tr r="L385" s="11"/>
        <tr r="D147" s="11"/>
        <tr r="C1011" s="11"/>
        <tr r="E139" s="11"/>
        <tr r="C982" s="11"/>
        <tr r="D310" s="11"/>
        <tr r="C561" s="11"/>
        <tr r="J23" s="11"/>
        <tr r="K5" s="11"/>
        <tr r="B551" s="11"/>
        <tr r="D829" s="11"/>
        <tr r="L398" s="11"/>
        <tr r="L867" s="11"/>
        <tr r="D74" s="11"/>
        <tr r="H855" s="11"/>
        <tr r="L1189" s="11"/>
        <tr r="E135" s="11"/>
        <tr r="H773" s="11"/>
        <tr r="B354" s="11"/>
        <tr r="L833" s="11"/>
        <tr r="B440" s="11"/>
        <tr r="L825" s="11"/>
        <tr r="L1256" s="11"/>
        <tr r="D932" s="11"/>
        <tr r="D300" s="11"/>
        <tr r="L793" s="11"/>
        <tr r="E488" s="11"/>
        <tr r="G491" s="11"/>
        <tr r="K644" s="11"/>
        <tr r="K490" s="11"/>
        <tr r="K1150" s="11"/>
        <tr r="F307" s="11"/>
        <tr r="J511" s="11"/>
        <tr r="B361" s="11"/>
        <tr r="L1253" s="11"/>
        <tr r="H243" s="11"/>
        <tr r="C817" s="11"/>
        <tr r="K818" s="11"/>
        <tr r="F1235" s="11"/>
        <tr r="E137" s="11"/>
        <tr r="J1276" s="11"/>
        <tr r="L297" s="11"/>
        <tr r="M19" s="8"/>
        <tr r="M19" s="8"/>
        <tr r="M19" s="8"/>
        <tr r="G850" s="11"/>
        <tr r="C790" s="11"/>
        <tr r="D1039" s="11"/>
        <tr r="L249" s="11"/>
        <tr r="H1199" s="11"/>
        <tr r="J543" s="11"/>
        <tr r="K943" s="11"/>
        <tr r="I122" s="11"/>
        <tr r="D484" s="11"/>
        <tr r="G534" s="11"/>
        <tr r="C318" s="11"/>
        <tr r="B427" s="11"/>
        <tr r="H467" s="11"/>
        <tr r="D488" s="11"/>
        <tr r="K285" s="11"/>
        <tr r="B242" s="11"/>
        <tr r="H546" s="11"/>
        <tr r="J978" s="11"/>
        <tr r="K966" s="11"/>
        <tr r="J748" s="11"/>
        <tr r="C518" s="11"/>
        <tr r="E792" s="11"/>
        <tr r="K263" s="11"/>
        <tr r="B457" s="11"/>
        <tr r="H653" s="11"/>
        <tr r="J319" s="11"/>
        <tr r="I435" s="11"/>
        <tr r="E184" s="11"/>
        <tr r="J366" s="11"/>
        <tr r="H1067" s="11"/>
        <tr r="J375" s="11"/>
        <tr r="I499" s="11"/>
        <tr r="I614" s="11"/>
        <tr r="L475" s="11"/>
        <tr r="E464" s="11"/>
        <tr r="B267" s="11"/>
        <tr r="E669" s="11"/>
        <tr r="G428" s="11"/>
        <tr r="I1074" s="11"/>
        <tr r="F783" s="11"/>
        <tr r="L765" s="11"/>
        <tr r="K455" s="11"/>
        <tr r="G629" s="11"/>
        <tr r="C1073" s="11"/>
        <tr r="B617" s="11"/>
        <tr r="D508" s="11"/>
        <tr r="L612" s="11"/>
        <tr r="H398" s="11"/>
        <tr r="D618" s="11"/>
        <tr r="E762" s="11"/>
        <tr r="H555" s="11"/>
        <tr r="I727" s="11"/>
        <tr r="H551" s="11"/>
        <tr r="F786" s="11"/>
        <tr r="E603" s="11"/>
        <tr r="I729" s="11"/>
        <tr r="E1186" s="11"/>
        <tr r="I1244" s="11"/>
        <tr r="D636" s="11"/>
        <tr r="I678" s="11"/>
        <tr r="D6" s="3"/>
        <tr r="D6" s="3"/>
        <tr r="D6" s="3"/>
        <tr r="H1154" s="11"/>
        <tr r="D357" s="11"/>
        <tr r="K225" s="11"/>
        <tr r="G926" s="11"/>
        <tr r="G1211" s="11"/>
        <tr r="L479" s="11"/>
        <tr r="J287" s="11"/>
        <tr r="E436" s="11"/>
        <tr r="J565" s="11"/>
        <tr r="K801" s="11"/>
        <tr r="E214" s="11"/>
        <tr r="F587" s="11"/>
        <tr r="C295" s="11"/>
        <tr r="L592" s="11"/>
        <tr r="D282" s="11"/>
        <tr r="C1044" s="11"/>
        <tr r="C283" s="11"/>
        <tr r="L608" s="11"/>
        <tr r="D914" s="11"/>
        <tr r="L1091" s="11"/>
        <tr r="E46" s="11"/>
        <tr r="L519" s="11"/>
        <tr r="H1048" s="11"/>
        <tr r="K417" s="11"/>
        <tr r="E642" s="11"/>
        <tr r="F359" s="11"/>
        <tr r="C1006" s="11"/>
        <tr r="E149" s="11"/>
        <tr r="E424" s="11"/>
        <tr r="D334" s="11"/>
        <tr r="J41" s="11"/>
        <tr r="G985" s="11"/>
        <tr r="L246" s="11"/>
        <tr r="K891" s="11"/>
        <tr r="H271" s="11"/>
        <tr r="H1098" s="11"/>
        <tr r="G376" s="11"/>
        <tr r="G989" s="11"/>
        <tr r="C460" s="11"/>
        <tr r="E12" s="11"/>
        <tr r="F1254" s="11"/>
        <tr r="C1054" s="11"/>
        <tr r="E427" s="11"/>
        <tr r="I537" s="11"/>
        <tr r="K833" s="11"/>
        <tr r="B540" s="11"/>
        <tr r="J393" s="11"/>
        <tr r="C727" s="11"/>
        <tr r="K821" s="11"/>
        <tr r="C553" s="11"/>
        <tr r="D287" s="11"/>
        <tr r="L883" s="11"/>
        <tr r="E206" s="11"/>
        <tr r="E753" s="11"/>
        <tr r="H922" s="11"/>
        <tr r="G446" s="11"/>
        <tr r="B265" s="11"/>
        <tr r="D527" s="11"/>
        <tr r="F889" s="11"/>
        <tr r="J395" s="11"/>
        <tr r="F1236" s="11"/>
        <tr r="H822" s="11"/>
        <tr r="C265" s="11"/>
        <tr r="K1170" s="11"/>
        <tr r="G355" s="11"/>
        <tr r="H1224" s="11"/>
        <tr r="H1216" s="11"/>
        <tr r="H1095" s="11"/>
        <tr r="H1274" s="11"/>
        <tr r="H1212" s="11"/>
        <tr r="B461" s="11"/>
        <tr r="L1124" s="11"/>
        <tr r="D327" s="11"/>
        <tr r="H1012" s="11"/>
        <tr r="B295" s="11"/>
        <tr r="I49" s="11"/>
        <tr r="H1271" s="11"/>
        <tr r="B258" s="11"/>
        <tr r="C581" s="11"/>
        <tr r="L1261" s="11"/>
        <tr r="D12" s="11"/>
        <tr r="L1169" s="11"/>
        <tr r="B359" s="11"/>
        <tr r="H397" s="11"/>
        <tr r="H965" s="11"/>
        <tr r="B322" s="11"/>
        <tr r="I1096" s="11"/>
        <tr r="J330" s="11"/>
        <tr r="L505" s="11"/>
        <tr r="H1251" s="11"/>
        <tr r="D1112" s="11"/>
        <tr r="H861" s="11"/>
        <tr r="E504" s="11"/>
        <tr r="G517" s="11"/>
        <tr r="G671" s="11"/>
        <tr r="D429" s="11"/>
        <tr r="E50" s="11"/>
        <tr r="H960" s="11"/>
        <tr r="D726" s="11"/>
        <tr r="L908" s="11"/>
        <tr r="I56" s="11"/>
        <tr r="H25" s="11"/>
        <tr r="L1080" s="11"/>
        <tr r="F799" s="11"/>
        <tr r="F265" s="11"/>
        <tr r="J647" s="11"/>
        <tr r="E1080" s="11"/>
        <tr r="C567" s="11"/>
        <tr r="E43" s="3"/>
        <tr r="E43" s="3"/>
        <tr r="E43" s="3"/>
        <tr r="G448" s="11"/>
        <tr r="C618" s="11"/>
        <tr r="C445" s="11"/>
        <tr r="B871" s="11"/>
        <tr r="C457" s="11"/>
        <tr r="C591" s="11"/>
        <tr r="B488" s="11"/>
        <tr r="L840" s="11"/>
        <tr r="J736" s="11"/>
        <tr r="I926" s="11"/>
        <tr r="F715" s="11"/>
        <tr r="L516" s="11"/>
        <tr r="I433" s="11"/>
        <tr r="E678" s="11"/>
        <tr r="D670" s="11"/>
        <tr r="B868" s="11"/>
        <tr r="J1010" s="11"/>
        <tr r="I695" s="11"/>
        <tr r="B669" s="11"/>
        <tr r="K1217" s="11"/>
        <tr r="D793" s="11"/>
        <tr r="G755" s="11"/>
        <tr r="C968" s="11"/>
        <tr r="C1149" s="11"/>
        <tr r="E345" s="11"/>
        <tr r="G233" s="11"/>
        <tr r="H326" s="11"/>
        <tr r="L805" s="11"/>
        <tr r="L548" s="11"/>
        <tr r="K367" s="11"/>
        <tr r="B374" s="11"/>
        <tr r="L437" s="11"/>
        <tr r="D1278" s="11"/>
        <tr r="I70" s="11"/>
        <tr r="C395" s="11"/>
        <tr r="D18" s="10"/>
        <tr r="D18" s="10"/>
        <tr r="D18" s="10"/>
        <tr r="J82" s="11"/>
        <tr r="C285" s="11"/>
        <tr r="D18" s="11"/>
        <tr r="H345" s="11"/>
        <tr r="C1163" s="11"/>
        <tr r="C721" s="11"/>
        <tr r="E361" s="11"/>
        <tr r="E23" s="11"/>
        <tr r="D1285" s="11"/>
        <tr r="J124" s="11"/>
        <tr r="B570" s="11"/>
        <tr r="K965" s="11"/>
        <tr r="D153" s="11"/>
        <tr r="H249" s="11"/>
        <tr r="C987" s="11"/>
        <tr r="K1158" s="11"/>
        <tr r="K404" s="11"/>
        <tr r="G1186" s="11"/>
        <tr r="K230" s="11"/>
        <tr r="D1013" s="11"/>
        <tr r="D312" s="11"/>
        <tr r="E100" s="11"/>
        <tr r="K266" s="11"/>
        <tr r="K722" s="11"/>
        <tr r="D1024" s="11"/>
        <tr r="H339" s="11"/>
        <tr r="B426" s="11"/>
        <tr r="F1228" s="11"/>
        <tr r="J113" s="11"/>
        <tr r="D721" s="11"/>
        <tr r="F1284" s="11"/>
        <tr r="F1216" s="11"/>
        <tr r="K342" s="11"/>
        <tr r="K286" s="11"/>
        <tr r="G820" s="11"/>
        <tr r="G1005" s="11"/>
        <tr r="D77" s="11"/>
        <tr r="H1244" s="11"/>
        <tr r="F454" s="11"/>
        <tr r="C886" s="11"/>
        <tr r="D111" s="11"/>
        <tr r="L317" s="11"/>
        <tr r="B552" s="11"/>
        <tr r="C1125" s="11"/>
        <tr r="F1286" s="11"/>
        <tr r="G1041" s="11"/>
        <tr r="J89" s="11"/>
        <tr r="J1194" s="11"/>
        <tr r="F1041" s="11"/>
        <tr r="C980" s="11"/>
        <tr r="D739" s="11"/>
        <tr r="E215" s="11"/>
        <tr r="J180" s="11"/>
        <tr r="C221" s="11"/>
        <tr r="H768" s="11"/>
        <tr r="D814" s="11"/>
        <tr r="D986" s="11"/>
        <tr r="K779" s="11"/>
        <tr r="F222" s="11"/>
        <tr r="D122" s="11"/>
        <tr r="D381" s="11"/>
        <tr r="J1210" s="11"/>
        <tr r="C1057" s="11"/>
        <tr r="F1227" s="11"/>
        <tr r="K928" s="11"/>
        <tr r="E263" s="11"/>
        <tr r="C947" s="11"/>
        <tr r="E193" s="11"/>
        <tr r="K1182" s="11"/>
        <tr r="E133" s="11"/>
        <tr r="I129" s="11"/>
        <tr r="J1057" s="11"/>
        <tr r="C868" s="11"/>
        <tr r="G1249" s="11"/>
        <tr r="J1273" s="11"/>
        <tr r="K438" s="11"/>
        <tr r="C875" s="11"/>
        <tr r="I264" s="11"/>
        <tr r="K1023" s="11"/>
        <tr r="J401" s="11"/>
        <tr r="B400" s="11"/>
        <tr r="D262" s="11"/>
        <tr r="D54" s="11"/>
        <tr r="C996" s="11"/>
        <tr r="K1011" s="11"/>
        <tr r="L639" s="11"/>
        <tr r="J108" s="11"/>
        <tr r="H1017" s="11"/>
        <tr r="D240" s="11"/>
        <tr r="D1080" s="11"/>
        <tr r="L237" s="11"/>
        <tr r="D214" s="11"/>
        <tr r="B1052" s="11"/>
        <tr r="C357" s="11"/>
        <tr r="D970" s="11"/>
        <tr r="G956" s="11"/>
        <tr r="L1065" s="11"/>
        <tr r="J203" s="11"/>
        <tr r="D1107" s="11"/>
        <tr r="G1228" s="11"/>
        <tr r="D860" s="11"/>
        <tr r="C368" s="11"/>
        <tr r="H1061" s="11"/>
        <tr r="D395" s="11"/>
        <tr r="D276" s="11"/>
        <tr r="K260" s="11"/>
        <tr r="K359" s="11"/>
        <tr r="E519" s="11"/>
        <tr r="J741" s="11"/>
        <tr r="J24" s="11"/>
        <tr r="H1260" s="11"/>
        <tr r="J51" s="11"/>
        <tr r="K226" s="11"/>
        <tr r="D1104" s="11"/>
        <tr r="K766" s="11"/>
        <tr r="H735" s="11"/>
        <tr r="C882" s="11"/>
        <tr r="C877" s="11"/>
        <tr r="I210" s="11"/>
        <tr r="I330" s="11"/>
        <tr r="E287" s="11"/>
        <tr r="E291" s="11"/>
        <tr r="J504" s="11"/>
        <tr r="J290" s="11"/>
        <tr r="C821" s="11"/>
        <tr r="E440" s="11"/>
        <tr r="J757" s="11"/>
        <tr r="G1026" s="11"/>
        <tr r="J571" s="11"/>
        <tr r="F559" s="11"/>
        <tr r="C755" s="11"/>
        <tr r="I360" s="11"/>
        <tr r="K861" s="11"/>
        <tr r="H742" s="11"/>
        <tr r="F511" s="11"/>
        <tr r="J149" s="11"/>
        <tr r="K989" s="11"/>
        <tr r="G929" s="11"/>
        <tr r="J183" s="11"/>
        <tr r="G1208" s="11"/>
        <tr r="C348" s="11"/>
        <tr r="B403" s="11"/>
        <tr r="K765" s="11"/>
        <tr r="L1244" s="11"/>
        <tr r="B623" s="11"/>
        <tr r="K973" s="11"/>
        <tr r="J175" s="11"/>
        <tr r="C276" s="11"/>
        <tr r="H1183" s="11"/>
        <tr r="F1205" s="11"/>
        <tr r="G994" s="11"/>
        <tr r="H800" s="11"/>
        <tr r="D52" s="11"/>
        <tr r="C1201" s="11"/>
        <tr r="I278" s="11"/>
        <tr r="K815" s="11"/>
        <tr r="F1261" s="11"/>
        <tr r="K940" s="11"/>
        <tr r="C345" s="11"/>
        <tr r="G826" s="11"/>
        <tr r="E311" s="11"/>
        <tr r="J107" s="11"/>
        <tr r="C1049" s="11"/>
        <tr r="G283" s="11"/>
        <tr r="C799" s="11"/>
        <tr r="H805" s="11"/>
        <tr r="D1067" s="11"/>
        <tr r="K769" s="11"/>
        <tr r="E165" s="11"/>
        <tr r="G453" s="11"/>
        <tr r="J152" s="11"/>
        <tr r="I386" s="11"/>
        <tr r="G350" s="11"/>
        <tr r="D1180" s="11"/>
        <tr r="B1291" s="11"/>
        <tr r="J36" s="11"/>
        <tr r="G1125" s="11"/>
        <tr r="C723" s="11"/>
        <tr r="D180" s="11"/>
        <tr r="J1277" s="11"/>
        <tr r="B1209" s="11"/>
        <tr r="H1034" s="11"/>
        <tr r="L1183" s="11"/>
        <tr r="C322" s="11"/>
        <tr r="K270" s="11"/>
        <tr r="H901" s="11"/>
        <tr r="F863" s="11"/>
        <tr r="C780" s="11"/>
        <tr r="D201" s="11"/>
        <tr r="J566" s="11"/>
        <tr r="C724" s="11"/>
        <tr r="G1154" s="11"/>
        <tr r="J1195" s="11"/>
        <tr r="D578" s="11"/>
        <tr r="C819" s="11"/>
        <tr r="B309" s="11"/>
        <tr r="K946" s="11"/>
        <tr r="L483" s="11"/>
        <tr r="D482" s="11"/>
        <tr r="J189" s="11"/>
        <tr r="K1230" s="11"/>
        <tr r="G1015" s="11"/>
        <tr r="J560" s="11"/>
        <tr r="F569" s="11"/>
        <tr r="C747" s="11"/>
        <tr r="J367" s="11"/>
        <tr r="K849" s="11"/>
        <tr r="H914" s="11"/>
        <tr r="K523" s="11"/>
        <tr r="C341" s="11"/>
        <tr r="J1224" s="11"/>
        <tr r="C739" s="11"/>
        <tr r="K288" s="11"/>
        <tr r="J46" s="11"/>
        <tr r="F1208" s="11"/>
        <tr r="H867" s="11"/>
        <tr r="D124" s="11"/>
        <tr r="D15" s="11"/>
        <tr r="B227" s="11"/>
        <tr r="C281" s="11"/>
        <tr r="F1282" s="11"/>
        <tr r="K1138" s="11"/>
        <tr r="C1168" s="11"/>
        <tr r="G870" s="11"/>
        <tr r="E199" s="11"/>
        <tr r="J139" s="11"/>
        <tr r="D825" s="11"/>
        <tr r="G1179" s="11"/>
        <tr r="D796" s="11"/>
        <tr r="C304" s="11"/>
        <tr r="H989" s="11"/>
        <tr r="B419" s="11"/>
        <tr r="D17" s="11"/>
        <tr r="H1278" s="11"/>
        <tr r="H1115" s="11"/>
        <tr r="J642" s="11"/>
        <tr r="H1043" s="11"/>
        <tr r="B1208" s="11"/>
        <tr r="H911" s="11"/>
        <tr r="B1233" s="11"/>
        <tr r="H986" s="11"/>
        <tr r="D985" s="11"/>
        <tr r="H1222" s="11"/>
        <tr r="E319" s="11"/>
        <tr r="C291" s="11"/>
        <tr r="C286" s="11"/>
        <tr r="E264" s="11"/>
        <tr r="E381" s="11"/>
        <tr r="J437" s="11"/>
        <tr r="G439" s="11"/>
        <tr r="H593" s="11"/>
        <tr r="J438" s="11"/>
        <tr r="K1180" s="11"/>
        <tr r="C471" s="11"/>
        <tr r="L1056" s="11"/>
        <tr r="G853" s="11"/>
        <tr r="J127" s="11"/>
        <tr r="G1131" s="11"/>
        <tr r="C292" s="11"/>
        <tr r="H424" s="11"/>
        <tr r="K352" s="11"/>
        <tr r="L1001" s="11"/>
        <tr r="K581" s="11"/>
        <tr r="J61" s="11"/>
        <tr r="K314" s="11"/>
        <tr r="G757" s="11"/>
        <tr r="J55" s="11"/>
        <tr r="G1017" s="11"/>
        <tr r="C220" s="11"/>
        <tr r="K450" s="11"/>
        <tr r="K256" s="11"/>
        <tr r="L374" s="11"/>
        <tr r="F792" s="11"/>
        <tr r="H1081" s="11"/>
        <tr r="B1222" s="11"/>
        <tr r="K956" s="11"/>
        <tr r="H783" s="11"/>
        <tr r="D346" s="11"/>
        <tr r="D1240" s="11"/>
        <tr r="H313" s="11"/>
        <tr r="C1047" s="11"/>
        <tr r="C290" s="11"/>
        <tr r="J381" s="11"/>
        <tr r="H1079" s="11"/>
        <tr r="F1184" s="11"/>
        <tr r="K346" s="11"/>
        <tr r="K254" s="11"/>
        <tr r="G741" s="11"/>
        <tr r="C448" s="11"/>
        <tr r="J43" s="11"/>
        <tr r="C796" s="11"/>
        <tr r="D1276" s="11"/>
        <tr r="C735" s="11"/>
        <tr r="H720" s="11"/>
        <tr r="D964" s="11"/>
        <tr r="K304" s="11"/>
        <tr r="K442" s="11"/>
        <tr r="I659" s="11"/>
        <tr r="J72" s="11"/>
        <tr r="J519" s="11"/>
        <tr r="D1006" s="11"/>
        <tr r="D1090" s="11"/>
        <tr r="H869" s="11"/>
        <tr r="G219" s="11"/>
        <tr r="C1180" s="11"/>
        <tr r="K726" s="11"/>
        <tr r="L831" s="11"/>
        <tr r="D1028" s="11"/>
        <tr r="C359" s="11"/>
        <tr r="G381" s="11"/>
        <tr r="I168" s="11"/>
        <tr r="D504" s="11"/>
        <tr r="G356" s="11"/>
        <tr r="D1217" s="11"/>
        <tr r="D1181" s="11"/>
        <tr r="D1291" s="11"/>
        <tr r="G884" s="11"/>
        <tr r="C1150" s="11"/>
        <tr r="D348" s="11"/>
        <tr r="I1184" s="11"/>
        <tr r="L471" s="11"/>
        <tr r="I472" s="11"/>
        <tr r="J626" s="11"/>
        <tr r="L472" s="11"/>
        <tr r="K1132" s="11"/>
        <tr r="I297" s="11"/>
        <tr r="H402" s="11"/>
        <tr r="B479" s="11"/>
        <tr r="L921" s="11"/>
        <tr r="L875" s="11"/>
        <tr r="G589" s="11"/>
        <tr r="K486" s="11"/>
        <tr r="L1218" s="11"/>
        <tr r="K1172" s="11"/>
        <tr r="C1129" s="11"/>
        <tr r="J285" s="11"/>
        <tr r="E183" s="11"/>
        <tr r="D1129" s="11"/>
        <tr r="J92" s="11"/>
        <tr r="F1230" s="11"/>
        <tr r="K835" s="11"/>
        <tr r="D121" s="11"/>
        <tr r="L1231" s="11"/>
        <tr r="C942" s="11"/>
        <tr r="K937" s="11"/>
        <tr r="E415" s="11"/>
        <tr r="G1149" s="11"/>
        <tr r="H1065" s="11"/>
        <tr r="D938" s="11"/>
        <tr r="D248" s="11"/>
        <tr r="J221" s="11"/>
        <tr r="H1026" s="11"/>
        <tr r="K353" s="11"/>
        <tr r="D992" s="11"/>
        <tr r="H285" s="11"/>
        <tr r="G438" s="11"/>
        <tr r="F393" s="11"/>
        <tr r="J97" s="11"/>
        <tr r="D342" s="11"/>
        <tr r="F1206" s="11"/>
        <tr r="F1043" s="11"/>
        <tr r="K278" s="11"/>
        <tr r="J1267" s="11"/>
        <tr r="G798" s="11"/>
        <tr r="J379" s="11"/>
        <tr r="D1057" s="11"/>
        <tr r="C911" s="11"/>
        <tr r="H1256" s="11"/>
        <tr r="E235" s="11"/>
        <tr r="D799" s="11"/>
        <tr r="K963" s="11"/>
        <tr r="D47" s="11"/>
        <tr r="I407" s="11"/>
        <tr r="B464" s="11"/>
        <tr r="J1234" s="11"/>
        <tr r="C977" s="11"/>
        <tr r="J1203" s="11"/>
        <tr r="C1171" s="11"/>
        <tr r="G259" s="11"/>
        <tr r="C823" s="11"/>
        <tr r="K1207" s="11"/>
        <tr r="L276" s="11"/>
        <tr r="D842" s="11"/>
        <tr r="L965" s="11"/>
        <tr r="E86" s="11"/>
        <tr r="F633" s="11"/>
        <tr r="H999" s="11"/>
        <tr r="J424" s="11"/>
        <tr r="J492" s="11"/>
        <tr r="D818" s="11"/>
        <tr r="J276" s="11"/>
        <tr r="L496" s="11"/>
        <tr r="C379" s="11"/>
        <tr r="H349" s="11"/>
        <tr r="H991" s="11"/>
        <tr r="K425" s="11"/>
        <tr r="L494" s="11"/>
        <tr r="J1287" s="11"/>
        <tr r="B1200" s="11"/>
        <tr r="C784" s="11"/>
        <tr r="D1258" s="11"/>
        <tr r="G1153" s="11"/>
        <tr r="H836" s="11"/>
        <tr r="D1286" s="11"/>
        <tr r="C1153" s="11"/>
        <tr r="K381" s="11"/>
        <tr r="L799" s="11"/>
        <tr r="D1020" s="11"/>
        <tr r="C367" s="11"/>
        <tr r="H333" s="11"/>
        <tr r="H959" s="11"/>
        <tr r="D428" s="11"/>
        <tr r="I498" s="11"/>
        <tr r="C834" s="11"/>
        <tr r="H1171" s="11"/>
        <tr r="B297" s="11"/>
        <tr r="D1007" s="11"/>
        <tr r="C829" s="11"/>
        <tr r="H1166" s="11"/>
        <tr r="B301" s="11"/>
        <tr r="L1076" s="11"/>
        <tr r="F223" s="11"/>
        <tr r="D408" s="11"/>
        <tr r="L506" s="11"/>
        <tr r="E14" s="11"/>
        <tr r="F340" s="11"/>
        <tr r="G469" s="11"/>
        <tr r="I299" s="11"/>
        <tr r="J784" s="11"/>
        <tr r="F326" s="11"/>
        <tr r="D971" s="11"/>
        <tr r="C793" s="11"/>
        <tr r="H1130" s="11"/>
        <tr r="F330" s="11"/>
        <tr r="L1042" s="11"/>
        <tr r="B230" s="11"/>
        <tr r="C411" s="11"/>
        <tr r="D511" s="11"/>
        <tr r="E32" s="11"/>
        <tr r="J373" s="11"/>
        <tr r="E610" s="11"/>
        <tr r="I584" s="11"/>
        <tr r="H404" s="11"/>
        <tr r="D211" s="11"/>
        <tr r="E288" s="11"/>
        <tr r="K1216" s="11"/>
        <tr r="H1283" s="11"/>
        <tr r="E1104" s="11"/>
        <tr r="D91" s="11"/>
        <tr r="I18" s="11"/>
        <tr r="E253" s="11"/>
        <tr r="L1137" s="11"/>
        <tr r="L1127" s="11"/>
        <tr r="K465" s="11"/>
        <tr r="L1276" s="11"/>
        <tr r="D67" s="11"/>
        <tr r="K392" s="11"/>
        <tr r="B790" s="11"/>
        <tr r="D1054" s="11"/>
        <tr r="G362" s="11"/>
        <tr r="G890" s="11"/>
        <tr r="D385" s="11"/>
        <tr r="C436" s="11"/>
        <tr r="F435" s="11"/>
        <tr r="J125" s="11"/>
        <tr r="K908" s="11"/>
        <tr r="G886" s="11"/>
        <tr r="J151" s="11"/>
        <tr r="G1162" s="11"/>
        <tr r="C316" s="11"/>
        <tr r="G415" s="11"/>
        <tr r="K721" s="11"/>
        <tr r="L1093" s="11"/>
        <tr r="F835" s="11"/>
        <tr r="K795" s="11"/>
        <tr r="J111" s="11"/>
        <tr r="K1245" s="11"/>
        <tr r="H1121" s="11"/>
        <tr r="G1012" s="11"/>
        <tr r="G907" s="11"/>
        <tr r="H757" s="11"/>
        <tr r="C1242" s="11"/>
        <tr r="C1010" s="11"/>
        <tr r="F304" s="11"/>
        <tr r="K318" s="11"/>
        <tr r="F1243" s="11"/>
        <tr r="K876" s="11"/>
        <tr r="K1228" s="11"/>
        <tr r="G805" s="11"/>
        <tr r="J363" s="11"/>
        <tr r="J91" s="11"/>
        <tr r="D318" s="11"/>
        <tr r="G1049" s="11"/>
        <tr r="D748" s="11"/>
        <tr r="C256" s="11"/>
        <tr r="H907" s="11"/>
        <tr r="D437" s="11"/>
        <tr r="D176" s="11"/>
        <tr r="H1198" s="11"/>
        <tr r="H841" s="11"/>
        <tr r="L869" s="11"/>
        <tr r="H791" s="11"/>
        <tr r="B1043" s="11"/>
        <tr r="H299" s="11"/>
        <tr r="B1054" s="11"/>
        <tr r="H357" s="11"/>
        <tr r="D911" s="11"/>
        <tr r="H1093" s="11"/>
        <tr r="D1284" s="11"/>
        <tr r="K1174" s="11"/>
        <tr r="K1146" s="11"/>
        <tr r="F303" s="11"/>
        <tr r="F404" s="11"/>
        <tr r="C522" s="11"/>
        <tr r="B529" s="11"/>
        <tr r="I681" s="11"/>
        <tr r="C526" s="11"/>
        <tr r="K844" s="11"/>
        <tr r="K497" s="11"/>
        <tr r="I227" s="11"/>
        <tr r="K918" s="11"/>
        <tr r="H534" s="11"/>
        <tr r="G541" s="11"/>
        <tr r="C693" s="11"/>
        <tr r="H538" s="11"/>
        <tr r="G840" s="11"/>
        <tr r="G1132" s="11"/>
        <tr r="H856" s="11"/>
        <tr r="J1192" s="11"/>
        <tr r="G254" s="11"/>
        <tr r="F1220" s="11"/>
        <tr r="D969" s="11"/>
        <tr r="C791" s="11"/>
        <tr r="H1128" s="11"/>
        <tr r="E331" s="11"/>
        <tr r="D364" s="11"/>
        <tr r="K910" s="11"/>
        <tr r="E586" s="11"/>
        <tr r="D594" s="11"/>
        <tr r="J764" s="11"/>
        <tr r="E590" s="11"/>
        <tr r="K1211" s="11"/>
        <tr r="H842" s="11"/>
        <tr r="D465" s="11"/>
        <tr r="D351" s="11"/>
        <tr r="K1206" s="11"/>
        <tr r="H837" s="11"/>
        <tr r="L467" s="11"/>
        <tr r="L766" s="11"/>
        <tr r="F287" s="11"/>
        <tr r="K437" s="11"/>
        <tr r="B620" s="11"/>
        <tr r="E174" s="11"/>
        <tr r="G396" s="11"/>
        <tr r="H526" s="11"/>
        <tr r="D466" s="11"/>
        <tr r="E38" s="3"/>
        <tr r="E38" s="3"/>
        <tr r="E38" s="3"/>
        <tr r="K478" s="11"/>
        <tr r="D315" s="11"/>
        <tr r="K1135" s="11"/>
        <tr r="H797" s="11"/>
        <tr r="H480" s="11"/>
        <tr r="L730" s="11"/>
        <tr r="B294" s="11"/>
        <tr r="J440" s="11"/>
        <tr r="I633" s="11"/>
        <tr r="E192" s="11"/>
        <tr r="H418" s="11"/>
        <tr r="J226" s="11"/>
        <tr r="E566" s="11"/>
        <tr r="F735" s="11"/>
        <tr r="K780" s="11"/>
        <tr r="D740" s="11"/>
        <tr r="L1265" s="11"/>
        <tr r="K921" s="11"/>
        <tr r="K280" s="11"/>
        <tr r="K275" s="11"/>
        <tr r="K389" s="11"/>
        <tr r="E447" s="11"/>
        <tr r="D1134" s="11"/>
        <tr r="L1217" s="11"/>
        <tr r="L325" s="11"/>
        <tr r="E613" s="11"/>
        <tr r="H995" s="11"/>
        <tr r="E210" s="11"/>
        <tr r="J634" s="11"/>
        <tr r="D1199" s="11"/>
        <tr r="D1257" s="11"/>
        <tr r="G335" s="11"/>
        <tr r="K1223" s="11"/>
        <tr r="E372" s="11"/>
        <tr r="G964" s="11"/>
        <tr r="F567" s="11"/>
        <tr r="J150" s="11"/>
        <tr r="K1163" s="11"/>
        <tr r="G966" s="11"/>
        <tr r="D1184" s="11"/>
        <tr r="K305" s="11"/>
        <tr r="D918" s="11"/>
        <tr r="L1257" s="11"/>
        <tr r="I455" s="11"/>
        <tr r="H775" s="11"/>
        <tr r="J148" s="11"/>
        <tr r="K1130" s="11"/>
        <tr r="L1179" s="11"/>
        <tr r="H878" s="11"/>
        <tr r="B1259" s="11"/>
        <tr r="C891" s="11"/>
        <tr r="J303" s="11"/>
        <tr r="K959" s="11"/>
        <tr r="G471" s="11"/>
        <tr r="J470" s="11"/>
        <tr r="F410" s="11"/>
        <tr r="G893" s="11"/>
        <tr r="E63" s="11"/>
        <tr r="J96" s="11"/>
        <tr r="D338" s="11"/>
        <tr r="F1255" s="11"/>
        <tr r="F1209" s="11"/>
        <tr r="K851" s="11"/>
        <tr r="G731" s="11"/>
        <tr r="D125" s="11"/>
        <tr r="K903" s="11"/>
        <tr r="L1247" s="11"/>
        <tr r="D1196" s="11"/>
        <tr r="C950" s="11"/>
        <tr r="L1291" s="11"/>
        <tr r="L1092" s="11"/>
        <tr r="L396" s="11"/>
        <tr r="J42" s="11"/>
        <tr r="G881" s="11"/>
        <tr r="B1227" s="11"/>
        <tr r="G917" s="11"/>
        <tr r="G1146" s="11"/>
        <tr r="D165" s="11"/>
        <tr r="F486" s="11"/>
        <tr r="I120" s="11"/>
        <tr r="L1081" s="11"/>
        <tr r="L1053" s="11"/>
        <tr r="I467" s="11"/>
        <tr r="L1162" s="11"/>
        <tr r="C1225" s="11"/>
        <tr r="I68" s="11"/>
        <tr r="E273" s="11"/>
        <tr r="L1095" s="11"/>
        <tr r="F446" s="11"/>
        <tr r="I521" s="11"/>
        <tr r="B714" s="11"/>
        <tr r="H1285" s="11"/>
        <tr r="C1217" s="11"/>
        <tr r="I72" s="11"/>
        <tr r="B275" s="11"/>
        <tr r="H1125" s="11"/>
        <tr r="J1202" s="11"/>
        <tr r="G264" s="11"/>
        <tr r="J1271" s="11"/>
        <tr r="B1264" s="11"/>
        <tr r="C1021" s="11"/>
        <tr r="G932" s="11"/>
        <tr r="D313" s="11"/>
        <tr r="K1127" s="11"/>
        <tr r="H795" s="11"/>
        <tr r="I480" s="11"/>
        <tr r="D44" s="11"/>
        <tr r="H1243" s="11"/>
        <tr r="C1184" s="11"/>
        <tr r="I88" s="11"/>
        <tr r="E281" s="11"/>
        <tr r="D48" s="11"/>
        <tr r="K825" s="11"/>
        <tr r="L1205" s="11"/>
        <tr r="G313" s="11"/>
        <tr r="D43" s="11"/>
        <tr r="K820" s="11"/>
        <tr r="L1104" s="11"/>
        <tr r="H722" s="11"/>
        <tr r="I42" s="11"/>
        <tr r="F351" s="11"/>
        <tr r="G466" s="11"/>
        <tr r="L938" s="11"/>
        <tr r="B263" s="11"/>
        <tr r="C426" s="11"/>
        <tr r="L1207" s="11"/>
        <tr r="E518" s="11"/>
        <tr r="L1066" s="11"/>
        <tr r="G277" s="11"/>
        <tr r="C1241" s="11"/>
        <tr r="K784" s="11"/>
        <tr r="L1087" s="11"/>
        <tr r="H370" s="11"/>
        <tr r="I60" s="11"/>
        <tr r="B358" s="11"/>
        <tr r="F469" s="11"/>
        <tr r="L849" s="11"/>
        <tr r="I270" s="11"/>
        <tr r="L456" s="11"/>
        <tr r="D1101" s="11"/>
        <tr r="D345" s="11"/>
        <tr r="H229" s="11"/>
        <tr r="H1100" s="11"/>
        <tr r="D479" s="11"/>
        <tr r="L993" s="11"/>
        <tr r="E592" s="11"/>
        <tr r="E403" s="11"/>
        <tr r="D728" s="11"/>
        <tr r="D1029" s="11"/>
        <tr r="F429" s="11"/>
        <tr r="G1183" s="11"/>
        <tr r="K262" s="11"/>
        <tr r="D1053" s="11"/>
        <tr r="D795" s="11"/>
        <tr r="C507" s="11"/>
        <tr r="B1055" s="11"/>
        <tr r="E97" s="11"/>
        <tr r="F1217" s="11"/>
        <tr r="D397" s="11"/>
        <tr r="L1284" s="11"/>
        <tr r="G509" s="11"/>
        <tr r="E359" s="11"/>
        <tr r="D94" s="11"/>
        <tr r="F1036" s="11"/>
        <tr r="G331" s="11"/>
        <tr r="K838" s="11"/>
        <tr r="D1127" s="11"/>
        <tr r="F294" s="11"/>
        <tr r="H426" s="11"/>
        <tr r="G773" s="11"/>
        <tr r="G788" s="11"/>
        <tr r="D85" s="11"/>
        <tr r="B382" s="11"/>
        <tr r="E205" s="11"/>
        <tr r="I201" s="11"/>
        <tr r="I196" s="11"/>
        <tr r="J227" s="11"/>
        <tr r="E443" s="11"/>
        <tr r="H1135" s="11"/>
        <tr r="I200" s="11"/>
        <tr r="H860" s="11"/>
        <tr r="D1253" s="11"/>
        <tr r="B1190" s="11"/>
        <tr r="G867" s="11"/>
        <tr r="K1039" s="11"/>
        <tr r="H510" s="11"/>
        <tr r="H1127" s="11"/>
        <tr r="J216" s="11"/>
        <tr r="C1218" s="11"/>
        <tr r="L994" s="11"/>
        <tr r="C1213" s="11"/>
        <tr r="L974" s="11"/>
        <tr r="I74" s="11"/>
        <tr r="D472" s="11"/>
        <tr r="F276" s="11"/>
        <tr r="L983" s="11"/>
        <tr r="L827" s="11"/>
        <tr r="C1161" s="11"/>
        <tr r="L807" s="11"/>
        <tr r="I217" s="11"/>
        <tr r="B347" s="11"/>
        <tr r="D263" s="11"/>
        <tr r="K479" s="11"/>
        <tr r="K958" s="11"/>
        <tr r="J484" s="11"/>
        <tr r="I29" s="11"/>
        <tr r="H265" s="11"/>
        <tr r="K1167" s="11"/>
        <tr r="K328" s="11"/>
        <tr r="K323" s="11"/>
        <tr r="H383" s="11"/>
        <tr r="H442" s="11"/>
        <tr r="D1182" s="11"/>
        <tr r="H16" s="11"/>
        <tr r="L373" s="11"/>
        <tr r="C596" s="11"/>
        <tr r="H1085" s="11"/>
        <tr r="E114" s="11"/>
        <tr r="D535" s="11"/>
        <tr r="K216" s="11"/>
        <tr r="B221" s="11"/>
        <tr r="H1008" s="11"/>
        <tr r="H1003" s="11"/>
        <tr r="D424" s="11"/>
        <tr r="H492" s="11"/>
        <tr r="D774" s="11"/>
        <tr r="L894" s="11"/>
        <tr r="E120" s="11"/>
        <tr r="B538" s="11"/>
        <tr r="L1105" s="11"/>
        <tr r="D439" s="11"/>
        <tr r="E728" s="11"/>
        <tr r="E371" s="11"/>
        <tr r="H530" s="11"/>
        <tr r="B770" s="11"/>
        <tr r="H1280" s="11"/>
        <tr r="L964" s="11"/>
        <tr r="C433" s="11"/>
        <tr r="E57" s="11"/>
        <tr r="L1175" s="11"/>
        <tr r="H1057" s="11"/>
        <tr r="H1052" s="11"/>
        <tr r="E416" s="11"/>
        <tr r="L481" s="11"/>
        <tr r="D854" s="11"/>
        <tr r="L977" s="11"/>
        <tr r="E80" s="11"/>
        <tr r="D616" s="11"/>
        <tr r="H6" s="11"/>
        <tr r="B409" s="11"/>
        <tr r="D635" s="11"/>
        <tr r="C428" s="11"/>
        <tr r="L952" s="11"/>
        <tr r="H301" s="11"/>
        <tr r="H295" s="11"/>
        <tr r="K453" s="11"/>
        <tr r="B616" s="11"/>
        <tr r="D151" s="11"/>
        <tr r="L238" s="11"/>
        <tr r="E241" s="11"/>
        <tr r="B1016" s="11"/>
        <tr r="F346" s="11"/>
        <tr r="J306" s="11"/>
        <tr r="E601" s="11"/>
        <tr r="L503" s="11"/>
        <tr r="D656" s="11"/>
        <tr r="J629" s="11"/>
        <tr r="I57" s="11"/>
        <tr r="I525" s="11"/>
        <tr r="D1102" s="11"/>
        <tr r="E390" s="11"/>
        <tr r="I220" s="11"/>
        <tr r="I224" s="11"/>
        <tr r="G494" s="11"/>
        <tr r="E222" s="11"/>
        <tr r="C889" s="11"/>
        <tr r="I204" s="11"/>
        <tr r="F328" s="11"/>
        <tr r="E239" s="11"/>
        <tr r="H730" s="11"/>
        <tr r="B449" s="11"/>
        <tr r="D599" s="11"/>
        <tr r="D380" s="11"/>
        <tr r="H659" s="11"/>
        <tr r="G459" s="11"/>
        <tr r="D461" s="11"/>
        <tr r="E614" s="11"/>
        <tr r="G460" s="11"/>
        <tr r="K1186" s="11"/>
        <tr r="F291" s="11"/>
        <tr r="L399" s="11"/>
        <tr r="H468" s="11"/>
        <tr r="L973" s="11"/>
        <tr r="L828" s="11"/>
        <tr r="L522" s="11"/>
        <tr r="L878" s="11"/>
        <tr r="E122" s="11"/>
        <tr r="K480" s="11"/>
        <tr r="K512" s="11"/>
        <tr r="F522" s="11"/>
        <tr r="B547" s="11"/>
        <tr r="D775" s="11"/>
        <tr r="J531" s="11"/>
        <tr r="K430" s="11"/>
        <tr r="H432" s="11"/>
        <tr r="I585" s="11"/>
        <tr r="K431" s="11"/>
        <tr r="C234" s="11"/>
        <tr r="F275" s="11"/>
        <tr r="L389" s="11"/>
        <tr r="L439" s="11"/>
        <tr r="L1038" s="11"/>
        <tr r="L1158" s="11"/>
        <tr r="I555" s="11"/>
        <tr r="D68" s="11"/>
        <tr r="J269" s="11"/>
        <tr r="G329" s="11"/>
        <tr r="H738" s="11"/>
        <tr r="L917" s="11"/>
        <tr r="H513" s="11"/>
        <tr r="K800" s="11"/>
        <tr r="F355" s="11"/>
        <tr r="K428" s="11"/>
        <tr r="G305" s="11"/>
        <tr r="I6" s="11"/>
        <tr r="J326" s="11"/>
        <tr r="C1099" s="11"/>
        <tr r="L234" s="11"/>
        <tr r="I242" s="11"/>
        <tr r="G555" s="11"/>
        <tr r="J544" s="11"/>
        <tr r="K427" s="11"/>
        <tr r="D540" s="11"/>
        <tr r="I546" s="11"/>
        <tr r="G606" s="11"/>
        <tr r="J1009" s="11"/>
        <tr r="I613" s="11"/>
        <tr r="L288" s="11"/>
        <tr r="I580" s="11"/>
        <tr r="I141" s="11"/>
        <tr r="C461" s="11"/>
        <tr r="E635" s="11"/>
        <tr r="B287" s="11"/>
        <tr r="H454" s="11"/>
        <tr r="B476" s="11"/>
        <tr r="C684" s="11"/>
        <tr r="K515" s="11"/>
        <tr r="F616" s="11"/>
        <tr r="Q9" s="10"/>
        <tr r="Q9" s="10"/>
        <tr r="Q9" s="10"/>
        <tr r="B684" s="11"/>
        <tr r="E940" s="11"/>
        <tr r="J690" s="11"/>
        <tr r="E953" s="11"/>
        <tr r="B597" s="11"/>
        <tr r="C1096" s="11"/>
        <tr r="B683" s="11"/>
        <tr r="B761" s="11"/>
        <tr r="E45" s="9"/>
        <tr r="E45" s="9"/>
        <tr r="E45" s="9"/>
        <tr r="C1120" s="11"/>
        <tr r="F657" s="11"/>
        <tr r="I1170" s="11"/>
        <tr r="B656" s="11"/>
        <tr r="G532" s="11"/>
        <tr r="L886" s="11"/>
        <tr r="I111" s="11"/>
        <tr r="C599" s="11"/>
        <tr r="E162" s="11"/>
        <tr r="E698" s="11"/>
        <tr r="J434" s="11"/>
        <tr r="J575" s="11"/>
        <tr r="L588" s="11"/>
        <tr r="C635" s="11"/>
        <tr r="E1117" s="11"/>
        <tr r="C654" s="11"/>
        <tr r="L7" s="11"/>
        <tr r="H588" s="11"/>
        <tr r="I189" s="11"/>
        <tr r="B491" s="11"/>
        <tr r="J744" s="11"/>
        <tr r="B272" s="11"/>
        <tr r="F683" s="11"/>
        <tr r="F273" s="11"/>
        <tr r="H685" s="11"/>
        <tr r="F581" s="11"/>
        <tr r="F706" s="11"/>
        <tr r="E668" s="11"/>
        <tr r="K541" s="11"/>
        <tr r="J711" s="11"/>
        <tr r="C669" s="11"/>
        <tr r="E266" s="11"/>
        <tr r="E670" s="11"/>
        <tr r="B578" s="11"/>
        <tr r="C643" s="11"/>
        <tr r="L401" s="11"/>
        <tr r="I813" s="11"/>
        <tr r="B348" s="11"/>
        <tr r="E1046" s="11"/>
        <tr r="K584" s="11"/>
        <tr r="I1109" s="11"/>
        <tr r="F572" s="11"/>
        <tr r="C556" s="11"/>
        <tr r="I255" s="11"/>
        <tr r="F576" s="11"/>
        <tr r="J928" s="11"/>
        <tr r="C541" s="11"/>
        <tr r="H677" s="11"/>
        <tr r="J538" s="11"/>
        <tr r="C680" s="11"/>
        <tr r="K43" s="8"/>
        <tr r="K43" s="8"/>
        <tr r="K43" s="8"/>
        <tr r="J521" s="11"/>
        <tr r="C110" s="11"/>
        <tr r="H610" s="11"/>
        <tr r="B828" s="11"/>
        <tr r="D551" s="11"/>
        <tr r="E903" s="11"/>
        <tr r="D639" s="11"/>
        <tr r="I579" s="11"/>
        <tr r="C568" s="11"/>
        <tr r="C103" s="11"/>
        <tr r="B873" s="11"/>
        <tr r="E1040" s="11"/>
        <tr r="I1035" s="11"/>
        <tr r="B916" s="11"/>
        <tr r="J879" s="11"/>
        <tr r="C1017" s="11"/>
        <tr r="H1132" s="11"/>
        <tr r="D368" s="11"/>
        <tr r="G560" s="11"/>
        <tr r="B716" s="11"/>
        <tr r="D1239" s="11"/>
        <tr r="B1229" s="11"/>
        <tr r="C948" s="11"/>
        <tr r="G738" s="11"/>
        <tr r="G1129" s="11"/>
        <tr r="H743" s="11"/>
        <tr r="J1047" s="11"/>
        <tr r="D1266" s="11"/>
        <tr r="F1038" s="11"/>
        <tr r="D922" s="11"/>
        <tr r="C767" s="11"/>
        <tr r="H1107" s="11"/>
        <tr r="J351" s="11"/>
        <tr r="D340" s="11"/>
        <tr r="K368" s="11"/>
        <tr r="K1165" s="11"/>
        <tr r="F477" s="11"/>
        <tr r="I516" s="11"/>
        <tr r="J120" s="11"/>
        <tr r="K839" s="11"/>
        <tr r="J131" s="11"/>
        <tr r="K948" s="11"/>
        <tr r="D1132" s="11"/>
        <tr r="K1024" s="11"/>
        <tr r="H1103" s="11"/>
        <tr r="C1202" s="11"/>
        <tr r="C1197" s="11"/>
        <tr r="I82" s="11"/>
        <tr r="B279" s="11"/>
        <tr r="L763" s="11"/>
        <tr r="L743" s="11"/>
        <tr r="E476" s="11"/>
        <tr r="L752" s="11"/>
        <tr r="C1145" s="11"/>
        <tr r="E408" s="11"/>
        <tr r="I611" s="11"/>
        <tr r="F384" s="11"/>
        <tr r="J1289" s="11"/>
        <tr r="F426" s="11"/>
        <tr r="C883" s="11"/>
        <tr r="F258" s="11"/>
        <tr r="K1031" s="11"/>
        <tr r="D386" s="11"/>
        <tr r="H385" s="11"/>
        <tr r="J550" s="11"/>
        <tr r="C373" s="11"/>
        <tr r="G1175" s="11"/>
        <tr r="J1227" s="11"/>
        <tr r="B624" s="11"/>
        <tr r="C811" s="11"/>
        <tr r="E315" s="11"/>
        <tr r="K934" s="11"/>
        <tr r="D497" s="11"/>
        <tr r="H496" s="11"/>
        <tr r="C1141" s="11"/>
        <tr r="K735" s="11"/>
        <tr r="C867" s="11"/>
        <tr r="K837" s="11"/>
        <tr r="I912" s="11"/>
        <tr r="B1210" s="11"/>
        <tr r="H1037" s="11"/>
        <tr r="D188" s="11"/>
        <tr r="D782" s="11"/>
        <tr r="E116" s="11"/>
        <tr r="C985" s="11"/>
        <tr r="B559" s="11"/>
        <tr r="C229" s="11"/>
        <tr r="D266" s="11"/>
        <tr r="G913" s="11"/>
        <tr r="L327" s="11"/>
        <tr r="J171" s="11"/>
        <tr r="D138" s="11"/>
        <tr r="G347" s="11"/>
        <tr r="C927" s="11"/>
        <tr r="H881" s="11"/>
        <tr r="D1143" s="11"/>
        <tr r="K983" s="11"/>
        <tr r="L1220" s="11"/>
        <tr r="K420" s="11"/>
        <tr r="J1235" s="11"/>
        <tr r="L771" s="11"/>
        <tr r="G830" s="11"/>
        <tr r="G291" s="11"/>
        <tr r="G1050" s="11"/>
        <tr r="G810" s="11"/>
        <tr r="C1005" s="11"/>
        <tr r="K842" s="11"/>
        <tr r="C363" s="11"/>
        <tr r="B1048" s="11"/>
        <tr r="D861" s="11"/>
        <tr r="G847" s="11"/>
        <tr r="C488" s="11"/>
        <tr r="L1110" s="11"/>
        <tr r="G658" s="11"/>
        <tr r="G1166" s="11"/>
        <tr r="D1113" s="11"/>
        <tr r="L1235" s="11"/>
        <tr r="J1255" s="11"/>
        <tr r="B1284" s="11"/>
        <tr r="H994" s="11"/>
        <tr r="D1231" s="11"/>
        <tr r="B1191" s="11"/>
        <tr r="G896" s="11"/>
        <tr r="K1122" s="11"/>
        <tr r="D496" s="11"/>
        <tr r="H1163" s="11"/>
        <tr r="I160" s="11"/>
        <tr r="J390" s="11"/>
        <tr r="B1187" s="11"/>
        <tr r="H325" s="11"/>
        <tr r="D1081" s="11"/>
        <tr r="B558" s="11"/>
        <tr r="G823" s="11"/>
        <tr r="K996" s="11"/>
        <tr r="F579" s="11"/>
        <tr r="H1049" s="11"/>
        <tr r="F251" s="11"/>
        <tr r="F1252" s="11"/>
        <tr r="J387" s="11"/>
        <tr r="G998" s="11"/>
        <tr r="K233" s="11"/>
        <tr r="G733" s="11"/>
        <tr r="L1043" s="11"/>
        <tr r="H721" s="11"/>
        <tr r="L1103" s="11"/>
        <tr r="C794" s="11"/>
        <tr r="H1265" s="11"/>
        <tr r="D463" s="11"/>
        <tr r="H352" s="11"/>
        <tr r="G1191" s="11"/>
        <tr r="H1082" s="11"/>
        <tr r="J1052" s="11"/>
        <tr r="G7" s="11"/>
        <tr r="J1220" s="11"/>
        <tr r="B1220" s="11"/>
        <tr r="C924" s="11"/>
        <tr r="G908" s="11"/>
        <tr r="D289" s="11"/>
        <tr r="K1157" s="11"/>
        <tr r="H763" s="11"/>
        <tr r="G490" s="11"/>
        <tr r="C1246" s="11"/>
        <tr r="H850" s="11"/>
        <tr r="B349" s="11"/>
        <tr r="E204" s="11"/>
        <tr r="I384" s="11"/>
        <tr r="F395" s="11"/>
        <tr r="I436" s="11"/>
        <tr r="F555" s="11"/>
        <tr r="I420" s="11"/>
        <tr r="D905" s="11"/>
        <tr r="L1008" s="11"/>
        <tr r="H1138" s="11"/>
        <tr r="H1269" s="11"/>
        <tr r="H1249" s="11"/>
        <tr r="I403" s="11"/>
        <tr r="J463" s="11"/>
        <tr r="D1019" s="11"/>
        <tr r="L1191" s="11"/>
        <tr r="E8" s="11"/>
        <tr r="E732" s="11"/>
        <tr r="H792" s="11"/>
        <tr r="F316" s="11"/>
        <tr r="B548" s="11"/>
        <tr r="D226" s="11"/>
        <tr r="F1207" s="11"/>
        <tr r="G367" s="11"/>
        <tr r="K875" s="11"/>
        <tr r="D1163" s="11"/>
        <tr r="H908" s="11"/>
        <tr r="F347" s="11"/>
        <tr r="B384" s="11"/>
        <tr r="F1285" s="11"/>
        <tr r="J429" s="11"/>
        <tr r="C1186" s="11"/>
        <tr r="G1242" s="11"/>
        <tr r="G295" s="11"/>
        <tr r="K802" s="11"/>
        <tr r="D1115" s="11"/>
        <tr r="H799" s="11"/>
        <tr r="E396" s="11"/>
        <tr r="C1154" s="11"/>
        <tr r="C1157" s="11"/>
        <tr r="D990" s="11"/>
        <tr r="H897" s="11"/>
        <tr r="C785" s="11"/>
        <tr r="J1045" s="11"/>
        <tr r="D169" s="11"/>
        <tr r="E113" s="11"/>
        <tr r="K1236" s="11"/>
        <tr r="L925" s="11"/>
        <tr r="L880" s="11"/>
        <tr r="E119" s="11"/>
        <tr r="G1000" s="11"/>
        <tr r="H261" s="11"/>
        <tr r="J176" s="11"/>
        <tr r="D994" s="11"/>
        <tr r="J26" s="11"/>
        <tr r="B556" s="11"/>
        <tr r="H1133" s="11"/>
        <tr r="D977" s="11"/>
        <tr r="K1159" s="11"/>
        <tr r="L1074" s="11"/>
        <tr r="D372" s="11"/>
        <tr r="H887" s="11"/>
        <tr r="I8" s="11"/>
        <tr r="I616" s="11"/>
        <tr r="F1193" s="11"/>
        <tr r="G915" s="11"/>
        <tr r="K1145" s="11"/>
        <tr r="D41" s="11"/>
        <tr r="G822" s="11"/>
        <tr r="D926" s="11"/>
        <tr r="K1189" s="11"/>
        <tr r="K249" s="11"/>
        <tr r="K991" s="11"/>
        <tr r="F1049" s="11"/>
        <tr r="C369" s="11"/>
        <tr r="G255" s="11"/>
        <tr r="D1147" s="11"/>
        <tr r="I192" s="11"/>
        <tr r="J552" s="11"/>
        <tr r="D218" s="11"/>
        <tr r="K1009" s="11"/>
        <tr r="I340" s="11"/>
        <tr r="J98" s="11"/>
        <tr r="B1122" s="11"/>
        <tr r="L1002" s="11"/>
        <tr r="D797" s="11"/>
        <tr r="F1289" s="11"/>
        <tr r="G767" s="11"/>
        <tr r="K939" s="11"/>
        <tr r="J674" s="11"/>
        <tr r="H1004" s="11"/>
        <tr r="J296" s="11"/>
        <tr r="B1230" s="11"/>
        <tr r="B398" s="11"/>
        <tr r="F270" s="11"/>
        <tr r="D206" s="11"/>
        <tr r="F1191" s="11"/>
        <tr r="G359" s="11"/>
        <tr r="K866" s="11"/>
        <tr r="D1155" s="11"/>
        <tr r="H941" s="11"/>
        <tr r="I353" s="11"/>
        <tr r="D1221" s="11"/>
        <tr r="G889" s="11"/>
        <tr r="G278" s="11"/>
        <tr r="H1077" s="11"/>
        <tr r="D127" s="11"/>
        <tr r="J1262" s="11"/>
        <tr r="D349" s="11"/>
        <tr r="L243" s="11"/>
        <tr r="C287" s="11"/>
        <tr r="H343" s="11"/>
        <tr r="K599" s="11"/>
        <tr r="L803" s="11"/>
        <tr r="G1145" s="11"/>
        <tr r="H748" s="11"/>
        <tr r="J208" s="11"/>
        <tr r="D1197" s="11"/>
        <tr r="J118" s="11"/>
        <tr r="B1046" s="11"/>
        <tr r="C333" s="11"/>
        <tr r="G843" s="11"/>
        <tr r="D225" s="11"/>
        <tr r="K1016" s="11"/>
        <tr r="H361" s="11"/>
        <tr r="K544" s="11"/>
        <tr r="C1162" s="11"/>
        <tr r="H950" s="11"/>
        <tr r="G489" s="11"/>
        <tr r="F288" s="11"/>
        <tr r="B513" s="11"/>
        <tr r="G1155" s="11"/>
        <tr r="J1214" s="11"/>
        <tr r="G1150" s="11"/>
        <tr r="F649" s="11"/>
        <tr r="D297" s="11"/>
        <tr r="F242" s="11"/>
        <tr r="E323" s="11"/>
        <tr r="H976" s="11"/>
        <tr r="H971" s="11"/>
        <tr r="H427" s="11"/>
        <tr r="E496" s="11"/>
        <tr r="D742" s="11"/>
        <tr r="L842" s="11"/>
        <tr r="E136" s="11"/>
        <tr r="J591" s="11"/>
        <tr r="L1004" s="11"/>
        <tr r="I454" s="11"/>
        <tr r="L934" s="11"/>
        <tr r="C896" s="11"/>
        <tr r="G1126" s="11"/>
        <tr r="G239" s="11"/>
        <tr r="K746" s="11"/>
        <tr r="D1105" s="11"/>
        <tr r="H381" s="11"/>
        <tr r="L418" s="11"/>
        <tr r="G1161" s="11"/>
        <tr r="F1055" s="11"/>
        <tr r="J561" s="11"/>
        <tr r="C273" s="11"/>
        <tr r="G1008" s="11"/>
        <tr r="D1216" s="11"/>
        <tr r="K337" s="11"/>
        <tr r="D976" s="11"/>
        <tr r="H253" s="11"/>
        <tr r="D444" s="11"/>
        <tr r="H966" s="11"/>
        <tr r="J212" s="11"/>
        <tr r="C349" s="11"/>
        <tr r="H233" s="11"/>
        <tr r="H1007" s="11"/>
        <tr r="J29" s="11"/>
        <tr r="C956" s="11"/>
        <tr r="B277" s="11"/>
        <tr r="K999" s="11"/>
        <tr r="I424" s="11"/>
        <tr r="L424" s="11"/>
        <tr r="F382" s="11"/>
        <tr r="G914" s="11"/>
        <tr r="L343" s="11"/>
        <tr r="J112" s="11"/>
        <tr r="D941" s="11"/>
        <tr r="B6" s="11"/>
        <tr r="F1248" s="11"/>
        <tr r="H219" s="11"/>
        <tr r="D879" s="11"/>
        <tr r="K1045" s="11"/>
        <tr r="L259" s="11"/>
        <tr r="D308" s="11"/>
        <tr r="H804" s="11"/>
        <tr r="I273" s="11"/>
        <tr r="D603" s="11"/>
        <tr r="G1201" s="11"/>
        <tr r="C1155" s="11"/>
        <tr r="K755" s="11"/>
        <tr r="G734" s="11"/>
        <tr r="B455" s="11"/>
        <tr r="D1077" s="11"/>
        <tr r="C863" s="11"/>
        <tr r="H1185" s="11"/>
        <tr r="F274" s="11"/>
        <tr r="D751" s="11"/>
        <tr r="K878" s="11"/>
        <tr r="C962" s="11"/>
        <tr r="H431" s="11"/>
        <tr r="D494" s="11"/>
        <tr r="J564" s="11"/>
        <tr r="C720" s="11"/>
        <tr r="J1039" s="11"/>
        <tr r="C828" s="11"/>
        <tr r="D1237" s="11"/>
        <tr r="C759" s="11"/>
        <tr r="K886" s="11"/>
        <tr r="I821" s="11"/>
        <tr r="D335" s="11"/>
        <tr r="L750" s="11"/>
        <tr r="E182" s="11"/>
        <tr r="J665" s="11"/>
        <tr r="H776" s="11"/>
        <tr r="L442" s="11"/>
        <tr r="G551" s="11"/>
        <tr r="D311" s="11"/>
        <tr r="F327" s="11"/>
        <tr r="H572" s="11"/>
        <tr r="G1030" s="11"/>
        <tr r="G941" s="11"/>
        <tr r="B388" s="11"/>
        <tr r="L783" s="11"/>
        <tr r="L775" s="11"/>
        <tr r="L784" s="11"/>
        <tr r="J213" s="11"/>
        <tr r="C277" s="11"/>
        <tr r="G1054" s="11"/>
        <tr r="J1213" s="11"/>
        <tr r="F1050" s="11"/>
        <tr r="C779" s="11"/>
        <tr r="B341" s="11"/>
        <tr r="K894" s="11"/>
        <tr r="D686" s="11"/>
        <tr r="H673" s="11"/>
        <tr r="C852" s="11"/>
        <tr r="J1257" s="11"/>
        <tr r="C803" s="11"/>
        <tr r="K372" s="11"/>
        <tr r="J556" s="11"/>
        <tr r="F1272" s="11"/>
        <tr r="H912" s="11"/>
        <tr r="D156" s="11"/>
        <tr r="D339" s="11"/>
        <tr r="E180" s="11"/>
        <tr r="C808" s="11"/>
        <tr r="B396" s="11"/>
        <tr r="K1197" s="11"/>
        <tr r="D86" s="11"/>
        <tr r="G891" s="11"/>
        <tr r="E71" s="11"/>
        <tr r="J155" s="11"/>
        <tr r="D952" s="11"/>
        <tr r="G1178" s="11"/>
        <tr r="D812" s="11"/>
        <tr r="C320" s="11"/>
        <tr r="H1005" s="11"/>
        <tr r="E413" s="11"/>
        <tr r="D228" s="11"/>
        <tr r="H1225" s="11"/>
        <tr r="H1170" s="11"/>
        <tr r="K619" s="11"/>
        <tr r="H1189" s="11"/>
        <tr r="B1243" s="11"/>
        <tr r="H1006" s="11"/>
        <tr r="B1255" s="11"/>
        <tr r="H1114" s="11"/>
        <tr r="D1001" s="11"/>
        <tr r="K237" s="11"/>
        <tr r="L287" s="11"/>
        <tr r="C355" s="11"/>
        <tr r="C350" s="11"/>
        <tr r="J252" s="11"/>
        <tr r="J369" s="11"/>
        <tr r="K414" s="11"/>
        <tr r="H416" s="11"/>
        <tr r="L569" s="11"/>
        <tr r="K415" s="11"/>
        <tr r="C230" s="11"/>
        <tr r="D464" s="11"/>
        <tr r="D718" s="11"/>
        <tr r="K1007" s="11"/>
        <tr r="D417" s="11"/>
        <tr r="L419" s="11"/>
        <tr r="B572" s="11"/>
        <tr r="D418" s="11"/>
        <tr r="G1167" s="11"/>
        <tr r="G1222" s="11"/>
        <tr r="H1270" s="11"/>
        <tr r="J1274" s="11"/>
        <tr r="G382" s="11"/>
        <tr r="G467" s="11"/>
        <tr r="D1033" s="11"/>
        <tr r="C855" s="11"/>
        <tr r="H1195" s="11"/>
        <tr r="I280" s="11"/>
        <tr r="D743" s="11"/>
        <tr r="K995" s="11"/>
        <tr r="I428" s="11"/>
        <tr r="F430" s="11"/>
        <tr r="G584" s="11"/>
        <tr r="I429" s="11"/>
        <tr r="C243" s="11"/>
        <tr r="H940" s="11"/>
        <tr r="E441" s="11"/>
        <tr r="D730" s="11"/>
        <tr r="C238" s="11"/>
        <tr r="H920" s="11"/>
        <tr r="B443" s="11"/>
        <tr r="L830" s="11"/>
        <tr r="B274" s="11"/>
        <tr r="C431" s="11"/>
        <tr r="C597" s="11"/>
        <tr r="E142" s="11"/>
        <tr r="G388" s="11"/>
        <tr r="F504" s="11"/>
        <tr r="E442" s="11"/>
        <tr r="L609" s="11"/>
        <tr r="L455" s="11"/>
        <tr r="D379" s="11"/>
        <tr r="K1235" s="11"/>
        <tr r="H865" s="11"/>
        <tr r="I456" s="11"/>
        <tr r="L794" s="11"/>
        <tr r="I281" s="11"/>
        <tr r="B434" s="11"/>
        <tr r="J610" s="11"/>
        <tr r="E160" s="11"/>
        <tr r="K412" s="11"/>
        <tr r="L244" s="11"/>
        <tr r="H681" s="11"/>
        <tr r="H581" s="11"/>
        <tr r="K1198" s="11"/>
        <tr r="D836" s="11"/>
        <tr r="H847" s="11"/>
        <tr r="D143" s="11"/>
        <tr r="K874" s="11"/>
        <tr r="K869" s="11"/>
        <tr r="I341" s="11"/>
        <tr r="H422" s="11"/>
        <tr r="G325" s="11"/>
        <tr r="H734" s="11"/>
        <tr r="L901" s="11"/>
        <tr r="J514" s="11"/>
        <tr r="K251" s="11"/>
        <tr r="D648" s="11"/>
        <tr r="D410" s="11"/>
        <tr r="G775" s="11"/>
        <tr r="J1263" s="11"/>
        <tr r="G1053" s="11"/>
        <tr r="C1038" s="11"/>
        <tr r="B270" s="11"/>
        <tr r="F1198" s="11"/>
        <tr r="F1244" s="11"/>
        <tr r="H476" s="11"/>
        <tr r="C993" s="11"/>
        <tr r="G1199" s="11"/>
        <tr r="G263" s="11"/>
        <tr r="K770" s="11"/>
        <tr r="D1040" s="11"/>
        <tr r="H740" s="11"/>
        <tr r="K409" s="11"/>
        <tr r="C217" s="11"/>
        <tr r="K993" s="11"/>
        <tr r="D925" s="11"/>
        <tr r="H811" s="11"/>
        <tr r="K1226" s="11"/>
        <tr r="J201" s="11"/>
        <tr r="D73" s="11"/>
        <tr r="E177" s="11"/>
        <tr r="K1191" s="11"/>
        <tr r="E69" s="11"/>
        <tr r="I65" s="11"/>
        <tr r="I228" s="11"/>
        <tr r="G979" s="11"/>
        <tr r="L1246" s="11"/>
        <tr r="J160" s="11"/>
        <tr r="D947" s="11"/>
        <tr r="B1286" s="11"/>
        <tr r="B385" s="11"/>
        <tr r="K1147" s="11"/>
        <tr r="G795" s="11"/>
        <tr r="D189" s="11"/>
        <tr r="K968" s="11"/>
        <tr r="H297" s="11"/>
        <tr r="G620" s="11"/>
        <tr r="C1035" s="11"/>
        <tr r="H291" s="11"/>
        <tr r="H726" s="11"/>
        <tr r="B339" s="11"/>
        <tr r="J1058" s="11"/>
        <tr r="G1010" s="11"/>
        <tr r="J142" s="11"/>
        <tr r="G1024" s="11"/>
        <tr r="F553" s="11"/>
        <tr r="D233" s="11"/>
        <tr r="D391" s="11"/>
        <tr r="H250" s="11"/>
        <tr r="H745" s="11"/>
        <tr r="H739" s="11"/>
        <tr r="J444" s="11"/>
        <tr r="G569" s="11"/>
        <tr r="D235" s="11"/>
        <tr r="L334" s="11"/>
        <tr r="I222" s="11"/>
        <tr r="E1013" s="11"/>
        <tr r="E243" s="11"/>
        <tr r="L1198" s="11"/>
        <tr r="I577" s="11"/>
        <tr r="K240" s="11"/>
        <tr r="D227" s="11"/>
        <tr r="L326" s="11"/>
        <tr r="F224" s="11"/>
        <tr r="C1111" s="11"/>
        <tr r="H1230" s="11"/>
        <tr r="G728" s="11"/>
        <tr r="H460" s="11"/>
        <tr r="J35" s="11"/>
        <tr r="D106" s="11"/>
        <tr r="G997" s="11"/>
        <tr r="D377" s="11"/>
        <tr r="K1233" s="11"/>
        <tr r="H863" s="11"/>
        <tr r="J457" s="11"/>
        <tr r="D120" s="11"/>
        <tr r="K228" s="11"/>
        <tr r="D207" s="11"/>
        <tr r="L294" s="11"/>
        <tr r="I230" s="11"/>
        <tr r="I823" s="11"/>
        <tr r="K890" s="11"/>
        <tr r="L1222" s="11"/>
        <tr r="G377" s="11"/>
        <tr r="D107" s="11"/>
        <tr r="K885" s="11"/>
        <tr r="L1212" s="11"/>
        <tr r="H786" s="11"/>
        <tr r="I10" s="11"/>
        <tr r="B338" s="11"/>
        <tr r="J460" s="11"/>
        <tr r="L972" s="11"/>
        <tr r="I250" s="11"/>
        <tr r="F420" s="11"/>
        <tr r="B662" s="11"/>
        <tr r="F495" s="11"/>
        <tr r="E1168" s="11"/>
        <tr r="G341" s="11"/>
        <tr r="D71" s="11"/>
        <tr r="K848" s="11"/>
        <tr r="L1159" s="11"/>
        <tr r="H750" s="11"/>
        <tr r="I28" s="11"/>
        <tr r="I345" s="11"/>
        <tr r="I463" s="11"/>
        <tr r="L884" s="11"/>
        <tr r="E257" s="11"/>
        <tr r="H458" s="11"/>
        <tr r="B432" s="11"/>
        <tr r="I1246" s="11"/>
        <tr r="D1082" s="11"/>
        <tr r="J295" s="11"/>
        <tr r="D101" s="11"/>
        <tr r="D1183" s="11"/>
        <tr r="F331" s="11"/>
        <tr r="E67" s="11"/>
        <tr r="E77" s="11"/>
        <tr r="K485" s="11"/>
        <tr r="I73" s="11"/>
        <tr r="C970" s="11"/>
        <tr r="I164" s="11"/>
        <tr r="F312" s="11"/>
        <tr r="E115" s="11"/>
        <tr r="H667" s="11"/>
        <tr r="B779" s="11"/>
        <tr r="F711" s="11"/>
        <tr r="D872" s="11"/>
        <tr r="G256" s="11"/>
        <tr r="C1137" s="11"/>
        <tr r="F434" s="11"/>
        <tr r="L777" s="11"/>
        <tr r="H998" s="11"/>
        <tr r="G758" s="11"/>
        <tr r="J1275" s="11"/>
        <tr r="J477" s="11"/>
        <tr r="D58" s="11"/>
        <tr r="D365" s="11"/>
        <tr r="H851" s="11"/>
        <tr r="D108" s="11"/>
        <tr r="D159" s="11"/>
        <tr r="F240" s="11"/>
        <tr r="B1268" s="11"/>
        <tr r="D1010" s="11"/>
        <tr r="G751" s="11"/>
        <tr r="D1281" s="11"/>
        <tr r="H447" s="11"/>
        <tr r="D737" s="11"/>
        <tr r="K980" s="11"/>
        <tr r="J651" s="11"/>
        <tr r="H1016" s="11"/>
        <tr r="I289" s="11"/>
        <tr r="J62" s="11"/>
        <tr r="J385" s="11"/>
        <tr r="D1177" s="11"/>
        <tr r="J162" s="11"/>
        <tr r="B392" s="11"/>
        <tr r="K1193" s="11"/>
        <tr r="D198" s="11"/>
        <tr r="G971" s="11"/>
        <tr r="L1165" s="11"/>
        <tr r="D1230" s="11"/>
        <tr r="C1036" s="11"/>
        <tr r="K309" s="11"/>
        <tr r="E9" s="11"/>
        <tr r="D934" s="11"/>
        <tr r="C231" s="11"/>
        <tr r="D1011" s="11"/>
        <tr r="B286" s="11"/>
        <tr r="L1223" s="11"/>
        <tr r="C1224" s="11"/>
        <tr r="D813" s="11"/>
        <tr r="C904" s="11"/>
        <tr r="D857" s="11"/>
        <tr r="G771" s="11"/>
        <tr r="C1000" s="11"/>
        <tr r="D23" s="11"/>
        <tr r="I294" s="11"/>
        <tr r="G297" s="11"/>
        <tr r="H898" s="11"/>
        <tr r="L874" s="11"/>
        <tr r="B524" s="11"/>
        <tr r="K768" s="11"/>
        <tr r="I361" s="11"/>
        <tr r="D431" s="11"/>
        <tr r="G273" s="11"/>
        <tr r="I30" s="11"/>
        <tr r="I351" s="11"/>
        <tr r="E8" s="3"/>
        <tr r="E8" s="3"/>
        <tr r="E8" s="3"/>
        <tr r="H877" s="11"/>
        <tr r="K760" s="11"/>
        <tr r="F363" s="11"/>
        <tr r="E431" s="11"/>
        <tr r="F334" s="11"/>
        <tr r="J40" s="11"/>
        <tr r="D126" s="11"/>
        <tr r="G1122" s="11"/>
        <tr r="F1047" s="11"/>
        <tr r="K290" s="11"/>
        <tr r="G339" s="11"/>
        <tr r="D69" s="11"/>
        <tr r="K846" s="11"/>
        <tr r="L1155" s="11"/>
        <tr r="D1135" s="11"/>
        <tr r="C874" s="11"/>
        <tr r="H862" s="11"/>
        <tr r="K728" s="11"/>
        <tr r="I369" s="11"/>
        <tr r="I434" s="11"/>
        <tr r="C963" s="11"/>
        <tr r="K232" s="11"/>
        <tr r="E163" s="11"/>
        <tr r="D1122" s="11"/>
        <tr r="C958" s="11"/>
        <tr r="K227" s="11"/>
        <tr r="E173" s="11"/>
        <tr r="L1286" s="11"/>
        <tr r="I170" s="11"/>
        <tr r="K395" s="11"/>
        <tr r="C490" s="11"/>
        <tr r="L313" s="11"/>
        <tr r="I314" s="11"/>
        <tr r="B453" s="11"/>
        <tr r="I169" s="11"/>
        <tr r="K618" s="11"/>
        <tr r="E223" s="11"/>
        <tr r="D1095" s="11"/>
        <tr r="C921" s="11"/>
        <tr r="H1232" s="11"/>
        <tr r="E227" s="11"/>
        <tr r="L1186" s="11"/>
        <tr r="I188" s="11"/>
        <tr r="I399" s="11"/>
        <tr r="I494" s="11"/>
        <tr r="L277" s="11"/>
        <tr r="I334" s="11"/>
        <tr r="L532" s="11"/>
        <tr r="D897" s="11"/>
        <tr r="D16" s="11"/>
        <tr r="K457" s="11"/>
        <tr r="B365" s="11"/>
        <tr r="I363" s="11"/>
        <tr r="B246" s="11"/>
        <tr r="I380" s="11"/>
        <tr r="E547" s="11"/>
        <tr r="H816" s="11"/>
        <tr r="C851" s="11"/>
        <tr r="E132" s="11"/>
        <tr r="G266" s="11"/>
        <tr r="J154" s="11"/>
        <tr r="D237" s="11"/>
        <tr r="C1165" s="11"/>
        <tr r="I342" s="11"/>
        <tr r="C832" s="11"/>
        <tr r="D851" s="11"/>
        <tr r="C325" s="11"/>
        <tr r="D1118" s="11"/>
        <tr r="E388" s="11"/>
        <tr r="J161" s="11"/>
        <tr r="B1262" s="11"/>
        <tr r="K872" s="11"/>
        <tr r="G885" s="11"/>
        <tr r="D1140" s="11"/>
        <tr r="K245" s="11"/>
        <tr r="D863" s="11"/>
        <tr r="D355" s="11"/>
        <tr r="B296" s="11"/>
        <tr r="D190" s="11"/>
        <tr r="D222" s="11"/>
        <tr r="C903" s="11"/>
        <tr r="B441" s="11"/>
        <tr r="L1236" s="11"/>
        <tr r="J625" s="11"/>
        <tr r="K401" s="11"/>
        <tr r="D1079" s="11"/>
        <tr r="J466" s="11"/>
        <tr r="H777" s="11"/>
        <tr r="L402" s="11"/>
        <tr r="F458" s="11"/>
        <tr r="C1041" s="11"/>
        <tr r="G1215" s="11"/>
        <tr r="G275" s="11"/>
        <tr r="K782" s="11"/>
        <tr r="D1052" s="11"/>
        <tr r="H761" s="11"/>
        <tr r="E404" s="11"/>
        <tr r="C898" s="11"/>
        <tr r="F246" s="11"/>
        <tr r="C893" s="11"/>
        <tr r="F250" s="11"/>
        <tr r="I202" s="11"/>
        <tr r="K498" s="11"/>
        <tr r="B327" s="11"/>
        <tr r="B248" s="11"/>
        <tr r="J275" s="11"/>
        <tr r="C857" s="11"/>
        <tr r="J279" s="11"/>
        <tr r="F405" s="11"/>
        <tr r="G580" s="11"/>
        <tr r="I221" s="11"/>
        <tr r="F694" s="11"/>
        <tr r="E61" s="11"/>
        <tr r="L529" s="11"/>
        <tr r="K403" s="11"/>
        <tr r="K661" s="11"/>
        <tr r="E292" s="11"/>
        <tr r="L271" s="11"/>
        <tr r="L251" s="11"/>
        <tr r="E480" s="11"/>
        <tr r="L260" s="11"/>
        <tr r="C1018" s="11"/>
        <tr r="I140" s="11"/>
        <tr r="I302" s="11"/>
        <tr r="E19" s="11"/>
        <tr r="G562" s="11"/>
        <tr r="K521" s="11"/>
        <tr r="J600" s="11"/>
        <tr r="D823" s="11"/>
        <tr r="E493" s="11"/>
        <tr r="I412" s="11"/>
        <tr r="F414" s="11"/>
        <tr r="L567" s="11"/>
        <tr r="I413" s="11"/>
        <tr r="C282" s="11"/>
        <tr r="I265" s="11"/>
        <tr r="I382" s="11"/>
        <tr r="J421" s="11"/>
        <tr r="L1201" s="11"/>
        <tr r="J965" s="11"/>
        <tr r="E1106" s="11"/>
        <tr r="L1021" s="11"/>
        <tr r="E58" s="11"/>
        <tr r="I462" s="11"/>
        <tr r="I440" s="11"/>
        <tr r="J498" s="11"/>
        <tr r="I814" s="11"/>
        <tr r="D923" s="11"/>
        <tr r="H463" s="11"/>
        <tr r="F374" s="11"/>
        <tr r="F378" s="11"/>
        <tr r="L533" s="11"/>
        <tr r="B376" s="11"/>
        <tr r="C362" s="11"/>
        <tr r="I249" s="11"/>
        <tr r="I366" s="11"/>
        <tr r="I389" s="11"/>
        <tr r="L1213" s="11"/>
        <tr r="C577" s="11"/>
        <tr r="C1081" s="11"/>
        <tr r="D200" s="11"/>
        <tr r="E92" s="11"/>
        <tr r="L616" s="11"/>
        <tr r="K623" s="11"/>
        <tr r="J828" s="11"/>
        <tr r="L620" s="11"/>
        <tr r="K929" s="11"/>
        <tr r="I329" s="11"/>
        <tr r="F416" s="11"/>
        <tr r="C653" s="11"/>
        <tr r="L378" s="11"/>
        <tr r="I223" s="11"/>
        <tr r="D525" s="11"/>
        <tr r="L362" s="11"/>
        <tr r="J217" s="11"/>
        <tr r="L509" s="11"/>
        <tr r="I139" s="11"/>
        <tr r="J781" s="11"/>
        <tr r="C830" s="11"/>
        <tr r="G449" s="11"/>
        <tr r="D1111" s="11"/>
        <tr r="L1194" s="11"/>
        <tr r="L281" s="11"/>
        <tr r="D633" s="11"/>
        <tr r="H1208" s="11"/>
        <tr r="B402" s="11"/>
        <tr r="H462" s="11"/>
        <tr r="D1047" s="11"/>
        <tr r="I206" s="11"/>
        <tr r="G472" s="11"/>
        <tr r="F210" s="11"/>
        <tr r="K930" s="11"/>
        <tr r="I503" s="11"/>
        <tr r="D367" s="11"/>
        <tr r="L782" s="11"/>
        <tr r="E166" s="11"/>
        <tr r="J776" s="11"/>
        <tr r="H817" s="11"/>
        <tr r="H439" s="11"/>
        <tr r="I534" s="11"/>
        <tr r="D343" s="11"/>
        <tr r="E320" s="11"/>
        <tr r="H556" s="11"/>
        <tr r="C278" s="11"/>
        <tr r="B266" s="11"/>
        <tr r="K383" s="11"/>
        <tr r="L748" s="11"/>
        <tr r="I102" s="11"/>
        <tr r="D414" s="11"/>
        <tr r="E866" s="11"/>
        <tr r="K1040" s="11"/>
        <tr r="F373" s="11"/>
        <tr r="D762" s="11"/>
        <tr r="L862" s="11"/>
        <tr r="E126" s="11"/>
        <tr r="E558" s="11"/>
        <tr r="H904" s="11"/>
        <tr r="I431" s="11"/>
        <tr r="F505" s="11"/>
        <tr r="D738" s="11"/>
        <tr r="B298" s="11"/>
        <tr r="H525" s="11"/>
        <tr r="K1185" s="11"/>
        <tr r="H1213" s="11"/>
        <tr r="D64" s="11"/>
        <tr r="D59" s="11"/>
        <tr r="I34" s="11"/>
        <tr r="F260" s="11"/>
        <tr r="L1055" s="11"/>
        <tr r="L1045" s="11"/>
        <tr r="D468" s="11"/>
        <tr r="L1146" s="11"/>
        <tr r="D35" s="11"/>
        <tr r="K396" s="11"/>
        <tr r="F1032" s="11"/>
        <tr r="K925" s="11"/>
        <tr r="B330" s="11"/>
        <tr r="L417" s="11"/>
        <tr r="I115" s="11"/>
        <tr r="K501" s="11"/>
        <tr r="B580" s="11"/>
        <tr r="J734" s="11"/>
        <tr r="I1066" s="11"/>
        <tr r="J745" s="11"/>
        <tr r="B802" s="11"/>
        <tr r="G608" s="11"/>
        <tr r="I319" s="11"/>
        <tr r="B905" s="11"/>
        <tr r="I421" s="11"/>
        <tr r="B814" s="11"/>
        <tr r="E909" s="11"/>
        <tr r="G437" s="11"/>
        <tr r="E856" s="11"/>
        <tr r="D506" s="11"/>
        <tr r="L1245" s="11"/>
        <tr r="K1265" s="11"/>
        <tr r="E1066" s="11"/>
        <tr r="L332" s="11"/>
        <tr r="I576" s="11"/>
        <tr r="L328" s="11"/>
        <tr r="D577" s="11"/>
        <tr r="F894" s="11"/>
        <tr r="I883" s="11"/>
        <tr r="I553" s="11"/>
        <tr r="C1072" s="11"/>
        <tr r="K1109" s="11"/>
        <tr r="E573" s="11"/>
        <tr r="L360" s="11"/>
        <tr r="K574" s="11"/>
        <tr r="J864" s="11"/>
        <tr r="I722" s="11"/>
        <tr r="B635" s="11"/>
        <tr r="F333" s="11"/>
        <tr r="B607" s="11"/>
        <tr r="C548" s="11"/>
        <tr r="G393" s="11"/>
        <tr r="L513" s="11"/>
        <tr r="I609" s="11"/>
        <tr r="L657" s="11"/>
        <tr r="L590" s="11"/>
        <tr r="J809" s="11"/>
        <tr r="L980" s="11"/>
        <tr r="B492" s="11"/>
        <tr r="I335" s="11"/>
        <tr r="I1279" s="11"/>
        <tr r="L432" s="11"/>
        <tr r="B763" s="11"/>
        <tr r="J722" s="11"/>
        <tr r="J430" s="11"/>
        <tr r="E554" s="11"/>
        <tr r="E430" s="11"/>
        <tr r="E556" s="11"/>
        <tr r="J740" s="11"/>
        <tr r="E915" s="11"/>
        <tr r="D595" s="11"/>
        <tr r="I743" s="11"/>
        <tr r="I835" s="11"/>
        <tr r="F541" s="11"/>
        <tr r="L428" s="11"/>
        <tr r="H543" s="11"/>
        <tr r="E1009" s="11"/>
        <tr r="B352" s="11"/>
        <tr r="K536" s="11"/>
        <tr r="F860" s="11"/>
        <tr r="J517" s="11"/>
        <tr r="G436" s="11"/>
        <tr r="F791" s="11"/>
        <tr r="E679" s="11"/>
        <tr r="E1213" s="11"/>
        <tr r="E740" s="11"/>
        <tr r="H657" s="11"/>
        <tr r="K408" s="11"/>
        <tr r="E611" s="11"/>
        <tr r="L987" s="11"/>
        <tr r="I1181" s="11"/>
        <tr r="L1019" s="11"/>
        <tr r="J645" s="11"/>
        <tr r="F598" s="11"/>
        <tr r="I652" s="11"/>
        <tr r="B853" s="11"/>
        <tr r="I888" s="11"/>
        <tr r="K630" s="11"/>
        <tr r="E681" s="11"/>
        <tr r="J994" s="11"/>
        <tr r="I1185" s="11"/>
        <tr r="I802" s="11"/>
        <tr r="I817" s="11"/>
        <tr r="L682" s="11"/>
        <tr r="E858" s="11"/>
        <tr r="J977" s="11"/>
        <tr r="K1282" s="11"/>
        <tr r="N11" s="10"/>
        <tr r="N11" s="10"/>
        <tr r="N11" s="10"/>
        <tr r="B19" s="11"/>
        <tr r="F1039" s="11"/>
        <tr r="C364" s="11"/>
        <tr r="J409" s="11"/>
        <tr r="K741" s="11"/>
        <tr r="L1148" s="11"/>
        <tr r="L660" s="11"/>
        <tr r="K607" s="11"/>
        <tr r="G785" s="11"/>
        <tr r="C400" s="11"/>
        <tr r="J16" s="11"/>
        <tr r="D30" s="11"/>
        <tr r="G1007" s="11"/>
        <tr r="F557" s="11"/>
        <tr r="H1238" s="11"/>
        <tr r="G315" s="11"/>
        <tr r="D45" s="11"/>
        <tr r="K822" s="11"/>
        <tr r="L1120" s="11"/>
        <tr r="D1185" s="11"/>
        <tr r="C842" s="11"/>
        <tr r="B345" s="11"/>
        <tr r="L899" s="11"/>
        <tr r="B437" s="11"/>
        <tr r="F551" s="11"/>
        <tr r="G752" s="11"/>
        <tr r="G1037" s="11"/>
        <tr r="G766" s="11"/>
        <tr r="G1013" s="11"/>
        <tr r="D53" s="11"/>
        <tr r="D1116" s="11"/>
        <tr r="B410" s="11"/>
        <tr r="J259" s="11"/>
        <tr r="J263" s="11"/>
        <tr r="D500" s="11"/>
        <tr r="F261" s="11"/>
        <tr r="C841" s="11"/>
        <tr r="E220" s="11"/>
        <tr r="E337" s="11"/>
        <tr r="F278" s="11"/>
        <tr r="H350" s="11"/>
        <tr r="D467" s="11"/>
        <tr r="D706" s="11"/>
        <tr r="H363" s="11"/>
        <tr r="D1259" s="11"/>
        <tr r="D874" s="11"/>
        <tr r="H1059" s="11"/>
        <tr r="D328" s="11"/>
        <tr r="G333" s="11"/>
        <tr r="L933" s="11"/>
        <tr r="K961" s="11"/>
        <tr r="G903" s="11"/>
        <tr r="D725" s="11"/>
        <tr r="L835" s="11"/>
        <tr r="D1022" s="11"/>
        <tr r="D840" s="11"/>
        <tr r="H1033" s="11"/>
        <tr r="D256" s="11"/>
        <tr r="D1205" s="11"/>
        <tr r="L301" s="11"/>
        <tr r="J185" s="11"/>
        <tr r="G918" s="11"/>
        <tr r="G1128" s="11"/>
        <tr r="D453" s="11"/>
        <tr r="I257" s="11"/>
        <tr r="G774" s="11"/>
        <tr r="K1204" s="11"/>
        <tr r="G479" s="11"/>
        <tr r="H1253" s="11"/>
        <tr r="I80" s="11"/>
        <tr r="J1207" s="11"/>
        <tr r="J1244" s="11"/>
        <tr r="G282" s="11"/>
        <tr r="L670" s="11"/>
        <tr r="B1226" s="11"/>
        <tr r="C816" s="11"/>
        <tr r="G252" s="11"/>
        <tr r="G1148" s="11"/>
        <tr r="I990" s="11"/>
        <tr r="D321" s="11"/>
        <tr r="K790" s="11"/>
        <tr r="B325" s="11"/>
        <tr r="D56" s="11"/>
        <tr r="C440" s="11"/>
        <tr r="D460" s="11"/>
        <tr r="E231" s="11"/>
        <tr r="G328" s="11"/>
        <tr r="J179" s="11"/>
        <tr r="F302" s="11"/>
        <tr r="G813" s="11"/>
        <tr r="C804" s="11"/>
        <tr r="F350" s="11"/>
        <tr r="G928" s="11"/>
        <tr r="L1147" s="11"/>
        <tr r="L795" s="11"/>
        <tr r="D194" s="11"/>
        <tr r="D1133" s="11"/>
        <tr r="C1219" s="11"/>
        <tr r="C934" s="11"/>
        <tr r="B323" s="11"/>
        <tr r="F399" s="11"/>
        <tr r="F561" s="11"/>
        <tr r="B1207" s="11"/>
        <tr r="G872" s="11"/>
        <tr r="D298" s="11"/>
        <tr r="G1027" s="11"/>
        <tr r="G954" s="11"/>
        <tr r="H990" s="11"/>
        <tr r="G310" s="11"/>
        <tr r="D997" s="11"/>
        <tr r="H1156" s="11"/>
        <tr r="D901" s="11"/>
        <tr r="D481" s="11"/>
        <tr r="B636" s="11"/>
        <tr r="C888" s="11"/>
        <tr r="G963" s="11"/>
        <tr r="G284" s="11"/>
        <tr r="H320" s="11"/>
        <tr r="D1215" s="11"/>
        <tr r="D927" s="11"/>
        <tr r="H1092" s="11"/>
        <tr r="D320" s="11"/>
        <tr r="G301" s="11"/>
        <tr r="L890" s="11"/>
        <tr r="J1049" s="11"/>
        <tr r="G1135" s="11"/>
        <tr r="F391" s="11"/>
        <tr r="K418" s="11"/>
        <tr r="I128" s="11"/>
        <tr r="G919" s="11"/>
        <tr r="C236" s="11"/>
        <tr r="H456" s="11"/>
        <tr r="K236" s="11"/>
        <tr r="L310" s="11"/>
        <tr r="D684" s="11"/>
        <tr r="J1237" s="11"/>
        <tr r="G346" s="11"/>
        <tr r="B495" s="11"/>
        <tr r="B1246" s="11"/>
        <tr r="C944" s="11"/>
        <tr r="G765" s="11"/>
        <tr r="G1181" s="11"/>
        <tr r="H1018" s="11"/>
        <tr r="G251" s="11"/>
        <tr r="C1215" s="11"/>
        <tr r="K758" s="11"/>
        <tr r="L982" s="11"/>
        <tr r="D1084" s="11"/>
        <tr r="C758" s="11"/>
        <tr r="L487" s="11"/>
        <tr r="I104" s="11"/>
        <tr r="F476" s="11"/>
        <tr r="G905" s="11"/>
        <tr r="G232" s="11"/>
        <tr r="G732" s="11"/>
        <tr r="G286" s="11"/>
        <tr r="G916" s="11"/>
        <tr r="C1207" s="11"/>
        <tr r="D791" s="11"/>
        <tr r="J509" s="11"/>
        <tr r="C424" s="11"/>
        <tr r="K426" s="11"/>
        <tr r="L580" s="11"/>
        <tr r="C425" s="11"/>
        <tr r="C250" s="11"/>
        <tr r="J272" s="11"/>
        <tr r="L387" s="11"/>
        <tr r="D433" s="11"/>
        <tr r="L1109" s="11"/>
        <tr r="L1278" s="11"/>
        <tr r="G523" s="11"/>
        <tr r="E247" s="11"/>
        <tr r="D777" s="11"/>
        <tr r="D784" s="11"/>
        <tr r="H977" s="11"/>
        <tr r="D212" s="11"/>
        <tr r="D908" s="11"/>
        <tr r="E68" s="11"/>
        <tr r="H1047" s="11"/>
        <tr r="G790" s="11"/>
        <tr r="K366" s="11"/>
        <tr r="L431" s="11"/>
        <tr r="D186" s="11"/>
        <tr r="D921" s="11"/>
        <tr r="H929" s="11"/>
        <tr r="D140" s="11"/>
        <tr r="D275" s="11"/>
        <tr r="E212" s="11"/>
        <tr r="J13" s="11"/>
        <tr r="D1209" s="11"/>
        <tr r="G815" s="11"/>
        <tr r="E824" s="11"/>
        <tr r="I423" s="11"/>
        <tr r="D899" s="11"/>
        <tr r="K1012" s="11"/>
        <tr r="E602" s="11"/>
        <tr r="H1089" s="11"/>
        <tr r="J264" s="11"/>
        <tr r="J110" s="11"/>
        <tr r="J557" s="11"/>
        <tr r="D1272" s="11"/>
        <tr r="J210" s="11"/>
        <tr r="B555" s="11"/>
        <tr r="C225" s="11"/>
        <tr r="D909" s="11"/>
        <tr r="G992" s="11"/>
        <tr r="F388" s="11"/>
        <tr r="D257" s="11"/>
        <tr r="K325" s="11"/>
        <tr r="I376" s="11"/>
        <tr r="C1206" s="11"/>
        <tr r="D1126" s="11"/>
        <tr r="L490" s="11"/>
        <tr r="G435" s="11"/>
        <tr r="D904" s="11"/>
        <tr r="J83" s="11"/>
        <tr r="I491" s="11"/>
        <tr r="D382" s="11"/>
        <tr r="G1133" s="11"/>
        <tr r="D764" s="11"/>
        <tr r="C272" s="11"/>
        <tr r="H957" s="11"/>
        <tr r="G431" s="11"/>
        <tr r="D192" s="11"/>
        <tr r="H1159" s="11"/>
        <tr r="H936" s="11"/>
        <tr r="L976" s="11"/>
        <tr r="H927" s="11"/>
        <tr r="B1059" s="11"/>
        <tr r="H874" s="11"/>
        <tr r="B1185" s="11"/>
        <tr r="H759" s="11"/>
        <tr r="D890" s="11"/>
        <tr r="H1192" s="11"/>
        <tr r="B786" s="11"/>
        <tr r="K1195" s="11"/>
        <tr r="K1190" s="11"/>
        <tr r="B290" s="11"/>
        <tr r="G398" s="11"/>
        <tr r="H484" s="11"/>
        <tr r="E485" s="11"/>
        <tr r="F639" s="11"/>
        <tr r="H485" s="11"/>
        <tr r="K941" s="11"/>
        <tr r="J487" s="11"/>
        <tr r="I77" s="11"/>
        <tr r="G1224" s="11"/>
        <tr r="H1194" s="11"/>
        <tr r="D473" s="11"/>
        <tr r="D296" s="11"/>
        <tr r="I96" s="11"/>
        <tr r="J22" s="11"/>
        <tr r="B557" s="11"/>
        <tr r="E95" s="11"/>
        <tr r="D322" s="11"/>
        <tr r="F1200" s="11"/>
        <tr r="G727" s="11"/>
        <tr r="K899" s="11"/>
        <tr r="D1188" s="11"/>
        <tr r="H951" s="11"/>
        <tr r="J328" s="11"/>
        <tr r="G760" s="11"/>
        <tr r="G1209" s="11"/>
        <tr r="G740" s="11"/>
        <tr r="H1186" s="11"/>
        <tr r="D371" s="11"/>
        <tr r="D531" s="11"/>
        <tr r="G1124" s="11"/>
        <tr r="L371" s="11"/>
        <tr r="C331" s="11"/>
        <tr r="H825" s="11"/>
        <tr r="E531" s="11"/>
        <tr r="L1064" s="11"/>
        <tr r="G1157" s="11"/>
        <tr r="H828" s="11"/>
        <tr r="J398" s="11"/>
        <tr r="D1173" s="11"/>
        <tr r="J166" s="11"/>
        <tr r="B1215" s="11"/>
        <tr r="C732" s="11"/>
        <tr r="G859" s="11"/>
        <tr r="D241" s="11"/>
        <tr r="K1032" s="11"/>
        <tr r="H870" s="11"/>
        <tr r="L521" s="11"/>
        <tr r="C1181" s="11"/>
        <tr r="H751" s="11"/>
        <tr r="J465" s="11"/>
        <tr r="I262" s="11"/>
        <tr r="E481" s="11"/>
        <tr r="G1174" s="11"/>
        <tr r="E618" s="11"/>
        <tr r="G1194" s="11"/>
        <tr r="F548" s="11"/>
        <tr r="D329" s="11"/>
        <tr r="E153" s="11"/>
        <tr r="L267" s="11"/>
        <tr r="H1074" s="11"/>
        <tr r="H1035" s="11"/>
        <tr r="K421" s="11"/>
        <tr r="I486" s="11"/>
        <tr r="D806" s="11"/>
        <tr r="L937" s="11"/>
        <tr r="E104" s="11"/>
        <tr r="F839" s="11"/>
        <tr r="L1151" s="11"/>
        <tr r="D427" s="11"/>
        <tr r="E708" s="11"/>
        <tr r="K324" s="11"/>
        <tr r="D798" s="11"/>
        <tr r="L905" s="11"/>
        <tr r="E108" s="11"/>
        <tr r="I1092" s="11"/>
        <tr r="C249" s="11"/>
        <tr r="G816" s="11"/>
        <tr r="B337" s="11"/>
        <tr r="J99" s="11"/>
        <tr r="D350" s="11"/>
        <tr r="G1057" s="11"/>
        <tr r="D756" s="11"/>
        <tr r="C264" s="11"/>
        <tr r="H939" s="11"/>
        <tr r="K434" s="11"/>
        <tr r="D184" s="11"/>
        <tr r="K316" s="11"/>
        <tr r="D766" s="11"/>
        <tr r="L866" s="11"/>
        <tr r="E124" s="11"/>
        <tr r="E550" s="11"/>
        <tr r="K955" s="11"/>
        <tr r="H280" s="11"/>
        <tr r="K639" s="11"/>
        <tr r="D171" s="11"/>
        <tr r="K949" s="11"/>
        <tr r="H273" s="11"/>
        <tr r="F647" s="11"/>
        <tr r="L258" s="11"/>
        <tr r="I325" s="11"/>
        <tr r="B454" s="11"/>
        <tr r="B880" s="11"/>
        <tr r="E237" s="11"/>
        <tr r="I414" s="11"/>
        <tr r="C625" s="11"/>
        <tr r="K643" s="11"/>
        <tr r="E875" s="11"/>
        <tr r="F893" s="11"/>
        <tr r="D135" s="11"/>
        <tr r="K913" s="11"/>
        <tr r="H20" s="11"/>
        <tr r="I1120" s="11"/>
        <tr r="L222" s="11"/>
        <tr r="E332" s="11"/>
        <tr r="L458" s="11"/>
        <tr r="L1000" s="11"/>
        <tr r="J245" s="11"/>
        <tr r="I442" s="11"/>
        <tr r="C409" s="11"/>
        <tr r="E1038" s="11"/>
        <tr r="D1210" s="11"/>
        <tr r="L1036" s="11"/>
        <tr r="D181" s="11"/>
        <tr r="G463" s="11"/>
        <tr r="L230" s="11"/>
        <tr r="L1238" s="11"/>
        <tr r="L1251" s="11"/>
        <tr r="L462" s="11"/>
        <tr r="J706" s="11"/>
        <tr r="D55" s="11"/>
        <tr r="I36" s="11"/>
        <tr r="J261" s="11"/>
        <tr r="L1161" s="11"/>
        <tr r="J417" s="11"/>
        <tr r="H494" s="11"/>
        <tr r="K537" s="11"/>
        <tr r="B1188" s="11"/>
        <tr r="G983" s="11"/>
        <tr r="D65" s="11"/>
        <tr r="H328" s="11"/>
        <tr r="D590" s="11"/>
        <tr r="K382" s="11"/>
        <tr r="G877" s="11"/>
        <tr r="D38" s="11"/>
        <tr r="E103" s="11"/>
        <tr r="D888" s="11"/>
        <tr r="D808" s="11"/>
        <tr r="H1001" s="11"/>
        <tr r="D224" s="11"/>
        <tr r="D995" s="11"/>
        <tr r="E20" s="11"/>
        <tr r="J141" s="11"/>
        <tr r="G832" s="11"/>
        <tr r="G1009" s="11"/>
        <tr r="C476" s="11"/>
        <tr r="E308" s="11"/>
        <tr r="G370" s="11"/>
        <tr r="K1143" s="11"/>
        <tr r="K492" s="11"/>
        <tr r="H1175" s="11"/>
        <tr r="I144" s="11"/>
        <tr r="J1038" s="11"/>
        <tr r="J1188" s="11"/>
        <tr r="G250" s="11"/>
        <tr r="J1280" s="11"/>
        <tr r="B1223" s="11"/>
        <tr r="C752" s="11"/>
        <tr r="D1213" s="11"/>
        <tr r="G1052" s="11"/>
        <tr r="H801" s="11"/>
        <tr r="D1254" s="11"/>
        <tr r="C1182" s="11"/>
        <tr r="K373" s="11"/>
        <tr r="L767" s="11"/>
        <tr r="D1012" s="11"/>
        <tr r="C335" s="11"/>
        <tr r="G317" s="11"/>
        <tr r="B222" s="11"/>
        <tr r="D523" s="11"/>
        <tr r="G260" s="11"/>
        <tr r="D1141" s="11"/>
        <tr r="D1002" s="11"/>
        <tr r="D1288" s="11"/>
        <tr r="G851" s="11"/>
        <tr r="C1151" s="11"/>
        <tr r="D284" s="11"/>
        <tr r="L729" s="11"/>
        <tr r="F496" s="11"/>
        <tr r="H499" s="11"/>
        <tr r="L652" s="11"/>
        <tr r="L498" s="11"/>
        <tr r="K1026" s="11"/>
        <tr r="B310" s="11"/>
        <tr r="E407" s="11"/>
        <tr r="K508" s="11"/>
        <tr r="L822" s="11"/>
        <tr r="I43" s="11"/>
        <tr r="F654" s="11"/>
        <tr r="H980" s="11"/>
        <tr r="K1018" s="11"/>
        <tr r="J312" s="11"/>
        <tr r="F408" s="11"/>
        <tr r="L19" s="11"/>
        <tr r="J104" s="11"/>
        <tr r="D370" s="11"/>
        <tr r="F1287" s="11"/>
        <tr r="F1232" s="11"/>
        <tr r="K884" s="11"/>
        <tr r="G739" s="11"/>
        <tr r="D133" s="11"/>
        <tr r="K911" s="11"/>
        <tr r="H14" s="11"/>
        <tr r="J7" s="3"/>
        <tr r="J7" s="3"/>
        <tr r="J7" s="3"/>
        <tr r="C959" s="11"/>
        <tr r="H968" s="11"/>
        <tr r="K986" s="11"/>
        <tr r="B318" s="11"/>
        <tr r="J411" s="11"/>
        <tr r="C1027" s="11"/>
        <tr r="K296" s="11"/>
        <tr r="E35" s="11"/>
        <tr r="D1277" s="11"/>
        <tr r="C1022" s="11"/>
        <tr r="K291" s="11"/>
        <tr r="E45" s="11"/>
        <tr r="H21" s="11"/>
        <tr r="I138" s="11"/>
        <tr r="K387" s="11"/>
        <tr r="I483" s="11"/>
        <tr r="L377" s="11"/>
        <tr r="E301" s="11"/>
        <tr r="H446" s="11"/>
        <tr r="I41" s="11"/>
        <tr r="L595" s="11"/>
        <tr r="E107" s="11"/>
        <tr r="D1150" s="11"/>
        <tr r="C986" s="11"/>
        <tr r="K255" s="11"/>
        <tr r="E117" s="11"/>
        <tr r="L1269" s="11"/>
        <tr r="I156" s="11"/>
        <tr r="E391" s="11"/>
        <tr r="H487" s="11"/>
        <tr r="L341" s="11"/>
        <tr r="E321" s="11"/>
        <tr r="K500" s="11"/>
        <tr r="J1029" s="11"/>
        <tr r="E211" s="11"/>
        <tr r="D770" s="11"/>
        <tr r="L758" s="11"/>
        <tr r="C935" s="11"/>
        <tr r="C938" s="11"/>
        <tr r="G417" s="11"/>
        <tr r="D1170" s="11"/>
        <tr r="L1268" s="11"/>
        <tr r="L361" s="11"/>
        <tr r="I600" s="11"/>
        <tr r="K239" s="11"/>
        <tr r="E393" s="11"/>
        <tr r="K452" s="11"/>
        <tr r="D1146" s="11"/>
        <tr r="I158" s="11"/>
        <tr r="K443" s="11"/>
        <tr r="B702" s="11"/>
        <tr r="B1214" s="11"/>
        <tr r="C313" s="11"/>
        <tr r="H1042" s="11"/>
        <tr r="K375" s="11"/>
        <tr r="K436" s="11"/>
        <tr r="J1285" s="11"/>
        <tr r="D130" s="11"/>
        <tr r="B389" s="11"/>
        <tr r="D150" s="11"/>
        <tr r="L1133" s="11"/>
        <tr r="C1037" s="11"/>
        <tr r="E17" s="11"/>
        <tr r="C267" s="11"/>
        <tr r="H257" s="11"/>
        <tr r="K631" s="11"/>
        <tr r="G258" s="11"/>
        <tr r="J38" s="11"/>
        <tr r="D145" s="11"/>
        <tr r="C762" s="11"/>
        <tr r="L1102" s="11"/>
        <tr r="D1283" s="11"/>
        <tr r="H1164" s="11"/>
        <tr r="D933" s="11"/>
        <tr r="J469" s="11"/>
        <tr r="H625" s="11"/>
        <tr r="G292" s="11"/>
        <tr r="B1260" s="11"/>
        <tr r="C1013" s="11"/>
        <tr r="G808" s="11"/>
        <tr r="G1141" s="11"/>
        <tr r="H824" s="11"/>
        <tr r="J1185" s="11"/>
        <tr r="G238" s="11"/>
        <tr r="F1054" s="11"/>
        <tr r="D961" s="11"/>
        <tr r="C783" s="11"/>
        <tr r="H1204" s="11"/>
        <tr r="F338" s="11"/>
        <tr r="D356" s="11"/>
        <tr r="K725" s="11"/>
        <tr r="K1210" s="11"/>
        <tr r="L466" s="11"/>
        <tr r="J768" s="11"/>
        <tr r="J136" s="11"/>
        <tr r="K969" s="11"/>
        <tr r="J147" s="11"/>
        <tr r="K1013" s="11"/>
        <tr r="D1164" s="11"/>
        <tr r="K1124" s="11"/>
        <tr r="H1193" s="11"/>
        <tr r="D32" s="11"/>
        <tr r="D27" s="11"/>
        <tr r="I50" s="11"/>
        <tr r="I266" s="11"/>
        <tr r="L1022" s="11"/>
        <tr r="L1012" s="11"/>
        <tr r="H471" s="11"/>
        <tr r="L1031" s="11"/>
        <tr r="C1237" s="11"/>
        <tr r="F401" s="11"/>
        <tr r="G519" s="11"/>
        <tr r="K1240" s="11"/>
        <tr r="L1006" s="11"/>
        <tr r="L990" s="11"/>
        <tr r="I471" s="11"/>
        <tr r="L999" s="11"/>
        <tr r="B1269" s="11"/>
        <tr r="F1242" s="11"/>
        <tr r="K904" s="11"/>
        <tr r="C361" s="11"/>
        <tr r="G895" s="11"/>
        <tr r="E47" s="11"/>
        <tr r="D1148" s="11"/>
        <tr r="C984" s="11"/>
        <tr r="K253" s="11"/>
        <tr r="E121" s="11"/>
        <tr r="D880" s="11"/>
        <tr r="K1232" s="11"/>
        <tr r="L859" s="11"/>
        <tr r="L839" s="11"/>
        <tr r="B474" s="11"/>
        <tr r="L848" s="11"/>
        <tr r="C371" s="11"/>
        <tr r="H1073" s="11"/>
        <tr r="I393" s="11"/>
        <tr r="D858" s="11"/>
        <tr r="C366" s="11"/>
        <tr r="H1118" s="11"/>
        <tr r="D396" s="11"/>
        <tr r="L981" s="11"/>
        <tr r="E248" s="11"/>
        <tr r="I419" s="11"/>
        <tr r="F544" s="11"/>
        <tr r="E78" s="11"/>
        <tr r="E365" s="11"/>
        <tr r="L485" s="11"/>
        <tr r="H395" s="11"/>
        <tr r="G610" s="11"/>
        <tr r="C408" s="11"/>
        <tr r="D822" s="11"/>
        <tr r="C330" s="11"/>
        <tr r="H1015" s="11"/>
        <tr r="K410" s="11"/>
        <tr r="L920" s="11"/>
        <tr r="J256" s="11"/>
        <tr r="H423" s="11"/>
        <tr r="L561" s="11"/>
        <tr r="E96" s="11"/>
        <tr r="H466" s="11"/>
        <tr r="L1047" s="11"/>
        <tr r="E469" s="11"/>
        <tr r="E25" s="11"/>
        <tr r="H1120" s="11"/>
        <tr r="C415" s="11"/>
        <tr r="D876" s="11"/>
        <tr r="E72" s="11"/>
        <tr r="H263" s="11"/>
        <tr r="I535" s="11"/>
        <tr r="J164" s="11"/>
        <tr r="K308" s="11"/>
        <tr r="G220" s="11"/>
        <tr r="F1229" s="11"/>
        <tr r="G793" s="11"/>
        <tr r="H1226" s="11"/>
        <tr r="J307" s="11"/>
        <tr r="I404" s="11"/>
        <tr r="H251" s="11"/>
        <tr r="H518" s="11"/>
        <tr r="C731" s="11"/>
        <tr r="K785" s="11"/>
        <tr r="G599" s="11"/>
        <tr r="G806" s="11"/>
        <tr r="J32" s="11"/>
        <tr r="G1165" s="11"/>
        <tr r="K258" s="11"/>
        <tr r="D61" s="11"/>
        <tr r="L1139" s="11"/>
        <tr r="C862" s="11"/>
        <tr r="L770" s="11"/>
        <tr r="F1219" s="11"/>
        <tr r="G1230" s="11"/>
        <tr r="G1029" s="11"/>
        <tr r="D1191" s="11"/>
        <tr r="E195" s="11"/>
        <tr r="C492" s="11"/>
        <tr r="C905" s="11"/>
        <tr r="J325" s="11"/>
        <tr r="H746" s="11"/>
        <tr r="E575" s="11"/>
        <tr r="C897" s="11"/>
        <tr r="I326" s="11"/>
        <tr r="J396" s="11"/>
        <tr r="J190" s="11"/>
        <tr r="C764" s="11"/>
        <tr r="D249" s="11"/>
        <tr r="H910" s="11"/>
        <tr r="C1194" s="11"/>
        <tr r="C865" s="11"/>
        <tr r="J333" s="11"/>
        <tr r="K761" s="11"/>
        <tr r="G249" s="11"/>
        <tr r="K756" s="11"/>
        <tr r="H342" s="11"/>
        <tr r="J364" s="11"/>
        <tr r="L821" s="11"/>
        <tr r="K432" s="11"/>
        <tr r="D542" s="11"/>
        <tr r="G4" s="11"/>
        <tr r="K720" s="11"/>
        <tr r="H306" s="11"/>
        <tr r="F502" s="11"/>
        <tr r="C557" s="11"/>
        <tr r="F400" s="11"/>
        <tr r="E473" s="11"/>
        <tr r="L904" s="11"/>
        <tr r="L764" s="11"/>
        <tr r="E553" s="11"/>
        <tr r="C1003" s="11"/>
        <tr r="E399" s="11"/>
        <tr r="D1268" s="11"/>
        <tr r="H246" s="11"/>
        <tr r="L725" s="11"/>
        <tr r="G583" s="11"/>
        <tr r="K287" s="11"/>
        <tr r="E387" s="11"/>
        <tr r="C446" s="11"/>
        <tr r="D1202" s="11"/>
        <tr r="I126" s="11"/>
        <tr r="I425" s="11"/>
        <tr r="E867" s="11"/>
        <tr r="K1123" s="11"/>
        <tr r="I219" s="11"/>
        <tr r="D810" s="11"/>
        <tr r="L872" s="11"/>
        <tr r="E102" s="11"/>
        <tr r="J788" s="11"/>
        <tr r="H967" s="11"/>
        <tr r="C427" s="11"/>
        <tr r="E497" s="11"/>
        <tr r="D786" s="11"/>
        <tr r="I285" s="11"/>
        <tr r="F507" s="11"/>
        <tr r="C741" s="11"/>
        <tr r="E240" s="11"/>
        <tr r="E357" s="11"/>
        <tr r="L963" s="11"/>
        <tr r="I14" s="11"/>
        <tr r="E338" s="11"/>
        <tr r="F773" s="11"/>
        <tr r="C239" s="11"/>
        <tr r="J844" s="11"/>
        <tr r="D871" s="11"/>
        <tr r="L1013" s="11"/>
        <tr r="E62" s="11"/>
        <tr r="I560" s="11"/>
        <tr r="H1102" s="11"/>
        <tr r="D420" s="11"/>
        <tr r="G485" s="11"/>
        <tr r="D866" s="11"/>
        <tr r="F263" s="11"/>
        <tr r="D702" s="11"/>
        <tr r="C280" s="11"/>
        <tr r="K336" s="11"/>
        <tr r="B653" s="11"/>
        <tr r="D187" s="11"/>
        <tr r="L274" s="11"/>
        <tr r="I234" s="11"/>
        <tr r="B697" s="11"/>
        <tr r="H245" s="11"/>
        <tr r="J456" s="11"/>
        <tr r="D634" s="11"/>
        <tr r="D163" s="11"/>
        <tr r="J372" s="11"/>
        <tr r="E633" s="11"/>
        <tr r="K1051" s="11"/>
        <tr r="E304" s="11"/>
        <tr r="G405" s="11"/>
        <tr r="I19" s="11"/>
        <tr r="I612" s="11"/>
        <tr r="K814" s="11"/>
        <tr r="H818" s="11"/>
        <tr r="C930" s="11"/>
        <tr r="C925" s="11"/>
        <tr r="I186" s="11"/>
        <tr r="J321" s="11"/>
        <tr r="B249" s="11"/>
        <tr r="B253" s="11"/>
        <tr r="B498" s="11"/>
        <tr r="I251" s="11"/>
        <tr r="C885" s="11"/>
        <tr r="H435" s="11"/>
        <tr r="L667" s="11"/>
        <tr r="H1144" s="11"/>
        <tr r="C502" s="11"/>
        <tr r="K1227" s="11"/>
        <tr r="K1222" s="11"/>
        <tr r="J284" s="11"/>
        <tr r="G394" s="11"/>
        <tr r="C472" s="11"/>
        <tr r="K474" s="11"/>
        <tr r="L628" s="11"/>
        <tr r="C473" s="11"/>
        <tr r="K974" s="11"/>
        <tr r="H483" s="11"/>
        <tr r="L236" s="11"/>
        <tr r="H963" s="11"/>
        <tr r="I427" s="11"/>
        <tr r="B537" s="11"/>
        <tr r="C1058" s="11"/>
        <tr r="B414" s="11"/>
        <tr r="E800" s="11"/>
        <tr r="H1289" s="11"/>
        <tr r="J371" s="11"/>
        <tr r="C275" s="11"/>
        <tr r="C270" s="11"/>
        <tr r="J268" s="11"/>
        <tr r="K384" s="11"/>
        <tr r="G443" s="11"/>
        <tr r="D445" s="11"/>
        <tr r="E598" s="11"/>
        <tr r="G444" s="11"/>
        <tr r="K1181" s="11"/>
        <tr r="E472" s="11"/>
        <tr r="L1007" s="11"/>
        <tr r="H815" s="11"/>
        <tr r="C1249" s="11"/>
        <tr r="K841" s="11"/>
        <tr r="K836" s="11"/>
        <tr r="J348" s="11"/>
        <tr r="L425" s="11"/>
        <tr r="G293" s="11"/>
        <tr r="H882" s="11"/>
        <tr r="L865" s="11"/>
        <tr r="D526" s="11"/>
        <tr r="K219" s="11"/>
        <tr r="I953" s="11"/>
        <tr r="D426" s="11"/>
        <tr r="H237" s="11"/>
        <tr r="E456" s="11"/>
        <tr r="L292" s="11"/>
        <tr r="G498" s="11"/>
        <tr r="L902" s="11"/>
        <tr r="H550" s="11"/>
        <tr r="L300" s="11"/>
        <tr r="I327" s="11"/>
        <tr r="B921" s="11"/>
        <tr r="J233" s="11"/>
        <tr r="G1289" s="11"/>
        <tr r="L452" s="11"/>
        <tr r="H646" s="11"/>
        <tr r="J796" s="11"/>
        <tr r="C511" s="11"/>
        <tr r="J1019" s="11"/>
        <tr r="L736" s="11"/>
        <tr r="I99" s="11"/>
        <tr r="J605" s="11"/>
        <tr r="B256" s="11"/>
        <tr r="B496" s="11"/>
        <tr r="C708" s="11"/>
        <tr r="E310" s="11"/>
        <tr r="E844" s="11"/>
        <tr r="I311" s="11"/>
        <tr r="J848" s="11"/>
        <tr r="H599" s="11"/>
        <tr r="J729" s="11"/>
        <tr r="F807" s="11"/>
        <tr r="G617" s="11"/>
        <tr r="J855" s="11"/>
        <tr r="I809" s="11"/>
        <tr r="F305" s="11"/>
        <tr r="J816" s="11"/>
        <tr r="D596" s="11"/>
        <tr r="I409" s="11"/>
        <tr r="E686" s="11"/>
        <tr r="D491" s="11"/>
        <tr r="K530" s="11"/>
        <tr r="E716" s="11"/>
        <tr r="C514" s="11"/>
        <tr r="L796" s="11"/>
        <tr r="H560" s="11"/>
        <tr r="I13" s="11"/>
        <tr r="C388" s="11"/>
        <tr r="J536" s="11"/>
        <tr r="J249" s="11"/>
        <tr r="F1146" s="11"/>
        <tr r="K459" s="11"/>
        <tr r="I737" s="11"/>
        <tr r="L492" s="11"/>
        <tr r="J540" s="11"/>
        <tr r="I1270" s="11"/>
        <tr r="I593" s="11"/>
        <tr r="F849" s="11"/>
        <tr r="K595" s="11"/>
        <tr r="J862" s="11"/>
        <tr r="K580" s="11"/>
        <tr r="F738" s="11"/>
        <tr r="C660" s="11"/>
        <tr r="L669" s="11"/>
        <tr r="G1253" s="11"/>
        <tr r="E746" s="11"/>
        <tr r="F583" s="11"/>
        <tr r="I759" s="11"/>
        <tr r="B629" s="11"/>
        <tr r="F634" s="11"/>
        <tr r="H633" s="11"/>
        <tr r="L885" s="11"/>
        <tr r="K439" s="11"/>
        <tr r="I582" s="11"/>
        <tr r="E965" s="11"/>
        <tr r="E570" s="11"/>
        <tr r="F492" s="11"/>
        <tr r="L563" s="11"/>
        <tr r="I371" s="11"/>
        <tr r="G571" s="11"/>
        <tr r="E1029" s="11"/>
        <tr r="I541" s="11"/>
        <tr r="F1020" s="11"/>
        <tr r="E538" s="11"/>
        <tr r="F577" s="11"/>
        <tr r="I63" s="11"/>
        <tr r="I587" s="11"/>
        <tr r="K608" s="11"/>
        <tr r="E616" s="11"/>
        <tr r="E218" s="11"/>
        <tr r="F625" s="11"/>
        <tr r="G637" s="11"/>
        <tr r="K662" s="11"/>
        <tr r="F1128" s="11"/>
        <tr r="K664" s="11"/>
        <tr r="J708" s="11"/>
        <tr r="I1115" s="11"/>
        <tr r="E888" s="11"/>
        <tr r="I984" s="11"/>
        <tr r="J1123" s="11"/>
        <tr r="F57" s="11"/>
        <tr r="L393" s="11"/>
        <tr r="L1085" s="11"/>
        <tr r="K695" s="11"/>
        <tr r="F450" s="11"/>
        <tr r="C1189" s="11"/>
        <tr r="C407" s="11"/>
        <tr r="C839" s="11"/>
        <tr r="C263" s="11"/>
        <tr r="J638" s="11"/>
        <tr r="D935" s="11"/>
        <tr r="L1029" s="11"/>
        <tr r="E54" s="11"/>
        <tr r="K534" s="11"/>
        <tr r="H1101" s="11"/>
        <tr r="B418" s="11"/>
        <tr r="J483" s="11"/>
        <tr r="D924" s="11"/>
        <tr r="J260" s="11"/>
        <tr r="K645" s="11"/>
        <tr r="B390" s="11"/>
        <tr r="F1231" s="11"/>
        <tr r="J95" s="11"/>
        <tr r="H789" s="11"/>
        <tr r="H915" s="11"/>
        <tr r="B501" s="11"/>
        <tr r="J1204" s="11"/>
        <tr r="C965" s="11"/>
        <tr r="F1037" s="11"/>
        <tr r="J1251" s="11"/>
        <tr r="I388" s="11"/>
        <tr r="C907" s="11"/>
        <tr r="J239" s="11"/>
        <tr r="K1162" s="11"/>
        <tr r="J311" s="11"/>
        <tr r="F309" s="11"/>
        <tr r="D753" s="11"/>
        <tr r="G276" s="11"/>
        <tr r="C1056" s="11"/>
        <tr r="K1052" s="11"/>
        <tr r="E534" s="11"/>
        <tr r="J204" s="11"/>
        <tr r="H1110" s="11"/>
        <tr r="D272" s="11"/>
        <tr r="D1174" s="11"/>
        <tr r="L365" s="11"/>
        <tr r="D378" s="11"/>
        <tr r="B1184" s="11"/>
        <tr r="C756" s="11"/>
        <tr r="D1149" s="11"/>
        <tr r="G978" s="11"/>
        <tr r="L1230" s="11"/>
        <tr r="J391" s="11"/>
        <tr r="D1153" s="11"/>
        <tr r="G1244" s="11"/>
        <tr r="D900" s="11"/>
        <tr r="C384" s="11"/>
        <tr r="H1038" s="11"/>
        <tr r="D387" s="11"/>
        <tr r="D292" s="11"/>
        <tr r="K284" s="11"/>
        <tr r="K824" s="11"/>
        <tr r="J505" s="11"/>
        <tr r="I1062" s="11"/>
        <tr r="J56" s="11"/>
        <tr r="K246" s="11"/>
        <tr r="J67" s="11"/>
        <tr r="K354" s="11"/>
        <tr r="D1049" s="11"/>
        <tr r="K830" s="11"/>
        <tr r="H838" s="11"/>
        <tr r="C946" s="11"/>
        <tr r="C941" s="11"/>
        <tr r="I178" s="11"/>
        <tr r="E317" s="11"/>
        <tr r="I236" s="11"/>
        <tr r="I240" s="11"/>
        <tr r="I496" s="11"/>
        <tr r="E238" s="11"/>
        <tr r="C901" s="11"/>
        <tr r="D432" s="11"/>
        <tr r="B643" s="11"/>
        <tr r="K1136" s="11"/>
        <tr r="J243" s="11"/>
        <tr r="J247" s="11"/>
        <tr r="B497" s="11"/>
        <tr r="F245" s="11"/>
        <tr r="F1279" s="11"/>
        <tr r="F1053" s="11"/>
        <tr r="K310" s="11"/>
        <tr r="J1291" s="11"/>
        <tr r="G809" s="11"/>
        <tr r="B353" s="11"/>
        <tr r="D1087" s="11"/>
        <tr r="C919" s="11"/>
        <tr r="H1288" s="11"/>
        <tr r="B229" s="11"/>
        <tr r="D807" s="11"/>
        <tr r="K1153" s="11"/>
        <tr r="I268" s="11"/>
        <tr r="I272" s="11"/>
        <tr r="F501" s="11"/>
        <tr r="E270" s="11"/>
        <tr r="C307" s="11"/>
        <tr r="H992" s="11"/>
        <tr r="F418" s="11"/>
        <tr r="D794" s="11"/>
        <tr r="C302" s="11"/>
        <tr r="H987" s="11"/>
        <tr r="C420" s="11"/>
        <tr r="L889" s="11"/>
        <tr r="I261" s="11"/>
        <tr r="F425" s="11"/>
        <tr r="D574" s="11"/>
        <tr r="E110" s="11"/>
        <tr r="I378" s="11"/>
        <tr r="C494" s="11"/>
        <tr r="F419" s="11"/>
        <tr r="F509" s="11"/>
        <tr r="B431" s="11"/>
        <tr r="D758" s="11"/>
        <tr r="C266" s="11"/>
        <tr r="H947" s="11"/>
        <tr r="J433" s="11"/>
        <tr r="L858" s="11"/>
        <tr r="E268" s="11"/>
        <tr r="E428" s="11"/>
        <tr r="K587" s="11"/>
        <tr r="E128" s="11"/>
        <tr r="C406" s="11"/>
        <tr r="L816" s="11"/>
        <tr r="I1082" s="11"/>
        <tr r="J500" s="11"/>
        <tr r="C837" s="11"/>
        <tr r="L438" s="11"/>
        <tr r="E423" s="11"/>
        <tr r="I1104" s="11"/>
        <tr r="B508" s="11"/>
        <tr r="L1196" s="11"/>
        <tr r="G353" s="11"/>
        <tr r="D83" s="11"/>
        <tr r="K283" s="11"/>
        <tr r="B411" s="11"/>
        <tr r="L266" s="11"/>
        <tr r="K388" s="11"/>
        <tr r="F623" s="11"/>
        <tr r="H469" s="11"/>
        <tr r="I287" s="11"/>
        <tr r="J720" s="11"/>
        <tr r="E402" s="11"/>
        <tr r="L638" s="11"/>
        <tr r="J785" s="11"/>
        <tr r="K349" s="11"/>
        <tr r="L355" s="11"/>
        <tr r="D988" s="11"/>
        <tr r="C327" s="11"/>
        <tr r="H275" s="11"/>
        <tr r="H808" s="11"/>
        <tr r="I439" s="11"/>
        <tr r="D539" s="11"/>
        <tr r="C802" s="11"/>
        <tr r="H1139" s="11"/>
        <tr r="J323" s="11"/>
        <tr r="D975" s="11"/>
        <tr r="C797" s="11"/>
        <tr r="H1134" s="11"/>
        <tr r="J327" s="11"/>
        <tr r="L1046" s="11"/>
        <tr r="I229" s="11"/>
        <tr r="H411" s="11"/>
        <tr r="K510" s="11"/>
        <tr r="E30" s="11"/>
        <tr r="I346" s="11"/>
        <tr r="G473" s="11"/>
        <tr r="F325" s="11"/>
        <tr r="B1019" s="11"/>
        <tr r="E351" s="11"/>
        <tr r="D898" s="11"/>
        <tr r="C761" s="11"/>
        <tr r="H1083" s="11"/>
        <tr r="E355" s="11"/>
        <tr r="L1075" s="11"/>
        <tr r="E236" s="11"/>
        <tr r="G414" s="11"/>
        <tr r="I522" s="11"/>
        <tr r="E48" s="11"/>
        <tr r="E353" s="11"/>
        <tr r="B477" s="11"/>
        <tr r="J354" s="11"/>
        <tr r="I520" s="11"/>
        <tr r="F342" s="11"/>
        <tr r="D946" s="11"/>
        <tr r="C374" s="11"/>
        <tr r="H348" s="11"/>
        <tr r="H238" s="11"/>
        <tr r="F247" s="11"/>
        <tr r="F449" s="11"/>
        <tr r="F380" s="11"/>
        <tr r="G499" s="11"/>
        <tr r="E574" s="11"/>
        <tr r="H703" s="11"/>
        <tr r="E860" s="11"/>
        <tr r="F732" s="11"/>
        <tr r="C344" s="11"/>
        <tr r="H1029" s="11"/>
        <tr r="D405" s="11"/>
        <tr r="D252" s="11"/>
        <tr r="K757" s="11"/>
        <tr r="D1066" s="11"/>
        <tr r="L1202" s="11"/>
        <tr r="L285" s="11"/>
        <tr r="G631" s="11"/>
        <tr r="K1035" s="11"/>
        <tr r="H886" s="11"/>
        <tr r="F516" s="11"/>
        <tr r="D239" s="11"/>
        <tr r="K1030" s="11"/>
        <tr r="H380" s="11"/>
        <tr r="E523" s="11"/>
        <tr r="L338" s="11"/>
        <tr r="I309" s="11"/>
        <tr r="C447" s="11"/>
        <tr r="L676" s="11"/>
        <tr r="E221" s="11"/>
        <tr r="J407" s="11"/>
        <tr r="D586" s="11"/>
        <tr r="F520" s="11"/>
        <tr r="I962" s="11"/>
        <tr r="K575" s="11"/>
        <tr r="D215" s="11"/>
        <tr r="K994" s="11"/>
        <tr r="H332" s="11"/>
        <tr r="J582" s="11"/>
        <tr r="L302" s="11"/>
        <tr r="E316" s="11"/>
        <tr r="B450" s="11"/>
        <tr r="B738" s="11"/>
        <tr r="J229" s="11"/>
        <tr r="I410" s="11"/>
        <tr r="F603" s="11"/>
        <tr r="K579" s="11"/>
        <tr r="F721" s="11"/>
        <tr r="G552" s="11"/>
        <tr r="D22" s="11"/>
        <tr r="K812" s="11"/>
        <tr r="F282" s="11"/>
        <tr r="L774" s="11"/>
        <tr r="E352" s="11"/>
        <tr r="H503" s="11"/>
        <tr r="L356" s="11"/>
        <tr r="I107" s="11"/>
        <tr r="L607" s="11"/>
        <tr r="E262" s="11"/>
        <tr r="J502" s="11"/>
        <tr r="B715" s="11"/>
        <tr r="K1178" s="11"/>
        <tr r="H813" s="11"/>
        <tr r="B475" s="11"/>
        <tr r="L742" s="11"/>
        <tr r="J292" s="11"/>
        <tr r="C439" s="11"/>
        <tr r="C629" s="11"/>
        <tr r="E186" s="11"/>
        <tr r="G399" s="11"/>
        <tr r="H637" s="11"/>
        <tr r="B603" s="11"/>
        <tr r="J493" s="11"/>
        <tr r="L240" s="11"/>
        <tr r="C917" s="11"/>
        <tr r="H952" s="11"/>
        <tr r="H778" s="11"/>
        <tr r="I190" s="11"/>
        <tr r="B430" s="11"/>
        <tr r="F252" s="11"/>
        <tr r="H438" s="11"/>
        <tr r="B460" s="11"/>
        <tr r="E788" s="11"/>
        <tr r="C493" s="11"/>
        <tr r="G546" s="11"/>
        <tr r="G32" s="8"/>
        <tr r="G32" s="8"/>
        <tr r="G32" s="8"/>
        <tr r="H1075" s="11"/>
        <tr r="B357" s="11"/>
        <tr r="D332" s="11"/>
        <tr r="K865" s="11"/>
        <tr r="G349" s="11"/>
        <tr r="H758" s="11"/>
        <tr r="L916" s="11"/>
        <tr r="I505" s="11"/>
        <tr r="K1171" s="11"/>
        <tr r="H809" s="11"/>
        <tr r="I476" s="11"/>
        <tr r="D319" s="11"/>
        <tr r="K1151" s="11"/>
        <tr r="H803" s="11"/>
        <tr r="F478" s="11"/>
        <tr r="L734" s="11"/>
        <tr r="I293" s="11"/>
        <tr r="D440" s="11"/>
        <tr r="G632" s="11"/>
        <tr r="E190" s="11"/>
        <tr r="K400" s="11"/>
        <tr r="F540" s="11"/>
        <tr r="I477" s="11"/>
        <tr r="I688" s="11"/>
        <tr r="I490" s="11"/>
        <tr r="D283" s="11"/>
        <tr r="K1133" s="11"/>
        <tr r="H755" s="11"/>
        <tr r="K493" s="11"/>
        <tr r="L382" s="11"/>
        <tr r="E300" s="11"/>
        <tr r="C443" s="11"/>
        <tr r="D646" s="11"/>
        <tr r="E208" s="11"/>
        <tr r="J403" s="11"/>
        <tr r="G561" s="11"/>
        <tr r="D492" s="11"/>
        <tr r="I766" s="11"/>
        <tr r="J485" s="11"/>
        <tr r="D295" s="11"/>
        <tr r="K909" s="11"/>
        <tr r="E157" s="11"/>
        <tr r="L942" s="11"/>
        <tr r="I333" s="11"/>
        <tr r="J489" s="11"/>
        <tr r="I597" s="11"/>
        <tr r="L320" s="11"/>
        <tr r="E577" s="11"/>
        <tr r="I117" s="11"/>
        <tr r="I449" s="11"/>
        <tr r="G621" s="11"/>
        <tr r="K992" s="11"/>
        <tr r="H329" s="11"/>
        <tr r="C585" s="11"/>
        <tr r="C1148" s="11"/>
        <tr r="H1045" s="11"/>
        <tr r="C338" s="11"/>
        <tr r="B254" s="11"/>
        <tr r="B371" s="11"/>
        <tr r="C1133" s="11"/>
        <tr r="K376" s="11"/>
        <tr r="L779" s="11"/>
        <tr r="D1249" s="11"/>
        <tr r="C1174" s="11"/>
        <tr r="K371" s="11"/>
        <tr r="L759" s="11"/>
        <tr r="H294" s="11"/>
        <tr r="I98" s="11"/>
        <tr r="I373" s="11"/>
        <tr r="J476" s="11"/>
        <tr r="L773" s="11"/>
        <tr r="E285" s="11"/>
        <tr r="F436" s="11"/>
        <tr r="L768" s="11"/>
        <tr r="C563" s="11"/>
        <tr r="L319" s="11"/>
        <tr r="D1214" s="11"/>
        <tr r="C1132" s="11"/>
        <tr r="K335" s="11"/>
        <tr r="L299" s="11"/>
        <tr r="H258" s="11"/>
        <tr r="I116" s="11"/>
        <tr r="E380" s="11"/>
        <tr r="I479" s="11"/>
        <tr r="L737" s="11"/>
        <tr r="J293" s="11"/>
        <tr r="F440" s="11"/>
        <tr r="L308" s="11"/>
        <tr r="L579" s="11"/>
        <tr r="L367" s="11"/>
        <tr r="D1226" s="11"/>
        <tr r="C1143" s="11"/>
        <tr r="H1202" s="11"/>
        <tr r="D495" s="11"/>
        <tr r="I94" s="11"/>
        <tr r="K413" s="11"/>
        <tr r="E18" s="11"/>
        <tr r="F819" s="11"/>
        <tr r="G408" s="11"/>
        <tr r="C667" s="11"/>
        <tr r="G487" s="11"/>
        <tr r="C524" s="11"/>
        <tr r="F693" s="11"/>
        <tr r="K796" s="11"/>
        <tr r="L1037" s="11"/>
        <tr r="H382" s="11"/>
        <tr r="I54" s="11"/>
        <tr r="J356" s="11"/>
        <tr r="J468" s="11"/>
        <tr r="L861" s="11"/>
        <tr r="F268" s="11"/>
        <tr r="F428" s="11"/>
        <tr r="I216" s="11"/>
        <tr r="D644" s="11"/>
        <tr r="I629" s="11"/>
        <tr r="I179" s="11"/>
        <tr r="L369" s="11"/>
        <tr r="E597" s="11"/>
        <tr r="C387" s="11"/>
        <tr r="J588" s="11"/>
        <tr r="L464" s="11"/>
        <tr r="I647" s="11"/>
        <tr r="J1073" s="11"/>
        <tr r="K221" s="11"/>
        <tr r="E185" s="11"/>
        <tr r="D839" s="11"/>
        <tr r="K1187" s="11"/>
        <tr r="E91" s="11"/>
        <tr r="E101" s="11"/>
        <tr r="G486" s="11"/>
        <tr r="I97" s="11"/>
        <tr r="C339" s="11"/>
        <tr r="H1024" s="11"/>
        <tr r="L407" s="11"/>
        <tr r="D826" s="11"/>
        <tr r="C334" s="11"/>
        <tr r="H1019" s="11"/>
        <tr r="I408" s="11"/>
        <tr r="L936" s="11"/>
        <tr r="F255" s="11"/>
        <tr r="B422" s="11"/>
        <tr r="L559" s="11"/>
        <tr r="E94" s="11"/>
        <tr r="F372" s="11"/>
        <tr r="D489" s="11"/>
        <tr r="L408" s="11"/>
        <tr r="J664" s="11"/>
        <tr r="H420" s="11"/>
        <tr r="D790" s="11"/>
        <tr r="C298" s="11"/>
        <tr r="H983" s="11"/>
        <tr r="E421" s="11"/>
        <tr r="L873" s="11"/>
        <tr r="B262" s="11"/>
        <tr r="L426" s="11"/>
        <tr r="F575" s="11"/>
        <tr r="E112" s="11"/>
        <tr r="B379" s="11"/>
        <tr r="L495" s="11"/>
        <tr r="H421" s="11"/>
        <tr r="C515" s="11"/>
        <tr r="B415" s="11"/>
        <tr r="D802" s="11"/>
        <tr r="K1231" s="11"/>
        <tr r="L1193" s="11"/>
        <tr r="L1152" s="11"/>
        <tr r="B282" s="11"/>
        <tr r="F465" s="11"/>
        <tr r="L433" s="11"/>
        <tr r="G712" s="11"/>
        <tr r="I501" s="11"/>
        <tr r="I1245" s="11"/>
        <tr r="E990" s="11"/>
        <tr r="F1183" s="11"/>
        <tr r="C8" s="11"/>
        <tr r="H913" s="11"/>
        <tr r="B451" s="11"/>
        <tr r="D136" s="11"/>
        <tr r="K252" s="11"/>
        <tr r="D259" s="11"/>
        <tr r="L358" s="11"/>
        <tr r="E217" s="11"/>
        <tr r="B843" s="11"/>
        <tr r="K906" s="11"/>
        <tr r="L1272" s="11"/>
        <tr r="G729" s="11"/>
        <tr r="D123" s="11"/>
        <tr r="K901" s="11"/>
        <tr r="L1239" s="11"/>
        <tr r="H802" s="11"/>
        <tr r="L10" s="11"/>
        <tr r="F335" s="11"/>
        <tr r="H459" s="11"/>
        <tr r="L988" s="11"/>
        <tr r="B247" s="11"/>
        <tr r="D419" s="11"/>
        <tr r="J650" s="11"/>
        <tr r="I489" s="11"/>
        <tr r="J1003" s="11"/>
        <tr r="G357" s="11"/>
        <tr r="D87" s="11"/>
        <tr r="K864" s="11"/>
        <tr r="L1192" s="11"/>
        <tr r="H766" s="11"/>
        <tr r="I20" s="11"/>
        <tr r="B342" s="11"/>
        <tr r="G462" s="11"/>
        <tr r="L948" s="11"/>
        <tr r="I254" s="11"/>
        <tr r="C422" s="11"/>
        <tr r="I741" s="11"/>
        <tr r="E502" s="11"/>
        <tr r="L1290" s="11"/>
        <tr r="G369" s="11"/>
        <tr r="D99" s="11"/>
        <tr r="K299" s="11"/>
        <tr r="H400" s="11"/>
        <tr r="L282" s="11"/>
        <tr r="K386" s="11"/>
        <tr r="G600" s="11"/>
        <tr r="I445" s="11"/>
        <tr r="E274" s="11"/>
        <tr r="C689" s="11"/>
        <tr r="H392" s="11"/>
        <tr r="F538" s="11"/>
        <tr r="C656" s="11"/>
        <tr r="K990" s="11"/>
        <tr r="H327" s="11"/>
        <tr r="G588" s="11"/>
        <tr r="L298" s="11"/>
        <tr r="I317" s="11"/>
        <tr r="H451" s="11"/>
        <tr r="F751" s="11"/>
        <tr r="E229" s="11"/>
        <tr r="D411" s="11"/>
        <tr r="L1130" s="11"/>
        <tr r="J890" s="11"/>
        <tr r="C530" s="11"/>
        <tr r="I51" s="11"/>
        <tr r="C757" s="11"/>
        <tr r="H902" s="11"/>
        <tr r="H286" s="11"/>
        <tr r="I237" s="11"/>
        <tr r="B446" s="11"/>
        <tr r="I354" s="11"/>
        <tr r="F484" s="11"/>
        <tr r="H522" s="11"/>
        <tr r="B975" s="11"/>
        <tr r="F626" s="11"/>
        <tr r="L679" s="11"/>
        <tr r="C296" s="11"/>
        <tr r="H981" s="11"/>
        <tr r="F422" s="11"/>
        <tr r="D216" s="11"/>
        <tr r="K356" s="11"/>
        <tr r="D887" s="11"/>
        <tr r="L1017" s="11"/>
        <tr r="E60" s="11"/>
        <tr r="I552" s="11"/>
        <tr r="K987" s="11"/>
        <tr r="H323" s="11"/>
        <tr r="B592" s="11"/>
        <tr r="D203" s="11"/>
        <tr r="K982" s="11"/>
        <tr r="H316" s="11"/>
        <tr r="L600" s="11"/>
        <tr r="L290" s="11"/>
        <tr r="F319" s="11"/>
        <tr r="I451" s="11"/>
        <tr r="E776" s="11"/>
        <tr r="B231" s="11"/>
        <tr r="E411" s="11"/>
        <tr r="C609" s="11"/>
        <tr r="B596" s="11"/>
        <tr r="I874" s="11"/>
        <tr r="B645" s="11"/>
        <tr r="D167" s="11"/>
        <tr r="K945" s="11"/>
        <tr r="H268" s="11"/>
        <tr r="C655" s="11"/>
        <tr r="L254" s="11"/>
        <tr r="B326" s="11"/>
        <tr r="H455" s="11"/>
        <tr r="F902" s="11"/>
        <tr r="I238" s="11"/>
        <tr r="D415" s="11"/>
        <tr r="E626" s="11"/>
        <tr r="H651" s="11"/>
        <tr r="E1048" s="11"/>
        <tr r="F627" s="11"/>
        <tr r="D179" s="11"/>
        <tr r="K748" s="11"/>
        <tr r="B333" s="11"/>
        <tr r="L915" s="11"/>
        <tr r="I365" s="11"/>
        <tr r="F512" s="11"/>
        <tr r="E254" s="11"/>
        <tr r="I203" s="11"/>
        <tr r="E625" s="11"/>
        <tr r="J314" s="11"/>
        <tr r="F578" s="11"/>
        <tr r="M19" s="10"/>
        <tr r="M19" s="10"/>
        <tr r="M19" s="10"/>
        <tr r="K862" s="11"/>
        <tr r="L1185" s="11"/>
        <tr r="D1151" s="11"/>
        <tr r="C894" s="11"/>
        <tr r="H925" s="11"/>
        <tr r="K792" s="11"/>
        <tr r="E356" s="11"/>
        <tr r="L429" s="11"/>
        <tr r="C979" s="11"/>
        <tr r="K248" s="11"/>
        <tr r="E131" s="11"/>
        <tr r="D1138" s="11"/>
        <tr r="C974" s="11"/>
        <tr r="K243" s="11"/>
        <tr r="E141" s="11"/>
        <tr r="L1221" s="11"/>
        <tr r="I162" s="11"/>
        <tr r="K393" s="11"/>
        <tr r="J488" s="11"/>
        <tr r="L329" s="11"/>
        <tr r="B311" s="11"/>
        <tr r="E451" s="11"/>
        <tr r="I137" s="11"/>
        <tr r="C612" s="11"/>
        <tr r="E203" s="11"/>
        <tr r="D1098" s="11"/>
        <tr r="C937" s="11"/>
        <tr r="H1279" s="11"/>
        <tr r="E213" s="11"/>
        <tr r="L1228" s="11"/>
        <tr r="I180" s="11"/>
        <tr r="E397" s="11"/>
        <tr r="E492" s="11"/>
        <tr r="L293" s="11"/>
        <tr r="I318" s="11"/>
        <tr r="K456" s="11"/>
        <tr r="I209" s="11"/>
        <tr r="G627" s="11"/>
        <tr r="E179" s="11"/>
        <tr r="D1203" s="11"/>
        <tr r="C949" s="11"/>
        <tr r="H931" s="11"/>
        <tr r="H794" s="11"/>
        <tr r="I174" s="11"/>
        <tr r="K429" s="11"/>
        <tr r="B239" s="11"/>
        <tr r="J5" s="3"/>
        <tr r="J5" s="3"/>
        <tr r="J5" s="3"/>
        <tr r="E454" s="11"/>
        <tr r="B664" s="11"/>
        <tr r="I1112" s="11"/>
        <tr r="H523" s="11"/>
        <tr r="F1075" s="11"/>
        <tr r="K331" s="11"/>
        <tr r="L283" s="11"/>
        <tr r="H254" s="11"/>
        <tr r="I118" s="11"/>
        <tr r="I381" s="11"/>
        <tr r="D480" s="11"/>
        <tr r="L733" s="11"/>
        <tr r="E293" s="11"/>
        <tr r="G441" s="11"/>
        <tr r="J370" s="11"/>
        <tr r="I830" s="11"/>
        <tr r="E1145" s="11"/>
        <tr r="I239" s="11"/>
        <tr r="H605" s="11"/>
        <tr r="H585" s="11"/>
        <tr r="B772" s="11"/>
        <tr r="K583" s="11"/>
        <tr r="L304" s="11"/>
        <tr r="B316" s="11"/>
        <tr r="J450" s="11"/>
        <tr r="J732" s="11"/>
        <tr r="G579" s="11"/>
        <tr r="J873" s="11"/>
        <tr r="J639" s="11"/>
        <tr r="F1029" s="11"/>
        <tr r="I125" s="11"/>
        <tr r="G420" s="11"/>
        <tr r="E744" s="11"/>
        <tr r="F667" s="11"/>
        <tr r="F455" s="11"/>
        <tr r="J670" s="11"/>
        <tr r="B1139" s="11"/>
        <tr r="B1127" s="11"/>
        <tr r="F628" s="11"/>
        <tr r="E1086" s="11"/>
        <tr r="J1158" s="11"/>
        <tr r="L781" s="11"/>
        <tr r="F284" s="11"/>
        <tr r="E435" s="11"/>
        <tr r="L800" s="11"/>
        <tr r="C559" s="11"/>
        <tr r="F452" s="11"/>
        <tr r="I805" s="11"/>
        <tr r="I91" s="11"/>
        <tr r="E370" s="11"/>
        <tr r="K475" s="11"/>
        <tr r="B504" s="11"/>
        <tr r="H604" s="11"/>
        <tr r="G547" s="11"/>
        <tr r="F678" s="11"/>
        <tr r="H13" s="11"/>
        <tr r="F253" s="11"/>
        <tr r="G452" s="11"/>
        <tr r="I513" s="11"/>
        <tr r="E1039" s="11"/>
        <tr r="E490" s="11"/>
        <tr r="F1064" s="11"/>
        <tr r="I610" s="11"/>
        <tr r="F981" s="11"/>
        <tr r="D701" s="11"/>
        <tr r="J877" s="11"/>
        <tr r="I1212" s="11"/>
        <tr r="E10" s="11"/>
        <tr r="I338" s="11"/>
        <tr r="K468" s="11"/>
        <tr r="F293" s="11"/>
        <tr r="J752" s="11"/>
        <tr r="G477" s="11"/>
        <tr r="L1275" s="11"/>
        <tr r="B220" s="11"/>
        <tr r="E406" s="11"/>
        <tr r="K504" s="11"/>
        <tr r="C529" s="11"/>
        <tr r="B631" s="11"/>
        <tr r="I655" s="11"/>
        <tr r="I846" s="11"/>
        <tr r="L912" s="11"/>
        <tr r="E326" s="11"/>
        <tr r="I485" s="11"/>
        <tr r="B595" s="11"/>
        <tr r="I47" s="11"/>
        <tr r="H596" s="11"/>
        <tr r="F518" s="11"/>
        <tr r="E649" s="11"/>
        <tr r="C583" s="11"/>
        <tr r="E1171" s="11"/>
        <tr r="Q28" s="9"/>
        <tr r="Q28" s="9"/>
        <tr r="Q28" s="9"/>
        <tr r="E694" s="11"/>
        <tr r="I69" s="11"/>
        <tr r="J362" s="11"/>
        <tr r="K471" s="11"/>
        <tr r="B500" s="11"/>
        <tr r="H600" s="11"/>
        <tr r="G531" s="11"/>
        <tr r="F662" s="11"/>
        <tr r="B700" s="11"/>
        <tr r="I71" s="11"/>
        <tr r="E362" s="11"/>
        <tr r="F471" s="11"/>
        <tr r="H501" s="11"/>
        <tr r="C600" s="11"/>
        <tr r="I532" s="11"/>
        <tr r="H664" s="11"/>
        <tr r="E621" s="11"/>
        <tr r="L523" s="11"/>
        <tr r="G622" s="11"/>
        <tr r="F521" s="11"/>
        <tr r="L621" s="11"/>
        <tr r="K654" s="11"/>
        <tr r="F780" s="11"/>
        <tr r="E676" s="11"/>
        <tr r="E1098" s="11"/>
        <tr r="K589" s="11"/>
        <tr r="H519" s="11"/>
        <tr r="E652" s="11"/>
        <tr r="K714" s="11"/>
        <tr r="D9" s="3"/>
        <tr r="D9" s="3"/>
        <tr r="D9" s="3"/>
        <tr r="F650" s="11"/>
        <tr r="E43" s="10"/>
        <tr r="E43" s="10"/>
        <tr r="E43" s="10"/>
        <tr r="E1173" s="11"/>
        <tr r="B99" s="11"/>
        <tr r="J986" s="11"/>
        <tr r="I1020" s="11"/>
        <tr r="B9" s="11"/>
        <tr r="D597" s="11"/>
        <tr r="E521" s="11"/>
        <tr r="L651" s="11"/>
        <tr r="B39" s="11"/>
        <tr r="I55" s="11"/>
        <tr r="B356" s="11"/>
        <tr r="B468" s="11"/>
        <tr r="D498" s="11"/>
        <tr r="J597" s="11"/>
        <tr r="K522" s="11"/>
        <tr r="C652" s="11"/>
        <tr r="B40" s="11"/>
        <tr r="H520" s="11"/>
        <tr r="K625" s="11"/>
        <tr r="K555" s="11"/>
        <tr r="J856" s="11"/>
        <tr r="I786" s="11"/>
        <tr r="H433" s="11"/>
        <tr r="L604" s="11"/>
        <tr r="H558" s="11"/>
        <tr r="B696" s="11"/>
        <tr r="E568" s="11"/>
        <tr r="I1085" s="11"/>
        <tr r="L220" s="11"/>
        <tr r="H396" s="11"/>
        <tr r="D582" s="11"/>
        <tr r="I564" s="11"/>
        <tr r="E378" s="11"/>
        <tr r="I566" s="11"/>
        <tr r="F629" s="11"/>
        <tr r="F796" s="11"/>
        <tr r="K529" s="11"/>
        <tr r="B679" s="11"/>
        <tr r="E1075" s="11"/>
        <tr r="L996" s="11"/>
        <tr r="E245" s="11"/>
        <tr r="C418" s="11"/>
        <tr r="B644" s="11"/>
        <tr r="G1273" s="11"/>
        <tr r="D10" s="10"/>
        <tr r="D10" s="10"/>
        <tr r="D10" s="10"/>
        <tr r="G612" s="11"/>
        <tr r="L224" s="11"/>
        <tr r="B332" s="11"/>
        <tr r="I457" s="11"/>
        <tr r="K487" s="11"/>
        <tr r="F586" s="11"/>
        <tr r="J1149" s="11"/>
        <tr r="B704" s="11"/>
        <tr r="J953" s="11"/>
        <tr r="I181" s="11"/>
        <tr r="H429" s="11"/>
        <tr r="J490" s="11"/>
        <tr r="L715" s="11"/>
        <tr r="B484" s="11"/>
        <tr r="C716" s="11"/>
        <tr r="B534" s="11"/>
        <tr r="J704" s="11"/>
        <tr r="I701" s="11"/>
        <tr r="F697" s="11"/>
        <tr r="B1089" s="11"/>
        <tr r="L879" s="11"/>
        <tr r="F300" s="11"/>
        <tr r="L445" s="11"/>
        <tr r="I25" s="11"/>
        <tr r="H592" s="11"/>
        <tr r="E459" s="11"/>
        <tr r="H228" s="11"/>
        <tr r="I131" s="11"/>
        <tr r="C385" s="11"/>
        <tr r="J482" s="11"/>
        <tr r="L512" s="11"/>
        <tr r="G611" s="11"/>
        <tr r="B582" s="11"/>
        <tr r="B707" s="11"/>
        <tr r="L1287" s="11"/>
        <tr r="I275" s="11"/>
        <tr r="J462" s="11"/>
        <tr r="C525" s="11"/>
        <tr r="L1248" s="11"/>
        <tr r="L520" s="11"/>
        <tr r="I640" s="11"/>
        <tr r="E639" s="11"/>
        <tr r="E941" s="11"/>
        <tr r="E761" s="11"/>
        <tr r="F1017" s="11"/>
        <tr r="D44" s="9"/>
        <tr r="D44" s="9"/>
        <tr r="D44" s="9"/>
        <tr r="L268" s="11"/>
        <tr r="I323" s="11"/>
        <tr r="I453" s="11"/>
        <tr r="F847" s="11"/>
        <tr r="F582" s="11"/>
        <tr r="J981" s="11"/>
        <tr r="L656" s="11"/>
        <tr r="E1120" s="11"/>
        <tr r="L264" s="11"/>
        <tr r="B324" s="11"/>
        <tr r="D454" s="11"/>
        <tr r="J860" s="11"/>
        <tr r="L583" s="11"/>
        <tr r="I1006" s="11"/>
        <tr r="E658" s="11"/>
        <tr r="F1133" s="11"/>
        <tr r="I1090" s="11"/>
        <tr r="E604" s="11"/>
        <tr r="I1100" s="11"/>
        <tr r="J603" s="11"/>
        <tr r="I1070" s="11"/>
        <tr r="E741" s="11"/>
        <tr r="C1113" s="11"/>
        <tr r="I905" s="11"/>
        <tr r="I563" s="11"/>
        <tr r="B870" s="11"/>
        <tr r="D627" s="11"/>
        <tr r="L691" s="11"/>
        <tr r="E1022" s="11"/>
        <tr r="F640" s="11"/>
        <tr r="I1043" s="11"/>
        <tr r="I812" s="11"/>
        <tr r="F941" s="11"/>
        <tr r="E957" s="11"/>
        <tr r="J1112" s="11"/>
        <tr r="K1253" s="11"/>
        <tr r="B579" s="11"/>
        <tr r="B881" s="11"/>
        <tr r="L641" s="11"/>
        <tr r="I1051" s="11"/>
        <tr r="L296" s="11"/>
        <tr r="J318" s="11"/>
        <tr r="K451" s="11"/>
        <tr r="I757" s="11"/>
        <tr r="H580" s="11"/>
        <tr r="E885" s="11"/>
        <tr r="C642" s="11"/>
        <tr r="E1064" s="11"/>
        <tr r="E993" s="11"/>
        <tr r="L602" s="11"/>
        <tr r="G530" s="11"/>
        <tr r="B688" s="11"/>
        <tr r="F415" s="11"/>
        <tr r="J852" s="11"/>
        <tr r="E500" s="11"/>
        <tr r="D555" s="11"/>
        <tr r="J1005" s="11"/>
        <tr r="L545" s="11"/>
        <tr r="L732" s="11"/>
        <tr r="H568" s="11"/>
        <tr r="I53" s="11"/>
        <tr r="E414" s="11"/>
        <tr r="I574" s="11"/>
        <tr r="E261" s="11"/>
        <tr r="C442" s="11"/>
        <tr r="H465" s="11"/>
        <tr r="I1094" s="11"/>
        <tr r="K499" s="11"/>
        <tr r="K569" s="11"/>
        <tr r="G1276" s="11"/>
        <tr r="H617" s="11"/>
        <tr r="H686" s="11"/>
        <tr r="J618" s="11"/>
        <tr r="E691" s="11"/>
        <tr r="H586" s="11"/>
        <tr r="J815" s="11"/>
        <tr r="B667" s="11"/>
        <tr r="K692" s="11"/>
        <tr r="I1050" s="11"/>
        <tr r="I1117" s="11"/>
        <tr r="E606" s="11"/>
        <tr r="I1166" s="11"/>
        <tr r="G641" s="11"/>
        <tr r="B520" s="11"/>
        <tr r="L1040" s="11"/>
        <tr r="L820" s="11"/>
        <tr r="F530" s="11"/>
        <tr r="E98" s="11"/>
        <tr r="G704" s="11"/>
        <tr r="E422" s="11"/>
        <tr r="B522" s="11"/>
        <tr r="J523" s="11"/>
        <tr r="E588" s="11"/>
        <tr r="B765" s="11"/>
        <tr r="J590" s="11"/>
        <tr r="L336" s="11"/>
        <tr r="C576" s="11"/>
        <tr r="I109" s="11"/>
        <tr r="L444" s="11"/>
        <tr r="F612" s="11"/>
        <tr r="E246" s="11"/>
        <tr r="K649" s="11"/>
        <tr r="I247" s="11"/>
        <tr r="D650" s="11"/>
        <tr r="D569" s="11"/>
        <tr r="L695" s="11"/>
        <tr r="H643" s="11"/>
        <tr r="I861" s="11"/>
        <tr r="L665" s="11"/>
        <tr r="G644" s="11"/>
        <tr r="F241" s="11"/>
        <tr r="E644" s="11"/>
        <tr r="D565" s="11"/>
        <tr r="F613" s="11"/>
        <tr r="J761" s="11"/>
        <tr r="C1260" s="11"/>
        <tr r="F747" s="11"/>
        <tr r="E884" s="11"/>
        <tr r="J525" s="11"/>
        <tr r="I359" s="11"/>
        <tr r="L527" s="11"/>
        <tr r="E620" s="11"/>
        <tr r="J777" s="11"/>
        <tr r="F517" s="11"/>
        <tr r="I644" s="11"/>
        <tr r="J970" s="11"/>
        <tr r="G1095" s="11"/>
        <tr r="E1266" s="11"/>
        <tr r="F1143" s="11"/>
        <tr r="G643" s="11"/>
        <tr r="C1091" s="11"/>
        <tr r="B546" s="11"/>
        <tr r="I746" s="11"/>
        <tr r="I1257" s="11"/>
        <tr r="I649" s="11"/>
        <tr r="D406" s="11"/>
        <tr r="I651" s="11"/>
        <tr r="K652" s="11"/>
        <tr r="J841" s="11"/>
        <tr r="E559" s="11"/>
        <tr r="I810" s="11"/>
        <tr r="B927" s="11"/>
        <tr r="G539" s="11"/>
        <tr r="F670" s="11"/>
        <tr r="D541" s="11"/>
        <tr r="C672" s="11"/>
        <tr r="E1114" s="11"/>
        <tr r="I877" s="11"/>
        <tr r="H236" s="11"/>
        <tr r="H632" s="11"/>
        <tr r="K1274" s="11"/>
        <tr r="G573" s="11"/>
        <tr r="H532" s="11"/>
        <tr r="L724" s="11"/>
        <tr r="K542" s="11"/>
        <tr r="D579" s="11"/>
        <tr r="J1157" s="11"/>
        <tr r="P23" s="8"/>
        <tr r="P23" s="8"/>
        <tr r="P23" s="8"/>
        <tr r="H43" s="3"/>
        <tr r="H43" s="3"/>
        <tr r="H43" s="3"/>
        <tr r="P36" s="10"/>
        <tr r="P36" s="10"/>
        <tr r="P36" s="10"/>
        <tr r="G673" s="11"/>
        <tr r="E19" s="8"/>
        <tr r="E19" s="8"/>
        <tr r="E19" s="8"/>
        <tr r="H682" s="11"/>
        <tr r="F953" s="11"/>
        <tr r="I732" s="11"/>
        <tr r="H29" s="3"/>
        <tr r="H29" s="3"/>
        <tr r="H29" s="3"/>
        <tr r="E751" s="11"/>
        <tr r="K1259" s="11"/>
        <tr r="Q29" s="8"/>
        <tr r="Q29" s="8"/>
        <tr r="Q29" s="8"/>
        <tr r="F724" s="11"/>
        <tr r="D552" s="11"/>
        <tr r="I950" s="11"/>
        <tr r="H658" s="11"/>
        <tr r="D14" s="8"/>
        <tr r="D14" s="8"/>
        <tr r="D14" s="8"/>
        <tr r="F750" s="11"/>
        <tr r="J858" s="11"/>
        <tr r="F745" s="11"/>
        <tr r="E1196" s="11"/>
        <tr r="G17" s="3"/>
        <tr r="G17" s="3"/>
        <tr r="G17" s="3"/>
        <tr r="J16" s="8"/>
        <tr r="J16" s="8"/>
        <tr r="J16" s="8"/>
        <tr r="B429" s="11"/>
        <tr r="F277" s="11"/>
        <tr r="F675" s="11"/>
        <tr r="G289" s="11"/>
        <tr r="H1174" s="11"/>
        <tr r="D1017" s="11"/>
        <tr r="K301" s="11"/>
        <tr r="L1214" s="11"/>
        <tr r="C754" s="11"/>
        <tr r="C749" s="11"/>
        <tr r="F239" s="11"/>
        <tr r="F356" s="11"/>
        <tr r="I387" s="11"/>
        <tr r="D390" s="11"/>
        <tr r="K540" s="11"/>
        <tr r="H389" s="11"/>
        <tr r="C310" s="11"/>
        <tr r="C455" s="11"/>
        <tr r="J893" s="11"/>
        <tr r="F238" s="11"/>
        <tr r="K1176" s="11"/>
        <tr r="K274" s="11"/>
        <tr r="D867" s="11"/>
        <tr r="L850" s="11"/>
        <tr r="J1217" s="11"/>
        <tr r="B1237" s="11"/>
        <tr r="H812" s="11"/>
        <tr r="D1157" s="11"/>
        <tr r="B1058" s="11"/>
        <tr r="G855" s="11"/>
        <tr r="K1028" s="11"/>
        <tr r="I526" s="11"/>
        <tr r="H1254" s="11"/>
        <tr r="I225" s="11"/>
        <tr r="B1205" s="11"/>
        <tr r="G636" s="11"/>
        <tr r="G1168" s="11"/>
        <tr r="K297" s="11"/>
        <tr r="E457" s="11"/>
        <tr r="H309" s="11"/>
        <tr r="K326" s="11"/>
        <tr r="L1088" s="11"/>
        <tr r="C838" s="11"/>
        <tr r="K279" s="11"/>
        <tr r="J447" s="11"/>
        <tr r="H753" s="11"/>
        <tr r="G1213" s="11"/>
        <tr r="H1063" s="11"/>
        <tr r="J1186" s="11"/>
        <tr r="G248" s="11"/>
        <tr r="J1264" s="11"/>
        <tr r="B1249" s="11"/>
        <tr r="C989" s="11"/>
        <tr r="G924" s="11"/>
        <tr r="D305" s="11"/>
        <tr r="K1156" s="11"/>
        <tr r="H784" s="11"/>
        <tr r="B483" s="11"/>
        <tr r="D36" s="11"/>
        <tr r="H892" s="11"/>
        <tr r="F298" s="11"/>
        <tr r="E172" s="11"/>
        <tr r="J283" s="11"/>
        <tr r="F558" s="11"/>
        <tr r="J413" s="11"/>
        <tr r="F1249" s="11"/>
        <tr r="I396" s="11"/>
        <tr r="D724" s="11"/>
        <tr r="L1123" s="11"/>
        <tr r="K327" s="11"/>
        <tr r="K11" s="11"/>
        <tr r="K4" s="11"/>
        <tr r="K397" s="11"/>
        <tr r="E455" s="11"/>
        <tr r="D1051" s="11"/>
        <tr r="L1172" s="11"/>
        <tr r="L261" s="11"/>
        <tr r="L643" s="11"/>
        <tr r="H888" s="11"/>
        <tr r="J265" s="11"/>
        <tr r="D502" s="11"/>
        <tr r="K749" s="11"/>
        <tr r="D1043" s="11"/>
        <tr r="L1164" s="11"/>
        <tr r="L253" s="11"/>
        <tr r="K648" s="11"/>
        <tr r="D182" s="11"/>
        <tr r="G902" s="11"/>
        <tr r="E7" s="11"/>
        <tr r="J163" s="11"/>
        <tr r="D910" s="11"/>
        <tr r="G1188" s="11"/>
        <tr r="D820" s="11"/>
        <tr r="C328" s="11"/>
        <tr r="H1013" s="11"/>
        <tr r="L411" s="11"/>
        <tr r="D236" s="11"/>
        <tr r="K737" s="11"/>
        <tr r="D1085" s="11"/>
        <tr r="L1132" s="11"/>
        <tr r="L221" s="11"/>
        <tr r="K679" s="11"/>
        <tr r="K1019" s="11"/>
        <tr r="H365" s="11"/>
        <tr r="E539" s="11"/>
        <tr r="D223" s="11"/>
        <tr r="K1014" s="11"/>
        <tr r="H359" s="11"/>
        <tr r="D547" s="11"/>
        <tr r="L322" s="11"/>
        <tr r="E312" s="11"/>
        <tr r="E448" s="11"/>
        <tr r="K699" s="11"/>
        <tr r="J225" s="11"/>
        <tr r="L409" s="11"/>
        <tr r="C593" s="11"/>
        <tr r="E543" s="11"/>
        <tr r="F1172" s="11"/>
        <tr r="J598" s="11"/>
        <tr r="D199" s="11"/>
        <tr r="K978" s="11"/>
        <tr r="H311" s="11"/>
        <tr r="I605" s="11"/>
        <tr r="L286" s="11"/>
        <tr r="J320" s="11"/>
        <tr r="D452" s="11"/>
        <tr r="I789" s="11"/>
        <tr r="F232" s="11"/>
        <tr r="J435" s="11"/>
        <tr r="B328" s="11"/>
        <tr r="G868" s="11"/>
        <tr r="G225" s="11"/>
        <tr r="H829" s="11"/>
        <tr r="J309" s="11"/>
        <tr r="C450" s="11"/>
        <tr r="I113" s="11"/>
        <tr r="H608" s="11"/>
        <tr r="E83" s="11"/>
        <tr r="D1162" s="11"/>
        <tr r="C998" s="11"/>
        <tr r="H1011" s="11"/>
        <tr r="E634" s="11"/>
        <tr r="I142" s="11"/>
        <tr r="C423" s="11"/>
        <tr r="E178" s="11"/>
        <tr r="E653" s="11"/>
        <tr r="C437" s="11"/>
        <tr r="D587" s="11"/>
        <tr r="C605" s="11"/>
        <tr r="G648" s="11"/>
        <tr r="D40" s="9"/>
        <tr r="D40" s="9"/>
        <tr r="D40" s="9"/>
        <tr r="H1160" s="11"/>
        <tr r="F306" s="11"/>
        <tr r="D917" s="11"/>
        <tr r="K950" s="11"/>
        <tr r="G475" s="11"/>
        <tr r="D477" s="11"/>
        <tr r="E630" s="11"/>
        <tr r="G476" s="11"/>
        <tr r="K1244" s="11"/>
        <tr r="H893" s="11"/>
        <tr r="J453" s="11"/>
        <tr r="D383" s="11"/>
        <tr r="K1239" s="11"/>
        <tr r="H873" s="11"/>
        <tr r="G455" s="11"/>
        <tr r="L798" s="11"/>
        <tr r="E280" s="11"/>
        <tr r="G434" s="11"/>
        <tr r="H609" s="11"/>
        <tr r="E158" s="11"/>
        <tr r="G392" s="11"/>
        <tr r="C510" s="11"/>
        <tr r="J454" s="11"/>
        <tr r="I661" s="11"/>
        <tr r="F466" s="11"/>
        <tr r="D347" s="11"/>
        <tr r="K1202" s="11"/>
        <tr r="H833" s="11"/>
        <tr r="C468" s="11"/>
        <tr r="L762" s="11"/>
        <tr r="J288" s="11"/>
        <tr r="F437" s="11"/>
        <tr r="D622" s="11"/>
        <tr r="E176" s="11"/>
        <tr r="L397" s="11"/>
        <tr r="J527" s="11"/>
        <tr r="F467" s="11"/>
        <tr r="H648" s="11"/>
        <tr r="K462" s="11"/>
        <tr r="D359" s="11"/>
        <tr r="K1006" s="11"/>
        <tr r="L219" s="11"/>
        <tr r="L989" s="11"/>
        <tr r="B314" s="11"/>
        <tr r="F481" s="11"/>
        <tr r="E495" s="11"/>
        <tr r="L881" s="11"/>
        <tr r="G548" s="11"/>
        <tr r="L316" s="11"/>
        <tr r="E314" s="11"/>
        <tr r="J820" s="11"/>
        <tr r="K1053" s="11"/>
        <tr r="H731" s="11"/>
        <tr r="L502" s="11"/>
        <tr r="C1214" s="11"/>
        <tr r="H1147" s="11"/>
        <tr r="C929" s="11"/>
        <tr r="I184" s="11"/>
        <tr r="F320" s="11"/>
        <tr r="C1234" s="11"/>
        <tr r="K777" s="11"/>
        <tr r="L1030" s="11"/>
        <tr r="G265" s="11"/>
        <tr r="C1229" s="11"/>
        <tr r="K772" s="11"/>
        <tr r="L1020" s="11"/>
        <tr r="H358" s="11"/>
        <tr r="I66" s="11"/>
        <tr r="E360" s="11"/>
        <tr r="B470" s="11"/>
        <tr r="L837" s="11"/>
        <tr r="J273" s="11"/>
        <tr r="I430" s="11"/>
        <tr r="L1099" s="11"/>
        <tr r="G536" s="11"/>
        <tr r="L877" s="11"/>
        <tr r="G229" s="11"/>
        <tr r="C1193" s="11"/>
        <tr r="K736" s="11"/>
        <tr r="L882" s="11"/>
        <tr r="H322" s="11"/>
        <tr r="I84" s="11"/>
        <tr r="J368" s="11"/>
        <tr r="L474" s="11"/>
        <tr r="L801" s="11"/>
        <tr r="F280" s="11"/>
        <tr r="H434" s="11"/>
        <tr r="L918" s="11"/>
        <tr r="C549" s="11"/>
        <tr r="L962" s="11"/>
        <tr r="G241" s="11"/>
        <tr r="C1205" s="11"/>
        <tr r="H1191" s="11"/>
        <tr r="H464" s="11"/>
        <tr r="I46" s="11"/>
        <tr r="L406" s="11"/>
        <tr r="L749" s="11"/>
        <tr r="F574" s="11"/>
        <tr r="F377" s="11"/>
        <tr r="I562" s="11"/>
        <tr r="B456" s="11"/>
        <tr r="G623" s="11"/>
        <tr r="J13" s="3"/>
        <tr r="J13" s="3"/>
        <tr r="J13" s="3"/>
        <tr r="K860" s="11"/>
        <tr r="L1184" s="11"/>
        <tr r="H762" s="11"/>
        <tr r="I22" s="11"/>
        <tr r="F343" s="11"/>
        <tr r="B462" s="11"/>
        <tr r="L932" s="11"/>
        <tr r="B255" s="11"/>
        <tr r="I422" s="11"/>
        <tr r="I89" s="11"/>
        <tr r="L646" s="11"/>
        <tr r="J606" s="11"/>
        <tr r="I147" s="11"/>
        <tr r="C246" s="11"/>
        <tr r="L1250" s="11"/>
        <tr r="L1255" s="11"/>
        <tr r="E272" s="11"/>
        <tr r="K461" s="11"/>
        <tr r="G421" s="11"/>
        <tr r="L624" s="11"/>
        <tr r="D490" s="11"/>
        <tr r="K1086" s="11"/>
        <tr r="B811" s="11"/>
        <tr r="E826" s="11"/>
        <tr r="K1200" s="11"/>
        <tr r="H831" s="11"/>
        <tr r="D469" s="11"/>
        <tr r="D88" s="11"/>
        <tr r="H1284" s="11"/>
        <tr r="D79" s="11"/>
        <tr r="I24" s="11"/>
        <tr r="F256" s="11"/>
        <tr r="D80" s="11"/>
        <tr r="K857" s="11"/>
        <tr r="L1177" s="11"/>
        <tr r="G345" s="11"/>
        <tr r="D75" s="11"/>
        <tr r="K852" s="11"/>
        <tr r="L1167" s="11"/>
        <tr r="H754" s="11"/>
        <tr r="I26" s="11"/>
        <tr r="E344" s="11"/>
        <tr r="C463" s="11"/>
        <tr r="L900" s="11"/>
        <tr r="J257" s="11"/>
        <tr r="J423" s="11"/>
        <tr r="J915" s="11"/>
        <tr r="K507" s="11"/>
        <tr r="L1112" s="11"/>
        <tr r="G309" s="11"/>
        <tr r="D39" s="11"/>
        <tr r="K816" s="11"/>
        <tr r="L1072" s="11"/>
        <tr r="H946" s="11"/>
        <tr r="I44" s="11"/>
        <tr r="J352" s="11"/>
        <tr r="B466" s="11"/>
        <tr r="L922" s="11"/>
        <tr r="F264" s="11"/>
        <tr r="I426" s="11"/>
        <tr r="L1240" s="11"/>
        <tr r="G520" s="11"/>
        <tr r="L1129" s="11"/>
        <tr r="G321" s="11"/>
        <tr r="D51" s="11"/>
        <tr r="K235" s="11"/>
        <tr r="G423" s="11"/>
        <tr r="L218" s="11"/>
        <tr r="K394" s="11"/>
        <tr r="E710" s="11"/>
        <tr r="L558" s="11"/>
        <tr r="F313" s="11"/>
        <tr r="I857" s="11"/>
        <tr r="C417" s="11"/>
        <tr r="F636" s="11"/>
        <tr r="B886" s="11"/>
        <tr r="K734" s="11"/>
        <tr r="L863" s="11"/>
        <tr r="D1037" s="11"/>
        <tr r="C726" s="11"/>
        <tr r="H360" s="11"/>
        <tr r="H1023" s="11"/>
        <tr r="G422" s="11"/>
        <tr r="F488" s="11"/>
        <tr r="C850" s="11"/>
        <tr r="H1184" s="11"/>
        <tr r="I284" s="11"/>
        <tr r="D1023" s="11"/>
        <tr r="C845" s="11"/>
        <tr r="H1182" s="11"/>
        <tr r="I288" s="11"/>
        <tr r="L1197" s="11"/>
        <tr r="J220" s="11"/>
        <tr r="B406" s="11"/>
        <tr r="H504" s="11"/>
        <tr r="E6" s="11"/>
        <tr r="J337" s="11"/>
        <tr r="J467" s="11"/>
        <tr r="E286" s="11"/>
        <tr r="J718" s="11"/>
        <tr r="B313" s="11"/>
        <tr r="D987" s="11"/>
        <tr r="C809" s="11"/>
        <tr r="H1146" s="11"/>
        <tr r="B317" s="11"/>
        <tr r="L1061" s="11"/>
        <tr r="F227" s="11"/>
        <tr r="L410" s="11"/>
        <tr r="C508" s="11"/>
        <tr r="E24" s="11"/>
        <tr r="F344" s="11"/>
        <tr r="E471" s="11"/>
        <tr r="I315" s="11"/>
        <tr r="I869" s="11"/>
        <tr r="E303" s="11"/>
        <tr r="D999" s="11"/>
        <tr r="C773" s="11"/>
        <tr r="H749" s="11"/>
        <tr r="H302" s="11"/>
        <tr r="B234" s="11"/>
        <tr r="I443" s="11"/>
        <tr r="E341" s="11"/>
        <tr r="I478" s="11"/>
        <tr r="K506" s="11"/>
        <tr r="B859" s="11"/>
        <tr r="J601" s="11"/>
        <tr r="B655" s="11"/>
        <tr r="C933" s="11"/>
        <tr r="H1263" s="11"/>
        <tr r="F218" s="11"/>
        <tr r="L1267" s="11"/>
        <tr r="I182" s="11"/>
        <tr r="K398" s="11"/>
        <tr r="G493" s="11"/>
        <tr r="L289" s="11"/>
        <tr r="B319" s="11"/>
        <tr r="F456" s="11"/>
        <tr r="F451" s="11"/>
        <tr r="J439" s="11"/>
        <tr r="L1232" s="11"/>
        <tr r="J278" s="11"/>
        <tr r="B303" s="11"/>
        <tr r="G461" s="11"/>
        <tr r="L484" s="11"/>
        <tr r="J713" s="11"/>
        <tr r="G528" s="11"/>
        <tr r="J646" s="11"/>
        <tr r="C360" s="11"/>
        <tr r="H1094" s="11"/>
        <tr r="D399" s="11"/>
        <tr r="D268" s="11"/>
        <tr r="K781" s="11"/>
        <tr r="D1158" s="11"/>
        <tr r="L1233" s="11"/>
        <tr r="L349" s="11"/>
        <tr r="D605" s="11"/>
        <tr r="K1048" s="11"/>
        <tr r="H724" s="11"/>
        <tr r="C504" s="11"/>
        <tr r="D255" s="11"/>
        <tr r="K1043" s="11"/>
        <tr r="H942" s="11"/>
        <tr r="I506" s="11"/>
        <tr r="L354" s="11"/>
        <tr r="B306" s="11"/>
        <tr r="L446" s="11"/>
        <tr r="L662" s="11"/>
        <tr r="I218" s="11"/>
        <tr r="H406" s="11"/>
        <tr r="E578" s="11"/>
        <tr r="B505" s="11"/>
        <tr r="F856" s="11"/>
        <tr r="B545" s="11"/>
        <tr r="D219" s="11"/>
        <tr r="K1010" s="11"/>
        <tr r="H353" s="11"/>
        <tr r="G554" s="11"/>
        <tr r="L318" s="11"/>
        <tr r="I313" s="11"/>
        <tr r="K449" s="11"/>
        <tr r="H705" s="11"/>
        <tr r="E225" s="11"/>
        <tr r="G409" s="11"/>
        <tr r="G596" s="11"/>
        <tr r="L550" s="11"/>
        <tr r="Q16" s="8"/>
        <tr r="Q16" s="8"/>
        <tr r="Q16" s="8"/>
        <tr r="K528" s="11"/>
        <tr r="D231" s="11"/>
        <tr r="K828" s="11"/>
        <tr r="I256" s="11"/>
        <tr r="L790" s="11"/>
        <tr r="I349" s="11"/>
        <tr r="D499" s="11"/>
        <tr r="L944" s="11"/>
        <tr r="I75" s="11"/>
        <tr r="D601" s="11"/>
        <tr r="I243" s="11"/>
        <tr r="I713" s="11"/>
        <tr r="D685" s="11"/>
        <tr r="K927" s="11"/>
        <tr r="H241" s="11"/>
        <tr r="I773" s="11"/>
        <tr r="C983" s="11"/>
        <tr r="H988" s="11"/>
        <tr r="K1047" s="11"/>
        <tr r="I305" s="11"/>
        <tr r="B405" s="11"/>
        <tr r="C1140" s="11"/>
        <tr r="K312" s="11"/>
        <tr r="L5" s="11"/>
        <tr r="D1269" s="11"/>
        <tr r="C1039" s="11"/>
        <tr r="K307" s="11"/>
        <tr r="E13" s="11"/>
        <tr r="H230" s="11"/>
        <tr r="I130" s="11"/>
        <tr r="K385" s="11"/>
        <tr r="G482" s="11"/>
        <tr r="L911" s="11"/>
        <tr r="I298" s="11"/>
        <tr r="K444" s="11"/>
        <tr r="I9" s="11"/>
        <tr r="D589" s="11"/>
        <tr r="E75" s="11"/>
        <tr r="D1166" s="11"/>
        <tr r="C1002" s="11"/>
        <tr r="K271" s="11"/>
        <tr r="E85" s="11"/>
        <tr r="L1252" s="11"/>
        <tr r="I148" s="11"/>
        <tr r="E389" s="11"/>
        <tr r="F485" s="11"/>
        <tr r="L357" s="11"/>
        <tr r="E305" s="11"/>
        <tr r="F448" s="11"/>
        <tr r="I81" s="11"/>
        <tr r="K602" s="11"/>
        <tr r="E51" s="11"/>
        <tr r="D1178" s="11"/>
        <tr r="C1014" s="11"/>
        <tr r="H1086" s="11"/>
        <tr r="F611" s="11"/>
        <tr r="I134" s="11"/>
        <tr r="J420" s="11"/>
        <tr r="E146" s="11"/>
        <tr r="F620" s="11"/>
        <tr r="F431" s="11"/>
        <tr r="E560" s="11"/>
        <tr r="G576" s="11"/>
        <tr r="I623" s="11"/>
        <tr r="F1005" s="11"/>
        <tr r="K732" s="11"/>
        <tr r="L855" s="11"/>
        <tr r="H318" s="11"/>
        <tr r="I86" s="11"/>
        <tr r="E368" s="11"/>
        <tr r="G474" s="11"/>
        <tr r="L797" s="11"/>
        <tr r="J281" s="11"/>
        <tr r="C434" s="11"/>
        <tr r="E318" s="11"/>
        <tr r="D677" s="11"/>
        <tr r="E656" s="11"/>
        <tr r="E226" s="11"/>
        <tr r="K1037" s="11"/>
        <tr r="L727" s="11"/>
        <tr r="L1059" s="11"/>
        <tr r="J308" s="11"/>
        <tr r="K477" s="11"/>
        <tr r="H478" s="11"/>
        <tr r="L1083" s="11"/>
        <tr r="B536" s="11"/>
        <tr r="L808" s="11"/>
        <tr r="I207" s="11"/>
        <tr r="B622" s="11"/>
        <tr r="K1008" s="11"/>
        <tr r="H351" s="11"/>
        <tr r="G558" s="11"/>
        <tr r="C1179" s="11"/>
        <tr r="H1088" s="11"/>
        <tr r="C737" s="11"/>
        <tr r="I241" s="11"/>
        <tr r="I358" s="11"/>
        <tr r="C1185" s="11"/>
        <tr r="K729" s="11"/>
        <tr r="L843" s="11"/>
        <tr r="G217" s="11"/>
        <tr r="C1177" s="11"/>
        <tr r="K724" s="11"/>
        <tr r="L823" s="11"/>
        <tr r="H310" s="11"/>
        <tr r="I90" s="11"/>
        <tr r="B370" s="11"/>
        <tr r="H475" s="11"/>
        <tr r="L789" s="11"/>
        <tr r="I282" s="11"/>
        <tr r="D435" s="11"/>
        <tr r="L832" s="11"/>
        <tr r="C555" s="11"/>
        <tr r="L871" s="11"/>
        <tr r="D1255" s="11"/>
        <tr r="C1159" s="11"/>
        <tr r="K351" s="11"/>
        <tr r="L363" s="11"/>
        <tr r="H274" s="11"/>
        <tr r="I108" s="11"/>
        <tr r="I377" s="11"/>
        <tr r="G478" s="11"/>
        <tr r="L753" s="11"/>
        <tr r="E289" s="11"/>
        <tr r="I438" s="11"/>
        <tr r="L372" s="11"/>
        <tr r="D573" s="11"/>
        <tr r="L747" s="11"/>
        <tr r="D1233" s="11"/>
        <tr r="C1142" s="11"/>
        <tr r="H1126" s="11"/>
        <tr r="C487" s="11"/>
        <tr r="I78" s="11"/>
        <tr r="I411" s="11"/>
        <tr r="L241" s="11"/>
        <tr r="G656" s="11"/>
        <tr r="J402" s="11"/>
        <tr r="H635" s="11"/>
        <tr r="L480" s="11"/>
        <tr r="E943" s="11"/>
        <tr r="B1149" s="11"/>
        <tr r="K269" s="11"/>
        <tr r="E89" s="11"/>
        <tr r="D944" s="11"/>
        <tr r="C219" s="11"/>
        <tr r="L1039" s="11"/>
        <tr r="L1090" s="11"/>
        <tr r="E468" s="11"/>
        <tr r="L1259" s="11"/>
        <tr r="C722" s="11"/>
        <tr r="H1041" s="11"/>
        <tr r="I385" s="11"/>
        <tr r="D892" s="11"/>
        <tr r="C382" s="11"/>
        <tr r="H1117" s="11"/>
        <tr r="D388" s="11"/>
        <tr r="L997" s="11"/>
        <tr r="I245" s="11"/>
        <tr r="G418" s="11"/>
        <tr r="I538" s="11"/>
        <tr r="E70" s="11"/>
        <tr r="I362" s="11"/>
        <tr r="I482" s="11"/>
        <tr r="H387" s="11"/>
        <tr r="H587" s="11"/>
        <tr r="F402" s="11"/>
        <tr r="D838" s="11"/>
        <tr r="C346" s="11"/>
        <tr r="H1031" s="11"/>
        <tr r="C404" s="11"/>
        <tr r="L961" s="11"/>
        <tr r="E252" s="11"/>
        <tr r="F421" s="11"/>
        <tr r="L553" s="11"/>
        <tr r="E88" s="11"/>
        <tr r="E369" s="11"/>
        <tr r="D487" s="11"/>
        <tr r="F403" s="11"/>
        <tr r="C639" s="11"/>
        <tr r="I397" s="11"/>
        <tr r="D850" s="11"/>
        <tr r="C262" s="11"/>
        <tr r="L1249" s="11"/>
        <tr r="L1254" s="11"/>
        <tr r="I269" s="11"/>
        <tr r="I459" s="11"/>
        <tr r="J415" s="11"/>
        <tr r="B600" s="11"/>
        <tr r="J889" s="11"/>
        <tr r="E1158" s="11"/>
        <tr r="C668" s="11"/>
        <tr r="H679" s="11"/>
        <tr r="C805" s="11"/>
        <tr r="H1142" s="11"/>
        <tr r="I320" s="11"/>
        <tr r="L1054" s="11"/>
        <tr r="J228" s="11"/>
        <tr r="G410" s="11"/>
        <tr r="E508" s="11"/>
        <tr r="E26" s="11"/>
        <tr r="J345" s="11"/>
        <tr r="E479" s="11"/>
        <tr r="E501" s="11"/>
        <tr r="L457" s="11"/>
        <tr r="L1027" s="11"/>
        <tr r="I303" s="11"/>
        <tr r="L864" s="11"/>
        <tr r="C551" s="11"/>
        <tr r="D451" s="11"/>
        <tr r="B754" s="11"/>
        <tr r="I83" s="11"/>
        <tr r="I367" s="11"/>
        <tr r="I473" s="11"/>
        <tr r="K503" s="11"/>
        <tr r="F602" s="11"/>
        <tr r="J541" s="11"/>
        <tr r="I672" s="11"/>
        <tr r="H240" s="11"/>
        <tr r="J250" s="11"/>
        <tr r="E450" s="11"/>
        <tr r="E510" s="11"/>
        <tr r="I1171" s="11"/>
        <tr r="E977" s="11"/>
        <tr r="E1184" s="11"/>
        <tr r="L605" s="11"/>
        <tr r="B918" s="11"/>
        <tr r="C692" s="11"/>
        <tr r="B825" s="11"/>
        <tr r="G14" s="3"/>
        <tr r="G14" s="3"/>
        <tr r="G14" s="3"/>
        <tr r="L8" s="11"/>
        <tr r="B335" s="11"/>
        <tr r="C466" s="11"/>
        <tr r="B280" s="11"/>
        <tr r="J702" s="11"/>
        <tr r="E475" s="11"/>
        <tr r="L1126" s="11"/>
        <tr r="F217" s="11"/>
        <tr r="C405" s="11"/>
        <tr r="G502" s="11"/>
        <tr r="L528" s="11"/>
        <tr r="E629" s="11"/>
        <tr r="E647" s="11"/>
        <tr r="E833" s="11"/>
        <tr r="L959" s="11"/>
        <tr r="B320" s="11"/>
        <tr r="G484" s="11"/>
        <tr r="E589" s="11"/>
        <tr r="I15" s="11"/>
        <tr r="K590" s="11"/>
        <tr r="I512" s="11"/>
        <tr r="H644" s="11"/>
        <tr r="D576" s="11"/>
        <tr r="E30" s="9"/>
        <tr r="E30" s="9"/>
        <tr r="E30" s="9"/>
        <tr r="J1172" s="11"/>
        <tr r="J594" s="11"/>
        <tr r="E138" s="11"/>
        <tr r="G387" s="11"/>
        <tr r="B503" s="11"/>
        <tr r="L440" s="11"/>
        <tr r="G597" s="11"/>
        <tr r="D505" s="11"/>
        <tr r="L844" s="11"/>
        <tr r="I271" s="11"/>
        <tr r="D430" s="11"/>
        <tr r="G592" s="11"/>
        <tr r="H554" s="11"/>
        <tr r="D682" s="11"/>
        <tr r="E552" s="11"/>
        <tr r="B836" s="11"/>
        <tr r="L252" s="11"/>
        <tr r="H390" s="11"/>
        <tr r="L562" s="11"/>
        <tr r="B519" s="11"/>
        <tr r="F353" s="11"/>
        <tr r="C520" s="11"/>
        <tr r="L618" s="11"/>
        <tr r="I770" s="11"/>
        <tr r="K513" s="11"/>
        <tr r="B937" s="11"/>
        <tr r="J936" s="11"/>
        <tr r="L1170" s="11"/>
        <tr r="I197" s="11"/>
        <tr r="C401" s="11"/>
        <tr r="L497" s="11"/>
        <tr r="L524" s="11"/>
        <tr r="C624" s="11"/>
        <tr r="B630" s="11"/>
        <tr r="I798" s="11"/>
        <tr r="L1166" s="11"/>
        <tr r="I199" s="11"/>
        <tr r="I401" s="11"/>
        <tr r="J497" s="11"/>
        <tr r="G524" s="11"/>
        <tr r="D625" s="11"/>
        <tr r="D632" s="11"/>
        <tr r="E801" s="11"/>
        <tr r="I645" s="11"/>
        <tr r="K546" s="11"/>
        <tr r="C646" s="11"/>
        <tr r="E544" s="11"/>
        <tr r="F644" s="11"/>
        <tr r="J677" s="11"/>
        <tr r="B831" s="11"/>
        <tr r="J814" s="11"/>
        <tr r="J1007" s="11"/>
        <tr r="I619" s="11"/>
        <tr r="E551" s="11"/>
        <tr r="F795" s="11"/>
        <tr r="I774" s="11"/>
        <tr r="B618" s="11"/>
        <tr r="F772" s="11"/>
        <tr r="B760" s="11"/>
        <tr r="J1065" s="11"/>
        <tr r="J854" s="11"/>
        <tr r="E11" s="8"/>
        <tr r="E11" s="8"/>
        <tr r="E11" s="8"/>
        <tr r="J47" s="9"/>
        <tr r="J47" s="9"/>
        <tr r="J47" s="9"/>
        <tr r="H521" s="11"/>
        <tr r="I620" s="11"/>
        <tr r="H619" s="11"/>
        <tr r="J773" s="11"/>
        <tr r="L1206" s="11"/>
        <tr r="I183" s="11"/>
        <tr r="C398" s="11"/>
        <tr r="F493" s="11"/>
        <tr r="C521" s="11"/>
        <tr r="D621" s="11"/>
        <tr r="J620" s="11"/>
        <tr r="F776" s="11"/>
        <tr r="K642" s="11"/>
        <tr r="G543" s="11"/>
        <tr r="C659" s="11"/>
        <tr r="I594" s="11"/>
        <tr r="D657" s="11"/>
        <tr r="F329" s="11"/>
        <tr r="G456" s="11"/>
        <tr r="I1080" s="11"/>
        <tr r="D585" s="11"/>
        <tr r="I1098" s="11"/>
        <tr r="C681" s="11"/>
        <tr r="I1273" s="11"/>
        <tr r="I173" s="11"/>
        <tr r="F427" s="11"/>
        <tr r="F487" s="11"/>
        <tr r="B691" s="11"/>
        <tr r="E478" s="11"/>
        <tr r="D693" s="11"/>
        <tr r="E528" s="11"/>
        <tr r="B686" s="11"/>
        <tr r="H669" s="11"/>
        <tr r="G674" s="11"/>
        <tr r="M10" s="9"/>
        <tr r="M10" s="9"/>
        <tr r="M10" s="9"/>
        <tr r="L943" s="11"/>
        <tr r="J297" s="11"/>
        <tr r="D443" s="11"/>
        <tr r="L228" s="11"/>
        <tr r="K586" s="11"/>
        <tr r="C458" s="11"/>
        <tr r="H244" s="11"/>
        <tr r="I123" s="11"/>
        <tr r="F383" s="11"/>
        <tr r="H481" s="11"/>
        <tr r="J510" s="11"/>
        <tr r="E609" s="11"/>
        <tr r="E576" s="11"/>
        <tr r="E701" s="11"/>
        <tr r="L1263" s="11"/>
        <tr r="F269" s="11"/>
        <tr r="H461" s="11"/>
        <tr r="J522" s="11"/>
        <tr r="H4" s="11"/>
        <tr r="D514" s="11"/>
        <tr r="L635" s="11"/>
        <tr r="H634" s="11"/>
        <tr r="Q37" s="8"/>
        <tr r="Q37" s="8"/>
        <tr r="Q37" s="8"/>
        <tr r="E745" s="11"/>
        <tr r="J966" s="11"/>
        <tr r="J26" s="3"/>
        <tr r="J26" s="3"/>
        <tr r="J26" s="3"/>
        <tr r="E42" s="11"/>
        <tr r="B351" s="11"/>
        <tr r="K476" s="11"/>
        <tr r="B344" s="11"/>
        <tr r="L515" s="11"/>
        <tr r="D483" s="11"/>
        <tr r="L1086" s="11"/>
        <tr r="F233" s="11"/>
        <tr r="B412" s="11"/>
        <tr r="K516" s="11"/>
        <tr r="K535" s="11"/>
        <tr r="B639" s="11"/>
        <tr r="I749" s="11"/>
        <tr r="B925" s="11"/>
        <tr r="L824" s="11"/>
        <tr r="E342" s="11"/>
        <tr r="H495" s="11"/>
        <tr r="L619" s="11"/>
        <tr r="I175" s="11"/>
        <tr r="G619" s="11"/>
        <tr r="E541" s="11"/>
        <tr r="D673" s="11"/>
        <tr r="L614" s="11"/>
        <tr r="K601" s="11"/>
        <tr r="I815" s="11"/>
        <tr r="H868" s="11"/>
        <tr r="I101" s="11"/>
        <tr r="E374" s="11"/>
        <tr r="H477" s="11"/>
        <tr r="J506" s="11"/>
        <tr r="E605" s="11"/>
        <tr r="I556" s="11"/>
        <tr r="E685" s="11"/>
        <tr r="I884" s="11"/>
        <tr r="I103" s="11"/>
        <tr r="I375" s="11"/>
        <tr r="C477" s="11"/>
        <tr r="E506" s="11"/>
        <tr r="K606" s="11"/>
        <tr r="I558" s="11"/>
        <tr r="G687" s="11"/>
        <tr r="B627" s="11"/>
        <tr r="I528" s="11"/>
        <tr r="D628" s="11"/>
        <tr r="C527" s="11"/>
        <tr r="I626" s="11"/>
        <tr r="H660" s="11"/>
        <tr r="J793" s="11"/>
        <tr r="E684" s="11"/>
        <tr r="F1149" s="11"/>
        <tr r="J596" s="11"/>
        <tr r="I527" s="11"/>
        <tr r="D666" s="11"/>
        <tr r="B723" s="11"/>
        <tr r="F542" s="11"/>
        <tr r="E673" s="11"/>
        <tr r="Q10" s="8"/>
        <tr r="Q10" s="8"/>
        <tr r="Q10" s="8"/>
        <tr r="F903" s="11"/>
        <tr r="H711" s="11"/>
        <tr r="E1065" s="11"/>
        <tr r="C1256" s="11"/>
        <tr r="F183" s="11"/>
        <tr r="L603" s="11"/>
        <tr r="L543" s="11"/>
        <tr r="K674" s="11"/>
        <tr r="J780" s="11"/>
        <tr r="I87" s="11"/>
        <tr r="F369" s="11"/>
        <tr r="J474" s="11"/>
        <tr r="L504" s="11"/>
        <tr r="G603" s="11"/>
        <tr r="C544" s="11"/>
        <tr r="B675" s="11"/>
        <tr r="I624" s="11"/>
        <tr r="E525" s="11"/>
        <tr r="H631" s="11"/>
        <tr r="K571" s="11"/>
        <tr r="E961" s="11"/>
        <tr r="E527" s="11"/>
        <tr r="I1026" s="11"/>
        <tr r="K634" s="11"/>
        <tr r="I684" s="11"/>
        <tr r="K635" s="11"/>
        <tr r="B480" s="11"/>
        <tr r="J294" s="11"/>
        <tr r="F755" s="11"/>
        <tr r="I405" s="11"/>
        <tr r="B826" s="11"/>
        <tr r="B891" s="11"/>
        <tr r="B425" s="11"/>
        <tr r="C641" s="11"/>
        <tr r="J494" s="11"/>
        <tr r="K36" s="10"/>
        <tr r="K36" s="10"/>
        <tr r="K36" s="10"/>
        <tr r="C1268" s="11"/>
        <tr r="E675" s="11"/>
        <tr r="L776" s="11"/>
        <tr r="C562" s="11"/>
        <tr r="L772" s="11"/>
        <tr r="H563" s="11"/>
        <tr r="F787" s="11"/>
        <tr r="F779" s="11"/>
        <tr r="C536" s="11"/>
        <tr r="I1069" s="11"/>
        <tr r="J987" s="11"/>
        <tr r="C558" s="11"/>
        <tr r="L804" s="11"/>
        <tr r="H559" s="11"/>
        <tr r="I761" s="11"/>
        <tr r="B703" s="11"/>
        <tr r="H620" s="11"/>
        <tr r="F301" s="11"/>
        <tr r="H557" s="11"/>
        <tr r="E778" s="11"/>
        <tr r="E373" s="11"/>
        <tr r="C495" s="11"/>
        <tr r="L560" s="11"/>
        <tr r="G678" s="11"/>
        <tr r="B726" s="11"/>
        <tr r="E713" s="11"/>
        <tr r="F687" s="11"/>
        <tr r="K532" s="11"/>
        <tr r="J310" s="11"/>
        <tr r="I841" s="11"/>
        <tr r="L416" s="11"/>
        <tr r="G613" s="11"/>
        <tr r="E795" s="11"/>
        <tr r="E418" s="11"/>
        <tr r="E1177" s="11"/>
        <tr r="K419" s="11"/>
        <tr r="H25" s="3"/>
        <tr r="H25" s="3"/>
        <tr r="H25" s="3"/>
        <tr r="J682" s="11"/>
        <tr r="J869" s="11"/>
        <tr r="F580" s="11"/>
        <tr r="E1036" s="11"/>
        <tr r="K1110" s="11"/>
        <tr r="E864" s="11"/>
        <tr r="G416" s="11"/>
        <tr r="F878" s="11"/>
        <tr r="I765" s="11"/>
        <tr r="E512" s="11"/>
        <tr r="E1274" s="11"/>
        <tr r="I638" s="11"/>
        <tr r="I964" s="11"/>
        <tr r="K1085" s="11"/>
        <tr r="I656" s="11"/>
        <tr r="D470" s="11"/>
        <tr r="K658" s="11"/>
        <tr r="D520" s="11"/>
        <tr r="H675" s="11"/>
        <tr r="L649" s="11"/>
        <tr r="E1246" s="11"/>
        <tr r="B969" s="11"/>
        <tr r="F609" s="11"/>
        <tr r="F752" s="11"/>
        <tr r="C611" s="11"/>
        <tr r="F756" s="11"/>
        <tr r="I775" s="11"/>
        <tr r="E756" s="11"/>
        <tr r="E734" s="11"/>
        <tr r="J50" s="3"/>
        <tr r="J50" s="3"/>
        <tr r="J50" s="3"/>
        <tr r="J837" s="11"/>
        <tr r="G503" s="11"/>
        <tr r="F840" s="11"/>
        <tr r="K549" s="11"/>
        <tr r="F865" s="11"/>
        <tr r="B846" s="11"/>
        <tr r="E798" s="11"/>
        <tr r="F1154" s="11"/>
        <tr r="B638" s="11"/>
        <tr r="F816" s="11"/>
        <tr r="J640" s="11"/>
        <tr r="F820" s="11"/>
        <tr r="C523" s="11"/>
        <tr r="F1021" s="11"/>
        <tr r="G384" s="11"/>
        <tr r="J632" s="11"/>
        <tr r="E857" s="11"/>
        <tr r="E1221" s="11"/>
        <tr r="J830" s="11"/>
        <tr r="H569" s="11"/>
        <tr r="F700" s="11"/>
        <tr r="J671" s="11"/>
        <tr r="H41" s="3"/>
        <tr r="H41" s="3"/>
        <tr r="H41" s="3"/>
        <tr r="C679" s="11"/>
        <tr r="Q21" s="9"/>
        <tr r="Q21" s="9"/>
        <tr r="Q21" s="9"/>
        <tr r="F689" s="11"/>
        <tr r="F936" s="11"/>
        <tr r="E842" s="11"/>
        <tr r="B957" s="11"/>
        <tr r="F960" s="11"/>
        <tr r="K1084" s="11"/>
        <tr r="F914" s="11"/>
        <tr r="K1100" s="11"/>
        <tr r="J1145" s="11"/>
        <tr r="I1147" s="11"/>
        <tr r="I1182" s="11"/>
        <tr r="M42" s="8"/>
        <tr r="M42" s="8"/>
        <tr r="M42" s="8"/>
        <tr r="F1082" s="11"/>
        <tr r="K677" s="11"/>
        <tr r="E1236" s="11"/>
        <tr r="K660" s="11"/>
        <tr r="J10" s="3"/>
        <tr r="J10" s="3"/>
        <tr r="J10" s="3"/>
        <tr r="I981" s="11"/>
        <tr r="I976" s="11"/>
        <tr r="K1119" s="11"/>
        <tr r="E24" s="9"/>
        <tr r="E24" s="9"/>
        <tr r="E24" s="9"/>
        <tr r="I92" s="11"/>
        <tr r="F371" s="11"/>
        <tr r="C475" s="11"/>
        <tr r="L785" s="11"/>
        <tr r="B283" s="11"/>
        <tr r="B473" s="11"/>
        <tr r="B507" s="11"/>
        <tr r="L898" s="11"/>
        <tr r="D983" s="11"/>
        <tr r="H366" s="11"/>
        <tr r="F360" s="11"/>
        <tr r="G481" s="11"/>
        <tr r="I379" s="11"/>
        <tr r="I568" s="11"/>
        <tr r="E367" s="11"/>
        <tr r="D903" s="11"/>
        <tr r="C326" s="11"/>
        <tr r="H284" s="11"/>
        <tr r="H9" s="11"/>
        <tr r="E256" s="11"/>
        <tr r="L454" s="11"/>
        <tr r="G397" s="11"/>
        <tr r="F524" s="11"/>
        <tr r="C621" s="11"/>
        <tr r="J703" s="11"/>
        <tr r="J636" s="11"/>
        <tr r="I834" s="11"/>
        <tr r="C232" s="11"/>
        <tr r="H896" s="11"/>
        <tr r="E445" s="11"/>
        <tr r="D152" s="11"/>
        <tr r="K272" s="11"/>
        <tr r="D323" s="11"/>
        <tr r="L738" s="11"/>
        <tr r="E188" s="11"/>
        <tr r="L683" s="11"/>
        <tr r="K922" s="11"/>
        <tr r="H231" s="11"/>
        <tr r="I837" s="11"/>
        <tr r="D139" s="11"/>
        <tr r="K917" s="11"/>
        <tr r="H221" s="11"/>
        <tr r="I940" s="11"/>
        <tr r="L226" s="11"/>
        <tr r="J332" s="11"/>
        <tr r="F457" s="11"/>
        <tr r="K33" s="8"/>
        <tr r="K33" s="8"/>
        <tr r="K33" s="8"/>
        <tr r="F244" s="11"/>
        <tr r="B417" s="11"/>
        <tr r="L640" s="11"/>
        <tr r="J872" s="11"/>
        <tr r="J1146" s="11"/>
        <tr r="G373" s="11"/>
        <tr r="D103" s="11"/>
        <tr r="K881" s="11"/>
        <tr r="L1282" s="11"/>
        <tr r="H782" s="11"/>
        <tr r="I12" s="11"/>
        <tr r="F339" s="11"/>
        <tr r="E460" s="11"/>
        <tr r="L968" s="11"/>
        <tr r="B251" s="11"/>
        <tr r="L421" s="11"/>
        <tr r="F665" s="11"/>
        <tr r="H497" s="11"/>
        <tr r="D33" s="10"/>
        <tr r="D33" s="10"/>
        <tr r="D33" s="10"/>
        <tr r="G721" s="11"/>
        <tr r="D115" s="11"/>
        <tr r="K315" s="11"/>
        <tr r="D392" s="11"/>
        <tr r="L314" s="11"/>
        <tr r="D384" s="11"/>
        <tr r="H577" s="11"/>
        <tr r="J422" s="11"/>
        <tr r="J262" s="11"/>
        <tr r="H665" s="11"/>
        <tr r="F381" s="11"/>
        <tr r="F867" s="11"/>
        <tr r="D623" s="11"/>
        <tr r="K798" s="11"/>
        <tr r="L1041" s="11"/>
        <tr r="D1099" s="11"/>
        <tr r="C810" s="11"/>
        <tr r="H793" s="11"/>
        <tr r="H1248" s="11"/>
        <tr r="E398" s="11"/>
        <tr r="G457" s="11"/>
        <tr r="C914" s="11"/>
        <tr r="H1268" s="11"/>
        <tr r="B233" s="11"/>
        <tr r="D1055" s="11"/>
        <tr r="C909" s="11"/>
        <tr r="H1228" s="11"/>
        <tr r="B237" s="11"/>
        <tr r="L1176" s="11"/>
        <tr r="I194" s="11"/>
        <tr r="E400" s="11"/>
        <tr r="K496" s="11"/>
        <tr r="L265" s="11"/>
        <tr r="F324" s="11"/>
        <tr r="J459" s="11"/>
        <tr r="I235" s="11"/>
        <tr r="D641" s="11"/>
        <tr r="F262" s="11"/>
        <tr r="D1117" s="11"/>
        <tr r="C873" s="11"/>
        <tr r="H1241" s="11"/>
        <tr r="F266" s="11"/>
        <tr r="L1140" s="11"/>
        <tr r="I212" s="11"/>
        <tr r="D404" s="11"/>
        <tr r="F500" s="11"/>
        <tr r="L229" s="11"/>
        <tr r="B331" s="11"/>
        <tr r="E463" s="11"/>
        <tr r="B264" s="11"/>
        <tr r="L668" s="11"/>
        <tr r="I252" s="11"/>
        <tr r="D1096" s="11"/>
        <tr r="C853" s="11"/>
        <tr r="H845" s="11"/>
        <tr r="H930" s="11"/>
        <tr r="B218" s="11"/>
        <tr r="J436" s="11"/>
        <tr r="I290" s="11"/>
        <tr r="J455" s="11"/>
        <tr r="D478" s="11"/>
        <tr r="K690" s="11"/>
        <tr r="B516" s="11"/>
        <tr r="C622" s="11"/>
        <tr r="K23" s="9"/>
        <tr r="K23" s="9"/>
        <tr r="K23" s="9"/>
        <tr r="K267" s="11"/>
        <tr r="E93" s="11"/>
        <tr r="L1241" s="11"/>
        <tr r="I150" s="11"/>
        <tr r="K390" s="11"/>
        <tr r="L486" s="11"/>
        <tr r="L353" s="11"/>
        <tr r="I306" s="11"/>
        <tr r="L449" s="11"/>
        <tr r="H405" s="11"/>
        <tr r="E1072" s="11"/>
        <tr r="L1260" s="11"/>
        <tr r="B252" s="11"/>
        <tr r="K877" s="11"/>
        <tr r="J231" s="11"/>
        <tr r="L838" s="11"/>
        <tr r="J340" s="11"/>
        <tr r="G495" s="11"/>
        <tr r="F671" s="11"/>
        <tr r="I11" s="11"/>
        <tr r="J589" s="11"/>
        <tr r="I205" s="11"/>
        <tr r="C499" s="11"/>
        <tr r="J808" s="11"/>
        <tr r="K879" s="11"/>
        <tr r="L1266" s="11"/>
        <tr r="D1167" s="11"/>
        <tr r="C918" s="11"/>
        <tr r="H924" s="11"/>
        <tr r="K856" s="11"/>
        <tr r="J344" s="11"/>
        <tr r="D423" s="11"/>
        <tr r="C995" s="11"/>
        <tr r="K264" s="11"/>
        <tr r="E99" s="11"/>
        <tr r="D1154" s="11"/>
        <tr r="C990" s="11"/>
        <tr r="K259" s="11"/>
        <tr r="E109" s="11"/>
        <tr r="L1285" s="11"/>
        <tr r="I154" s="11"/>
        <tr r="K391" s="11"/>
        <tr r="B486" s="11"/>
        <tr r="L345" s="11"/>
        <tr r="F308" s="11"/>
        <tr r="H450" s="11"/>
        <tr r="I105" s="11"/>
        <tr r="F606" s="11"/>
        <tr r="E171" s="11"/>
        <tr r="D1265" s="11"/>
        <tr r="C954" s="11"/>
        <tr r="K223" s="11"/>
        <tr r="E181" s="11"/>
        <tr r="L1270" s="11"/>
        <tr r="I172" s="11"/>
        <tr r="E395" s="11"/>
        <tr r="L491" s="11"/>
        <tr r="L309" s="11"/>
        <tr r="B315" s="11"/>
        <tr r="C454" s="11"/>
        <tr r="I177" s="11"/>
        <tr r="B619" s="11"/>
        <tr r="E147" s="11"/>
        <tr r="D1130" s="11"/>
        <tr r="C966" s="11"/>
        <tr r="H979" s="11"/>
        <tr r="H810" s="11"/>
        <tr r="I166" s="11"/>
        <tr r="G426" s="11"/>
        <tr r="I226" s="11"/>
        <tr r="J676" s="11"/>
        <tr r="H449" s="11"/>
        <tr r="B633" s="11"/>
        <tr r="L708" s="11"/>
        <tr r="I958" s="11"/>
        <tr r="F977" s="11"/>
        <tr r="H1237" s="11"/>
        <tr r="E267" s="11"/>
        <tr r="D759" s="11"/>
        <tr r="K1015" s="11"/>
        <tr r="J405" s="11"/>
        <tr r="G407" s="11"/>
        <tr r="L557" s="11"/>
        <tr r="J406" s="11"/>
        <tr r="C259" s="11"/>
        <tr r="H919" s="11"/>
        <tr r="H436" s="11"/>
        <tr r="D746" s="11"/>
        <tr r="C254" s="11"/>
        <tr r="H899" s="11"/>
        <tr r="E437" s="11"/>
        <tr r="L846" s="11"/>
        <tr r="F271" s="11"/>
        <tr r="L430" s="11"/>
        <tr r="F591" s="11"/>
        <tr r="E134" s="11"/>
        <tr r="G386" s="11"/>
        <tr r="K502" s="11"/>
        <tr r="H437" s="11"/>
        <tr r="B585" s="11"/>
        <tr r="D449" s="11"/>
        <tr r="D913" s="11"/>
        <tr r="C218" s="11"/>
        <tr r="H921" s="11"/>
        <tr r="L451" s="11"/>
        <tr r="L810" s="11"/>
        <tr r="B278" s="11"/>
        <tr r="K433" s="11"/>
        <tr r="B604" s="11"/>
        <tr r="E152" s="11"/>
        <tr r="L391" s="11"/>
        <tr r="H508" s="11"/>
        <tr r="D450" s="11"/>
        <tr r="H638" s="11"/>
        <tr r="I444" s="11"/>
        <tr r="D722" s="11"/>
        <tr r="K1154" s="11"/>
        <tr r="L791" s="11"/>
        <tr r="L1062" s="11"/>
        <tr r="I301" s="11"/>
        <tr r="I475" s="11"/>
        <tr r="C470" s="11"/>
        <tr r="L1068" s="11"/>
        <tr r="E530" s="11"/>
        <tr r="L950" s="11"/>
        <tr r="I79" s="11"/>
        <tr r="B590" s="11"/>
        <tr r="C342" s="11"/>
        <tr r="H1027" s="11"/>
        <tr r="E405" s="11"/>
        <tr r="L957" s="11"/>
        <tr r="I253" s="11"/>
        <tr r="L422" s="11"/>
        <tr r="L555" s="11"/>
        <tr r="E90" s="11"/>
        <tr r="I370" s="11"/>
        <tr r="J508" s="11"/>
        <tr r="G504" s="11"/>
        <tr r="F468" s="11"/>
        <tr r="L812" s="11"/>
        <tr r="L470" s="11"/>
        <tr r="D447" s="11"/>
        <tr r="H19" s="11"/>
        <tr r="C513" s="11"/>
        <tr r="L1154" s="11"/>
        <tr r="L1150" s="11"/>
        <tr r="I1024" s="11"/>
        <tr r="K1125" s="11"/>
        <tr r="H752" s="11"/>
        <tr r="K494" s="11"/>
        <tr r="C1238" s="11"/>
        <tr r="H1167" s="11"/>
        <tr r="C994" s="11"/>
        <tr r="I152" s="11"/>
        <tr r="B307" s="11"/>
        <tr r="D4" s="11"/>
        <tr r="K793" s="11"/>
        <tr r="L1098" s="11"/>
        <tr r="G281" s="11"/>
        <tr r="C1245" s="11"/>
        <tr r="K788" s="11"/>
        <tr r="L1119" s="11"/>
        <tr r="H374" s="11"/>
        <tr r="I58" s="11"/>
        <tr r="I357" s="11"/>
        <tr r="K469" s="11"/>
        <tr r="L853" s="11"/>
        <tr r="E269" s="11"/>
        <tr r="G429" s="11"/>
        <tr r="L1084" s="11"/>
        <tr r="J530" s="11"/>
        <tr r="L978" s="11"/>
        <tr r="G245" s="11"/>
        <tr r="C1209" s="11"/>
        <tr r="K752" s="11"/>
        <tr r="L958" s="11"/>
        <tr r="H338" s="11"/>
        <tr r="I76" s="11"/>
        <tr r="E364" s="11"/>
        <tr r="J472" s="11"/>
        <tr r="L817" s="11"/>
        <tr r="J277" s="11"/>
        <tr r="F432" s="11"/>
        <tr r="L967" s="11"/>
        <tr r="F543" s="11"/>
        <tr r="L1014" s="11"/>
        <tr r="G257" s="11"/>
        <tr r="C1221" s="11"/>
        <tr r="H1281" s="11"/>
        <tr r="K458" s="11"/>
        <tr r="I38" s="11"/>
        <tr r="H403" s="11"/>
        <tr r="L813" s="11"/>
        <tr r="H545" s="11"/>
        <tr r="B364" s="11"/>
        <tr r="B535" s="11"/>
        <tr r="C449" s="11"/>
        <tr r="I1003" s="11"/>
        <tr r="F774" s="11"/>
        <tr r="K333" s="11"/>
        <tr r="L291" s="11"/>
        <tr r="D972" s="11"/>
        <tr r="C303" s="11"/>
        <tr r="H247" s="11"/>
        <tr r="H723" s="11"/>
        <tr r="F445" s="11"/>
        <tr r="L576" s="11"/>
        <tr r="C786" s="11"/>
        <tr r="H1123" s="11"/>
        <tr r="E335" s="11"/>
        <tr r="D959" s="11"/>
        <tr r="C781" s="11"/>
        <tr r="H1188" s="11"/>
        <tr r="E339" s="11"/>
        <tr r="L1094" s="11"/>
        <tr r="E232" s="11"/>
        <tr r="J412" s="11"/>
        <tr r="J515" s="11"/>
        <tr r="E38" s="11"/>
        <tr r="E349" s="11"/>
        <tr r="D475" s="11"/>
        <tr r="J338" s="11"/>
        <tr r="L511" s="11"/>
        <tr r="I364" s="11"/>
        <tr r="D919" s="11"/>
        <tr r="C745" s="11"/>
        <tr r="H1084" s="11"/>
        <tr r="I368" s="11"/>
        <tr r="L1025" s="11"/>
        <tr r="J240" s="11"/>
        <tr r="I415" s="11"/>
        <tr r="F528" s="11"/>
        <tr r="E56" s="11"/>
        <tr r="J357" s="11"/>
        <tr r="J479" s="11"/>
        <tr r="E366" s="11"/>
        <tr r="H540" s="11"/>
        <tr r="J355" s="11"/>
        <tr r="D882" s="11"/>
        <tr r="C358" s="11"/>
        <tr r="H305" s="11"/>
        <tr r="H222" s="11"/>
        <tr r="B250" s="11"/>
        <tr r="J452" s="11"/>
        <tr r="G389" s="11"/>
        <tr r="H507" s="11"/>
        <tr r="D598" s="11"/>
        <tr r="I891" s="11"/>
        <tr r="D537" s="11"/>
        <tr r="B783" s="11"/>
        <tr r="C869" s="11"/>
        <tr r="H1233" s="11"/>
        <tr r="B269" s="11"/>
        <tr r="L1136" s="11"/>
        <tr r="I214" s="11"/>
        <tr r="J404" s="11"/>
        <tr r="D501" s="11"/>
        <tr r="L225" s="11"/>
        <tr r="F332" s="11"/>
        <tr r="K472" s="11"/>
        <tr r="E474" s="11"/>
        <tr r="G445" s="11"/>
        <tr r="L1069" s="11"/>
        <tr r="E290" s="11"/>
        <tr r="K363" s="11"/>
        <tr r="J359" s="11"/>
        <tr r="L346" s="11"/>
        <tr r="F375" s="11"/>
        <tr r="K524" s="11"/>
        <tr r="F357" s="11"/>
        <tr r="B236" s="11"/>
        <tr r="J641" s="11"/>
        <tr r="J346" s="11"/>
        <tr r="L627" s="11"/>
        <tr r="J624" s="11"/>
        <tr r="K750" s="11"/>
        <tr r="L940" s="11"/>
        <tr r="D1121" s="11"/>
        <tr r="C746" s="11"/>
        <tr r="H906" s="11"/>
        <tr r="H1056" s="11"/>
        <tr r="J416" s="11"/>
        <tr r="F480" s="11"/>
        <tr r="C866" s="11"/>
        <tr r="H1290" s="11"/>
        <tr r="E271" s="11"/>
        <tr r="D1069" s="11"/>
        <tr r="C861" s="11"/>
        <tr r="H1262" s="11"/>
        <tr r="E275" s="11"/>
        <tr r="L1128" s="11"/>
        <tr r="E216" s="11"/>
        <tr r="K405" s="11"/>
        <tr r="H502" s="11"/>
        <tr r="L217" s="11"/>
        <tr r="E333" s="11"/>
        <tr r="G465" s="11"/>
        <tr r="J274" s="11"/>
        <tr r="L688" s="11"/>
        <tr r="I300" s="11"/>
        <tr r="D1003" s="11"/>
        <tr r="C825" s="11"/>
        <tr r="H1162" s="11"/>
        <tr r="I304" s="11"/>
        <tr r="L1060" s="11"/>
        <tr r="J224" s="11"/>
        <tr r="J408" s="11"/>
        <tr r="C506" s="11"/>
        <tr r="E16" s="11"/>
        <tr r="J341" s="11"/>
        <tr r="B469" s="11"/>
        <tr r="E302" s="11"/>
        <tr r="F803" s="11"/>
        <tr r="J291" s="11"/>
        <tr r="D1015" s="11"/>
        <tr r="C789" s="11"/>
        <tr r="H771" s="11"/>
        <tr r="H334" s="11"/>
        <tr r="F231" s="11"/>
        <tr r="G442" s="11"/>
        <tr r="J329" s="11"/>
        <tr r="L473" s="11"/>
        <tr r="C498" s="11"/>
        <tr r="F808" s="11"/>
        <tr r="K578" s="11"/>
        <tr r="E911" s="11"/>
        <tr r="C743" s="11"/>
        <tr r="H1076" s="11"/>
        <tr r="F370" s="11"/>
        <tr r="D316" s="11"/>
        <tr r="K845" s="11"/>
        <tr r="G285" s="11"/>
        <tr r="H378" s="11"/>
        <tr r="L857" s="11"/>
        <tr r="H529" s="11"/>
        <tr r="K1168" s="11"/>
        <tr r="H788" s="11"/>
        <tr r="F482" s="11"/>
        <tr r="D303" s="11"/>
        <tr r="K1148" s="11"/>
        <tr r="H781" s="11"/>
        <tr r="C484" s="11"/>
        <tr r="L947" s="11"/>
        <tr r="E296" s="11"/>
        <tr r="F441" s="11"/>
        <tr r="D638" s="11"/>
        <tr r="E198" s="11"/>
        <tr r="B401" s="11"/>
        <tr r="G549" s="11"/>
        <tr r="F483" s="11"/>
        <tr r="H712" s="11"/>
        <tr r="F498" s="11"/>
        <tr r="D267" s="11"/>
        <tr r="K1055" s="11"/>
        <tr r="H733" s="11"/>
        <tr r="L501" s="11"/>
        <tr r="L366" s="11"/>
        <tr r="J304" s="11"/>
        <tr r="E444" s="11"/>
        <tr r="L654" s="11"/>
        <tr r="F216" s="11"/>
        <tr r="L405" s="11"/>
        <tr r="H573" s="11"/>
        <tr r="E499" s="11"/>
        <tr r="E817" s="11"/>
        <tr r="I492" s="11"/>
        <tr r="D279" s="11"/>
        <tr r="K893" s="11"/>
        <tr r="E189" s="11"/>
        <tr r="L854" s="11"/>
        <tr r="E336" s="11"/>
        <tr r="C491" s="11"/>
        <tr r="G628" s="11"/>
        <tr r="L256" s="11"/>
        <tr r="B583" s="11"/>
        <tr r="I157" s="11"/>
        <tr r="H473" s="11"/>
        <tr r="I654" s="11"/>
        <tr r="K1247" s="11"/>
        <tr r="H905" s="11"/>
        <tr r="C452" s="11"/>
        <tr r="L806" s="11"/>
        <tr r="F279" s="11"/>
        <tr r="F433" s="11"/>
        <tr r="D606" s="11"/>
        <tr r="E154" s="11"/>
        <tr r="G391" s="11"/>
        <tr r="J574" s="11"/>
        <tr r="C580" s="11"/>
        <tr r="H486" s="11"/>
        <tr r="L368" s="11"/>
        <tr r="F464" s="11"/>
        <tr r="I267" s="11"/>
        <tr r="L672" s="11"/>
        <tr r="C474" s="11"/>
        <tr r="L1142" s="11"/>
        <tr r="I211" s="11"/>
        <tr r="L404" s="11"/>
        <tr r="C500" s="11"/>
        <tr r="J526" s="11"/>
        <tr r="H628" s="11"/>
        <tr r="E640" s="11"/>
        <tr r="J821" s="11"/>
        <tr r="L975" s="11"/>
        <tr r="F317" s="11"/>
        <tr r="C481" s="11"/>
        <tr r="H584" s="11"/>
        <tr r="L248" s="11"/>
        <tr r="C584" s="11"/>
        <tr r="B1123" s="11"/>
        <tr r="I1102" s="11"/>
        <tr r="I565" s="11"/>
        <tr r="E1076" s="11"/>
        <tr r="F991" s="11"/>
        <tr r="B588" s="11"/>
        <tr r="E130" s="11"/>
        <tr r="G385" s="11"/>
        <tr r="I500" s="11"/>
        <tr r="D434" s="11"/>
        <tr r="H574" s="11"/>
        <tr r="D503" s="11"/>
        <tr r="L860" s="11"/>
        <tr r="B268" s="11"/>
        <tr r="B428" s="11"/>
        <tr r="J586" s="11"/>
        <tr r="H552" s="11"/>
        <tr r="C673" s="11"/>
        <tr r="L546" s="11"/>
        <tr r="F785" s="11"/>
        <tr r="L284" s="11"/>
        <tr r="H388" s="11"/>
        <tr r="L554" s="11"/>
        <tr r="H512" s="11"/>
        <tr r="B340" s="11"/>
        <tr r="C512" s="11"/>
        <tr r="D612" s="11"/>
        <tr r="E757" s="11"/>
        <tr r="F1152" s="11"/>
        <tr r="H709" s="11"/>
        <tr r="E6" s="8"/>
        <tr r="E6" s="8"/>
        <tr r="E6" s="8"/>
        <tr r="I853" s="11"/>
        <tr r="F236" s="11"/>
        <tr r="H414" s="11"/>
        <tr r="H621" s="11"/>
        <tr r="F631" s="11"/>
        <tr r="B773" s="11"/>
        <tr r="E594" s="11"/>
        <tr r="L272" s="11"/>
        <tr r="E322" s="11"/>
        <tr r="C453" s="11"/>
        <tr r="B834" s="11"/>
        <tr r="K582" s="11"/>
        <tr r="F968" s="11"/>
        <tr r="I653" s="11"/>
        <tr r="E1112" s="11"/>
        <tr r="I149" s="11"/>
        <tr r="K423" s="11"/>
        <tr r="E927" s="11"/>
        <tr r="D645" s="11"/>
        <tr r="K467" s="11"/>
        <tr r="F646" s="11"/>
        <tr r="K517" s="11"/>
        <tr r="E7" s="3"/>
        <tr r="E7" s="3"/>
        <tr r="E7" s="3"/>
        <tr r="H645" s="11"/>
        <tr r="J47" s="8"/>
        <tr r="J47" s="8"/>
        <tr r="J47" s="8"/>
        <tr r="H18" s="3"/>
        <tr r="H18" s="3"/>
        <tr r="H18" s="3"/>
        <tr r="L929" s="11"/>
        <tr r="I259" s="11"/>
        <tr r="B424" s="11"/>
        <tr r="L570" s="11"/>
        <tr r="K547" s="11"/>
        <tr r="D662" s="11"/>
        <tr r="L530" s="11"/>
        <tr r="D688" s="11"/>
        <tr r="L913" s="11"/>
        <tr r="B260" s="11"/>
        <tr r="H425" s="11"/>
        <tr r="L572" s="11"/>
        <tr r="F547" s="11"/>
        <tr r="E662" s="11"/>
        <tr r="C531" s="11"/>
        <tr r="C691" s="11"/>
        <tr r="L704" s="11"/>
        <tr r="I575" s="11"/>
        <tr r="I705" s="11"/>
        <tr r="C574" s="11"/>
        <tr r="G700" s="11"/>
        <tr r="I700" s="11"/>
        <tr r="J885" s="11"/>
        <tr r="D699" s="11"/>
        <tr r="D26" s="8"/>
        <tr r="D26" s="8"/>
        <tr r="D26" s="8"/>
        <tr r="B654" s="11"/>
        <tr r="E587" s="11"/>
        <tr r="B651" s="11"/>
        <tr r="D16" s="10"/>
        <tr r="D16" s="10"/>
        <tr r="D16" s="10"/>
        <tr r="L518" s="11"/>
        <tr r="D672" s="11"/>
        <tr r="E1169" s="11"/>
        <tr r="K24" s="8"/>
        <tr r="K24" s="8"/>
        <tr r="K24" s="8"/>
        <tr r="K688" s="11"/>
        <tr r="Q15" s="8"/>
        <tr r="Q15" s="8"/>
        <tr r="Q15" s="8"/>
        <tr r="H17" s="8"/>
        <tr r="H17" s="8"/>
        <tr r="H17" s="8"/>
        <tr r="G544" s="11"/>
        <tr r="J654" s="11"/>
        <tr r="G518" s="11"/>
        <tr r="J672" s="11"/>
        <tr r="L955" s="11"/>
        <tr r="J254" s="11"/>
        <tr r="D422" s="11"/>
        <tr r="L556" s="11"/>
        <tr r="B544" s="11"/>
        <tr r="H655" s="11"/>
        <tr r="I519" s="11"/>
        <tr r="B674" s="11"/>
        <tr r="G692" s="11"/>
        <tr r="E572" s="11"/>
        <tr r="J868" s="11"/>
        <tr r="E623" s="11"/>
        <tr r="K686" s="11"/>
        <tr r="B380" s="11"/>
        <tr r="F479" s="11"/>
        <tr r="H509" s="11"/>
        <tr r="C608" s="11"/>
        <tr r="I570" s="11"/>
        <tr r="H696" s="11"/>
        <tr r="L1262" s="11"/>
        <tr r="J266" s="11"/>
        <tr r="D458" s="11"/>
        <tr r="F519" s="11"/>
        <tr r="I1072" s="11"/>
        <tr r="G508" s="11"/>
        <tr r="D629" s="11"/>
        <tr r="K628" s="11"/>
        <tr r="J1162" s="11"/>
        <tr r="E729" s="11"/>
        <tr r="J916" s="11"/>
        <tr r="G35" s="3"/>
        <tr r="G35" s="3"/>
        <tr r="G35" s="3"/>
        <tr r="E34" s="11"/>
        <tr r="F348" s="11"/>
        <tr r="H474" s="11"/>
        <tr r="I331" s="11"/>
        <tr r="F1136" s="11"/>
        <tr r="B481" s="11"/>
        <tr r="L1044" s="11"/>
        <tr r="J230" s="11"/>
        <tr r="K411" s="11"/>
        <tr r="F510" s="11"/>
        <tr r="I533" s="11"/>
        <tr r="J637" s="11"/>
        <tr r="D710" s="11"/>
        <tr r="F888" s="11"/>
        <tr r="L856" s="11"/>
        <tr r="I339" s="11"/>
        <tr r="D493" s="11"/>
        <tr r="D613" s="11"/>
        <tr r="I143" s="11"/>
        <tr r="J613" s="11"/>
        <tr r="H536" s="11"/>
        <tr r="G667" s="11"/>
        <tr r="B606" s="11"/>
        <tr r="L578" s="11"/>
        <tr r="B764" s="11"/>
        <tr r="I617" s="11"/>
        <tr r="E170" s="11"/>
        <tr r="G395" s="11"/>
        <tr r="B521" s="11"/>
        <tr r="K463" s="11"/>
        <tr r="B879" s="11"/>
        <tr r="I518" s="11"/>
        <tr r="L780" s="11"/>
        <tr r="B284" s="11"/>
        <tr r="L436" s="11"/>
        <tr r="F615" s="11"/>
        <tr r="H562" s="11"/>
        <tr r="B712" s="11"/>
        <tr r="G581" s="11"/>
        <tr r="K680" s="11"/>
        <tr r="I21" s="11"/>
        <tr r="L400" s="11"/>
        <tr r="F599" s="11"/>
        <tr r="K613" s="11"/>
        <tr r="C396" s="11"/>
        <tr r="B614" s="11"/>
        <tr r="K641" s="11"/>
        <tr r="E821" s="11"/>
        <tr r="K545" s="11"/>
        <tr r="E733" s="11"/>
        <tr r="E1190" s="11"/>
        <tr r="L1116" s="11"/>
        <tr r="F221" s="11"/>
        <tr r="K407" s="11"/>
        <tr r="I504" s="11"/>
        <tr r="I529" s="11"/>
        <tr r="C632" s="11"/>
        <tr r="B658" s="11"/>
        <tr r="E849" s="11"/>
        <tr r="L1100" s="11"/>
        <tr r="J222" s="11"/>
        <tr r="F407" s="11"/>
        <tr r="K505" s="11"/>
        <tr r="D530" s="11"/>
        <tr r="I632" s="11"/>
        <tr r="F661" s="11"/>
        <tr r="J853" s="11"/>
        <tr r="F653" s="11"/>
        <tr r="D553" s="11"/>
        <tr r="D654" s="11"/>
        <tr r="K551" s="11"/>
        <tr r="G652" s="11"/>
        <tr r="G683" s="11"/>
        <tr r="F844" s="11"/>
        <tr r="E878" s="11"/>
        <tr r="F1088" s="11"/>
        <tr r="J628" s="11"/>
        <tr r="E561" s="11"/>
        <tr r="F859" s="11"/>
        <tr r="B819" s="11"/>
        <tr r="L642" s="11"/>
        <tr r="B823" s="11"/>
        <tr r="I811" s="11"/>
        <tr r="J1097" s="11"/>
        <tr r="B953" s="11"/>
        <tr r="B943" s="11"/>
        <tr r="C1264" s="11"/>
        <tr r="E526" s="11"/>
        <tr r="C628" s="11"/>
        <tr r="G642" s="11"/>
        <tr r="F824" s="11"/>
        <tr r="L1134" s="11"/>
        <tr r="I215" s="11"/>
        <tr r="B404" s="11"/>
        <tr r="G501" s="11"/>
        <tr r="K527" s="11"/>
        <tr r="I628" s="11"/>
        <tr r="L644" s="11"/>
        <tr r="B827" s="11"/>
        <tr r="B649" s="11"/>
        <tr r="D549" s="11"/>
        <tr r="D694" s="11"/>
        <tr r="F600" s="11"/>
        <tr r="B735" s="11"/>
        <tr r="D538" s="11"/>
        <tr r="L792" s="11"/>
        <tr r="F225" s="11"/>
        <tr r="L630" s="11"/>
        <tr r="E194" s="11"/>
        <tr r="C700" s="11"/>
        <tr r="G440" s="11"/>
        <tr r="I598" s="11"/>
        <tr r="E622" s="11"/>
        <tr r="D668" s="11"/>
        <tr r="K1066" s="11"/>
        <tr r="L1229" s="11"/>
        <tr r="I35" s="11"/>
        <tr r="E593" s="11"/>
        <tr r="B224" s="11"/>
        <tr r="K548" s="11"/>
        <tr r="E645" s="11"/>
        <tr r="F285" s="11"/>
        <tr r="D714" s="11"/>
        <tr r="J286" s="11"/>
        <tr r="H717" s="11"/>
        <tr r="C587" s="11"/>
        <tr r="C712" s="11"/>
        <tr r="F695" s="11"/>
        <tr r="K570" s="11"/>
        <tr r="I752" s="11"/>
        <tr r="F699" s="11"/>
        <tr r="I279" s="11"/>
        <tr r="H701" s="11"/>
        <tr r="J584" s="11"/>
        <tr r="C397" s="11"/>
        <tr r="F617" s="11"/>
        <tr r="D474" s="11"/>
        <tr r="E748" s="11"/>
        <tr r="B939" s="11"/>
        <tr r="F490" s="11"/>
        <tr r="L928" s="11"/>
        <tr r="C545" s="11"/>
        <tr r="L364" s="11"/>
        <tr r="F289" s="11"/>
        <tr r="K707" s="11"/>
        <tr r="B223" s="11"/>
        <tr r="C1071" s="11"/>
        <tr r="F447" s="11"/>
        <tr r="E627" s="11"/>
        <tr r="G666" s="11"/>
        <tr r="F855" s="11"/>
        <tr r="E891" s="11"/>
        <tr r="L541" s="11"/>
        <tr r="F1140" s="11"/>
        <tr r="C542" s="11"/>
        <tr r="F1156" s="11"/>
        <tr r="K567" s="11"/>
        <tr r="H670" s="11"/>
        <tr r="C644" s="11"/>
        <tr r="J989" s="11"/>
        <tr r="G10" s="8"/>
        <tr r="G10" s="8"/>
        <tr r="G10" s="8"/>
        <tr r="E1044" s="11"/>
        <tr r="I530" s="11"/>
        <tr r="C1063" s="11"/>
        <tr r="H618" s="11"/>
        <tr r="K612" s="11"/>
        <tr r="E1006" s="11"/>
        <tr r="F702" s="11"/>
        <tr r="J894" s="11"/>
        <tr r="D10" s="3"/>
        <tr r="D10" s="3"/>
        <tr r="D10" s="3"/>
        <tr r="C677" s="11"/>
        <tr r="F499" s="11"/>
        <tr r="C620" s="11"/>
        <tr r="J619" s="11"/>
        <tr r="E1082" s="11"/>
        <tr r="I712" s="11"/>
        <tr r="I1122" s="11"/>
        <tr r="D27" s="8"/>
        <tr r="D27" s="8"/>
        <tr r="D27" s="8"/>
        <tr r="N9" s="9"/>
        <tr r="N9" s="9"/>
        <tr r="N9" s="9"/>
        <tr r="E1165" s="11"/>
        <tr r="B510" s="11"/>
        <tr r="I1186" s="11"/>
        <tr r="E955" s="11"/>
        <tr r="F768" s="11"/>
        <tr r="J1030" s="11"/>
        <tr r="G11" s="9"/>
        <tr r="G11" s="9"/>
        <tr r="G11" s="9"/>
        <tr r="L1203" s="11"/>
        <tr r="B528" s="11"/>
        <tr r="F651" s="11"/>
        <tr r="C650" s="11"/>
        <tr r="K1078" s="11"/>
        <tr r="I806" s="11"/>
        <tr r="J1089" s="11"/>
        <tr r="G710" s="11"/>
        <tr r="L538" s="11"/>
        <tr r="F717" s="11"/>
        <tr r="I539" s="11"/>
        <tr r="E730" s="11"/>
        <tr r="F718" s="11"/>
        <tr r="Q19" s="8"/>
        <tr r="Q19" s="8"/>
        <tr r="Q19" s="8"/>
        <tr r="K511" s="11"/>
        <tr r="D631" s="11"/>
        <tr r="J1121" s="11"/>
        <tr r="D575" s="11"/>
        <tr r="L953" s="11"/>
        <tr r="I825" s="11"/>
        <tr r="E1041" s="11"/>
        <tr r="L581" s="11"/>
        <tr r="I686" s="11"/>
        <tr r="K525" s="11"/>
        <tr r="J695" s="11"/>
        <tr r="J532" s="11"/>
        <tr r="E715" s="11"/>
        <tr r="K556" s="11"/>
        <tr r="F730" s="11"/>
        <tr r="K566" s="11"/>
        <tr r="F826" s="11"/>
        <tr r="L613" s="11"/>
        <tr r="B845" s="11"/>
        <tr r="H700" s="11"/>
        <tr r="M17" s="8"/>
        <tr r="M17" s="8"/>
        <tr r="M17" s="8"/>
        <tr r="J712" s="11"/>
        <tr r="B1146" s="11"/>
        <tr r="F1122" s="11"/>
        <tr r="C719" s="11"/>
        <tr r="K1289" s="11"/>
        <tr r="I702" s="11"/>
        <tr r="J6" s="3"/>
        <tr r="J6" s="3"/>
        <tr r="J6" s="3"/>
        <tr r="G33" s="3"/>
        <tr r="G33" s="3"/>
        <tr r="G33" s="3"/>
        <tr r="D19" s="10"/>
        <tr r="D19" s="10"/>
        <tr r="D19" s="10"/>
        <tr r="K23" s="8"/>
        <tr r="K23" s="8"/>
        <tr r="K23" s="8"/>
        <tr r="N46" s="10"/>
        <tr r="N46" s="10"/>
        <tr r="N46" s="10"/>
        <tr r="E438" s="11"/>
        <tr r="K627" s="11"/>
        <tr r="H566" s="11"/>
        <tr r="F739" s="11"/>
        <tr r="L593" s="11"/>
        <tr r="J735" s="11"/>
        <tr r="I45" s="11"/>
        <tr r="G404" s="11"/>
        <tr r="K611" s="11"/>
        <tr r="G670" s="11"/>
        <tr r="H409" s="11"/>
        <tr r="K675" s="11"/>
        <tr r="J656" s="11"/>
        <tr r="B847" s="11"/>
        <tr r="E563" s="11"/>
        <tr r="F836" s="11"/>
        <tr r="F962" s="11"/>
        <tr r="L949" s="11"/>
        <tr r="I258" s="11"/>
        <tr r="K424" s="11"/>
        <tr r="H248" s="11"/>
        <tr r="D510" s="11"/>
        <tr r="L441" s="11"/>
        <tr r="F635" s="11"/>
        <tr r="I27" s="11"/>
        <tr r="F345" s="11"/>
        <tr r="F463" s="11"/>
        <tr r="H493" s="11"/>
        <tr r="C592" s="11"/>
        <tr r="G515" s="11"/>
        <tr r="J899" s="11"/>
        <tr r="J34" s="3"/>
        <tr r="J34" s="3"/>
        <tr r="J34" s="3"/>
        <tr r="J218" s="11"/>
        <tr r="I437" s="11"/>
        <tr r="I497" s="11"/>
        <tr r="F988" s="11"/>
        <tr r="L525" s="11"/>
        <tr r="J1001" s="11"/>
        <tr r="K561" s="11"/>
        <tr r="B1179" s="11"/>
        <tr r="I1110" s="11"/>
        <tr r="I875" s="11"/>
        <tr r="G1092" s="11"/>
        <tr r="L321" s="11"/>
        <tr r="J313" s="11"/>
        <tr r="L453" s="11"/>
        <tr r="I153" s="11"/>
        <tr r="G615" s="11"/>
        <tr r="B465" s="11"/>
        <tr r="L1219" s="11"/>
        <tr r="I163" s="11"/>
        <tr r="C393" s="11"/>
        <tr r="I488" s="11"/>
        <tr r="I517" s="11"/>
        <tr r="D617" s="11"/>
        <tr r="L606" s="11"/>
        <tr r="F744" s="11"/>
        <tr r="L1117" s="11"/>
        <tr r="I291" s="11"/>
        <tr r="I469" s="11"/>
        <tr r="E542" s="11"/>
        <tr r="L971" s="11"/>
        <tr r="K543" s="11"/>
        <tr r="J686" s="11"/>
        <tr r="E682" s="11"/>
        <tr r="G48" s="10"/>
        <tr r="G48" s="10"/>
        <tr r="G48" s="10"/>
        <tr r="C1075" s="11"/>
        <tr r="J1249" s="11"/>
        <tr r="F900" s="11"/>
        <tr r="I5" s="11"/>
        <tr r="B336" s="11"/>
        <tr r="F459" s="11"/>
        <tr r="H489" s="11"/>
        <tr r="C588" s="11"/>
        <tr r="Q48" s="8"/>
        <tr r="Q48" s="8"/>
        <tr r="Q48" s="8"/>
        <tr r="B750" s="11"/>
        <tr r="I968" s="11"/>
        <tr r="I7" s="11"/>
        <tr r="F337" s="11"/>
        <tr r="L460" s="11"/>
        <tr r="C489" s="11"/>
        <tr r="I588" s="11"/>
        <tr r="D40" s="10"/>
        <tr r="D40" s="10"/>
        <tr r="D40" s="10"/>
        <tr r="F763" s="11"/>
        <tr r="F986" s="11"/>
        <tr r="G511" s="11"/>
        <tr r="B610" s="11"/>
        <tr r="L510" s="11"/>
        <tr r="G609" s="11"/>
        <tr r="P38" s="8"/>
        <tr r="P38" s="8"/>
        <tr r="P38" s="8"/>
        <tr r="I754" s="11"/>
        <tr r="I1178" s="11"/>
        <tr r="B968" s="11"/>
        <tr r="K573" s="11"/>
        <tr r="I1108" s="11"/>
        <tr r="C634" s="11"/>
        <tr r="K698" s="11"/>
        <tr r="E1260" s="11"/>
        <tr r="I685" s="11"/>
        <tr r="E37" s="3"/>
        <tr r="E37" s="3"/>
        <tr r="E37" s="3"/>
        <tr r="E863" s="11"/>
        <tr r="G1121" s="11"/>
        <tr r="J1177" s="11"/>
        <tr r="F952" s="11"/>
        <tr r="Q18" s="8"/>
        <tr r="Q18" s="8"/>
        <tr r="Q18" s="8"/>
        <tr r="J585" s="11"/>
        <tr r="I1106" s="11"/>
        <tr r="K687" s="11"/>
        <tr r="H7" s="3"/>
        <tr r="H7" s="3"/>
        <tr r="H7" s="3"/>
        <tr r="L232" s="11"/>
        <tr r="E330" s="11"/>
        <tr r="H457" s="11"/>
        <tr r="I1158" s="11"/>
        <tr r="E585" s="11"/>
        <tr r="I1114" s="11"/>
        <tr r="H693" s="11"/>
        <tr r="K37" s="8"/>
        <tr r="K37" s="8"/>
        <tr r="K37" s="8"/>
        <tr r="I1174" s="11"/>
        <tr r="I607" s="11"/>
        <tr r="L542" s="11"/>
        <tr r="L712" s="11"/>
        <tr r="F748" s="11"/>
        <tr r="C421" s="11"/>
        <tr r="L552" s="11"/>
        <tr r="L544" s="11"/>
        <tr r="H654" s="11"/>
        <tr r="E516" s="11"/>
        <tr r="N8" s="8"/>
        <tr r="N8" s="8"/>
        <tr r="N8" s="8"/>
        <tr r="L380" s="11"/>
        <tr r="B368" s="11"/>
        <tr r="E511" s="11"/>
        <tr r="E690" s="11"/>
        <tr r="B276" s="11"/>
        <tr r="I693" s="11"/>
        <tr r="H583" s="11"/>
        <tr r="H708" s="11"/>
        <tr r="G672" s="11"/>
        <tr r="H547" s="11"/>
        <tr r="G717" s="11"/>
        <tr r="I667" s="11"/>
        <tr r="F220" s="11"/>
        <tr r="I406" s="11"/>
        <tr r="I581" s="11"/>
        <tr r="E509" s="11"/>
        <tr r="E883" s="11"/>
        <tr r="G563" s="11"/>
        <tr r="L352" s="11"/>
        <tr r="E306" s="11"/>
        <tr r="D446" s="11"/>
        <tr r="C663" s="11"/>
        <tr r="L575" s="11"/>
        <tr r="B822" s="11"/>
        <tr r="H622" s="11"/>
        <tr r="E876" s="11"/>
        <tr r="I93" s="11"/>
        <tr r="J414" s="11"/>
        <tr r="E654" s="11"/>
        <tr r="F588" s="11"/>
        <tr r="D438" s="11"/>
        <tr r="H590" s="11"/>
        <tr r="J804" s="11"/>
        <tr r="I978" s="11"/>
        <tr r="G605" s="11"/>
        <tr r="G661" s="11"/>
        <tr r="D703" s="11"/>
        <tr r="L829" s="11"/>
        <tr r="I274" s="11"/>
        <tr r="J431" s="11"/>
        <tr r="L1015" s="11"/>
        <tr r="K539" s="11"/>
        <tr r="K448" s="11"/>
        <tr r="H689" s="11"/>
        <tr r="I67" s="11"/>
        <tr r="F361" s="11"/>
        <tr r="E470" s="11"/>
        <tr r="G500" s="11"/>
        <tr r="B599" s="11"/>
        <tr r="E529" s="11"/>
        <tr r="D661" s="11"/>
        <tr r="F1016" s="11"/>
        <tr r="B240" s="11"/>
        <tr r="J446" s="11"/>
        <tr r="L508" s="11"/>
        <tr r="E939" s="11"/>
        <tr r="H649" s="11"/>
        <tr r="E989" s="11"/>
        <tr r="G593" s="11"/>
        <tr r="B901" s="11"/>
        <tr r="E677" s="11"/>
        <tr r="J723" s="11"/>
        <tr r="G1268" s="11"/>
        <tr r="L923" s="11"/>
        <tr r="J298" s="11"/>
        <tr r="D442" s="11"/>
        <tr r="G640" s="11"/>
        <tr r="C570" s="11"/>
        <tr r="I777" s="11"/>
        <tr r="H606" s="11"/>
        <tr r="F850" s="11"/>
        <tr r="L907" s="11"/>
        <tr r="E298" s="11"/>
        <tr r="J442" s="11"/>
        <tr r="I641" s="11"/>
        <tr r="H571" s="11"/>
        <tr r="E780" s="11"/>
        <tr r="J607" s="11"/>
        <tr r="J863" s="11"/>
        <tr r="B838" s="11"/>
        <tr r="K593" s="11"/>
        <tr r="B842" s="11"/>
        <tr r="E591" s="11"/>
        <tr r="B830" s="11"/>
        <tr r="K718" s="11"/>
        <tr r="J1017" s="11"/>
        <tr r="F880" s="11"/>
        <tr r="B543" s="11"/>
        <tr r="F743" s="11"/>
        <tr r="D611" s="11"/>
        <tr r="L675" s="11"/>
        <tr r="I728" s="11"/>
        <tr r="H594" s="11"/>
        <tr r="I744" s="11"/>
        <tr r="J715" s="11"/>
        <tr r="K1065" s="11"/>
        <tr r="E803" s="11"/>
        <tr r="I836" s="11"/>
        <tr r="H45" s="3"/>
        <tr r="H45" s="3"/>
        <tr r="H45" s="3"/>
        <tr r="C566" s="11"/>
        <tr r="B742" s="11"/>
        <tr r="C594" s="11"/>
        <tr r="E747" s="11"/>
        <tr r="L740" s="11"/>
        <tr r="B292" s="11"/>
        <tr r="F439" s="11"/>
        <tr r="D630" s="11"/>
        <tr r="H567" s="11"/>
        <tr r="I745" s="11"/>
        <tr r="E595" s="11"/>
        <tr r="I760" s="11"/>
        <tr r="E812" s="11"/>
        <tr r="G590" s="11"/>
        <tr r="B518" s="11"/>
        <tr r="J648" s="11"/>
        <tr r="J709" s="11"/>
        <tr r="E636" s="11"/>
        <tr r="D536" s="11"/>
        <tr r="J635" s="11"/>
        <tr r="I668" s="11"/>
        <tr r="F812" s="11"/>
        <tr r="D716" s="11"/>
        <tr r="D42" s="10"/>
        <tr r="D42" s="10"/>
        <tr r="D42" s="10"/>
        <tr r="D608" s="11"/>
        <tr r="C539" s="11"/>
        <tr r="F707" s="11"/>
        <tr r="J749" s="11"/>
        <tr r="I583" s="11"/>
        <tr r="I708" s="11"/>
        <tr r="C703" s="11"/>
        <tr r="E978" s="11"/>
        <tr r="F777" s="11"/>
        <tr r="E1134" s="11"/>
        <tr r="B1121" s="11"/>
        <tr r="G8" s="9"/>
        <tr r="G8" s="9"/>
        <tr r="G8" s="9"/>
        <tr r="F622" s="11"/>
        <tr r="E624" s="11"/>
        <tr r="E785" s="11"/>
        <tr r="L1182" s="11"/>
        <tr r="I191" s="11"/>
        <tr r="G400" s="11"/>
        <tr r="J495" s="11"/>
        <tr r="E522" s="11"/>
        <tr r="L623" s="11"/>
        <tr r="G626" s="11"/>
        <tr r="J789" s="11"/>
        <tr r="E643" s="11"/>
        <tr r="I544" s="11"/>
        <tr r="J644" s="11"/>
        <tr r="C543" s="11"/>
        <tr r="I642" s="11"/>
        <tr r="H676" s="11"/>
        <tr r="F828" s="11"/>
        <tr r="B788" s="11"/>
        <tr r="F990" s="11"/>
        <tr r="G618" s="11"/>
        <tr r="D548" s="11"/>
        <tr r="B782" s="11"/>
        <tr r="B771" s="11"/>
        <tr r="E612" s="11"/>
        <tr r="B759" s="11"/>
        <tr r="I747" s="11"/>
        <tr r="I1053" s="11"/>
        <tr r="F841" s="11"/>
        <tr r="I1289" s="11"/>
        <tr r="M18" s="9"/>
        <tr r="M18" s="9"/>
        <tr r="M18" s="9"/>
        <tr r="G162" s="11"/>
        <tr r="J944" s="11"/>
        <tr r="J533" s="11"/>
        <tr r="E632" s="11"/>
        <tr r="D532" s="11"/>
        <tr r="J631" s="11"/>
        <tr r="I664" s="11"/>
        <tr r="B803" s="11"/>
        <tr r="G694" s="11"/>
        <tr r="E958" s="11"/>
        <tr r="G535" s="11"/>
        <tr r="B634" s="11"/>
        <tr r="L534" s="11"/>
        <tr r="G633" s="11"/>
        <tr r="F666" s="11"/>
        <tr r="B807" s="11"/>
        <tr r="F701" s="11"/>
        <tr r="E974" s="11"/>
        <tr r="B876" s="11"/>
        <tr r="B681" s="11"/>
        <tr r="M14" s="8"/>
        <tr r="M14" s="8"/>
        <tr r="M14" s="8"/>
        <tr r="E648" s="11"/>
        <tr r="J583" s="11"/>
        <tr r="I648" s="11"/>
        <tr r="C1117" s="11"/>
        <tr r="J1165" s="11"/>
        <tr r="E1133" s="11"/>
        <tr r="I1087" s="11"/>
        <tr r="G1275" s="11"/>
        <tr r="F676" s="11"/>
        <tr r="F1058" s="11"/>
        <tr r="K11" s="8"/>
        <tr r="K11" s="8"/>
        <tr r="K11" s="8"/>
        <tr r="C552" s="11"/>
        <tr r="G676" s="11"/>
        <tr r="C547" s="11"/>
        <tr r="J798" s="11"/>
        <tr r="L852" s="11"/>
        <tr r="J270" s="11"/>
        <tr r="C429" s="11"/>
        <tr r="C589" s="11"/>
        <tr r="H553" s="11"/>
        <tr r="I677" s="11"/>
        <tr r="E548" s="11"/>
        <tr r="E810" s="11"/>
        <tr r="F723" s="11"/>
        <tr r="D580" s="11"/>
        <tr r="F727" s="11"/>
        <tr r="I578" s="11"/>
        <tr r="I717" s="11"/>
        <tr r="D705" s="11"/>
        <tr r="J903" s="11"/>
        <tr r="B725" s="11"/>
        <tr r="K526" s="11"/>
        <tr r="L666" s="11"/>
        <tr r="B593" s="11"/>
        <tr r="J657" s="11"/>
        <tr r="D700" s="11"/>
        <tr r="C535" s="11"/>
        <tr r="C707" s="11"/>
        <tr r="D663" s="11"/>
        <tr r="E913" s="11"/>
        <tr r="B705" s="11"/>
        <tr r="B784" s="11"/>
        <tr r="I1148" s="11"/>
        <tr r="I948" s="11"/>
        <tr r="E1174" s="11"/>
        <tr r="I567" s="11"/>
        <tr r="D678" s="11"/>
        <tr r="E565" s="11"/>
        <tr r="B672" s="11"/>
        <tr r="E693" s="11"/>
        <tr r="B867" s="11"/>
        <tr r="B1011" s="11"/>
        <tr r="E1214" s="11"/>
        <tr r="D570" s="11"/>
        <tr r="C685" s="11"/>
        <tr r="K568" s="11"/>
        <tr r="L680" s="11"/>
        <tr r="B695" s="11"/>
        <tr r="I870" s="11"/>
        <tr r="I1077" s="11"/>
        <tr r="F1124" s="11"/>
        <tr r="K1067" s="11"/>
        <tr r="E555" s="11"/>
        <tr r="E793" s="11"/>
        <tr r="E797" s="11"/>
        <tr r="J1081" s="11"/>
        <tr r="F908" s="11"/>
        <tr r="D534" s="11"/>
        <tr r="L716" s="11"/>
        <tr r="L1118" s="11"/>
        <tr r="L412" s="11"/>
        <tr r="J534" s="11"/>
        <tr r="J724" s="11"/>
        <tr r="C661" s="11"/>
        <tr r="G662" s="11"/>
        <tr r="F659" s="11"/>
        <tr r="E853" s="11"/>
        <tr r="G634" s="11"/>
        <tr r="F669" s="11"/>
        <tr r="I1097" s="11"/>
        <tr r="H15" s="3"/>
        <tr r="H15" s="3"/>
        <tr r="H15" s="3"/>
        <tr r="L696" s="11"/>
        <tr r="E12" s="8"/>
        <tr r="E12" s="8"/>
        <tr r="E12" s="8"/>
        <tr r="K703" s="11"/>
        <tr r="J897" s="11"/>
        <tr r="L684" s="11"/>
        <tr r="K554" s="11"/>
        <tr r="J727" s="11"/>
        <tr r="B758" s="11"/>
        <tr r="I295" s="11"/>
        <tr r="E764" s="11"/>
        <tr r="I591" s="11"/>
        <tr r="I716" s="11"/>
        <tr r="E718" s="11"/>
        <tr r="K588" s="11"/>
        <tr r="J791" s="11"/>
        <tr r="F916" s="11"/>
        <tr r="E719" s="11"/>
        <tr r="F932" s="11"/>
        <tr r="B734" s="11"/>
        <tr r="J949" s="11"/>
        <tr r="F758" s="11"/>
        <tr r="K1105" s="11"/>
        <tr r="E851" s="11"/>
        <tr r="B914" s="11"/>
        <tr r="H15" s="8"/>
        <tr r="H15" s="8"/>
        <tr r="H15" s="8"/>
        <tr r="F883" s="11"/>
        <tr r="F624" s="11"/>
        <tr r="F899" s="11"/>
        <tr r="B777" s="11"/>
        <tr r="F1162" s="11"/>
        <tr r="F870" s="11"/>
        <tr r="J990" s="11"/>
        <tr r="P10" s="10"/>
        <tr r="P10" s="10"/>
        <tr r="P10" s="10"/>
        <tr r="F947" s="11"/>
        <tr r="E631" s="11"/>
        <tr r="J962" s="11"/>
        <tr r="F822" s="11"/>
        <tr r="B978" s="11"/>
        <tr r="F996" s="11"/>
        <tr r="F1145" s="11"/>
        <tr r="C1291" s="11"/>
        <tr r="E1116" s="11"/>
        <tr r="D658" s="11"/>
        <tr r="J1130" s="11"/>
        <tr r="B841" s="11"/>
        <tr r="G1065" s="11"/>
        <tr r="C1076" s="11"/>
        <tr r="H5" s="3"/>
        <tr r="H5" s="3"/>
        <tr r="H5" s="3"/>
        <tr r="H14" s="8"/>
        <tr r="H14" s="8"/>
        <tr r="H14" s="8"/>
        <tr r="J1178" s="11"/>
        <tr r="D674" s="11"/>
        <tr r="I1230" s="11"/>
        <tr r="C1082" s="11"/>
        <tr r="K7" s="8"/>
        <tr r="K7" s="8"/>
        <tr r="K7" s="8"/>
        <tr r="E948" s="11"/>
        <tr r="M33" s="10"/>
        <tr r="M33" s="10"/>
        <tr r="M33" s="10"/>
        <tr r="N43" s="10"/>
        <tr r="N43" s="10"/>
        <tr r="N43" s="10"/>
        <tr r="I1205" s="11"/>
        <tr r="K646" s="11"/>
        <tr r="K26" s="3"/>
        <tr r="K26" s="3"/>
        <tr r="K26" s="3"/>
        <tr r="B1135" s="11"/>
        <tr r="P13" s="10"/>
        <tr r="P13" s="10"/>
        <tr r="P13" s="10"/>
        <tr r="F973" s="11"/>
        <tr r="F982" s="11"/>
        <tr r="K9" s="10"/>
        <tr r="K9" s="10"/>
        <tr r="K9" s="10"/>
        <tr r="H575" s="11"/>
        <tr r="C1069" s="11"/>
        <tr r="I796" s="11"/>
        <tr r="E786" s="11"/>
        <tr r="F1175" s="11"/>
        <tr r="H8" s="3"/>
        <tr r="H8" s="3"/>
        <tr r="H8" s="3"/>
        <tr r="E596" s="11"/>
        <tr r="L674" s="11"/>
        <tr r="E815" s="11"/>
        <tr r="L713" s="11"/>
        <tr r="E1278" s="11"/>
        <tr r="K550" s="11"/>
        <tr r="L868" s="11"/>
        <tr r="F1160" s="11"/>
        <tr r="G1076" s="11"/>
        <tr r="J730" s="11"/>
        <tr r="F1105" s="11"/>
        <tr r="G102" s="11"/>
        <tr r="Q47" s="8"/>
        <tr r="Q47" s="8"/>
        <tr r="Q47" s="8"/>
        <tr r="F879" s="11"/>
        <tr r="B677" s="11"/>
        <tr r="I720" s="11"/>
        <tr r="E914" s="11"/>
        <tr r="E919" s="11"/>
        <tr r="B900" s="11"/>
        <tr r="E898" s="11"/>
        <tr r="E37" s="8"/>
        <tr r="E37" s="8"/>
        <tr r="E37" s="8"/>
        <tr r="I1057" s="11"/>
        <tr r="J884" s="11"/>
        <tr r="E1030" s="11"/>
        <tr r="G37" s="10"/>
        <tr r="G37" s="10"/>
        <tr r="G37" s="10"/>
        <tr r="J859" s="11"/>
        <tr r="I1207" s="11"/>
        <tr r="I1201" s="11"/>
        <tr r="F928" s="11"/>
        <tr r="E1101" s="11"/>
        <tr r="J1025" s="11"/>
        <tr r="D11" s="8"/>
        <tr r="D11" s="8"/>
        <tr r="D11" s="8"/>
        <tr r="B1178" s="11"/>
        <tr r="D5" s="10"/>
        <tr r="D5" s="10"/>
        <tr r="D5" s="10"/>
        <tr r="B1069" s="11"/>
        <tr r="G21" s="10"/>
        <tr r="G21" s="10"/>
        <tr r="G21" s="10"/>
        <tr r="K210" s="11"/>
        <tr r="E33" s="10"/>
        <tr r="E33" s="10"/>
        <tr r="E33" s="10"/>
        <tr r="I1153" s="11"/>
        <tr r="S6" s="9"/>
        <tr r="S6" s="9"/>
        <tr r="S6" s="9"/>
        <tr r="G43" s="10"/>
        <tr r="G43" s="10"/>
        <tr r="G43" s="10"/>
        <tr r="J5" s="8"/>
        <tr r="J5" s="8"/>
        <tr r="J5" s="8"/>
        <tr r="K43" s="11"/>
        <tr r="P17" s="8"/>
        <tr r="P17" s="8"/>
        <tr r="P17" s="8"/>
        <tr r="L663" s="11"/>
        <tr r="J342" s="11"/>
        <tr r="D462" s="11"/>
        <tr r="F491" s="11"/>
        <tr r="L591" s="11"/>
        <tr r="J513" s="11"/>
        <tr r="J840" s="11"/>
        <tr r="I1044" s="11"/>
        <tr r="I213" s="11"/>
        <tr r="E434" s="11"/>
        <tr r="G496" s="11"/>
        <tr r="I862" s="11"/>
        <tr r="D507" s="11"/>
        <tr r="E865" s="11"/>
        <tr r="K553" s="11"/>
        <tr r="B897" s="11"/>
        <tr r="E887" s="11"/>
        <tr r="B824" s="11"/>
        <tr r="C55" s="11"/>
        <tr r="L337" s="11"/>
        <tr r="E309" s="11"/>
        <tr r="I450" s="11"/>
        <tr r="I121" s="11"/>
        <tr r="J609" s="11"/>
        <tr r="K464" s="11"/>
        <tr r="L1277" s="11"/>
        <tr r="I155" s="11"/>
        <tr r="C391" s="11"/>
        <tr r="E486" s="11"/>
        <tr r="G516" s="11"/>
        <tr r="B615" s="11"/>
        <tr r="D600" s="11"/>
        <tr r="B731" s="11"/>
        <tr r="L1122" s="11"/>
        <tr r="B288" s="11"/>
        <tr r="G468" s="11"/>
        <tr r="H537" s="11"/>
        <tr r="L1035" s="11"/>
        <tr r="C537" s="11"/>
        <tr r="K667" s="11"/>
        <tr r="C665" s="11"/>
        <tr r="E1000" s="11"/>
        <tr r="J886" s="11"/>
        <tr r="E1146" s="11"/>
        <tr r="B541" s="11"/>
        <tr r="E74" s="11"/>
        <tr r="F364" s="11"/>
        <tr r="E483" s="11"/>
        <tr r="H391" s="11"/>
        <tr r="B598" s="11"/>
        <tr r="F489" s="11"/>
        <tr r="L995" s="11"/>
        <tr r="J246" s="11"/>
        <tr r="J418" s="11"/>
        <tr r="J539" s="11"/>
        <tr r="H541" s="11"/>
        <tr r="B648" s="11"/>
        <tr r="I1126" s="11"/>
        <tr r="C1121" s="11"/>
        <tr r="L744" s="11"/>
        <tr r="E358" s="11"/>
        <tr r="B506" s="11"/>
        <tr r="D652" s="11"/>
        <tr r="E250" s="11"/>
        <tr r="F652" s="11"/>
        <tr r="D571" s="11"/>
        <tr r="C696" s="11"/>
        <tr r="E646" s="11"/>
        <tr r="F984" s="11"/>
        <tr r="I670" s="11"/>
        <tr r="H224" s="11"/>
        <tr r="I133" s="11"/>
        <tr r="H386" s="11"/>
        <tr r="E482" s="11"/>
        <tr r="G512" s="11"/>
        <tr r="B611" s="11"/>
        <tr r="D584" s="11"/>
        <tr r="D709" s="11"/>
        <tr r="H220" s="11"/>
        <tr r="I135" s="11"/>
        <tr r="C386" s="11"/>
        <tr r="K483" s="11"/>
        <tr r="B512" s="11"/>
        <tr r="H612" s="11"/>
        <tr r="F585" s="11"/>
        <tr r="F710" s="11"/>
        <tr r="J633" s="11"/>
        <tr r="F534" s="11"/>
        <tr r="L634" s="11"/>
        <tr r="K533" s="11"/>
        <tr r="F632" s="11"/>
        <tr r="E665" s="11"/>
        <tr r="E805" s="11"/>
        <tr r="B698" s="11"/>
        <tr r="K1280" s="11"/>
        <tr r="K605" s="11"/>
        <tr r="H535" s="11"/>
        <tr r="D690" s="11"/>
        <tr r="I742" s="11"/>
        <tr r="D572" s="11"/>
        <tr r="D697" s="11"/>
        <tr r="I691" s="11"/>
        <tr r="K953" s="11"/>
        <tr r="I751" s="11"/>
        <tr r="E1107" s="11"/>
        <tr r="I1054" s="11"/>
        <tr r="J25" s="3"/>
        <tr r="J25" s="3"/>
        <tr r="J25" s="3"/>
        <tr r="I608" s="11"/>
        <tr r="J572" s="11"/>
        <tr r="J697" s="11"/>
        <tr r="K7" s="10"/>
        <tr r="K7" s="10"/>
        <tr r="K7" s="10"/>
        <tr r="I119" s="11"/>
        <tr r="J382" s="11"/>
        <tr r="G480" s="11"/>
        <tr r="I509" s="11"/>
        <tr r="D609" s="11"/>
        <tr r="L574" s="11"/>
        <tr r="L699" s="11"/>
        <tr r="F630" s="11"/>
        <tr r="B531" s="11"/>
        <tr r="B642" s="11"/>
        <tr r="G577" s="11"/>
        <tr r="I1142" s="11"/>
        <tr r="J825" s="11"/>
        <tr r="B444" s="11"/>
        <tr r="L653" s="11"/>
        <tr r="J573" s="11"/>
        <tr r="B806" s="11"/>
        <tr r="K616" s="11"/>
        <tr r="C1088" s="11"/>
        <tr r="I85" s="11"/>
        <tr r="F411" s="11"/>
        <tr r="D647" s="11"/>
        <tr r="E562" s="11"/>
        <tr r="G432" s="11"/>
        <tr r="E564" s="11"/>
        <tr r="E752" s="11"/>
        <tr r="I928" s="11"/>
        <tr r="H598" s="11"/>
        <tr r="E794" s="11"/>
        <tr r="I890" s="11"/>
        <tr r="L845" s="11"/>
        <tr r="B271" s="11"/>
        <tr r="H430" s="11"/>
        <tr r="L1048" s="11"/>
        <tr r="C533" s="11"/>
        <tr r="I446" s="11"/>
        <tr r="J668" s="11"/>
        <tr r="I59" s="11"/>
        <tr r="J358" s="11"/>
        <tr r="C469" s="11"/>
        <tr r="E498" s="11"/>
        <tr r="K598" s="11"/>
        <tr r="H524" s="11"/>
        <tr r="G655" s="11"/>
        <tr r="B818" s="11"/>
        <tr r="F237" s="11"/>
        <tr r="H445" s="11"/>
        <tr r="H505" s="11"/>
        <tr r="G709" s="11"/>
        <tr r="G624" s="11"/>
        <tr r="D715" s="11"/>
        <tr r="J587" s="11"/>
        <tr r="E827" s="11"/>
        <tr r="D669" s="11"/>
        <tr r="H698" s="11"/>
        <tr r="B1088" s="11"/>
        <tr r="L257" s="11"/>
        <tr r="E325" s="11"/>
        <tr r="F460" s="11"/>
        <tr r="J242" s="11"/>
        <tr r="G645" s="11"/>
        <tr r="J471" s="11"/>
        <tr r="L1174" s="11"/>
        <tr r="I195" s="11"/>
        <tr r="H401" s="11"/>
        <tr r="J496" s="11"/>
        <tr r="F523" s="11"/>
        <tr r="H624" s="11"/>
        <tr r="K629" s="11"/>
        <tr r="B795" s="11"/>
        <tr r="L1023" s="11"/>
        <tr r="I307" s="11"/>
        <tr r="J478" s="11"/>
        <tr r="C572" s="11"/>
        <tr r="L376" s="11"/>
        <tr r="I572" s="11"/>
        <tr r="F851" s="11"/>
        <tr r="F843" s="11"/>
        <tr r="F546" s="11"/>
        <tr r="E779" s="11"/>
        <tr r="K1076" s="11"/>
        <tr r="I1247" s="11"/>
        <tr r="I37" s="11"/>
        <tr r="F349" s="11"/>
        <tr r="C465" s="11"/>
        <tr r="E494" s="11"/>
        <tr r="K594" s="11"/>
        <tr r="E517" s="11"/>
        <tr r="E1129" s="11"/>
        <tr r="G1087" s="11"/>
        <tr r="I39" s="11"/>
        <tr r="J350" s="11"/>
        <tr r="I465" s="11"/>
        <tr r="K495" s="11"/>
        <tr r="F594" s="11"/>
        <tr r="K518" s="11"/>
        <tr r="J1181" s="11"/>
        <tr r="G1119" s="11"/>
        <tr r="D517" s="11"/>
        <tr r="J616" s="11"/>
        <tr r="I515" s="11"/>
        <tr r="D615" s="11"/>
        <tr r="C648" s="11"/>
        <tr r="B767" s="11"/>
        <tr r="D13" s="8"/>
        <tr r="D13" s="8"/>
        <tr r="D13" s="8"/>
        <tr r="B1032" s="11"/>
        <tr r="L582" s="11"/>
        <tr r="I511" s="11"/>
        <tr r="B641" s="11"/>
        <tr r="L707" s="11"/>
        <tr r="F1080" s="11"/>
        <tr r="I849" s="11"/>
        <tr r="K1094" s="11"/>
        <tr r="J993" s="11"/>
        <tr r="D46" s="3"/>
        <tr r="D46" s="3"/>
        <tr r="D46" s="3"/>
        <tr r="J920" s="11"/>
        <tr r="I1036" s="11"/>
        <tr r="M7" s="8"/>
        <tr r="M7" s="8"/>
        <tr r="M7" s="8"/>
        <tr r="G591" s="11"/>
        <tr r="E513" s="11"/>
        <tr r="E852" s="11"/>
        <tr r="F1096" s="11"/>
        <tr r="I23" s="11"/>
        <tr r="I343" s="11"/>
        <tr r="E462" s="11"/>
        <tr r="G492" s="11"/>
        <tr r="B591" s="11"/>
        <tr r="F514" s="11"/>
        <tr r="I865" s="11"/>
        <tr r="K1108" s="11"/>
        <tr r="K514" s="11"/>
        <tr r="C619" s="11"/>
        <tr r="I547" s="11"/>
        <tr r="I753" s="11"/>
        <tr r="E773" s="11"/>
        <tr r="H671" s="11"/>
        <tr r="K563" s="11"/>
        <tr r="G668" s="11"/>
        <tr r="H692" s="11"/>
        <tr r="B863" s="11"/>
        <tr r="G32" s="3"/>
        <tr r="G32" s="3"/>
        <tr r="G32" s="3"/>
        <tr r="G1063" s="11"/>
        <tr r="D640" s="11"/>
        <tr r="K576" s="11"/>
        <tr r="B1155" s="11"/>
        <tr r="J919" s="11"/>
        <tr r="F759" s="11"/>
        <tr r="J935" s="11"/>
        <tr r="I892" s="11"/>
        <tr r="I1159" s="11"/>
        <tr r="P11" s="8"/>
        <tr r="P11" s="8"/>
        <tr r="P11" s="8"/>
        <tr r="K1079" s="11"/>
        <tr r="I1125" s="11"/>
        <tr r="I545" s="11"/>
        <tr r="I657" s="11"/>
        <tr r="D524" s="11"/>
        <tr r="J680" s="11"/>
        <tr r="L896" s="11"/>
        <tr r="F257" s="11"/>
        <tr r="F423" s="11"/>
        <tr r="L564" s="11"/>
        <tr r="D546" s="11"/>
        <tr r="K659" s="11"/>
        <tr r="F525" s="11"/>
        <tr r="G682" s="11"/>
        <tr r="D698" s="11"/>
        <tr r="G574" s="11"/>
        <tr r="L700" s="11"/>
        <tr r="L573" s="11"/>
        <tr r="J694" s="11"/>
        <tr r="G699" s="11"/>
        <tr r="I880" s="11"/>
        <tr r="G693" s="11"/>
        <tr r="I1249" s="11"/>
        <tr r="I650" s="11"/>
        <tr r="C586" s="11"/>
        <tr r="K650" s="11"/>
        <tr r="E1181" s="11"/>
        <tr r="D512" s="11"/>
        <tr r="K1262" s="11"/>
        <tr r="I1119" s="11"/>
        <tr r="H9" s="3"/>
        <tr r="H9" s="3"/>
        <tr r="H9" s="3"/>
        <tr r="C682" s="11"/>
        <tr r="G50" s="8"/>
        <tr r="G50" s="8"/>
        <tr r="G50" s="8"/>
        <tr r="I1202" s="11"/>
        <tr r="B852" s="11"/>
        <tr r="I1123" s="11"/>
        <tr r="I559" s="11"/>
        <tr r="H663" s="11"/>
        <tr r="E557" s="11"/>
        <tr r="G660" s="11"/>
        <tr r="H688" s="11"/>
        <tr r="I854" s="11"/>
        <tr r="I868" s="11"/>
        <tr r="I1139" s="11"/>
        <tr r="D562" s="11"/>
        <tr r="B666" s="11"/>
        <tr r="K560" s="11"/>
        <tr r="L664" s="11"/>
        <tr r="E689" s="11"/>
        <tr r="I858" s="11"/>
        <tr r="B887" s="11"/>
        <tr r="I1155" s="11"/>
        <tr r="E1052" s="11"/>
        <tr r="I1002" s="11"/>
        <tr r="H548" s="11"/>
        <tr r="E768" s="11"/>
        <tr r="J615" s="11"/>
        <tr r="G679" s="11"/>
        <tr r="J831" s="11"/>
        <tr r="B605" s="11"/>
        <tr r="J847" s="11"/>
        <tr r="E735" s="11"/>
        <tr r="F1086" s="11"/>
        <tr r="B829" s="11"/>
        <tr r="C1086" s="11"/>
        <tr r="G46" s="3"/>
        <tr r="G46" s="3"/>
        <tr r="G46" s="3"/>
        <tr r="D581" s="11"/>
        <tr r="F918" s="11"/>
        <tr r="L648" s="11"/>
        <tr r="E1088" s="11"/>
        <tr r="L280" s="11"/>
        <tr r="F321" s="11"/>
        <tr r="B452" s="11"/>
        <tr r="E808" s="11"/>
        <tr r="J581" s="11"/>
        <tr r="J931" s="11"/>
        <tr r="L650" s="11"/>
        <tr r="E1096" s="11"/>
        <tr r="I1058" s="11"/>
        <tr r="C603" s="11"/>
        <tr r="I1068" s="11"/>
        <tr r="H602" s="11"/>
        <tr r="J1013" s="11"/>
        <tr r="I738" s="11"/>
        <tr r="C1103" s="11"/>
        <tr r="J880" s="11"/>
        <tr r="I561" s="11"/>
        <tr r="B858" s="11"/>
        <tr r="K624" s="11"/>
        <tr r="J689" s="11"/>
        <tr r="I971" s="11"/>
        <tr r="I634" s="11"/>
        <tr r="I987" s="11"/>
        <tr r="E799" s="11"/>
        <tr r="D44" s="10"/>
        <tr r="D44" s="10"/>
        <tr r="D44" s="10"/>
        <tr r="E907" s="11"/>
        <tr r="J1080" s="11"/>
        <tr r="K40" s="8"/>
        <tr r="K40" s="8"/>
        <tr r="K40" s="8"/>
        <tr r="I710" s="11"/>
        <tr r="E1049" s="11"/>
        <tr r="D592" s="11"/>
        <tr r="E832" s="11"/>
        <tr r="I590" s="11"/>
        <tr r="E820" s="11"/>
        <tr r="D717" s="11"/>
        <tr r="B1007" s="11"/>
        <tr r="H718" s="11"/>
        <tr r="K1070" s="11"/>
        <tr r="L594" s="11"/>
        <tr r="E848" s="11"/>
        <tr r="F592" s="11"/>
        <tr r="E836" s="11"/>
        <tr r="J719" s="11"/>
        <tr r="B1023" s="11"/>
        <tr r="E731" s="11"/>
        <tr r="E680" s="11"/>
        <tr r="F593" s="11"/>
        <tr r="C657" s="11"/>
        <tr r="L531" s="11"/>
        <tr r="J1137" s="11"/>
        <tr r="C699" s="11"/>
        <tr r="F1107" s="11"/>
        <tr r="K610" s="11"/>
        <tr r="G703" s="11"/>
        <tr r="I127" s="11"/>
        <tr r="I481" s="11"/>
        <tr r="F610" s="11"/>
        <tr r="I704" s="11"/>
        <tr r="D533" s="11"/>
        <tr r="I531" s="11"/>
        <tr r="C664" s="11"/>
        <tr r="E692" s="11"/>
        <tr r="E569" s="11"/>
        <tr r="E861" s="11"/>
        <tr r="B1009" s="11"/>
        <tr r="B574" s="11"/>
        <tr r="B699" s="11"/>
        <tr r="J576" s="11"/>
        <tr r="J701" s="11"/>
        <tr r="B941" s="11"/>
        <tr r="J599" s="11"/>
        <tr r="J846" s="11"/>
        <tr r="I1083" s="11"/>
        <tr r="K600" s="11"/>
        <tr r="H441" s="11"/>
        <tr r="B601" s="11"/>
        <tr r="I829" s="11"/>
        <tr r="F1004" s="11"/>
        <tr r="B609" s="11"/>
        <tr r="E707" s="11"/>
        <tr r="B785" s="11"/>
        <tr r="J580" s="11"/>
        <tr r="J705" s="11"/>
        <tr r="G582" s="11"/>
        <tr r="G707" s="11"/>
        <tr r="E21" s="8"/>
        <tr r="E21" s="8"/>
        <tr r="E21" s="8"/>
        <tr r="J1161" s="11"/>
        <tr r="J26" s="9"/>
        <tr r="J26" s="9"/>
        <tr r="J26" s="9"/>
        <tr r="E982" s="11"/>
        <tr r="E1007" s="11"/>
        <tr r="P46" s="10"/>
        <tr r="P46" s="10"/>
        <tr r="P46" s="10"/>
        <tr r="F526" s="11"/>
        <tr r="E657" s="11"/>
        <tr r="C1107" s="11"/>
        <tr r="E35" s="8"/>
        <tr r="E35" s="8"/>
        <tr r="E35" s="8"/>
        <tr r="H695" s="11"/>
        <tr r="B1008" s="11"/>
        <tr r="F1083" s="11"/>
        <tr r="F178" s="11"/>
        <tr r="E533" s="11"/>
        <tr r="D665" s="11"/>
        <tr r="E672" s="11"/>
        <tr r="E912" s="11"/>
        <tr r="C715" s="11"/>
        <tr r="E1073" s="11"/>
        <tr r="M9" s="8"/>
        <tr r="M9" s="8"/>
        <tr r="M9" s="8"/>
        <tr r="D7" s="3"/>
        <tr r="D7" s="3"/>
        <tr r="D7" s="3"/>
        <tr r="D558" s="11"/>
        <tr r="L687" s="11"/>
        <tr r="F681" s="11"/>
        <tr r="J932" s="11"/>
        <tr r="F729" s="11"/>
        <tr r="E1089" s="11"/>
        <tr r="C953" s="11"/>
        <tr r="H6" s="9"/>
        <tr r="H6" s="9"/>
        <tr r="H6" s="9"/>
        <tr r="D568" s="11"/>
        <tr r="K694" s="11"/>
        <tr r="I731" s="11"/>
        <tr r="E1026" s="11"/>
        <tr r="F825" s="11"/>
        <tr r="G1251" s="11"/>
        <tr r="K32" s="3"/>
        <tr r="K32" s="3"/>
        <tr r="K32" s="3"/>
        <tr r="P27" s="9"/>
        <tr r="P27" s="9"/>
        <tr r="P27" s="9"/>
        <tr r="G614" s="11"/>
        <tr r="I762" s="11"/>
        <tr r="E750" s="11"/>
        <tr r="G1059" s="11"/>
        <tr r="B844" s="11"/>
        <tr r="H11" s="3"/>
        <tr r="H11" s="3"/>
        <tr r="H11" s="3"/>
        <tr r="C1265" s="11"/>
        <tr r="H45" s="11"/>
        <tr r="J891" s="11"/>
        <tr r="I1271" s="11"/>
        <tr r="B988" s="11"/>
        <tr r="L681" s="11"/>
        <tr r="J1072" s="11"/>
        <tr r="Q5" s="10"/>
        <tr r="Q5" s="10"/>
        <tr r="Q5" s="10"/>
        <tr r="C519" s="11"/>
        <tr r="E1062" s="11"/>
        <tr r="I1007" s="11"/>
        <tr r="E1067" s="11"/>
        <tr r="E1245" s="11"/>
        <tr r="F682" s="11"/>
        <tr r="B869" s="11"/>
        <tr r="E1258" s="11"/>
        <tr r="D35" s="10"/>
        <tr r="D35" s="10"/>
        <tr r="D35" s="10"/>
        <tr r="J731" s="11"/>
        <tr r="B1119" s="11"/>
        <tr r="B1118" s="11"/>
        <tr r="H48" s="10"/>
        <tr r="H48" s="10"/>
        <tr r="H48" s="10"/>
        <tr r="I902" s="11"/>
        <tr r="B922" s="11"/>
        <tr r="E1081" s="11"/>
        <tr r="N20" s="9"/>
        <tr r="N20" s="9"/>
        <tr r="N20" s="9"/>
        <tr r="E923" s="11"/>
        <tr r="C1283" s="11"/>
        <tr r="K1281" s="11"/>
        <tr r="H43" s="10"/>
        <tr r="H43" s="10"/>
        <tr r="H43" s="10"/>
        <tr r="F1098" s="11"/>
        <tr r="B907" s="11"/>
        <tr r="E758" s="11"/>
        <tr r="E1063" s="11"/>
        <tr r="F1129" s="11"/>
        <tr r="J21" s="3"/>
        <tr r="J21" s="3"/>
        <tr r="J21" s="3"/>
        <tr r="G43" s="3"/>
        <tr r="G43" s="3"/>
        <tr r="G43" s="3"/>
        <tr r="E688" s="11"/>
        <tr r="I1017" s="11"/>
        <tr r="H46" s="3"/>
        <tr r="H46" s="3"/>
        <tr r="H46" s="3"/>
        <tr r="H33" s="11"/>
        <tr r="E1208" s="11"/>
        <tr r="D11" s="9"/>
        <tr r="D11" s="9"/>
        <tr r="D11" s="9"/>
        <tr r="G1072" s="11"/>
        <tr r="N35" s="10"/>
        <tr r="N35" s="10"/>
        <tr r="N35" s="10"/>
        <tr r="G20" s="3"/>
        <tr r="G20" s="3"/>
        <tr r="G20" s="3"/>
        <tr r="E44" s="9"/>
        <tr r="E44" s="9"/>
        <tr r="E44" s="9"/>
        <tr r="I1157" s="11"/>
        <tr r="F203" s="11"/>
        <tr r="E1264" s="11"/>
        <tr r="D27" s="9"/>
        <tr r="D27" s="9"/>
        <tr r="D27" s="9"/>
        <tr r="M31" s="10"/>
        <tr r="M31" s="10"/>
        <tr r="M31" s="10"/>
        <tr r="G38" s="8"/>
        <tr r="G38" s="8"/>
        <tr r="G38" s="8"/>
        <tr r="E697" s="11"/>
        <tr r="C389" s="11"/>
        <tr r="C485" s="11"/>
        <tr r="E514" s="11"/>
        <tr r="K614" s="11"/>
        <tr r="G594" s="11"/>
        <tr r="L719" s="11"/>
        <tr r="L1138" s="11"/>
        <tr r="J282" s="11"/>
        <tr r="E466" s="11"/>
        <tr r="K531" s="11"/>
        <tr r="L1101" s="11"/>
        <tr r="F531" s="11"/>
        <tr r="F655" s="11"/>
        <tr r="G654" s="11"/>
        <tr r="K1113" s="11"/>
        <tr r="F832" s="11"/>
        <tr r="J1105" s="11"/>
        <tr r="E535" s="11"/>
        <tr r="E66" s="11"/>
        <tr r="J361" s="11"/>
        <tr r="H482" s="11"/>
        <tr r="E382" s="11"/>
        <tr r="C575" s="11"/>
        <tr r="B487" s="11"/>
        <tr r="L1011" s="11"/>
        <tr r="E242" s="11"/>
        <tr r="H417" s="11"/>
        <tr r="B533" s="11"/>
        <tr r="F539" s="11"/>
        <tr r="G646" s="11"/>
        <tr r="J947" s="11"/>
        <tr r="C1079" s="11"/>
        <tr r="L760" s="11"/>
        <tr r="I355" s="11"/>
        <tr r="I502" s="11"/>
        <tr r="E641" s="11"/>
        <tr r="J238" s="11"/>
        <tr r="F642" s="11"/>
        <tr r="D563" s="11"/>
        <tr r="F690" s="11"/>
        <tr r="K637" s="11"/>
        <tr r="J714" s="11"/>
        <tr r="E1189" s="11"/>
        <tr r="H641" s="11"/>
        <tr r="E202" s="11"/>
        <tr r="C402" s="11"/>
        <tr r="G553" s="11"/>
        <tr r="J486" s="11"/>
        <tr r="F728" s="11"/>
        <tr r="H542" s="11"/>
        <tr r="L939" s="11"/>
        <tr r="F297" s="11"/>
        <tr r="I441" s="11"/>
        <tr r="E638" s="11"/>
        <tr r="H570" s="11"/>
        <tr r="F771" s="11"/>
        <tr r="F604" s="11"/>
        <tr r="B837" s="11"/>
        <tr r="I61" s="11"/>
        <tr r="B408" s="11"/>
        <tr r="B628" s="11"/>
        <tr r="J512" s="11"/>
        <tr r="B420" s="11"/>
        <tr r="L514" s="11"/>
        <tr r="G688" s="11"/>
        <tr r="F872" s="11"/>
        <tr r="H582" s="11"/>
        <tr r="C1087" s="11"/>
        <tr r="G1261" s="11"/>
        <tr r="L1070" s="11"/>
        <tr r="J234" s="11"/>
        <tr r="H413" s="11"/>
        <tr r="B517" s="11"/>
        <tr r="F535" s="11"/>
        <tr r="H640" s="11"/>
        <tr r="B762" s="11"/>
        <tr r="F938" s="11"/>
        <tr r="L1115" s="11"/>
        <tr r="E234" s="11"/>
        <tr r="C413" s="11"/>
        <tr r="D519" s="11"/>
        <tr r="L536" s="11"/>
        <tr r="C640" s="11"/>
        <tr r="F775" s="11"/>
        <tr r="J951" s="11"/>
        <tr r="G664" s="11"/>
        <tr r="D561" s="11"/>
        <tr r="K665" s="11"/>
        <tr r="K559" s="11"/>
        <tr r="J662" s="11"/>
        <tr r="D689" s="11"/>
        <tr r="J857" s="11"/>
        <tr r="I1093" s="11"/>
        <tr r="E950" s="11"/>
        <tr r="I635" s="11"/>
        <tr r="E571" s="11"/>
        <tr r="I1078" s="11"/>
        <tr r="E869" s="11"/>
        <tr r="K691" s="11"/>
        <tr r="F874" s="11"/>
        <tr r="E862" s="11"/>
        <tr r="J1134" s="11"/>
        <tr r="I1134" s="11"/>
        <tr r="J1031" s="11"/>
        <tr r="G1060" s="11"/>
        <tr r="B532" s="11"/>
        <tr r="H636" s="11"/>
        <tr r="B692" s="11"/>
        <tr r="B875" s="11"/>
        <tr r="L1052" s="11"/>
        <tr r="B228" s="11"/>
        <tr r="J410" s="11"/>
        <tr r="D509" s="11"/>
        <tr r="H533" s="11"/>
        <tr r="I636" s="11"/>
        <tr r="J698" s="11"/>
        <tr r="I879" s="11"/>
        <tr r="J658" s="11"/>
        <tr r="D557" s="11"/>
        <tr r="C717" s="11"/>
        <tr r="C606" s="11"/>
        <tr r="F674" s="11"/>
        <tr r="E354" s="11"/>
        <tr r="L468" s="11"/>
        <tr r="C497" s="11"/>
        <tr r="I596" s="11"/>
        <tr r="D521" s="11"/>
        <tr r="J649" s="11"/>
        <tr r="F767" s="11"/>
        <tr r="E230" s="11"/>
        <tr r="F443" s="11"/>
        <tr r="F503" s="11"/>
        <tr r="E935" s="11"/>
        <tr r="H601" s="11"/>
        <tr r="E985" s="11"/>
        <tr r="B581" s="11"/>
        <tr r="E763" s="11"/>
        <tr r="E661" s="11"/>
        <tr r="I674" s="11"/>
        <tr r="D36" s="10"/>
        <tr r="D36" s="10"/>
        <tr r="D36" s="10"/>
        <tr r="L273" s="11"/>
        <tr r="I322" s="11"/>
        <tr r="I458" s="11"/>
        <tr r="F229" s="11"/>
        <tr r="D637" s="11"/>
        <tr r="H470" s="11"/>
        <tr r="L1190" s="11"/>
        <tr r="I187" s="11"/>
        <tr r="C399" s="11"/>
        <tr r="F494" s="11"/>
        <tr r="D522" s="11"/>
        <tr r="K622" s="11"/>
        <tr r="C623" s="11"/>
        <tr r="I782" s="11"/>
        <tr r="L1067" s="11"/>
        <tr r="B304" s="11"/>
        <tr r="F475" s="11"/>
        <tr r="C564" s="11"/>
        <tr r="L756" s="11"/>
        <tr r="H565" s="11"/>
        <tr r="J800" s="11"/>
        <tr r="J792" s="11"/>
        <tr r="E537" s="11"/>
        <tr r="P22" s="8"/>
        <tr r="P22" s="8"/>
        <tr r="P22" s="8"/>
        <tr r="E1003" s="11"/>
        <tr r="L571" s="11"/>
        <tr r="E106" s="11"/>
        <tr r="J377" s="11"/>
        <tr r="L493" s="11"/>
        <tr r="B416" s="11"/>
        <tr r="E895" s="11"/>
        <tr r="G497" s="11"/>
        <tr r="L945" s="11"/>
        <tr r="E258" s="11"/>
        <tr r="G424" s="11"/>
        <tr r="L568" s="11"/>
        <tr r="E546" s="11"/>
        <tr r="B660" s="11"/>
        <tr r="J528" s="11"/>
        <tr r="G686" s="11"/>
        <tr r="L348" s="11"/>
        <tr r="J378" s="11"/>
        <tr r="G529" s="11"/>
        <tr r="I793" s="11"/>
        <tr r="J302" s="11"/>
        <tr r="E796" s="11"/>
        <tr r="B594" s="11"/>
        <tr r="D719" s="11"/>
        <tr r="J756" s="11"/>
        <tr r="E599" s="11"/>
        <tr r="I816" s="11"/>
        <tr r="L1215" s="11"/>
        <tr r="I165" s="11"/>
        <tr r="H394" s="11"/>
        <tr r="K489" s="11"/>
        <tr r="D518" s="11"/>
        <tr r="J617" s="11"/>
        <tr r="C607" s="11"/>
        <tr r="B747" s="11"/>
        <tr r="L1211" s="11"/>
        <tr r="I167" s="11"/>
        <tr r="C394" s="11"/>
        <tr r="B489" s="11"/>
        <tr r="J518" s="11"/>
        <tr r="E617" s="11"/>
        <tr r="E608" s="11"/>
        <tr r="I750" s="11"/>
        <tr r="G639" s="11"/>
        <tr r="C540" s="11"/>
        <tr r="I639" s="11"/>
        <tr r="H539" s="11"/>
        <tr r="C638" s="11"/>
        <tr r="B671" s="11"/>
        <tr r="I818" s="11"/>
        <tr r="F737" s="11"/>
        <tr r="J929" s="11"/>
        <tr r="J612" s="11"/>
        <tr r="G542" s="11"/>
        <tr r="F731" s="11"/>
        <tr r="I758" s="11"/>
        <tr r="C595" s="11"/>
        <tr r="J721" s="11"/>
        <tr r="H715" s="11"/>
        <tr r="B1004" s="11"/>
        <tr r="E802" s="11"/>
        <tr r="E1166" s="11"/>
        <tr r="K21" s="8"/>
        <tr r="K21" s="8"/>
        <tr r="K21" s="8"/>
        <tr r="J45" s="10"/>
        <tr r="J45" s="10"/>
        <tr r="J45" s="10"/>
        <tr r="F614" s="11"/>
        <tr r="I595" s="11"/>
        <tr r="E721" s="11"/>
        <tr r="L1237" s="11"/>
        <tr r="I151" s="11"/>
        <tr r="C390" s="11"/>
        <tr r="D486" s="11"/>
        <tr r="F515" s="11"/>
        <tr r="L615" s="11"/>
        <tr r="K597" s="11"/>
        <tr r="J725" s="11"/>
        <tr r="C636" s="11"/>
        <tr r="J537" s="11"/>
        <tr r="G650" s="11"/>
        <tr r="D583" s="11"/>
        <tr r="G651" s="11"/>
        <tr r="E837" s="11"/>
        <tr r="E816" s="11"/>
        <tr r="L589" s="11"/>
        <tr r="E804" s="11"/>
        <tr r="G715" s="11"/>
        <tr r="B991" s="11"/>
        <tr r="I840" s="11"/>
        <tr r="I540" s="11"/>
        <tr r="H713" s="11"/>
        <tr r="I606" s="11"/>
        <tr r="H672" s="11"/>
        <tr r="G677" s="11"/>
        <tr r="C582" s="11"/>
        <tr r="F684" s="11"/>
        <tr r="E703" s="11"/>
        <tr r="B1021" s="11"/>
        <tr r="F778" s="11"/>
        <tr r="F734" s="11"/>
        <tr r="B1120" s="11"/>
        <tr r="G575" s="11"/>
        <tr r="E828" s="11"/>
        <tr r="J623" s="11"/>
        <tr r="I889" s="11"/>
        <tr r="L344" s="11"/>
        <tr r="B308" s="11"/>
        <tr r="E446" s="11"/>
        <tr r="K669" s="11"/>
        <tr r="B575" s="11"/>
        <tr r="J832" s="11"/>
        <tr r="L625" s="11"/>
        <tr r="B902" s="11"/>
        <tr r="F877" s="11"/>
        <tr r="F597" s="11"/>
        <tr r="I882" s="11"/>
        <tr r="K596" s="11"/>
        <tr r="K868" s="11"/>
        <tr r="E725" s="11"/>
        <tr r="C1065" s="11"/>
        <tr r="C1064" s="11"/>
        <tr r="I549" s="11"/>
        <tr r="B794" s="11"/>
        <tr r="L617" s="11"/>
        <tr r="I680" s="11"/>
        <tr r="B884" s="11"/>
        <tr r="J611" s="11"/>
        <tr r="J927" s="11"/>
        <tr r="I748" s="11"/>
        <tr r="K1097" s="11"/>
        <tr r="F842" s="11"/>
        <tr r="J876" s="11"/>
        <tr r="M9" s="9"/>
        <tr r="M9" s="9"/>
        <tr r="M9" s="9"/>
        <tr r="J687" s="11"/>
        <tr r="B973" s="11"/>
        <tr r="G586" s="11"/>
        <tr r="I781" s="11"/>
        <tr r="L585" s="11"/>
        <tr r="I769" s="11"/>
        <tr r="G711" s="11"/>
        <tr r="F956" s="11"/>
        <tr r="I694" s="11"/>
        <tr r="F994" s="11"/>
        <tr r="D588" s="11"/>
        <tr r="I797" s="11"/>
        <tr r="I586" s="11"/>
        <tr r="I785" s="11"/>
        <tr r="D713" s="11"/>
        <tr r="F972" s="11"/>
        <tr r="H702" s="11"/>
        <tr r="E1015" s="11"/>
        <tr r="K673" s="11"/>
        <tr r="E1074" s="11"/>
        <tr r="E584" s="11"/>
        <tr r="D516" s="11"/>
        <tr r="H647" s="11"/>
        <tr r="E709" s="11"/>
        <tr r="I1013" s="11"/>
        <tr r="I1118" s="11"/>
        <tr r="G1079" s="11"/>
        <tr r="C1090" s="11"/>
        <tr r="H24" s="9"/>
        <tr r="H24" s="9"/>
        <tr r="H24" s="9"/>
        <tr r="J954" s="11"/>
        <tr r="H9" s="10"/>
        <tr r="H9" s="10"/>
        <tr r="H9" s="10"/>
        <tr r="E27" s="9"/>
        <tr r="E27" s="9"/>
        <tr r="E27" s="9"/>
        <tr r="C604" s="11"/>
        <tr r="I548" s="11"/>
        <tr r="H680" s="11"/>
        <tr r="F831" s="11"/>
        <tr r="I95" s="11"/>
        <tr r="B372" s="11"/>
        <tr r="L476" s="11"/>
        <tr r="C505" s="11"/>
        <tr r="I604" s="11"/>
        <tr r="I550" s="11"/>
        <tr r="J681" s="11"/>
        <tr r="K626" s="11"/>
        <tr r="G527" s="11"/>
        <tr r="B626" s="11"/>
        <tr r="L526" s="11"/>
        <tr r="G625" s="11"/>
        <tr r="F658" s="11"/>
        <tr r="E789" s="11"/>
        <tr r="B682" s="11"/>
        <tr r="B1136" s="11"/>
        <tr r="H595" s="11"/>
        <tr r="E524" s="11"/>
        <tr r="K663" s="11"/>
        <tr r="F720" s="11"/>
        <tr r="I536" s="11"/>
        <tr r="H668" s="11"/>
        <tr r="E1201" s="11"/>
        <tr r="B890" s="11"/>
        <tr r="K705" s="11"/>
        <tr r="I1039" s="11"/>
        <tr r="F1150" s="11"/>
        <tr r="G34" s="3"/>
        <tr r="G34" s="3"/>
        <tr r="G34" s="3"/>
        <tr r="I952" s="11"/>
        <tr r="I1282" s="11"/>
        <tr r="C615" s="11"/>
        <tr r="B514" s="11"/>
        <tr r="H614" s="11"/>
        <tr r="G647" s="11"/>
        <tr r="J765" s="11"/>
        <tr r="K41" s="3"/>
        <tr r="K41" s="3"/>
        <tr r="K41" s="3"/>
        <tr r="B1015" s="11"/>
        <tr r="M38" s="9"/>
        <tr r="M38" s="9"/>
        <tr r="M38" s="9"/>
        <tr r="K617" s="11"/>
        <tr r="J516" s="11"/>
        <tr r="E615" s="11"/>
        <tr r="D649" s="11"/>
        <tr r="J769" s="11"/>
        <tr r="D6" s="8"/>
        <tr r="D6" s="8"/>
        <tr r="D6" s="8"/>
        <tr r="C1080" s="11"/>
        <tr r="I839" s="11"/>
        <tr r="D624" s="11"/>
        <tr r="I833" s="11"/>
        <tr r="G630" s="11"/>
        <tr r="J786" s="11"/>
        <tr r="J881" s="11"/>
        <tr r="C91" s="11"/>
        <tr r="K638" s="11"/>
        <tr r="B892" s="11"/>
        <tr r="I231" s="11"/>
        <tr r="G513" s="11"/>
        <tr r="F638" s="11"/>
        <tr r="E899" s="11"/>
        <tr r="D559" s="11"/>
        <tr r="K557" s="11"/>
        <tr r="B687" s="11"/>
        <tr r="I1061" s="11"/>
        <tr r="I974" s="11"/>
        <tr r="J850" s="11"/>
        <tr r="J996" s="11"/>
        <tr r="C701" s="11"/>
        <tr r="E881" s="11"/>
        <tr r="B708" s="11"/>
        <tr r="J887" s="11"/>
        <tr r="I776" s="11"/>
        <tr r="G663" s="11"/>
        <tr r="F680" s="11"/>
        <tr r="B940" s="11"/>
        <tr r="J799" s="11"/>
        <tr r="L636" s="11"/>
        <tr r="E811" s="11"/>
        <tr r="C590" s="11"/>
        <tr r="F866" s="11"/>
        <tr r="J673" s="11"/>
        <tr r="B709" s="11"/>
        <tr r="F1171" s="11"/>
        <tr r="B730" s="11"/>
        <tr r="F906" s="11"/>
        <tr r="B746" s="11"/>
        <tr r="F922" s="11"/>
        <tr r="F757" s="11"/>
        <tr r="J1063" s="11"/>
        <tr r="E850" s="11"/>
        <tr r="H32" s="3"/>
        <tr r="H32" s="3"/>
        <tr r="H32" s="3"/>
        <tr r="P14" s="8"/>
        <tr r="P14" s="8"/>
        <tr r="P14" s="8"/>
        <tr r="F784" s="11"/>
        <tr r="L626" s="11"/>
        <tr r="F788" s="11"/>
        <tr r="B776" s="11"/>
        <tr r="J1075" s="11"/>
        <tr r="F869" s="11"/>
        <tr r="B895" s="11"/>
        <tr r="H15" s="10"/>
        <tr r="H15" s="10"/>
        <tr r="H15" s="10"/>
        <tr r="F800" s="11"/>
        <tr r="K633" s="11"/>
        <tr r="F804" s="11"/>
        <tr r="F821" s="11"/>
        <tr r="J1103" s="11"/>
        <tr r="F992" s="11"/>
        <tr r="F958" s="11"/>
        <tr r="J24" s="8"/>
        <tr r="J24" s="8"/>
        <tr r="J24" s="8"/>
        <tr r="F848" s="11"/>
        <tr r="E660" s="11"/>
        <tr r="F852" s="11"/>
        <tr r="B840" s="11"/>
        <tr r="J1115" s="11"/>
        <tr r="I1073" s="11"/>
        <tr r="I992" s="11"/>
        <tr r="I957" s="11"/>
        <tr r="F864" s="11"/>
        <tr r="F679" s="11"/>
        <tr r="F868" s="11"/>
        <tr r="I1079" s="11"/>
        <tr r="E1268" s="11"/>
        <tr r="D675" s="11"/>
        <tr r="B994" s="11"/>
        <tr r="H37" s="3"/>
        <tr r="H37" s="3"/>
        <tr r="H37" s="3"/>
        <tr r="K1249" s="11"/>
        <tr r="F513" s="11"/>
        <tr r="E29" s="3"/>
        <tr r="E29" s="3"/>
        <tr r="E29" s="3"/>
        <tr r="B1131" s="11"/>
        <tr r="H17" s="3"/>
        <tr r="H17" s="3"/>
        <tr r="H17" s="3"/>
        <tr r="E683" s="11"/>
        <tr r="E1273" s="11"/>
        <tr r="C1281" s="11"/>
        <tr r="F673" s="11"/>
        <tr r="K620" s="11"/>
        <tr r="I707" s="11"/>
        <tr r="E20" s="3"/>
        <tr r="E20" s="3"/>
        <tr r="E20" s="3"/>
        <tr r="J895" s="11"/>
        <tr r="J1160" s="11"/>
        <tr r="I671" s="11"/>
        <tr r="H642" s="11"/>
        <tr r="J716" s="11"/>
        <tr r="E929" s="11"/>
        <tr r="B848" s="11"/>
        <tr r="B804" s="11"/>
        <tr r="B820" s="11"/>
        <tr r="B1140" s="11"/>
        <tr r="E1055" s="11"/>
        <tr r="B926" s="11"/>
        <tr r="F1025" s="11"/>
        <tr r="F214" s="11"/>
        <tr r="N31" s="9"/>
        <tr r="N31" s="9"/>
        <tr r="N31" s="9"/>
        <tr r="B162" s="11"/>
        <tr r="I972" s="11"/>
        <tr r="E945" s="11"/>
        <tr r="I982" s="11"/>
        <tr r="E1087" s="11"/>
        <tr r="I1167" s="11"/>
        <tr r="B904" s="11"/>
        <tr r="D24" s="3"/>
        <tr r="D24" s="3"/>
        <tr r="D24" s="3"/>
        <tr r="F749" s="11"/>
        <tr r="F1117" s="11"/>
        <tr r="G702" s="11"/>
        <tr r="I1124" s="11"/>
        <tr r="K1106" s="11"/>
        <tr r="G1109" s="11"/>
        <tr r="I1221" s="11"/>
        <tr r="Q5" s="9"/>
        <tr r="Q5" s="9"/>
        <tr r="Q5" s="9"/>
        <tr r="J948" s="11"/>
        <tr r="F188" s="11"/>
        <tr r="K28" s="3"/>
        <tr r="K28" s="3"/>
        <tr r="K28" s="3"/>
        <tr r="B1165" s="11"/>
        <tr r="I1236" s="11"/>
        <tr r="F688" s="11"/>
        <tr r="B1068" s="11"/>
        <tr r="G44" s="10"/>
        <tr r="G44" s="10"/>
        <tr r="G44" s="10"/>
        <tr r="E25" s="3"/>
        <tr r="E25" s="3"/>
        <tr r="E25" s="3"/>
        <tr r="F766" s="11"/>
        <tr r="J1152" s="11"/>
        <tr r="G47" s="9"/>
        <tr r="G47" s="9"/>
        <tr r="G47" s="9"/>
        <tr r="I989" s="11"/>
        <tr r="G1096" s="11"/>
        <tr r="K34" s="9"/>
        <tr r="K34" s="9"/>
        <tr r="K34" s="9"/>
        <tr r="F33" s="11"/>
        <tr r="J1026" s="11"/>
        <tr r="B893" s="11"/>
        <tr r="F716" s="11"/>
        <tr r="I524" s="11"/>
        <tr r="D660" s="11"/>
        <tr r="K592" s="11"/>
        <tr r="H656" s="11"/>
        <tr r="K685" s="11"/>
        <tr r="F529" s="11"/>
        <tr r="I687" s="11"/>
        <tr r="G657" s="11"/>
        <tr r="J901" s="11"/>
        <tr r="E699" s="11"/>
        <tr r="F733" s="11"/>
        <tr r="F1106" s="11"/>
        <tr r="C560" s="11"/>
        <tr r="E706" s="11"/>
        <tr r="L577" s="11"/>
        <tr r="I662" s="11"/>
        <tr r="L788" s="11"/>
        <tr r="E282" s="11"/>
        <tr r="K435" s="11"/>
        <tr r="B612" s="11"/>
        <tr r="H561" s="11"/>
        <tr r="G708" s="11"/>
        <tr r="C578" s="11"/>
        <tr r="F668" s="11"/>
        <tr r="B774" s="11"/>
        <tr r="L586" s="11"/>
        <tr r="B778" s="11"/>
        <tr r="F584" s="11"/>
        <tr r="B766" s="11"/>
        <tr r="L711" s="11"/>
        <tr r="D953" s="11"/>
        <tr r="B789" s="11"/>
        <tr r="L535" s="11"/>
        <tr r="I689" s="11"/>
        <tr r="L601" s="11"/>
        <tr r="K666" s="11"/>
        <tr r="J883" s="11"/>
        <tr r="K562" s="11"/>
        <tr r="J923" s="11"/>
        <tr r="C686" s="11"/>
        <tr r="F970" s="11"/>
        <tr r="E739" s="11"/>
        <tr r="F656" s="11"/>
        <tr r="B990" s="11"/>
        <tr r="J751" s="11"/>
        <tr r="K1099" s="11"/>
        <tr r="L598" s="11"/>
        <tr r="E886" s="11"/>
        <tr r="F596" s="11"/>
        <tr r="F871" s="11"/>
        <tr r="I726" s="11"/>
        <tr r="C1067" s="11"/>
        <tr r="J767" s="11"/>
        <tr r="K1121" s="11"/>
        <tr r="I599" s="11"/>
        <tr r="F934" s="11"/>
        <tr r="C598" s="11"/>
        <tr r="F892" s="11"/>
        <tr r="I730" s="11"/>
        <tr r="C1077" s="11"/>
        <tr r="J783" s="11"/>
        <tr r="B1026" s="11"/>
        <tr r="B1143" s="11"/>
        <tr r="F931" s="11"/>
        <tr r="I569" s="11"/>
        <tr r="B971" s="11"/>
        <tr r="H630" s="11"/>
        <tr r="G695" s="11"/>
        <tr r="E1108" s="11"/>
        <tr r="K655" s="11"/>
        <tr r="E1118" s="11"/>
        <tr r="F838" s="11"/>
        <tr r="I1052" s="11"/>
        <tr r="C1068" s="11"/>
        <tr r="K1272" s="11"/>
        <tr r="Q27" s="8"/>
        <tr r="Q27" s="8"/>
        <tr r="Q27" s="8"/>
        <tr r="I592" s="11"/>
        <tr r="H516" s="11"/>
        <tr r="F950" s="11"/>
        <tr r="D12" s="10"/>
        <tr r="D12" s="10"/>
        <tr r="D12" s="10"/>
        <tr r="I31" s="11"/>
        <tr r="E346" s="11"/>
        <tr r="G464" s="11"/>
        <tr r="I493" s="11"/>
        <tr r="D593" s="11"/>
        <tr r="C516" s="11"/>
        <tr r="F1000" s="11"/>
        <tr r="J938" s="11"/>
        <tr r="B515" s="11"/>
        <tr r="H615" s="11"/>
        <tr r="G514" s="11"/>
        <tr r="B613" s="11"/>
        <tr r="L647" s="11"/>
        <tr r="F764" s="11"/>
        <tr r="H28" s="3"/>
        <tr r="H28" s="3"/>
        <tr r="H28" s="3"/>
        <tr r="I1019" s="11"/>
        <tr r="H579" s="11"/>
        <tr r="G510" s="11"/>
        <tr r="K640" s="11"/>
        <tr r="H704" s="11"/>
        <tr r="E1011" s="11"/>
        <tr r="B798" s="11"/>
        <tr r="I1032" s="11"/>
        <tr r="J943" s="11"/>
        <tr r="E1269" s="11"/>
        <tr r="J904" s="11"/>
        <tr r="I1231" s="11"/>
        <tr r="D20" s="8"/>
        <tr r="D20" s="8"/>
        <tr r="D20" s="8"/>
        <tr r="F802" s="11"/>
        <tr r="I899" s="11"/>
        <tr r="I603" s="11"/>
        <tr r="I1076" s="11"/>
        <tr r="C602" s="11"/>
        <tr r="E1025" s="11"/>
        <tr r="B739" s="11"/>
        <tr r="C1105" s="11"/>
        <tr r="F818" s="11"/>
        <tr r="B962" s="11"/>
        <tr r="F605" s="11"/>
        <tr r="I1116" s="11"/>
        <tr r="K604" s="11"/>
        <tr r="I1086" s="11"/>
        <tr r="B743" s="11"/>
        <tr r="C1119" s="11"/>
        <tr r="F834" s="11"/>
        <tr r="C1282" s="11"/>
        <tr r="J17" s="3"/>
        <tr r="J17" s="3"/>
        <tr r="J17" s="3"/>
        <tr r="B808" s="11"/>
        <tr r="J667" s="11"/>
        <tr r="B809" s="11"/>
        <tr r="J900" s="11"/>
        <tr r="J1095" s="11"/>
        <tr r="B923" s="11"/>
        <tr r="B928" s="11"/>
        <tr r="F709" s="11"/>
        <tr r="F942" s="11"/>
        <tr r="H710" s="11"/>
        <tr r="F946" s="11"/>
        <tr r="E1061" s="11"/>
        <tr r="F940" s="11"/>
        <tr r="E822" s="11"/>
        <tr r="J1104" s="11"/>
        <tr r="E1203" s="11"/>
        <tr r="E1223" s="11"/>
        <tr r="E1195" s="11"/>
        <tr r="I1227" s="11"/>
        <tr r="D29" s="10"/>
        <tr r="D29" s="10"/>
        <tr r="D29" s="10"/>
        <tr r="B835" s="11"/>
        <tr r="I791" s="11"/>
        <tr r="E1084" s="11"/>
        <tr r="D550" s="11"/>
        <tr r="K651" s="11"/>
        <tr r="J548" s="11"/>
        <tr r="C649" s="11"/>
        <tr r="D681" s="11"/>
        <tr r="B839" s="11"/>
        <tr r="I807" s="11"/>
        <tr r="E1094" s="11"/>
        <tr r="I675" s="11"/>
        <tr r="I827" s="11"/>
        <tr r="K676" s="11"/>
        <tr r="I828" s="11"/>
        <tr r="F919" s="11"/>
        <tr r="J1107" s="11"/>
        <tr r="I942" s="11"/>
        <tr r="J1004" s="11"/>
        <tr r="G718" s="11"/>
        <tr r="E1017" s="11"/>
        <tr r="I718" s="11"/>
        <tr r="E1021" s="11"/>
        <tr r="E1077" s="11"/>
        <tr r="J971" s="11"/>
        <tr r="I932" s="11"/>
        <tr r="E1170" s="11"/>
        <tr r="I903" s="11"/>
        <tr r="I907" s="11"/>
        <tr r="J902" s="11"/>
        <tr r="J27" s="3"/>
        <tr r="J27" s="3"/>
        <tr r="J27" s="3"/>
        <tr r="Q6" s="8"/>
        <tr r="Q6" s="8"/>
        <tr r="Q6" s="8"/>
        <tr r="B851" s="11"/>
        <tr r="I855" s="11"/>
        <tr r="E1126" s="11"/>
        <tr r="D560" s="11"/>
        <tr r="I663" s="11"/>
        <tr r="K558" s="11"/>
        <tr r="H661" s="11"/>
        <tr r="C688" s="11"/>
        <tr r="B855" s="11"/>
        <tr r="E870" s="11"/>
        <tr r="E1142" s="11"/>
        <tr r="D696" s="11"/>
        <tr r="I871" s="11"/>
        <tr r="F696" s="11"/>
        <tr r="I872" s="11"/>
        <tr r="E962" s="11"/>
        <tr r="I1143" s="11"/>
        <tr r="E999" s="11"/>
        <tr r="F1159" s="11"/>
        <tr r="F761" s="11"/>
        <tr r="J1173" s="11"/>
        <tr r="F762" s="11"/>
        <tr r="H22" s="3"/>
        <tr r="H22" s="3"/>
        <tr r="H22" s="3"/>
        <tr r="E1115" s="11"/>
        <tr r="F1060" s="11"/>
        <tr r="G697" s="11"/>
        <tr r="F1002" s="11"/>
        <tr r="B1081" s="11"/>
        <tr r="G1084" s="11"/>
        <tr r="B1080" s="11"/>
        <tr r="K15" s="3"/>
        <tr r="K15" s="3"/>
        <tr r="K15" s="3"/>
        <tr r="I1264" s="11"/>
        <tr r="E931" s="11"/>
        <tr r="D683" s="11"/>
        <tr r="I960" s="11"/>
        <tr r="K585" s="11"/>
        <tr r="J772" s="11"/>
        <tr r="E583" s="11"/>
        <tr r="J760" s="11"/>
        <tr r="K710" s="11"/>
        <tr r="E947" s="11"/>
        <tr r="C690" s="11"/>
        <tr r="B981" s="11"/>
        <tr r="E704" s="11"/>
        <tr r="I900" s="11"/>
        <tr r="G705" s="11"/>
        <tr r="I904" s="11"/>
        <tr r="J982" s="11"/>
        <tr r="E1162" s="11"/>
        <tr r="B1025" s="11"/>
        <tr r="S27" s="9"/>
        <tr r="S27" s="9"/>
        <tr r="S27" s="9"/>
        <tr r="B780" s="11"/>
        <tr r="D24" s="10"/>
        <tr r="D24" s="10"/>
        <tr r="D24" s="10"/>
        <tr r="B781" s="11"/>
        <tr r="F891" s="11"/>
        <tr r="J1138" s="11"/>
        <tr r="K1082" s="11"/>
        <tr r="J747" s="11"/>
        <tr r="K1096" s="11"/>
        <tr r="B1134" s="11"/>
        <tr r="B1138" s="11"/>
        <tr r="E1132" s="11"/>
        <tr r="G31" s="3"/>
        <tr r="G31" s="3"/>
        <tr r="G31" s="3"/>
        <tr r="D31" s="8"/>
        <tr r="D31" s="8"/>
        <tr r="D31" s="8"/>
        <tr r="I994" s="11"/>
        <tr r="K712" s="11"/>
        <tr r="L1058" s="11"/>
        <tr r="J592" s="11"/>
        <tr r="J836" s="11"/>
        <tr r="D591" s="11"/>
        <tr r="J824" s="11"/>
        <tr r="J717" s="11"/>
        <tr r="I1010" s="11"/>
        <tr r="K719" s="11"/>
        <tr r="F975" s="11"/>
        <tr r="E782" s="11"/>
        <tr r="E655" s="11"/>
        <tr r="E783" s="11"/>
        <tr r="B874" s="11"/>
        <tr r="J1079" s="11"/>
        <tr r="E897" s="11"/>
        <tr r="E1199" s="11"/>
        <tr r="L698" s="11"/>
        <tr r="I876" s="11"/>
        <tr r="C698" s="11"/>
        <tr r="J878" s="11"/>
        <tr r="J1018" s="11"/>
        <tr r="J905" s="11"/>
        <tr r="B720" s="11"/>
        <tr r="I1015" s="11"/>
        <tr r="F1099" s="11"/>
        <tr r="T23" s="9"/>
        <tr r="T23" s="9"/>
        <tr r="T23" s="9"/>
        <tr r="F106" s="11"/>
        <tr r="H44" s="9"/>
        <tr r="H44" s="9"/>
        <tr r="H44" s="9"/>
        <tr r="C128" s="11"/>
        <tr r="E809" s="11"/>
        <tr r="L706" s="11"/>
        <tr r="B984" s="11"/>
        <tr r="K538" s="11"/>
        <tr r="F637" s="11"/>
        <tr r="E536" s="11"/>
        <tr r="K636" s="11"/>
        <tr r="J669" s="11"/>
        <tr r="E813" s="11"/>
        <tr r="K713" s="11"/>
        <tr r="B1000" s="11"/>
        <tr r="I1255" s="11"/>
        <tr r="J802" s="11"/>
        <tr r="F664" s="11"/>
        <tr r="J803" s="11"/>
        <tr r="I893" s="11"/>
        <tr r="J1091" s="11"/>
        <tr r="J917" s="11"/>
        <tr r="E902" s="11"/>
        <tr r="B706" s="11"/>
        <tr r="I916" s="11"/>
        <tr r="D707" s="11"/>
        <tr r="I920" s="11"/>
        <tr r="I1055" s="11"/>
        <tr r="I930" s="11"/>
        <tr r="F797" s="11"/>
        <tr r="J1088" s="11"/>
        <tr r="J1163" s="11"/>
        <tr r="J1167" s="11"/>
        <tr r="B1161" s="11"/>
        <tr r="D14" s="10"/>
        <tr r="D14" s="10"/>
        <tr r="D14" s="10"/>
        <tr r="E48" s="8"/>
        <tr r="E48" s="8"/>
        <tr r="E48" s="8"/>
        <tr r="E825" s="11"/>
        <tr r="F753" s="11"/>
        <tr r="D26" s="3"/>
        <tr r="D26" s="3"/>
        <tr r="D26" s="3"/>
        <tr r="G598" s="11"/>
        <tr r="E520" s="11"/>
        <tr r="C697" s="11"/>
        <tr r="B727" s="11"/>
        <tr r="D676" s="11"/>
        <tr r="B935" s="11"/>
        <tr r="B744" s="11"/>
        <tr r="B661" s="11"/>
        <tr r="F930" s="11"/>
        <tr r="I1045" s="11"/>
        <tr r="I910" s="11"/>
        <tr r="G1252" s="11"/>
        <tr r="J838" s="11"/>
        <tr r="K704" s="11"/>
        <tr r="I897" s="11"/>
        <tr r="G1283" s="11"/>
        <tr r="I771" s="11"/>
        <tr r="J1143" s="11"/>
        <tr r="D12" s="8"/>
        <tr r="D12" s="8"/>
        <tr r="D12" s="8"/>
        <tr r="E1135" s="11"/>
        <tr r="E13" s="8"/>
        <tr r="E13" s="8"/>
        <tr r="E13" s="8"/>
        <tr r="D41" s="9"/>
        <tr r="D41" s="9"/>
        <tr r="D41" s="9"/>
        <tr r="B740" s="11"/>
        <tr r="K1091" s="11"/>
        <tr r="D620" s="11"/>
        <tr r="B542" s="11"/>
        <tr r="B862" s="11"/>
        <tr r="B775" s="11"/>
        <tr r="B756" s="11"/>
        <tr r="F1104" s="11"/>
        <tr r="I763" s="11"/>
        <tr r="C670" s="11"/>
        <tr r="E1005" s="11"/>
        <tr r="J1067" s="11"/>
        <tr r="K1068" s="11"/>
        <tr r="J806" s="11"/>
        <tr r="J807" s="11"/>
        <tr r="F1173" s="11"/>
        <tr r="B849" s="11"/>
        <tr r="P12" s="9"/>
        <tr r="P12" s="9"/>
        <tr r="P12" s="9"/>
        <tr r="D38" s="10"/>
        <tr r="D38" s="10"/>
        <tr r="D38" s="10"/>
        <tr r="B168" s="11"/>
        <tr r="B805" s="11"/>
        <tr r="D604" s="11"/>
        <tr r="I602" s="11"/>
        <tr r="F740" s="11"/>
        <tr r="B821" s="11"/>
        <tr r="C1083" s="11"/>
        <tr r="I1237" s="11"/>
        <tr r="C1252" s="11"/>
        <tr r="D18" s="8"/>
        <tr r="D18" s="8"/>
        <tr r="D18" s="8"/>
        <tr r="B690" s="11"/>
        <tr r="D691" s="11"/>
        <tr r="I995" s="11"/>
        <tr r="H691" s="11"/>
        <tr r="C1059" s="11"/>
        <tr r="E27" s="10"/>
        <tr r="E27" s="10"/>
        <tr r="E27" s="10"/>
        <tr r="P50" s="10"/>
        <tr r="P50" s="10"/>
        <tr r="P50" s="10"/>
        <tr r="I1027" s="11"/>
        <tr r="F1084" s="11"/>
        <tr r="B832" s="11"/>
        <tr r="B833" s="11"/>
        <tr r="J1110" s="11"/>
        <tr r="F1023" s="11"/>
        <tr r="K1250" s="11"/>
        <tr r="D37" s="3"/>
        <tr r="D37" s="3"/>
        <tr r="D37" s="3"/>
        <tr r="K1258" s="11"/>
        <tr r="E43" s="8"/>
        <tr r="E43" s="8"/>
        <tr r="E43" s="8"/>
        <tr r="I1243" s="11"/>
        <tr r="K31" s="3"/>
        <tr r="K31" s="3"/>
        <tr r="K31" s="3"/>
        <tr r="E1249" s="11"/>
        <tr r="Q5" s="8"/>
        <tr r="Q5" s="8"/>
        <tr r="Q5" s="8"/>
        <tr r="G48" s="9"/>
        <tr r="G48" s="9"/>
        <tr r="G48" s="9"/>
        <tr r="J13" s="10"/>
        <tr r="J13" s="10"/>
        <tr r="J13" s="10"/>
        <tr r="D704" s="11"/>
        <tr r="F704" s="11"/>
        <tr r="B980" s="11"/>
        <tr r="J1023" s="11"/>
        <tr r="F1077" s="11"/>
        <tr r="B728" s="11"/>
        <tr r="B729" s="11"/>
        <tr r="I1023" s="11"/>
        <tr r="K1081" s="11"/>
        <tr r="J822" s="11"/>
        <tr r="J823" s="11"/>
        <tr r="E1222" s="11"/>
        <tr r="I986" s="11"/>
        <tr r="G15" s="3"/>
        <tr r="G15" s="3"/>
        <tr r="G15" s="3"/>
        <tr r="G12" s="3"/>
        <tr r="G12" s="3"/>
        <tr r="G12" s="3"/>
        <tr r="M21" s="9"/>
        <tr r="M21" s="9"/>
        <tr r="M21" s="9"/>
        <tr r="J1170" s="11"/>
        <tr r="K1257" s="11"/>
        <tr r="L661" s="11"/>
        <tr r="I885" s="11"/>
        <tr r="J909" s="11"/>
        <tr r="J979" s="11"/>
        <tr r="I1001" s="11"/>
        <tr r="I1252" s="11"/>
        <tr r="I1005" s="11"/>
        <tr r="I1268" s="11"/>
        <tr r="J1000" s="11"/>
        <tr r="E1241" s="11"/>
        <tr r="G24" s="3"/>
        <tr r="G24" s="3"/>
        <tr r="G24" s="3"/>
        <tr r="M27" s="10"/>
        <tr r="M27" s="10"/>
        <tr r="M27" s="10"/>
        <tr r="G30" s="10"/>
        <tr r="G30" s="10"/>
        <tr r="G30" s="10"/>
        <tr r="H187" s="11"/>
        <tr r="I851" s="11"/>
        <tr r="I852" s="11"/>
        <tr r="E1122" s="11"/>
        <tr r="G1093" s="11"/>
        <tr r="C1288" s="11"/>
        <tr r="I706" s="11"/>
        <tr r="F985" s="11"/>
        <tr r="B1029" s="11"/>
        <tr r="I783" s="11"/>
        <tr r="I784" s="11"/>
        <tr r="F1141" s="11"/>
        <tr r="E759" s="11"/>
        <tr r="F1147" s="11"/>
        <tr r="I1145" s="11"/>
        <tr r="C117" s="11"/>
        <tr r="I1131" s="11"/>
        <tr r="G1115" s="11"/>
        <tr r="I1150" s="11"/>
        <tr r="I1154" s="11"/>
        <tr r="G36" s="3"/>
        <tr r="G36" s="3"/>
        <tr r="G36" s="3"/>
        <tr r="K10" s="9"/>
        <tr r="K10" s="9"/>
        <tr r="K10" s="9"/>
        <tr r="F963" s="11"/>
        <tr r="M41" s="10"/>
        <tr r="M41" s="10"/>
        <tr r="M41" s="10"/>
        <tr r="F967" s="11"/>
        <tr r="J29" s="3"/>
        <tr r="J29" s="3"/>
        <tr r="J29" s="3"/>
        <tr r="I961" s="11"/>
        <tr r="E15" s="9"/>
        <tr r="E15" s="9"/>
        <tr r="E15" s="9"/>
        <tr r="F5" s="11"/>
        <tr r="F211" s="11"/>
        <tr r="F814" s="11"/>
        <tr r="I947" s="11"/>
        <tr r="B856" s="11"/>
        <tr r="I1127" s="11"/>
        <tr r="I1113" s="11"/>
        <tr r="F1022" s="11"/>
        <tr r="I1021" s="11"/>
        <tr r="I913" s="11"/>
        <tr r="B718" s="11"/>
        <tr r="B1012" s="11"/>
        <tr r="F1097" s="11"/>
        <tr r="D39" s="1"/>
        <tr r="D39" s="1"/>
        <tr r="I1132" s="11"/>
        <tr r="E31" s="3"/>
        <tr r="E31" s="3"/>
        <tr r="E31" s="3"/>
        <tr r="J50" s="10"/>
        <tr r="J50" s="10"/>
        <tr r="J50" s="10"/>
        <tr r="G698" s="11"/>
        <tr r="I967" s="11"/>
        <tr r="F1069" s="11"/>
        <tr r="G1278" s="11"/>
        <tr r="E28" s="3"/>
        <tr r="E28" s="3"/>
        <tr r="E28" s="3"/>
        <tr r="E1271" s="11"/>
        <tr r="H6" s="10"/>
        <tr r="H6" s="10"/>
        <tr r="H6" s="10"/>
        <tr r="G46" s="1"/>
        <tr r="G46" s="1"/>
        <tr r="E855" s="11"/>
        <tr r="G1101" s="11"/>
        <tr r="I1197" s="11"/>
        <tr r="I1209" s="11"/>
        <tr r="I1191" s="11"/>
        <tr r="E38" s="8"/>
        <tr r="E38" s="8"/>
        <tr r="E38" s="8"/>
        <tr r="F89" s="11"/>
        <tr r="T40" s="9"/>
        <tr r="T40" s="9"/>
        <tr r="T40" s="9"/>
        <tr r="L73" s="11"/>
        <tr r="H36" s="10"/>
        <tr r="H36" s="10"/>
        <tr r="H36" s="10"/>
        <tr r="P37" s="8"/>
        <tr r="P37" s="8"/>
        <tr r="P37" s="8"/>
        <tr r="Q29" s="10"/>
        <tr r="Q29" s="10"/>
        <tr r="Q29" s="10"/>
        <tr r="G19" s="9"/>
        <tr r="G19" s="9"/>
        <tr r="G19" s="9"/>
        <tr r="Q13" s="10"/>
        <tr r="Q13" s="10"/>
        <tr r="Q13" s="10"/>
        <tr r="K43" s="9"/>
        <tr r="K43" s="9"/>
        <tr r="K43" s="9"/>
        <tr r="I1149" s="11"/>
        <tr r="E1225" s="11"/>
        <tr r="B951" s="11"/>
        <tr r="K15" s="8"/>
        <tr r="K15" s="8"/>
        <tr r="K15" s="8"/>
        <tr r="N7" s="8"/>
        <tr r="N7" s="8"/>
        <tr r="N7" s="8"/>
        <tr r="K44" s="3"/>
        <tr r="K44" s="3"/>
        <tr r="K44" s="3"/>
        <tr r="K17" s="11"/>
        <tr r="K175" s="11"/>
        <tr r="D36" s="8"/>
        <tr r="D36" s="8"/>
        <tr r="D36" s="8"/>
        <tr r="K21" s="11"/>
        <tr r="G1118" s="11"/>
        <tr r="I1288" s="11"/>
        <tr r="H35" s="8"/>
        <tr r="H35" s="8"/>
        <tr r="H35" s="8"/>
        <tr r="J984" s="11"/>
        <tr r="E25" s="9"/>
        <tr r="E25" s="9"/>
        <tr r="E25" s="9"/>
        <tr r="D29" s="8"/>
        <tr r="D29" s="8"/>
        <tr r="D29" s="8"/>
        <tr r="H706" s="11"/>
        <tr r="B1092" s="11"/>
        <tr r="E8" s="10"/>
        <tr r="E8" s="10"/>
        <tr r="E8" s="10"/>
        <tr r="I1280" s="11"/>
        <tr r="K42" s="9"/>
        <tr r="K42" s="9"/>
        <tr r="K42" s="9"/>
        <tr r="K26" s="8"/>
        <tr r="K26" s="8"/>
        <tr r="K26" s="8"/>
        <tr r="J30" s="10"/>
        <tr r="J30" s="10"/>
        <tr r="J30" s="10"/>
        <tr r="N48" s="9"/>
        <tr r="N48" s="9"/>
        <tr r="N48" s="9"/>
        <tr r="K25" s="3"/>
        <tr r="K25" s="3"/>
        <tr r="K25" s="3"/>
        <tr r="L171" s="11"/>
        <tr r="G1267" s="11"/>
        <tr r="C1093" s="11"/>
        <tr r="J46" s="3"/>
        <tr r="J46" s="3"/>
        <tr r="J46" s="3"/>
        <tr r="I557" s="11"/>
        <tr r="I845" s="11"/>
        <tr r="I622" s="11"/>
        <tr r="F686" s="11"/>
        <tr r="I921" s="11"/>
        <tr r="L629" s="11"/>
        <tr r="I937" s="11"/>
        <tr r="J787" s="11"/>
        <tr r="E1254" s="11"/>
        <tr r="F882" s="11"/>
        <tr r="B1028" s="11"/>
        <tr r="F74" s="11"/>
        <tr r="L587" s="11"/>
        <tr r="E1161" s="11"/>
        <tr r="J710" s="11"/>
        <tr r="J913" s="11"/>
        <tr r="L22" s="11"/>
        <tr r="J334" s="11"/>
        <tr r="J458" s="11"/>
        <tr r="L488" s="11"/>
        <tr r="G587" s="11"/>
        <tr r="E1197" s="11"/>
        <tr r="G716" s="11"/>
        <tr r="E925" s="11"/>
        <tr r="J15" s="3"/>
        <tr r="J15" s="3"/>
        <tr r="J15" s="3"/>
        <tr r="K609" s="11"/>
        <tr r="G12" s="8"/>
        <tr r="G12" s="8"/>
        <tr r="G12" s="8"/>
        <tr r="E607" s="11"/>
        <tr r="I1229" s="11"/>
        <tr r="B751" s="11"/>
        <tr r="B1159" s="11"/>
        <tr r="I955" s="11"/>
        <tr r="I571" s="11"/>
        <tr r="I1022" s="11"/>
        <tr r="L633" s="11"/>
        <tr r="I696" s="11"/>
        <tr r="B1152" s="11"/>
        <tr r="E666" s="11"/>
        <tr r="B1168" s="11"/>
        <tr r="J851" s="11"/>
        <tr r="G1089" s="11"/>
        <tr r="C1108" s="11"/>
        <tr r="B899" s="11"/>
        <tr r="D23" s="9"/>
        <tr r="D23" s="9"/>
        <tr r="D23" s="9"/>
        <tr r="F1132" s="11"/>
        <tr r="M32" s="10"/>
        <tr r="M32" s="10"/>
        <tr r="M32" s="10"/>
        <tr r="K621" s="11"/>
        <tr r="J520" s="11"/>
        <tr r="E619" s="11"/>
        <tr r="D653" s="11"/>
        <tr r="E777" s="11"/>
        <tr r="C675" s="11"/>
        <tr r="I1241" s="11"/>
        <tr r="B523" s="11"/>
        <tr r="H623" s="11"/>
        <tr r="G522" s="11"/>
        <tr r="B621" s="11"/>
        <tr r="L655" s="11"/>
        <tr r="E781" s="11"/>
        <tr r="L678" s="11"/>
        <tr r="I873" s="11"/>
        <tr r="B1175" s="11"/>
        <tr r="J688" s="11"/>
        <tr r="E1198" s="11"/>
        <tr r="E600" s="11"/>
        <tr r="B530" s="11"/>
        <tr r="J678" s="11"/>
        <tr r="J733" s="11"/>
        <tr r="D556" s="11"/>
        <tr r="J685" s="11"/>
        <tr r="D680" s="11"/>
        <tr r="E928" s="11"/>
        <tr r="J726" s="11"/>
        <tr r="E1085" s="11"/>
        <tr r="J942" s="11"/>
        <tr r="D8" s="10"/>
        <tr r="D8" s="10"/>
        <tr r="D8" s="10"/>
        <tr r="H616" s="11"/>
        <tr r="F601" s="11"/>
        <tr r="I734" s="11"/>
        <tr r="L1227" s="11"/>
        <tr r="I159" s="11"/>
        <tr r="C392" s="11"/>
        <tr r="I487" s="11"/>
        <tr r="H517" s="11"/>
        <tr r="C616" s="11"/>
        <tr r="H603" s="11"/>
        <tr r="E737" s="11"/>
        <tr r="E637" s="11"/>
        <tr r="L539" s="11"/>
        <tr r="G638" s="11"/>
        <tr r="F537" s="11"/>
        <tr r="L637" s="11"/>
        <tr r="K670" s="11"/>
        <tr r="B815" s="11"/>
        <tr r="B724" s="11"/>
        <tr r="B903" s="11"/>
        <tr r="H611" s="11"/>
        <tr r="E540" s="11"/>
        <tr r="C713" s="11"/>
        <tr r="B755" s="11"/>
        <tr r="F589" s="11"/>
        <tr r="F714" s="11"/>
        <tr r="K709" s="11"/>
        <tr r="I991" s="11"/>
        <tr r="J790" s="11"/>
        <tr r="E1150" s="11"/>
        <tr r="E1172" s="11"/>
        <tr r="N18" s="10"/>
        <tr r="N18" s="10"/>
        <tr r="N18" s="10"/>
        <tr r="E892" s="11"/>
        <tr r="B527" s="11"/>
        <tr r="H627" s="11"/>
        <tr r="G526" s="11"/>
        <tr r="B625" s="11"/>
        <tr r="L659" s="11"/>
        <tr r="I790" s="11"/>
        <tr r="C683" s="11"/>
        <tr r="E908" s="11"/>
        <tr r="J529" s="11"/>
        <tr r="E628" s="11"/>
        <tr r="D528" s="11"/>
        <tr r="J627" s="11"/>
        <tr r="I660" s="11"/>
        <tr r="I794" s="11"/>
        <tr r="F685" s="11"/>
        <tr r="E924" s="11"/>
        <tr r="B678" s="11"/>
        <tr r="G690" s="11"/>
        <tr r="I859" s="11"/>
        <tr r="I690" s="11"/>
        <tr r="I860" s="11"/>
        <tr r="F951" s="11"/>
        <tr r="E1130" s="11"/>
        <tr r="J983" s="11"/>
        <tr r="G1113" s="11"/>
        <tr r="B748" s="11"/>
        <tr r="I1121" s="11"/>
        <tr r="B749" s="11"/>
        <tr r="B1151" s="11"/>
        <tr r="E1105" s="11"/>
        <tr r="F1026" s="11"/>
        <tr r="H674" s="11"/>
        <tr r="E937" s="11"/>
        <tr r="B1030" s="11"/>
        <tr r="B1034" s="11"/>
        <tr r="E1028" s="11"/>
        <tr r="E23" s="8"/>
        <tr r="E23" s="8"/>
        <tr r="E23" s="8"/>
        <tr r="P15" s="8"/>
        <tr r="P15" s="8"/>
        <tr r="P15" s="8"/>
        <tr r="F890" s="11"/>
        <tr r="E659" s="11"/>
        <tr r="I906" s="11"/>
        <tr r="C579" s="11"/>
        <tr r="E720" s="11"/>
        <tr r="H578" s="11"/>
        <tr r="E714" s="11"/>
        <tr r="C704" s="11"/>
        <tr r="I896" s="11"/>
        <tr r="D667" s="11"/>
        <tr r="I922" s="11"/>
        <tr r="H699" s="11"/>
        <tr r="E879" s="11"/>
        <tr r="J699" s="11"/>
        <tr r="F881" s="11"/>
        <tr r="F969" s="11"/>
        <tr r="J1150" s="11"/>
        <tr r="I1008" s="11"/>
        <tr r="E1185" s="11"/>
        <tr r="I767" s="11"/>
        <tr r="E1250" s="11"/>
        <tr r="I768" s="11"/>
        <tr r="K36" s="9"/>
        <tr r="K36" s="9"/>
        <tr r="K36" s="9"/>
        <tr r="E1121" s="11"/>
        <tr r="F1068" s="11"/>
        <tr r="L709" s="11"/>
        <tr r="E1035" s="11"/>
        <tr r="B1097" s="11"/>
        <tr r="G1100" s="11"/>
        <tr r="B1096" s="11"/>
        <tr r="G1250" s="11"/>
        <tr r="Q22" s="8"/>
        <tr r="Q22" s="8"/>
        <tr r="Q22" s="8"/>
        <tr r="I944" s="11"/>
        <tr r="L689" s="11"/>
        <tr r="B977" s="11"/>
        <tr r="B586" s="11"/>
        <tr r="E784" s="11"/>
        <tr r="G585" s="11"/>
        <tr r="E772" s="11"/>
        <tr r="B711" s="11"/>
        <tr r="B959" s="11"/>
        <tr r="K696" s="11"/>
        <tr r="F1072" s="11"/>
        <tr r="H719" s="11"/>
        <tr r="B1027" s="11"/>
        <tr r="B719" s="11"/>
        <tr r="B1031" s="11"/>
        <tr r="J1014" s="11"/>
        <tr r="I1234" s="11"/>
        <tr r="K1073" s="11"/>
        <tr r="P6" s="8"/>
        <tr r="P6" s="8"/>
        <tr r="P6" s="8"/>
        <tr r="B812" s="11"/>
        <tr r="G669" s="11"/>
        <tr r="B813" s="11"/>
        <tr r="E932" s="11"/>
        <tr r="I1179" s="11"/>
        <tr r="I1152" s="11"/>
        <tr r="E874" s="11"/>
        <tr r="I1165" s="11"/>
        <tr r="E1253" s="11"/>
        <tr r="I1258" s="11"/>
        <tr r="C1251" s="11"/>
        <tr r="G37" s="8"/>
        <tr r="G37" s="8"/>
        <tr r="G37" s="8"/>
        <tr r="N8" s="9"/>
        <tr r="N8" s="9"/>
        <tr r="N8" s="9"/>
        <tr r="I1130" s="11"/>
        <tr r="E843" s="11"/>
        <tr r="G1071" s="11"/>
        <tr r="J608" s="11"/>
        <tr r="K1286" s="11"/>
        <tr r="D607" s="11"/>
        <tr r="F1168" s="11"/>
        <tr r="E749" s="11"/>
        <tr r="J1153" s="11"/>
        <tr r="E859" s="11"/>
        <tr r="G1111" s="11"/>
        <tr r="J738" s="11"/>
        <tr r="I1095" s="11"/>
        <tr r="J739" s="11"/>
        <tr r="C1098" s="11"/>
        <tr r="F1033" s="11"/>
        <tr r="I1281" s="11"/>
        <tr r="K1089" s="11"/>
        <tr r="G42" s="8"/>
        <tr r="G42" s="8"/>
        <tr r="G42" s="8"/>
        <tr r="I831" s="11"/>
        <tr r="H678" s="11"/>
        <tr r="I832" s="11"/>
        <tr r="F957" s="11"/>
        <tr r="K1264" s="11"/>
        <tr r="G1091" s="11"/>
        <tr r="C1118" s="11"/>
        <tr r="E38" s="9"/>
        <tr r="E38" s="9"/>
        <tr r="E38" s="9"/>
        <tr r="M21" s="8"/>
        <tr r="M21" s="8"/>
        <tr r="M21" s="8"/>
        <tr r="K27" s="10"/>
        <tr r="K27" s="10"/>
        <tr r="K27" s="10"/>
        <tr r="H28" s="8"/>
        <tr r="H28" s="8"/>
        <tr r="H28" s="8"/>
        <tr r="Q14" s="9"/>
        <tr r="Q14" s="9"/>
        <tr r="Q14" s="9"/>
        <tr r="C135" s="11"/>
        <tr r="I1287" s="11"/>
        <tr r="F964" s="11"/>
        <tr r="G8" s="3"/>
        <tr r="G8" s="3"/>
        <tr r="G8" s="3"/>
        <tr r="I615" s="11"/>
        <tr r="H515" s="11"/>
        <tr r="C614" s="11"/>
        <tr r="B647" s="11"/>
        <tr r="E765" s="11"/>
        <tr r="K32" s="8"/>
        <tr r="K32" s="8"/>
        <tr r="K32" s="8"/>
        <tr r="F1028" s="11"/>
        <tr r="H683" s="11"/>
        <tr r="J834" s="11"/>
        <tr r="D679" s="11"/>
        <tr r="J835" s="11"/>
        <tr r="I925" s="11"/>
        <tr r="J1111" s="11"/>
        <tr r="E949" s="11"/>
        <tr r="I1029" s="11"/>
        <tr r="E722" s="11"/>
        <tr r="E1054" s="11"/>
        <tr r="E723" s="11"/>
        <tr r="C1060" s="11"/>
        <tr r="E1083" s="11"/>
        <tr r="E979" s="11"/>
        <tr r="E1033" s="11"/>
        <tr r="I1242" s="11"/>
        <tr r="F929" s="11"/>
        <tr r="F933" s="11"/>
        <tr r="I927" s="11"/>
        <tr r="K48" s="8"/>
        <tr r="K48" s="8"/>
        <tr r="K48" s="8"/>
        <tr r="P40" s="8"/>
        <tr r="P40" s="8"/>
        <tr r="P40" s="8"/>
        <tr r="J861" s="11"/>
        <tr r="F910" s="11"/>
        <tr r="F1165" s="11"/>
        <tr r="D566" s="11"/>
        <tr r="I673" s="11"/>
        <tr r="K564" s="11"/>
        <tr r="I669" s="11"/>
        <tr r="I692" s="11"/>
        <tr r="J865" s="11"/>
        <tr r="J973" s="11"/>
        <tr r="F1181" s="11"/>
        <tr r="C687" s="11"/>
        <tr r="F853" s="11"/>
        <tr r="E687" s="11"/>
        <tr r="F854" s="11"/>
        <tr r="E944" s="11"/>
        <tr r="B1124" s="11"/>
        <tr r="F974" s="11"/>
        <tr r="G1097" s="11"/>
        <tr r="J742" s="11"/>
        <tr r="I1105" s="11"/>
        <tr r="J743" s="11"/>
        <tr r="E1125" s="11"/>
        <tr r="E1099" s="11"/>
        <tr r="B1013" s="11"/>
        <tr r="C662" s="11"/>
        <tr r="F912" s="11"/>
        <tr r="E1004" s="11"/>
        <tr r="E1008" s="11"/>
        <tr r="F1003" s="11"/>
        <tr r="G30" s="3"/>
        <tr r="G30" s="3"/>
        <tr r="G30" s="3"/>
        <tr r="T14" s="9"/>
        <tr r="T14" s="9"/>
        <tr r="T14" s="9"/>
        <tr r="B877" s="11"/>
        <tr r="J1141" s="11"/>
        <tr r="K1102" s="11"/>
        <tr r="F621" s="11"/>
        <tr r="B573" s="11"/>
        <tr r="J875" s="11"/>
        <tr r="I778" s="11"/>
        <tr r="I1263" s="11"/>
        <tr r="J1156" s="11"/>
        <tr r="I795" s="11"/>
        <tr r="K708" s="11"/>
        <tr r="C1114" s="11"/>
        <tr r="J1087" s="11"/>
        <tr r="F1034" s="11"/>
        <tr r="H10" s="9"/>
        <tr r="H10" s="9"/>
        <tr r="H10" s="9"/>
        <tr r="E893" s="11"/>
        <tr r="E787" s="11"/>
        <tr r="E966" s="11"/>
        <tr r="J921" s="11"/>
        <tr r="I772" s="11"/>
        <tr r="I956" s="11"/>
        <tr r="B1141" s="11"/>
        <tr r="B1158" s="11"/>
        <tr r="M38" s="8"/>
        <tr r="M38" s="8"/>
        <tr r="M38" s="8"/>
        <tr r="I822" s="11"/>
        <tr r="B741" s="11"/>
        <tr r="M20" s="10"/>
        <tr r="M20" s="10"/>
        <tr r="M20" s="10"/>
        <tr r="J643" s="11"/>
        <tr r="J595" s="11"/>
        <tr r="H652" s="11"/>
        <tr r="I826" s="11"/>
        <tr r="B757" s="11"/>
        <tr r="B59" s="11"/>
        <tr r="E814" s="11"/>
        <tr r="L717" s="11"/>
        <tr r="E1193" s="11"/>
        <tr r="J1099" s="11"/>
        <tr r="H953" s="11"/>
        <tr r="I966" s="11"/>
        <tr r="I970" s="11"/>
        <tr r="I946" s="11"/>
        <tr r="J1120" s="11"/>
        <tr r="K1290" s="11"/>
        <tr r="E1265" s="11"/>
        <tr r="I838" s="11"/>
        <tr r="E1092" s="11"/>
        <tr r="K653" s="11"/>
        <tr r="C651" s="11"/>
        <tr r="I842" s="11"/>
        <tr r="E1102" s="11"/>
        <tr r="B694" s="11"/>
        <tr r="D695" s="11"/>
        <tr r="I959" s="11"/>
        <tr r="E995" s="11"/>
        <tr r="J758" s="11"/>
        <tr r="J759" s="11"/>
        <tr r="E1113" s="11"/>
        <tr r="J691" s="11"/>
        <tr r="B1073" s="11"/>
        <tr r="B1072" s="11"/>
        <tr r="K44" s="9"/>
        <tr r="K44" s="9"/>
        <tr r="K44" s="9"/>
        <tr r="E1111" s="11"/>
        <tr r="E1032" s="11"/>
        <tr r="I1075" s="11"/>
        <tr r="C1078" s="11"/>
        <tr r="I1265" s="11"/>
        <tr r="H50" s="3"/>
        <tr r="H50" s="3"/>
        <tr r="H50" s="3"/>
        <tr r="E938" s="11"/>
        <tr r="G44" s="3"/>
        <tr r="G44" s="3"/>
        <tr r="G44" s="3"/>
        <tr r="E942" s="11"/>
        <tr r="K41" s="8"/>
        <tr r="K41" s="8"/>
        <tr r="K41" s="8"/>
        <tr r="F937" s="11"/>
        <tr r="G42" s="3"/>
        <tr r="G42" s="3"/>
        <tr r="G42" s="3"/>
        <tr r="E17" s="8"/>
        <tr r="E17" s="8"/>
        <tr r="E17" s="8"/>
        <tr r="S39" s="9"/>
        <tr r="S39" s="9"/>
        <tr r="S39" s="9"/>
        <tr r="M29" s="10"/>
        <tr r="M29" s="10"/>
        <tr r="M29" s="10"/>
        <tr r="M44" s="9"/>
        <tr r="M44" s="9"/>
        <tr r="M44" s="9"/>
        <tr r="I787" s="11"/>
        <tr r="I788" s="11"/>
        <tr r="J1082" s="11"/>
        <tr r="I1267" s="11"/>
        <tr r="B1153" s="11"/>
        <tr r="E830" s="11"/>
        <tr r="E831" s="11"/>
        <tr r="J1109" s="11"/>
        <tr r="E1016" s="11"/>
        <tr r="I1030" s="11"/>
        <tr r="I1034" s="11"/>
        <tr r="J975" s="11"/>
        <tr r="B1183" s="11"/>
        <tr r="B920" s="11"/>
        <tr r="G40" s="3"/>
        <tr r="G40" s="3"/>
        <tr r="G40" s="3"/>
        <tr r="J888" s="11"/>
        <tr r="B911" s="11"/>
        <tr r="H707" s="11"/>
        <tr r="J707" s="11"/>
        <tr r="E986" s="11"/>
        <tr r="E1031" s="11"/>
        <tr r="F1081" s="11"/>
        <tr r="B1095" s="11"/>
        <tr r="D47" s="10"/>
        <tr r="D47" s="10"/>
        <tr r="D47" s="10"/>
        <tr r="G1098" s="11"/>
        <tr r="P18" s="10"/>
        <tr r="P18" s="10"/>
        <tr r="P18" s="10"/>
        <tr r="B1094" s="11"/>
        <tr r="M43" s="10"/>
        <tr r="M43" s="10"/>
        <tr r="M43" s="10"/>
        <tr r="E1243" s="11"/>
        <tr r="F122" s="11"/>
        <tr r="G7" s="8"/>
        <tr r="G7" s="8"/>
        <tr r="G7" s="8"/>
        <tr r="G1099" s="11"/>
        <tr r="J1125" s="11"/>
        <tr r="J1129" s="11"/>
        <tr r="H13" s="3"/>
        <tr r="H13" s="3"/>
        <tr r="H13" s="3"/>
        <tr r="P33" s="8"/>
        <tr r="P33" s="8"/>
        <tr r="P33" s="8"/>
        <tr r="B792" s="11"/>
        <tr r="B793" s="11"/>
        <tr r="J1085" s="11"/>
        <tr r="J16" s="3"/>
        <tr r="J16" s="3"/>
        <tr r="J16" s="3"/>
        <tr r="B889" s="11"/>
        <tr r="E890" s="11"/>
        <tr r="E917" s="11"/>
        <tr r="J1064" s="11"/>
        <tr r="I1128" s="11"/>
        <tr r="C1274" s="11"/>
        <tr r="F1164" s="11"/>
        <tr r="J44" s="3"/>
        <tr r="J44" s="3"/>
        <tr r="J44" s="3"/>
        <tr r="F15" s="11"/>
        <tr r="H690" s="11"/>
        <tr r="I949" s="11"/>
        <tr r="I980" s="11"/>
        <tr r="E1053" s="11"/>
        <tr r="B1071" s="11"/>
        <tr r="Q47" s="10"/>
        <tr r="Q47" s="10"/>
        <tr r="Q47" s="10"/>
        <tr r="G1074" s="11"/>
        <tr r="E16" s="10"/>
        <tr r="E16" s="10"/>
        <tr r="E16" s="10"/>
        <tr r="B1070" s="11"/>
        <tr r="K1268" s="11"/>
        <tr r="P31" s="8"/>
        <tr r="P31" s="8"/>
        <tr r="P31" s="8"/>
        <tr r="K11" s="10"/>
        <tr r="K11" s="10"/>
        <tr r="K11" s="10"/>
        <tr r="E904" s="11"/>
        <tr r="F998" s="11"/>
        <tr r="G689" s="11"/>
        <tr r="F978" s="11"/>
        <tr r="F746" s="11"/>
        <tr r="K668" s="11"/>
        <tr r="J1016" s="11"/>
        <tr r="E1103" s="11"/>
        <tr r="J1021" s="11"/>
        <tr r="E1226" s="11"/>
        <tr r="J926" s="11"/>
        <tr r="J930" s="11"/>
        <tr r="B974" s="11"/>
        <tr r="K29" s="10"/>
        <tr r="K29" s="10"/>
        <tr r="K29" s="10"/>
        <tr r="M45" s="10"/>
        <tr r="M45" s="10"/>
        <tr r="M45" s="10"/>
        <tr r="E877" s="11"/>
        <tr r="B1148" s="11"/>
        <tr r="M20" s="8"/>
        <tr r="M20" s="8"/>
        <tr r="M20" s="8"/>
        <tr r="F1170" s="11"/>
        <tr r="I1164" s="11"/>
        <tr r="D46" s="10"/>
        <tr r="D46" s="10"/>
        <tr r="D46" s="10"/>
        <tr r="E15" s="8"/>
        <tr r="E15" s="8"/>
        <tr r="E15" s="8"/>
        <tr r="Q21" s="10"/>
        <tr r="Q21" s="10"/>
        <tr r="Q21" s="10"/>
        <tr r="B946" s="11"/>
        <tr r="E1045" s="11"/>
        <tr r="D50" s="8"/>
        <tr r="D50" s="8"/>
        <tr r="D50" s="8"/>
        <tr r="G50" s="10"/>
        <tr r="G50" s="10"/>
        <tr r="G50" s="10"/>
        <tr r="J35" s="8"/>
        <tr r="J35" s="8"/>
        <tr r="J35" s="8"/>
        <tr r="Q23" s="10"/>
        <tr r="Q23" s="10"/>
        <tr r="Q23" s="10"/>
        <tr r="K21" s="10"/>
        <tr r="K21" s="10"/>
        <tr r="K21" s="10"/>
        <tr r="J20" s="8"/>
        <tr r="J20" s="8"/>
        <tr r="J20" s="8"/>
        <tr r="G12" s="11"/>
        <tr r="F84" s="11"/>
        <tr r="K36" s="8"/>
        <tr r="K36" s="8"/>
        <tr r="K36" s="8"/>
        <tr r="I923" s="11"/>
        <tr r="J918" s="11"/>
        <tr r="D42" s="3"/>
        <tr r="D42" s="3"/>
        <tr r="D42" s="3"/>
        <tr r="K33" s="11"/>
        <tr r="F765" s="11"/>
        <tr r="J1068" s="11"/>
        <tr r="J1131" s="11"/>
        <tr r="J1135" s="11"/>
        <tr r="B1129" s="11"/>
        <tr r="G1287" s="11"/>
        <tr r="K39" s="10"/>
        <tr r="K39" s="10"/>
        <tr r="K39" s="10"/>
        <tr r="C1253" s="11"/>
        <tr r="K41" s="10"/>
        <tr r="K41" s="10"/>
        <tr r="K41" s="10"/>
        <tr r="P14" s="10"/>
        <tr r="P14" s="10"/>
        <tr r="P14" s="10"/>
        <tr r="M26" s="9"/>
        <tr r="M26" s="9"/>
        <tr r="M26" s="9"/>
        <tr r="K38" s="8"/>
        <tr r="K38" s="8"/>
        <tr r="K38" s="8"/>
        <tr r="D15" s="9"/>
        <tr r="D15" s="9"/>
        <tr r="D15" s="9"/>
        <tr r="M8" s="9"/>
        <tr r="M8" s="9"/>
        <tr r="M8" s="9"/>
        <tr r="M12" s="10"/>
        <tr r="M12" s="10"/>
        <tr r="M12" s="10"/>
        <tr r="E8" s="8"/>
        <tr r="E8" s="8"/>
        <tr r="E8" s="8"/>
        <tr r="E1027" s="11"/>
        <tr r="E1235" s="11"/>
        <tr r="B8" s="11"/>
        <tr r="E21" s="9"/>
        <tr r="E21" s="9"/>
        <tr r="E21" s="9"/>
        <tr r="N20" s="10"/>
        <tr r="N20" s="10"/>
        <tr r="N20" s="10"/>
        <tr r="S10" s="9"/>
        <tr r="S10" s="9"/>
        <tr r="S10" s="9"/>
        <tr r="K26" s="10"/>
        <tr r="K26" s="10"/>
        <tr r="K26" s="10"/>
        <tr r="D20" s="9"/>
        <tr r="D20" s="9"/>
        <tr r="D20" s="9"/>
        <tr r="Q6" s="10"/>
        <tr r="Q6" s="10"/>
        <tr r="Q6" s="10"/>
        <tr r="K71" s="11"/>
        <tr r="C1254" s="11"/>
        <tr r="G602" s="11"/>
        <tr r="F533" s="11"/>
        <tr r="G684" s="11"/>
        <tr r="F736" s="11"/>
        <tr r="D564" s="11"/>
        <tr r="G691" s="11"/>
        <tr r="L686" s="11"/>
        <tr r="I941" s="11"/>
        <tr r="E738" s="11"/>
        <tr r="E1097" s="11"/>
        <tr r="J992" s="11"/>
        <tr r="J750" s="11"/>
        <tr r="E1058" s="11"/>
        <tr r="D545" s="11"/>
        <tr r="L645" s="11"/>
        <tr r="I543" s="11"/>
        <tr r="D643" s="11"/>
        <tr r="C676" s="11"/>
        <tr r="J829" s="11"/>
        <tr r="J766" s="11"/>
        <tr r="E1068" s="11"/>
        <tr r="L547" s="11"/>
        <tr r="C647" s="11"/>
        <tr r="F545" s="11"/>
        <tr r="F645" s="11"/>
        <tr r="K678" s="11"/>
        <tr r="J833" s="11"/>
        <tr r="J782" s="11"/>
        <tr r="E1078" s="11"/>
        <tr r="I850" s="11"/>
        <tr r="I998" s="11"/>
        <tr r="J1159" s="11"/>
        <tr r="C631" s="11"/>
        <tr r="E567" s="11"/>
        <tr r="I924" s="11"/>
        <tr r="J845" s="11"/>
        <tr r="L658" s="11"/>
        <tr r="J849" s="11"/>
        <tr r="F837" s="11"/>
        <tr r="J1113" s="11"/>
        <tr r="I1065" s="11"/>
        <tr r="E987" s="11"/>
        <tr r="J946" s="11"/>
        <tr r="L540" s="11"/>
        <tr r="I646" s="11"/>
        <tr r="J997" s="11"/>
        <tr r="C1089" s="11"/>
        <tr r="L1003" s="11"/>
        <tr r="B244" s="11"/>
        <tr r="I417" s="11"/>
        <tr r="F536" s="11"/>
        <tr r="G540" s="11"/>
        <tr r="K647" s="11"/>
        <tr r="I1060" s="11"/>
        <tr r="C1101" s="11"/>
        <tr r="E674" s="11"/>
        <tr r="D567" s="11"/>
        <tr r="B676" s="11"/>
        <tr r="K565" s="11"/>
        <tr r="K671" s="11"/>
        <tr r="J693" s="11"/>
        <tr r="I866" s="11"/>
        <tr r="C658" s="11"/>
        <tr r="B1130" s="11"/>
        <tr r="F641" s="11"/>
        <tr r="B577" s="11"/>
        <tr r="B45" s="11"/>
        <tr r="J969" s="11"/>
        <tr r="B810" s="11"/>
        <tr r="J985" s="11"/>
        <tr r="J939" s="11"/>
        <tr r="B1172" s="11"/>
        <tr r="D659" s="11"/>
        <tr r="F1092" s="11"/>
        <tr r="E1176" s="11"/>
        <tr r="F801" s="11"/>
        <tr r="E1090" s="11"/>
        <tr r="I551" s="11"/>
        <tr r="B652" s="11"/>
        <tr r="E549" s="11"/>
        <tr r="E650" s="11"/>
        <tr r="K682" s="11"/>
        <tr r="E841" s="11"/>
        <tr r="F817" s="11"/>
        <tr r="E1100" s="11"/>
        <tr r="D554" s="11"/>
        <tr r="D655" s="11"/>
        <tr r="K552" s="11"/>
        <tr r="G653" s="11"/>
        <tr r="H684" s="11"/>
        <tr r="E845" s="11"/>
        <tr r="F833" s="11"/>
        <tr r="E1110" s="11"/>
        <tr r="K1083" s="11"/>
        <tr r="F713" s="11"/>
        <tr r="F976" s="11"/>
        <tr r="H714" s="11"/>
        <tr r="F980" s="11"/>
        <tr r="F1001" s="11"/>
        <tr r="J1182" s="11"/>
        <tr r="F1062" s="11"/>
        <tr r="J31" s="3"/>
        <tr r="J31" s="3"/>
        <tr r="J31" s="3"/>
        <tr r="I799" s="11"/>
        <tr r="J663" s="11"/>
        <tr r="I800" s="11"/>
        <tr r="E916" s="11"/>
        <tr r="I1163" s="11"/>
        <tr r="K1103" s="11"/>
        <tr r="E823" s="11"/>
        <tr r="E984" s="11"/>
        <tr r="E47" s="3"/>
        <tr r="E47" s="3"/>
        <tr r="E47" s="3"/>
        <tr r="H12" s="3"/>
        <tr r="H12" s="3"/>
        <tr r="H12" s="3"/>
        <tr r="E1288" s="11"/>
        <tr r="B37" s="11"/>
        <tr r="H44" s="10"/>
        <tr r="H44" s="10"/>
        <tr r="H44" s="10"/>
        <tr r="C1085" s="11"/>
        <tr r="I792" s="11"/>
        <tr r="J8" s="3"/>
        <tr r="J8" s="3"/>
        <tr r="J8" s="3"/>
        <tr r="B602" s="11"/>
        <tr r="B1035" s="11"/>
        <tr r="G601" s="11"/>
        <tr r="B987" s="11"/>
        <tr r="J737" s="11"/>
        <tr r="C1097" s="11"/>
        <tr r="I808" s="11"/>
        <tr r="F925" s="11"/>
        <tr r="F725" s="11"/>
        <tr r="I1063" s="11"/>
        <tr r="F726" s="11"/>
        <tr r="C1066" s="11"/>
        <tr r="B1020" s="11"/>
        <tr r="K1256" s="11"/>
        <tr r="F1078" s="11"/>
        <tr r="G1262" s="11"/>
        <tr r="E818" s="11"/>
        <tr r="K672" s="11"/>
        <tr r="E819" s="11"/>
        <tr r="B942" s="11"/>
        <tr r="E1206" s="11"/>
        <tr r="Q16" s="9"/>
        <tr r="Q16" s="9"/>
        <tr r="Q16" s="9"/>
        <tr r="I936" s="11"/>
        <tr r="K1261" s="11"/>
        <tr r="C1287" s="11"/>
        <tr r="E36" s="3"/>
        <tr r="E36" s="3"/>
        <tr r="E36" s="3"/>
        <tr r="E1285" s="11"/>
        <tr r="E17" s="10"/>
        <tr r="E17" s="10"/>
        <tr r="E17" s="10"/>
        <tr r="E46" s="9"/>
        <tr r="E46" s="9"/>
        <tr r="E46" s="9"/>
        <tr r="I1146" s="11"/>
        <tr r="I856" s="11"/>
        <tr r="G1103" s="11"/>
        <tr r="L610" s="11"/>
        <tr r="K509" s="11"/>
        <tr r="F608" s="11"/>
        <tr r="D47" s="3"/>
        <tr r="D47" s="3"/>
        <tr r="D47" s="3"/>
        <tr r="J753" s="11"/>
        <tr r="J1169" s="11"/>
        <tr r="E871" s="11"/>
        <tr r="I1162" s="11"/>
        <tr r="J770" s="11"/>
        <tr r="K1270" s="11"/>
        <tr r="J771" s="11"/>
        <tr r="K1278" s="11"/>
        <tr r="J1071" s="11"/>
        <tr r="P19" s="8"/>
        <tr r="P19" s="8"/>
        <tr r="P19" s="8"/>
        <tr r="I1136" s="11"/>
        <tr r="D692" s="11"/>
        <tr r="I863" s="11"/>
        <tr r="F692" s="11"/>
        <tr r="I864" s="11"/>
        <tr r="E998" s="11"/>
        <tr r="D26" s="10"/>
        <tr r="D26" s="10"/>
        <tr r="D26" s="10"/>
        <tr r="E696" s="11"/>
        <tr r="B964" s="11"/>
        <tr r="F1067" s="11"/>
        <tr r="T38" s="9"/>
        <tr r="T38" s="9"/>
        <tr r="T38" s="9"/>
        <tr r="G45" s="9"/>
        <tr r="G45" s="9"/>
        <tr r="G45" s="9"/>
        <tr r="G6" s="9"/>
        <tr r="G6" s="9"/>
        <tr r="G6" s="9"/>
        <tr r="B106" s="11"/>
        <tr r="J797" s="11"/>
        <tr r="H687" s="11"/>
        <tr r="B934" s="11"/>
        <tr r="C532" s="11"/>
        <tr r="I631" s="11"/>
        <tr r="H531" s="11"/>
        <tr r="C630" s="11"/>
        <tr r="B663" s="11"/>
        <tr r="J801" s="11"/>
        <tr r="L690" s="11"/>
        <tr r="B950" s="11"/>
        <tr r="E1149" s="11"/>
        <tr r="F789" s="11"/>
        <tr r="I658" s="11"/>
        <tr r="F790" s="11"/>
        <tr r="E880" s="11"/>
        <tr r="J1083" s="11"/>
        <tr r="F904" s="11"/>
        <tr r="C1280" s="11"/>
        <tr r="E700" s="11"/>
        <tr r="F885" s="11"/>
        <tr r="G701" s="11"/>
        <tr r="I886" s="11"/>
        <tr r="B1024" s="11"/>
        <tr r="I914" s="11"/>
        <tr r="J746" s="11"/>
        <tr r="I1049" s="11"/>
        <tr r="F1115" s="11"/>
        <tr r="K1118" s="11"/>
        <tr r="F1114" s="11"/>
        <tr r="I1248" s="11"/>
        <tr r="E20" s="8"/>
        <tr r="E20" s="8"/>
        <tr r="E20" s="8"/>
        <tr r="J813" s="11"/>
        <tr r="I711" s="11"/>
        <tr r="F997" s="11"/>
        <tr r="B539" s="11"/>
        <tr r="H639" s="11"/>
        <tr r="G538" s="11"/>
        <tr r="B637" s="11"/>
        <tr r="L671" s="11"/>
        <tr r="J817" s="11"/>
        <tr r="F719" s="11"/>
        <tr r="F1013" s="11"/>
        <tr r="L702" s="11"/>
        <tr r="B888" s="11"/>
        <tr r="C702" s="11"/>
        <tr r="E889" s="11"/>
        <tr r="I975" s="11"/>
        <tr r="B1156" s="11"/>
        <tr r="I1016" s="11"/>
        <tr r="C1290" s="11"/>
        <tr r="J774" s="11"/>
        <tr r="J11" s="3"/>
        <tr r="J11" s="3"/>
        <tr r="J11" s="3"/>
        <tr r="J775" s="11"/>
        <tr r="I881" s="11"/>
        <tr r="B1128" s="11"/>
        <tr r="F1076" s="11"/>
        <tr r="B721" s="11"/>
        <tr r="F1074" s="11"/>
        <tr r="B1113" s="11"/>
        <tr r="G1116" s="11"/>
        <tr r="B1112" s="11"/>
        <tr r="C1285" s="11"/>
        <tr r="E50" s="10"/>
        <tr r="E50" s="10"/>
        <tr r="E50" s="10"/>
        <tr r="E981" s="11"/>
        <tr r="C706" s="11"/>
        <tr r="I1028" s="11"/>
        <tr r="H591" s="11"/>
        <tr r="F823" s="11"/>
        <tr r="B589" s="11"/>
        <tr r="F811" s="11"/>
        <tr r="H716" s="11"/>
        <tr r="E997" s="11"/>
        <tr r="B713" s="11"/>
        <tr r="K1062" s="11"/>
        <tr r="B710" s="11"/>
        <tr r="E951" s="11"/>
        <tr r="D711" s="11"/>
        <tr r="I954" s="11"/>
        <tr r="E994" s="11"/>
        <tr r="I1175" s="11"/>
        <tr r="E1051" s="11"/>
        <tr r="I1286" s="11"/>
        <tr r="F793" s="11"/>
        <tr r="F660" s="11"/>
        <tr r="F794" s="11"/>
        <tr r="F907" s="11"/>
        <tr r="J1154" s="11"/>
        <tr r="K1098" s="11"/>
        <tr r="F798" s="11"/>
        <tr r="E44" s="8"/>
        <tr r="E44" s="8"/>
        <tr r="E44" s="8"/>
        <tr r="E1188" s="11"/>
        <tr r="E1212" s="11"/>
        <tr r="E1183" s="11"/>
        <tr r="M50" s="10"/>
        <tr r="M50" s="10"/>
        <tr r="M50" s="10"/>
        <tr r="D12" s="9"/>
        <tr r="D12" s="9"/>
        <tr r="D12" s="9"/>
        <tr r="K1059" s="11"/>
        <tr r="F754" s="11"/>
        <tr r="Q24" s="8"/>
        <tr r="Q24" s="8"/>
        <tr r="Q24" s="8"/>
        <tr r="E702" s="11"/>
        <tr r="L597" s="11"/>
        <tr r="J653" s="11"/>
        <tr r="E882" s="11"/>
        <tr r="F770" s="11"/>
        <tr r="G706" s="11"/>
        <tr r="F926" s="11"/>
        <tr r="B745" s="11"/>
        <tr r="F887" s="11"/>
        <tr r="F1169" s="11"/>
        <tr r="F1094" s="11"/>
        <tr r="I703" s="11"/>
        <tr r="B657" s="11"/>
        <tr r="J839" s="11"/>
        <tr r="J1034" s="11"/>
        <tr r="K1090" s="11"/>
        <tr r="E1290" s="11"/>
        <tr r="B1137" s="11"/>
        <tr r="J1164" s="11"/>
        <tr r="H29" s="8"/>
        <tr r="H29" s="8"/>
        <tr r="H29" s="8"/>
        <tr r="E32" s="9"/>
        <tr r="E32" s="9"/>
        <tr r="E32" s="9"/>
        <tr r="J1033" s="11"/>
        <tr r="C1104" s="11"/>
        <tr r="H544" s="11"/>
        <tr r="J874" s="11"/>
        <tr r="I618" s="11"/>
        <tr r="G675" s="11"/>
        <tr r="C1061" s="11"/>
        <tr r="E1157" s="11"/>
        <tr r="Q27" s="9"/>
        <tr r="Q27" s="9"/>
        <tr r="Q27" s="9"/>
        <tr r="E1001" s="11"/>
        <tr r="I764" s="11"/>
        <tr r="B906" s="11"/>
        <tr r="E1202" s="11"/>
        <tr r="D42" s="8"/>
        <tr r="D42" s="8"/>
        <tr r="D42" s="8"/>
        <tr r="C666" s="11"/>
        <tr r="F923" s="11"/>
        <tr r="K1117" s="11"/>
        <tr r="G1085" s="11"/>
        <tr r="I1189" s="11"/>
        <tr r="M28" s="8"/>
        <tr r="M28" s="8"/>
        <tr r="M28" s="8"/>
        <tr r="C1095" s="11"/>
        <tr r="B912" s="11"/>
        <tr r="I1084" s="11"/>
        <tr r="E1042" s="11"/>
        <tr r="C1109" s="11"/>
        <tr r="E31" s="8"/>
        <tr r="E31" s="8"/>
        <tr r="E31" s="8"/>
        <tr r="E766" s="11"/>
        <tr r="E767" s="11"/>
        <tr r="J1069" s="11"/>
        <tr r="E1123" s="11"/>
        <tr r="B860" s="11"/>
        <tr r="B861" s="11"/>
        <tr r="E22" s="8"/>
        <tr r="E22" s="8"/>
        <tr r="E22" s="8"/>
        <tr r="E952" s="11"/>
        <tr r="N13" s="10"/>
        <tr r="N13" s="10"/>
        <tr r="N13" s="10"/>
        <tr r="P7" s="10"/>
        <tr r="P7" s="10"/>
        <tr r="P7" s="10"/>
        <tr r="C1084" s="11"/>
        <tr r="C1270" s="11"/>
        <tr r="N28" s="8"/>
        <tr r="N28" s="8"/>
        <tr r="N28" s="8"/>
        <tr r="C678" s="11"/>
        <tr r="J924" s="11"/>
        <tr r="B947" s="11"/>
        <tr r="B1017" s="11"/>
        <tr r="I1046" s="11"/>
        <tr r="K44" s="10"/>
        <tr r="K44" s="10"/>
        <tr r="K44" s="10"/>
        <tr r="I1056" s="11"/>
        <tr r="P48" s="10"/>
        <tr r="P48" s="10"/>
        <tr r="P48" s="10"/>
        <tr r="I1042" s="11"/>
        <tr r="K28" s="10"/>
        <tr r="K28" s="10"/>
        <tr r="K28" s="10"/>
        <tr r="E7" s="8"/>
        <tr r="E7" s="8"/>
        <tr r="E7" s="8"/>
        <tr r="P37" s="9"/>
        <tr r="P37" s="9"/>
        <tr r="P37" s="9"/>
        <tr r="H30" s="9"/>
        <tr r="H30" s="9"/>
        <tr r="H30" s="9"/>
        <tr r="E1286" s="11"/>
        <tr r="E894" s="11"/>
        <tr r="F898" s="11"/>
        <tr r="F1161" s="11"/>
        <tr r="G26" s="8"/>
        <tr r="G26" s="8"/>
        <tr r="G26" s="8"/>
        <tr r="F119" s="11"/>
        <tr r="I1071" s="11"/>
        <tr r="C1074" s="11"/>
        <tr r="C1262" s="11"/>
        <tr r="E24" s="3"/>
        <tr r="E24" s="3"/>
        <tr r="E24" s="3"/>
        <tr r="B673" s="11"/>
        <tr r="I945" s="11"/>
        <tr r="B944" s="11"/>
        <tr r="K39" s="3"/>
        <tr r="K39" s="3"/>
        <tr r="K39" s="3"/>
        <tr r="H20" s="3"/>
        <tr r="H20" s="3"/>
        <tr r="H20" s="3"/>
        <tr r="E30" s="10"/>
        <tr r="E30" s="10"/>
        <tr r="E30" s="10"/>
        <tr r="F989" s="11"/>
        <tr r="J1035" s="11"/>
        <tr r="J794" s="11"/>
        <tr r="J795" s="11"/>
        <tr r="J1086" s="11"/>
        <tr r="H39" s="3"/>
        <tr r="H39" s="3"/>
        <tr r="H39" s="3"/>
        <tr r="E1159" s="11"/>
        <tr r="B1182" s="11"/>
        <tr r="E1163" s="11"/>
        <tr r="E1192" s="11"/>
        <tr r="F1158" s="11"/>
        <tr r="E1180" s="11"/>
        <tr r="E45" s="8"/>
        <tr r="E45" s="8"/>
        <tr r="E45" s="8"/>
        <tr r="M29" s="8"/>
        <tr r="M29" s="8"/>
        <tr r="M29" s="8"/>
        <tr r="H48" s="3"/>
        <tr r="H48" s="3"/>
        <tr r="H48" s="3"/>
        <tr r="Q25" s="9"/>
        <tr r="Q25" s="9"/>
        <tr r="Q25" s="9"/>
        <tr r="H23" s="10"/>
        <tr r="H23" s="10"/>
        <tr r="H23" s="10"/>
        <tr r="D687" s="11"/>
        <tr r="F943" s="11"/>
        <tr r="E971" s="11"/>
        <tr r="E1037" s="11"/>
        <tr r="B913" s="11"/>
        <tr r="B917" s="11"/>
        <tr r="J1166" s="11"/>
        <tr r="I1215" s="11"/>
        <tr r="K656" s="11"/>
        <tr r="B894" s="11"/>
        <tr r="K1087" s="11"/>
        <tr r="K1107" s="11"/>
        <tr r="F1151" s="11"/>
        <tr r="D45" s="3"/>
        <tr r="D45" s="3"/>
        <tr r="D45" s="3"/>
        <tr r="J952" s="11"/>
        <tr r="E983" s="11"/>
        <tr r="I755" s="11"/>
        <tr r="I756" s="11"/>
        <tr r="J1062" s="11"/>
        <tr r="K1104" s="11"/>
        <tr r="F1121" s="11"/>
        <tr r="J1144" s="11"/>
        <tr r="B1125" s="11"/>
        <tr r="J1148" s="11"/>
        <tr r="F1120" s="11"/>
        <tr r="B1142" s="11"/>
        <tr r="Q46" s="8"/>
        <tr r="Q46" s="8"/>
        <tr r="Q46" s="8"/>
        <tr r="B15" s="11"/>
        <tr r="F813" s="11"/>
        <tr r="J1098" s="11"/>
        <tr r="J1179" s="11"/>
        <tr r="B857" s="11"/>
        <tr r="G1105" s="11"/>
        <tr r="I1138" s="11"/>
        <tr r="J925" s="11"/>
        <tr r="H44" s="3"/>
        <tr r="H44" s="3"/>
        <tr r="H44" s="3"/>
        <tr r="J937" s="11"/>
        <tr r="I719" s="11"/>
        <tr r="K1072" s="11"/>
        <tr r="B1111" s="11"/>
        <tr r="G1114" s="11"/>
        <tr r="F1155" s="11"/>
        <tr r="D47" s="8"/>
        <tr r="D47" s="8"/>
        <tr r="D47" s="8"/>
        <tr r="H12" s="10"/>
        <tr r="H12" s="10"/>
        <tr r="H12" s="10"/>
        <tr r="I698" s="11"/>
        <tr r="F1006" s="11"/>
        <tr r="J1008" s="11"/>
        <tr r="J1012" s="11"/>
        <tr r="B1006" s="11"/>
        <tr r="E33" s="3"/>
        <tr r="E33" s="3"/>
        <tr r="E33" s="3"/>
        <tr r="K6" s="3"/>
        <tr r="K6" s="3"/>
        <tr r="K6" s="3"/>
        <tr r="E854" s="11"/>
        <tr r="J1126" s="11"/>
        <tr r="E16" s="3"/>
        <tr r="E16" s="3"/>
        <tr r="E16" s="3"/>
        <tr r="J12" s="3"/>
        <tr r="J12" s="3"/>
        <tr r="J12" s="3"/>
        <tr r="I1291" s="11"/>
        <tr r="G1272" s="11"/>
        <tr r="I1260" s="11"/>
        <tr r="E1291" s="11"/>
        <tr r="K24" s="10"/>
        <tr r="K24" s="10"/>
        <tr r="K24" s="10"/>
        <tr r="G45" s="8"/>
        <tr r="G45" s="8"/>
        <tr r="G45" s="8"/>
        <tr r="E28" s="9"/>
        <tr r="E28" s="9"/>
        <tr r="E28" s="9"/>
        <tr r="B1107" s="11"/>
        <tr r="G1110" s="11"/>
        <tr r="B1106" s="11"/>
        <tr r="I1272" s="11"/>
        <tr r="M34" s="8"/>
        <tr r="M34" s="8"/>
        <tr r="M34" s="8"/>
        <tr r="E1205" s="11"/>
        <tr r="P7" s="8"/>
        <tr r="P7" s="8"/>
        <tr r="P7" s="8"/>
        <tr r="E972" s="11"/>
        <tr r="E976" s="11"/>
        <tr r="F971" s="11"/>
        <tr r="K13" s="10"/>
        <tr r="K13" s="10"/>
        <tr r="K13" s="10"/>
        <tr r="P29" s="8"/>
        <tr r="P29" s="8"/>
        <tr r="P29" s="8"/>
        <tr r="J47" s="10"/>
        <tr r="J47" s="10"/>
        <tr r="J47" s="10"/>
        <tr r="Q40" s="9"/>
        <tr r="Q40" s="9"/>
        <tr r="Q40" s="9"/>
        <tr r="B1115" s="11"/>
        <tr r="B1114" s="11"/>
        <tr r="E18" s="10"/>
        <tr r="E18" s="10"/>
        <tr r="E18" s="10"/>
        <tr r="I985" s="11"/>
        <tr r="Q35" s="9"/>
        <tr r="Q35" s="9"/>
        <tr r="Q35" s="9"/>
        <tr r="C61" s="11"/>
        <tr r="J12" s="8"/>
        <tr r="J12" s="8"/>
        <tr r="J12" s="8"/>
        <tr r="B1093" s="11"/>
        <tr r="K13" s="8"/>
        <tr r="K13" s="8"/>
        <tr r="K13" s="8"/>
        <tr r="L80" s="11"/>
        <tr r="H16" s="8"/>
        <tr r="H16" s="8"/>
        <tr r="H16" s="8"/>
        <tr r="B25" s="11"/>
        <tr r="E15" s="10"/>
        <tr r="E15" s="10"/>
        <tr r="E15" s="10"/>
        <tr r="K11" s="9"/>
        <tr r="K11" s="9"/>
        <tr r="K11" s="9"/>
        <tr r="P15" s="9"/>
        <tr r="P15" s="9"/>
        <tr r="P15" s="9"/>
        <tr r="F144" s="11"/>
        <tr r="H104" s="11"/>
        <tr r="P9" s="8"/>
        <tr r="P9" s="8"/>
        <tr r="P9" s="8"/>
        <tr r="K1115" s="11"/>
        <tr r="K689" s="11"/>
        <tr r="F857" s="11"/>
        <tr r="B689" s="11"/>
        <tr r="F858" s="11"/>
        <tr r="B992" s="11"/>
        <tr r="H23" s="8"/>
        <tr r="H23" s="8"/>
        <tr r="H23" s="8"/>
        <tr r="E46" s="8"/>
        <tr r="E46" s="8"/>
        <tr r="E46" s="8"/>
        <tr r="J940" s="11"/>
        <tr r="B1033" s="11"/>
        <tr r="N44" s="8"/>
        <tr r="N44" s="8"/>
        <tr r="N44" s="8"/>
        <tr r="N29" s="8"/>
        <tr r="N29" s="8"/>
        <tr r="N29" s="8"/>
        <tr r="J38" s="8"/>
        <tr r="J38" s="8"/>
        <tr r="J38" s="8"/>
        <tr r="G41" s="10"/>
        <tr r="G41" s="10"/>
        <tr r="G41" s="10"/>
        <tr r="B787" s="11"/>
        <tr r="K681" s="11"/>
        <tr r="J896" s="11"/>
        <tr r="H528" s="11"/>
        <tr r="C627" s="11"/>
        <tr r="B526" s="11"/>
        <tr r="H626" s="11"/>
        <tr r="G659" s="11"/>
        <tr r="B791" s="11"/>
        <tr r="I683" s="11"/>
        <tr r="J912" s="11"/>
        <tr r="F741" s="11"/>
        <tr r="C671" s="11"/>
        <tr r="J818" s="11"/>
        <tr r="E671" s="11"/>
        <tr r="J819" s="11"/>
        <tr r="I909" s="11"/>
        <tr r="J1101" s="11"/>
        <tr r="J933" s="11"/>
        <tr r="I965" s="11"/>
        <tr r="L714" s="11"/>
        <tr r="B979" s="11"/>
        <tr r="C714" s="11"/>
        <tr r="B983" s="11"/>
        <tr r="E1069" s="11"/>
        <tr r="F954" s="11"/>
        <tr r="F861" s="11"/>
        <tr r="B1132" s="11"/>
        <tr r="J18" s="3"/>
        <tr r="J18" s="3"/>
        <tr r="J18" s="3"/>
        <tr r="D33" s="3"/>
        <tr r="D33" s="3"/>
        <tr r="D33" s="3"/>
        <tr r="J14" s="3"/>
        <tr r="J14" s="3"/>
        <tr r="J14" s="3"/>
        <tr r="I1278" s="11"/>
        <tr r="C1273" s="11"/>
        <tr r="F875" s="11"/>
        <tr r="E1079" s="11"/>
        <tr r="I898" s="11"/>
        <tr r="E1215" s="11"/>
        <tr r="K701" s="11"/>
        <tr r="F886" s="11"/>
        <tr r="B701" s="11"/>
        <tr r="I887" s="11"/>
        <tr r="J974" s="11"/>
        <tr r="E1154" s="11"/>
        <tr r="J1015" s="11"/>
        <tr r="E1272" s="11"/>
        <tr r="F1073" s="11"/>
        <tr r="D20" s="10"/>
        <tr r="D20" s="10"/>
        <tr r="D20" s="10"/>
        <tr r="B1087" s="11"/>
        <tr r="I1266" s="11"/>
        <tr r="F79" s="11"/>
        <tr r="D16" s="9"/>
        <tr r="D16" s="9"/>
        <tr r="D16" s="9"/>
        <tr r="G1090" s="11"/>
        <tr r="C1271" s="11"/>
        <tr r="H36" s="8"/>
        <tr r="H36" s="8"/>
        <tr r="H36" s="8"/>
        <tr r="G47" s="10"/>
        <tr r="G47" s="10"/>
        <tr r="G47" s="10"/>
        <tr r="B1086" s="11"/>
        <tr r="G1264" s="11"/>
        <tr r="K48" s="3"/>
        <tr r="K48" s="3"/>
        <tr r="K48" s="3"/>
        <tr r="G10" s="3"/>
        <tr r="G10" s="3"/>
        <tr r="G10" s="3"/>
        <tr r="I1204" s="11"/>
        <tr r="M5" s="10"/>
        <tr r="M5" s="10"/>
        <tr r="M5" s="10"/>
        <tr r="G38" s="9"/>
        <tr r="G38" s="9"/>
        <tr r="G38" s="9"/>
        <tr r="D25" s="3"/>
        <tr r="D25" s="3"/>
        <tr r="D25" s="3"/>
        <tr r="D12" s="3"/>
        <tr r="D12" s="3"/>
        <tr r="D12" s="3"/>
        <tr r="F63" s="11"/>
        <tr r="G1067" s="11"/>
        <tr r="B736" s="11"/>
        <tr r="I1091" s="11"/>
        <tr r="B737" s="11"/>
        <tr r="C1094" s="11"/>
        <tr r="I1031" s="11"/>
        <tr r="C1278" s="11"/>
        <tr r="K1088" s="11"/>
        <tr r="K10" s="8"/>
        <tr r="K10" s="8"/>
        <tr r="K10" s="8"/>
        <tr r="F1109" s="11"/>
        <tr r="C1115" s="11"/>
        <tr r="I779" s="11"/>
        <tr r="P35" s="8"/>
        <tr r="P35" s="8"/>
        <tr r="P35" s="8"/>
        <tr r="I780" s="11"/>
        <tr r="D32" s="10"/>
        <tr r="D32" s="10"/>
        <tr r="D32" s="10"/>
        <tr r="J1077" s="11"/>
        <tr r="B77" s="11"/>
        <tr r="J1175" s="11"/>
        <tr r="J696" s="11"/>
        <tr r="B872" s="11"/>
        <tr r="L697" s="11"/>
        <tr r="E873" s="11"/>
        <tr r="I1011" s="11"/>
        <tr r="E901" s="11"/>
        <tr r="G714" s="11"/>
        <tr r="E1002" s="11"/>
        <tr r="F1091" s="11"/>
        <tr r="H50" s="8"/>
        <tr r="H50" s="8"/>
        <tr r="H50" s="8"/>
        <tr r="Q37" s="10"/>
        <tr r="Q37" s="10"/>
        <tr r="Q37" s="10"/>
        <tr r="G46" s="8"/>
        <tr r="G46" s="8"/>
        <tr r="G46" s="8"/>
        <tr r="B72" s="11"/>
        <tr r="C1116" s="11"/>
        <tr r="I1047" s="11"/>
        <tr r="E19" s="3"/>
        <tr r="E19" s="3"/>
        <tr r="E19" s="3"/>
        <tr r="K1095" s="11"/>
        <tr r="S36" s="9"/>
        <tr r="S36" s="9"/>
        <tr r="S36" s="9"/>
        <tr r="F845" s="11"/>
        <tr r="K684" s="11"/>
        <tr r="F846" s="11"/>
        <tr r="E936" s="11"/>
        <tr r="J1118" s="11"/>
        <tr r="E963" s="11"/>
        <tr r="G1077" s="11"/>
        <tr r="F1030" s="11"/>
        <tr r="I1275" s="11"/>
        <tr r="B1063" s="11"/>
        <tr r="D22" s="10"/>
        <tr r="D22" s="10"/>
        <tr r="D22" s="10"/>
        <tr r="D30" s="8"/>
        <tr r="D30" s="8"/>
        <tr r="D30" s="8"/>
        <tr r="I1283" s="11"/>
        <tr r="G1066" s="11"/>
        <tr r="G5" s="9"/>
        <tr r="G5" s="9"/>
        <tr r="G5" s="9"/>
        <tr r="P45" s="8"/>
        <tr r="P45" s="8"/>
        <tr r="P45" s="8"/>
        <tr r="C1272" s="11"/>
        <tr r="B1062" s="11"/>
        <tr r="M34" s="10"/>
        <tr r="M34" s="10"/>
        <tr r="M34" s="10"/>
        <tr r="H22" s="8"/>
        <tr r="H22" s="8"/>
        <tr r="H22" s="8"/>
        <tr r="I1262" s="11"/>
        <tr r="D21" s="8"/>
        <tr r="D21" s="8"/>
        <tr r="D21" s="8"/>
        <tr r="M24" s="8"/>
        <tr r="M24" s="8"/>
        <tr r="M24" s="8"/>
        <tr r="G31" s="8"/>
        <tr r="G31" s="8"/>
        <tr r="G31" s="8"/>
        <tr r="I1222" s="11"/>
        <tr r="P47" s="8"/>
        <tr r="P47" s="8"/>
        <tr r="P47" s="8"/>
        <tr r="G24" s="10"/>
        <tr r="G24" s="10"/>
        <tr r="G24" s="10"/>
        <tr r="J906" s="11"/>
        <tr r="L710" s="11"/>
        <tr r="B945" s="11"/>
        <tr r="C710" s="11"/>
        <tr r="B949" s="11"/>
        <tr r="F993" s="11"/>
        <tr r="J1174" s="11"/>
        <tr r="E1047" s="11"/>
        <tr r="E1277" s="11"/>
        <tr r="F1085" s="11"/>
        <tr r="I919" s="11"/>
        <tr r="I1103" s="11"/>
        <tr r="F742" s="11"/>
        <tr r="C1106" s="11"/>
        <tr r="I1037" s="11"/>
        <tr r="K1288" s="11"/>
        <tr r="K1092" s="11"/>
        <tr r="E11" s="10"/>
        <tr r="E11" s="10"/>
        <tr r="E11" s="10"/>
        <tr r="E834" s="11"/>
        <tr r="J679" s="11"/>
        <tr r="E835" s="11"/>
        <tr r="B960" s="11"/>
        <tr r="E1276" s="11"/>
        <tr r="J1124" s="11"/>
        <tr r="B1167" s="11"/>
        <tr r="G56" s="11"/>
        <tr r="E26" s="3"/>
        <tr r="E26" s="3"/>
        <tr r="E26" s="3"/>
        <tr r="J41" s="3"/>
        <tr r="J41" s="3"/>
        <tr r="J41" s="3"/>
        <tr r="J20" s="3"/>
        <tr r="J20" s="3"/>
        <tr r="J20" s="3"/>
        <tr r="B47" s="11"/>
        <tr r="G200" s="11"/>
        <tr r="J1002" s="11"/>
        <tr r="E1182" s="11"/>
        <tr r="K1063" s="11"/>
        <tr r="J35" s="3"/>
        <tr r="J35" s="3"/>
        <tr r="J35" s="3"/>
        <tr r="E806" s="11"/>
        <tr r="I666" s="11"/>
        <tr r="E807" s="11"/>
        <tr r="B898" s="11"/>
        <tr r="J1094" s="11"/>
        <tr r="E921" s="11"/>
        <tr r="J922" s="11"/>
        <tr r="E991" s="11"/>
        <tr r="I1172" s="11"/>
        <tr r="B1014" s="11"/>
        <tr r="C1250" s="11"/>
        <tr r="D13" s="3"/>
        <tr r="D13" s="3"/>
        <tr r="D13" s="3"/>
        <tr r="I1176" s="11"/>
        <tr r="B1018" s="11"/>
        <tr r="K1260" s="11"/>
        <tr r="K30" s="3"/>
        <tr r="K30" s="3"/>
        <tr r="K30" s="3"/>
        <tr r="J1171" s="11"/>
        <tr r="E1012" s="11"/>
        <tr r="I1240" s="11"/>
        <tr r="D5" s="3"/>
        <tr r="D5" s="3"/>
        <tr r="D5" s="3"/>
        <tr r="I1187" s="11"/>
        <tr r="K42" s="3"/>
        <tr r="K42" s="3"/>
        <tr r="K42" s="3"/>
        <tr r="K30" s="10"/>
        <tr r="K30" s="10"/>
        <tr r="K30" s="10"/>
        <tr r="H13" s="10"/>
        <tr r="H13" s="10"/>
        <tr r="H13" s="10"/>
        <tr r="J10" s="8"/>
        <tr r="J10" s="8"/>
        <tr r="J10" s="8"/>
        <tr r="G34" s="10"/>
        <tr r="G34" s="10"/>
        <tr r="G34" s="10"/>
        <tr r="C39" s="11"/>
        <tr r="C187" s="11"/>
        <tr r="J692" s="11"/>
        <tr r="B864" s="11"/>
        <tr r="L693" s="11"/>
        <tr r="B865" s="11"/>
        <tr r="E954" s="11"/>
        <tr r="I1135" s="11"/>
        <tr r="B989" s="11"/>
        <tr r="F1127" s="11"/>
        <tr r="F1061" s="11"/>
        <tr r="J30" s="3"/>
        <tr r="J30" s="3"/>
        <tr r="J30" s="3"/>
        <tr r="D712" s="11"/>
        <tr r="B963" s="11"/>
        <tr r="F712" s="11"/>
        <tr r="B967" s="11"/>
        <tr r="J998" s="11"/>
        <tr r="E1178" s="11"/>
        <tr r="K1060" s="11"/>
        <tr r="G13" s="3"/>
        <tr r="G13" s="3"/>
        <tr r="G13" s="3"/>
        <tr r="B796" s="11"/>
        <tr r="H662" s="11"/>
        <tr r="B797" s="11"/>
        <tr r="B910" s="11"/>
        <tr r="B1160" s="11"/>
        <tr r="F1100" s="11"/>
        <tr r="J811" s="11"/>
        <tr r="E934" s="11"/>
        <tr r="C1258" s="11"/>
        <tr r="I1269" s="11"/>
        <tr r="I1253" s="11"/>
        <tr r="K38" s="10"/>
        <tr r="K38" s="10"/>
        <tr r="K38" s="10"/>
        <tr r="P42" s="8"/>
        <tr r="P42" s="8"/>
        <tr r="P42" s="8"/>
        <tr r="I963" s="11"/>
        <tr r="B1144" s="11"/>
        <tr r="I1000" s="11"/>
        <tr r="B1162" s="11"/>
        <tr r="B768" s="11"/>
        <tr r="G1257" s="11"/>
        <tr r="B769" s="11"/>
        <tr r="G1265" s="11"/>
        <tr r="J1070" s="11"/>
        <tr r="J28" s="8"/>
        <tr r="J28" s="8"/>
        <tr r="J28" s="8"/>
        <tr r="F1130" s="11"/>
        <tr r="G953" s="11"/>
        <tr r="F1134" s="11"/>
        <tr r="J976" s="11"/>
        <tr r="E1156" s="11"/>
        <tr r="Q41" s="8"/>
        <tr r="Q41" s="8"/>
        <tr r="Q41" s="8"/>
        <tr r="F1138" s="11"/>
        <tr r="J980" s="11"/>
        <tr r="E1160" s="11"/>
        <tr r="N18" s="8"/>
        <tr r="N18" s="8"/>
        <tr r="N18" s="8"/>
        <tr r="J1183" s="11"/>
        <tr r="I1025" s="11"/>
        <tr r="G1279" s="11"/>
        <tr r="Q11" s="8"/>
        <tr r="Q11" s="8"/>
        <tr r="Q11" s="8"/>
        <tr r="I1219" s="11"/>
        <tr r="H11" s="8"/>
        <tr r="H11" s="8"/>
        <tr r="H11" s="8"/>
        <tr r="H46" s="9"/>
        <tr r="H46" s="9"/>
        <tr r="H46" s="9"/>
        <tr r="P38" s="10"/>
        <tr r="P38" s="10"/>
        <tr r="P38" s="10"/>
        <tr r="E48" s="10"/>
        <tr r="E48" s="10"/>
        <tr r="E48" s="10"/>
        <tr r="E1251" s="11"/>
        <tr r="Q30" s="10"/>
        <tr r="Q30" s="10"/>
        <tr r="Q30" s="10"/>
        <tr r="F1007" s="11"/>
        <tr r="I723" s="11"/>
        <tr r="I1059" s="11"/>
        <tr r="I724" s="11"/>
        <tr r="C1062" s="11"/>
        <tr r="E1018" s="11"/>
        <tr r="E1252" s="11"/>
        <tr r="K1077" s="11"/>
        <tr r="I1218" s="11"/>
        <tr r="F1101" s="11"/>
        <tr r="F945" s="11"/>
        <tr r="B1067" s="11"/>
        <tr r="K207" s="11"/>
        <tr r="G25" s="8"/>
        <tr r="G25" s="8"/>
        <tr r="G25" s="8"/>
        <tr r="E13" s="3"/>
        <tr r="E13" s="3"/>
        <tr r="E13" s="3"/>
        <tr r="G1070" s="11"/>
        <tr r="I1199" s="11"/>
        <tr r="M30" s="10"/>
        <tr r="M30" s="10"/>
        <tr r="M30" s="10"/>
        <tr r="G1285" s="11"/>
        <tr r="B1066" s="11"/>
        <tr r="B13" s="11"/>
        <tr r="N13" s="8"/>
        <tr r="N13" s="8"/>
        <tr r="N13" s="8"/>
        <tr r="K1269" s="11"/>
        <tr r="P9" s="10"/>
        <tr r="P9" s="10"/>
        <tr r="P9" s="10"/>
        <tr r="M36" s="8"/>
        <tr r="M36" s="8"/>
        <tr r="M36" s="8"/>
        <tr r="Q15" s="10"/>
        <tr r="Q15" s="10"/>
        <tr r="Q15" s="10"/>
        <tr r="K1251" s="11"/>
        <tr r="J36" s="8"/>
        <tr r="J36" s="8"/>
        <tr r="J36" s="8"/>
        <tr r="D37" s="9"/>
        <tr r="D37" s="9"/>
        <tr r="D37" s="9"/>
        <tr r="E918" s="11"/>
        <tr r="C711" s="11"/>
        <tr r="J957" s="11"/>
        <tr r="E711" s="11"/>
        <tr r="J961" s="11"/>
        <tr r="B996" s="11"/>
        <tr r="F1177" s="11"/>
        <tr r="E1057" s="11"/>
        <tr r="E10" s="3"/>
        <tr r="E10" s="3"/>
        <tr r="E10" s="3"/>
        <tr r="F1087" s="11"/>
        <tr r="J910" s="11"/>
        <tr r="B1101" s="11"/>
        <tr r="E17" s="3"/>
        <tr r="E17" s="3"/>
        <tr r="E17" s="3"/>
        <tr r="E37" s="9"/>
        <tr r="E37" s="9"/>
        <tr r="E37" s="9"/>
        <tr r="J914" s="11"/>
        <tr r="G1104" s="11"/>
        <tr r="G11" s="3"/>
        <tr r="G11" s="3"/>
        <tr r="G11" s="3"/>
        <tr r="E30" s="8"/>
        <tr r="E30" s="8"/>
        <tr r="E30" s="8"/>
        <tr r="B908" s="11"/>
        <tr r="B1100" s="11"/>
        <tr r="E30" s="3"/>
        <tr r="E30" s="3"/>
        <tr r="E30" s="3"/>
        <tr r="P44" s="10"/>
        <tr r="P44" s="10"/>
        <tr r="P44" s="10"/>
        <tr r="H33" s="3"/>
        <tr r="H33" s="3"/>
        <tr r="H33" s="3"/>
        <tr r="E1259" s="11"/>
        <tr r="E22" s="10"/>
        <tr r="E22" s="10"/>
        <tr r="E22" s="10"/>
        <tr r="M34" s="9"/>
        <tr r="M34" s="9"/>
        <tr r="M34" s="9"/>
        <tr r="M35" s="10"/>
        <tr r="M35" s="10"/>
        <tr r="M35" s="10"/>
        <tr r="Q17" s="9"/>
        <tr r="Q17" s="9"/>
        <tr r="Q17" s="9"/>
        <tr r="J12" s="10"/>
        <tr r="J12" s="10"/>
        <tr r="J12" s="10"/>
        <tr r="J39" s="3"/>
        <tr r="J39" s="3"/>
        <tr r="J39" s="3"/>
        <tr r="K42" s="8"/>
        <tr r="K42" s="8"/>
        <tr r="K42" s="8"/>
        <tr r="D35" s="9"/>
        <tr r="D35" s="9"/>
        <tr r="D35" s="9"/>
        <tr r="K127" s="11"/>
        <tr r="B29" s="11"/>
        <tr r="Q20" s="8"/>
        <tr r="Q20" s="8"/>
        <tr r="Q20" s="8"/>
        <tr r="H19" s="10"/>
        <tr r="H19" s="10"/>
        <tr r="H19" s="10"/>
        <tr r="Q8" s="10"/>
        <tr r="Q8" s="10"/>
        <tr r="Q8" s="10"/>
        <tr r="G1274" s="11"/>
        <tr r="E42" s="10"/>
        <tr r="E42" s="10"/>
        <tr r="E42" s="10"/>
        <tr r="B200" s="11"/>
        <tr r="J37" s="10"/>
        <tr r="J37" s="10"/>
        <tr r="J37" s="10"/>
        <tr r="B56" s="11"/>
        <tr r="M23" s="9"/>
        <tr r="M23" s="9"/>
        <tr r="M23" s="9"/>
        <tr r="K40" s="10"/>
        <tr r="K40" s="10"/>
        <tr r="K40" s="10"/>
        <tr r="Q25" s="10"/>
        <tr r="Q25" s="10"/>
        <tr r="Q25" s="10"/>
        <tr r="I969" s="11"/>
        <tr r="B1150" s="11"/>
        <tr r="D38" s="3"/>
        <tr r="D38" s="3"/>
        <tr r="D38" s="3"/>
        <tr r="E1131" s="11"/>
        <tr r="I973" s="11"/>
        <tr r="B1154" s="11"/>
        <tr r="K28" s="8"/>
        <tr r="K28" s="8"/>
        <tr r="K28" s="8"/>
        <tr r="F1126" s="11"/>
        <tr r="J968" s="11"/>
        <tr r="E1148" s="11"/>
        <tr r="J32" s="3"/>
        <tr r="J32" s="3"/>
        <tr r="J32" s="3"/>
        <tr r="E1280" s="11"/>
        <tr r="P47" s="10"/>
        <tr r="P47" s="10"/>
        <tr r="P47" s="10"/>
        <tr r="K47" s="8"/>
        <tr r="K47" s="8"/>
        <tr r="K47" s="8"/>
        <tr r="B154" s="11"/>
        <tr r="K15" s="10"/>
        <tr r="K15" s="10"/>
        <tr r="K15" s="10"/>
        <tr r="G44" s="8"/>
        <tr r="G44" s="8"/>
        <tr r="G44" s="8"/>
        <tr r="Q11" s="10"/>
        <tr r="Q11" s="10"/>
        <tr r="Q11" s="10"/>
        <tr r="B36" s="11"/>
        <tr r="D35" s="3"/>
        <tr r="D35" s="3"/>
        <tr r="D35" s="3"/>
        <tr r="B816" s="11"/>
        <tr r="D671" s="11"/>
        <tr r="B817" s="11"/>
        <tr r="J908" s="11"/>
        <tr r="J1100" s="11"/>
        <tr r="B931" s="11"/>
        <tr r="F959" s="11"/>
        <tr r="B1001" s="11"/>
        <tr r="F1182" s="11"/>
        <tr r="J1024" s="11"/>
        <tr r="K1276" s="11"/>
        <tr r="K27" s="8"/>
        <tr r="K27" s="8"/>
        <tr r="K27" s="8"/>
        <tr r="E1191" s="11"/>
        <tr r="J1028" s="11"/>
        <tr r="I1285" s="11"/>
        <tr r="H9" s="8"/>
        <tr r="H9" s="8"/>
        <tr r="H9" s="8"/>
        <tr r="I1180" s="11"/>
        <tr r="B1022" s="11"/>
        <tr r="G1271" s="11"/>
        <tr r="G45" s="3"/>
        <tr r="G45" s="3"/>
        <tr r="G45" s="3"/>
        <tr r="I1211" s="11"/>
        <tr r="K20" s="8"/>
        <tr r="K20" s="8"/>
        <tr r="K20" s="8"/>
        <tr r="M12" s="9"/>
        <tr r="M12" s="9"/>
        <tr r="M12" s="9"/>
        <tr r="P24" s="10"/>
        <tr r="P24" s="10"/>
        <tr r="P24" s="10"/>
        <tr r="H48" s="8"/>
        <tr r="H48" s="8"/>
        <tr r="H48" s="8"/>
        <tr r="M6" s="8"/>
        <tr r="M6" s="8"/>
        <tr r="M6" s="8"/>
        <tr r="M11" s="10"/>
        <tr r="M11" s="10"/>
        <tr r="M11" s="10"/>
        <tr r="E10" s="9"/>
        <tr r="E10" s="9"/>
        <tr r="E10" s="9"/>
        <tr r="D14" s="3"/>
        <tr r="D14" s="3"/>
        <tr r="D14" s="3"/>
        <tr r="E46" s="10"/>
        <tr r="E46" s="10"/>
        <tr r="E46" s="10"/>
        <tr r="H42" s="3"/>
        <tr r="H42" s="3"/>
        <tr r="H42" s="3"/>
        <tr r="Q15" s="9"/>
        <tr r="Q15" s="9"/>
        <tr r="Q15" s="9"/>
        <tr r="M17" s="10"/>
        <tr r="M17" s="10"/>
        <tr r="M17" s="10"/>
        <tr r="K5" s="10"/>
        <tr r="K5" s="10"/>
        <tr r="K5" s="10"/>
        <tr r="K12" s="3"/>
        <tr r="K12" s="3"/>
        <tr r="K12" s="3"/>
        <tr r="K186" s="11"/>
        <tr r="F112" s="11"/>
        <tr r="H10" s="3"/>
        <tr r="H10" s="3"/>
        <tr r="H10" s="3"/>
        <tr r="I1239" s="11"/>
        <tr r="G25" s="3"/>
        <tr r="G25" s="3"/>
        <tr r="G25" s="3"/>
        <tr r="E1211" s="11"/>
        <tr r="E5" s="3"/>
        <tr r="E5" s="3"/>
        <tr r="E5" s="3"/>
        <tr r="E1234" s="11"/>
        <tr r="F202" s="11"/>
        <tr r="D37" s="10"/>
        <tr r="D37" s="10"/>
        <tr r="D37" s="10"/>
        <tr r="P21" s="9"/>
        <tr r="P21" s="9"/>
        <tr r="P21" s="9"/>
        <tr r="I699" s="11"/>
        <tr r="J779" s="11"/>
        <tr r="I1168" s="11"/>
        <tr r="B1166" s="11"/>
        <tr r="B1170" s="11"/>
        <tr r="E1164" s="11"/>
        <tr r="E5" s="8"/>
        <tr r="E5" s="8"/>
        <tr r="E5" s="8"/>
        <tr r="P42" s="9"/>
        <tr r="P42" s="9"/>
        <tr r="P42" s="9"/>
        <tr r="Q31" s="10"/>
        <tr r="Q31" s="10"/>
        <tr r="Q31" s="10"/>
        <tr r="M42" s="9"/>
        <tr r="M42" s="9"/>
        <tr r="M42" s="9"/>
        <tr r="D19" s="8"/>
        <tr r="D19" s="8"/>
        <tr r="D19" s="8"/>
        <tr r="N33" s="10"/>
        <tr r="N33" s="10"/>
        <tr r="N33" s="10"/>
        <tr r="G47" s="8"/>
        <tr r="G47" s="8"/>
        <tr r="G47" s="8"/>
        <tr r="E18" s="8"/>
        <tr r="E18" s="8"/>
        <tr r="E18" s="8"/>
        <tr r="F151" s="11"/>
        <tr r="E34" s="8"/>
        <tr r="E34" s="8"/>
        <tr r="E34" s="8"/>
        <tr r="E27" s="3"/>
        <tr r="E27" s="3"/>
        <tr r="E27" s="3"/>
        <tr r="J911" s="11"/>
        <tr r="I1193" s="11"/>
        <tr r="C1279" s="11"/>
        <tr r="G1284" s="11"/>
        <tr r="K1277" s="11"/>
        <tr r="K8" s="10"/>
        <tr r="K8" s="10"/>
        <tr r="K8" s="10"/>
        <tr r="K171" s="11"/>
        <tr r="D5" s="9"/>
        <tr r="D5" s="9"/>
        <tr r="D5" s="9"/>
        <tr r="Q38" s="8"/>
        <tr r="Q38" s="8"/>
        <tr r="Q38" s="8"/>
        <tr r="N47" s="10"/>
        <tr r="N47" s="10"/>
        <tr r="N47" s="10"/>
        <tr r="Q45" s="8"/>
        <tr r="Q45" s="8"/>
        <tr r="Q45" s="8"/>
        <tr r="P5" s="9"/>
        <tr r="P5" s="9"/>
        <tr r="P5" s="9"/>
        <tr r="Q9" s="9"/>
        <tr r="Q9" s="9"/>
        <tr r="Q9" s="9"/>
        <tr r="N27" s="9"/>
        <tr r="N27" s="9"/>
        <tr r="N27" s="9"/>
        <tr r="F111" s="11"/>
        <tr r="T47" s="9"/>
        <tr r="T47" s="9"/>
        <tr r="T47" s="9"/>
        <tr r="C177" s="11"/>
        <tr r="H30" s="10"/>
        <tr r="H30" s="10"/>
        <tr r="H30" s="10"/>
        <tr r="B138" s="11"/>
        <tr r="K98" s="11"/>
        <tr r="E50" s="8"/>
        <tr r="E50" s="8"/>
        <tr r="E50" s="8"/>
        <tr r="B115" s="11"/>
        <tr r="M8" s="10"/>
        <tr r="M8" s="10"/>
        <tr r="M8" s="10"/>
        <tr r="F103" s="11"/>
        <tr r="K38" s="9"/>
        <tr r="K38" s="9"/>
        <tr r="K38" s="9"/>
        <tr r="G67" s="11"/>
        <tr r="D29" s="3"/>
        <tr r="D29" s="3"/>
        <tr r="D29" s="3"/>
        <tr r="B197" s="11"/>
        <tr r="F77" s="11"/>
        <tr r="F34" s="11"/>
        <tr r="N19" s="9"/>
        <tr r="N19" s="9"/>
        <tr r="N19" s="9"/>
        <tr r="B92" s="11"/>
        <tr r="G184" s="11"/>
        <tr r="G14" s="10"/>
        <tr r="G14" s="10"/>
        <tr r="G14" s="10"/>
        <tr r="C207" s="11"/>
        <tr r="G34" s="9"/>
        <tr r="G34" s="9"/>
        <tr r="G34" s="9"/>
        <tr r="K30" s="9"/>
        <tr r="K30" s="9"/>
        <tr r="K30" s="9"/>
        <tr r="C180" s="11"/>
        <tr r="H53" s="1"/>
        <tr r="H53" s="1"/>
        <tr r="M15" s="10"/>
        <tr r="M15" s="10"/>
        <tr r="M15" s="10"/>
        <tr r="C1275" s="11"/>
        <tr r="D27" s="10"/>
        <tr r="D27" s="10"/>
        <tr r="D27" s="10"/>
        <tr r="H42" s="8"/>
        <tr r="H42" s="8"/>
        <tr r="H42" s="8"/>
        <tr r="Q39" s="10"/>
        <tr r="Q39" s="10"/>
        <tr r="Q39" s="10"/>
        <tr r="E1263" s="11"/>
        <tr r="D39" s="10"/>
        <tr r="D39" s="10"/>
        <tr r="D39" s="10"/>
        <tr r="P29" s="10"/>
        <tr r="P29" s="10"/>
        <tr r="P29" s="10"/>
        <tr r="J956" s="11"/>
        <tr r="I715" s="11"/>
        <tr r="B995" s="11"/>
        <tr r="K716" s="11"/>
        <tr r="B999" s="11"/>
        <tr r="J1006" s="11"/>
        <tr r="E1194" s="11"/>
        <tr r="F1066" s="11"/>
        <tr r="Q35" s="8"/>
        <tr r="Q35" s="8"/>
        <tr r="Q35" s="8"/>
        <tr r="F1093" s="11"/>
        <tr r="B932" s="11"/>
        <tr r="J754" s="11"/>
        <tr r="F1144" s="11"/>
        <tr r="J755" s="11"/>
        <tr r="F1148" s="11"/>
        <tr r="J1061" s="11"/>
        <tr r="K29" s="3"/>
        <tr r="K29" s="3"/>
        <tr r="K29" s="3"/>
        <tr r="F1102" s="11"/>
        <tr r="J25" s="8"/>
        <tr r="J25" s="8"/>
        <tr r="J25" s="8"/>
        <tr r="I847" s="11"/>
        <tr r="G685" s="11"/>
        <tr r="I848" s="11"/>
        <tr r="I979" s="11"/>
        <tr r="K20" s="3"/>
        <tr r="K20" s="3"/>
        <tr r="K20" s="3"/>
        <tr r="K31" s="8"/>
        <tr r="K31" s="8"/>
        <tr r="K31" s="8"/>
        <tr r="I901" s="11"/>
        <tr r="J995" s="11"/>
        <tr r="G27" s="3"/>
        <tr r="G27" s="3"/>
        <tr r="G27" s="3"/>
        <tr r="E42" s="3"/>
        <tr r="E42" s="3"/>
        <tr r="E42" s="3"/>
        <tr r="E21" s="3"/>
        <tr r="E21" s="3"/>
        <tr r="E21" s="3"/>
        <tr r="P19" s="10"/>
        <tr r="P19" s="10"/>
        <tr r="P19" s="10"/>
        <tr r="H65" s="1"/>
        <tr r="H65" s="1"/>
        <tr r="H65" s="1"/>
        <tr r="E1014" s="11"/>
        <tr r="I1238" s="11"/>
        <tr r="K1074" s="11"/>
        <tr r="G28" s="8"/>
        <tr r="G28" s="8"/>
        <tr r="G28" s="8"/>
        <tr r="I819" s="11"/>
        <tr r="F672" s="11"/>
        <tr r="I820" s="11"/>
        <tr r="F911" s="11"/>
        <tr r="J1102" s="11"/>
        <tr r="I934" s="11"/>
        <tr r="J972" s="11"/>
        <tr r="I1004" s="11"/>
        <tr r="E1187" s="11"/>
        <tr r="F1027" s="11"/>
        <tr r="K1284" s="11"/>
        <tr r="Q31" s="8"/>
        <tr r="Q31" s="8"/>
        <tr r="Q31" s="8"/>
        <tr r="E1207" s="11"/>
        <tr r="F1031" s="11"/>
        <tr r="E12" s="3"/>
        <tr r="E12" s="3"/>
        <tr r="E12" s="3"/>
        <tr r="D50" s="9"/>
        <tr r="D50" s="9"/>
        <tr r="D50" s="9"/>
        <tr r="J48" s="3"/>
        <tr r="J48" s="3"/>
        <tr r="J48" s="3"/>
        <tr r="B1078" s="11"/>
        <tr r="E1244" s="11"/>
        <tr r="E40" s="10"/>
        <tr r="E40" s="10"/>
        <tr r="E40" s="10"/>
        <tr r="G1288" s="11"/>
        <tr r="Q24" s="9"/>
        <tr r="Q24" s="9"/>
        <tr r="Q24" s="9"/>
        <tr r="J31" s="8"/>
        <tr r="J31" s="8"/>
        <tr r="J31" s="8"/>
        <tr r="D43" s="9"/>
        <tr r="D43" s="9"/>
        <tr r="D43" s="9"/>
        <tr r="C1289" s="11"/>
        <tr r="J39" s="8"/>
        <tr r="J39" s="8"/>
        <tr r="J39" s="8"/>
        <tr r="B160" s="11"/>
        <tr r="E1204" s="11"/>
        <tr r="E774" s="11"/>
        <tr r="H19" s="3"/>
        <tr r="H19" s="3"/>
        <tr r="H19" s="3"/>
        <tr r="E775" s="11"/>
        <tr r="E35" s="3"/>
        <tr r="E35" s="3"/>
        <tr r="E35" s="3"/>
        <tr r="J1074" s="11"/>
        <tr r="D34" s="10"/>
        <tr r="D34" s="10"/>
        <tr r="D34" s="10"/>
        <tr r="E1155" s="11"/>
        <tr r="E959" s="11"/>
        <tr r="I1140" s="11"/>
        <tr r="E906" s="11"/>
        <tr r="B1099" s="11"/>
        <tr r="E48" s="3"/>
        <tr r="E48" s="3"/>
        <tr r="E48" s="3"/>
        <tr r="P28" s="10"/>
        <tr r="P28" s="10"/>
        <tr r="P28" s="10"/>
        <tr r="E910" s="11"/>
        <tr r="G1102" s="11"/>
        <tr r="G5" s="3"/>
        <tr r="G5" s="3"/>
        <tr r="G5" s="3"/>
        <tr r="G50" s="9"/>
        <tr r="G50" s="9"/>
        <tr r="G50" s="9"/>
        <tr r="F905" s="11"/>
        <tr r="B1098" s="11"/>
        <tr r="E1289" s="11"/>
        <tr r="P21" s="10"/>
        <tr r="P21" s="10"/>
        <tr r="P21" s="10"/>
        <tr r="D30" s="3"/>
        <tr r="D30" s="3"/>
        <tr r="D30" s="3"/>
        <tr r="I1256" s="11"/>
        <tr r="N19" s="10"/>
        <tr r="N19" s="10"/>
        <tr r="N19" s="10"/>
        <tr r="G83" s="11"/>
        <tr r="H26" s="8"/>
        <tr r="H26" s="8"/>
        <tr r="H26" s="8"/>
        <tr r="M40" s="10"/>
        <tr r="M40" s="10"/>
        <tr r="M40" s="10"/>
        <tr r="H44" s="8"/>
        <tr r="H44" s="8"/>
        <tr r="H44" s="8"/>
        <tr r="G1107" s="11"/>
        <tr r="B752" s="11"/>
        <tr r="E1137" s="11"/>
        <tr r="B753" s="11"/>
        <tr r="E1141" s="11"/>
        <tr r="J1060" s="11"/>
        <tr r="E23" s="3"/>
        <tr r="E23" s="3"/>
        <tr r="E23" s="3"/>
        <tr r="K1101" s="11"/>
        <tr r="P6" s="9"/>
        <tr r="P6" s="9"/>
        <tr r="P6" s="9"/>
        <tr r="F1119" s="11"/>
        <tr r="J960" s="11"/>
        <tr r="E1140" s="11"/>
        <tr r="M6" s="9"/>
        <tr r="M6" s="9"/>
        <tr r="M6" s="9"/>
        <tr r="J1122" s="11"/>
        <tr r="J964" s="11"/>
        <tr r="E1144" s="11"/>
        <tr r="B130" s="11"/>
        <tr r="F1118" s="11"/>
        <tr r="B958" s="11"/>
        <tr r="F1139" s="11"/>
        <tr r="K35" s="10"/>
        <tr r="K35" s="10"/>
        <tr r="K35" s="10"/>
        <tr r="I1261" s="11"/>
        <tr r="N30" s="8"/>
        <tr r="N30" s="8"/>
        <tr r="N30" s="8"/>
        <tr r="J37" s="3"/>
        <tr r="J37" s="3"/>
        <tr r="J37" s="3"/>
        <tr r="G10" s="10"/>
        <tr r="G10" s="10"/>
        <tr r="G10" s="10"/>
        <tr r="H45" s="8"/>
        <tr r="H45" s="8"/>
        <tr r="H45" s="8"/>
        <tr r="E18" s="9"/>
        <tr r="E18" s="9"/>
        <tr r="E18" s="9"/>
        <tr r="P20" s="10"/>
        <tr r="P20" s="10"/>
        <tr r="P20" s="10"/>
        <tr r="B91" s="11"/>
        <tr r="D11" s="10"/>
        <tr r="D11" s="10"/>
        <tr r="D11" s="10"/>
        <tr r="N33" s="9"/>
        <tr r="N33" s="9"/>
        <tr r="N33" s="9"/>
        <tr r="D7" s="10"/>
        <tr r="D7" s="10"/>
        <tr r="D7" s="10"/>
        <tr r="M18" s="10"/>
        <tr r="M18" s="10"/>
        <tr r="M18" s="10"/>
        <tr r="G1270" s="11"/>
        <tr r="M13" s="10"/>
        <tr r="M13" s="10"/>
        <tr r="M13" s="10"/>
        <tr r="H7" s="10"/>
        <tr r="H7" s="10"/>
        <tr r="H7" s="10"/>
        <tr r="H34" s="3"/>
        <tr r="H34" s="3"/>
        <tr r="H34" s="3"/>
        <tr r="H35" s="3"/>
        <tr r="H35" s="3"/>
        <tr r="H35" s="3"/>
        <tr r="G36" s="8"/>
        <tr r="G36" s="8"/>
        <tr r="G36" s="8"/>
        <tr r="Q23" s="9"/>
        <tr r="Q23" s="9"/>
        <tr r="Q23" s="9"/>
        <tr r="B112" s="11"/>
        <tr r="P30" s="8"/>
        <tr r="P30" s="8"/>
        <tr r="P30" s="8"/>
        <tr r="F198" s="11"/>
        <tr r="E12" s="10"/>
        <tr r="E12" s="10"/>
        <tr r="E12" s="10"/>
        <tr r="C126" s="11"/>
        <tr r="E1020" s="11"/>
        <tr r="C1266" s="11"/>
        <tr r="D39" s="3"/>
        <tr r="D39" s="3"/>
        <tr r="D39" s="3"/>
        <tr r="I1183" s="11"/>
        <tr r="E1024" s="11"/>
        <tr r="I1277" s="11"/>
        <tr r="K18" s="8"/>
        <tr r="K18" s="8"/>
        <tr r="K18" s="8"/>
        <tr r="B1177" s="11"/>
        <tr r="F1019" s="11"/>
        <tr r="G1263" s="11"/>
        <tr r="J33" s="3"/>
        <tr r="J33" s="3"/>
        <tr r="J33" s="3"/>
        <tr r="I1203" s="11"/>
        <tr r="D50" s="3"/>
        <tr r="D50" s="3"/>
        <tr r="D50" s="3"/>
        <tr r="S43" s="9"/>
        <tr r="S43" s="9"/>
        <tr r="S43" s="9"/>
        <tr r="H21" s="10"/>
        <tr r="H21" s="10"/>
        <tr r="H21" s="10"/>
        <tr r="J32" s="8"/>
        <tr r="J32" s="8"/>
        <tr r="J32" s="8"/>
        <tr r="K30" s="8"/>
        <tr r="K30" s="8"/>
        <tr r="K30" s="8"/>
        <tr r="P25" s="8"/>
        <tr r="P25" s="8"/>
        <tr r="P25" s="8"/>
        <tr r="D36" s="1"/>
        <tr r="D36" s="1"/>
        <tr r="L694" s="11"/>
        <tr r="I867" s="11"/>
        <tr r="C694" s="11"/>
        <tr r="E868" s="11"/>
        <tr r="J958" s="11"/>
        <tr r="E1138" s="11"/>
        <tr r="B993" s="11"/>
        <tr r="J1140" s="11"/>
        <tr r="F1063" s="11"/>
        <tr r="J42" s="3"/>
        <tr r="J42" s="3"/>
        <tr r="J42" s="3"/>
        <tr r="B1077" s="11"/>
        <tr r="E1238" s="11"/>
        <tr r="E35" s="10"/>
        <tr r="E35" s="10"/>
        <tr r="E35" s="10"/>
        <tr r="G11" s="8"/>
        <tr r="G11" s="8"/>
        <tr r="G11" s="8"/>
        <tr r="G1080" s="11"/>
        <tr r="I1250" s="11"/>
        <tr r="Q39" s="9"/>
        <tr r="Q39" s="9"/>
        <tr r="Q39" s="9"/>
        <tr r="H36" s="3"/>
        <tr r="H36" s="3"/>
        <tr r="H36" s="3"/>
        <tr r="B1076" s="11"/>
        <tr r="E1232" s="11"/>
        <tr r="N29" s="10"/>
        <tr r="N29" s="10"/>
        <tr r="N29" s="10"/>
        <tr r="K1285" s="11"/>
        <tr r="E31" s="9"/>
        <tr r="E31" s="9"/>
        <tr r="E31" s="9"/>
        <tr r="G21" s="8"/>
        <tr r="G21" s="8"/>
        <tr r="G21" s="8"/>
        <tr r="Q32" s="9"/>
        <tr r="Q32" s="9"/>
        <tr r="Q32" s="9"/>
        <tr r="G1286" s="11"/>
        <tr r="I1224" s="11"/>
        <tr r="M48" s="10"/>
        <tr r="M48" s="10"/>
        <tr r="M48" s="10"/>
        <tr r="K29" s="8"/>
        <tr r="K29" s="8"/>
        <tr r="K29" s="8"/>
        <tr r="Q23" s="8"/>
        <tr r="Q23" s="8"/>
        <tr r="Q23" s="8"/>
        <tr r="F100" s="11"/>
        <tr r="I1206" s="11"/>
        <tr r="P40" s="10"/>
        <tr r="P40" s="10"/>
        <tr r="P40" s="10"/>
        <tr r="K1287" s="11"/>
        <tr r="N16" s="10"/>
        <tr r="N16" s="10"/>
        <tr r="N16" s="10"/>
        <tr r="B119" s="11"/>
        <tr r="K35" s="8"/>
        <tr r="K35" s="8"/>
        <tr r="K35" s="8"/>
        <tr r="Q17" s="8"/>
        <tr r="Q17" s="8"/>
        <tr r="Q17" s="8"/>
        <tr r="K36" s="3"/>
        <tr r="K36" s="3"/>
        <tr r="K36" s="3"/>
        <tr r="B936" s="11"/>
        <tr r="E41" s="3"/>
        <tr r="E41" s="3"/>
        <tr r="E41" s="3"/>
        <tr r="E930" s="11"/>
        <tr r="D34" s="3"/>
        <tr r="D34" s="3"/>
        <tr r="D34" s="3"/>
        <tr r="K14" s="8"/>
        <tr r="K14" s="8"/>
        <tr r="K14" s="8"/>
        <tr r="Q45" s="9"/>
        <tr r="Q45" s="9"/>
        <tr r="Q45" s="9"/>
        <tr r="G17" s="8"/>
        <tr r="G17" s="8"/>
        <tr r="G17" s="8"/>
        <tr r="F64" s="11"/>
        <tr r="J778" s="11"/>
        <tr r="Q26" s="8"/>
        <tr r="Q26" s="8"/>
        <tr r="Q26" s="8"/>
        <tr r="J963" s="11"/>
        <tr r="J8" s="10"/>
        <tr r="J8" s="10"/>
        <tr r="J8" s="10"/>
        <tr r="Q41" s="9"/>
        <tr r="Q41" s="9"/>
        <tr r="Q41" s="9"/>
        <tr r="D37" s="8"/>
        <tr r="D37" s="8"/>
        <tr r="D37" s="8"/>
        <tr r="N46" s="8"/>
        <tr r="N46" s="8"/>
        <tr r="N46" s="8"/>
        <tr r="G154" s="11"/>
        <tr r="K12" s="8"/>
        <tr r="K12" s="8"/>
        <tr r="K12" s="8"/>
        <tr r="D31" s="10"/>
        <tr r="D31" s="10"/>
        <tr r="D31" s="10"/>
        <tr r="Q22" s="10"/>
        <tr r="Q22" s="10"/>
        <tr r="Q22" s="10"/>
        <tr r="J11" s="8"/>
        <tr r="J11" s="8"/>
        <tr r="J11" s="8"/>
        <tr r="E1270" s="11"/>
        <tr r="I1259" s="11"/>
        <tr r="G1256" s="11"/>
        <tr r="I1190" s="11"/>
        <tr r="F705" s="11"/>
        <tr r="I983" s="11"/>
        <tr r="F1079" s="11"/>
        <tr r="D39" s="8"/>
        <tr r="D39" s="8"/>
        <tr r="D39" s="8"/>
        <tr r="G13" s="10"/>
        <tr r="G13" s="10"/>
        <tr r="G13" s="10"/>
        <tr r="M27" s="8"/>
        <tr r="M27" s="8"/>
        <tr r="M27" s="8"/>
        <tr r="F25" s="11"/>
        <tr r="H26" s="3"/>
        <tr r="H26" s="3"/>
        <tr r="H26" s="3"/>
        <tr r="T10" s="9"/>
        <tr r="T10" s="9"/>
        <tr r="T10" s="9"/>
        <tr r="C1261" s="11"/>
        <tr r="G72" s="11"/>
        <tr r="J28" s="3"/>
        <tr r="J28" s="3"/>
        <tr r="J28" s="3"/>
        <tr r="D9" s="10"/>
        <tr r="D9" s="10"/>
        <tr r="D9" s="10"/>
        <tr r="N22" s="10"/>
        <tr r="N22" s="10"/>
        <tr r="N22" s="10"/>
        <tr r="G65" s="11"/>
        <tr r="H11" s="9"/>
        <tr r="H11" s="9"/>
        <tr r="H11" s="9"/>
        <tr r="J29" s="10"/>
        <tr r="J29" s="10"/>
        <tr r="J29" s="10"/>
        <tr r="K42" s="10"/>
        <tr r="K42" s="10"/>
        <tr r="K42" s="10"/>
        <tr r="H50" s="10"/>
        <tr r="H50" s="10"/>
        <tr r="H50" s="10"/>
        <tr r="G27" s="10"/>
        <tr r="G27" s="10"/>
        <tr r="G27" s="10"/>
        <tr r="F83" s="11"/>
        <tr r="N30" s="9"/>
        <tr r="N30" s="9"/>
        <tr r="N30" s="9"/>
        <tr r="K23" s="10"/>
        <tr r="K23" s="10"/>
        <tr r="K23" s="10"/>
        <tr r="J43" s="3"/>
        <tr r="J43" s="3"/>
        <tr r="J43" s="3"/>
        <tr r="B73" s="11"/>
        <tr r="Q38" s="10"/>
        <tr r="Q38" s="10"/>
        <tr r="Q38" s="10"/>
        <tr r="N36" s="10"/>
        <tr r="N36" s="10"/>
        <tr r="N36" s="10"/>
        <tr r="G20" s="10"/>
        <tr r="G20" s="10"/>
        <tr r="G20" s="10"/>
        <tr r="J45" s="8"/>
        <tr r="J45" s="8"/>
        <tr r="J45" s="8"/>
        <tr r="H140" s="11"/>
        <tr r="C56" s="11"/>
        <tr r="G87" s="11"/>
        <tr r="K211" s="11"/>
        <tr r="G125" s="11"/>
        <tr r="C41" s="1"/>
        <tr r="C41" s="1"/>
        <tr r="H95" s="11"/>
        <tr r="F184" s="11"/>
        <tr r="K79" s="11"/>
        <tr r="E63" s="1"/>
        <tr r="E63" s="1"/>
        <tr r="G38" s="1"/>
        <tr r="G38" s="1"/>
        <tr r="E1060" s="11"/>
        <tr r="J545" s="11"/>
        <tr r="C645" s="11"/>
        <tr r="D544" s="11"/>
        <tr r="F643" s="11"/>
        <tr r="I676" s="11"/>
        <tr r="E829" s="11"/>
        <tr r="F769" s="11"/>
        <tr r="E1070" s="11"/>
        <tr r="J684" s="11"/>
        <tr r="E846" s="11"/>
        <tr r="L685" s="11"/>
        <tr r="E847" s="11"/>
        <tr r="B938" s="11"/>
        <tr r="J1119" s="11"/>
        <tr r="B965" s="11"/>
        <tr r="G1081" s="11"/>
        <tr r="I735" s="11"/>
        <tr r="I1089" s="11"/>
        <tr r="I736" s="11"/>
        <tr r="C1100" s="11"/>
        <tr r="E1093" s="11"/>
        <tr r="B1005" s="11"/>
        <tr r="E1282" s="11"/>
        <tr r="M24" s="10"/>
        <tr r="M24" s="10"/>
        <tr r="M24" s="10"/>
        <tr r="F979" s="11"/>
        <tr r="F983" s="11"/>
        <tr r="I977" s="11"/>
        <tr r="K37" s="10"/>
        <tr r="K37" s="10"/>
        <tr r="K37" s="10"/>
        <tr r="H11" s="10"/>
        <tr r="H11" s="10"/>
        <tr r="H11" s="10"/>
        <tr r="F873" s="11"/>
        <tr r="I1101" s="11"/>
        <tr r="C1286" s="11"/>
        <tr r="F573" s="11"/>
        <tr r="H697" s="11"/>
        <tr r="K572" s="11"/>
        <tr r="F691" s="11"/>
        <tr r="F698" s="11"/>
        <tr r="I878" s="11"/>
        <tr r="E1153" s="11"/>
        <tr r="G39" s="3"/>
        <tr r="G39" s="3"/>
        <tr r="G39" s="3"/>
        <tr r="K693" s="11"/>
        <tr r="J866" s="11"/>
        <tr r="B693" s="11"/>
        <tr r="J867" s="11"/>
        <tr r="B956" s="11"/>
        <tr r="F1137" s="11"/>
        <tr r="J991" s="11"/>
        <tr r="I1133" s="11"/>
        <tr r="E754" s="11"/>
        <tr r="B1147" s="11"/>
        <tr r="E755" s="11"/>
        <tr r="E1209" s="11"/>
        <tr r="E1109" s="11"/>
        <tr r="E1043" s="11"/>
        <tr r="B685" s="11"/>
        <tr r="E967" s="11"/>
        <tr r="B1065" s="11"/>
        <tr r="G1068" s="11"/>
        <tr r="B1064" s="11"/>
        <tr r="P43" s="8"/>
        <tr r="P43" s="8"/>
        <tr r="P43" s="8"/>
        <tr r="M10" s="8"/>
        <tr r="M10" s="8"/>
        <tr r="M10" s="8"/>
        <tr r="I894" s="11"/>
        <tr r="B665" s="11"/>
        <tr r="B919" s="11"/>
        <tr r="E580" s="11"/>
        <tr r="I733" s="11"/>
        <tr r="J579" s="11"/>
        <tr r="I721" s="11"/>
        <tr r="E705" s="11"/>
        <tr r="B909" s="11"/>
        <tr r="L673" s="11"/>
        <tr r="J999" s="11"/>
        <tr r="B1133" s="11"/>
        <tr r="L718" s="11"/>
        <tr r="I1014" s="11"/>
        <tr r="C718" s="11"/>
        <tr r="I1018" s="11"/>
        <tr r="E1010" s="11"/>
        <tr r="E1218" s="11"/>
        <tr r="F1070" s="11"/>
        <tr r="J23" s="3"/>
        <tr r="J23" s="3"/>
        <tr r="J23" s="3"/>
        <tr r="F809" s="11"/>
        <tr r="E667" s="11"/>
        <tr r="F810" s="11"/>
        <tr r="I929" s="11"/>
        <tr r="B1176" s="11"/>
        <tr r="J1127" s="11"/>
        <tr r="F862" s="11"/>
        <tr r="G1117" s="11"/>
        <tr r="I1217" s="11"/>
        <tr r="E1230" s="11"/>
        <tr r="I1213" s="11"/>
        <tr r="M47" s="8"/>
        <tr r="M47" s="8"/>
        <tr r="M47" s="8"/>
        <tr r="K8" s="9"/>
        <tr r="K8" s="9"/>
        <tr r="K8" s="9"/>
        <tr r="B976" s="11"/>
        <tr r="F1157" s="11"/>
        <tr r="F1018" s="11"/>
        <tr r="H6" s="3"/>
        <tr r="H6" s="3"/>
        <tr r="H6" s="3"/>
        <tr r="F781" s="11"/>
        <tr r="S9" s="9"/>
        <tr r="S9" s="9"/>
        <tr r="S9" s="9"/>
        <tr r="F782" s="11"/>
        <tr r="E872" s="11"/>
        <tr r="J1078" s="11"/>
        <tr r="F896" s="11"/>
        <tr r="B1181" s="11"/>
        <tr r="F966" s="11"/>
        <tr r="J1147" s="11"/>
        <tr r="E988" s="11"/>
        <tr r="I1169" s="11"/>
        <tr r="D41" s="10"/>
        <tr r="D41" s="10"/>
        <tr r="D41" s="10"/>
        <tr r="J1151" s="11"/>
        <tr r="E992" s="11"/>
        <tr r="I1173" s="11"/>
        <tr r="G7" s="9"/>
        <tr r="G7" s="9"/>
        <tr r="G7" s="9"/>
        <tr r="B1145" s="11"/>
        <tr r="F987" s="11"/>
        <tr r="J1168" s="11"/>
        <tr r="D25" s="10"/>
        <tr r="D25" s="10"/>
        <tr r="D25" s="10"/>
        <tr r="J40" s="3"/>
        <tr r="J40" s="3"/>
        <tr r="J40" s="3"/>
        <tr r="G41" s="9"/>
        <tr r="G41" s="9"/>
        <tr r="G41" s="9"/>
        <tr r="D10" s="8"/>
        <tr r="D10" s="8"/>
        <tr r="D10" s="8"/>
        <tr r="P21" s="8"/>
        <tr r="P21" s="8"/>
        <tr r="P21" s="8"/>
        <tr r="K24" s="3"/>
        <tr r="K24" s="3"/>
        <tr r="K24" s="3"/>
        <tr r="H15" s="9"/>
        <tr r="H15" s="9"/>
        <tr r="H15" s="9"/>
        <tr r="L115" s="11"/>
        <tr r="B145" s="11"/>
        <tr r="J19" s="8"/>
        <tr r="J19" s="8"/>
        <tr r="J19" s="8"/>
        <tr r="E838" s="11"/>
        <tr r="G681" s="11"/>
        <tr r="E839" s="11"/>
        <tr r="B930" s="11"/>
        <tr r="J1114" s="11"/>
        <tr r="J955" s="11"/>
        <tr r="G1061" s="11"/>
        <tr r="E1023" s="11"/>
        <tr r="E1262" s="11"/>
        <tr r="J700" s="11"/>
        <tr r="F884" s="11"/>
        <tr r="L701" s="11"/>
        <tr r="B885" s="11"/>
        <tr r="B972" s="11"/>
        <tr r="F1153" s="11"/>
        <tr r="I1012" s="11"/>
        <tr r="E1256" s="11"/>
        <tr r="E770" s="11"/>
        <tr r="C1276" s="11"/>
        <tr r="E771" s="11"/>
        <tr r="B878" s="11"/>
        <tr r="F1125" s="11"/>
        <tr r="K1071" s="11"/>
        <tr r="I714" s="11"/>
        <tr r="K1064" s="11"/>
        <tr r="B1105" s="11"/>
        <tr r="G1108" s="11"/>
        <tr r="B1104" s="11"/>
        <tr r="C1269" s="11"/>
        <tr r="N10" s="8"/>
        <tr r="N10" s="8"/>
        <tr r="N10" s="8"/>
        <tr r="F939" s="11"/>
        <tr r="E1119" s="11"/>
        <tr r="J967" s="11"/>
        <tr r="G1083" s="11"/>
        <tr r="E742" s="11"/>
        <tr r="I1107" s="11"/>
        <tr r="E743" s="11"/>
        <tr r="C1110" s="11"/>
        <tr r="I1041" s="11"/>
        <tr r="G1291" s="11"/>
        <tr r="K1093" s="11"/>
        <tr r="E32" s="10"/>
        <tr r="E32" s="10"/>
        <tr r="E32" s="10"/>
        <tr r="F1113" s="11"/>
        <tr r="I951" s="11"/>
        <tr r="F1131" s="11"/>
        <tr r="H18" s="8"/>
        <tr r="H18" s="8"/>
        <tr r="H18" s="8"/>
        <tr r="K1116" s="11"/>
        <tr r="B954" s="11"/>
        <tr r="F1135" s="11"/>
        <tr r="D41" s="8"/>
        <tr r="D41" s="8"/>
        <tr r="D41" s="8"/>
        <tr r="F1112" s="11"/>
        <tr r="J950" s="11"/>
        <tr r="I1129" s="11"/>
        <tr r="J7" s="8"/>
        <tr r="J7" s="8"/>
        <tr r="J7" s="8"/>
        <tr r="I1232" s="11"/>
        <tr r="P10" s="8"/>
        <tr r="P10" s="8"/>
        <tr r="P10" s="8"/>
        <tr r="H24" s="3"/>
        <tr r="H24" s="3"/>
        <tr r="H24" s="3"/>
        <tr r="H34" s="9"/>
        <tr r="H34" s="9"/>
        <tr r="H34" s="9"/>
        <tr r="P16" s="8"/>
        <tr r="P16" s="8"/>
        <tr r="P16" s="8"/>
        <tr r="N41" s="10"/>
        <tr r="N41" s="10"/>
        <tr r="N41" s="10"/>
        <tr r="J40" s="8"/>
        <tr r="J40" s="8"/>
        <tr r="J40" s="8"/>
        <tr r="B34" s="11"/>
        <tr r="I1290" s="11"/>
        <tr r="B800" s="11"/>
        <tr r="E663" s="11"/>
        <tr r="B801" s="11"/>
        <tr r="J892" s="11"/>
        <tr r="J1090" s="11"/>
        <tr r="B915" s="11"/>
        <tr r="B896" s="11"/>
        <tr r="B985" s="11"/>
        <tr r="F1166" s="11"/>
        <tr r="I843" s="11"/>
        <tr r="J683" s="11"/>
        <tr r="I844" s="11"/>
        <tr r="F935" s="11"/>
        <tr r="J1117" s="11"/>
        <tr r="B961" s="11"/>
        <tr r="G1073" s="11"/>
        <tr r="B732" s="11"/>
        <tr r="I1081" s="11"/>
        <tr r="B733" s="11"/>
        <tr r="C1092" s="11"/>
        <tr r="E1091" s="11"/>
        <tr r="I996" s="11"/>
        <tr r="B1163" s="11"/>
        <tr r="E50" s="3"/>
        <tr r="E50" s="3"/>
        <tr r="E50" s="3"/>
        <tr r="B966" s="11"/>
        <tr r="B970" s="11"/>
        <tr r="E964" s="11"/>
        <tr r="P48" s="8"/>
        <tr r="P48" s="8"/>
        <tr r="P48" s="8"/>
        <tr r="G60" s="11"/>
        <tr r="E900" s="11"/>
        <tr r="E1095" s="11"/>
        <tr r="F924" s="11"/>
        <tr r="I931" s="11"/>
        <tr r="E712" s="11"/>
        <tr r="E969" s="11"/>
        <tr r="G713" s="11"/>
        <tr r="E973" s="11"/>
        <tr r="I999" s="11"/>
        <tr r="B1180" s="11"/>
        <tr r="K1061" s="11"/>
        <tr r="G23" s="3"/>
        <tr r="G23" s="3"/>
        <tr r="G23" s="3"/>
        <tr r="F1089" s="11"/>
        <tr r="F913" s="11"/>
        <tr r="B1103" s="11"/>
        <tr r="G9" s="3"/>
        <tr r="G9" s="3"/>
        <tr r="G9" s="3"/>
        <tr r="B114" s="11"/>
        <tr r="F917" s="11"/>
        <tr r="G1106" s="11"/>
        <tr r="G16" s="3"/>
        <tr r="G16" s="3"/>
        <tr r="G16" s="3"/>
        <tr r="E47" s="10"/>
        <tr r="E47" s="10"/>
        <tr r="E47" s="10"/>
        <tr r="I911" s="11"/>
        <tr r="B1102" s="11"/>
        <tr r="G7" s="3"/>
        <tr r="G7" s="3"/>
        <tr r="G7" s="3"/>
        <tr r="M37" s="9"/>
        <tr r="M37" s="9"/>
        <tr r="M37" s="9"/>
        <tr r="G37" s="3"/>
        <tr r="G37" s="3"/>
        <tr r="G37" s="3"/>
        <tr r="K1263" s="11"/>
        <tr r="N27" s="10"/>
        <tr r="N27" s="10"/>
        <tr r="N27" s="10"/>
        <tr r="K39" s="9"/>
        <tr r="K39" s="9"/>
        <tr r="K39" s="9"/>
        <tr r="K32" s="10"/>
        <tr r="K32" s="10"/>
        <tr r="K32" s="10"/>
        <tr r="F108" s="11"/>
        <tr r="J44" s="10"/>
        <tr r="J44" s="10"/>
        <tr r="J44" s="10"/>
        <tr r="E1136" s="11"/>
        <tr r="J762" s="11"/>
        <tr r="F1176" s="11"/>
        <tr r="J763" s="11"/>
        <tr r="F1180" s="11"/>
        <tr r="J1066" s="11"/>
        <tr r="E27" s="8"/>
        <tr r="E27" s="8"/>
        <tr r="E27" s="8"/>
        <tr r="K1111" s="11"/>
        <tr r="F948" s="11"/>
        <tr r="E1127" s="11"/>
        <tr r="G1281" s="11"/>
        <tr r="F805" s="11"/>
        <tr r="H666" s="11"/>
        <tr r="F806" s="11"/>
        <tr r="E896" s="11"/>
        <tr r="J1093" s="11"/>
        <tr r="F920" s="11"/>
        <tr r="I915" s="11"/>
        <tr r="D708" s="11"/>
        <tr r="B929" s="11"/>
        <tr r="F708" s="11"/>
        <tr r="B933" s="11"/>
        <tr r="E1059" s="11"/>
        <tr r="E933" s="11"/>
        <tr r="J810" s="11"/>
        <tr r="J1096" s="11"/>
        <tr r="E1175" s="11"/>
        <tr r="E1179" s="11"/>
        <tr r="F1174" s="11"/>
        <tr r="I1195" s="11"/>
        <tr r="E24" s="8"/>
        <tr r="E24" s="8"/>
        <tr r="E24" s="8"/>
        <tr r="C1284" s="11"/>
        <tr r="E1071" s="11"/>
        <tr r="M41" s="8"/>
        <tr r="M41" s="8"/>
        <tr r="M41" s="8"/>
        <tr r="E1139" s="11"/>
        <tr r="C695" s="11"/>
        <tr r="J870" s="11"/>
        <tr r="E695" s="11"/>
        <tr r="J871" s="11"/>
        <tr r="F961" s="11"/>
        <tr r="J1142" s="11"/>
        <tr r="B997" s="11"/>
        <tr r="E1152" s="11"/>
        <tr r="F1065" s="11"/>
        <tr r="K16" s="8"/>
        <tr r="K16" s="8"/>
        <tr r="K16" s="8"/>
        <tr r="B1079" s="11"/>
        <tr r="E1248" s="11"/>
        <tr r="N45" s="10"/>
        <tr r="N45" s="10"/>
        <tr r="N45" s="10"/>
        <tr r="H13" s="8"/>
        <tr r="H13" s="8"/>
        <tr r="H13" s="8"/>
        <tr r="G1082" s="11"/>
        <tr r="I1254" s="11"/>
        <tr r="E14" s="9"/>
        <tr r="E14" s="9"/>
        <tr r="E14" s="9"/>
        <tr r="B924" s="11"/>
        <tr r="B1110" s="11"/>
        <tr r="G26" s="3"/>
        <tr r="G26" s="3"/>
        <tr r="G26" s="3"/>
        <tr r="N21" s="9"/>
        <tr r="N21" s="9"/>
        <tr r="N21" s="9"/>
        <tr r="D48" s="3"/>
        <tr r="D48" s="3"/>
        <tr r="D48" s="3"/>
        <tr r="G1282" s="11"/>
        <tr r="E41" s="10"/>
        <tr r="E41" s="10"/>
        <tr r="E41" s="10"/>
        <tr r="B141" s="11"/>
        <tr r="D24" s="8"/>
        <tr r="D24" s="8"/>
        <tr r="D24" s="8"/>
        <tr r="K12" s="9"/>
        <tr r="K12" s="9"/>
        <tr r="K12" s="9"/>
        <tr r="F94" s="11"/>
        <tr r="K1275" s="11"/>
        <tr r="J826" s="11"/>
        <tr r="J675" s="11"/>
        <tr r="J827" s="11"/>
        <tr r="I917" s="11"/>
        <tr r="J1106" s="11"/>
        <tr r="J941" s="11"/>
        <tr r="I997" s="11"/>
        <tr r="J1011" s="11"/>
        <tr r="E1219" s="11"/>
        <tr r="E956" s="11"/>
        <tr r="I1137" s="11"/>
        <tr r="K19" s="10"/>
        <tr r="K19" s="10"/>
        <tr r="K19" s="10"/>
        <tr r="K1120" s="11"/>
        <tr r="E960" s="11"/>
        <tr r="I1141" s="11"/>
        <tr r="E16" s="9"/>
        <tr r="E16" s="9"/>
        <tr r="E16" s="9"/>
        <tr r="F1116" s="11"/>
        <tr r="F955" s="11"/>
        <tr r="J1136" s="11"/>
        <tr r="N7" s="10"/>
        <tr r="N7" s="10"/>
        <tr r="N7" s="10"/>
        <tr r="G1255" s="11"/>
        <tr r="H24" s="8"/>
        <tr r="H24" s="8"/>
        <tr r="H24" s="8"/>
        <tr r="K34" s="3"/>
        <tr r="K34" s="3"/>
        <tr r="K34" s="3"/>
        <tr r="M46" s="9"/>
        <tr r="M46" s="9"/>
        <tr r="M46" s="9"/>
        <tr r="N34" s="8"/>
        <tr r="N34" s="8"/>
        <tr r="N34" s="8"/>
        <tr r="G20" s="9"/>
        <tr r="G20" s="9"/>
        <tr r="G20" s="9"/>
        <tr r="G29" s="10"/>
        <tr r="G29" s="10"/>
        <tr r="G29" s="10"/>
        <tr r="J47" s="3"/>
        <tr r="J47" s="3"/>
        <tr r="J47" s="3"/>
        <tr r="G19" s="3"/>
        <tr r="G19" s="3"/>
        <tr r="G19" s="3"/>
        <tr r="I803" s="11"/>
        <tr r="G665" s="11"/>
        <tr r="I804" s="11"/>
        <tr r="F895" s="11"/>
        <tr r="J1092" s="11"/>
        <tr r="I918" s="11"/>
        <tr r="F909" s="11"/>
        <tr r="I988" s="11"/>
        <tr r="B1169" s="11"/>
        <tr r="F1011" s="11"/>
        <tr r="J1228" s="11"/>
        <tr r="K1291" s="11"/>
        <tr r="B1173" s="11"/>
        <tr r="F1015" s="11"/>
        <tr r="K1252" s="11"/>
        <tr r="D17" s="3"/>
        <tr r="D17" s="3"/>
        <tr r="D17" s="3"/>
        <tr r="E1167" s="11"/>
        <tr r="I1009" s="11"/>
        <tr r="E1220" s="11"/>
        <tr r="I1284" s="11"/>
        <tr r="D39" s="9"/>
        <tr r="D39" s="9"/>
        <tr r="D39" s="9"/>
        <tr r="J36" s="3"/>
        <tr r="J36" s="3"/>
        <tr r="J36" s="3"/>
        <tr r="K22" s="10"/>
        <tr r="K22" s="10"/>
        <tr r="K22" s="10"/>
        <tr r="P11" s="10"/>
        <tr r="P11" s="10"/>
        <tr r="P11" s="10"/>
        <tr r="K5" s="8"/>
        <tr r="K5" s="8"/>
        <tr r="K5" s="8"/>
        <tr r="F196" s="11"/>
        <tr r="K23" s="3"/>
        <tr r="K23" s="3"/>
        <tr r="K23" s="3"/>
        <tr r="H215" s="11"/>
        <tr r="I1228" s="11"/>
        <tr r="J48" s="8"/>
        <tr r="J48" s="8"/>
        <tr r="J48" s="8"/>
        <tr r="F156" s="11"/>
        <tr r="H30" s="3"/>
        <tr r="H30" s="3"/>
        <tr r="H30" s="3"/>
        <tr r="H31" s="3"/>
        <tr r="H31" s="3"/>
        <tr r="H31" s="3"/>
        <tr r="E39" s="10"/>
        <tr r="E39" s="10"/>
        <tr r="E39" s="10"/>
        <tr r="J46" s="9"/>
        <tr r="J46" s="9"/>
        <tr r="J46" s="9"/>
        <tr r="J26" s="8"/>
        <tr r="J26" s="8"/>
        <tr r="J26" s="8"/>
        <tr r="P39" s="8"/>
        <tr r="P39" s="8"/>
        <tr r="P39" s="8"/>
        <tr r="P42" s="10"/>
        <tr r="P42" s="10"/>
        <tr r="P42" s="10"/>
        <tr r="F132" s="11"/>
        <tr r="D10" s="9"/>
        <tr r="D10" s="9"/>
        <tr r="D10" s="9"/>
        <tr r="E7" s="9"/>
        <tr r="E7" s="9"/>
        <tr r="E7" s="9"/>
        <tr r="F200" s="11"/>
        <tr r="K28" s="9"/>
        <tr r="K28" s="9"/>
        <tr r="K28" s="9"/>
        <tr r="J22" s="8"/>
        <tr r="J22" s="8"/>
        <tr r="J22" s="8"/>
        <tr r="B1075" s="11"/>
        <tr r="E1228" s="11"/>
        <tr r="E24" s="10"/>
        <tr r="E24" s="10"/>
        <tr r="E24" s="10"/>
        <tr r="K45" s="3"/>
        <tr r="K45" s="3"/>
        <tr r="K45" s="3"/>
        <tr r="G1078" s="11"/>
        <tr r="E1240" s="11"/>
        <tr r="N37" s="10"/>
        <tr r="N37" s="10"/>
        <tr r="N37" s="10"/>
        <tr r="J24" s="3"/>
        <tr r="J24" s="3"/>
        <tr r="J24" s="3"/>
        <tr r="B1074" s="11"/>
        <tr r="I1223" s="11"/>
        <tr r="E19" s="10"/>
        <tr r="E19" s="10"/>
        <tr r="E19" s="10"/>
        <tr r="E1281" s="11"/>
        <tr r="E6" s="9"/>
        <tr r="E6" s="9"/>
        <tr r="E6" s="9"/>
        <tr r="J15" s="8"/>
        <tr r="J15" s="8"/>
        <tr r="J15" s="8"/>
        <tr r="S48" s="9"/>
        <tr r="S48" s="9"/>
        <tr r="S48" s="9"/>
        <tr r="I1276" s="11"/>
        <tr r="I1192" s="11"/>
        <tr r="F135" s="11"/>
        <tr r="E968" s="11"/>
        <tr r="K717" s="11"/>
        <tr r="F1008" s="11"/>
        <tr r="B717" s="11"/>
        <tr r="F1012" s="11"/>
        <tr r="F1009" s="11"/>
        <tr r="E1210" s="11"/>
        <tr r="K1069" s="11"/>
        <tr r="K43" s="10"/>
        <tr r="K43" s="10"/>
        <tr r="K43" s="10"/>
        <tr r="F1095" s="11"/>
        <tr r="E922" s="11"/>
        <tr r="B1109" s="11"/>
        <tr r="H23" s="3"/>
        <tr r="H23" s="3"/>
        <tr r="H23" s="3"/>
        <tr r="S8" s="9"/>
        <tr r="S8" s="9"/>
        <tr r="S8" s="9"/>
        <tr r="E926" s="11"/>
        <tr r="G1112" s="11"/>
        <tr r="G29" s="3"/>
        <tr r="G29" s="3"/>
        <tr r="G29" s="3"/>
        <tr r="E36" s="9"/>
        <tr r="E36" s="9"/>
        <tr r="E36" s="9"/>
        <tr r="F921" s="11"/>
        <tr r="B1108" s="11"/>
        <tr r="J22" s="3"/>
        <tr r="J22" s="3"/>
        <tr r="J22" s="3"/>
        <tr r="Q45" s="10"/>
        <tr r="Q45" s="10"/>
        <tr r="Q45" s="10"/>
        <tr r="E45" s="3"/>
        <tr r="E45" s="3"/>
        <tr r="E45" s="3"/>
        <tr r="E1275" s="11"/>
        <tr r="E38" s="10"/>
        <tr r="E38" s="10"/>
        <tr r="E38" s="10"/>
        <tr r="B132" s="11"/>
        <tr r="H7" s="8"/>
        <tr r="H7" s="8"/>
        <tr r="H7" s="8"/>
        <tr r="G13" s="8"/>
        <tr r="G13" s="8"/>
        <tr r="G13" s="8"/>
        <tr r="G31" s="10"/>
        <tr r="G31" s="10"/>
        <tr r="G31" s="10"/>
        <tr r="D43" s="10"/>
        <tr r="D43" s="10"/>
        <tr r="D43" s="10"/>
        <tr r="H41" s="8"/>
        <tr r="H41" s="8"/>
        <tr r="H41" s="8"/>
        <tr r="M22" s="10"/>
        <tr r="M22" s="10"/>
        <tr r="M22" s="10"/>
        <tr r="D43" s="3"/>
        <tr r="D43" s="3"/>
        <tr r="D43" s="3"/>
        <tr r="B136" s="11"/>
        <tr r="K34" s="10"/>
        <tr r="K34" s="10"/>
        <tr r="K34" s="10"/>
        <tr r="D38" s="8"/>
        <tr r="D38" s="8"/>
        <tr r="D38" s="8"/>
        <tr r="B104" s="11"/>
        <tr r="E23" s="10"/>
        <tr r="E23" s="10"/>
        <tr r="E23" s="10"/>
        <tr r="I1033" s="11"/>
        <tr r="P44" s="8"/>
        <tr r="P44" s="8"/>
        <tr r="P44" s="8"/>
        <tr r="I1040" s="11"/>
        <tr r="K20" s="10"/>
        <tr r="K20" s="10"/>
        <tr r="K20" s="10"/>
        <tr r="J1032" s="11"/>
        <tr r="P24" s="8"/>
        <tr r="P24" s="8"/>
        <tr r="P24" s="8"/>
        <tr r="Q9" s="8"/>
        <tr r="Q9" s="8"/>
        <tr r="Q9" s="8"/>
        <tr r="S35" s="9"/>
        <tr r="S35" s="9"/>
        <tr r="S35" s="9"/>
        <tr r="K17" s="10"/>
        <tr r="K17" s="10"/>
        <tr r="K17" s="10"/>
        <tr r="F1178" s="11"/>
        <tr r="J882" s="11"/>
        <tr r="J1076" s="11"/>
        <tr r="E1143" s="11"/>
        <tr r="E1147" s="11"/>
        <tr r="F1142" s="11"/>
        <tr r="G28" s="3"/>
        <tr r="G28" s="3"/>
        <tr r="G28" s="3"/>
        <tr r="H21" s="3"/>
        <tr r="H21" s="3"/>
        <tr r="H21" s="3"/>
        <tr r="D42" s="9"/>
        <tr r="D42" s="9"/>
        <tr r="D42" s="9"/>
        <tr r="H37" s="8"/>
        <tr r="H37" s="8"/>
        <tr r="H37" s="8"/>
        <tr r="G19" s="10"/>
        <tr r="G19" s="10"/>
        <tr r="G19" s="10"/>
        <tr r="H27" s="9"/>
        <tr r="H27" s="9"/>
        <tr r="H27" s="9"/>
        <tr r="J1059" s="11"/>
        <tr r="G1062" s="11"/>
        <tr r="K1058" s="11"/>
        <tr r="G24" s="8"/>
        <tr r="G24" s="8"/>
        <tr r="G24" s="8"/>
        <tr r="G38" s="3"/>
        <tr r="G38" s="3"/>
        <tr r="G38" s="3"/>
        <tr r="J907" s="11"/>
        <tr r="B1164" s="11"/>
        <tr r="F897" s="11"/>
        <tr r="F901" s="11"/>
        <tr r="I895" s="11"/>
        <tr r="D21" s="3"/>
        <tr r="D21" s="3"/>
        <tr r="D21" s="3"/>
        <tr r="E46" s="3"/>
        <tr r="E46" s="3"/>
        <tr r="E46" s="3"/>
        <tr r="E40" s="3"/>
        <tr r="E40" s="3"/>
        <tr r="E40" s="3"/>
        <tr r="D5" s="8"/>
        <tr r="D5" s="8"/>
        <tr r="D5" s="8"/>
        <tr r="E29" s="10"/>
        <tr r="E29" s="10"/>
        <tr r="E29" s="10"/>
        <tr r="H8" s="8"/>
        <tr r="H8" s="8"/>
        <tr r="H8" s="8"/>
        <tr r="T27" s="9"/>
        <tr r="T27" s="9"/>
        <tr r="T27" s="9"/>
        <tr r="K25" s="10"/>
        <tr r="K25" s="10"/>
        <tr r="K25" s="10"/>
        <tr r="B67" s="11"/>
        <tr r="Q14" s="8"/>
        <tr r="Q14" s="8"/>
        <tr r="Q14" s="8"/>
        <tr r="E1239" s="11"/>
        <tr r="F170" s="11"/>
        <tr r="G30" s="8"/>
        <tr r="G30" s="8"/>
        <tr r="G30" s="8"/>
        <tr r="K97" s="11"/>
        <tr r="J29" s="8"/>
        <tr r="J29" s="8"/>
        <tr r="J29" s="8"/>
        <tr r="J22" s="9"/>
        <tr r="J22" s="9"/>
        <tr r="J22" s="9"/>
        <tr r="B109" s="11"/>
        <tr r="E1279" s="11"/>
        <tr r="D17" s="8"/>
        <tr r="D17" s="8"/>
        <tr r="D17" s="8"/>
        <tr r="F145" s="11"/>
        <tr r="E39" s="3"/>
        <tr r="E39" s="3"/>
        <tr r="E39" s="3"/>
        <tr r="Q36" s="8"/>
        <tr r="Q36" s="8"/>
        <tr r="Q36" s="8"/>
        <tr r="J27" s="8"/>
        <tr r="J27" s="8"/>
        <tr r="J27" s="8"/>
        <tr r="P50" s="9"/>
        <tr r="P50" s="9"/>
        <tr r="P50" s="9"/>
        <tr r="K14" s="3"/>
        <tr r="K14" s="3"/>
        <tr r="K14" s="3"/>
        <tr r="F42" s="11"/>
        <tr r="C133" s="11"/>
        <tr r="N38" s="9"/>
        <tr r="N38" s="9"/>
        <tr r="N38" s="9"/>
        <tr r="Q29" s="9"/>
        <tr r="Q29" s="9"/>
        <tr r="Q29" s="9"/>
        <tr r="Q36" s="10"/>
        <tr r="Q36" s="10"/>
        <tr r="Q36" s="10"/>
        <tr r="M44" s="10"/>
        <tr r="M44" s="10"/>
        <tr r="M44" s="10"/>
        <tr r="K36" s="11"/>
        <tr r="F118" s="11"/>
        <tr r="H98" s="11"/>
        <tr r="G148" s="11"/>
        <tr r="P16" s="10"/>
        <tr r="P16" s="10"/>
        <tr r="P16" s="10"/>
        <tr r="K31" s="10"/>
        <tr r="K31" s="10"/>
        <tr r="K31" s="10"/>
        <tr r="K1283" s="11"/>
        <tr r="G17" s="10"/>
        <tr r="G17" s="10"/>
        <tr r="G17" s="10"/>
        <tr r="Q41" s="10"/>
        <tr r="Q41" s="10"/>
        <tr r="Q41" s="10"/>
        <tr r="K46" s="3"/>
        <tr r="K46" s="3"/>
        <tr r="K46" s="3"/>
        <tr r="K50" s="3"/>
        <tr r="K50" s="3"/>
        <tr r="K50" s="3"/>
        <tr r="D23" s="8"/>
        <tr r="D23" s="8"/>
        <tr r="D23" s="8"/>
        <tr r="H40" s="9"/>
        <tr r="H40" s="9"/>
        <tr r="H40" s="9"/>
        <tr r="E26" s="9"/>
        <tr r="E26" s="9"/>
        <tr r="E26" s="9"/>
        <tr r="M47" s="10"/>
        <tr r="M47" s="10"/>
        <tr r="M47" s="10"/>
        <tr r="M39" s="9"/>
        <tr r="M39" s="9"/>
        <tr r="M39" s="9"/>
        <tr r="J9" s="8"/>
        <tr r="J9" s="8"/>
        <tr r="J9" s="8"/>
        <tr r="T26" s="9"/>
        <tr r="T26" s="9"/>
        <tr r="T26" s="9"/>
        <tr r="B982" s="11"/>
        <tr r="F1163" s="11"/>
        <tr r="G40" s="8"/>
        <tr r="G40" s="8"/>
        <tr r="G40" s="8"/>
        <tr r="I1144" s="11"/>
        <tr r="B986" s="11"/>
        <tr r="F1167" s="11"/>
        <tr r="D17" s="10"/>
        <tr r="D17" s="10"/>
        <tr r="D17" s="10"/>
        <tr r="J1139" s="11"/>
        <tr r="E980" s="11"/>
        <tr r="I1161" s="11"/>
        <tr r="D22" s="8"/>
        <tr r="D22" s="8"/>
        <tr r="D22" s="8"/>
        <tr r="H16" s="3"/>
        <tr r="H16" s="3"/>
        <tr r="H16" s="3"/>
        <tr r="K45" s="10"/>
        <tr r="K45" s="10"/>
        <tr r="K45" s="10"/>
        <tr r="G48" s="8"/>
        <tr r="G48" s="8"/>
        <tr r="G48" s="8"/>
        <tr r="Q42" s="8"/>
        <tr r="Q42" s="8"/>
        <tr r="Q42" s="8"/>
        <tr r="P45" s="9"/>
        <tr r="P45" s="9"/>
        <tr r="P45" s="9"/>
        <tr r="P22" s="10"/>
        <tr r="P22" s="10"/>
        <tr r="P22" s="10"/>
        <tr r="K29" s="11"/>
        <tr r="B100" s="11"/>
        <tr r="D36" s="3"/>
        <tr r="D36" s="3"/>
        <tr r="D36" s="3"/>
        <tr r="F829" s="11"/>
        <tr r="L677" s="11"/>
        <tr r="F830" s="11"/>
        <tr r="E920" s="11"/>
        <tr r="J1108" s="11"/>
        <tr r="F944" s="11"/>
        <tr r="B1010" s="11"/>
        <tr r="F1014" s="11"/>
        <tr r="I1235" s="11"/>
        <tr r="I1038" s="11"/>
        <tr r="K22" s="3"/>
        <tr r="K22" s="3"/>
        <tr r="K22" s="3"/>
        <tr r="K12" s="10"/>
        <tr r="K12" s="10"/>
        <tr r="K12" s="10"/>
        <tr r="I1251" s="11"/>
        <tr r="I1048" s="11"/>
        <tr r="K43" s="3"/>
        <tr r="K43" s="3"/>
        <tr r="K43" s="3"/>
        <tr r="T6" s="9"/>
        <tr r="T6" s="9"/>
        <tr r="T6" s="9"/>
        <tr r="E1227" s="11"/>
        <tr r="F1035" s="11"/>
        <tr r="H14" s="3"/>
        <tr r="H14" s="3"/>
        <tr r="H14" s="3"/>
        <tr r="Q50" s="8"/>
        <tr r="Q50" s="8"/>
        <tr r="Q50" s="8"/>
        <tr r="E1242" s="11"/>
        <tr r="H19" s="8"/>
        <tr r="H19" s="8"/>
        <tr r="H19" s="8"/>
        <tr r="G6" s="8"/>
        <tr r="G6" s="8"/>
        <tr r="G6" s="8"/>
        <tr r="G13" s="9"/>
        <tr r="G13" s="9"/>
        <tr r="G13" s="9"/>
        <tr r="P8" s="9"/>
        <tr r="P8" s="9"/>
        <tr r="P8" s="9"/>
        <tr r="Q48" s="9"/>
        <tr r="Q48" s="9"/>
        <tr r="Q48" s="9"/>
        <tr r="P46" s="8"/>
        <tr r="P46" s="8"/>
        <tr r="P46" s="8"/>
        <tr r="G20" s="8"/>
        <tr r="G20" s="8"/>
        <tr r="G20" s="8"/>
        <tr r="G1266" s="11"/>
        <tr r="E14" s="10"/>
        <tr r="E14" s="10"/>
        <tr r="E14" s="10"/>
        <tr r="F67" s="11"/>
        <tr r="D21" s="10"/>
        <tr r="D21" s="10"/>
        <tr r="D21" s="10"/>
        <tr r="B69" s="11"/>
        <tr r="M42" s="10"/>
        <tr r="M42" s="10"/>
        <tr r="M42" s="10"/>
        <tr r="P12" s="8"/>
        <tr r="P12" s="8"/>
        <tr r="P12" s="8"/>
        <tr r="E1247" s="11"/>
        <tr r="N15" s="10"/>
        <tr r="N15" s="10"/>
        <tr r="N15" s="10"/>
        <tr r="F149" s="11"/>
        <tr r="P32" s="8"/>
        <tr r="P32" s="8"/>
        <tr r="P32" s="8"/>
        <tr r="F19" s="11"/>
        <tr r="K25" s="9"/>
        <tr r="K25" s="9"/>
        <tr r="K25" s="9"/>
        <tr r="C64" s="1"/>
        <tr r="C64" s="1"/>
        <tr r="C20" s="1"/>
        <tr r="C20" s="1"/>
        <tr r="F87" s="11"/>
        <tr r="B1091" s="11"/>
        <tr r="I1274" s="11"/>
        <tr r="D8" s="8"/>
        <tr r="D8" s="8"/>
        <tr r="D8" s="8"/>
        <tr r="J898" s="11"/>
        <tr r="G1094" s="11"/>
        <tr r="G1280" s="11"/>
        <tr r="D48" s="8"/>
        <tr r="D48" s="8"/>
        <tr r="D48" s="8"/>
        <tr r="G35" s="9"/>
        <tr r="G35" s="9"/>
        <tr r="G35" s="9"/>
        <tr r="B1090" s="11"/>
        <tr r="K1273" s="11"/>
        <tr r="E40" s="8"/>
        <tr r="E40" s="8"/>
        <tr r="E40" s="8"/>
        <tr r="G18" s="3"/>
        <tr r="G18" s="3"/>
        <tr r="G18" s="3"/>
        <tr r="I1220" s="11"/>
        <tr r="G33" s="10"/>
        <tr r="G33" s="10"/>
        <tr r="G33" s="10"/>
        <tr r="Q12" s="8"/>
        <tr r="Q12" s="8"/>
        <tr r="Q12" s="8"/>
        <tr r="K38" s="3"/>
        <tr r="K38" s="3"/>
        <tr r="K38" s="3"/>
        <tr r="H38" s="3"/>
        <tr r="H38" s="3"/>
        <tr r="H38" s="3"/>
        <tr r="K57" s="11"/>
        <tr r="G1075" s="11"/>
        <tr r="I739" s="11"/>
        <tr r="I1099" s="11"/>
        <tr r="I740" s="11"/>
        <tr r="C1102" s="11"/>
        <tr r="E1034" s="11"/>
        <tr r="E1284" s="11"/>
        <tr r="F1090" s="11"/>
        <tr r="G41" s="8"/>
        <tr r="G41" s="8"/>
        <tr r="G41" s="8"/>
        <tr r="F1111" s="11"/>
        <tr r="B948" s="11"/>
        <tr r="J1128" s="11"/>
        <tr r="D9" s="8"/>
        <tr r="D9" s="8"/>
        <tr r="D9" s="8"/>
        <tr r="K1114" s="11"/>
        <tr r="B952" s="11"/>
        <tr r="J1132" s="11"/>
        <tr r="N22" s="8"/>
        <tr r="N22" s="8"/>
        <tr r="N22" s="8"/>
        <tr r="F1110" s="11"/>
        <tr r="E946" s="11"/>
        <tr r="B1126" s="11"/>
        <tr r="E25" s="8"/>
        <tr r="E25" s="8"/>
        <tr r="E25" s="8"/>
        <tr r="E1216" s="11"/>
        <tr r="G8" s="8"/>
        <tr r="G8" s="8"/>
        <tr r="G8" s="8"/>
        <tr r="G22" s="3"/>
        <tr r="G22" s="3"/>
        <tr r="G22" s="3"/>
        <tr r="N36" s="9"/>
        <tr r="N36" s="9"/>
        <tr r="N36" s="9"/>
        <tr r="E10" s="8"/>
        <tr r="E10" s="8"/>
        <tr r="E10" s="8"/>
        <tr r="E31" s="10"/>
        <tr r="E31" s="10"/>
        <tr r="E31" s="10"/>
        <tr r="B122" s="11"/>
        <tr r="Q30" s="9"/>
        <tr r="Q30" s="9"/>
        <tr r="Q30" s="9"/>
        <tr r="G14" s="8"/>
        <tr r="G14" s="8"/>
        <tr r="G14" s="8"/>
        <tr r="K46" s="10"/>
        <tr r="K46" s="10"/>
        <tr r="K46" s="10"/>
        <tr r="P13" s="8"/>
        <tr r="P13" s="8"/>
        <tr r="P13" s="8"/>
        <tr r="P26" s="8"/>
        <tr r="P26" s="8"/>
        <tr r="P26" s="8"/>
        <tr r="C1257" s="11"/>
        <tr r="G33" s="8"/>
        <tr r="G33" s="8"/>
        <tr r="G33" s="8"/>
        <tr r="H38" s="8"/>
        <tr r="H38" s="8"/>
        <tr r="H38" s="8"/>
        <tr r="D22" s="3"/>
        <tr r="D22" s="3"/>
        <tr r="D22" s="3"/>
        <tr r="D23" s="3"/>
        <tr r="D23" s="3"/>
        <tr r="D23" s="3"/>
        <tr r="B31" s="11"/>
        <tr r="N38" s="10"/>
        <tr r="N38" s="10"/>
        <tr r="N38" s="10"/>
        <tr r="T34" s="9"/>
        <tr r="T34" s="9"/>
        <tr r="T34" s="9"/>
        <tr r="J24" s="9"/>
        <tr r="J24" s="9"/>
        <tr r="J24" s="9"/>
        <tr r="E14" s="8"/>
        <tr r="E14" s="8"/>
        <tr r="E14" s="8"/>
        <tr r="H5" s="10"/>
        <tr r="H5" s="10"/>
        <tr r="H5" s="10"/>
        <tr r="T22" s="9"/>
        <tr r="T22" s="9"/>
        <tr r="T22" s="9"/>
        <tr r="D15" s="10"/>
        <tr r="D15" s="10"/>
        <tr r="D15" s="10"/>
        <tr r="F191" s="11"/>
        <tr r="G62" s="11"/>
        <tr r="J9" s="10"/>
        <tr r="J9" s="10"/>
        <tr r="J9" s="10"/>
        <tr r="B41" s="11"/>
        <tr r="H40" s="3"/>
        <tr r="H40" s="3"/>
        <tr r="H40" s="3"/>
        <tr r="D41" s="3"/>
        <tr r="D41" s="3"/>
        <tr r="D41" s="3"/>
        <tr r="D44" s="8"/>
        <tr r="D44" s="8"/>
        <tr r="D44" s="8"/>
        <tr r="J36" s="9"/>
        <tr r="J36" s="9"/>
        <tr r="J36" s="9"/>
        <tr r="B48" s="11"/>
        <tr r="J20" s="10"/>
        <tr r="J20" s="10"/>
        <tr r="J20" s="10"/>
        <tr r="B143" s="11"/>
        <tr r="H44" s="11"/>
        <tr r="P29" s="9"/>
        <tr r="P29" s="9"/>
        <tr r="P29" s="9"/>
        <tr r="H33" s="8"/>
        <tr r="H33" s="8"/>
        <tr r="H33" s="8"/>
        <tr r="K48" s="10"/>
        <tr r="K48" s="10"/>
        <tr r="K48" s="10"/>
        <tr r="M6" s="10"/>
        <tr r="M6" s="10"/>
        <tr r="M6" s="10"/>
        <tr r="E9" s="3"/>
        <tr r="E9" s="3"/>
        <tr r="E9" s="3"/>
        <tr r="J10" s="9"/>
        <tr r="J10" s="9"/>
        <tr r="J10" s="9"/>
        <tr r="N34" s="10"/>
        <tr r="N34" s="10"/>
        <tr r="N34" s="10"/>
        <tr r="F59" s="11"/>
        <tr r="E19" s="9"/>
        <tr r="E19" s="9"/>
        <tr r="E19" s="9"/>
        <tr r="B126" s="11"/>
        <tr r="H59" s="11"/>
        <tr r="J44" s="8"/>
        <tr r="J44" s="8"/>
        <tr r="J44" s="8"/>
        <tr r="E40" s="9"/>
        <tr r="E40" s="9"/>
        <tr r="E40" s="9"/>
        <tr r="G10" s="9"/>
        <tr r="G10" s="9"/>
        <tr r="G10" s="9"/>
        <tr r="H12" s="9"/>
        <tr r="H12" s="9"/>
        <tr r="H12" s="9"/>
        <tr r="F127" s="11"/>
        <tr r="G23" s="10"/>
        <tr r="G23" s="10"/>
        <tr r="G23" s="10"/>
        <tr r="J33" s="8"/>
        <tr r="J33" s="8"/>
        <tr r="J33" s="8"/>
        <tr r="S42" s="9"/>
        <tr r="S42" s="9"/>
        <tr r="S42" s="9"/>
        <tr r="C184" s="11"/>
        <tr r="J22" s="10"/>
        <tr r="J22" s="10"/>
        <tr r="J22" s="10"/>
        <tr r="F23" s="11"/>
        <tr r="K29" s="9"/>
        <tr r="K29" s="9"/>
        <tr r="K29" s="9"/>
        <tr r="H35" s="9"/>
        <tr r="H35" s="9"/>
        <tr r="H35" s="9"/>
        <tr r="H205" s="11"/>
        <tr r="G40" s="9"/>
        <tr r="G40" s="9"/>
        <tr r="G40" s="9"/>
        <tr r="J42" s="8"/>
        <tr r="J42" s="8"/>
        <tr r="J42" s="8"/>
        <tr r="M16" s="10"/>
        <tr r="M16" s="10"/>
        <tr r="M16" s="10"/>
        <tr r="D6" s="10"/>
        <tr r="D6" s="10"/>
        <tr r="D6" s="10"/>
        <tr r="C51" s="11"/>
        <tr r="G47" s="11"/>
        <tr r="K40" s="3"/>
        <tr r="K40" s="3"/>
        <tr r="K40" s="3"/>
        <tr r="G41" s="3"/>
        <tr r="G41" s="3"/>
        <tr r="G41" s="3"/>
        <tr r="M13" s="9"/>
        <tr r="M13" s="9"/>
        <tr r="M13" s="9"/>
        <tr r="J37" s="9"/>
        <tr r="J37" s="9"/>
        <tr r="J37" s="9"/>
        <tr r="S37" s="9"/>
        <tr r="S37" s="9"/>
        <tr r="S37" s="9"/>
        <tr r="G22" s="8"/>
        <tr r="G22" s="8"/>
        <tr r="G22" s="8"/>
        <tr r="B90" s="11"/>
        <tr r="T29" s="9"/>
        <tr r="T29" s="9"/>
        <tr r="T29" s="9"/>
        <tr r="E13" s="9"/>
        <tr r="E13" s="9"/>
        <tr r="E13" s="9"/>
        <tr r="M39" s="10"/>
        <tr r="M39" s="10"/>
        <tr r="M39" s="10"/>
        <tr r="F65" s="11"/>
        <tr r="H27" s="8"/>
        <tr r="H27" s="8"/>
        <tr r="H27" s="8"/>
        <tr r="B32" s="11"/>
        <tr r="N25" s="10"/>
        <tr r="N25" s="10"/>
        <tr r="N25" s="10"/>
        <tr r="P34" s="10"/>
        <tr r="P34" s="10"/>
        <tr r="P34" s="10"/>
        <tr r="G150" s="11"/>
        <tr r="H46" s="10"/>
        <tr r="H46" s="10"/>
        <tr r="H46" s="10"/>
        <tr r="K24" s="9"/>
        <tr r="K24" s="9"/>
        <tr r="K24" s="9"/>
        <tr r="G124" s="11"/>
        <tr r="B186" s="11"/>
        <tr r="F66" s="11"/>
        <tr r="G36" s="9"/>
        <tr r="G36" s="9"/>
        <tr r="G36" s="9"/>
        <tr r="N15" s="9"/>
        <tr r="N15" s="9"/>
        <tr r="N15" s="9"/>
        <tr r="H116" s="11"/>
        <tr r="G25" s="10"/>
        <tr r="G25" s="10"/>
        <tr r="G25" s="10"/>
        <tr r="F186" s="11"/>
        <tr r="C119" s="11"/>
        <tr r="G39" s="10"/>
        <tr r="G39" s="10"/>
        <tr r="G39" s="10"/>
        <tr r="L83" s="11"/>
        <tr r="P33" s="10"/>
        <tr r="P33" s="10"/>
        <tr r="P33" s="10"/>
        <tr r="Q36" s="9"/>
        <tr r="Q36" s="9"/>
        <tr r="Q36" s="9"/>
        <tr r="B52" s="11"/>
        <tr r="C35" s="1"/>
        <tr r="C35" s="1"/>
        <tr r="Q20" s="10"/>
        <tr r="Q20" s="10"/>
        <tr r="Q20" s="10"/>
        <tr r="D46" s="9"/>
        <tr r="D46" s="9"/>
        <tr r="D46" s="9"/>
        <tr r="K168" s="11"/>
        <tr r="K132" s="11"/>
        <tr r="D17" s="9"/>
        <tr r="D17" s="9"/>
        <tr r="D17" s="9"/>
        <tr r="T24" s="9"/>
        <tr r="T24" s="9"/>
        <tr r="T24" s="9"/>
        <tr r="F107" s="11"/>
        <tr r="H26" s="10"/>
        <tr r="H26" s="10"/>
        <tr r="H26" s="10"/>
        <tr r="G186" s="11"/>
        <tr r="F159" s="11"/>
        <tr r="C48" s="11"/>
        <tr r="L141" s="11"/>
        <tr r="M40" s="9"/>
        <tr r="M40" s="9"/>
        <tr r="M40" s="9"/>
        <tr r="E6" s="10"/>
        <tr r="E6" s="10"/>
        <tr r="E6" s="10"/>
        <tr r="D22" s="9"/>
        <tr r="D22" s="9"/>
        <tr r="D22" s="9"/>
        <tr r="C165" s="11"/>
        <tr r="F101" s="11"/>
        <tr r="F13" s="11"/>
        <tr r="K53" s="11"/>
        <tr r="Q19" s="9"/>
        <tr r="Q19" s="9"/>
        <tr r="Q19" s="9"/>
        <tr r="J41" s="9"/>
        <tr r="J41" s="9"/>
        <tr r="J41" s="9"/>
        <tr r="L4" s="11"/>
        <tr r="H129" s="11"/>
        <tr r="F47" s="1"/>
        <tr r="F47" s="1"/>
        <tr r="K131" s="11"/>
        <tr r="F195" s="11"/>
        <tr r="B89" s="11"/>
        <tr r="C80" s="11"/>
        <tr r="C188" s="11"/>
        <tr r="C5" s="11"/>
        <tr r="G172" s="11"/>
        <tr r="D24" s="1"/>
        <tr r="D24" s="1"/>
        <tr r="E19" s="1"/>
        <tr r="E19" s="1"/>
        <tr r="E19" s="1"/>
        <tr r="L200" s="11"/>
        <tr r="K152" s="11"/>
        <tr r="C62" s="1"/>
        <tr r="C62" s="1"/>
        <tr r="G63" s="1"/>
        <tr r="G63" s="1"/>
        <tr r="K700" s="11"/>
        <tr r="B883" s="11"/>
        <tr r="E970" s="11"/>
        <tr r="I1151" s="11"/>
        <tr r="F1010" s="11"/>
        <tr r="E1224" s="11"/>
        <tr r="F1071" s="11"/>
        <tr r="M25" s="8"/>
        <tr r="M25" s="8"/>
        <tr r="M25" s="8"/>
        <tr r="B1085" s="11"/>
        <tr r="E1261" s="11"/>
        <tr r="N29" s="9"/>
        <tr r="N29" s="9"/>
        <tr r="N29" s="9"/>
        <tr r="D28" s="10"/>
        <tr r="D28" s="10"/>
        <tr r="D28" s="10"/>
        <tr r="G1088" s="11"/>
        <tr r="C1267" s="11"/>
        <tr r="F143" s="11"/>
        <tr r="J30" s="8"/>
        <tr r="J30" s="8"/>
        <tr r="J30" s="8"/>
        <tr r="B1084" s="11"/>
        <tr r="G1260" s="11"/>
        <tr r="N5" s="9"/>
        <tr r="N5" s="9"/>
        <tr r="N5" s="9"/>
        <tr r="G6" s="3"/>
        <tr r="G6" s="3"/>
        <tr r="G6" s="3"/>
        <tr r="I1188" s="11"/>
        <tr r="M14" s="10"/>
        <tr r="M14" s="10"/>
        <tr r="M14" s="10"/>
        <tr r="T7" s="9"/>
        <tr r="T7" s="9"/>
        <tr r="T7" s="9"/>
        <tr r="E22" s="3"/>
        <tr r="E22" s="3"/>
        <tr r="E22" s="3"/>
        <tr r="G1290" s="11"/>
        <tr r="H25" s="9"/>
        <tr r="H25" s="9"/>
        <tr r="H25" s="9"/>
        <tr r="B21" s="11"/>
        <tr r="H27" s="3"/>
        <tr r="H27" s="3"/>
        <tr r="H27" s="3"/>
        <tr r="H32" s="8"/>
        <tr r="H32" s="8"/>
        <tr r="H32" s="8"/>
        <tr r="E41" s="8"/>
        <tr r="E41" s="8"/>
        <tr r="E41" s="8"/>
        <tr r="E1237" s="11"/>
        <tr r="J8" s="8"/>
        <tr r="J8" s="8"/>
        <tr r="J8" s="8"/>
        <tr r="D7" s="9"/>
        <tr r="D7" s="9"/>
        <tr r="D7" s="9"/>
        <tr r="G14" s="9"/>
        <tr r="G14" s="9"/>
        <tr r="G14" s="9"/>
        <tr r="D8" s="3"/>
        <tr r="D8" s="3"/>
        <tr r="D8" s="3"/>
        <tr r="T44" s="9"/>
        <tr r="T44" s="9"/>
        <tr r="T44" s="9"/>
        <tr r="N26" s="10"/>
        <tr r="N26" s="10"/>
        <tr r="N26" s="10"/>
        <tr r="H36" s="9"/>
        <tr r="H36" s="9"/>
        <tr r="H36" s="9"/>
        <tr r="H35" s="10"/>
        <tr r="H35" s="10"/>
        <tr r="H35" s="10"/>
        <tr r="K72" s="11"/>
        <tr r="E36" s="8"/>
        <tr r="E36" s="8"/>
        <tr r="E36" s="8"/>
        <tr r="P25" s="10"/>
        <tr r="P25" s="10"/>
        <tr r="P25" s="10"/>
        <tr r="D16" s="8"/>
        <tr r="D16" s="8"/>
        <tr r="D16" s="8"/>
        <tr r="E1124" s="11"/>
        <tr r="K22" s="8"/>
        <tr r="K22" s="8"/>
        <tr r="K22" s="8"/>
        <tr r="K1112" s="11"/>
        <tr r="F949" s="11"/>
        <tr r="E1128" s="11"/>
        <tr r="H21" s="8"/>
        <tr r="H21" s="8"/>
        <tr r="H21" s="8"/>
        <tr r="F1108" s="11"/>
        <tr r="I943" s="11"/>
        <tr r="F1123" s="11"/>
        <tr r="K25" s="8"/>
        <tr r="K25" s="8"/>
        <tr r="K25" s="8"/>
        <tr r="E1200" s="11"/>
        <tr r="E9" s="8"/>
        <tr r="E9" s="8"/>
        <tr r="E9" s="8"/>
        <tr r="D18" s="3"/>
        <tr r="D18" s="3"/>
        <tr r="D18" s="3"/>
        <tr r="G12" s="9"/>
        <tr r="G12" s="9"/>
        <tr r="G12" s="9"/>
        <tr r="H43" s="8"/>
        <tr r="H43" s="8"/>
        <tr r="H43" s="8"/>
        <tr r="E20" s="10"/>
        <tr r="E20" s="10"/>
        <tr r="E20" s="10"/>
        <tr r="Q26" s="9"/>
        <tr r="Q26" s="9"/>
        <tr r="Q26" s="9"/>
        <tr r="B120" s="11"/>
        <tr r="I1225" s="11"/>
        <tr r="E790" s="11"/>
        <tr r="J659" s="11"/>
        <tr r="E791" s="11"/>
        <tr r="B882" s="11"/>
        <tr r="J1084" s="11"/>
        <tr r="E905" s="11"/>
        <tr r="E34" s="3"/>
        <tr r="E34" s="3"/>
        <tr r="E34" s="3"/>
        <tr r="E975" s="11"/>
        <tr r="I1156" s="11"/>
        <tr r="B998" s="11"/>
        <tr r="F1179" s="11"/>
        <tr r="I1226" s="11"/>
        <tr r="I1160" s="11"/>
        <tr r="B1002" s="11"/>
        <tr r="K1183" s="11"/>
        <tr r="E1255" s="11"/>
        <tr r="J1155" s="11"/>
        <tr r="E996" s="11"/>
        <tr r="I1177" s="11"/>
        <tr r="I1210" s="11"/>
        <tr r="G16" s="8"/>
        <tr r="G16" s="8"/>
        <tr r="G16" s="8"/>
        <tr r="G21" s="3"/>
        <tr r="G21" s="3"/>
        <tr r="G21" s="3"/>
        <tr r="N32" s="8"/>
        <tr r="N32" s="8"/>
        <tr r="N32" s="8"/>
        <tr r="H47" s="8"/>
        <tr r="H47" s="8"/>
        <tr r="H47" s="8"/>
        <tr r="J45" s="3"/>
        <tr r="J45" s="3"/>
        <tr r="J45" s="3"/>
        <tr r="P16" s="9"/>
        <tr r="P16" s="9"/>
        <tr r="P16" s="9"/>
        <tr r="N40" s="10"/>
        <tr r="N40" s="10"/>
        <tr r="N40" s="10"/>
        <tr r="H37" s="11"/>
        <tr r="I1196" s="11"/>
        <tr r="K46" s="8"/>
        <tr r="K46" s="8"/>
        <tr r="K46" s="8"/>
        <tr r="Q12" s="9"/>
        <tr r="Q12" s="9"/>
        <tr r="Q12" s="9"/>
        <tr r="G76" s="11"/>
        <tr r="D19" s="3"/>
        <tr r="D19" s="3"/>
        <tr r="D19" s="3"/>
        <tr r="E28" s="10"/>
        <tr r="E28" s="10"/>
        <tr r="E28" s="10"/>
        <tr r="G43" s="9"/>
        <tr r="G43" s="9"/>
        <tr r="G43" s="9"/>
        <tr r="H5" s="8"/>
        <tr r="H5" s="8"/>
        <tr r="H5" s="8"/>
        <tr r="P18" s="8"/>
        <tr r="P18" s="8"/>
        <tr r="P18" s="8"/>
        <tr r="H17" s="10"/>
        <tr r="H17" s="10"/>
        <tr r="H17" s="10"/>
        <tr r="G28" s="10"/>
        <tr r="G28" s="10"/>
        <tr r="G28" s="10"/>
        <tr r="C153" s="11"/>
        <tr r="T20" s="9"/>
        <tr r="T20" s="9"/>
        <tr r="T20" s="9"/>
        <tr r="H55" s="11"/>
        <tr r="J43" s="8"/>
        <tr r="J43" s="8"/>
        <tr r="J43" s="8"/>
        <tr r="F35" s="11"/>
        <tr r="G39" s="9"/>
        <tr r="G39" s="9"/>
        <tr r="G39" s="9"/>
        <tr r="K134" s="11"/>
        <tr r="L66" s="11"/>
        <tr r="E44" s="10"/>
        <tr r="E44" s="10"/>
        <tr r="E44" s="10"/>
        <tr r="G46" s="9"/>
        <tr r="G46" s="9"/>
        <tr r="G46" s="9"/>
        <tr r="P8" s="8"/>
        <tr r="P8" s="8"/>
        <tr r="P8" s="8"/>
        <tr r="K18" s="10"/>
        <tr r="K18" s="10"/>
        <tr r="K18" s="10"/>
        <tr r="N28" s="9"/>
        <tr r="N28" s="9"/>
        <tr r="N28" s="9"/>
        <tr r="D35" s="8"/>
        <tr r="D35" s="8"/>
        <tr r="D35" s="8"/>
        <tr r="E32" s="8"/>
        <tr r="E32" s="8"/>
        <tr r="E32" s="8"/>
        <tr r="F11" s="11"/>
        <tr r="N18" s="9"/>
        <tr r="N18" s="9"/>
        <tr r="N18" s="9"/>
        <tr r="K17" s="3"/>
        <tr r="K17" s="3"/>
        <tr r="K17" s="3"/>
        <tr r="K1267" s="11"/>
        <tr r="D48" s="10"/>
        <tr r="D48" s="10"/>
        <tr r="D48" s="10"/>
        <tr r="C23" s="11"/>
        <tr r="D31" s="3"/>
        <tr r="D31" s="3"/>
        <tr r="D31" s="3"/>
        <tr r="H6" s="8"/>
        <tr r="H6" s="8"/>
        <tr r="H6" s="8"/>
        <tr r="M10" s="10"/>
        <tr r="M10" s="10"/>
        <tr r="M10" s="10"/>
        <tr r="P41" s="9"/>
        <tr r="P41" s="9"/>
        <tr r="P41" s="9"/>
        <tr r="P45" s="10"/>
        <tr r="P45" s="10"/>
        <tr r="P45" s="10"/>
        <tr r="E11" s="9"/>
        <tr r="E11" s="9"/>
        <tr r="E11" s="9"/>
        <tr r="C76" s="11"/>
        <tr r="H64" s="11"/>
        <tr r="E13" s="10"/>
        <tr r="E13" s="10"/>
        <tr r="E13" s="10"/>
        <tr r="N40" s="9"/>
        <tr r="N40" s="9"/>
        <tr r="N40" s="9"/>
        <tr r="B23" s="11"/>
        <tr r="F167" s="11"/>
        <tr r="P38" s="9"/>
        <tr r="P38" s="9"/>
        <tr r="P38" s="9"/>
        <tr r="C156" s="11"/>
        <tr r="Q24" s="10"/>
        <tr r="Q24" s="10"/>
        <tr r="Q24" s="10"/>
        <tr r="F31" s="11"/>
        <tr r="P10" s="9"/>
        <tr r="P10" s="9"/>
        <tr r="P10" s="9"/>
        <tr r="S31" s="9"/>
        <tr r="S31" s="9"/>
        <tr r="S31" s="9"/>
        <tr r="K77" s="11"/>
        <tr r="F37" s="11"/>
        <tr r="B101" s="11"/>
        <tr r="E1231" s="11"/>
        <tr r="N6" s="10"/>
        <tr r="N6" s="10"/>
        <tr r="N6" s="10"/>
        <tr r="N17" s="9"/>
        <tr r="N17" s="9"/>
        <tr r="N17" s="9"/>
        <tr r="G27" s="8"/>
        <tr r="G27" s="8"/>
        <tr r="G27" s="8"/>
        <tr r="H42" s="9"/>
        <tr r="H42" s="9"/>
        <tr r="H42" s="9"/>
        <tr r="B74" s="11"/>
        <tr r="C66" s="11"/>
        <tr r="J46" s="8"/>
        <tr r="J46" s="8"/>
        <tr r="J46" s="8"/>
        <tr r="K16" s="10"/>
        <tr r="K16" s="10"/>
        <tr r="K16" s="10"/>
        <tr r="G34" s="8"/>
        <tr r="G34" s="8"/>
        <tr r="G34" s="8"/>
        <tr r="C86" s="11"/>
        <tr r="G1258" s="11"/>
        <tr r="G29" s="9"/>
        <tr r="G29" s="9"/>
        <tr r="G29" s="9"/>
        <tr r="J44" s="9"/>
        <tr r="J44" s="9"/>
        <tr r="J44" s="9"/>
        <tr r="G97" s="11"/>
        <tr r="G32" s="9"/>
        <tr r="G32" s="9"/>
        <tr r="G32" s="9"/>
        <tr r="H33" s="9"/>
        <tr r="H33" s="9"/>
        <tr r="H33" s="9"/>
        <tr r="E22" s="9"/>
        <tr r="E22" s="9"/>
        <tr r="E22" s="9"/>
        <tr r="N8" s="10"/>
        <tr r="N8" s="10"/>
        <tr r="N8" s="10"/>
        <tr r="B54" s="11"/>
        <tr r="Q33" s="10"/>
        <tr r="Q33" s="10"/>
        <tr r="Q33" s="10"/>
        <tr r="E9" s="9"/>
        <tr r="E9" s="9"/>
        <tr r="E9" s="9"/>
        <tr r="G9" s="8"/>
        <tr r="G9" s="8"/>
        <tr r="G9" s="8"/>
        <tr r="K20" s="9"/>
        <tr r="K20" s="9"/>
        <tr r="K20" s="9"/>
        <tr r="B163" s="11"/>
        <tr r="H81" s="11"/>
        <tr r="S23" s="9"/>
        <tr r="S23" s="9"/>
        <tr r="S23" s="9"/>
        <tr r="G104" s="11"/>
        <tr r="J19" s="3"/>
        <tr r="J19" s="3"/>
        <tr r="J19" s="3"/>
        <tr r="G119" s="11"/>
        <tr r="E45" s="10"/>
        <tr r="E45" s="10"/>
        <tr r="E45" s="10"/>
        <tr r="E26" s="8"/>
        <tr r="E26" s="8"/>
        <tr r="E26" s="8"/>
        <tr r="D31" s="9"/>
        <tr r="D31" s="9"/>
        <tr r="D31" s="9"/>
        <tr r="G26" s="11"/>
        <tr r="K27" s="3"/>
        <tr r="K27" s="3"/>
        <tr r="K27" s="3"/>
        <tr r="L151" s="11"/>
        <tr r="Q42" s="10"/>
        <tr r="Q42" s="10"/>
        <tr r="Q42" s="10"/>
        <tr r="T5" s="9"/>
        <tr r="T5" s="9"/>
        <tr r="T5" s="9"/>
        <tr r="G32" s="11"/>
        <tr r="G42" s="10"/>
        <tr r="G42" s="10"/>
        <tr r="G42" s="10"/>
        <tr r="F9" s="11"/>
        <tr r="N50" s="9"/>
        <tr r="N50" s="9"/>
        <tr r="N50" s="9"/>
        <tr r="K73" s="11"/>
        <tr r="H32" s="10"/>
        <tr r="H32" s="10"/>
        <tr r="H32" s="10"/>
        <tr r="K7" s="3"/>
        <tr r="K7" s="3"/>
        <tr r="K7" s="3"/>
        <tr r="G36" s="10"/>
        <tr r="G36" s="10"/>
        <tr r="G36" s="10"/>
        <tr r="B203" s="11"/>
        <tr r="K6" s="9"/>
        <tr r="K6" s="9"/>
        <tr r="K6" s="9"/>
        <tr r="F176" s="11"/>
        <tr r="G46" s="10"/>
        <tr r="G46" s="10"/>
        <tr r="G46" s="10"/>
        <tr r="F88" s="11"/>
        <tr r="J37" s="8"/>
        <tr r="J37" s="8"/>
        <tr r="J37" s="8"/>
        <tr r="K14" s="9"/>
        <tr r="K14" s="9"/>
        <tr r="K14" s="9"/>
        <tr r="G32" s="10"/>
        <tr r="G32" s="10"/>
        <tr r="G32" s="10"/>
        <tr r="G129" s="11"/>
        <tr r="J16" s="9"/>
        <tr r="J16" s="9"/>
        <tr r="J16" s="9"/>
        <tr r="J28" s="9"/>
        <tr r="J28" s="9"/>
        <tr r="J28" s="9"/>
        <tr r="C181" s="11"/>
        <tr r="G80" s="11"/>
        <tr r="E17" s="9"/>
        <tr r="E17" s="9"/>
        <tr r="E17" s="9"/>
        <tr r="L82" s="11"/>
        <tr r="D46" s="1"/>
        <tr r="D46" s="1"/>
        <tr r="J19" s="9"/>
        <tr r="J19" s="9"/>
        <tr r="J19" s="9"/>
        <tr r="C104" s="11"/>
        <tr r="H181" s="11"/>
        <tr r="F51" s="1"/>
        <tr r="F51" s="1"/>
        <tr r="K189" s="11"/>
        <tr r="K182" s="11"/>
        <tr r="L53" s="11"/>
        <tr r="G100" s="11"/>
        <tr r="C52" s="1"/>
        <tr r="C52" s="1"/>
        <tr r="G149" s="11"/>
        <tr r="C65" s="1"/>
        <tr r="C65" s="1"/>
        <tr r="G63" s="11"/>
        <tr r="H211" s="11"/>
        <tr r="K85" s="11"/>
        <tr r="H210" s="11"/>
        <tr r="H29" s="9"/>
        <tr r="H29" s="9"/>
        <tr r="H29" s="9"/>
        <tr r="P27" s="8"/>
        <tr r="P27" s="8"/>
        <tr r="P27" s="8"/>
        <tr r="T46" s="9"/>
        <tr r="T46" s="9"/>
        <tr r="T46" s="9"/>
        <tr r="F164" s="11"/>
        <tr r="Q43" s="8"/>
        <tr r="Q43" s="8"/>
        <tr r="Q43" s="8"/>
        <tr r="I1216" s="11"/>
        <tr r="M36" s="10"/>
        <tr r="M36" s="10"/>
        <tr r="M36" s="10"/>
        <tr r="J45" s="9"/>
        <tr r="J45" s="9"/>
        <tr r="J45" s="9"/>
        <tr r="G23" s="9"/>
        <tr r="G23" s="9"/>
        <tr r="G23" s="9"/>
        <tr r="S34" s="9"/>
        <tr r="S34" s="9"/>
        <tr r="S34" s="9"/>
        <tr r="F69" s="11"/>
        <tr r="G185" s="11"/>
        <tr r="M50" s="9"/>
        <tr r="M50" s="9"/>
        <tr r="M50" s="9"/>
        <tr r="S13" s="9"/>
        <tr r="S13" s="9"/>
        <tr r="S13" s="9"/>
        <tr r="B1083" s="11"/>
        <tr r="E1257" s="11"/>
        <tr r="K15" s="9"/>
        <tr r="K15" s="9"/>
        <tr r="K15" s="9"/>
        <tr r="J50" s="8"/>
        <tr r="J50" s="8"/>
        <tr r="J50" s="8"/>
        <tr r="G1086" s="11"/>
        <tr r="C1263" s="11"/>
        <tr r="J18" s="9"/>
        <tr r="J18" s="9"/>
        <tr r="J18" s="9"/>
        <tr r="Q7" s="8"/>
        <tr r="Q7" s="8"/>
        <tr r="Q7" s="8"/>
        <tr r="B1082" s="11"/>
        <tr r="C1255" s="11"/>
        <tr r="J8" s="9"/>
        <tr r="J8" s="9"/>
        <tr r="J8" s="9"/>
        <tr r="E18" s="3"/>
        <tr r="E18" s="3"/>
        <tr r="E18" s="3"/>
        <tr r="F140" s="11"/>
        <tr r="N41" s="8"/>
        <tr r="N41" s="8"/>
        <tr r="N41" s="8"/>
        <tr r="J15" s="9"/>
        <tr r="J15" s="9"/>
        <tr r="J15" s="9"/>
        <tr r="D11" s="3"/>
        <tr r="D11" s="3"/>
        <tr r="D11" s="3"/>
        <tr r="C1277" s="11"/>
        <tr r="K9" s="9"/>
        <tr r="K9" s="9"/>
        <tr r="K9" s="9"/>
        <tr r="J1020" s="11"/>
        <tr r="E726" s="11"/>
        <tr r="I1067" s="11"/>
        <tr r="E727" s="11"/>
        <tr r="C1070" s="11"/>
        <tr r="J1022" s="11"/>
        <tr r="G1259" s="11"/>
        <tr r="K1080" s="11"/>
        <tr r="E1287" s="11"/>
        <tr r="F1103" s="11"/>
        <tr r="I935" s="11"/>
        <tr r="B1117" s="11"/>
        <tr r="D40" s="3"/>
        <tr r="D40" s="3"/>
        <tr r="D40" s="3"/>
        <tr r="H32" s="9"/>
        <tr r="H32" s="9"/>
        <tr r="H32" s="9"/>
        <tr r="I939" s="11"/>
        <tr r="G1120" s="11"/>
        <tr r="D44" s="3"/>
        <tr r="D44" s="3"/>
        <tr r="D44" s="3"/>
        <tr r="J35" s="9"/>
        <tr r="J35" s="9"/>
        <tr r="J35" s="9"/>
        <tr r="J934" s="11"/>
        <tr r="B1116" s="11"/>
        <tr r="J38" s="3"/>
        <tr r="J38" s="3"/>
        <tr r="J38" s="3"/>
        <tr r="F165" s="11"/>
        <tr r="E47" s="8"/>
        <tr r="E47" s="8"/>
        <tr r="E47" s="8"/>
        <tr r="E14" s="3"/>
        <tr r="E14" s="3"/>
        <tr r="E14" s="3"/>
        <tr r="J6" s="9"/>
        <tr r="J6" s="9"/>
        <tr r="J6" s="9"/>
        <tr r="K19" s="8"/>
        <tr r="K19" s="8"/>
        <tr r="K19" s="8"/>
        <tr r="N37" s="8"/>
        <tr r="N37" s="8"/>
        <tr r="N37" s="8"/>
        <tr r="N31" s="10"/>
        <tr r="N31" s="10"/>
        <tr r="N31" s="10"/>
        <tr r="B43" s="11"/>
        <tr r="Q33" s="8"/>
        <tr r="Q33" s="8"/>
        <tr r="Q33" s="8"/>
        <tr r="K14" s="10"/>
        <tr r="K14" s="10"/>
        <tr r="K14" s="10"/>
        <tr r="P30" s="10"/>
        <tr r="P30" s="10"/>
        <tr r="P30" s="10"/>
        <tr r="S20" s="9"/>
        <tr r="S20" s="9"/>
        <tr r="S20" s="9"/>
        <tr r="E6" s="3"/>
        <tr r="E6" s="3"/>
        <tr r="E6" s="3"/>
        <tr r="N17" s="10"/>
        <tr r="N17" s="10"/>
        <tr r="N17" s="10"/>
        <tr r="N13" s="9"/>
        <tr r="N13" s="9"/>
        <tr r="N13" s="9"/>
        <tr r="E39" s="8"/>
        <tr r="E39" s="8"/>
        <tr r="E39" s="8"/>
        <tr r="E29" s="8"/>
        <tr r="E29" s="8"/>
        <tr r="E29" s="8"/>
        <tr r="M7" s="10"/>
        <tr r="M7" s="10"/>
        <tr r="M7" s="10"/>
        <tr r="M32" s="9"/>
        <tr r="M32" s="9"/>
        <tr r="M32" s="9"/>
        <tr r="T41" s="9"/>
        <tr r="T41" s="9"/>
        <tr r="T41" s="9"/>
        <tr r="J36" s="10"/>
        <tr r="J36" s="10"/>
        <tr r="J36" s="10"/>
        <tr r="J48" s="9"/>
        <tr r="J48" s="9"/>
        <tr r="J48" s="9"/>
        <tr r="D28" s="8"/>
        <tr r="D28" s="8"/>
        <tr r="D28" s="8"/>
        <tr r="B170" s="11"/>
        <tr r="F995" s="11"/>
        <tr r="J1176" s="11"/>
        <tr r="I1194" s="11"/>
        <tr r="B1157" s="11"/>
        <tr r="F999" s="11"/>
        <tr r="J1180" s="11"/>
        <tr r="E1233" s="11"/>
        <tr r="E1151" s="11"/>
        <tr r="I993" s="11"/>
        <tr r="B1174" s="11"/>
        <tr r="B98" s="11"/>
        <tr r="Q21" s="8"/>
        <tr r="Q21" s="8"/>
        <tr r="Q21" s="8"/>
        <tr r="F172" s="11"/>
        <tr r="N24" s="8"/>
        <tr r="N24" s="8"/>
        <tr r="N24" s="8"/>
        <tr r="M35" s="8"/>
        <tr r="M35" s="8"/>
        <tr r="M35" s="8"/>
        <tr r="K37" s="3"/>
        <tr r="K37" s="3"/>
        <tr r="K37" s="3"/>
        <tr r="Q17" s="10"/>
        <tr r="Q17" s="10"/>
        <tr r="Q17" s="10"/>
        <tr r="N30" s="10"/>
        <tr r="N30" s="10"/>
        <tr r="N30" s="10"/>
        <tr r="H113" s="11"/>
        <tr r="N21" s="10"/>
        <tr r="N21" s="10"/>
        <tr r="N21" s="10"/>
        <tr r="J842" s="11"/>
        <tr r="I682" s="11"/>
        <tr r="J843" s="11"/>
        <tr r="I933" s="11"/>
        <tr r="J1116" s="11"/>
        <tr r="J959" s="11"/>
        <tr r="G1069" s="11"/>
        <tr r="J1027" s="11"/>
        <tr r="G1269" s="11"/>
        <tr r="B1061" s="11"/>
        <tr r="J34" s="8"/>
        <tr r="J34" s="8"/>
        <tr r="J34" s="8"/>
        <tr r="N14" s="8"/>
        <tr r="N14" s="8"/>
        <tr r="N14" s="8"/>
        <tr r="G1277" s="11"/>
        <tr r="G1064" s="11"/>
        <tr r="D30" s="10"/>
        <tr r="D30" s="10"/>
        <tr r="D30" s="10"/>
        <tr r="D34" s="8"/>
        <tr r="D34" s="8"/>
        <tr r="D34" s="8"/>
        <tr r="K1266" s="11"/>
        <tr r="B1060" s="11"/>
        <tr r="H20" s="8"/>
        <tr r="H20" s="8"/>
        <tr r="H20" s="8"/>
        <tr r="N6" s="8"/>
        <tr r="N6" s="8"/>
        <tr r="N6" s="8"/>
        <tr r="C1259" s="11"/>
        <tr r="E28" s="8"/>
        <tr r="E28" s="8"/>
        <tr r="E28" s="8"/>
        <tr r="P20" s="8"/>
        <tr r="P20" s="8"/>
        <tr r="P20" s="8"/>
        <tr r="D45" s="8"/>
        <tr r="D45" s="8"/>
        <tr r="D45" s="8"/>
        <tr r="I1214" s="11"/>
        <tr r="K39" s="8"/>
        <tr r="K39" s="8"/>
        <tr r="K39" s="8"/>
        <tr r="K45" s="9"/>
        <tr r="K45" s="9"/>
        <tr r="K45" s="9"/>
        <tr r="D25" s="8"/>
        <tr r="D25" s="8"/>
        <tr r="D25" s="8"/>
        <tr r="K1279" s="11"/>
        <tr r="E25" s="10"/>
        <tr r="E25" s="10"/>
        <tr r="E25" s="10"/>
        <tr r="N12" s="9"/>
        <tr r="N12" s="9"/>
        <tr r="N12" s="9"/>
        <tr r="K9" s="8"/>
        <tr r="K9" s="8"/>
        <tr r="K9" s="8"/>
        <tr r="D33" s="8"/>
        <tr r="D33" s="8"/>
        <tr r="D33" s="8"/>
        <tr r="J32" s="9"/>
        <tr r="J32" s="9"/>
        <tr r="J32" s="9"/>
        <tr r="K5" s="3"/>
        <tr r="K5" s="3"/>
        <tr r="K5" s="3"/>
        <tr r="J20" s="9"/>
        <tr r="J20" s="9"/>
        <tr r="J20" s="9"/>
        <tr r="K6" s="8"/>
        <tr r="K6" s="8"/>
        <tr r="K6" s="8"/>
        <tr r="Q43" s="10"/>
        <tr r="Q43" s="10"/>
        <tr r="Q43" s="10"/>
        <tr r="J7" s="10"/>
        <tr r="J7" s="10"/>
        <tr r="J7" s="10"/>
        <tr r="S50" s="9"/>
        <tr r="S50" s="9"/>
        <tr r="S50" s="9"/>
        <tr r="G69" s="11"/>
        <tr r="G209" s="11"/>
        <tr r="S21" s="9"/>
        <tr r="S21" s="9"/>
        <tr r="S21" s="9"/>
        <tr r="H31" s="8"/>
        <tr r="H31" s="8"/>
        <tr r="H31" s="8"/>
        <tr r="G22" s="9"/>
        <tr r="G22" s="9"/>
        <tr r="G22" s="9"/>
        <tr r="G206" s="11"/>
        <tr r="Q8" s="8"/>
        <tr r="Q8" s="8"/>
        <tr r="Q8" s="8"/>
        <tr r="B63" s="11"/>
        <tr r="B183" s="11"/>
        <tr r="I1200" s="11"/>
        <tr r="M46" s="10"/>
        <tr r="M46" s="10"/>
        <tr r="M46" s="10"/>
        <tr r="G50" s="3"/>
        <tr r="G50" s="3"/>
        <tr r="G50" s="3"/>
        <tr r="G5" s="8"/>
        <tr r="G5" s="8"/>
        <tr r="G5" s="8"/>
        <tr r="M28" s="9"/>
        <tr r="M28" s="9"/>
        <tr r="M28" s="9"/>
        <tr r="G28" s="11"/>
        <tr r="T37" s="9"/>
        <tr r="T37" s="9"/>
        <tr r="T37" s="9"/>
        <tr r="D27" s="3"/>
        <tr r="D27" s="3"/>
        <tr r="D27" s="3"/>
        <tr r="D28" s="3"/>
        <tr r="D28" s="3"/>
        <tr r="D28" s="3"/>
        <tr r="D50" s="10"/>
        <tr r="D50" s="10"/>
        <tr r="D50" s="10"/>
        <tr r="E29" s="9"/>
        <tr r="E29" s="9"/>
        <tr r="E29" s="9"/>
        <tr r="D23" s="10"/>
        <tr r="D23" s="10"/>
        <tr r="D23" s="10"/>
        <tr r="H25" s="8"/>
        <tr r="H25" s="8"/>
        <tr r="H25" s="8"/>
        <tr r="Q35" s="10"/>
        <tr r="Q35" s="10"/>
        <tr r="Q35" s="10"/>
        <tr r="K47" s="10"/>
        <tr r="K47" s="10"/>
        <tr r="K47" s="10"/>
        <tr r="Q46" s="10"/>
        <tr r="Q46" s="10"/>
        <tr r="Q46" s="10"/>
        <tr r="D45" s="1"/>
        <tr r="D45" s="1"/>
        <tr r="K133" s="11"/>
        <tr r="Q39" s="8"/>
        <tr r="Q39" s="8"/>
        <tr r="Q39" s="8"/>
        <tr r="S33" s="9"/>
        <tr r="S33" s="9"/>
        <tr r="S33" s="9"/>
        <tr r="C213" s="11"/>
        <tr r="M26" s="10"/>
        <tr r="M26" s="10"/>
        <tr r="M26" s="10"/>
        <tr r="J15" s="10"/>
        <tr r="J15" s="10"/>
        <tr r="J15" s="10"/>
        <tr r="F27" s="11"/>
        <tr r="S47" s="9"/>
        <tr r="S47" s="9"/>
        <tr r="S47" s="9"/>
        <tr r="S25" s="9"/>
        <tr r="S25" s="9"/>
        <tr r="S25" s="9"/>
        <tr r="K104" s="11"/>
        <tr r="K35" s="3"/>
        <tr r="K35" s="3"/>
        <tr r="K35" s="3"/>
        <tr r="F95" s="11"/>
        <tr r="B64" s="11"/>
        <tr r="E42" s="9"/>
        <tr r="E42" s="9"/>
        <tr r="E42" s="9"/>
        <tr r="H93" s="11"/>
        <tr r="E32" s="3"/>
        <tr r="E32" s="3"/>
        <tr r="E32" s="3"/>
        <tr r="P20" s="9"/>
        <tr r="P20" s="9"/>
        <tr r="P20" s="9"/>
        <tr r="N32" s="10"/>
        <tr r="N32" s="10"/>
        <tr r="N32" s="10"/>
        <tr r="P30" s="9"/>
        <tr r="P30" s="9"/>
        <tr r="P30" s="9"/>
        <tr r="H133" s="11"/>
        <tr r="K121" s="11"/>
        <tr r="L28" s="11"/>
        <tr r="I1198" s="11"/>
        <tr r="D32" s="8"/>
        <tr r="D32" s="8"/>
        <tr r="D32" s="8"/>
        <tr r="P17" s="10"/>
        <tr r="P17" s="10"/>
        <tr r="P17" s="10"/>
        <tr r="K33" s="10"/>
        <tr r="K33" s="10"/>
        <tr r="K33" s="10"/>
        <tr r="D20" s="3"/>
        <tr r="D20" s="3"/>
        <tr r="D20" s="3"/>
        <tr r="P12" s="10"/>
        <tr r="P12" s="10"/>
        <tr r="P12" s="10"/>
        <tr r="N25" s="9"/>
        <tr r="N25" s="9"/>
        <tr r="N25" s="9"/>
        <tr r="J23" s="8"/>
        <tr r="J23" s="8"/>
        <tr r="J23" s="8"/>
        <tr r="E50" s="9"/>
        <tr r="E50" s="9"/>
        <tr r="E50" s="9"/>
        <tr r="H29" s="10"/>
        <tr r="H29" s="10"/>
        <tr r="H29" s="10"/>
        <tr r="F24" s="11"/>
        <tr r="H20" s="10"/>
        <tr r="H20" s="10"/>
        <tr r="H20" s="10"/>
        <tr r="S45" s="9"/>
        <tr r="S45" s="9"/>
        <tr r="S45" s="9"/>
        <tr r="K17" s="8"/>
        <tr r="K17" s="8"/>
        <tr r="K17" s="8"/>
        <tr r="J5" s="9"/>
        <tr r="J5" s="9"/>
        <tr r="J5" s="9"/>
        <tr r="P15" s="10"/>
        <tr r="P15" s="10"/>
        <tr r="P15" s="10"/>
        <tr r="F80" s="11"/>
        <tr r="K50" s="10"/>
        <tr r="K50" s="10"/>
        <tr r="K50" s="10"/>
        <tr r="B86" s="11"/>
        <tr r="K61" s="11"/>
        <tr r="G1254" s="11"/>
        <tr r="E44" s="3"/>
        <tr r="E44" s="3"/>
        <tr r="E44" s="3"/>
        <tr r="J28" s="10"/>
        <tr r="J28" s="10"/>
        <tr r="J28" s="10"/>
        <tr r="F47" s="11"/>
        <tr r="N50" s="10"/>
        <tr r="N50" s="10"/>
        <tr r="N50" s="10"/>
        <tr r="N37" s="9"/>
        <tr r="N37" s="9"/>
        <tr r="N37" s="9"/>
        <tr r="G92" s="11"/>
        <tr r="G18" s="10"/>
        <tr r="G18" s="10"/>
        <tr r="G18" s="10"/>
        <tr r="P8" s="10"/>
        <tr r="P8" s="10"/>
        <tr r="P8" s="10"/>
        <tr r="K13" s="11"/>
        <tr r="F45" s="11"/>
        <tr r="L147" s="11"/>
        <tr r="K32" s="9"/>
        <tr r="K32" s="9"/>
        <tr r="K32" s="9"/>
        <tr r="H41" s="10"/>
        <tr r="H41" s="10"/>
        <tr r="H41" s="10"/>
        <tr r="B187" s="11"/>
        <tr r="B156" s="11"/>
        <tr r="P14" s="9"/>
        <tr r="P14" s="9"/>
        <tr r="P14" s="9"/>
        <tr r="B134" s="11"/>
        <tr r="B88" s="11"/>
        <tr r="K115" s="11"/>
        <tr r="C35" s="11"/>
        <tr r="J10" s="10"/>
        <tr r="J10" s="10"/>
        <tr r="J10" s="10"/>
        <tr r="B118" s="11"/>
        <tr r="G101" s="11"/>
        <tr r="T39" s="9"/>
        <tr r="T39" s="9"/>
        <tr r="T39" s="9"/>
        <tr r="M5" s="9"/>
        <tr r="M5" s="9"/>
        <tr r="M5" s="9"/>
        <tr r="S46" s="9"/>
        <tr r="S46" s="9"/>
        <tr r="S46" s="9"/>
        <tr r="K154" s="11"/>
        <tr r="G27" s="11"/>
        <tr r="B11" s="11"/>
        <tr r="G202" s="11"/>
        <tr r="L57" s="11"/>
        <tr r="N42" s="9"/>
        <tr r="N42" s="9"/>
        <tr r="N42" s="9"/>
        <tr r="J24" s="10"/>
        <tr r="J24" s="10"/>
        <tr r="J24" s="10"/>
        <tr r="Q12" s="10"/>
        <tr r="Q12" s="10"/>
        <tr r="Q12" s="10"/>
        <tr r="N34" s="9"/>
        <tr r="N34" s="9"/>
        <tr r="N34" s="9"/>
        <tr r="L173" s="11"/>
        <tr r="F209" s="11"/>
        <tr r="H41" s="1"/>
        <tr r="H41" s="1"/>
        <tr r="H41" s="1"/>
        <tr r="K165" s="11"/>
        <tr r="F139" s="11"/>
        <tr r="F72" s="11"/>
        <tr r="H62" s="1"/>
        <tr r="H62" s="1"/>
        <tr r="H62" s="1"/>
        <tr r="K164" s="11"/>
        <tr r="C147" s="11"/>
        <tr r="D48" s="1"/>
        <tr r="D48" s="1"/>
        <tr r="G78" s="11"/>
        <tr r="E59" s="1"/>
        <tr r="E59" s="1"/>
        <tr r="K105" s="11"/>
        <tr r="D37" s="1"/>
        <tr r="D37" s="1"/>
        <tr r="H141" s="11"/>
        <tr r="H22" s="9"/>
        <tr r="H22" s="9"/>
        <tr r="H22" s="9"/>
        <tr r="I46" s="1"/>
        <tr r="I46" s="1"/>
        <tr r="I46" s="1"/>
        <tr r="N23" s="10"/>
        <tr r="N23" s="10"/>
        <tr r="N23" s="10"/>
        <tr r="C71" s="11"/>
        <tr r="F175" s="11"/>
        <tr r="P36" s="8"/>
        <tr r="P36" s="8"/>
        <tr r="P36" s="8"/>
        <tr r="T31" s="9"/>
        <tr r="T31" s="9"/>
        <tr r="T31" s="9"/>
        <tr r="P31" s="10"/>
        <tr r="P31" s="10"/>
        <tr r="P31" s="10"/>
        <tr r="Q32" s="10"/>
        <tr r="Q32" s="10"/>
        <tr r="Q32" s="10"/>
        <tr r="F73" s="11"/>
        <tr r="H8" s="9"/>
        <tr r="H8" s="9"/>
        <tr r="H8" s="9"/>
        <tr r="E12" s="9"/>
        <tr r="E12" s="9"/>
        <tr r="E12" s="9"/>
        <tr r="K41" s="9"/>
        <tr r="K41" s="9"/>
        <tr r="K41" s="9"/>
        <tr r="F130" s="11"/>
        <tr r="B155" s="11"/>
        <tr r="N48" s="10"/>
        <tr r="N48" s="10"/>
        <tr r="N48" s="10"/>
        <tr r="G131" s="11"/>
        <tr r="F32" s="11"/>
        <tr r="J21" s="10"/>
        <tr r="J21" s="10"/>
        <tr r="J21" s="10"/>
        <tr r="F114" s="11"/>
        <tr r="D7" s="8"/>
        <tr r="D7" s="8"/>
        <tr r="D7" s="8"/>
        <tr r="K42" s="11"/>
        <tr r="K44" s="8"/>
        <tr r="K44" s="8"/>
        <tr r="K44" s="8"/>
        <tr r="K34" s="8"/>
        <tr r="K34" s="8"/>
        <tr r="K34" s="8"/>
        <tr r="P24" s="9"/>
        <tr r="P24" s="9"/>
        <tr r="P24" s="9"/>
        <tr r="B80" s="11"/>
        <tr r="B61" s="11"/>
        <tr r="Q40" s="8"/>
        <tr r="Q40" s="8"/>
        <tr r="Q40" s="8"/>
        <tr r="N14" s="10"/>
        <tr r="N14" s="10"/>
        <tr r="N14" s="10"/>
        <tr r="T30" s="9"/>
        <tr r="T30" s="9"/>
        <tr r="T30" s="9"/>
        <tr r="F102" s="11"/>
        <tr r="G90" s="11"/>
        <tr r="H51" s="11"/>
        <tr r="K50" s="8"/>
        <tr r="K50" s="8"/>
        <tr r="K50" s="8"/>
        <tr r="J41" s="8"/>
        <tr r="J41" s="8"/>
        <tr r="J41" s="8"/>
        <tr r="G31" s="9"/>
        <tr r="G31" s="9"/>
        <tr r="G31" s="9"/>
        <tr r="N41" s="9"/>
        <tr r="N41" s="9"/>
        <tr r="N41" s="9"/>
        <tr r="T15" s="9"/>
        <tr r="T15" s="9"/>
        <tr r="T15" s="9"/>
        <tr r="B151" s="11"/>
        <tr r="N5" s="10"/>
        <tr r="N5" s="10"/>
        <tr r="N5" s="10"/>
        <tr r="M47" s="9"/>
        <tr r="M47" s="9"/>
        <tr r="M47" s="9"/>
        <tr r="H37" s="10"/>
        <tr r="H37" s="10"/>
        <tr r="H37" s="10"/>
        <tr r="J38" s="10"/>
        <tr r="J38" s="10"/>
        <tr r="J38" s="10"/>
        <tr r="F117" s="11"/>
        <tr r="H37" s="9"/>
        <tr r="H37" s="9"/>
        <tr r="H37" s="9"/>
        <tr r="F78" s="11"/>
        <tr r="J39" s="9"/>
        <tr r="J39" s="9"/>
        <tr r="J39" s="9"/>
        <tr r="P28" s="8"/>
        <tr r="P28" s="8"/>
        <tr r="P28" s="8"/>
        <tr r="P23" s="10"/>
        <tr r="P23" s="10"/>
        <tr r="P23" s="10"/>
        <tr r="K143" s="11"/>
        <tr r="G25" s="9"/>
        <tr r="G25" s="9"/>
        <tr r="G25" s="9"/>
        <tr r="K26" s="9"/>
        <tr r="K26" s="9"/>
        <tr r="K26" s="9"/>
        <tr r="B76" s="11"/>
        <tr r="B53" s="11"/>
        <tr r="D15" s="3"/>
        <tr r="D15" s="3"/>
        <tr r="D15" s="3"/>
        <tr r="E36" s="10"/>
        <tr r="E36" s="10"/>
        <tr r="E36" s="10"/>
        <tr r="T36" s="9"/>
        <tr r="T36" s="9"/>
        <tr r="T36" s="9"/>
        <tr r="H39" s="8"/>
        <tr r="H39" s="8"/>
        <tr r="H39" s="8"/>
        <tr r="T28" s="9"/>
        <tr r="T28" s="9"/>
        <tr r="T28" s="9"/>
        <tr r="D26" s="9"/>
        <tr r="D26" s="9"/>
        <tr r="D26" s="9"/>
        <tr r="P41" s="8"/>
        <tr r="P41" s="8"/>
        <tr r="P41" s="8"/>
        <tr r="Q14" s="10"/>
        <tr r="Q14" s="10"/>
        <tr r="Q14" s="10"/>
        <tr r="F55" s="11"/>
        <tr r="J31" s="9"/>
        <tr r="J31" s="9"/>
        <tr r="J31" s="9"/>
        <tr r="K10" s="10"/>
        <tr r="K10" s="10"/>
        <tr r="K10" s="10"/>
        <tr r="B71" s="11"/>
        <tr r="N12" s="10"/>
        <tr r="N12" s="10"/>
        <tr r="N12" s="10"/>
        <tr r="H22" s="10"/>
        <tr r="H22" s="10"/>
        <tr r="H22" s="10"/>
        <tr r="J39" s="10"/>
        <tr r="J39" s="10"/>
        <tr r="J39" s="10"/>
        <tr r="F181" s="11"/>
        <tr r="D48" s="9"/>
        <tr r="D48" s="9"/>
        <tr r="D48" s="9"/>
        <tr r="T12" s="9"/>
        <tr r="T12" s="9"/>
        <tr r="T12" s="9"/>
        <tr r="F91" s="11"/>
        <tr r="K45" s="8"/>
        <tr r="K45" s="8"/>
        <tr r="K45" s="8"/>
        <tr r="H5" s="9"/>
        <tr r="H5" s="9"/>
        <tr r="H5" s="9"/>
        <tr r="B131" s="11"/>
        <tr r="B42" s="11"/>
        <tr r="P35" s="9"/>
        <tr r="P35" s="9"/>
        <tr r="P35" s="9"/>
        <tr r="H67" s="11"/>
        <tr r="D9" s="9"/>
        <tr r="D9" s="9"/>
        <tr r="D9" s="9"/>
        <tr r="C75" s="11"/>
        <tr r="C15" s="11"/>
        <tr r="G177" s="11"/>
        <tr r="B196" s="11"/>
        <tr r="K153" s="11"/>
        <tr r="H24" s="10"/>
        <tr r="H24" s="10"/>
        <tr r="H24" s="10"/>
        <tr r="J41" s="10"/>
        <tr r="J41" s="10"/>
        <tr r="J41" s="10"/>
        <tr r="F212" s="11"/>
        <tr r="S28" s="9"/>
        <tr r="S28" s="9"/>
        <tr r="S28" s="9"/>
        <tr r="K22" s="9"/>
        <tr r="K22" s="9"/>
        <tr r="K22" s="9"/>
        <tr r="H10" s="8"/>
        <tr r="H10" s="8"/>
        <tr r="H10" s="8"/>
        <tr r="F189" s="11"/>
        <tr r="E41" s="9"/>
        <tr r="E41" s="9"/>
        <tr r="E41" s="9"/>
        <tr r="K63" s="11"/>
        <tr r="G170" s="11"/>
        <tr r="B111" s="11"/>
        <tr r="T9" s="9"/>
        <tr r="T9" s="9"/>
        <tr r="T9" s="9"/>
        <tr r="S30" s="9"/>
        <tr r="S30" s="9"/>
        <tr r="S30" s="9"/>
        <tr r="G17" s="11"/>
        <tr r="G180" s="11"/>
        <tr r="G23" s="8"/>
        <tr r="G23" s="8"/>
        <tr r="G23" s="8"/>
        <tr r="G43" s="8"/>
        <tr r="G43" s="8"/>
        <tr r="G43" s="8"/>
        <tr r="E7" s="10"/>
        <tr r="E7" s="10"/>
        <tr r="E7" s="10"/>
        <tr r="P27" s="10"/>
        <tr r="P27" s="10"/>
        <tr r="P27" s="10"/>
        <tr r="N6" s="9"/>
        <tr r="N6" s="9"/>
        <tr r="N6" s="9"/>
        <tr r="G40" s="11"/>
        <tr r="G12" s="10"/>
        <tr r="G12" s="10"/>
        <tr r="G12" s="10"/>
        <tr r="S12" s="9"/>
        <tr r="S12" s="9"/>
        <tr r="S12" s="9"/>
        <tr r="F22" s="11"/>
        <tr r="F109" s="11"/>
        <tr r="H175" s="11"/>
        <tr r="H57" s="11"/>
        <tr r="H26" s="9"/>
        <tr r="H26" s="9"/>
        <tr r="H26" s="9"/>
        <tr r="K199" s="11"/>
        <tr r="N32" s="9"/>
        <tr r="N32" s="9"/>
        <tr r="N32" s="9"/>
        <tr r="C99" s="11"/>
        <tr r="H89" s="11"/>
        <tr r="D36" s="9"/>
        <tr r="D36" s="9"/>
        <tr r="D36" s="9"/>
        <tr r="F180" s="11"/>
        <tr r="F123" s="11"/>
        <tr r="D40" s="8"/>
        <tr r="D40" s="8"/>
        <tr r="D40" s="8"/>
        <tr r="T17" s="9"/>
        <tr r="T17" s="9"/>
        <tr r="T17" s="9"/>
        <tr r="B205" s="11"/>
        <tr r="Q7" s="10"/>
        <tr r="Q7" s="10"/>
        <tr r="Q7" s="10"/>
        <tr r="M19" s="9"/>
        <tr r="M19" s="9"/>
        <tr r="M19" s="9"/>
        <tr r="G213" s="11"/>
        <tr r="K17" s="9"/>
        <tr r="K17" s="9"/>
        <tr r="K17" s="9"/>
        <tr r="B175" s="11"/>
        <tr r="K46" s="9"/>
        <tr r="K46" s="9"/>
        <tr r="K46" s="9"/>
        <tr r="H47" s="10"/>
        <tr r="H47" s="10"/>
        <tr r="H47" s="10"/>
        <tr r="C137" s="11"/>
        <tr r="D49" s="1"/>
        <tr r="D49" s="1"/>
        <tr r="P40" s="9"/>
        <tr r="P40" s="9"/>
        <tr r="P40" s="9"/>
        <tr r="B27" s="11"/>
        <tr r="B16" s="11"/>
        <tr r="Q44" s="8"/>
        <tr r="Q44" s="8"/>
        <tr r="Q44" s="8"/>
        <tr r="T19" s="9"/>
        <tr r="T19" s="9"/>
        <tr r="T19" s="9"/>
        <tr r="C46" s="11"/>
        <tr r="J42" s="10"/>
        <tr r="J42" s="10"/>
        <tr r="J42" s="10"/>
        <tr r="C19" s="11"/>
        <tr r="H13" s="9"/>
        <tr r="H13" s="9"/>
        <tr r="H13" s="9"/>
        <tr r="G99" s="11"/>
        <tr r="F48" s="11"/>
        <tr r="G77" s="11"/>
        <tr r="F16" s="11"/>
        <tr r="B159" s="11"/>
        <tr r="F199" s="11"/>
        <tr r="G121" s="11"/>
        <tr r="G38" s="10"/>
        <tr r="G38" s="10"/>
        <tr r="G38" s="10"/>
        <tr r="J25" s="10"/>
        <tr r="J25" s="10"/>
        <tr r="J25" s="10"/>
        <tr r="F82" s="11"/>
        <tr r="M27" s="9"/>
        <tr r="M27" s="9"/>
        <tr r="M27" s="9"/>
        <tr r="F194" s="11"/>
        <tr r="G26" s="9"/>
        <tr r="G26" s="9"/>
        <tr r="G26" s="9"/>
        <tr r="J13" s="8"/>
        <tr r="J13" s="8"/>
        <tr r="J13" s="8"/>
        <tr r="Q13" s="9"/>
        <tr r="Q13" s="9"/>
        <tr r="Q13" s="9"/>
        <tr r="F174" s="11"/>
        <tr r="B152" s="11"/>
        <tr r="F177" s="11"/>
        <tr r="F160" s="11"/>
        <tr r="G136" s="11"/>
        <tr r="G18" s="11"/>
        <tr r="K142" s="11"/>
        <tr r="H33" s="10"/>
        <tr r="H33" s="10"/>
        <tr r="H33" s="10"/>
        <tr r="J11" s="10"/>
        <tr r="J11" s="10"/>
        <tr r="J11" s="10"/>
        <tr r="F49" s="11"/>
        <tr r="Q6" s="9"/>
        <tr r="Q6" s="9"/>
        <tr r="Q6" s="9"/>
        <tr r="D24" s="9"/>
        <tr r="D24" s="9"/>
        <tr r="D24" s="9"/>
        <tr r="D18" s="9"/>
        <tr r="D18" s="9"/>
        <tr r="D18" s="9"/>
        <tr r="K88" s="11"/>
        <tr r="G18" s="9"/>
        <tr r="G18" s="9"/>
        <tr r="G18" s="9"/>
        <tr r="B215" s="11"/>
        <tr r="K45" s="11"/>
        <tr r="C93" s="11"/>
        <tr r="B174" s="11"/>
        <tr r="C67" s="11"/>
        <tr r="B62" s="11"/>
        <tr r="C65" s="11"/>
        <tr r="G84" s="11"/>
        <tr r="H130" s="11"/>
        <tr r="K16" s="9"/>
        <tr r="K16" s="9"/>
        <tr r="K16" s="9"/>
        <tr r="G37" s="9"/>
        <tr r="G37" s="9"/>
        <tr r="G37" s="9"/>
        <tr r="K33" s="3"/>
        <tr r="K33" s="3"/>
        <tr r="K33" s="3"/>
        <tr r="Q34" s="10"/>
        <tr r="Q34" s="10"/>
        <tr r="Q34" s="10"/>
        <tr r="B144" s="11"/>
        <tr r="S29" s="9"/>
        <tr r="S29" s="9"/>
        <tr r="S29" s="9"/>
        <tr r="T13" s="9"/>
        <tr r="T13" s="9"/>
        <tr r="T13" s="9"/>
        <tr r="K111" s="11"/>
        <tr r="L9" s="11"/>
        <tr r="Q34" s="9"/>
        <tr r="Q34" s="9"/>
        <tr r="Q34" s="9"/>
        <tr r="G22" s="10"/>
        <tr r="G22" s="10"/>
        <tr r="G22" s="10"/>
        <tr r="F53" s="11"/>
        <tr r="B211" s="11"/>
        <tr r="G157" s="11"/>
        <tr r="G48" s="11"/>
        <tr r="C62" s="11"/>
        <tr r="H85" s="11"/>
        <tr r="K126" s="11"/>
        <tr r="F70" s="11"/>
        <tr r="G57" s="11"/>
        <tr r="K82" s="11"/>
        <tr r="C108" s="11"/>
        <tr r="G133" s="11"/>
        <tr r="G32" s="1"/>
        <tr r="G32" s="1"/>
        <tr r="C58" s="11"/>
        <tr r="C209" s="11"/>
        <tr r="G11" s="10"/>
        <tr r="G11" s="10"/>
        <tr r="G11" s="10"/>
        <tr r="K54" s="11"/>
        <tr r="C95" s="11"/>
        <tr r="K119" s="11"/>
        <tr r="L168" s="11"/>
        <tr r="G138" s="11"/>
        <tr r="K76" s="11"/>
        <tr r="G175" s="11"/>
        <tr r="G214" s="11"/>
        <tr r="K27" s="11"/>
        <tr r="G46" s="11"/>
        <tr r="H147" s="11"/>
        <tr r="J27" s="9"/>
        <tr r="J27" s="9"/>
        <tr r="J27" s="9"/>
        <tr r="C15" s="1"/>
        <tr r="C15" s="1"/>
        <tr r="H159" s="11"/>
        <tr r="F40" s="11"/>
        <tr r="K58" s="11"/>
        <tr r="G208" s="11"/>
        <tr r="H179" s="11"/>
        <tr r="C199" s="11"/>
        <tr r="D19" s="1"/>
        <tr r="D19" s="1"/>
        <tr r="F62" s="1"/>
        <tr r="F62" s="1"/>
        <tr r="F58" s="1"/>
        <tr r="F58" s="1"/>
        <tr r="K155" s="11"/>
        <tr r="K215" s="11"/>
        <tr r="H119" s="11"/>
        <tr r="E10" s="1"/>
        <tr r="E10" s="1"/>
        <tr r="H83" s="11"/>
        <tr r="H199" s="11"/>
        <tr r="F35" s="1"/>
        <tr r="F35" s="1"/>
        <tr r="L214" s="11"/>
        <tr r="G95" s="11"/>
        <tr r="G215" s="11"/>
        <tr r="C7" s="1"/>
        <tr r="E52" s="1"/>
        <tr r="E52" s="1"/>
        <tr r="D63" s="1"/>
        <tr r="D63" s="1"/>
        <tr r="C36" s="1"/>
        <tr r="C36" s="1"/>
        <tr r="G118" s="11"/>
        <tr r="K18" s="3"/>
        <tr r="K18" s="3"/>
        <tr r="K18" s="3"/>
        <tr r="G134" s="11"/>
        <tr r="K50" s="11"/>
        <tr r="K181" s="11"/>
        <tr r="K180" s="11"/>
        <tr r="C11" s="1"/>
        <tr r="E11" s="1"/>
        <tr r="E11" s="1"/>
        <tr r="D34" s="9"/>
        <tr r="D34" s="9"/>
        <tr r="D34" s="9"/>
        <tr r="H28" s="10"/>
        <tr r="H28" s="10"/>
        <tr r="H28" s="10"/>
        <tr r="P33" s="9"/>
        <tr r="P33" s="9"/>
        <tr r="P33" s="9"/>
        <tr r="F187" s="11"/>
        <tr r="G52" s="11"/>
        <tr r="H12" s="8"/>
        <tr r="H12" s="8"/>
        <tr r="H12" s="8"/>
        <tr r="P28" s="9"/>
        <tr r="P28" s="9"/>
        <tr r="P28" s="9"/>
        <tr r="F155" s="11"/>
        <tr r="G45" s="10"/>
        <tr r="G45" s="10"/>
        <tr r="G45" s="10"/>
        <tr r="J23" s="10"/>
        <tr r="J23" s="10"/>
        <tr r="J23" s="10"/>
        <tr r="F71" s="11"/>
        <tr r="Q20" s="9"/>
        <tr r="Q20" s="9"/>
        <tr r="Q20" s="9"/>
        <tr r="H20" s="9"/>
        <tr r="H20" s="9"/>
        <tr r="H20" s="9"/>
        <tr r="Q38" s="9"/>
        <tr r="Q38" s="9"/>
        <tr r="Q38" s="9"/>
        <tr r="B146" s="11"/>
        <tr r="S40" s="9"/>
        <tr r="S40" s="9"/>
        <tr r="S40" s="9"/>
        <tr r="N24" s="9"/>
        <tr r="N24" s="9"/>
        <tr r="N24" s="9"/>
        <tr r="D33" s="9"/>
        <tr r="D33" s="9"/>
        <tr r="D33" s="9"/>
        <tr r="C113" s="11"/>
        <tr r="K1255" s="11"/>
        <tr r="E21" s="10"/>
        <tr r="E21" s="10"/>
        <tr r="E21" s="10"/>
        <tr r="N42" s="10"/>
        <tr r="N42" s="10"/>
        <tr r="N42" s="10"/>
        <tr r="F17" s="11"/>
        <tr r="D6" s="9"/>
        <tr r="D6" s="9"/>
        <tr r="D6" s="9"/>
        <tr r="K18" s="9"/>
        <tr r="K18" s="9"/>
        <tr r="K18" s="9"/>
        <tr r="C68" s="11"/>
        <tr r="D13" s="10"/>
        <tr r="D13" s="10"/>
        <tr r="D13" s="10"/>
        <tr r="Q43" s="9"/>
        <tr r="Q43" s="9"/>
        <tr r="Q43" s="9"/>
        <tr r="D15" s="8"/>
        <tr r="D15" s="8"/>
        <tr r="D15" s="8"/>
        <tr r="E33" s="8"/>
        <tr r="E33" s="8"/>
        <tr r="E33" s="8"/>
        <tr r="K1271" s="11"/>
        <tr r="E26" s="10"/>
        <tr r="E26" s="10"/>
        <tr r="E26" s="10"/>
        <tr r="S5" s="9"/>
        <tr r="S5" s="9"/>
        <tr r="S5" s="9"/>
        <tr r="C31" s="11"/>
        <tr r="P50" s="8"/>
        <tr r="P50" s="8"/>
        <tr r="P50" s="8"/>
        <tr r="F134" s="11"/>
        <tr r="C100" s="11"/>
        <tr r="E34" s="10"/>
        <tr r="E34" s="10"/>
        <tr r="E34" s="10"/>
        <tr r="M33" s="9"/>
        <tr r="M33" s="9"/>
        <tr r="M33" s="9"/>
        <tr r="H34" s="8"/>
        <tr r="H34" s="8"/>
        <tr r="H34" s="8"/>
        <tr r="M25" s="10"/>
        <tr r="M25" s="10"/>
        <tr r="M25" s="10"/>
        <tr r="K27" s="9"/>
        <tr r="K27" s="9"/>
        <tr r="K27" s="9"/>
        <tr r="P39" s="10"/>
        <tr r="P39" s="10"/>
        <tr r="P39" s="10"/>
        <tr r="Q40" s="10"/>
        <tr r="Q40" s="10"/>
        <tr r="Q40" s="10"/>
        <tr r="B128" s="11"/>
        <tr r="G33" s="9"/>
        <tr r="G33" s="9"/>
        <tr r="G33" s="9"/>
        <tr r="G9" s="9"/>
        <tr r="G9" s="9"/>
        <tr r="G9" s="9"/>
        <tr r="D30" s="9"/>
        <tr r="D30" s="9"/>
        <tr r="D30" s="9"/>
        <tr r="F204" s="11"/>
        <tr r="G10" s="11"/>
        <tr r="K31" s="9"/>
        <tr r="K31" s="9"/>
        <tr r="K31" s="9"/>
        <tr r="J18" s="8"/>
        <tr r="J18" s="8"/>
        <tr r="J18" s="8"/>
        <tr r="S32" s="9"/>
        <tr r="S32" s="9"/>
        <tr r="S32" s="9"/>
        <tr r="Q10" s="9"/>
        <tr r="Q10" s="9"/>
        <tr r="Q10" s="9"/>
        <tr r="H17" s="9"/>
        <tr r="H17" s="9"/>
        <tr r="H17" s="9"/>
        <tr r="B87" s="11"/>
        <tr r="B117" s="11"/>
        <tr r="Q25" s="8"/>
        <tr r="Q25" s="8"/>
        <tr r="Q25" s="8"/>
        <tr r="Q13" s="8"/>
        <tr r="Q13" s="8"/>
        <tr r="Q13" s="8"/>
        <tr r="N45" s="9"/>
        <tr r="N45" s="9"/>
        <tr r="N45" s="9"/>
        <tr r="N11" s="9"/>
        <tr r="N11" s="9"/>
        <tr r="N11" s="9"/>
        <tr r="I1208" s="11"/>
        <tr r="G29" s="8"/>
        <tr r="G29" s="8"/>
        <tr r="G29" s="8"/>
        <tr r="F93" s="11"/>
        <tr r="F124" s="11"/>
        <tr r="J48" s="10"/>
        <tr r="J48" s="10"/>
        <tr r="J48" s="10"/>
        <tr r="E23" s="9"/>
        <tr r="E23" s="9"/>
        <tr r="E23" s="9"/>
        <tr r="F36" s="11"/>
        <tr r="J14" s="8"/>
        <tr r="J14" s="8"/>
        <tr r="J14" s="8"/>
        <tr r="P26" s="10"/>
        <tr r="P26" s="10"/>
        <tr r="P26" s="10"/>
        <tr r="N44" s="10"/>
        <tr r="N44" s="10"/>
        <tr r="N44" s="10"/>
        <tr r="S19" s="9"/>
        <tr r="S19" s="9"/>
        <tr r="S19" s="9"/>
        <tr r="T50" s="9"/>
        <tr r="T50" s="9"/>
        <tr r="T50" s="9"/>
        <tr r="H7" s="11"/>
        <tr r="K8" s="8"/>
        <tr r="K8" s="8"/>
        <tr r="K8" s="8"/>
        <tr r="T11" s="9"/>
        <tr r="T11" s="9"/>
        <tr r="T11" s="9"/>
        <tr r="G42" s="11"/>
        <tr r="J14" s="10"/>
        <tr r="J14" s="10"/>
        <tr r="J14" s="10"/>
        <tr r="G6" s="10"/>
        <tr r="G6" s="10"/>
        <tr r="G6" s="10"/>
        <tr r="S24" s="9"/>
        <tr r="S24" s="9"/>
        <tr r="S24" s="9"/>
        <tr r="S38" s="9"/>
        <tr r="S38" s="9"/>
        <tr r="S38" s="9"/>
        <tr r="B150" s="11"/>
        <tr r="Q8" s="9"/>
        <tr r="Q8" s="9"/>
        <tr r="Q8" s="9"/>
        <tr r="K19" s="3"/>
        <tr r="K19" s="3"/>
        <tr r="K19" s="3"/>
        <tr r="C98" s="11"/>
        <tr r="E5" s="10"/>
        <tr r="E5" s="10"/>
        <tr r="E5" s="10"/>
        <tr r="B177" s="11"/>
        <tr r="C45" s="1"/>
        <tr r="C45" s="1"/>
        <tr r="K213" s="11"/>
        <tr r="T42" s="9"/>
        <tr r="T42" s="9"/>
        <tr r="T42" s="9"/>
        <tr r="Q32" s="8"/>
        <tr r="Q32" s="8"/>
        <tr r="Q32" s="8"/>
        <tr r="G7" s="10"/>
        <tr r="G7" s="10"/>
        <tr r="G7" s="10"/>
        <tr r="K65" s="11"/>
        <tr r="H16" s="9"/>
        <tr r="H16" s="9"/>
        <tr r="H16" s="9"/>
        <tr r="C43" s="11"/>
        <tr r="M23" s="10"/>
        <tr r="M23" s="10"/>
        <tr r="M23" s="10"/>
        <tr r="T35" s="9"/>
        <tr r="T35" s="9"/>
        <tr r="T35" s="9"/>
        <tr r="J12" s="9"/>
        <tr r="J12" s="9"/>
        <tr r="J12" s="9"/>
        <tr r="H8" s="10"/>
        <tr r="H8" s="10"/>
        <tr r="H8" s="10"/>
        <tr r="C69" s="11"/>
        <tr r="C27" s="11"/>
        <tr r="B209" s="11"/>
        <tr r="G23" s="11"/>
        <tr r="H46" s="11"/>
        <tr r="H18" s="10"/>
        <tr r="H18" s="10"/>
        <tr r="H18" s="10"/>
        <tr r="J43" s="10"/>
        <tr r="J43" s="10"/>
        <tr r="J43" s="10"/>
        <tr r="F154" s="11"/>
        <tr r="M24" s="9"/>
        <tr r="M24" s="9"/>
        <tr r="M24" s="9"/>
        <tr r="B35" s="11"/>
        <tr r="B24" s="11"/>
        <tr r="M28" s="10"/>
        <tr r="M28" s="10"/>
        <tr r="M28" s="10"/>
        <tr r="Q50" s="10"/>
        <tr r="Q50" s="10"/>
        <tr r="Q50" s="10"/>
        <tr r="H108" s="11"/>
        <tr r="F168" s="11"/>
        <tr r="B68" s="11"/>
        <tr r="G116" s="11"/>
        <tr r="B58" s="11"/>
        <tr r="F153" s="11"/>
        <tr r="K68" s="11"/>
        <tr r="C89" s="11"/>
        <tr r="C22" s="1"/>
        <tr r="C22" s="1"/>
        <tr r="G44" s="11"/>
        <tr r="P46" s="9"/>
        <tr r="P46" s="9"/>
        <tr r="P46" s="9"/>
        <tr r="B195" s="11"/>
        <tr r="Q18" s="10"/>
        <tr r="Q18" s="10"/>
        <tr r="Q18" s="10"/>
        <tr r="F41" s="11"/>
        <tr r="H39" s="10"/>
        <tr r="H39" s="10"/>
        <tr r="H39" s="10"/>
        <tr r="J40" s="10"/>
        <tr r="J40" s="10"/>
        <tr r="J40" s="10"/>
        <tr r="F133" s="11"/>
        <tr r="G27" s="9"/>
        <tr r="G27" s="9"/>
        <tr r="G27" s="9"/>
        <tr r="B10" s="11"/>
        <tr r="B208" s="11"/>
        <tr r="B199" s="11"/>
        <tr r="K92" s="11"/>
        <tr r="K117" s="11"/>
        <tr r="L55" s="11"/>
        <tr r="B82" s="11"/>
        <tr r="M22" s="9"/>
        <tr r="M22" s="9"/>
        <tr r="M22" s="9"/>
        <tr r="K159" s="11"/>
        <tr r="Q28" s="10"/>
        <tr r="Q28" s="10"/>
        <tr r="Q28" s="10"/>
        <tr r="F51" s="11"/>
        <tr r="K13" s="9"/>
        <tr r="K13" s="9"/>
        <tr r="K13" s="9"/>
        <tr r="M30" s="9"/>
        <tr r="M30" s="9"/>
        <tr r="M30" s="9"/>
        <tr r="K11" s="3"/>
        <tr r="K11" s="3"/>
        <tr r="K11" s="3"/>
        <tr r="P5" s="10"/>
        <tr r="P5" s="10"/>
        <tr r="P5" s="10"/>
        <tr r="F121" s="11"/>
        <tr r="B22" s="11"/>
        <tr r="F61" s="11"/>
        <tr r="G151" s="11"/>
        <tr r="F68" s="11"/>
        <tr r="C124" s="11"/>
        <tr r="G39" s="1"/>
        <tr r="G39" s="1"/>
        <tr r="H40" s="10"/>
        <tr r="H40" s="10"/>
        <tr r="H40" s="10"/>
        <tr r="G28" s="9"/>
        <tr r="G28" s="9"/>
        <tr r="G28" s="9"/>
        <tr r="J13" s="9"/>
        <tr r="J13" s="9"/>
        <tr r="J13" s="9"/>
        <tr r="J17" s="8"/>
        <tr r="J17" s="8"/>
        <tr r="J17" s="8"/>
        <tr r="D47" s="9"/>
        <tr r="D47" s="9"/>
        <tr r="D47" s="9"/>
        <tr r="C157" s="11"/>
        <tr r="J16" s="10"/>
        <tr r="J16" s="10"/>
        <tr r="J16" s="10"/>
        <tr r="E11" s="3"/>
        <tr r="E11" s="3"/>
        <tr r="E11" s="3"/>
        <tr r="F116" s="11"/>
        <tr r="E47" s="9"/>
        <tr r="E47" s="9"/>
        <tr r="E47" s="9"/>
        <tr r="G19" s="11"/>
        <tr r="T45" s="9"/>
        <tr r="T45" s="9"/>
        <tr r="T45" s="9"/>
        <tr r="B108" s="11"/>
        <tr r="C152" s="11"/>
        <tr r="E39" s="1"/>
        <tr r="E39" s="1"/>
        <tr r="H34" s="10"/>
        <tr r="H34" s="10"/>
        <tr r="H34" s="10"/>
        <tr r="E35" s="9"/>
        <tr r="E35" s="9"/>
        <tr r="E35" s="9"/>
        <tr r="H41" s="11"/>
        <tr r="G5" s="10"/>
        <tr r="G5" s="10"/>
        <tr r="G5" s="10"/>
        <tr r="E20" s="9"/>
        <tr r="E20" s="9"/>
        <tr r="E20" s="9"/>
        <tr r="H19" s="9"/>
        <tr r="H19" s="9"/>
        <tr r="H19" s="9"/>
        <tr r="J18" s="10"/>
        <tr r="J18" s="10"/>
        <tr r="J18" s="10"/>
        <tr r="F43" s="11"/>
        <tr r="K40" s="9"/>
        <tr r="K40" s="9"/>
        <tr r="K40" s="9"/>
        <tr r="B18" s="11"/>
        <tr r="T8" s="9"/>
        <tr r="T8" s="9"/>
        <tr r="T8" s="9"/>
        <tr r="K41" s="11"/>
        <tr r="F56" s="11"/>
        <tr r="G65" s="1"/>
        <tr r="G65" s="1"/>
        <tr r="K214" s="11"/>
        <tr r="L65" s="11"/>
        <tr r="H144" s="11"/>
        <tr r="M37" s="10"/>
        <tr r="M37" s="10"/>
        <tr r="M37" s="10"/>
        <tr r="J5" s="10"/>
        <tr r="J5" s="10"/>
        <tr r="J5" s="10"/>
        <tr r="C179" s="11"/>
        <tr r="D28" s="9"/>
        <tr r="D28" s="9"/>
        <tr r="D28" s="9"/>
        <tr r="Q46" s="9"/>
        <tr r="Q46" s="9"/>
        <tr r="Q46" s="9"/>
        <tr r="B33" s="11"/>
        <tr r="F148" s="11"/>
        <tr r="G30" s="9"/>
        <tr r="G30" s="9"/>
        <tr r="G30" s="9"/>
        <tr r="K87" s="11"/>
        <tr r="M20" s="9"/>
        <tr r="M20" s="9"/>
        <tr r="M20" s="9"/>
        <tr r="H25" s="10"/>
        <tr r="H25" s="10"/>
        <tr r="H25" s="10"/>
        <tr r="B133" s="11"/>
        <tr r="K5" s="9"/>
        <tr r="K5" s="9"/>
        <tr r="K5" s="9"/>
        <tr r="H74" s="11"/>
        <tr r="B28" s="11"/>
        <tr r="F12" s="11"/>
        <tr r="K102" s="11"/>
        <tr r="L90" s="11"/>
        <tr r="K120" s="11"/>
        <tr r="K101" s="11"/>
        <tr r="H35" s="11"/>
        <tr r="F207" s="11"/>
        <tr r="C148" s="11"/>
        <tr r="L49" s="11"/>
        <tr r="G86" s="11"/>
        <tr r="C112" s="11"/>
        <tr r="B94" s="11"/>
        <tr r="Q48" s="10"/>
        <tr r="Q48" s="10"/>
        <tr r="Q48" s="10"/>
        <tr r="H207" s="11"/>
        <tr r="H177" s="11"/>
        <tr r="L182" s="11"/>
        <tr r="G8" s="11"/>
        <tr r="G120" s="11"/>
        <tr r="E15" s="3"/>
        <tr r="E15" s="3"/>
        <tr r="E15" s="3"/>
        <tr r="J30" s="9"/>
        <tr r="J30" s="9"/>
        <tr r="J30" s="9"/>
        <tr r="G165" s="11"/>
        <tr r="C9" s="11"/>
        <tr r="H203" s="11"/>
        <tr r="C11" s="11"/>
        <tr r="G98" s="11"/>
        <tr r="H194" s="11"/>
        <tr r="F28" s="11"/>
        <tr r="G110" s="11"/>
        <tr r="D38" s="1"/>
        <tr r="D38" s="1"/>
        <tr r="E20" s="1"/>
        <tr r="E20" s="1"/>
        <tr r="E20" s="1"/>
        <tr r="D64" s="1"/>
        <tr r="D64" s="1"/>
        <tr r="K160" s="11"/>
        <tr r="K66" s="11"/>
        <tr r="F81" s="11"/>
        <tr r="G93" s="11"/>
        <tr r="K125" s="11"/>
        <tr r="C139" s="11"/>
        <tr r="G51" s="1"/>
        <tr r="G51" s="1"/>
        <tr r="D32" s="1"/>
        <tr r="D32" s="1"/>
        <tr r="E67" s="1"/>
        <tr r="E67" s="1"/>
        <tr r="H151" s="11"/>
        <tr r="H38" s="9"/>
        <tr r="H38" s="9"/>
        <tr r="H38" s="9"/>
        <tr r="H11" s="11"/>
        <tr r="H28" s="11"/>
        <tr r="C48" s="1"/>
        <tr r="C48" s="1"/>
        <tr r="G67" s="1"/>
        <tr r="G67" s="1"/>
        <tr r="E62" s="1"/>
        <tr r="E62" s="1"/>
        <tr r="E47" s="1"/>
        <tr r="E47" s="1"/>
        <tr r="H60" s="11"/>
        <tr r="G40" s="10"/>
        <tr r="G40" s="10"/>
        <tr r="G40" s="10"/>
        <tr r="D53" s="1"/>
        <tr r="D53" s="1"/>
        <tr r="H76" s="11"/>
        <tr r="H72" s="11"/>
        <tr r="E9" s="1"/>
        <tr r="E9" s="1"/>
        <tr r="C10" s="1"/>
        <tr r="D50" s="1"/>
        <tr r="D50" s="1"/>
        <tr r="E10" s="10"/>
        <tr r="E10" s="10"/>
        <tr r="E10" s="10"/>
        <tr r="C101" s="11"/>
        <tr r="E8" s="9"/>
        <tr r="E8" s="9"/>
        <tr r="E8" s="9"/>
        <tr r="P43" s="9"/>
        <tr r="P43" s="9"/>
        <tr r="P43" s="9"/>
        <tr r="F21" s="11"/>
        <tr r="H165" s="11"/>
        <tr r="N22" s="9"/>
        <tr r="N22" s="9"/>
        <tr r="N22" s="9"/>
        <tr r="M9" s="10"/>
        <tr r="M9" s="10"/>
        <tr r="M9" s="10"/>
        <tr r="N28" s="10"/>
        <tr r="N28" s="10"/>
        <tr r="N28" s="10"/>
        <tr r="H38" s="10"/>
        <tr r="H38" s="10"/>
        <tr r="H38" s="10"/>
        <tr r="S41" s="9"/>
        <tr r="S41" s="9"/>
        <tr r="S41" s="9"/>
        <tr r="E34" s="9"/>
        <tr r="E34" s="9"/>
        <tr r="E34" s="9"/>
        <tr r="B178" s="11"/>
        <tr r="E39" s="9"/>
        <tr r="E39" s="9"/>
        <tr r="E39" s="9"/>
        <tr r="F158" s="11"/>
        <tr r="M38" s="10"/>
        <tr r="M38" s="10"/>
        <tr r="M38" s="10"/>
        <tr r="J29" s="9"/>
        <tr r="J29" s="9"/>
        <tr r="J29" s="9"/>
        <tr r="B75" s="11"/>
        <tr r="F147" s="11"/>
        <tr r="B44" s="11"/>
        <tr r="D16" s="3"/>
        <tr r="D16" s="3"/>
        <tr r="D16" s="3"/>
        <tr r="G17" s="9"/>
        <tr r="G17" s="9"/>
        <tr r="G17" s="9"/>
        <tr r="B55" s="11"/>
        <tr r="P37" s="10"/>
        <tr r="P37" s="10"/>
        <tr r="P37" s="10"/>
        <tr r="B51" s="11"/>
        <tr r="D29" s="9"/>
        <tr r="D29" s="9"/>
        <tr r="D29" s="9"/>
        <tr r="L70" s="11"/>
        <tr r="E1229" s="11"/>
        <tr r="D46" s="8"/>
        <tr r="D46" s="8"/>
        <tr r="D46" s="8"/>
        <tr r="P32" s="10"/>
        <tr r="P32" s="10"/>
        <tr r="P32" s="10"/>
        <tr r="P36" s="9"/>
        <tr r="P36" s="9"/>
        <tr r="P36" s="9"/>
        <tr r="D32" s="3"/>
        <tr r="D32" s="3"/>
        <tr r="D32" s="3"/>
        <tr r="K81" s="11"/>
        <tr r="H30" s="8"/>
        <tr r="H30" s="8"/>
        <tr r="H30" s="8"/>
        <tr r="H46" s="8"/>
        <tr r="H46" s="8"/>
        <tr r="H46" s="8"/>
        <tr r="J21" s="9"/>
        <tr r="J21" s="9"/>
        <tr r="J21" s="9"/>
        <tr r="F128" s="11"/>
        <tr r="H40" s="8"/>
        <tr r="H40" s="8"/>
        <tr r="H40" s="8"/>
        <tr r="P25" s="9"/>
        <tr r="P25" s="9"/>
        <tr r="P25" s="9"/>
        <tr r="K16" s="11"/>
        <tr r="H14" s="10"/>
        <tr r="H14" s="10"/>
        <tr r="H14" s="10"/>
        <tr r="J31" s="10"/>
        <tr r="J31" s="10"/>
        <tr r="J31" s="10"/>
        <tr r="F125" s="11"/>
        <tr r="P32" s="9"/>
        <tr r="P32" s="9"/>
        <tr r="P32" s="9"/>
        <tr r="K33" s="9"/>
        <tr r="K33" s="9"/>
        <tr r="K33" s="9"/>
        <tr r="N47" s="9"/>
        <tr r="N47" s="9"/>
        <tr r="N47" s="9"/>
        <tr r="P34" s="8"/>
        <tr r="P34" s="8"/>
        <tr r="P34" s="8"/>
        <tr r="H28" s="9"/>
        <tr r="H28" s="9"/>
        <tr r="H28" s="9"/>
        <tr r="B116" s="11"/>
        <tr r="J50" s="9"/>
        <tr r="J50" s="9"/>
        <tr r="J50" s="9"/>
        <tr r="G33" s="1"/>
        <tr r="G33" s="1"/>
        <tr r="E1267" s="11"/>
        <tr r="E37" s="10"/>
        <tr r="E37" s="10"/>
        <tr r="E37" s="10"/>
        <tr r="N10" s="10"/>
        <tr r="N10" s="10"/>
        <tr r="N10" s="10"/>
        <tr r="N10" s="9"/>
        <tr r="N10" s="9"/>
        <tr r="N10" s="9"/>
        <tr r="N26" s="9"/>
        <tr r="N26" s="9"/>
        <tr r="N26" s="9"/>
        <tr r="F173" s="11"/>
        <tr r="K64" s="11"/>
        <tr r="D45" s="10"/>
        <tr r="D45" s="10"/>
        <tr r="D45" s="10"/>
        <tr r="M43" s="9"/>
        <tr r="M43" s="9"/>
        <tr r="M43" s="9"/>
        <tr r="D43" s="8"/>
        <tr r="D43" s="8"/>
        <tr r="D43" s="8"/>
        <tr r="J6" s="8"/>
        <tr r="J6" s="8"/>
        <tr r="J6" s="8"/>
        <tr r="E1283" s="11"/>
        <tr r="N39" s="10"/>
        <tr r="N39" s="10"/>
        <tr r="N39" s="10"/>
        <tr r="N24" s="10"/>
        <tr r="N24" s="10"/>
        <tr r="N24" s="10"/>
        <tr r="J25" s="9"/>
        <tr r="J25" s="9"/>
        <tr r="J25" s="9"/>
        <tr r="H27" s="10"/>
        <tr r="H27" s="10"/>
        <tr r="H27" s="10"/>
        <tr r="E33" s="9"/>
        <tr r="E33" s="9"/>
        <tr r="E33" s="9"/>
        <tr r="C96" s="11"/>
        <tr r="G9" s="10"/>
        <tr r="G9" s="10"/>
        <tr r="G9" s="10"/>
        <tr r="Q27" s="10"/>
        <tr r="Q27" s="10"/>
        <tr r="Q27" s="10"/>
        <tr r="D19" s="9"/>
        <tr r="D19" s="9"/>
        <tr r="D19" s="9"/>
        <tr r="B17" s="11"/>
        <tr r="H9" s="9"/>
        <tr r="H9" s="9"/>
        <tr r="H9" s="9"/>
        <tr r="C21" s="11"/>
        <tr r="Q16" s="10"/>
        <tr r="Q16" s="10"/>
        <tr r="Q16" s="10"/>
        <tr r="Q34" s="8"/>
        <tr r="Q34" s="8"/>
        <tr r="Q34" s="8"/>
        <tr r="H45" s="10"/>
        <tr r="H45" s="10"/>
        <tr r="H45" s="10"/>
        <tr r="J46" s="10"/>
        <tr r="J46" s="10"/>
        <tr r="J46" s="10"/>
        <tr r="B176" s="11"/>
        <tr r="M31" s="9"/>
        <tr r="M31" s="9"/>
        <tr r="M31" s="9"/>
        <tr r="B148" s="11"/>
        <tr r="K31" s="11"/>
        <tr r="K47" s="9"/>
        <tr r="K47" s="9"/>
        <tr r="K47" s="9"/>
        <tr r="C4" s="11"/>
        <tr r="K162" s="11"/>
        <tr r="K170" s="11"/>
        <tr r="H61" s="11"/>
        <tr r="B198" s="11"/>
        <tr r="L137" s="11"/>
        <tr r="B49" s="11"/>
        <tr r="J14" s="9"/>
        <tr r="J14" s="9"/>
        <tr r="J14" s="9"/>
        <tr r="G9" s="11"/>
        <tr r="Q10" s="10"/>
        <tr r="Q10" s="10"/>
        <tr r="Q10" s="10"/>
        <tr r="G15" s="10"/>
        <tr r="G15" s="10"/>
        <tr r="G15" s="10"/>
        <tr r="H31" s="10"/>
        <tr r="H31" s="10"/>
        <tr r="H31" s="10"/>
        <tr r="J32" s="10"/>
        <tr r="J32" s="10"/>
        <tr r="J32" s="10"/>
        <tr r="F75" s="11"/>
        <tr r="S16" s="9"/>
        <tr r="S16" s="9"/>
        <tr r="S16" s="9"/>
        <tr r="B158" s="11"/>
        <tr r="F67" s="1"/>
        <tr r="F67" s="1"/>
        <tr r="Q28" s="8"/>
        <tr r="Q28" s="8"/>
        <tr r="Q28" s="8"/>
        <tr r="B202" s="11"/>
        <tr r="K18" s="11"/>
        <tr r="I52" s="1"/>
        <tr r="I52" s="1"/>
        <tr r="I52" s="1"/>
        <tr r="Q11" s="9"/>
        <tr r="Q11" s="9"/>
        <tr r="Q11" s="9"/>
        <tr r="Q42" s="9"/>
        <tr r="Q42" s="9"/>
        <tr r="Q42" s="9"/>
        <tr r="M29" s="9"/>
        <tr r="M29" s="9"/>
        <tr r="M29" s="9"/>
        <tr r="H65" s="11"/>
        <tr r="S26" s="9"/>
        <tr r="S26" s="9"/>
        <tr r="S26" s="9"/>
        <tr r="H109" s="11"/>
        <tr r="J34" s="10"/>
        <tr r="J34" s="10"/>
        <tr r="J34" s="10"/>
        <tr r="F146" s="11"/>
        <tr r="H18" s="9"/>
        <tr r="H18" s="9"/>
        <tr r="H18" s="9"/>
        <tr r="F46" s="11"/>
        <tr r="G16" s="9"/>
        <tr r="G16" s="9"/>
        <tr r="G16" s="9"/>
        <tr r="C40" s="11"/>
        <tr r="G51" s="11"/>
        <tr r="M35" s="9"/>
        <tr r="M35" s="9"/>
        <tr r="M35" s="9"/>
        <tr r="K70" s="11"/>
        <tr r="K100" s="11"/>
        <tr r="H134" s="11"/>
        <tr r="J17" s="10"/>
        <tr r="J17" s="10"/>
        <tr r="J17" s="10"/>
        <tr r="F39" s="11"/>
        <tr r="P41" s="10"/>
        <tr r="P41" s="10"/>
        <tr r="P41" s="10"/>
        <tr r="Q33" s="9"/>
        <tr r="Q33" s="9"/>
        <tr r="Q33" s="9"/>
        <tr r="C149" s="11"/>
        <tr r="K48" s="9"/>
        <tr r="K48" s="9"/>
        <tr r="K48" s="9"/>
        <tr r="P9" s="9"/>
        <tr r="P9" s="9"/>
        <tr r="P9" s="9"/>
        <tr r="D38" s="9"/>
        <tr r="D38" s="9"/>
        <tr r="D38" s="9"/>
        <tr r="T43" s="9"/>
        <tr r="T43" s="9"/>
        <tr r="T43" s="9"/>
        <tr r="G36" s="11"/>
        <tr r="N39" s="9"/>
        <tr r="N39" s="9"/>
        <tr r="N39" s="9"/>
        <tr r="F131" s="11"/>
        <tr r="C106" s="11"/>
        <tr r="G142" s="11"/>
        <tr r="G45" s="1"/>
        <tr r="G45" s="1"/>
        <tr r="E9" s="10"/>
        <tr r="E9" s="10"/>
        <tr r="E9" s="10"/>
        <tr r="F7" s="11"/>
        <tr r="P43" s="10"/>
        <tr r="P43" s="10"/>
        <tr r="P43" s="10"/>
        <tr r="E48" s="9"/>
        <tr r="E48" s="9"/>
        <tr r="E48" s="9"/>
        <tr r="H173" s="11"/>
        <tr r="B65" s="11"/>
        <tr r="G21" s="9"/>
        <tr r="G21" s="9"/>
        <tr r="G21" s="9"/>
        <tr r="K69" s="11"/>
        <tr r="F162" s="11"/>
        <tr r="H149" s="11"/>
        <tr r="K40" s="11"/>
        <tr r="G68" s="11"/>
        <tr r="B157" s="11"/>
        <tr r="H75" s="11"/>
        <tr r="F201" s="11"/>
        <tr r="H155" s="11"/>
        <tr r="P13" s="9"/>
        <tr r="P13" s="9"/>
        <tr r="P13" s="9"/>
        <tr r="E5" s="9"/>
        <tr r="E5" s="9"/>
        <tr r="E5" s="9"/>
        <tr r="G114" s="11"/>
        <tr r="Q26" s="10"/>
        <tr r="Q26" s="10"/>
        <tr r="Q26" s="10"/>
        <tr r="F85" s="11"/>
        <tr r="Q50" s="9"/>
        <tr r="Q50" s="9"/>
        <tr r="Q50" s="9"/>
        <tr r="Q31" s="9"/>
        <tr r="Q31" s="9"/>
        <tr r="Q31" s="9"/>
        <tr r="F190" s="11"/>
        <tr r="J9" s="9"/>
        <tr r="J9" s="9"/>
        <tr r="J9" s="9"/>
        <tr r="B50" s="11"/>
        <tr r="K179" s="11"/>
        <tr r="K128" s="11"/>
        <tr r="F205" s="11"/>
        <tr r="K19" s="11"/>
        <tr r="C32" s="1"/>
        <tr r="C32" s="1"/>
        <tr r="G15" s="9"/>
        <tr r="G15" s="9"/>
        <tr r="G15" s="9"/>
        <tr r="K95" s="11"/>
        <tr r="B166" s="11"/>
        <tr r="N9" s="10"/>
        <tr r="N9" s="10"/>
        <tr r="N9" s="10"/>
        <tr r="T48" s="9"/>
        <tr r="T48" s="9"/>
        <tr r="T48" s="9"/>
        <tr r="G41" s="11"/>
        <tr r="Q37" s="9"/>
        <tr r="Q37" s="9"/>
        <tr r="Q37" s="9"/>
        <tr r="K191" s="11"/>
        <tr r="J34" s="9"/>
        <tr r="J34" s="9"/>
        <tr r="J34" s="9"/>
        <tr r="M14" s="9"/>
        <tr r="M14" s="9"/>
        <tr r="M14" s="9"/>
        <tr r="G106" s="11"/>
        <tr r="K38" s="11"/>
        <tr r="D45" s="9"/>
        <tr r="D45" s="9"/>
        <tr r="D45" s="9"/>
        <tr r="C37" s="11"/>
        <tr r="G82" s="11"/>
        <tr r="K206" s="11"/>
        <tr r="H16" s="10"/>
        <tr r="H16" s="10"/>
        <tr r="H16" s="10"/>
        <tr r="J33" s="10"/>
        <tr r="J33" s="10"/>
        <tr r="J33" s="10"/>
        <tr r="F138" s="11"/>
        <tr r="B57" s="11"/>
        <tr r="D8" s="9"/>
        <tr r="D8" s="9"/>
        <tr r="D8" s="9"/>
        <tr r="F10" s="11"/>
        <tr r="G35" s="8"/>
        <tr r="G35" s="8"/>
        <tr r="G35" s="8"/>
        <tr r="J42" s="9"/>
        <tr r="J42" s="9"/>
        <tr r="J42" s="9"/>
        <tr r="F104" s="11"/>
        <tr r="K112" s="11"/>
        <tr r="H47" s="9"/>
        <tr r="H47" s="9"/>
        <tr r="H47" s="9"/>
        <tr r="J40" s="9"/>
        <tr r="J40" s="9"/>
        <tr r="J40" s="9"/>
        <tr r="G35" s="11"/>
        <tr r="J6" s="10"/>
        <tr r="J6" s="10"/>
        <tr r="J6" s="10"/>
        <tr r="L150" s="11"/>
        <tr r="B167" s="11"/>
        <tr r="G198" s="11"/>
        <tr r="H117" s="11"/>
        <tr r="H164" s="11"/>
        <tr r="C120" s="11"/>
        <tr r="K195" s="11"/>
        <tr r="F44" s="11"/>
        <tr r="K130" s="11"/>
        <tr r="F54" s="1"/>
        <tr r="F54" s="1"/>
        <tr r="K47" s="3"/>
        <tr r="K47" s="3"/>
        <tr r="K47" s="3"/>
        <tr r="C130" s="11"/>
        <tr r="G43" s="11"/>
        <tr r="C193" s="11"/>
        <tr r="G205" s="11"/>
        <tr r="C118" s="11"/>
        <tr r="H87" s="11"/>
        <tr r="F152" s="11"/>
        <tr r="C54" s="11"/>
        <tr r="G158" s="11"/>
        <tr r="B165" s="11"/>
        <tr r="L16" s="11"/>
        <tr r="C45" s="11"/>
        <tr r="K190" s="11"/>
        <tr r="K84" s="11"/>
        <tr r="C172" s="11"/>
        <tr r="I45" s="1"/>
        <tr r="I45" s="1"/>
        <tr r="I45" s="1"/>
        <tr r="H208" s="11"/>
        <tr r="C109" s="11"/>
        <tr r="K118" s="11"/>
        <tr r="H191" s="11"/>
        <tr r="C39" s="1"/>
        <tr r="C39" s="1"/>
        <tr r="H86" s="11"/>
        <tr r="H46" s="1"/>
        <tr r="H46" s="1"/>
        <tr r="G196" s="11"/>
        <tr r="F163" s="11"/>
        <tr r="G34" s="11"/>
        <tr r="C178" s="11"/>
        <tr r="C215" s="11"/>
        <tr r="F34" s="1"/>
        <tr r="F34" s="1"/>
        <tr r="H51" s="1"/>
        <tr r="H51" s="1"/>
        <tr r="H190" s="11"/>
        <tr r="C171" s="11"/>
        <tr r="G107" s="11"/>
        <tr r="G145" s="11"/>
        <tr r="H32" s="11"/>
        <tr r="K192" s="11"/>
        <tr r="H167" s="11"/>
        <tr r="E64" s="1"/>
        <tr r="E64" s="1"/>
        <tr r="D23" s="1"/>
        <tr r="D23" s="1"/>
        <tr r="E32" s="1"/>
        <tr r="E32" s="1"/>
        <tr r="K14" s="11"/>
        <tr r="G173" s="11"/>
        <tr r="K188" s="11"/>
        <tr r="H138" s="11"/>
        <tr r="H201" s="11"/>
        <tr r="F46" s="1"/>
        <tr r="F46" s="1"/>
        <tr r="H168" s="11"/>
        <tr r="B102" s="11"/>
        <tr r="G47" s="3"/>
        <tr r="G47" s="3"/>
        <tr r="G47" s="3"/>
        <tr r="H43" s="9"/>
        <tr r="H43" s="9"/>
        <tr r="H43" s="9"/>
        <tr r="B12" s="11"/>
        <tr r="F8" s="11"/>
        <tr r="L81" s="11"/>
        <tr r="K173" s="11"/>
        <tr r="F33" s="1"/>
        <tr r="F33" s="1"/>
        <tr r="J21" s="8"/>
        <tr r="J21" s="8"/>
        <tr r="J21" s="8"/>
        <tr r="H45" s="9"/>
        <tr r="H45" s="9"/>
        <tr r="H45" s="9"/>
        <tr r="C20" s="11"/>
        <tr r="Q44" s="10"/>
        <tr r="Q44" s="10"/>
        <tr r="Q44" s="10"/>
        <tr r="F157" s="11"/>
        <tr r="S22" s="9"/>
        <tr r="S22" s="9"/>
        <tr r="S22" s="9"/>
        <tr r="K49" s="11"/>
        <tr r="H53" s="11"/>
        <tr r="P22" s="9"/>
        <tr r="P22" s="9"/>
        <tr r="P22" s="9"/>
        <tr r="G25" s="11"/>
        <tr r="F50" s="11"/>
        <tr r="N43" s="9"/>
        <tr r="N43" s="9"/>
        <tr r="N43" s="9"/>
        <tr r="C79" s="11"/>
        <tr r="F192" s="11"/>
        <tr r="F171" s="11"/>
        <tr r="C36" s="11"/>
        <tr r="G146" s="11"/>
        <tr r="L75" s="11"/>
        <tr r="J33" s="9"/>
        <tr r="J33" s="9"/>
        <tr r="J33" s="9"/>
        <tr r="B26" s="11"/>
        <tr r="B207" s="11"/>
        <tr r="B182" s="11"/>
        <tr r="C53" s="11"/>
        <tr r="T25" s="9"/>
        <tr r="T25" s="9"/>
        <tr r="T25" s="9"/>
        <tr r="K62" s="11"/>
        <tr r="G16" s="11"/>
        <tr r="C49" s="11"/>
        <tr r="G193" s="11"/>
        <tr r="G66" s="11"/>
        <tr r="C216" s="11"/>
        <tr r="K67" s="11"/>
        <tr r="H143" s="11"/>
        <tr r="C212" s="11"/>
        <tr r="H127" s="11"/>
        <tr r="H162" s="11"/>
        <tr r="H176" s="11"/>
        <tr r="I49" s="1"/>
        <tr r="I49" s="1"/>
        <tr r="I49" s="1"/>
        <tr r="M11" s="9"/>
        <tr r="M11" s="9"/>
        <tr r="M11" s="9"/>
        <tr r="D32" s="9"/>
        <tr r="D32" s="9"/>
        <tr r="D32" s="9"/>
        <tr r="K135" s="11"/>
        <tr r="K86" s="11"/>
        <tr r="F215" s="11"/>
        <tr r="K166" s="11"/>
        <tr r="G30" s="11"/>
        <tr r="N14" s="9"/>
        <tr r="N14" s="9"/>
        <tr r="N14" s="9"/>
        <tr r="C92" s="11"/>
        <tr r="G108" s="11"/>
        <tr r="G70" s="11"/>
        <tr r="H8" s="11"/>
        <tr r="K89" s="11"/>
        <tr r="H111" s="11"/>
        <tr r="G91" s="11"/>
        <tr r="C195" s="11"/>
        <tr r="L43" s="11"/>
        <tr r="D61" s="1"/>
        <tr r="D61" s="1"/>
        <tr r="G58" s="1"/>
        <tr r="G58" s="1"/>
        <tr r="E24" s="1"/>
        <tr r="E24" s="1"/>
        <tr r="E24" s="1"/>
        <tr r="C87" s="11"/>
        <tr r="J11" s="9"/>
        <tr r="J11" s="9"/>
        <tr r="J11" s="9"/>
        <tr r="L45" s="11"/>
        <tr r="K7" s="11"/>
        <tr r="K114" s="11"/>
        <tr r="C29" s="11"/>
        <tr r="K194" s="11"/>
        <tr r="K51" s="11"/>
        <tr r="M25" s="9"/>
        <tr r="M25" s="9"/>
        <tr r="M25" s="9"/>
        <tr r="H71" s="11"/>
        <tr r="H15" s="11"/>
        <tr r="F98" s="11"/>
        <tr r="P26" s="9"/>
        <tr r="P26" s="9"/>
        <tr r="P26" s="9"/>
        <tr r="G64" s="1"/>
        <tr r="G64" s="1"/>
        <tr r="F58" s="11"/>
        <tr r="D25" s="9"/>
        <tr r="D25" s="9"/>
        <tr r="D25" s="9"/>
        <tr r="F169" s="11"/>
        <tr r="D13" s="9"/>
        <tr r="D13" s="9"/>
        <tr r="D13" s="9"/>
        <tr r="G5" s="11"/>
        <tr r="B210" s="11"/>
        <tr r="F41" s="1"/>
        <tr r="F41" s="1"/>
        <tr r="K22" s="11"/>
        <tr r="K28" s="11"/>
        <tr r="C24" s="11"/>
        <tr r="C83" s="11"/>
        <tr r="C6" s="11"/>
        <tr r="H193" s="11"/>
        <tr r="C190" s="11"/>
        <tr r="K12" s="11"/>
        <tr r="J38" s="9"/>
        <tr r="J38" s="9"/>
        <tr r="J38" s="9"/>
        <tr r="D60" s="1"/>
        <tr r="D60" s="1"/>
        <tr r="G79" s="11"/>
        <tr r="K123" s="11"/>
        <tr r="K203" s="11"/>
        <tr r="G109" s="11"/>
        <tr r="C38" s="1"/>
        <tr r="C38" s="1"/>
        <tr r="C140" s="11"/>
        <tr r="K39" s="11"/>
        <tr r="C164" s="11"/>
        <tr r="K9" s="3"/>
        <tr r="K9" s="3"/>
        <tr r="K9" s="3"/>
        <tr r="F136" s="11"/>
        <tr r="K47" s="11"/>
        <tr r="K35" s="9"/>
        <tr r="K35" s="9"/>
        <tr r="K35" s="9"/>
        <tr r="G85" s="11"/>
        <tr r="F18" s="11"/>
        <tr r="L44" s="11"/>
        <tr r="B121" s="11"/>
        <tr r="G123" s="11"/>
        <tr r="K205" s="11"/>
        <tr r="K167" s="11"/>
        <tr r="H145" s="11"/>
        <tr r="C173" s="11"/>
        <tr r="H204" s="11"/>
        <tr r="F38" s="1"/>
        <tr r="F38" s="1"/>
        <tr r="G192" s="11"/>
        <tr r="D10" s="1"/>
        <tr r="D59" s="1"/>
        <tr r="D59" s="1"/>
        <tr r="T16" s="9"/>
        <tr r="T16" s="9"/>
        <tr r="T16" s="9"/>
        <tr r="C14" s="11"/>
        <tr r="F86" s="11"/>
        <tr r="G130" s="11"/>
        <tr r="K172" s="11"/>
        <tr r="H157" s="11"/>
        <tr r="G36" s="1"/>
        <tr r="G36" s="1"/>
        <tr r="G29" s="11"/>
        <tr r="G45" s="11"/>
        <tr r="G164" s="11"/>
        <tr r="H30" s="11"/>
        <tr r="L201" s="11"/>
        <tr r="L215" s="11"/>
        <tr r="M45" s="9"/>
        <tr r="M45" s="9"/>
        <tr r="M45" s="9"/>
        <tr r="G112" s="11"/>
        <tr r="K20" s="11"/>
        <tr r="G37" s="11"/>
        <tr r="K108" s="11"/>
        <tr r="C88" s="11"/>
        <tr r="K35" s="11"/>
        <tr r="G152" s="11"/>
        <tr r="C175" s="11"/>
        <tr r="H22" s="11"/>
        <tr r="K169" s="11"/>
        <tr r="C203" s="11"/>
        <tr r="H169" s="11"/>
        <tr r="H170" s="11"/>
        <tr r="G195" s="11"/>
        <tr r="G48" s="1"/>
        <tr r="G48" s="1"/>
        <tr r="H49" s="1"/>
        <tr r="H49" s="1"/>
        <tr r="C146" s="11"/>
        <tr r="G50" s="1"/>
        <tr r="G50" s="1"/>
        <tr r="H214" s="11"/>
        <tr r="H96" s="11"/>
        <tr r="C49" s="1"/>
        <tr r="C49" s="1"/>
        <tr r="H122" s="11"/>
        <tr r="H131" s="11"/>
        <tr r="G61" s="1"/>
        <tr r="G61" s="1"/>
        <tr r="C63" s="1"/>
        <tr r="C63" s="1"/>
        <tr r="H79" s="11"/>
        <tr r="K156" s="11"/>
        <tr r="D11" s="1"/>
        <tr r="E46" s="1"/>
        <tr r="E46" s="1"/>
        <tr r="C22" s="11"/>
        <tr r="H39" s="9"/>
        <tr r="H39" s="9"/>
        <tr r="H39" s="9"/>
        <tr r="Q22" s="9"/>
        <tr r="Q22" s="9"/>
        <tr r="Q22" s="9"/>
        <tr r="G38" s="11"/>
        <tr r="C208" s="11"/>
        <tr r="G132" s="11"/>
        <tr r="G39" s="11"/>
        <tr r="K91" s="11"/>
        <tr r="C116" s="11"/>
        <tr r="F61" s="1"/>
        <tr r="F61" s="1"/>
        <tr r="G147" s="11"/>
        <tr r="C191" s="11"/>
        <tr r="H18" s="11"/>
        <tr r="E26" s="1"/>
        <tr r="E26" s="1"/>
        <tr r="E26" s="1"/>
        <tr r="H202" s="11"/>
        <tr r="C7" s="11"/>
        <tr r="C138" s="11"/>
        <tr r="F59" s="1"/>
        <tr r="F59" s="1"/>
        <tr r="H48" s="11"/>
        <tr r="H146" s="11"/>
        <tr r="K200" s="11"/>
        <tr r="H50" s="1"/>
        <tr r="H50" s="1"/>
        <tr r="E12" s="1"/>
        <tr r="E12" s="1"/>
        <tr r="C51" s="1"/>
        <tr r="C51" s="1"/>
        <tr r="G62" s="1"/>
        <tr r="G62" s="1"/>
        <tr r="H38" s="1"/>
        <tr r="H38" s="1"/>
        <tr r="H38" s="1"/>
        <tr r="C28" s="1"/>
        <tr r="C28" s="1"/>
        <tr r="C90" s="11"/>
        <tr r="L14" s="11"/>
        <tr r="E6" s="1"/>
        <tr r="E6" s="1"/>
        <tr r="G211" s="11"/>
        <tr r="F137" s="11"/>
        <tr r="K25" s="11"/>
        <tr r="K157" s="11"/>
        <tr r="H43" s="11"/>
        <tr r="K122" s="11"/>
        <tr r="K55" s="11"/>
        <tr r="H34" s="11"/>
        <tr r="G13" s="11"/>
        <tr r="G190" s="11"/>
        <tr r="H84" s="11"/>
        <tr r="C24" s="1"/>
        <tr r="C24" s="1"/>
        <tr r="F53" s="1"/>
        <tr r="F53" s="1"/>
        <tr r="G160" s="11"/>
        <tr r="H40" s="11"/>
        <tr r="H106" s="11"/>
        <tr r="H195" s="11"/>
        <tr r="G159" s="11"/>
        <tr r="D35" s="1"/>
        <tr r="D35" s="1"/>
        <tr r="H80" s="11"/>
        <tr r="H178" s="11"/>
        <tr r="H99" s="11"/>
        <tr r="G60" s="1"/>
        <tr r="G60" s="1"/>
        <tr r="F60" s="1"/>
        <tr r="F60" s="1"/>
        <tr r="E48" s="1"/>
        <tr r="E48" s="1"/>
        <tr r="H186" s="11"/>
        <tr r="H94" s="11"/>
        <tr r="K148" s="11"/>
        <tr r="G34" s="1"/>
        <tr r="G34" s="1"/>
        <tr r="K110" s="11"/>
        <tr r="H212" s="11"/>
        <tr r="H35" s="1"/>
        <tr r="H35" s="1"/>
        <tr r="H35" s="1"/>
        <tr r="C59" s="1"/>
        <tr r="C59" s="1"/>
        <tr r="F208" s="11"/>
        <tr r="C197" s="11"/>
        <tr r="G20" s="11"/>
        <tr r="F197" s="11"/>
        <tr r="K150" s="11"/>
        <tr r="C77" s="11"/>
        <tr r="C194" s="11"/>
        <tr r="K34" s="11"/>
        <tr r="H197" s="11"/>
        <tr r="G54" s="1"/>
        <tr r="G54" s="1"/>
        <tr r="C25" s="1"/>
        <tr r="C25" s="1"/>
        <tr r="H68" s="11"/>
        <tr r="D20" s="1"/>
        <tr r="D20" s="1"/>
        <tr r="H32" s="1"/>
        <tr r="H32" s="1"/>
        <tr r="H32" s="1"/>
        <tr r="I51" s="1"/>
        <tr r="I51" s="1"/>
        <tr r="I51" s="1"/>
        <tr r="H206" s="11"/>
        <tr r="C23" s="1"/>
        <tr r="C23" s="1"/>
        <tr r="H5" s="11"/>
        <tr r="C37" s="1"/>
        <tr r="C37" s="1"/>
        <tr r="I383" s="11"/>
        <tr r="H182" s="11"/>
        <tr r="H61" s="1"/>
        <tr r="H61" s="1"/>
        <tr r="H61" s="1"/>
        <tr r="F52" s="1"/>
        <tr r="F52" s="1"/>
        <tr r="I48" s="1"/>
        <tr r="I48" s="1"/>
        <tr r="I48" s="1"/>
        <tr r="C26" s="1"/>
        <tr r="C26" s="1"/>
        <tr r="G49" s="1"/>
        <tr r="G49" s="1"/>
        <tr r="D6" s="1"/>
        <tr r="B173" s="11"/>
        <tr r="G24" s="11"/>
        <tr r="G115" s="11"/>
        <tr r="C47" s="11"/>
        <tr r="H50" s="11"/>
        <tr r="C111" s="11"/>
        <tr r="L35" s="11"/>
        <tr r="H10" s="10"/>
        <tr r="H10" s="10"/>
        <tr r="H10" s="10"/>
        <tr r="J27" s="10"/>
        <tr r="J27" s="10"/>
        <tr r="J27" s="10"/>
        <tr r="B96" s="11"/>
        <tr r="E43" s="9"/>
        <tr r="E43" s="9"/>
        <tr r="E43" s="9"/>
        <tr r="Q47" s="9"/>
        <tr r="Q47" s="9"/>
        <tr r="Q47" s="9"/>
        <tr r="D21" s="9"/>
        <tr r="D21" s="9"/>
        <tr r="D21" s="9"/>
        <tr r="G19" s="8"/>
        <tr r="G19" s="8"/>
        <tr r="G19" s="8"/>
        <tr r="M48" s="9"/>
        <tr r="M48" s="9"/>
        <tr r="M48" s="9"/>
        <tr r="M36" s="9"/>
        <tr r="M36" s="9"/>
        <tr r="M36" s="9"/>
        <tr r="B66" s="11"/>
        <tr r="B20" s="11"/>
        <tr r="B113" s="11"/>
        <tr r="B79" s="11"/>
        <tr r="H50" s="9"/>
        <tr r="H50" s="9"/>
        <tr r="H50" s="9"/>
        <tr r="C30" s="11"/>
        <tr r="K19" s="9"/>
        <tr r="K19" s="9"/>
        <tr r="K19" s="9"/>
        <tr r="F150" s="11"/>
        <tr r="H66" s="11"/>
        <tr r="C155" s="11"/>
        <tr r="F29" s="11"/>
        <tr r="F179" s="11"/>
        <tr r="G178" s="11"/>
        <tr r="G16" s="10"/>
        <tr r="G16" s="10"/>
        <tr r="G16" s="10"/>
        <tr r="K198" s="11"/>
        <tr r="F62" s="11"/>
        <tr r="C63" s="11"/>
        <tr r="B153" s="11"/>
        <tr r="K183" s="11"/>
        <tr r="E49" s="1"/>
        <tr r="E49" s="1"/>
        <tr r="H69" s="11"/>
        <tr r="H172" s="11"/>
        <tr r="H77" s="11"/>
        <tr r="L211" s="11"/>
        <tr r="C159" s="11"/>
        <tr r="C10" s="11"/>
        <tr r="L169" s="11"/>
        <tr r="L183" s="11"/>
        <tr r="L29" s="11"/>
        <tr r="F126" s="11"/>
        <tr r="G8" s="10"/>
        <tr r="G8" s="10"/>
        <tr r="G8" s="10"/>
        <tr r="G54" s="11"/>
        <tr r="C200" s="11"/>
        <tr r="K96" s="11"/>
        <tr r="C211" s="11"/>
        <tr r="C127" s="11"/>
        <tr r="F113" s="11"/>
        <tr r="H49" s="11"/>
        <tr r="B185" s="11"/>
        <tr r="H125" s="11"/>
        <tr r="I47" s="1"/>
        <tr r="I47" s="1"/>
        <tr r="I47" s="1"/>
        <tr r="B204" s="11"/>
        <tr r="L179" s="11"/>
        <tr r="B206" s="11"/>
        <tr r="G61" s="11"/>
        <tr r="K185" s="11"/>
        <tr r="H62" s="11"/>
        <tr r="E21" s="1"/>
        <tr r="E21" s="1"/>
        <tr r="E21" s="1"/>
        <tr r="E54" s="1"/>
        <tr r="E54" s="1"/>
        <tr r="G74" s="11"/>
        <tr r="Q30" s="8"/>
        <tr r="Q30" s="8"/>
        <tr r="Q30" s="8"/>
        <tr r="F20" s="11"/>
        <tr r="K75" s="11"/>
        <tr r="K141" s="11"/>
        <tr r="C125" s="11"/>
        <tr r="G35" s="1"/>
        <tr r="G35" s="1"/>
        <tr r="G194" s="11"/>
        <tr r="C26" s="11"/>
        <tr r="G166" s="11"/>
        <tr r="C167" s="11"/>
        <tr r="H73" s="11"/>
        <tr r="F105" s="11"/>
        <tr r="M21" s="10"/>
        <tr r="M21" s="10"/>
        <tr r="M21" s="10"/>
        <tr r="B83" s="11"/>
        <tr r="F99" s="11"/>
        <tr r="B171" s="11"/>
        <tr r="N16" s="9"/>
        <tr r="N16" s="9"/>
        <tr r="N16" s="9"/>
        <tr r="K99" s="11"/>
        <tr r="C115" s="11"/>
        <tr r="C123" s="11"/>
        <tr r="K163" s="11"/>
        <tr r="K124" s="11"/>
        <tr r="G174" s="11"/>
        <tr r="C84" s="11"/>
        <tr r="L52" s="11"/>
        <tr r="G188" s="11"/>
        <tr r="L172" s="11"/>
        <tr r="C67" s="1"/>
        <tr r="C67" s="1"/>
        <tr r="F30" s="11"/>
        <tr r="G42" s="9"/>
        <tr r="G42" s="9"/>
        <tr r="G42" s="9"/>
        <tr r="D7" s="1"/>
        <tr r="C144" s="11"/>
        <tr r="G50" s="11"/>
        <tr r="L17" s="11"/>
        <tr r="C73" s="11"/>
        <tr r="G48" s="3"/>
        <tr r="G48" s="3"/>
        <tr r="G48" s="3"/>
        <tr r="G181" s="11"/>
        <tr r="L123" s="11"/>
        <tr r="F141" s="11"/>
        <tr r="H14" s="9"/>
        <tr r="H14" s="9"/>
        <tr r="H14" s="9"/>
        <tr r="C192" s="11"/>
        <tr r="F110" s="11"/>
        <tr r="K16" s="3"/>
        <tr r="K16" s="3"/>
        <tr r="K16" s="3"/>
        <tr r="G64" s="11"/>
        <tr r="P34" s="9"/>
        <tr r="P34" s="9"/>
        <tr r="P34" s="9"/>
        <tr r="G31" s="11"/>
        <tr r="K26" s="11"/>
        <tr r="K48" s="11"/>
        <tr r="C44" s="11"/>
        <tr r="C50" s="11"/>
        <tr r="K46" s="11"/>
        <tr r="G111" s="11"/>
        <tr r="H52" s="11"/>
        <tr r="H92" s="11"/>
        <tr r="H163" s="11"/>
        <tr r="F26" s="11"/>
        <tr r="F206" s="11"/>
        <tr r="K93" s="11"/>
        <tr r="G15" s="11"/>
        <tr r="C32" s="11"/>
        <tr r="G75" s="11"/>
        <tr r="K116" s="11"/>
        <tr r="G103" s="11"/>
        <tr r="C201" s="11"/>
        <tr r="C169" s="11"/>
        <tr r="H185" s="11"/>
        <tr r="D28" s="1"/>
        <tr r="D28" s="1"/>
        <tr r="H198" s="11"/>
        <tr r="F38" s="11"/>
        <tr r="F120" s="11"/>
        <tr r="C131" s="11"/>
        <tr r="C114" s="11"/>
        <tr r="H63" s="11"/>
        <tr r="C13" s="11"/>
        <tr r="K202" s="11"/>
        <tr r="C134" s="11"/>
        <tr r="C72" s="11"/>
        <tr r="F37" s="1"/>
        <tr r="F37" s="1"/>
        <tr r="K144" s="11"/>
        <tr r="H153" s="11"/>
        <tr r="C162" s="11"/>
        <tr r="H196" s="11"/>
        <tr r="E25" s="1"/>
        <tr r="E25" s="1"/>
        <tr r="E25" s="1"/>
        <tr r="H110" s="11"/>
        <tr r="C202" s="11"/>
        <tr r="H48" s="1"/>
        <tr r="H48" s="1"/>
        <tr r="H10" s="11"/>
        <tr r="G47" s="1"/>
        <tr r="G47" s="1"/>
        <tr r="E38" s="1"/>
        <tr r="E38" s="1"/>
        <tr r="C9" s="1"/>
        <tr r="G37" s="1"/>
        <tr r="G37" s="1"/>
        <tr r="C46" s="1"/>
        <tr r="C46" s="1"/>
        <tr r="H158" s="11"/>
        <tr r="D15" s="1"/>
        <tr r="D15" s="1"/>
        <tr r="C168" s="11"/>
        <tr r="G153" s="11"/>
        <tr r="G144" s="11"/>
        <tr r="F49" s="1"/>
        <tr r="F49" s="1"/>
        <tr r="L86" s="11"/>
        <tr r="C122" s="11"/>
        <tr r="F142" s="11"/>
        <tr r="F60" s="11"/>
        <tr r="C141" s="11"/>
        <tr r="C38" s="11"/>
        <tr r="G88" s="11"/>
        <tr r="C145" s="11"/>
        <tr r="K146" s="11"/>
        <tr r="G201" s="11"/>
        <tr r="H38" s="11"/>
        <tr r="C12" s="1"/>
        <tr r="E58" s="1"/>
        <tr r="E58" s="1"/>
        <tr r="H124" s="11"/>
        <tr r="C53" s="1"/>
        <tr r="C53" s="1"/>
        <tr r="E65" s="1"/>
        <tr r="E65" s="1"/>
        <tr r="H142" s="11"/>
        <tr r="H24" s="11"/>
        <tr r="F65" s="1"/>
        <tr r="F65" s="1"/>
        <tr r="H100" s="11"/>
        <tr r="H67" s="1"/>
        <tr r="H67" s="1"/>
        <tr r="H67" s="1"/>
        <tr r="H118" s="11"/>
        <tr r="C186" s="11"/>
        <tr r="E15" s="1"/>
        <tr r="E15" s="1"/>
        <tr r="H115" s="11"/>
        <tr r="E60" s="1"/>
        <tr r="E60" s="1"/>
        <tr r="F40" s="1"/>
        <tr r="F40" s="1"/>
        <tr r="C6" s="1"/>
        <tr r="G89" s="11"/>
        <tr r="H91" s="11"/>
        <tr r="K209" s="11"/>
        <tr r="L204" s="11"/>
        <tr r="C105" s="11"/>
        <tr r="K50" s="9"/>
        <tr r="K50" s="9"/>
        <tr r="K50" s="9"/>
        <tr r="N46" s="9"/>
        <tr r="N46" s="9"/>
        <tr r="N46" s="9"/>
        <tr r="K59" s="11"/>
        <tr r="C163" s="11"/>
        <tr r="G210" s="11"/>
        <tr r="K60" s="11"/>
        <tr r="H39" s="11"/>
        <tr r="G137" s="11"/>
        <tr r="K149" s="11"/>
        <tr r="H102" s="11"/>
        <tr r="H36" s="11"/>
        <tr r="H54" s="11"/>
        <tr r="C210" s="11"/>
        <tr r="C19" s="1"/>
        <tr r="C19" s="1"/>
        <tr r="H174" s="11"/>
        <tr r="H107" s="11"/>
        <tr r="G41" s="1"/>
        <tr r="G41" s="1"/>
        <tr r="D26" s="1"/>
        <tr r="D26" s="1"/>
        <tr r="G40" s="1"/>
        <tr r="G40" s="1"/>
        <tr r="H150" s="11"/>
        <tr r="H139" s="11"/>
        <tr r="D58" s="1"/>
        <tr r="D58" s="1"/>
        <tr r="H56" s="11"/>
        <tr r="D54" s="1"/>
        <tr r="D54" s="1"/>
        <tr r="F39" s="1"/>
        <tr r="F39" s="1"/>
        <tr r="H136" s="11"/>
        <tr r="L25" s="11"/>
        <tr r="C196" s="11"/>
        <tr r="L61" s="11"/>
        <tr r="H37" s="1"/>
        <tr r="H37" s="1"/>
        <tr r="H37" s="1"/>
        <tr r="H63" s="1"/>
        <tr r="H63" s="1"/>
        <tr r="H63" s="1"/>
        <tr r="K6" s="11"/>
        <tr r="K21" s="3"/>
        <tr r="K21" s="3"/>
        <tr r="K21" s="3"/>
        <tr r="K13" s="3"/>
        <tr r="K13" s="3"/>
        <tr r="K13" s="3"/>
        <tr r="C81" s="11"/>
        <tr r="H58" s="11"/>
        <tr r="C12" s="11"/>
        <tr r="C82" s="11"/>
        <tr r="K90" s="11"/>
        <tr r="K158" s="11"/>
        <tr r="G176" s="11"/>
        <tr r="D22" s="1"/>
        <tr r="D22" s="1"/>
        <tr r="D13" s="1"/>
        <tr r="H45" s="1"/>
        <tr r="H45" s="1"/>
        <tr r="H64" s="1"/>
        <tr r="H64" s="1"/>
        <tr r="H64" s="1"/>
        <tr r="E41" s="1"/>
        <tr r="E41" s="1"/>
        <tr r="C54" s="1"/>
        <tr r="C54" s="1"/>
        <tr r="H184" s="11"/>
        <tr r="F63" s="1"/>
        <tr r="F63" s="1"/>
        <tr r="C198" s="11"/>
        <tr r="D9" s="1"/>
        <tr r="C58" s="1"/>
        <tr r="C58" s="1"/>
        <tr r="H192" s="11"/>
        <tr r="K204" s="11"/>
        <tr r="H90" s="11"/>
        <tr r="K184" s="11"/>
        <tr r="C47" s="1"/>
        <tr r="C47" s="1"/>
        <tr r="D12" s="1"/>
        <tr r="T18" s="9"/>
        <tr r="T18" s="9"/>
        <tr r="T18" s="9"/>
        <tr r="P39" s="9"/>
        <tr r="P39" s="9"/>
        <tr r="P39" s="9"/>
        <tr r="G126" s="11"/>
        <tr r="H47" s="3"/>
        <tr r="H47" s="3"/>
        <tr r="H47" s="3"/>
        <tr r="B81" s="11"/>
        <tr r="G168" s="11"/>
        <tr r="D51" s="1"/>
        <tr r="D51" s="1"/>
        <tr r="H42" s="10"/>
        <tr r="H42" s="10"/>
        <tr r="H42" s="10"/>
        <tr r="G24" s="9"/>
        <tr r="G24" s="9"/>
        <tr r="G24" s="9"/>
        <tr r="Q18" s="9"/>
        <tr r="Q18" s="9"/>
        <tr r="Q18" s="9"/>
        <tr r="F92" s="11"/>
        <tr r="T32" s="9"/>
        <tr r="T32" s="9"/>
        <tr r="T32" s="9"/>
        <tr r="F54" s="11"/>
        <tr r="J26" s="10"/>
        <tr r="J26" s="10"/>
        <tr r="J26" s="10"/>
        <tr r="F90" s="11"/>
        <tr r="H21" s="9"/>
        <tr r="H21" s="9"/>
        <tr r="H21" s="9"/>
        <tr r="K10" s="3"/>
        <tr r="K10" s="3"/>
        <tr r="K10" s="3"/>
        <tr r="D14" s="9"/>
        <tr r="D14" s="9"/>
        <tr r="D14" s="9"/>
        <tr r="K44" s="11"/>
        <tr r="B60" s="11"/>
        <tr r="F115" s="11"/>
        <tr r="K106" s="11"/>
        <tr r="K30" s="11"/>
        <tr r="G22" s="11"/>
        <tr r="K151" s="11"/>
        <tr r="L136" s="11"/>
        <tr r="B184" s="11"/>
        <tr r="F14" s="11"/>
        <tr r="H209" s="11"/>
        <tr r="F166" s="11"/>
        <tr r="B30" s="11"/>
        <tr r="B85" s="11"/>
        <tr r="T21" s="9"/>
        <tr r="T21" s="9"/>
        <tr r="T21" s="9"/>
        <tr r="K52" s="11"/>
        <tr r="G49" s="11"/>
        <tr r="C70" s="11"/>
        <tr r="G73" s="11"/>
        <tr r="G71" s="11"/>
        <tr r="K74" s="11"/>
        <tr r="K147" s="11"/>
        <tr r="H121" s="11"/>
        <tr r="L99" s="11"/>
        <tr r="H166" s="11"/>
        <tr r="P47" s="9"/>
        <tr r="P47" s="9"/>
        <tr r="P47" s="9"/>
        <tr r="G26" s="10"/>
        <tr r="G26" s="10"/>
        <tr r="G26" s="10"/>
        <tr r="K83" s="11"/>
        <tr r="F129" s="11"/>
        <tr r="C205" s="11"/>
        <tr r="L146" s="11"/>
        <tr r="C28" s="11"/>
        <tr r="C34" s="11"/>
        <tr r="G53" s="11"/>
        <tr r="B127" s="11"/>
        <tr r="J43" s="9"/>
        <tr r="J43" s="9"/>
        <tr r="J43" s="9"/>
        <tr r="C74" s="11"/>
        <tr r="K78" s="11"/>
        <tr r="G94" s="11"/>
        <tr r="K107" s="11"/>
        <tr r="G96" s="11"/>
        <tr r="K109" s="11"/>
        <tr r="H47" s="11"/>
        <tr r="G135" s="11"/>
        <tr r="H103" s="11"/>
        <tr r="C61" s="1"/>
        <tr r="C61" s="1"/>
        <tr r="K6" s="10"/>
        <tr r="K6" s="10"/>
        <tr r="K6" s="10"/>
        <tr r="L114" s="11"/>
        <tr r="F185" s="11"/>
        <tr r="K37" s="11"/>
        <tr r="H58" s="1"/>
        <tr r="H58" s="1"/>
        <tr r="H58" s="1"/>
        <tr r="K32" s="11"/>
        <tr r="C52" s="11"/>
        <tr r="G55" s="11"/>
        <tr r="G81" s="11"/>
        <tr r="G21" s="11"/>
        <tr r="H101" s="11"/>
        <tr r="L140" s="11"/>
        <tr r="P6" s="10"/>
        <tr r="P6" s="10"/>
        <tr r="P6" s="10"/>
        <tr r="B123" s="11"/>
        <tr r="F96" s="11"/>
        <tr r="K56" s="11"/>
        <tr r="K21" s="9"/>
        <tr r="K21" s="9"/>
        <tr r="K21" s="9"/>
        <tr r="G58" s="11"/>
        <tr r="F76" s="11"/>
        <tr r="F213" s="11"/>
        <tr r="C136" s="11"/>
        <tr r="K23" s="11"/>
        <tr r="C160" s="11"/>
        <tr r="C25" s="11"/>
        <tr r="G189" s="11"/>
        <tr r="G169" s="11"/>
        <tr r="L155" s="11"/>
        <tr r="G187" s="11"/>
        <tr r="K196" s="11"/>
        <tr r="P31" s="9"/>
        <tr r="P31" s="9"/>
        <tr r="P31" s="9"/>
        <tr r="C94" s="11"/>
        <tr r="F52" s="11"/>
        <tr r="C102" s="11"/>
        <tr r="H26" s="11"/>
        <tr r="C189" s="11"/>
        <tr r="D8" s="1"/>
        <tr r="H189" s="11"/>
        <tr r="C121" s="11"/>
        <tr r="C41" s="11"/>
        <tr r="C166" s="11"/>
        <tr r="S14" s="9"/>
        <tr r="S14" s="9"/>
        <tr r="S14" s="9"/>
        <tr r="B164" s="11"/>
        <tr r="K8" s="3"/>
        <tr r="K8" s="3"/>
        <tr r="K8" s="3"/>
        <tr r="B125" s="11"/>
        <tr r="B142" s="11"/>
        <tr r="B213" s="11"/>
        <tr r="P5" s="8"/>
        <tr r="P5" s="8"/>
        <tr r="P5" s="8"/>
        <tr r="G128" s="11"/>
        <tr r="C185" s="11"/>
        <tr r="G182" s="11"/>
        <tr r="E35" s="1"/>
        <tr r="E35" s="1"/>
        <tr r="K187" s="11"/>
        <tr r="E53" s="1"/>
        <tr r="E53" s="1"/>
        <tr r="G105" s="11"/>
        <tr r="H148" s="11"/>
        <tr r="H137" s="11"/>
        <tr r="E22" s="1"/>
        <tr r="E22" s="1"/>
        <tr r="E22" s="1"/>
        <tr r="C78" s="11"/>
        <tr r="T33" s="9"/>
        <tr r="T33" s="9"/>
        <tr r="T33" s="9"/>
        <tr r="C85" s="11"/>
        <tr r="C107" s="11"/>
        <tr r="L21" s="11"/>
        <tr r="H213" s="11"/>
        <tr r="K138" s="11"/>
        <tr r="F4" s="11"/>
        <tr r="G197" s="11"/>
        <tr r="C132" s="11"/>
        <tr r="L122" s="11"/>
        <tr r="F64" s="1"/>
        <tr r="F64" s="1"/>
        <tr r="L205" s="11"/>
        <tr r="G122" s="11"/>
        <tr r="J17" s="9"/>
        <tr r="J17" s="9"/>
        <tr r="J17" s="9"/>
        <tr r="K37" s="9"/>
        <tr r="K37" s="9"/>
        <tr r="K37" s="9"/>
        <tr r="C17" s="11"/>
        <tr r="K178" s="11"/>
        <tr r="K103" s="11"/>
        <tr r="C18" s="11"/>
        <tr r="C60" s="11"/>
        <tr r="K94" s="11"/>
        <tr r="H52" s="1"/>
        <tr r="H52" s="1"/>
        <tr r="C21" s="1"/>
        <tr r="C21" s="1"/>
        <tr r="H180" s="11"/>
        <tr r="G52" s="1"/>
        <tr r="G52" s="1"/>
        <tr r="C150" s="11"/>
        <tr r="H33" s="1"/>
        <tr r="H33" s="1"/>
        <tr r="H33" s="1"/>
        <tr r="C8" s="1"/>
        <tr r="H88" s="11"/>
        <tr r="D67" s="1"/>
        <tr r="D67" s="1"/>
        <tr r="H114" s="11"/>
        <tr r="C158" s="11"/>
        <tr r="E61" s="1"/>
        <tr r="E61" s="1"/>
        <tr r="D21" s="1"/>
        <tr r="D21" s="1"/>
        <tr r="H132" s="11"/>
        <tr r="H47" s="1"/>
        <tr r="H47" s="1"/>
        <tr r="C60" s="1"/>
        <tr r="C60" s="1"/>
        <tr r="H200" s="11"/>
        <tr r="H216" s="11"/>
        <tr r="L51" s="11"/>
        <tr r="H70" s="11"/>
        <tr r="H60" s="1"/>
        <tr r="H60" s="1"/>
        <tr r="H60" s="1"/>
        <tr r="H31" s="9"/>
        <tr r="H31" s="9"/>
        <tr r="H31" s="9"/>
        <tr r="N35" s="9"/>
        <tr r="N35" s="9"/>
        <tr r="N35" s="9"/>
        <tr r="K15" s="11"/>
        <tr r="C42" s="11"/>
        <tr r="C64" s="11"/>
        <tr r="K139" s="11"/>
        <tr r="G117" s="11"/>
        <tr r="C57" s="11"/>
        <tr r="H42" s="11"/>
        <tr r="K201" s="11"/>
        <tr r="K145" s="11"/>
        <tr r="E50" s="1"/>
        <tr r="E50" s="1"/>
        <tr r="C50" s="1"/>
        <tr r="C50" s="1"/>
        <tr r="H135" s="11"/>
        <tr r="G171" s="11"/>
        <tr r="H59" s="1"/>
        <tr r="H59" s="1"/>
        <tr r="H59" s="1"/>
        <tr r="H39" s="1"/>
        <tr r="H39" s="1"/>
        <tr r="H39" s="1"/>
        <tr r="H120" s="11"/>
        <tr r="H123" s="11"/>
        <tr r="H54" s="1"/>
        <tr r="H54" s="1"/>
        <tr r="E33" s="1"/>
        <tr r="E33" s="1"/>
        <tr r="E51" s="1"/>
        <tr r="E51" s="1"/>
        <tr r="H128" s="11"/>
        <tr r="H188" s="11"/>
        <tr r="H154" s="11"/>
        <tr r="D47" s="1"/>
        <tr r="D47" s="1"/>
        <tr r="F48" s="1"/>
        <tr r="F48" s="1"/>
        <tr r="D41" s="1"/>
        <tr r="D41" s="1"/>
        <tr r="K174" s="11"/>
        <tr r="E36" s="1"/>
        <tr r="E36" s="1"/>
        <tr r="K208" s="11"/>
        <tr r="L6" s="11"/>
        <tr r="G141" s="11"/>
        <tr r="G216" s="11"/>
        <tr r="F182" s="11"/>
        <tr r="H29" s="11"/>
        <tr r="G59" s="11"/>
        <tr r="G127" s="11"/>
        <tr r="H27" s="11"/>
        <tr r="C176" s="11"/>
        <tr r="H183" s="11"/>
        <tr r="H78" s="11"/>
        <tr r="C154" s="11"/>
        <tr r="G199" s="11"/>
        <tr r="D52" s="1"/>
        <tr r="D52" s="1"/>
        <tr r="G53" s="1"/>
        <tr r="G53" s="1"/>
        <tr r="F36" s="1"/>
        <tr r="F36" s="1"/>
        <tr r="E28" s="1"/>
        <tr r="E28" s="1"/>
        <tr r="E28" s="1"/>
        <tr r="H152" s="11"/>
        <tr r="H156" s="11"/>
        <tr r="K176" s="11"/>
        <tr r="E7" s="1"/>
        <tr r="E7" s="1"/>
        <tr r="H36" s="1"/>
        <tr r="H36" s="1"/>
        <tr r="H36" s="1"/>
        <tr r="H160" s="11"/>
        <tr r="H105" s="11"/>
        <tr r="I50" s="1"/>
        <tr r="I50" s="1"/>
        <tr r="I50" s="1"/>
        <tr r="E45" s="1"/>
        <tr r="E45" s="1"/>
        <tr r="D25" s="1"/>
        <tr r="D25" s="1"/>
        <tr r="E8" s="1"/>
        <tr r="E8" s="1"/>
        <tr r="I54" s="1"/>
        <tr r="I54" s="1"/>
        <tr r="I54" s="1"/>
        <tr r="K137" s="11"/>
        <tr r="K197" s="11"/>
        <tr r="F50" s="1"/>
        <tr r="F50" s="1"/>
        <tr r="L87" s="11"/>
        <tr r="G59" s="1"/>
        <tr r="G59" s="1"/>
        <tr r="K24" s="11"/>
        <tr r="C59" s="11"/>
        <tr r="C16" s="11"/>
        <tr r="K80" s="11"/>
        <tr r="H31" s="11"/>
        <tr r="G14" s="11"/>
        <tr r="C204" s="11"/>
        <tr r="C143" s="11"/>
        <tr r="K140" s="11"/>
        <tr r="H112" s="11"/>
        <tr r="E13" s="1"/>
        <tr r="E13" s="1"/>
        <tr r="C151" s="11"/>
        <tr r="C214" s="11"/>
        <tr r="C174" s="11"/>
        <tr r="E37" s="1"/>
        <tr r="E37" s="1"/>
        <tr r="F32" s="1"/>
        <tr r="F32" s="1"/>
        <tr r="D62" s="1"/>
        <tr r="D62" s="1"/>
        <tr r="H82" s="11"/>
        <tr r="K136" s="11"/>
        <tr r="C13" s="1"/>
        <tr r="F45" s="1"/>
        <tr r="F45" s="1"/>
        <tr r="H34" s="1"/>
        <tr r="H34" s="1"/>
        <tr r="H34" s="1"/>
        <tr r="E34" s="1"/>
        <tr r="E34" s="1"/>
        <tr r="H126" s="11"/>
        <tr r="H171" s="11"/>
        <tr r="E23" s="1"/>
        <tr r="E23" s="1"/>
        <tr r="E23" s="1"/>
        <tr r="M3" s="8"/>
        <tr r="B44" s="9"/>
        <tr r="A33" s="11"/>
        <tr r="A452" s="11"/>
        <tr r="C9" s="8"/>
        <tr r="A340" s="11"/>
        <tr r="C9" s="10"/>
        <tr r="C23" s="8"/>
        <tr r="B13" s="9"/>
        <tr r="C7" s="10"/>
        <tr r="A81" s="11"/>
        <tr r="C9" s="9"/>
        <tr r="B14" s="9"/>
        <tr r="B42" s="10"/>
        <tr r="C20" s="10"/>
        <tr r="P3" s="8"/>
        <tr r="C41" s="8"/>
        <tr r="B41" s="8"/>
        <tr r="B38" s="3"/>
        <tr r="A165" s="11"/>
        <tr r="A468" s="11"/>
        <tr r="C32" s="9"/>
        <tr r="C16" s="9"/>
        <tr r="B32" s="9"/>
        <tr r="B5" s="10"/>
        <tr r="C45" s="10"/>
        <tr r="C27" s="8"/>
        <tr r="B33" s="8"/>
        <tr r="B10" s="3"/>
        <tr r="A73" s="11"/>
        <tr r="A287" s="11"/>
        <tr r="A372" s="11"/>
        <tr r="B5" s="9"/>
        <tr r="B19" s="9"/>
        <tr r="B42" s="9"/>
        <tr r="B16" s="10"/>
        <tr r="C34" s="8"/>
        <tr r="A125" s="11"/>
        <tr r="C15" s="3"/>
        <tr r="B35" s="3"/>
        <tr r="A66" s="11"/>
        <tr r="A98" s="11"/>
        <tr r="A194" s="11"/>
        <tr r="A278" s="11"/>
        <tr r="A535" s="11"/>
        <tr r="I2" s="11"/>
        <tr r="A119" s="11"/>
        <tr r="A561" s="11"/>
        <tr r="C19" s="10"/>
        <tr r="A161" s="11"/>
        <tr r="C39" s="8"/>
        <tr r="B33" s="10"/>
        <tr r="A319" s="11"/>
        <tr r="C20" s="8"/>
        <tr r="C28" s="9"/>
        <tr r="B20" s="9"/>
        <tr r="B36" s="10"/>
        <tr r="C28" s="8"/>
        <tr r="B45" s="8"/>
        <tr r="A113" s="11"/>
        <tr r="A529" s="11"/>
        <tr r="B10" s="9"/>
        <tr r="B6" s="10"/>
        <tr r="C43" s="10"/>
        <tr r="B15" s="8"/>
        <tr r="L2" s="11"/>
        <tr r="A276" s="11"/>
        <tr r="B31" s="9"/>
        <tr r="B36" s="9"/>
        <tr r="C15" s="10"/>
        <tr r="C44" s="8"/>
        <tr r="C12" s="3"/>
        <tr r="A145" s="11"/>
        <tr r="A731" s="11"/>
        <tr r="C15" s="9"/>
        <tr r="C17" s="9"/>
        <tr r="M3" s="9"/>
        <tr r="C25" s="9"/>
        <tr r="B22" s="9"/>
        <tr r="B35" s="10"/>
        <tr r="B47" s="10"/>
        <tr r="B9" s="10"/>
        <tr r="B40" s="10"/>
        <tr r="C24" s="10"/>
        <tr r="C40" s="10"/>
        <tr r="B10" s="8"/>
        <tr r="C30" s="8"/>
        <tr r="C17" s="8"/>
        <tr r="B12" s="8"/>
        <tr r="B28" s="8"/>
        <tr r="B46" s="8"/>
        <tr r="C34" s="3"/>
        <tr r="G2" s="11"/>
        <tr r="A53" s="11"/>
        <tr r="A117" s="11"/>
        <tr r="A181" s="11"/>
        <tr r="A260" s="11"/>
        <tr r="A346" s="11"/>
        <tr r="A551" s="11"/>
        <tr r="D3" s="9"/>
        <tr r="J3" s="9"/>
        <tr r="B17" s="9"/>
        <tr r="B33" s="9"/>
        <tr r="C43" s="9"/>
        <tr r="B40" s="9"/>
        <tr r="B30" s="10"/>
        <tr r="B25" s="10"/>
        <tr r="B12" s="10"/>
        <tr r="C17" s="10"/>
        <tr r="C33" s="10"/>
        <tr r="J3" s="8"/>
        <tr r="C16" s="8"/>
        <tr r="B8" s="8"/>
        <tr r="C35" s="8"/>
        <tr r="B21" s="8"/>
        <tr r="B37" s="8"/>
        <tr r="C14" s="3"/>
        <tr r="B26" s="3"/>
        <tr r="A25" s="11"/>
        <tr r="A89" s="11"/>
        <tr r="A153" s="11"/>
        <tr r="A223" s="11"/>
        <tr r="A308" s="11"/>
        <tr r="A420" s="11"/>
        <tr r="A860" s="11"/>
        <tr r="B15" s="9"/>
        <tr r="C13" s="9"/>
        <tr r="B39" s="9"/>
        <tr r="C21" s="9"/>
        <tr r="B18" s="9"/>
        <tr r="B15" s="10"/>
        <tr r="B19" s="10"/>
        <tr r="B45" s="10"/>
        <tr r="B32" s="10"/>
        <tr r="C22" s="10"/>
        <tr r="C11" s="8"/>
        <tr r="C45" s="8"/>
        <tr r="B22" s="8"/>
        <tr r="C16" s="3"/>
        <tr r="A29" s="11"/>
        <tr r="A157" s="11"/>
        <tr r="A314" s="11"/>
        <tr r="A1116" s="11"/>
        <tr r="C23" s="3"/>
        <tr r="B11" s="3"/>
        <tr r="B43" s="3"/>
        <tr r="A10" s="11"/>
        <tr r="A42" s="11"/>
        <tr r="A74" s="11"/>
        <tr r="A106" s="11"/>
        <tr r="A138" s="11"/>
        <tr r="A170" s="11"/>
        <tr r="A203" s="11"/>
        <tr r="A246" s="11"/>
        <tr r="A288" s="11"/>
        <tr r="A363" s="11"/>
        <tr r="A620" s="11"/>
        <tr r="B8" s="3"/>
        <tr r="A7" s="11"/>
        <tr r="A71" s="11"/>
        <tr r="A135" s="11"/>
        <tr r="A199" s="11"/>
        <tr r="A284" s="11"/>
        <tr r="A370" s="11"/>
        <tr r="A647" s="11"/>
        <tr r="B41" s="9"/>
        <tr r="C23" s="9"/>
        <tr r="A49" s="11"/>
        <tr r="C27" s="10"/>
        <tr r="A193" s="11"/>
        <tr r="C12" s="8"/>
        <tr r="A388" s="11"/>
        <tr r="B27" s="9"/>
        <tr r="B46" s="9"/>
        <tr r="B24" s="10"/>
        <tr r="C22" s="8"/>
        <tr r="B24" s="8"/>
        <tr r="A37" s="11"/>
        <tr r="A324" s="11"/>
        <tr r="C34" s="9"/>
        <tr r="B14" s="10"/>
        <tr r="C13" s="10"/>
        <tr r="C10" s="8"/>
        <tr r="B17" s="8"/>
        <tr r="A9" s="11"/>
        <tr r="A202" s="11"/>
        <tr r="A657" s="11"/>
        <tr r="B37" s="9"/>
        <tr r="B34" s="10"/>
        <tr r="C18" s="10"/>
        <tr r="B14" s="8"/>
        <tr r="H3" s="11"/>
        <tr r="A593" s="11"/>
        <tr r="E3" s="11"/>
        <tr r="A162" s="11"/>
        <tr r="A342" s="11"/>
        <tr r="A263" s="11"/>
        <tr r="C7" s="9"/>
        <tr r="D3" s="8"/>
        <tr r="B40" s="8"/>
        <tr r="C14" s="9"/>
        <tr r="B23" s="10"/>
        <tr r="C23" s="10"/>
        <tr r="C15" s="8"/>
        <tr r="C30" s="3"/>
        <tr r="A177" s="11"/>
        <tr r="C6" s="9"/>
        <tr r="C31" s="9"/>
        <tr r="B31" s="10"/>
        <tr r="C6" s="8"/>
        <tr r="B31" s="8"/>
        <tr r="A65" s="11"/>
        <tr r="A362" s="11"/>
        <tr r="C42" s="9"/>
        <tr r="B22" s="10"/>
        <tr r="C31" s="10"/>
        <tr r="C31" s="8"/>
        <tr r="B18" s="3"/>
        <tr r="A212" s="11"/>
        <tr r="C10" s="9"/>
        <tr r="B11" s="9"/>
        <tr r="C30" s="9"/>
        <tr r="B12" s="9"/>
        <tr r="C33" s="9"/>
        <tr r="B30" s="9"/>
        <tr r="B10" s="10"/>
        <tr r="B7" s="10"/>
        <tr r="G3" s="10"/>
        <tr r="C12" s="10"/>
        <tr r="C28" s="10"/>
        <tr r="C44" s="10"/>
        <tr r="C7" s="8"/>
        <tr r="C38" s="8"/>
        <tr r="C25" s="8"/>
        <tr r="B16" s="8"/>
        <tr r="B32" s="8"/>
        <tr r="C8" s="3"/>
        <tr r="B6" s="3"/>
        <tr r="A5" s="11"/>
        <tr r="A69" s="11"/>
        <tr r="A133" s="11"/>
        <tr r="A197" s="11"/>
        <tr r="A282" s="11"/>
        <tr r="A367" s="11"/>
        <tr r="A636" s="11"/>
        <tr r="C36" s="9"/>
        <tr r="C11" s="9"/>
        <tr r="B35" s="9"/>
        <tr r="C19" s="9"/>
        <tr r="B16" s="9"/>
        <tr r="B50" s="9"/>
        <tr r="B46" s="10"/>
        <tr r="B41" s="10"/>
        <tr r="B28" s="10"/>
        <tr r="C21" s="10"/>
        <tr r="C37" s="10"/>
        <tr r="B6" s="8"/>
        <tr r="C24" s="8"/>
        <tr r="B9" s="8"/>
        <tr r="C43" s="8"/>
        <tr r="B25" s="8"/>
        <tr r="B42" s="8"/>
        <tr r="C22" s="3"/>
        <tr r="B42" s="3"/>
        <tr r="A41" s="11"/>
        <tr r="A105" s="11"/>
        <tr r="A169" s="11"/>
        <tr r="A244" s="11"/>
        <tr r="A330" s="11"/>
        <tr r="A487" s="11"/>
        <tr r="P3" s="9"/>
        <tr r="G3" s="9"/>
        <tr r="C22" s="9"/>
        <tr r="B8" s="9"/>
        <tr r="C29" s="9"/>
        <tr r="B26" s="9"/>
        <tr r="M3" s="10"/>
        <tr r="P3" s="10"/>
        <tr r="B27" s="10"/>
        <tr r="C10" s="10"/>
        <tr r="C26" s="10"/>
        <tr r="B5" s="8"/>
        <tr r="C21" s="8"/>
        <tr r="B30" s="8"/>
        <tr r="C42" s="3"/>
        <tr r="A61" s="11"/>
        <tr r="A189" s="11"/>
        <tr r="A356" s="11"/>
        <tr r="B43" s="8"/>
        <tr r="C31" s="3"/>
        <tr r="B19" s="3"/>
        <tr r="J2" s="11"/>
        <tr r="A18" s="11"/>
        <tr r="A50" s="11"/>
        <tr r="A82" s="11"/>
        <tr r="A114" s="11"/>
        <tr r="A146" s="11"/>
        <tr r="A178" s="11"/>
        <tr r="A214" s="11"/>
        <tr r="A256" s="11"/>
        <tr r="A299" s="11"/>
        <tr r="A392" s="11"/>
        <tr r="A747" s="11"/>
        <tr r="B24" s="3"/>
        <tr r="A23" s="11"/>
        <tr r="A87" s="11"/>
        <tr r="A151" s="11"/>
        <tr r="A220" s="11"/>
        <tr r="A306" s="11"/>
        <tr r="A412" s="11"/>
        <tr r="A827" s="11"/>
        <tr r="C35" s="10"/>
        <tr r="B20" s="10"/>
        <tr r="J3" s="10"/>
        <tr r="B27" s="8"/>
        <tr r="C26" s="9"/>
        <tr r="C46" s="3"/>
        <tr r="C39" s="9"/>
        <tr r="B35" s="8"/>
        <tr r="C20" s="9"/>
        <tr r="B45" s="9"/>
        <tr r="B37" s="10"/>
        <tr r="C36" s="10"/>
        <tr r="C8" s="8"/>
        <tr r="C18" s="3"/>
        <tr r="A101" s="11"/>
        <tr r="A239" s="11"/>
        <tr r="S3" s="9"/>
        <tr r="C35" s="9"/>
        <tr r="B8" s="10"/>
        <tr r="C29" s="10"/>
        <tr r="C40" s="8"/>
        <tr r="C9" s="3"/>
        <tr r="A137" s="11"/>
        <tr r="C8" s="9"/>
        <tr r="C45" s="9"/>
        <tr r="B29" s="10"/>
        <tr r="C42" s="10"/>
        <tr r="B5" s="3"/>
        <tr r="A271" s="11"/>
        <tr r="B50" s="3"/>
        <tr r="A34" s="11"/>
        <tr r="A130" s="11"/>
        <tr r="A235" s="11"/>
        <tr r="C36" s="3"/>
        <tr r="A55" s="11"/>
        <tr r="A183" s="11"/>
        <tr r="A348" s="11"/>
        <tr r="B23" s="9"/>
        <tr r="B34" s="3"/>
        <tr r="C12" s="9"/>
        <tr r="C17" s="3"/>
        <tr r="B38" s="10"/>
        <tr r="A234" s="11"/>
        <tr r="B23" s="8"/>
        <tr r="B48" s="9"/>
        <tr r="A97" s="11"/>
        <tr r="B47" s="9"/>
        <tr r="B43" s="10"/>
        <tr r="C39" s="10"/>
        <tr r="B48" s="8"/>
        <tr r="B3" s="11"/>
        <tr r="A255" s="11"/>
        <tr r="B7" s="9"/>
        <tr r="B28" s="9"/>
        <tr r="C11" s="10"/>
        <tr r="C36" s="8"/>
        <tr r="C6" s="3"/>
        <tr r="A129" s="11"/>
        <tr r="A615" s="11"/>
        <tr r="B25" s="9"/>
        <tr r="B17" s="10"/>
        <tr r="B50" s="10"/>
        <tr r="B19" s="8"/>
        <tr r="A17" s="11"/>
        <tr r="A298" s="11"/>
        <tr r="C40" s="9"/>
        <tr r="B43" s="9"/>
        <tr r="C46" s="9"/>
        <tr r="B29" s="9"/>
        <tr r="C41" s="9"/>
        <tr r="B38" s="9"/>
        <tr r="B26" s="10"/>
        <tr r="B21" s="10"/>
        <tr r="C8" s="10"/>
        <tr r="C16" s="10"/>
        <tr r="C32" s="10"/>
        <tr r="B48" s="10"/>
        <tr r="C14" s="8"/>
        <tr r="C46" s="8"/>
        <tr r="C33" s="8"/>
        <tr r="B20" s="8"/>
        <tr r="B36" s="8"/>
        <tr r="C13" s="3"/>
        <tr r="B22" s="3"/>
        <tr r="A21" s="11"/>
        <tr r="A85" s="11"/>
        <tr r="A149" s="11"/>
        <tr r="A218" s="11"/>
        <tr r="A303" s="11"/>
        <tr r="A404" s="11"/>
        <tr r="A795" s="11"/>
        <tr r="C24" s="9"/>
        <tr r="C18" s="9"/>
        <tr r="B6" s="9"/>
        <tr r="C27" s="9"/>
        <tr r="B24" s="9"/>
        <tr r="B39" s="10"/>
        <tr r="D3" s="10"/>
        <tr r="B11" s="10"/>
        <tr r="B44" s="10"/>
        <tr r="C25" s="10"/>
        <tr r="C41" s="10"/>
        <tr r="G3" s="8"/>
        <tr r="C32" s="8"/>
        <tr r="C19" s="8"/>
        <tr r="B13" s="8"/>
        <tr r="B29" s="8"/>
        <tr r="D3" s="3"/>
        <tr r="C38" s="3"/>
        <tr r="C3" s="11"/>
        <tr r="A57" s="11"/>
        <tr r="A121" s="11"/>
        <tr r="A185" s="11"/>
        <tr r="A266" s="11"/>
        <tr r="A351" s="11"/>
        <tr r="A572" s="11"/>
        <tr r="B9" s="9"/>
        <tr r="C44" s="9"/>
        <tr r="C38" s="9"/>
        <tr r="B21" s="9"/>
        <tr r="C37" s="9"/>
        <tr r="B34" s="9"/>
        <tr r="B18" s="10"/>
        <tr r="B13" s="10"/>
        <tr r="C6" s="10"/>
        <tr r="C14" s="10"/>
        <tr r="C34" s="10"/>
        <tr r="C18" s="8"/>
        <tr r="C37" s="8"/>
        <tr r="B38" s="8"/>
        <tr r="B30" s="3"/>
        <tr r="A93" s="11"/>
        <tr r="A228" s="11"/>
        <tr r="A436" s="11"/>
        <tr r="C7" s="3"/>
        <tr r="C39" s="3"/>
        <tr r="B27" s="3"/>
        <tr r="K3" s="11"/>
        <tr r="A26" s="11"/>
        <tr r="A58" s="11"/>
        <tr r="A90" s="11"/>
        <tr r="A122" s="11"/>
        <tr r="A154" s="11"/>
        <tr r="A186" s="11"/>
        <tr r="A224" s="11"/>
        <tr r="A267" s="11"/>
        <tr r="A320" s="11"/>
        <tr r="A456" s="11"/>
        <tr r="C20" s="3"/>
        <tr r="B40" s="3"/>
        <tr r="A39" s="11"/>
        <tr r="A103" s="11"/>
        <tr r="A167" s="11"/>
        <tr r="A242" s="11"/>
        <tr r="A327" s="11"/>
        <tr r="A476" s="11"/>
        <tr r="C25" s="3"/>
        <tr r="A310" s="11"/>
        <tr r="A331" s="11"/>
        <tr r="A352" s="11"/>
        <tr r="A374" s="11"/>
        <tr r="A424" s="11"/>
        <tr r="A492" s="11"/>
        <tr r="A577" s="11"/>
        <tr r="A663" s="11"/>
        <tr r="A924" s="11"/>
        <tr r="C28" s="3"/>
        <tr r="C44" s="3"/>
        <tr r="B16" s="3"/>
        <tr r="B32" s="3"/>
        <tr r="E2" s="11"/>
        <tr r="D2" s="11"/>
        <tr r="A15" s="11"/>
        <tr r="A31" s="11"/>
        <tr r="A47" s="11"/>
        <tr r="A63" s="11"/>
        <tr r="A79" s="11"/>
        <tr r="A95" s="11"/>
        <tr r="A111" s="11"/>
        <tr r="A127" s="11"/>
        <tr r="A143" s="11"/>
        <tr r="A159" s="11"/>
        <tr r="A175" s="11"/>
        <tr r="A191" s="11"/>
        <tr r="A210" s="11"/>
        <tr r="A231" s="11"/>
        <tr r="A252" s="11"/>
        <tr r="A274" s="11"/>
        <tr r="A295" s="11"/>
        <tr r="A316" s="11"/>
        <tr r="A338" s="11"/>
        <tr r="A359" s="11"/>
        <tr r="A383" s="11"/>
        <tr r="A444" s="11"/>
        <tr r="A519" s="11"/>
        <tr r="A604" s="11"/>
        <tr r="A699" s="11"/>
        <tr r="A1244" s="11"/>
        <tr r="C33" s="3"/>
        <tr r="G3" s="3"/>
        <tr r="B21" s="3"/>
        <tr r="B37" s="3"/>
        <tr r="G3" s="11"/>
        <tr r="A4" s="11"/>
        <tr r="A20" s="11"/>
        <tr r="A36" s="11"/>
        <tr r="A52" s="11"/>
        <tr r="A68" s="11"/>
        <tr r="A84" s="11"/>
        <tr r="A100" s="11"/>
        <tr r="A116" s="11"/>
        <tr r="A132" s="11"/>
        <tr r="A148" s="11"/>
        <tr r="A206" s="11"/>
        <tr r="A291" s="11"/>
        <tr r="A376" s="11"/>
        <tr r="A673" s="11"/>
        <tr r="A241" s="11"/>
        <tr r="A305" s="11"/>
        <tr r="A369" s="11"/>
        <tr r="A433" s="11"/>
        <tr r="A504" s="11"/>
        <tr r="A589" s="11"/>
        <tr r="A675" s="11"/>
        <tr r="A1068" s="11"/>
        <tr r="A422" s="11"/>
        <tr r="A489" s="11"/>
        <tr r="A575" s="11"/>
        <tr r="A660" s="11"/>
        <tr r="A892" s="11"/>
        <tr r="A419" s="11"/>
        <tr r="A485" s="11"/>
        <tr r="A571" s="11"/>
        <tr r="A656" s="11"/>
        <tr r="A855" s="11"/>
        <tr r="A506" s="11"/>
        <tr r="A570" s="11"/>
        <tr r="A634" s="11"/>
        <tr r="A698" s="11"/>
        <tr r="A762" s="11"/>
        <tr r="A826" s="11"/>
        <tr r="A984" s="11"/>
        <tr r="A1240" s="11"/>
        <tr r="A720" s="11"/>
        <tr r="C38" s="10"/>
        <tr r="B7" s="8"/>
        <tr r="C26" s="8"/>
        <tr r="C13" s="8"/>
        <tr r="B50" s="8"/>
        <tr r="B26" s="8"/>
        <tr r="B44" s="8"/>
        <tr r="C26" s="3"/>
        <tr r="B46" s="3"/>
        <tr r="A45" s="11"/>
        <tr r="A109" s="11"/>
        <tr r="A173" s="11"/>
        <tr r="A250" s="11"/>
        <tr r="A335" s="11"/>
        <tr r="A508" s="11"/>
        <tr r="B39" s="8"/>
        <tr r="C11" s="3"/>
        <tr r="C27" s="3"/>
        <tr r="C43" s="3"/>
        <tr r="B15" s="3"/>
        <tr r="B31" s="3"/>
        <tr r="B47" s="3"/>
        <tr r="L3" s="11"/>
        <tr r="A14" s="11"/>
        <tr r="A30" s="11"/>
        <tr r="A46" s="11"/>
        <tr r="A62" s="11"/>
        <tr r="A78" s="11"/>
        <tr r="A94" s="11"/>
        <tr r="A110" s="11"/>
        <tr r="A126" s="11"/>
        <tr r="A142" s="11"/>
        <tr r="A158" s="11"/>
        <tr r="A174" s="11"/>
        <tr r="A190" s="11"/>
        <tr r="A208" s="11"/>
        <tr r="A230" s="11"/>
        <tr r="A251" s="11"/>
        <tr r="A272" s="11"/>
        <tr r="A294" s="11"/>
        <tr r="A315" s="11"/>
        <tr r="A336" s="11"/>
        <tr r="A358" s="11"/>
        <tr r="A380" s="11"/>
        <tr r="A440" s="11"/>
        <tr r="A513" s="11"/>
        <tr r="A599" s="11"/>
        <tr r="A684" s="11"/>
        <tr r="A1180" s="11"/>
        <tr r="C32" s="3"/>
        <tr r="B48" s="3"/>
        <tr r="B20" s="3"/>
        <tr r="B36" s="3"/>
        <tr r="F3" s="11"/>
        <tr r="I3" s="11"/>
        <tr r="A19" s="11"/>
        <tr r="A35" s="11"/>
        <tr r="A51" s="11"/>
        <tr r="A67" s="11"/>
        <tr r="A83" s="11"/>
        <tr r="A99" s="11"/>
        <tr r="A115" s="11"/>
        <tr r="A131" s="11"/>
        <tr r="A147" s="11"/>
        <tr r="A163" s="11"/>
        <tr r="A179" s="11"/>
        <tr r="A195" s="11"/>
        <tr r="A215" s="11"/>
        <tr r="A236" s="11"/>
        <tr r="A258" s="11"/>
        <tr r="A279" s="11"/>
        <tr r="A300" s="11"/>
        <tr r="A322" s="11"/>
        <tr r="A343" s="11"/>
        <tr r="A364" s="11"/>
        <tr r="A396" s="11"/>
        <tr r="A460" s="11"/>
        <tr r="A540" s="11"/>
        <tr r="A625" s="11"/>
        <tr r="A763" s="11"/>
        <tr r="C21" s="3"/>
        <tr r="C37" s="3"/>
        <tr r="B9" s="3"/>
        <tr r="B25" s="3"/>
        <tr r="B41" s="3"/>
        <tr r="F2" s="11"/>
        <tr r="A8" s="11"/>
        <tr r="A24" s="11"/>
        <tr r="A40" s="11"/>
        <tr r="A56" s="11"/>
        <tr r="A72" s="11"/>
        <tr r="A88" s="11"/>
        <tr r="A104" s="11"/>
        <tr r="A120" s="11"/>
        <tr r="A136" s="11"/>
        <tr r="A156" s="11"/>
        <tr r="A227" s="11"/>
        <tr r="A312" s="11"/>
        <tr r="A432" s="11"/>
        <tr r="A1052" s="11"/>
        <tr r="A257" s="11"/>
        <tr r="A321" s="11"/>
        <tr r="A385" s="11"/>
        <tr r="A449" s="11"/>
        <tr r="A525" s="11"/>
        <tr r="A611" s="11"/>
        <tr r="A719" s="11"/>
        <tr r="D57" s="1"/>
        <tr r="A438" s="11"/>
        <tr r="A511" s="11"/>
        <tr r="A596" s="11"/>
        <tr r="A681" s="11"/>
        <tr r="A1148" s="11"/>
        <tr r="A435" s="11"/>
        <tr r="A507" s="11"/>
        <tr r="A592" s="11"/>
        <tr r="A677" s="11"/>
        <tr r="A1100" s="11"/>
        <tr r="A522" s="11"/>
        <tr r="A586" s="11"/>
        <tr r="A650" s="11"/>
        <tr r="A714" s="11"/>
        <tr r="A778" s="11"/>
        <tr r="A842" s="11"/>
        <tr r="A1048" s="11"/>
        <tr r="B11" s="1"/>
        <tr r="A736" s="11"/>
        <tr r="C41" s="3"/>
        <tr r="B13" s="3"/>
        <tr r="B29" s="3"/>
        <tr r="B45" s="3"/>
        <tr r="K2" s="11"/>
        <tr r="A12" s="11"/>
        <tr r="A28" s="11"/>
        <tr r="A44" s="11"/>
        <tr r="A60" s="11"/>
        <tr r="A76" s="11"/>
        <tr r="A92" s="11"/>
        <tr r="A108" s="11"/>
        <tr r="A124" s="11"/>
        <tr r="A140" s="11"/>
        <tr r="A172" s="11"/>
        <tr r="A248" s="11"/>
        <tr r="A334" s="11"/>
        <tr r="A503" s="11"/>
        <tr r="A209" s="11"/>
        <tr r="A273" s="11"/>
        <tr r="A337" s="11"/>
        <tr r="A401" s="11"/>
        <tr r="A465" s="11"/>
        <tr r="A547" s="11"/>
        <tr r="A632" s="11"/>
        <tr r="A783" s="11"/>
        <tr r="A390" s="11"/>
        <tr r="A454" s="11"/>
        <tr r="A532" s="11"/>
        <tr r="A617" s="11"/>
        <tr r="A739" s="11"/>
        <tr r="A387" s="11"/>
        <tr r="A451" s="11"/>
        <tr r="A528" s="11"/>
        <tr r="A613" s="11"/>
        <tr r="A727" s="11"/>
        <tr r="B12" s="1"/>
        <tr r="A538" s="11"/>
        <tr r="A602" s="11"/>
        <tr r="A666" s="11"/>
        <tr r="A730" s="11"/>
        <tr r="A794" s="11"/>
        <tr r="A858" s="11"/>
        <tr r="A1112" s="11"/>
        <tr r="A688" s="11"/>
        <tr r="A752" s="11"/>
        <tr r="C30" s="10"/>
        <tr r="C46" s="10"/>
        <tr r="B11" s="8"/>
        <tr r="C42" s="8"/>
        <tr r="C29" s="8"/>
        <tr r="B18" s="8"/>
        <tr r="B34" s="8"/>
        <tr r="C10" s="3"/>
        <tr r="B14" s="3"/>
        <tr r="A13" s="11"/>
        <tr r="A77" s="11"/>
        <tr r="A141" s="11"/>
        <tr r="A207" s="11"/>
        <tr r="A292" s="11"/>
        <tr r="A379" s="11"/>
        <tr r="A679" s="11"/>
        <tr r="B47" s="8"/>
        <tr r="C19" s="3"/>
        <tr r="C35" s="3"/>
        <tr r="B7" s="3"/>
        <tr r="B23" s="3"/>
        <tr r="B39" s="3"/>
        <tr r="D3" s="11"/>
        <tr r="A6" s="11"/>
        <tr r="A22" s="11"/>
        <tr r="A38" s="11"/>
        <tr r="A54" s="11"/>
        <tr r="A70" s="11"/>
        <tr r="A86" s="11"/>
        <tr r="A102" s="11"/>
        <tr r="A118" s="11"/>
        <tr r="A134" s="11"/>
        <tr r="A150" s="11"/>
        <tr r="A166" s="11"/>
        <tr r="A182" s="11"/>
        <tr r="A198" s="11"/>
        <tr r="A219" s="11"/>
        <tr r="A240" s="11"/>
        <tr r="A262" s="11"/>
        <tr r="A283" s="11"/>
        <tr r="A304" s="11"/>
        <tr r="A326" s="11"/>
        <tr r="A347" s="11"/>
        <tr r="A368" s="11"/>
        <tr r="A408" s="11"/>
        <tr r="A472" s="11"/>
        <tr r="A556" s="11"/>
        <tr r="A641" s="11"/>
        <tr r="A811" s="11"/>
        <tr r="C24" s="3"/>
        <tr r="C40" s="3"/>
        <tr r="B12" s="3"/>
        <tr r="B28" s="3"/>
        <tr r="B44" s="3"/>
        <tr r="C2" s="11"/>
        <tr r="A11" s="11"/>
        <tr r="A27" s="11"/>
        <tr r="A43" s="11"/>
        <tr r="A59" s="11"/>
        <tr r="A75" s="11"/>
        <tr r="A91" s="11"/>
        <tr r="A107" s="11"/>
        <tr r="A123" s="11"/>
        <tr r="A139" s="11"/>
        <tr r="A155" s="11"/>
        <tr r="A171" s="11"/>
        <tr r="A187" s="11"/>
        <tr r="A204" s="11"/>
        <tr r="A226" s="11"/>
        <tr r="A247" s="11"/>
        <tr r="A268" s="11"/>
        <tr r="A290" s="11"/>
        <tr r="A311" s="11"/>
        <tr r="A332" s="11"/>
        <tr r="A354" s="11"/>
        <tr r="A375" s="11"/>
        <tr r="A428" s="11"/>
        <tr r="A497" s="11"/>
        <tr r="A583" s="11"/>
        <tr r="A668" s="11"/>
        <tr r="A988" s="11"/>
        <tr r="C29" s="3"/>
        <tr r="C45" s="3"/>
        <tr r="B17" s="3"/>
        <tr r="B33" s="3"/>
        <tr r="J3" s="11"/>
        <tr r="H2" s="11"/>
        <tr r="A16" s="11"/>
        <tr r="A32" s="11"/>
        <tr r="A48" s="11"/>
        <tr r="A64" s="11"/>
        <tr r="A80" s="11"/>
        <tr r="A96" s="11"/>
        <tr r="A112" s="11"/>
        <tr r="A128" s="11"/>
        <tr r="A144" s="11"/>
        <tr r="A188" s="11"/>
        <tr r="A270" s="11"/>
        <tr r="A355" s="11"/>
        <tr r="A588" s="11"/>
        <tr r="A225" s="11"/>
        <tr r="A289" s="11"/>
        <tr r="A353" s="11"/>
        <tr r="A417" s="11"/>
        <tr r="A483" s="11"/>
        <tr r="A568" s="11"/>
        <tr r="A653" s="11"/>
        <tr r="A847" s="11"/>
        <tr r="A406" s="11"/>
        <tr r="A470" s="11"/>
        <tr r="A553" s="11"/>
        <tr r="A639" s="11"/>
        <tr r="A803" s="11"/>
        <tr r="A403" s="11"/>
        <tr r="A467" s="11"/>
        <tr r="A549" s="11"/>
        <tr r="A635" s="11"/>
        <tr r="A791" s="11"/>
        <tr r="A490" s="11"/>
        <tr r="A554" s="11"/>
        <tr r="A618" s="11"/>
        <tr r="A682" s="11"/>
        <tr r="A746" s="11"/>
        <tr r="A810" s="11"/>
        <tr r="A920" s="11"/>
        <tr r="A1176" s="11"/>
        <tr r="A704" s="11"/>
        <tr r="A768" s="11"/>
        <tr r="A160" s="11"/>
        <tr r="A176" s="11"/>
        <tr r="A192" s="11"/>
        <tr r="A211" s="11"/>
        <tr r="A232" s="11"/>
        <tr r="A254" s="11"/>
        <tr r="A275" s="11"/>
        <tr r="A296" s="11"/>
        <tr r="A318" s="11"/>
        <tr r="A339" s="11"/>
        <tr r="A360" s="11"/>
        <tr r="A384" s="11"/>
        <tr r="A448" s="11"/>
        <tr r="A524" s="11"/>
        <tr r="A609" s="11"/>
        <tr r="A715" s="11"/>
        <tr r="B33" s="1"/>
        <tr r="A213" s="11"/>
        <tr r="A229" s="11"/>
        <tr r="A245" s="11"/>
        <tr r="A261" s="11"/>
        <tr r="A277" s="11"/>
        <tr r="A293" s="11"/>
        <tr r="A309" s="11"/>
        <tr r="A325" s="11"/>
        <tr r="A341" s="11"/>
        <tr r="A357" s="11"/>
        <tr r="A373" s="11"/>
        <tr r="A389" s="11"/>
        <tr r="A405" s="11"/>
        <tr r="A421" s="11"/>
        <tr r="A437" s="11"/>
        <tr r="A453" s="11"/>
        <tr r="A469" s="11"/>
        <tr r="A488" s="11"/>
        <tr r="A509" s="11"/>
        <tr r="A531" s="11"/>
        <tr r="A552" s="11"/>
        <tr r="A573" s="11"/>
        <tr r="A595" s="11"/>
        <tr r="A616" s="11"/>
        <tr r="A637" s="11"/>
        <tr r="A659" s="11"/>
        <tr r="A680" s="11"/>
        <tr r="A735" s="11"/>
        <tr r="A799" s="11"/>
        <tr r="A876" s="11"/>
        <tr r="A1132" s="11"/>
        <tr r="A378" s="11"/>
        <tr r="A394" s="11"/>
        <tr r="A410" s="11"/>
        <tr r="A426" s="11"/>
        <tr r="A442" s="11"/>
        <tr r="A458" s="11"/>
        <tr r="A474" s="11"/>
        <tr r="A495" s="11"/>
        <tr r="A516" s="11"/>
        <tr r="A537" s="11"/>
        <tr r="A559" s="11"/>
        <tr r="A580" s="11"/>
        <tr r="A601" s="11"/>
        <tr r="A623" s="11"/>
        <tr r="A644" s="11"/>
        <tr r="A665" s="11"/>
        <tr r="A691" s="11"/>
        <tr r="A755" s="11"/>
        <tr r="A819" s="11"/>
        <tr r="A956" s="11"/>
        <tr r="A1212" s="11"/>
        <tr r="A391" s="11"/>
        <tr r="A407" s="11"/>
        <tr r="A423" s="11"/>
        <tr r="A439" s="11"/>
        <tr r="A455" s="11"/>
        <tr r="A471" s="11"/>
        <tr r="A491" s="11"/>
        <tr r="A512" s="11"/>
        <tr r="A533" s="11"/>
        <tr r="A555" s="11"/>
        <tr r="A576" s="11"/>
        <tr r="A597" s="11"/>
        <tr r="A619" s="11"/>
        <tr r="A640" s="11"/>
        <tr r="A661" s="11"/>
        <tr r="A683" s="11"/>
        <tr r="A743" s="11"/>
        <tr r="A807" s="11"/>
        <tr r="A908" s="11"/>
        <tr r="A1164" s="11"/>
        <tr r="A478" s="11"/>
        <tr r="A494" s="11"/>
        <tr r="A510" s="11"/>
        <tr r="A526" s="11"/>
        <tr r="A542" s="11"/>
        <tr r="A558" s="11"/>
        <tr r="A574" s="11"/>
        <tr r="A590" s="11"/>
        <tr r="A606" s="11"/>
        <tr r="A622" s="11"/>
        <tr r="A638" s="11"/>
        <tr r="A654" s="11"/>
        <tr r="A670" s="11"/>
        <tr r="A686" s="11"/>
        <tr r="A702" s="11"/>
        <tr r="A718" s="11"/>
        <tr r="A734" s="11"/>
        <tr r="A750" s="11"/>
        <tr r="A766" s="11"/>
        <tr r="A782" s="11"/>
        <tr r="A798" s="11"/>
        <tr r="A814" s="11"/>
        <tr r="A830" s="11"/>
        <tr r="A846" s="11"/>
        <tr r="A872" s="11"/>
        <tr r="A936" s="11"/>
        <tr r="A1000" s="11"/>
        <tr r="A1064" s="11"/>
        <tr r="A1128" s="11"/>
        <tr r="A1192" s="11"/>
        <tr r="A1256" s="11"/>
        <tr r="B49" s="1"/>
        <tr r="A692" s="11"/>
        <tr r="A708" s="11"/>
        <tr r="A724" s="11"/>
        <tr r="A740" s="11"/>
        <tr r="A756" s="11"/>
        <tr r="A772" s="11"/>
        <tr r="A164" s="11"/>
        <tr r="A180" s="11"/>
        <tr r="A196" s="11"/>
        <tr r="A216" s="11"/>
        <tr r="A238" s="11"/>
        <tr r="A259" s="11"/>
        <tr r="A280" s="11"/>
        <tr r="A302" s="11"/>
        <tr r="A323" s="11"/>
        <tr r="A344" s="11"/>
        <tr r="A366" s="11"/>
        <tr r="A400" s="11"/>
        <tr r="A464" s="11"/>
        <tr r="A545" s="11"/>
        <tr r="A631" s="11"/>
        <tr r="A779" s="11"/>
        <tr r="A201" s="11"/>
        <tr r="A217" s="11"/>
        <tr r="A233" s="11"/>
        <tr r="A249" s="11"/>
        <tr r="A265" s="11"/>
        <tr r="A281" s="11"/>
        <tr r="A297" s="11"/>
        <tr r="A313" s="11"/>
        <tr r="A329" s="11"/>
        <tr r="A345" s="11"/>
        <tr r="A361" s="11"/>
        <tr r="A377" s="11"/>
        <tr r="A393" s="11"/>
        <tr r="A409" s="11"/>
        <tr r="A425" s="11"/>
        <tr r="A441" s="11"/>
        <tr r="A457" s="11"/>
        <tr r="A473" s="11"/>
        <tr r="A493" s="11"/>
        <tr r="A515" s="11"/>
        <tr r="A536" s="11"/>
        <tr r="A557" s="11"/>
        <tr r="A579" s="11"/>
        <tr r="A600" s="11"/>
        <tr r="A621" s="11"/>
        <tr r="A643" s="11"/>
        <tr r="A664" s="11"/>
        <tr r="A687" s="11"/>
        <tr r="A751" s="11"/>
        <tr r="A815" s="11"/>
        <tr r="A940" s="11"/>
        <tr r="A1196" s="11"/>
        <tr r="A382" s="11"/>
        <tr r="A398" s="11"/>
        <tr r="A414" s="11"/>
        <tr r="A430" s="11"/>
        <tr r="A446" s="11"/>
        <tr r="A462" s="11"/>
        <tr r="A479" s="11"/>
        <tr r="A500" s="11"/>
        <tr r="A521" s="11"/>
        <tr r="A543" s="11"/>
        <tr r="A564" s="11"/>
        <tr r="A585" s="11"/>
        <tr r="A607" s="11"/>
        <tr r="A628" s="11"/>
        <tr r="A649" s="11"/>
        <tr r="A671" s="11"/>
        <tr r="A707" s="11"/>
        <tr r="A771" s="11"/>
        <tr r="A835" s="11"/>
        <tr r="A1020" s="11"/>
        <tr r="A1276" s="11"/>
        <tr r="A395" s="11"/>
        <tr r="A411" s="11"/>
        <tr r="A427" s="11"/>
        <tr r="A443" s="11"/>
        <tr r="A459" s="11"/>
        <tr r="A475" s="11"/>
        <tr r="A496" s="11"/>
        <tr r="A517" s="11"/>
        <tr r="A539" s="11"/>
        <tr r="A560" s="11"/>
        <tr r="A581" s="11"/>
        <tr r="A603" s="11"/>
        <tr r="A624" s="11"/>
        <tr r="A645" s="11"/>
        <tr r="A667" s="11"/>
        <tr r="A695" s="11"/>
        <tr r="A759" s="11"/>
        <tr r="A823" s="11"/>
        <tr r="A972" s="11"/>
        <tr r="A1228" s="11"/>
        <tr r="A482" s="11"/>
        <tr r="A498" s="11"/>
        <tr r="A514" s="11"/>
        <tr r="A530" s="11"/>
        <tr r="A546" s="11"/>
        <tr r="A562" s="11"/>
        <tr r="A578" s="11"/>
        <tr r="A594" s="11"/>
        <tr r="A610" s="11"/>
        <tr r="A626" s="11"/>
        <tr r="A642" s="11"/>
        <tr r="A658" s="11"/>
        <tr r="A674" s="11"/>
        <tr r="A690" s="11"/>
        <tr r="A706" s="11"/>
        <tr r="A722" s="11"/>
        <tr r="A738" s="11"/>
        <tr r="A754" s="11"/>
        <tr r="A770" s="11"/>
        <tr r="A786" s="11"/>
        <tr r="A802" s="11"/>
        <tr r="A818" s="11"/>
        <tr r="A834" s="11"/>
        <tr r="A850" s="11"/>
        <tr r="A888" s="11"/>
        <tr r="A952" s="11"/>
        <tr r="A1016" s="11"/>
        <tr r="A1080" s="11"/>
        <tr r="A1144" s="11"/>
        <tr r="A1208" s="11"/>
        <tr r="A1272" s="11"/>
        <tr r="B41" s="1"/>
        <tr r="A696" s="11"/>
        <tr r="A712" s="11"/>
        <tr r="A728" s="11"/>
        <tr r="A744" s="11"/>
        <tr r="A760" s="11"/>
        <tr r="A776" s="11"/>
        <tr r="A152" s="11"/>
        <tr r="A168" s="11"/>
        <tr r="A184" s="11"/>
        <tr r="A200" s="11"/>
        <tr r="A222" s="11"/>
        <tr r="A243" s="11"/>
        <tr r="A264" s="11"/>
        <tr r="A286" s="11"/>
        <tr r="A307" s="11"/>
        <tr r="A328" s="11"/>
        <tr r="A350" s="11"/>
        <tr r="A371" s="11"/>
        <tr r="A416" s="11"/>
        <tr r="A481" s="11"/>
        <tr r="A567" s="11"/>
        <tr r="A652" s="11"/>
        <tr r="A843" s="11"/>
        <tr r="A205" s="11"/>
        <tr r="A221" s="11"/>
        <tr r="A237" s="11"/>
        <tr r="A253" s="11"/>
        <tr r="A269" s="11"/>
        <tr r="A285" s="11"/>
        <tr r="A301" s="11"/>
        <tr r="A317" s="11"/>
        <tr r="A333" s="11"/>
        <tr r="A349" s="11"/>
        <tr r="A365" s="11"/>
        <tr r="A381" s="11"/>
        <tr r="A397" s="11"/>
        <tr r="A413" s="11"/>
        <tr r="A429" s="11"/>
        <tr r="A445" s="11"/>
        <tr r="A461" s="11"/>
        <tr r="A477" s="11"/>
        <tr r="A499" s="11"/>
        <tr r="A520" s="11"/>
        <tr r="A541" s="11"/>
        <tr r="A563" s="11"/>
        <tr r="A584" s="11"/>
        <tr r="A605" s="11"/>
        <tr r="A627" s="11"/>
        <tr r="A648" s="11"/>
        <tr r="A669" s="11"/>
        <tr r="A703" s="11"/>
        <tr r="A767" s="11"/>
        <tr r="A831" s="11"/>
        <tr r="A1004" s="11"/>
        <tr r="A1260" s="11"/>
        <tr r="A386" s="11"/>
        <tr r="A402" s="11"/>
        <tr r="A418" s="11"/>
        <tr r="A434" s="11"/>
        <tr r="A450" s="11"/>
        <tr r="A466" s="11"/>
        <tr r="A484" s="11"/>
        <tr r="A505" s="11"/>
        <tr r="A527" s="11"/>
        <tr r="A548" s="11"/>
        <tr r="A569" s="11"/>
        <tr r="A591" s="11"/>
        <tr r="A612" s="11"/>
        <tr r="A633" s="11"/>
        <tr r="A655" s="11"/>
        <tr r="A676" s="11"/>
        <tr r="A723" s="11"/>
        <tr r="A787" s="11"/>
        <tr r="A851" s="11"/>
        <tr r="A1084" s="11"/>
        <tr r="B57" s="1"/>
        <tr r="A399" s="11"/>
        <tr r="A415" s="11"/>
        <tr r="A431" s="11"/>
        <tr r="A447" s="11"/>
        <tr r="A463" s="11"/>
        <tr r="A480" s="11"/>
        <tr r="A501" s="11"/>
        <tr r="A523" s="11"/>
        <tr r="A544" s="11"/>
        <tr r="A565" s="11"/>
        <tr r="A587" s="11"/>
        <tr r="A608" s="11"/>
        <tr r="A629" s="11"/>
        <tr r="A651" s="11"/>
        <tr r="A672" s="11"/>
        <tr r="A711" s="11"/>
        <tr r="A775" s="11"/>
        <tr r="A839" s="11"/>
        <tr r="A1036" s="11"/>
        <tr r="D18" s="1"/>
        <tr r="A486" s="11"/>
        <tr r="A502" s="11"/>
        <tr r="A518" s="11"/>
        <tr r="A534" s="11"/>
        <tr r="A550" s="11"/>
        <tr r="A566" s="11"/>
        <tr r="A582" s="11"/>
        <tr r="A598" s="11"/>
        <tr r="A614" s="11"/>
        <tr r="A630" s="11"/>
        <tr r="A646" s="11"/>
        <tr r="A662" s="11"/>
        <tr r="A678" s="11"/>
        <tr r="A694" s="11"/>
        <tr r="A710" s="11"/>
        <tr r="A726" s="11"/>
        <tr r="A742" s="11"/>
        <tr r="A758" s="11"/>
        <tr r="A774" s="11"/>
        <tr r="A790" s="11"/>
        <tr r="A806" s="11"/>
        <tr r="A822" s="11"/>
        <tr r="A838" s="11"/>
        <tr r="A854" s="11"/>
        <tr r="A904" s="11"/>
        <tr r="A968" s="11"/>
        <tr r="A1032" s="11"/>
        <tr r="A1096" s="11"/>
        <tr r="A1160" s="11"/>
        <tr r="A1224" s="11"/>
        <tr r="A1288" s="11"/>
        <tr r="B22" s="1"/>
        <tr r="A700" s="11"/>
        <tr r="A716" s="11"/>
        <tr r="A732" s="11"/>
        <tr r="A748" s="11"/>
        <tr r="A764" s="11"/>
        <tr r="A780" s="11"/>
        <tr r="A784" s="11"/>
        <tr r="A800" s="11"/>
        <tr r="A816" s="11"/>
        <tr r="A832" s="11"/>
        <tr r="A848" s="11"/>
        <tr r="A880" s="11"/>
        <tr r="A944" s="11"/>
        <tr r="A1008" s="11"/>
        <tr r="A1072" s="11"/>
        <tr r="A1136" s="11"/>
        <tr r="A1200" s="11"/>
        <tr r="A1264" s="11"/>
        <tr r="B71" s="1"/>
        <tr r="A689" s="11"/>
        <tr r="A705" s="11"/>
        <tr r="A721" s="11"/>
        <tr r="A737" s="11"/>
        <tr r="A753" s="11"/>
        <tr r="A769" s="11"/>
        <tr r="A785" s="11"/>
        <tr r="A801" s="11"/>
        <tr r="A817" s="11"/>
        <tr r="A833" s="11"/>
        <tr r="A849" s="11"/>
        <tr r="A884" s="11"/>
        <tr r="A948" s="11"/>
        <tr r="A1012" s="11"/>
        <tr r="A1076" s="11"/>
        <tr r="A1140" s="11"/>
        <tr r="A1204" s="11"/>
        <tr r="A1268" s="11"/>
        <tr r="B26" s="1"/>
        <tr r="A863" s="11"/>
        <tr r="A879" s="11"/>
        <tr r="A895" s="11"/>
        <tr r="A911" s="11"/>
        <tr r="A927" s="11"/>
        <tr r="A943" s="11"/>
        <tr r="A959" s="11"/>
        <tr r="A975" s="11"/>
        <tr r="A991" s="11"/>
        <tr r="A1007" s="11"/>
        <tr r="A1023" s="11"/>
        <tr r="A1039" s="11"/>
        <tr r="A1055" s="11"/>
        <tr r="A1071" s="11"/>
        <tr r="A1087" s="11"/>
        <tr r="A1103" s="11"/>
        <tr r="A1119" s="11"/>
        <tr r="A1135" s="11"/>
        <tr r="A1151" s="11"/>
        <tr r="A1167" s="11"/>
        <tr r="A1183" s="11"/>
        <tr r="A1199" s="11"/>
        <tr r="A1215" s="11"/>
        <tr r="A1231" s="11"/>
        <tr r="A1247" s="11"/>
        <tr r="A1263" s="11"/>
        <tr r="A1279" s="11"/>
        <tr r="B61" s="1"/>
        <tr r="C18" s="1"/>
        <tr r="B67" s="1"/>
        <tr r="B64" s="1"/>
        <tr r="B37" s="1"/>
        <tr r="A869" s="11"/>
        <tr r="A885" s="11"/>
        <tr r="A901" s="11"/>
        <tr r="A917" s="11"/>
        <tr r="A933" s="11"/>
        <tr r="A949" s="11"/>
        <tr r="A965" s="11"/>
        <tr r="A981" s="11"/>
        <tr r="A997" s="11"/>
        <tr r="A1013" s="11"/>
        <tr r="A1029" s="11"/>
        <tr r="A1045" s="11"/>
        <tr r="A1061" s="11"/>
        <tr r="A1077" s="11"/>
        <tr r="A1093" s="11"/>
        <tr r="A1109" s="11"/>
        <tr r="A1125" s="11"/>
        <tr r="A1141" s="11"/>
        <tr r="A1157" s="11"/>
        <tr r="A1173" s="11"/>
        <tr r="A1189" s="11"/>
        <tr r="A1205" s="11"/>
        <tr r="A1221" s="11"/>
        <tr r="A1237" s="11"/>
        <tr r="A1253" s="11"/>
        <tr r="A1269" s="11"/>
        <tr r="A1285" s="11"/>
        <tr r="B7" s="1"/>
        <tr r="B46" s="1"/>
        <tr r="B31" s="1"/>
        <tr r="B65" s="1"/>
        <tr r="B70" s="1"/>
        <tr r="A874" s="11"/>
        <tr r="A890" s="11"/>
        <tr r="A906" s="11"/>
        <tr r="A922" s="11"/>
        <tr r="A938" s="11"/>
        <tr r="A954" s="11"/>
        <tr r="A970" s="11"/>
        <tr r="A986" s="11"/>
        <tr r="A1002" s="11"/>
        <tr r="A1018" s="11"/>
        <tr r="A1034" s="11"/>
        <tr r="A1050" s="11"/>
        <tr r="A1066" s="11"/>
        <tr r="A1082" s="11"/>
        <tr r="A1098" s="11"/>
        <tr r="A1114" s="11"/>
        <tr r="A1130" s="11"/>
        <tr r="A1146" s="11"/>
        <tr r="A1162" s="11"/>
        <tr r="A1178" s="11"/>
        <tr r="A1194" s="11"/>
        <tr r="A1210" s="11"/>
        <tr r="A1226" s="11"/>
        <tr r="A1242" s="11"/>
        <tr r="A1258" s="11"/>
        <tr r="A1274" s="11"/>
        <tr r="A1290" s="11"/>
        <tr r="B18" s="1"/>
        <tr r="B51" s="1"/>
        <tr r="G44" s="1"/>
        <tr r="B6" s="1"/>
        <tr r="A788" s="11"/>
        <tr r="A804" s="11"/>
        <tr r="A820" s="11"/>
        <tr r="A836" s="11"/>
        <tr r="A852" s="11"/>
        <tr r="A896" s="11"/>
        <tr r="A960" s="11"/>
        <tr r="A1024" s="11"/>
        <tr r="A1088" s="11"/>
        <tr r="A1152" s="11"/>
        <tr r="A1216" s="11"/>
        <tr r="A1280" s="11"/>
        <tr r="B73" s="1"/>
        <tr r="A693" s="11"/>
        <tr r="A709" s="11"/>
        <tr r="A725" s="11"/>
        <tr r="A741" s="11"/>
        <tr r="A757" s="11"/>
        <tr r="A773" s="11"/>
        <tr r="A789" s="11"/>
        <tr r="A805" s="11"/>
        <tr r="A821" s="11"/>
        <tr r="A837" s="11"/>
        <tr r="A853" s="11"/>
        <tr r="A900" s="11"/>
        <tr r="A964" s="11"/>
        <tr r="A1028" s="11"/>
        <tr r="A1092" s="11"/>
        <tr r="A1156" s="11"/>
        <tr r="A1220" s="11"/>
        <tr r="A1284" s="11"/>
        <tr r="E57" s="1"/>
        <tr r="A867" s="11"/>
        <tr r="A883" s="11"/>
        <tr r="A899" s="11"/>
        <tr r="A915" s="11"/>
        <tr r="A931" s="11"/>
        <tr r="A947" s="11"/>
        <tr r="A963" s="11"/>
        <tr r="A979" s="11"/>
        <tr r="A995" s="11"/>
        <tr r="A1011" s="11"/>
        <tr r="A1027" s="11"/>
        <tr r="A1043" s="11"/>
        <tr r="A1059" s="11"/>
        <tr r="A1075" s="11"/>
        <tr r="A1091" s="11"/>
        <tr r="A1107" s="11"/>
        <tr r="A1123" s="11"/>
        <tr r="A1139" s="11"/>
        <tr r="A1155" s="11"/>
        <tr r="A1171" s="11"/>
        <tr r="A1187" s="11"/>
        <tr r="A1203" s="11"/>
        <tr r="A1219" s="11"/>
        <tr r="A1235" s="11"/>
        <tr r="A1251" s="11"/>
        <tr r="A1267" s="11"/>
        <tr r="A1283" s="11"/>
        <tr r="B25" s="1"/>
        <tr r="E44" s="1"/>
        <tr r="B24" s="1"/>
        <tr r="F44" s="1"/>
        <tr r="B59" s="1"/>
        <tr r="A873" s="11"/>
        <tr r="A889" s="11"/>
        <tr r="A905" s="11"/>
        <tr r="A921" s="11"/>
        <tr r="A937" s="11"/>
        <tr r="A953" s="11"/>
        <tr r="A969" s="11"/>
        <tr r="A985" s="11"/>
        <tr r="A1001" s="11"/>
        <tr r="A1017" s="11"/>
        <tr r="A1033" s="11"/>
        <tr r="A1049" s="11"/>
        <tr r="A1065" s="11"/>
        <tr r="A1081" s="11"/>
        <tr r="A1097" s="11"/>
        <tr r="A1113" s="11"/>
        <tr r="A1129" s="11"/>
        <tr r="A1145" s="11"/>
        <tr r="A1161" s="11"/>
        <tr r="A1177" s="11"/>
        <tr r="A1193" s="11"/>
        <tr r="A1209" s="11"/>
        <tr r="A1225" s="11"/>
        <tr r="A1241" s="11"/>
        <tr r="A1257" s="11"/>
        <tr r="A1273" s="11"/>
        <tr r="A1289" s="11"/>
        <tr r="B13" s="1"/>
        <tr r="B50" s="1"/>
        <tr r="C44" s="1"/>
        <tr r="B28" s="1"/>
        <tr r="A862" s="11"/>
        <tr r="A878" s="11"/>
        <tr r="A894" s="11"/>
        <tr r="A910" s="11"/>
        <tr r="A926" s="11"/>
        <tr r="A942" s="11"/>
        <tr r="A958" s="11"/>
        <tr r="A974" s="11"/>
        <tr r="A990" s="11"/>
        <tr r="A1006" s="11"/>
        <tr r="A1022" s="11"/>
        <tr r="A1038" s="11"/>
        <tr r="A1054" s="11"/>
        <tr r="A1070" s="11"/>
        <tr r="A1086" s="11"/>
        <tr r="A1102" s="11"/>
        <tr r="A1118" s="11"/>
        <tr r="A1134" s="11"/>
        <tr r="A1150" s="11"/>
        <tr r="A1166" s="11"/>
        <tr r="A1182" s="11"/>
        <tr r="A1198" s="11"/>
        <tr r="A1214" s="11"/>
        <tr r="A1230" s="11"/>
        <tr r="A1246" s="11"/>
        <tr r="A1262" s="11"/>
        <tr r="A1278" s="11"/>
        <tr r="E31" s="1"/>
        <tr r="C5" s="1"/>
        <tr r="B62" s="1"/>
        <tr r="B60" s="1"/>
        <tr r="G31" s="1"/>
        <tr r="A792" s="11"/>
        <tr r="A808" s="11"/>
        <tr r="A824" s="11"/>
        <tr r="A840" s="11"/>
        <tr r="A856" s="11"/>
        <tr r="A912" s="11"/>
        <tr r="A976" s="11"/>
        <tr r="A1040" s="11"/>
        <tr r="A1104" s="11"/>
        <tr r="A1168" s="11"/>
        <tr r="A1232" s="11"/>
        <tr r="B20" s="1"/>
        <tr r="H44" s="1"/>
        <tr r="A697" s="11"/>
        <tr r="A713" s="11"/>
        <tr r="A729" s="11"/>
        <tr r="A745" s="11"/>
        <tr r="A761" s="11"/>
        <tr r="A777" s="11"/>
        <tr r="A793" s="11"/>
        <tr r="A809" s="11"/>
        <tr r="A825" s="11"/>
        <tr r="A841" s="11"/>
        <tr r="A857" s="11"/>
        <tr r="A916" s="11"/>
        <tr r="A980" s="11"/>
        <tr r="A1044" s="11"/>
        <tr r="A1108" s="11"/>
        <tr r="A1172" s="11"/>
        <tr r="A1236" s="11"/>
        <tr r="F31" s="1"/>
        <tr r="B63" s="1"/>
        <tr r="A871" s="11"/>
        <tr r="A887" s="11"/>
        <tr r="A903" s="11"/>
        <tr r="A919" s="11"/>
        <tr r="A935" s="11"/>
        <tr r="A951" s="11"/>
        <tr r="A967" s="11"/>
        <tr r="A983" s="11"/>
        <tr r="A999" s="11"/>
        <tr r="A1015" s="11"/>
        <tr r="A1031" s="11"/>
        <tr r="A1047" s="11"/>
        <tr r="A1063" s="11"/>
        <tr r="A1079" s="11"/>
        <tr r="A1095" s="11"/>
        <tr r="A1111" s="11"/>
        <tr r="A1127" s="11"/>
        <tr r="A1143" s="11"/>
        <tr r="A1159" s="11"/>
        <tr r="A1175" s="11"/>
        <tr r="A1191" s="11"/>
        <tr r="A1207" s="11"/>
        <tr r="A1223" s="11"/>
        <tr r="A1239" s="11"/>
        <tr r="A1255" s="11"/>
        <tr r="A1271" s="11"/>
        <tr r="A1287" s="11"/>
        <tr r="B10" s="1"/>
        <tr r="B48" s="1"/>
        <tr r="B38" s="1"/>
        <tr r="B19" s="1"/>
        <tr r="A861" s="11"/>
        <tr r="A877" s="11"/>
        <tr r="A893" s="11"/>
        <tr r="A909" s="11"/>
        <tr r="A925" s="11"/>
        <tr r="A941" s="11"/>
        <tr r="A957" s="11"/>
        <tr r="A973" s="11"/>
        <tr r="A989" s="11"/>
        <tr r="A1005" s="11"/>
        <tr r="A1021" s="11"/>
        <tr r="A1037" s="11"/>
        <tr r="A1053" s="11"/>
        <tr r="A1069" s="11"/>
        <tr r="A1085" s="11"/>
        <tr r="A1101" s="11"/>
        <tr r="A1117" s="11"/>
        <tr r="A1133" s="11"/>
        <tr r="A1149" s="11"/>
        <tr r="A1165" s="11"/>
        <tr r="A1181" s="11"/>
        <tr r="A1197" s="11"/>
        <tr r="A1213" s="11"/>
        <tr r="A1229" s="11"/>
        <tr r="A1245" s="11"/>
        <tr r="A1261" s="11"/>
        <tr r="A1277" s="11"/>
        <tr r="D5" s="1"/>
        <tr r="D44" s="1"/>
        <tr r="B58" s="1"/>
        <tr r="F57" s="1"/>
        <tr r="B15" s="1"/>
        <tr r="A866" s="11"/>
        <tr r="A882" s="11"/>
        <tr r="A898" s="11"/>
        <tr r="A914" s="11"/>
        <tr r="A930" s="11"/>
        <tr r="A946" s="11"/>
        <tr r="A962" s="11"/>
        <tr r="A978" s="11"/>
        <tr r="A994" s="11"/>
        <tr r="A1010" s="11"/>
        <tr r="A1026" s="11"/>
        <tr r="A1042" s="11"/>
        <tr r="A1058" s="11"/>
        <tr r="A1074" s="11"/>
        <tr r="A1090" s="11"/>
        <tr r="A1106" s="11"/>
        <tr r="A1122" s="11"/>
        <tr r="A1138" s="11"/>
        <tr r="A1154" s="11"/>
        <tr r="A1170" s="11"/>
        <tr r="A1186" s="11"/>
        <tr r="A1202" s="11"/>
        <tr r="A1218" s="11"/>
        <tr r="A1234" s="11"/>
        <tr r="A1250" s="11"/>
        <tr r="A1266" s="11"/>
        <tr r="A1282" s="11"/>
        <tr r="B23" s="1"/>
        <tr r="B36" s="1"/>
        <tr r="E5" s="1"/>
        <tr r="B39" s="1"/>
        <tr r="G57" s="1"/>
        <tr r="A796" s="11"/>
        <tr r="A812" s="11"/>
        <tr r="A828" s="11"/>
        <tr r="A844" s="11"/>
        <tr r="A864" s="11"/>
        <tr r="A928" s="11"/>
        <tr r="A992" s="11"/>
        <tr r="A1056" s="11"/>
        <tr r="A1120" s="11"/>
        <tr r="A1184" s="11"/>
        <tr r="A1248" s="11"/>
        <tr r="D31" s="1"/>
        <tr r="A685" s="11"/>
        <tr r="A701" s="11"/>
        <tr r="A717" s="11"/>
        <tr r="A733" s="11"/>
        <tr r="A749" s="11"/>
        <tr r="A765" s="11"/>
        <tr r="A781" s="11"/>
        <tr r="A797" s="11"/>
        <tr r="A813" s="11"/>
        <tr r="A829" s="11"/>
        <tr r="A845" s="11"/>
        <tr r="A868" s="11"/>
        <tr r="A932" s="11"/>
        <tr r="A996" s="11"/>
        <tr r="A1060" s="11"/>
        <tr r="A1124" s="11"/>
        <tr r="A1188" s="11"/>
        <tr r="A1252" s="11"/>
        <tr r="B45" s="1"/>
        <tr r="A859" s="11"/>
        <tr r="A875" s="11"/>
        <tr r="A891" s="11"/>
        <tr r="A907" s="11"/>
        <tr r="A923" s="11"/>
        <tr r="A939" s="11"/>
        <tr r="A955" s="11"/>
        <tr r="A971" s="11"/>
        <tr r="A987" s="11"/>
        <tr r="A1003" s="11"/>
        <tr r="A1019" s="11"/>
        <tr r="A1035" s="11"/>
        <tr r="A1051" s="11"/>
        <tr r="A1067" s="11"/>
        <tr r="A1083" s="11"/>
        <tr r="A1099" s="11"/>
        <tr r="A1115" s="11"/>
        <tr r="A1131" s="11"/>
        <tr r="A1147" s="11"/>
        <tr r="A1163" s="11"/>
        <tr r="A1179" s="11"/>
        <tr r="A1195" s="11"/>
        <tr r="A1211" s="11"/>
        <tr r="A1227" s="11"/>
        <tr r="A1243" s="11"/>
        <tr r="A1259" s="11"/>
        <tr r="A1275" s="11"/>
        <tr r="A1291" s="11"/>
        <tr r="C31" s="1"/>
        <tr r="B52" s="1"/>
        <tr r="B54" s="1"/>
        <tr r="B8" s="1"/>
        <tr r="A865" s="11"/>
        <tr r="A881" s="11"/>
        <tr r="A897" s="11"/>
        <tr r="A913" s="11"/>
        <tr r="A929" s="11"/>
        <tr r="A945" s="11"/>
        <tr r="A961" s="11"/>
        <tr r="A977" s="11"/>
        <tr r="A993" s="11"/>
        <tr r="A1009" s="11"/>
        <tr r="A1025" s="11"/>
        <tr r="A1041" s="11"/>
        <tr r="A1057" s="11"/>
        <tr r="A1073" s="11"/>
        <tr r="A1089" s="11"/>
        <tr r="A1105" s="11"/>
        <tr r="A1121" s="11"/>
        <tr r="A1137" s="11"/>
        <tr r="A1153" s="11"/>
        <tr r="A1169" s="11"/>
        <tr r="A1185" s="11"/>
        <tr r="A1201" s="11"/>
        <tr r="A1217" s="11"/>
        <tr r="A1233" s="11"/>
        <tr r="A1249" s="11"/>
        <tr r="A1265" s="11"/>
        <tr r="A1281" s="11"/>
        <tr r="B21" s="1"/>
        <tr r="B32" s="1"/>
        <tr r="B44" s="1"/>
        <tr r="B35" s="1"/>
        <tr r="C57" s="1"/>
        <tr r="A870" s="11"/>
        <tr r="A886" s="11"/>
        <tr r="A902" s="11"/>
        <tr r="A918" s="11"/>
        <tr r="A934" s="11"/>
        <tr r="A950" s="11"/>
        <tr r="A966" s="11"/>
        <tr r="A982" s="11"/>
        <tr r="A998" s="11"/>
        <tr r="A1014" s="11"/>
        <tr r="A1030" s="11"/>
        <tr r="A1046" s="11"/>
        <tr r="A1062" s="11"/>
        <tr r="A1078" s="11"/>
        <tr r="A1094" s="11"/>
        <tr r="A1110" s="11"/>
        <tr r="A1126" s="11"/>
        <tr r="A1142" s="11"/>
        <tr r="A1158" s="11"/>
        <tr r="A1174" s="11"/>
        <tr r="A1190" s="11"/>
        <tr r="A1206" s="11"/>
        <tr r="A1222" s="11"/>
        <tr r="A1238" s="11"/>
        <tr r="A1254" s="11"/>
        <tr r="A1270" s="11"/>
        <tr r="A1286" s="11"/>
        <tr r="B9" s="1"/>
        <tr r="B47" s="1"/>
        <tr r="B34" s="1"/>
        <tr r="B72" s="1"/>
        <tr r="B75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volatileDependencies" Target="volatileDependencies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saveData="0" refreshedBy="Jon Hye-Knudsen" refreshedDate="42516.582600347225" backgroundQuery="1" createdVersion="3" refreshedVersion="4" minRefreshableVersion="3" recordCount="0" tupleCache="1" supportSubquery="1" supportAdvancedDrill="1">
  <cacheSource type="external" connectionId="1"/>
  <cacheFields count="12">
    <cacheField name="[Rapporteringsmåned].[Rapporteringsmåned].[Rapporteringsmåned]" caption="Rapporteringsmåned" numFmtId="0" hierarchy="236" level="1">
      <sharedItems count="2">
        <s v="[Rapporteringsmåned].[Rapporteringsmåned].&amp;[Mar 2016]" c="Mar 2016"/>
        <s v="[Rapporteringsmåned].[Rapporteringsmåned].&amp;[Jul 2016]" c="Jul 2016"/>
      </sharedItems>
    </cacheField>
    <cacheField name="[Uddannelse].[IDA Gruppe Niveau1].[IDA Gruppe Niveau1]" caption="IDA Gruppe Niveau1" numFmtId="0" hierarchy="292" level="1">
      <sharedItems count="1">
        <s v="[Uddannelse].[IDA Gruppe Niveau1].&amp;[Ingeniører]" c="Ingeniører"/>
      </sharedItems>
    </cacheField>
    <cacheField name="[Kommune].[Region].[Region]" caption="Region" numFmtId="0" hierarchy="161" level="1">
      <sharedItems count="5">
        <s v="[Kommune].[Region].&amp;[Region Nordjylland]" c="Region Nordjylland"/>
        <s v="[Kommune].[Region].&amp;[Region Hovedstaden]" c="Region Hovedstaden"/>
        <s v="[Kommune].[Region].&amp;[Region Midtjylland]" c="Region Midtjylland"/>
        <s v="[Kommune].[Region].&amp;[Region Syddanmark]" c="Region Syddanmark"/>
        <s v="[Kommune].[Region].&amp;[Region Sjælland]" c="Region Sjælland"/>
      </sharedItems>
    </cacheField>
    <cacheField name="[Alder].[Aldersgruppe 10 års interval].[Aldersgruppe 10 års interval]" caption="Aldersgruppe 10 års interval" numFmtId="0" hierarchy="32" level="1">
      <sharedItems count="5">
        <s v="[Alder].[Aldersgruppe 10 års interval].&amp;[&gt; 59 år]" c="&gt; 59 år"/>
        <s v="[Alder].[Aldersgruppe 10 års interval].&amp;[40-49 år]" c="40-49 år"/>
        <s v="[Alder].[Aldersgruppe 10 års interval].&amp;[20-29 år]" c="20-29 år"/>
        <s v="[Alder].[Aldersgruppe 10 års interval].&amp;[50-59 år]" c="50-59 år"/>
        <s v="[Alder].[Aldersgruppe 10 års interval].&amp;[30-39 år]" c="30-39 år"/>
      </sharedItems>
    </cacheField>
    <cacheField name="[Uddannelse].[IDA Gruppe].[IDA Gruppe]" caption="IDA Gruppe" numFmtId="0" hierarchy="291" level="1">
      <sharedItems count="8">
        <s v="[Uddannelse].[IDA Gruppe].&amp;[Bachelorer]" c="Bachelorer"/>
        <s v="[Uddannelse].[IDA Gruppe].&amp;[Cand.scient]" c="Cand.scient"/>
        <s v="[Uddannelse].[IDA Gruppe].&amp;[Phd]" c="Phd"/>
        <s v="[Uddannelse].[IDA Gruppe].&amp;[Teknikumingeniør]" c="Teknikumingeniør"/>
        <s v="[Uddannelse].[IDA Gruppe].&amp;[Civilingeniører]" c="Civilingeniører"/>
        <s v="[Uddannelse].[IDA Gruppe].&amp;[Cand.it]" c="Cand.it"/>
        <s v="[Uddannelse].[IDA Gruppe].&amp;[Diplomingeniør]" c="Diplomingeniør"/>
        <s v="[Uddannelse].[IDA Gruppe].&amp;[Akademiingeniør]" c="Akademiingeniør"/>
      </sharedItems>
    </cacheField>
    <cacheField name="[Kandidatalder].[Kandidatalder Gruppe Niveau1].[Kandidatalder Gruppe Niveau1]" caption="Kandidatalder Gruppe Niveau1" numFmtId="0" hierarchy="154" level="1">
      <sharedItems count="6">
        <s v="[Kandidatalder].[Kandidatalder Gruppe Niveau1].&amp;[10-14 år]" c="10-14 år"/>
        <s v="[Kandidatalder].[Kandidatalder Gruppe Niveau1].&amp;[&lt; 1 år]" c="&lt; 1 år"/>
        <s v="[Kandidatalder].[Kandidatalder Gruppe Niveau1].&amp;[1 år]" c="1 år"/>
        <s v="[Kandidatalder].[Kandidatalder Gruppe Niveau1].&amp;[5-9 år]" c="5-9 år"/>
        <s v="[Kandidatalder].[Kandidatalder Gruppe Niveau1].&amp;[2-4 år]" c="2-4 år"/>
        <s v="[Kandidatalder].[Kandidatalder Gruppe Niveau1].&amp;[15- år]" c="15- år"/>
      </sharedItems>
    </cacheField>
    <cacheField name="[Measures].[MeasuresLevel]" caption="MeasuresLevel" numFmtId="0" hierarchy="165">
      <sharedItems count="4">
        <s v="[Measures].[Fuldtidsledighed]" c="Fuldtidsledighed"/>
        <s v="[Measures].[Ledighedsmulige]" c="Ledighedsmulige"/>
        <s v="[Measures].[Fuldtidsledige]" c="Fuldtidsledige"/>
        <s v="[Measures].[Sommerdimittender]" c="Sommerdimittender"/>
      </sharedItems>
    </cacheField>
    <cacheField name="[Dimittenddato].[Dimittenddato].[Dimittenddato]" caption="Dimittenddato" numFmtId="0" hierarchy="127" level="1">
      <sharedItems count="1288">
        <s v="[Dimittenddato].[Dimittenddato].&amp;[2020-08-30T00:00:00]" c="30-08-2020"/>
        <s v="[Dimittenddato].[Dimittenddato].&amp;[2020-08-26T00:00:00]" c="26-08-2020"/>
        <s v="[Dimittenddato].[Dimittenddato].&amp;[2020-08-22T00:00:00]" c="22-08-2020"/>
        <s v="[Dimittenddato].[Dimittenddato].&amp;[2020-08-18T00:00:00]" c="18-08-2020"/>
        <s v="[Dimittenddato].[Dimittenddato].&amp;[2020-08-14T00:00:00]" c="14-08-2020"/>
        <s v="[Dimittenddato].[Dimittenddato].&amp;[2020-08-10T00:00:00]" c="10-08-2020"/>
        <s v="[Dimittenddato].[Dimittenddato].&amp;[2020-08-06T00:00:00]" c="06-08-2020"/>
        <s v="[Dimittenddato].[Dimittenddato].&amp;[2020-08-02T00:00:00]" c="02-08-2020"/>
        <s v="[Dimittenddato].[Dimittenddato].&amp;[2020-07-29T00:00:00]" c="29-07-2020"/>
        <s v="[Dimittenddato].[Dimittenddato].&amp;[2020-07-25T00:00:00]" c="25-07-2020"/>
        <s v="[Dimittenddato].[Dimittenddato].&amp;[2020-07-21T00:00:00]" c="21-07-2020"/>
        <s v="[Dimittenddato].[Dimittenddato].&amp;[2020-07-17T00:00:00]" c="17-07-2020"/>
        <s v="[Dimittenddato].[Dimittenddato].&amp;[2020-07-13T00:00:00]" c="13-07-2020"/>
        <s v="[Dimittenddato].[Dimittenddato].&amp;[2020-07-09T00:00:00]" c="09-07-2020"/>
        <s v="[Dimittenddato].[Dimittenddato].&amp;[2020-07-05T00:00:00]" c="05-07-2020"/>
        <s v="[Dimittenddato].[Dimittenddato].&amp;[2020-07-01T00:00:00]" c="01-07-2020"/>
        <s v="[Dimittenddato].[Dimittenddato].&amp;[2020-06-27T00:00:00]" c="27-06-2020"/>
        <s v="[Dimittenddato].[Dimittenddato].&amp;[2020-06-23T00:00:00]" c="23-06-2020"/>
        <s v="[Dimittenddato].[Dimittenddato].&amp;[2020-06-19T00:00:00]" c="19-06-2020"/>
        <s v="[Dimittenddato].[Dimittenddato].&amp;[2020-06-15T00:00:00]" c="15-06-2020"/>
        <s v="[Dimittenddato].[Dimittenddato].&amp;[2020-06-11T00:00:00]" c="11-06-2020"/>
        <s v="[Dimittenddato].[Dimittenddato].&amp;[2020-06-07T00:00:00]" c="07-06-2020"/>
        <s v="[Dimittenddato].[Dimittenddato].&amp;[2020-06-03T00:00:00]" c="03-06-2020"/>
        <s v="[Dimittenddato].[Dimittenddato].&amp;[2019-08-30T00:00:00]" c="30-08-2019"/>
        <s v="[Dimittenddato].[Dimittenddato].&amp;[2019-08-26T00:00:00]" c="26-08-2019"/>
        <s v="[Dimittenddato].[Dimittenddato].&amp;[2019-08-22T00:00:00]" c="22-08-2019"/>
        <s v="[Dimittenddato].[Dimittenddato].&amp;[2019-08-18T00:00:00]" c="18-08-2019"/>
        <s v="[Dimittenddato].[Dimittenddato].&amp;[2019-08-14T00:00:00]" c="14-08-2019"/>
        <s v="[Dimittenddato].[Dimittenddato].&amp;[2019-08-10T00:00:00]" c="10-08-2019"/>
        <s v="[Dimittenddato].[Dimittenddato].&amp;[2019-08-06T00:00:00]" c="06-08-2019"/>
        <s v="[Dimittenddato].[Dimittenddato].&amp;[2019-08-02T00:00:00]" c="02-08-2019"/>
        <s v="[Dimittenddato].[Dimittenddato].&amp;[2019-07-29T00:00:00]" c="29-07-2019"/>
        <s v="[Dimittenddato].[Dimittenddato].&amp;[2019-07-25T00:00:00]" c="25-07-2019"/>
        <s v="[Dimittenddato].[Dimittenddato].&amp;[2019-07-21T00:00:00]" c="21-07-2019"/>
        <s v="[Dimittenddato].[Dimittenddato].&amp;[2019-07-17T00:00:00]" c="17-07-2019"/>
        <s v="[Dimittenddato].[Dimittenddato].&amp;[2019-07-13T00:00:00]" c="13-07-2019"/>
        <s v="[Dimittenddato].[Dimittenddato].&amp;[2019-07-09T00:00:00]" c="09-07-2019"/>
        <s v="[Dimittenddato].[Dimittenddato].&amp;[2019-07-05T00:00:00]" c="05-07-2019"/>
        <s v="[Dimittenddato].[Dimittenddato].&amp;[2019-07-01T00:00:00]" c="01-07-2019"/>
        <s v="[Dimittenddato].[Dimittenddato].&amp;[2019-06-27T00:00:00]" c="27-06-2019"/>
        <s v="[Dimittenddato].[Dimittenddato].&amp;[2019-06-23T00:00:00]" c="23-06-2019"/>
        <s v="[Dimittenddato].[Dimittenddato].&amp;[2019-06-19T00:00:00]" c="19-06-2019"/>
        <s v="[Dimittenddato].[Dimittenddato].&amp;[2019-06-15T00:00:00]" c="15-06-2019"/>
        <s v="[Dimittenddato].[Dimittenddato].&amp;[2019-06-11T00:00:00]" c="11-06-2019"/>
        <s v="[Dimittenddato].[Dimittenddato].&amp;[2019-06-07T00:00:00]" c="07-06-2019"/>
        <s v="[Dimittenddato].[Dimittenddato].&amp;[2019-06-03T00:00:00]" c="03-06-2019"/>
        <s v="[Dimittenddato].[Dimittenddato].&amp;[2018-08-30T00:00:00]" c="30-08-2018"/>
        <s v="[Dimittenddato].[Dimittenddato].&amp;[2018-08-26T00:00:00]" c="26-08-2018"/>
        <s v="[Dimittenddato].[Dimittenddato].&amp;[2018-08-22T00:00:00]" c="22-08-2018"/>
        <s v="[Dimittenddato].[Dimittenddato].&amp;[2018-08-18T00:00:00]" c="18-08-2018"/>
        <s v="[Dimittenddato].[Dimittenddato].&amp;[2018-08-14T00:00:00]" c="14-08-2018"/>
        <s v="[Dimittenddato].[Dimittenddato].&amp;[2018-08-10T00:00:00]" c="10-08-2018"/>
        <s v="[Dimittenddato].[Dimittenddato].&amp;[2018-08-06T00:00:00]" c="06-08-2018"/>
        <s v="[Dimittenddato].[Dimittenddato].&amp;[2018-08-02T00:00:00]" c="02-08-2018"/>
        <s v="[Dimittenddato].[Dimittenddato].&amp;[2018-07-29T00:00:00]" c="29-07-2018"/>
        <s v="[Dimittenddato].[Dimittenddato].&amp;[2018-07-25T00:00:00]" c="25-07-2018"/>
        <s v="[Dimittenddato].[Dimittenddato].&amp;[2018-07-21T00:00:00]" c="21-07-2018"/>
        <s v="[Dimittenddato].[Dimittenddato].&amp;[2018-07-17T00:00:00]" c="17-07-2018"/>
        <s v="[Dimittenddato].[Dimittenddato].&amp;[2018-07-13T00:00:00]" c="13-07-2018"/>
        <s v="[Dimittenddato].[Dimittenddato].&amp;[2018-07-09T00:00:00]" c="09-07-2018"/>
        <s v="[Dimittenddato].[Dimittenddato].&amp;[2018-07-05T00:00:00]" c="05-07-2018"/>
        <s v="[Dimittenddato].[Dimittenddato].&amp;[2018-07-01T00:00:00]" c="01-07-2018"/>
        <s v="[Dimittenddato].[Dimittenddato].&amp;[2018-06-27T00:00:00]" c="27-06-2018"/>
        <s v="[Dimittenddato].[Dimittenddato].&amp;[2018-06-23T00:00:00]" c="23-06-2018"/>
        <s v="[Dimittenddato].[Dimittenddato].&amp;[2018-06-19T00:00:00]" c="19-06-2018"/>
        <s v="[Dimittenddato].[Dimittenddato].&amp;[2018-06-15T00:00:00]" c="15-06-2018"/>
        <s v="[Dimittenddato].[Dimittenddato].&amp;[2018-06-11T00:00:00]" c="11-06-2018"/>
        <s v="[Dimittenddato].[Dimittenddato].&amp;[2018-06-07T00:00:00]" c="07-06-2018"/>
        <s v="[Dimittenddato].[Dimittenddato].&amp;[2018-06-03T00:00:00]" c="03-06-2018"/>
        <s v="[Dimittenddato].[Dimittenddato].&amp;[2017-08-30T00:00:00]" c="30-08-2017"/>
        <s v="[Dimittenddato].[Dimittenddato].&amp;[2017-08-26T00:00:00]" c="26-08-2017"/>
        <s v="[Dimittenddato].[Dimittenddato].&amp;[2017-08-22T00:00:00]" c="22-08-2017"/>
        <s v="[Dimittenddato].[Dimittenddato].&amp;[2017-08-18T00:00:00]" c="18-08-2017"/>
        <s v="[Dimittenddato].[Dimittenddato].&amp;[2017-08-14T00:00:00]" c="14-08-2017"/>
        <s v="[Dimittenddato].[Dimittenddato].&amp;[2017-08-10T00:00:00]" c="10-08-2017"/>
        <s v="[Dimittenddato].[Dimittenddato].&amp;[2017-08-06T00:00:00]" c="06-08-2017"/>
        <s v="[Dimittenddato].[Dimittenddato].&amp;[2017-08-02T00:00:00]" c="02-08-2017"/>
        <s v="[Dimittenddato].[Dimittenddato].&amp;[2017-07-29T00:00:00]" c="29-07-2017"/>
        <s v="[Dimittenddato].[Dimittenddato].&amp;[2017-07-25T00:00:00]" c="25-07-2017"/>
        <s v="[Dimittenddato].[Dimittenddato].&amp;[2017-07-21T00:00:00]" c="21-07-2017"/>
        <s v="[Dimittenddato].[Dimittenddato].&amp;[2017-07-17T00:00:00]" c="17-07-2017"/>
        <s v="[Dimittenddato].[Dimittenddato].&amp;[2017-07-13T00:00:00]" c="13-07-2017"/>
        <s v="[Dimittenddato].[Dimittenddato].&amp;[2017-07-09T00:00:00]" c="09-07-2017"/>
        <s v="[Dimittenddato].[Dimittenddato].&amp;[2017-07-05T00:00:00]" c="05-07-2017"/>
        <s v="[Dimittenddato].[Dimittenddato].&amp;[2017-07-01T00:00:00]" c="01-07-2017"/>
        <s v="[Dimittenddato].[Dimittenddato].&amp;[2017-06-27T00:00:00]" c="27-06-2017"/>
        <s v="[Dimittenddato].[Dimittenddato].&amp;[2017-06-23T00:00:00]" c="23-06-2017"/>
        <s v="[Dimittenddato].[Dimittenddato].&amp;[2017-06-19T00:00:00]" c="19-06-2017"/>
        <s v="[Dimittenddato].[Dimittenddato].&amp;[2017-06-15T00:00:00]" c="15-06-2017"/>
        <s v="[Dimittenddato].[Dimittenddato].&amp;[2017-06-11T00:00:00]" c="11-06-2017"/>
        <s v="[Dimittenddato].[Dimittenddato].&amp;[2017-06-07T00:00:00]" c="07-06-2017"/>
        <s v="[Dimittenddato].[Dimittenddato].&amp;[2017-06-03T00:00:00]" c="03-06-2017"/>
        <s v="[Dimittenddato].[Dimittenddato].&amp;[2016-08-30T00:00:00]" c="30-08-2016"/>
        <s v="[Dimittenddato].[Dimittenddato].&amp;[2016-08-26T00:00:00]" c="26-08-2016"/>
        <s v="[Dimittenddato].[Dimittenddato].&amp;[2016-08-22T00:00:00]" c="22-08-2016"/>
        <s v="[Dimittenddato].[Dimittenddato].&amp;[2016-08-18T00:00:00]" c="18-08-2016"/>
        <s v="[Dimittenddato].[Dimittenddato].&amp;[2016-08-14T00:00:00]" c="14-08-2016"/>
        <s v="[Dimittenddato].[Dimittenddato].&amp;[2016-08-10T00:00:00]" c="10-08-2016"/>
        <s v="[Dimittenddato].[Dimittenddato].&amp;[2016-08-06T00:00:00]" c="06-08-2016"/>
        <s v="[Dimittenddato].[Dimittenddato].&amp;[2016-08-02T00:00:00]" c="02-08-2016"/>
        <s v="[Dimittenddato].[Dimittenddato].&amp;[2016-07-29T00:00:00]" c="29-07-2016"/>
        <s v="[Dimittenddato].[Dimittenddato].&amp;[2016-07-25T00:00:00]" c="25-07-2016"/>
        <s v="[Dimittenddato].[Dimittenddato].&amp;[2016-07-21T00:00:00]" c="21-07-2016"/>
        <s v="[Dimittenddato].[Dimittenddato].&amp;[2016-07-17T00:00:00]" c="17-07-2016"/>
        <s v="[Dimittenddato].[Dimittenddato].&amp;[2016-07-13T00:00:00]" c="13-07-2016"/>
        <s v="[Dimittenddato].[Dimittenddato].&amp;[2016-07-09T00:00:00]" c="09-07-2016"/>
        <s v="[Dimittenddato].[Dimittenddato].&amp;[2016-07-05T00:00:00]" c="05-07-2016"/>
        <s v="[Dimittenddato].[Dimittenddato].&amp;[2016-07-01T00:00:00]" c="01-07-2016"/>
        <s v="[Dimittenddato].[Dimittenddato].&amp;[2020-08-29T00:00:00]" c="29-08-2020"/>
        <s v="[Dimittenddato].[Dimittenddato].&amp;[2020-08-25T00:00:00]" c="25-08-2020"/>
        <s v="[Dimittenddato].[Dimittenddato].&amp;[2020-08-21T00:00:00]" c="21-08-2020"/>
        <s v="[Dimittenddato].[Dimittenddato].&amp;[2020-08-17T00:00:00]" c="17-08-2020"/>
        <s v="[Dimittenddato].[Dimittenddato].&amp;[2020-08-13T00:00:00]" c="13-08-2020"/>
        <s v="[Dimittenddato].[Dimittenddato].&amp;[2020-08-09T00:00:00]" c="09-08-2020"/>
        <s v="[Dimittenddato].[Dimittenddato].&amp;[2020-08-05T00:00:00]" c="05-08-2020"/>
        <s v="[Dimittenddato].[Dimittenddato].&amp;[2020-08-01T00:00:00]" c="01-08-2020"/>
        <s v="[Dimittenddato].[Dimittenddato].&amp;[2020-07-28T00:00:00]" c="28-07-2020"/>
        <s v="[Dimittenddato].[Dimittenddato].&amp;[2020-07-24T00:00:00]" c="24-07-2020"/>
        <s v="[Dimittenddato].[Dimittenddato].&amp;[2020-07-20T00:00:00]" c="20-07-2020"/>
        <s v="[Dimittenddato].[Dimittenddato].&amp;[2020-07-16T00:00:00]" c="16-07-2020"/>
        <s v="[Dimittenddato].[Dimittenddato].&amp;[2020-07-12T00:00:00]" c="12-07-2020"/>
        <s v="[Dimittenddato].[Dimittenddato].&amp;[2020-07-08T00:00:00]" c="08-07-2020"/>
        <s v="[Dimittenddato].[Dimittenddato].&amp;[2020-07-04T00:00:00]" c="04-07-2020"/>
        <s v="[Dimittenddato].[Dimittenddato].&amp;[2020-06-30T00:00:00]" c="30-06-2020"/>
        <s v="[Dimittenddato].[Dimittenddato].&amp;[2020-06-26T00:00:00]" c="26-06-2020"/>
        <s v="[Dimittenddato].[Dimittenddato].&amp;[2020-06-22T00:00:00]" c="22-06-2020"/>
        <s v="[Dimittenddato].[Dimittenddato].&amp;[2020-06-18T00:00:00]" c="18-06-2020"/>
        <s v="[Dimittenddato].[Dimittenddato].&amp;[2020-06-14T00:00:00]" c="14-06-2020"/>
        <s v="[Dimittenddato].[Dimittenddato].&amp;[2020-06-10T00:00:00]" c="10-06-2020"/>
        <s v="[Dimittenddato].[Dimittenddato].&amp;[2020-06-06T00:00:00]" c="06-06-2020"/>
        <s v="[Dimittenddato].[Dimittenddato].&amp;[2020-06-02T00:00:00]" c="02-06-2020"/>
        <s v="[Dimittenddato].[Dimittenddato].&amp;[2019-08-29T00:00:00]" c="29-08-2019"/>
        <s v="[Dimittenddato].[Dimittenddato].&amp;[2019-08-25T00:00:00]" c="25-08-2019"/>
        <s v="[Dimittenddato].[Dimittenddato].&amp;[2019-08-21T00:00:00]" c="21-08-2019"/>
        <s v="[Dimittenddato].[Dimittenddato].&amp;[2019-08-17T00:00:00]" c="17-08-2019"/>
        <s v="[Dimittenddato].[Dimittenddato].&amp;[2019-08-13T00:00:00]" c="13-08-2019"/>
        <s v="[Dimittenddato].[Dimittenddato].&amp;[2019-08-09T00:00:00]" c="09-08-2019"/>
        <s v="[Dimittenddato].[Dimittenddato].&amp;[2019-08-05T00:00:00]" c="05-08-2019"/>
        <s v="[Dimittenddato].[Dimittenddato].&amp;[2019-08-01T00:00:00]" c="01-08-2019"/>
        <s v="[Dimittenddato].[Dimittenddato].&amp;[2019-07-28T00:00:00]" c="28-07-2019"/>
        <s v="[Dimittenddato].[Dimittenddato].&amp;[2019-07-24T00:00:00]" c="24-07-2019"/>
        <s v="[Dimittenddato].[Dimittenddato].&amp;[2019-07-20T00:00:00]" c="20-07-2019"/>
        <s v="[Dimittenddato].[Dimittenddato].&amp;[2019-07-16T00:00:00]" c="16-07-2019"/>
        <s v="[Dimittenddato].[Dimittenddato].&amp;[2019-07-12T00:00:00]" c="12-07-2019"/>
        <s v="[Dimittenddato].[Dimittenddato].&amp;[2019-07-08T00:00:00]" c="08-07-2019"/>
        <s v="[Dimittenddato].[Dimittenddato].&amp;[2019-07-04T00:00:00]" c="04-07-2019"/>
        <s v="[Dimittenddato].[Dimittenddato].&amp;[2019-06-30T00:00:00]" c="30-06-2019"/>
        <s v="[Dimittenddato].[Dimittenddato].&amp;[2019-06-26T00:00:00]" c="26-06-2019"/>
        <s v="[Dimittenddato].[Dimittenddato].&amp;[2019-06-22T00:00:00]" c="22-06-2019"/>
        <s v="[Dimittenddato].[Dimittenddato].&amp;[2019-06-18T00:00:00]" c="18-06-2019"/>
        <s v="[Dimittenddato].[Dimittenddato].&amp;[2019-06-14T00:00:00]" c="14-06-2019"/>
        <s v="[Dimittenddato].[Dimittenddato].&amp;[2019-06-10T00:00:00]" c="10-06-2019"/>
        <s v="[Dimittenddato].[Dimittenddato].&amp;[2019-06-06T00:00:00]" c="06-06-2019"/>
        <s v="[Dimittenddato].[Dimittenddato].&amp;[2019-06-02T00:00:00]" c="02-06-2019"/>
        <s v="[Dimittenddato].[Dimittenddato].&amp;[2018-08-29T00:00:00]" c="29-08-2018"/>
        <s v="[Dimittenddato].[Dimittenddato].&amp;[2018-08-25T00:00:00]" c="25-08-2018"/>
        <s v="[Dimittenddato].[Dimittenddato].&amp;[2018-08-21T00:00:00]" c="21-08-2018"/>
        <s v="[Dimittenddato].[Dimittenddato].&amp;[2018-08-17T00:00:00]" c="17-08-2018"/>
        <s v="[Dimittenddato].[Dimittenddato].&amp;[2018-08-13T00:00:00]" c="13-08-2018"/>
        <s v="[Dimittenddato].[Dimittenddato].&amp;[2018-08-09T00:00:00]" c="09-08-2018"/>
        <s v="[Dimittenddato].[Dimittenddato].&amp;[2018-08-05T00:00:00]" c="05-08-2018"/>
        <s v="[Dimittenddato].[Dimittenddato].&amp;[2018-08-01T00:00:00]" c="01-08-2018"/>
        <s v="[Dimittenddato].[Dimittenddato].&amp;[2018-07-28T00:00:00]" c="28-07-2018"/>
        <s v="[Dimittenddato].[Dimittenddato].&amp;[2018-07-24T00:00:00]" c="24-07-2018"/>
        <s v="[Dimittenddato].[Dimittenddato].&amp;[2018-07-20T00:00:00]" c="20-07-2018"/>
        <s v="[Dimittenddato].[Dimittenddato].&amp;[2018-07-16T00:00:00]" c="16-07-2018"/>
        <s v="[Dimittenddato].[Dimittenddato].&amp;[2018-07-12T00:00:00]" c="12-07-2018"/>
        <s v="[Dimittenddato].[Dimittenddato].&amp;[2018-07-08T00:00:00]" c="08-07-2018"/>
        <s v="[Dimittenddato].[Dimittenddato].&amp;[2018-07-04T00:00:00]" c="04-07-2018"/>
        <s v="[Dimittenddato].[Dimittenddato].&amp;[2018-06-30T00:00:00]" c="30-06-2018"/>
        <s v="[Dimittenddato].[Dimittenddato].&amp;[2018-06-26T00:00:00]" c="26-06-2018"/>
        <s v="[Dimittenddato].[Dimittenddato].&amp;[2018-06-22T00:00:00]" c="22-06-2018"/>
        <s v="[Dimittenddato].[Dimittenddato].&amp;[2018-06-18T00:00:00]" c="18-06-2018"/>
        <s v="[Dimittenddato].[Dimittenddato].&amp;[2018-06-14T00:00:00]" c="14-06-2018"/>
        <s v="[Dimittenddato].[Dimittenddato].&amp;[2018-06-10T00:00:00]" c="10-06-2018"/>
        <s v="[Dimittenddato].[Dimittenddato].&amp;[2018-06-06T00:00:00]" c="06-06-2018"/>
        <s v="[Dimittenddato].[Dimittenddato].&amp;[2018-06-02T00:00:00]" c="02-06-2018"/>
        <s v="[Dimittenddato].[Dimittenddato].&amp;[2017-08-29T00:00:00]" c="29-08-2017"/>
        <s v="[Dimittenddato].[Dimittenddato].&amp;[2017-08-25T00:00:00]" c="25-08-2017"/>
        <s v="[Dimittenddato].[Dimittenddato].&amp;[2017-08-21T00:00:00]" c="21-08-2017"/>
        <s v="[Dimittenddato].[Dimittenddato].&amp;[2017-08-17T00:00:00]" c="17-08-2017"/>
        <s v="[Dimittenddato].[Dimittenddato].&amp;[2017-08-13T00:00:00]" c="13-08-2017"/>
        <s v="[Dimittenddato].[Dimittenddato].&amp;[2017-08-09T00:00:00]" c="09-08-2017"/>
        <s v="[Dimittenddato].[Dimittenddato].&amp;[2017-08-05T00:00:00]" c="05-08-2017"/>
        <s v="[Dimittenddato].[Dimittenddato].&amp;[2017-08-01T00:00:00]" c="01-08-2017"/>
        <s v="[Dimittenddato].[Dimittenddato].&amp;[2017-07-28T00:00:00]" c="28-07-2017"/>
        <s v="[Dimittenddato].[Dimittenddato].&amp;[2017-07-24T00:00:00]" c="24-07-2017"/>
        <s v="[Dimittenddato].[Dimittenddato].&amp;[2017-07-20T00:00:00]" c="20-07-2017"/>
        <s v="[Dimittenddato].[Dimittenddato].&amp;[2017-07-16T00:00:00]" c="16-07-2017"/>
        <s v="[Dimittenddato].[Dimittenddato].&amp;[2017-07-12T00:00:00]" c="12-07-2017"/>
        <s v="[Dimittenddato].[Dimittenddato].&amp;[2017-07-08T00:00:00]" c="08-07-2017"/>
        <s v="[Dimittenddato].[Dimittenddato].&amp;[2017-07-04T00:00:00]" c="04-07-2017"/>
        <s v="[Dimittenddato].[Dimittenddato].&amp;[2017-06-30T00:00:00]" c="30-06-2017"/>
        <s v="[Dimittenddato].[Dimittenddato].&amp;[2017-06-26T00:00:00]" c="26-06-2017"/>
        <s v="[Dimittenddato].[Dimittenddato].&amp;[2017-06-22T00:00:00]" c="22-06-2017"/>
        <s v="[Dimittenddato].[Dimittenddato].&amp;[2017-06-18T00:00:00]" c="18-06-2017"/>
        <s v="[Dimittenddato].[Dimittenddato].&amp;[2017-06-14T00:00:00]" c="14-06-2017"/>
        <s v="[Dimittenddato].[Dimittenddato].&amp;[2017-06-10T00:00:00]" c="10-06-2017"/>
        <s v="[Dimittenddato].[Dimittenddato].&amp;[2017-06-06T00:00:00]" c="06-06-2017"/>
        <s v="[Dimittenddato].[Dimittenddato].&amp;[2017-06-02T00:00:00]" c="02-06-2017"/>
        <s v="[Dimittenddato].[Dimittenddato].&amp;[2016-08-29T00:00:00]" c="29-08-2016"/>
        <s v="[Dimittenddato].[Dimittenddato].&amp;[2016-08-25T00:00:00]" c="25-08-2016"/>
        <s v="[Dimittenddato].[Dimittenddato].&amp;[2016-08-21T00:00:00]" c="21-08-2016"/>
        <s v="[Dimittenddato].[Dimittenddato].&amp;[2016-08-17T00:00:00]" c="17-08-2016"/>
        <s v="[Dimittenddato].[Dimittenddato].&amp;[2016-08-13T00:00:00]" c="13-08-2016"/>
        <s v="[Dimittenddato].[Dimittenddato].&amp;[2016-08-09T00:00:00]" c="09-08-2016"/>
        <s v="[Dimittenddato].[Dimittenddato].&amp;[2016-08-05T00:00:00]" c="05-08-2016"/>
        <s v="[Dimittenddato].[Dimittenddato].&amp;[2016-08-01T00:00:00]" c="01-08-2016"/>
        <s v="[Dimittenddato].[Dimittenddato].&amp;[2016-07-28T00:00:00]" c="28-07-2016"/>
        <s v="[Dimittenddato].[Dimittenddato].&amp;[2016-07-24T00:00:00]" c="24-07-2016"/>
        <s v="[Dimittenddato].[Dimittenddato].&amp;[2016-07-20T00:00:00]" c="20-07-2016"/>
        <s v="[Dimittenddato].[Dimittenddato].&amp;[2016-07-16T00:00:00]" c="16-07-2016"/>
        <s v="[Dimittenddato].[Dimittenddato].&amp;[2016-07-12T00:00:00]" c="12-07-2016"/>
        <s v="[Dimittenddato].[Dimittenddato].&amp;[2016-07-08T00:00:00]" c="08-07-2016"/>
        <s v="[Dimittenddato].[Dimittenddato].&amp;[2016-07-04T00:00:00]" c="04-07-2016"/>
        <s v="[Dimittenddato].[Dimittenddato].&amp;[2016-06-30T00:00:00]" c="30-06-2016"/>
        <s v="[Dimittenddato].[Dimittenddato].&amp;[2020-08-31T00:00:00]" c="31-08-2020"/>
        <s v="[Dimittenddato].[Dimittenddato].&amp;[2020-08-27T00:00:00]" c="27-08-2020"/>
        <s v="[Dimittenddato].[Dimittenddato].&amp;[2020-08-23T00:00:00]" c="23-08-2020"/>
        <s v="[Dimittenddato].[Dimittenddato].&amp;[2020-08-19T00:00:00]" c="19-08-2020"/>
        <s v="[Dimittenddato].[Dimittenddato].&amp;[2020-08-15T00:00:00]" c="15-08-2020"/>
        <s v="[Dimittenddato].[Dimittenddato].&amp;[2020-08-11T00:00:00]" c="11-08-2020"/>
        <s v="[Dimittenddato].[Dimittenddato].&amp;[2020-08-07T00:00:00]" c="07-08-2020"/>
        <s v="[Dimittenddato].[Dimittenddato].&amp;[2020-08-03T00:00:00]" c="03-08-2020"/>
        <s v="[Dimittenddato].[Dimittenddato].&amp;[2020-07-30T00:00:00]" c="30-07-2020"/>
        <s v="[Dimittenddato].[Dimittenddato].&amp;[2020-07-26T00:00:00]" c="26-07-2020"/>
        <s v="[Dimittenddato].[Dimittenddato].&amp;[2020-07-22T00:00:00]" c="22-07-2020"/>
        <s v="[Dimittenddato].[Dimittenddato].&amp;[2020-07-18T00:00:00]" c="18-07-2020"/>
        <s v="[Dimittenddato].[Dimittenddato].&amp;[2020-07-14T00:00:00]" c="14-07-2020"/>
        <s v="[Dimittenddato].[Dimittenddato].&amp;[2020-07-10T00:00:00]" c="10-07-2020"/>
        <s v="[Dimittenddato].[Dimittenddato].&amp;[2020-07-06T00:00:00]" c="06-07-2020"/>
        <s v="[Dimittenddato].[Dimittenddato].&amp;[2020-07-02T00:00:00]" c="02-07-2020"/>
        <s v="[Dimittenddato].[Dimittenddato].&amp;[2020-06-28T00:00:00]" c="28-06-2020"/>
        <s v="[Dimittenddato].[Dimittenddato].&amp;[2020-06-24T00:00:00]" c="24-06-2020"/>
        <s v="[Dimittenddato].[Dimittenddato].&amp;[2020-06-20T00:00:00]" c="20-06-2020"/>
        <s v="[Dimittenddato].[Dimittenddato].&amp;[2020-06-16T00:00:00]" c="16-06-2020"/>
        <s v="[Dimittenddato].[Dimittenddato].&amp;[2020-06-12T00:00:00]" c="12-06-2020"/>
        <s v="[Dimittenddato].[Dimittenddato].&amp;[2020-06-08T00:00:00]" c="08-06-2020"/>
        <s v="[Dimittenddato].[Dimittenddato].&amp;[2020-06-04T00:00:00]" c="04-06-2020"/>
        <s v="[Dimittenddato].[Dimittenddato].&amp;[2019-08-31T00:00:00]" c="31-08-2019"/>
        <s v="[Dimittenddato].[Dimittenddato].&amp;[2019-08-27T00:00:00]" c="27-08-2019"/>
        <s v="[Dimittenddato].[Dimittenddato].&amp;[2019-08-23T00:00:00]" c="23-08-2019"/>
        <s v="[Dimittenddato].[Dimittenddato].&amp;[2019-08-19T00:00:00]" c="19-08-2019"/>
        <s v="[Dimittenddato].[Dimittenddato].&amp;[2019-08-15T00:00:00]" c="15-08-2019"/>
        <s v="[Dimittenddato].[Dimittenddato].&amp;[2019-08-11T00:00:00]" c="11-08-2019"/>
        <s v="[Dimittenddato].[Dimittenddato].&amp;[2019-08-07T00:00:00]" c="07-08-2019"/>
        <s v="[Dimittenddato].[Dimittenddato].&amp;[2019-08-03T00:00:00]" c="03-08-2019"/>
        <s v="[Dimittenddato].[Dimittenddato].&amp;[2019-07-30T00:00:00]" c="30-07-2019"/>
        <s v="[Dimittenddato].[Dimittenddato].&amp;[2019-07-26T00:00:00]" c="26-07-2019"/>
        <s v="[Dimittenddato].[Dimittenddato].&amp;[2019-07-22T00:00:00]" c="22-07-2019"/>
        <s v="[Dimittenddato].[Dimittenddato].&amp;[2019-07-18T00:00:00]" c="18-07-2019"/>
        <s v="[Dimittenddato].[Dimittenddato].&amp;[2019-07-14T00:00:00]" c="14-07-2019"/>
        <s v="[Dimittenddato].[Dimittenddato].&amp;[2019-07-10T00:00:00]" c="10-07-2019"/>
        <s v="[Dimittenddato].[Dimittenddato].&amp;[2019-07-06T00:00:00]" c="06-07-2019"/>
        <s v="[Dimittenddato].[Dimittenddato].&amp;[2019-07-02T00:00:00]" c="02-07-2019"/>
        <s v="[Dimittenddato].[Dimittenddato].&amp;[2019-06-28T00:00:00]" c="28-06-2019"/>
        <s v="[Dimittenddato].[Dimittenddato].&amp;[2019-06-24T00:00:00]" c="24-06-2019"/>
        <s v="[Dimittenddato].[Dimittenddato].&amp;[2019-06-20T00:00:00]" c="20-06-2019"/>
        <s v="[Dimittenddato].[Dimittenddato].&amp;[2019-06-16T00:00:00]" c="16-06-2019"/>
        <s v="[Dimittenddato].[Dimittenddato].&amp;[2019-06-12T00:00:00]" c="12-06-2019"/>
        <s v="[Dimittenddato].[Dimittenddato].&amp;[2019-06-08T00:00:00]" c="08-06-2019"/>
        <s v="[Dimittenddato].[Dimittenddato].&amp;[2019-06-04T00:00:00]" c="04-06-2019"/>
        <s v="[Dimittenddato].[Dimittenddato].&amp;[2018-08-31T00:00:00]" c="31-08-2018"/>
        <s v="[Dimittenddato].[Dimittenddato].&amp;[2018-08-27T00:00:00]" c="27-08-2018"/>
        <s v="[Dimittenddato].[Dimittenddato].&amp;[2018-08-23T00:00:00]" c="23-08-2018"/>
        <s v="[Dimittenddato].[Dimittenddato].&amp;[2018-08-19T00:00:00]" c="19-08-2018"/>
        <s v="[Dimittenddato].[Dimittenddato].&amp;[2018-08-15T00:00:00]" c="15-08-2018"/>
        <s v="[Dimittenddato].[Dimittenddato].&amp;[2018-08-11T00:00:00]" c="11-08-2018"/>
        <s v="[Dimittenddato].[Dimittenddato].&amp;[2018-08-07T00:00:00]" c="07-08-2018"/>
        <s v="[Dimittenddato].[Dimittenddato].&amp;[2018-08-03T00:00:00]" c="03-08-2018"/>
        <s v="[Dimittenddato].[Dimittenddato].&amp;[2018-07-30T00:00:00]" c="30-07-2018"/>
        <s v="[Dimittenddato].[Dimittenddato].&amp;[2018-07-26T00:00:00]" c="26-07-2018"/>
        <s v="[Dimittenddato].[Dimittenddato].&amp;[2018-07-22T00:00:00]" c="22-07-2018"/>
        <s v="[Dimittenddato].[Dimittenddato].&amp;[2018-07-18T00:00:00]" c="18-07-2018"/>
        <s v="[Dimittenddato].[Dimittenddato].&amp;[2018-07-14T00:00:00]" c="14-07-2018"/>
        <s v="[Dimittenddato].[Dimittenddato].&amp;[2018-07-10T00:00:00]" c="10-07-2018"/>
        <s v="[Dimittenddato].[Dimittenddato].&amp;[2018-07-06T00:00:00]" c="06-07-2018"/>
        <s v="[Dimittenddato].[Dimittenddato].&amp;[2018-07-02T00:00:00]" c="02-07-2018"/>
        <s v="[Dimittenddato].[Dimittenddato].&amp;[2018-06-28T00:00:00]" c="28-06-2018"/>
        <s v="[Dimittenddato].[Dimittenddato].&amp;[2018-06-24T00:00:00]" c="24-06-2018"/>
        <s v="[Dimittenddato].[Dimittenddato].&amp;[2018-06-20T00:00:00]" c="20-06-2018"/>
        <s v="[Dimittenddato].[Dimittenddato].&amp;[2018-06-16T00:00:00]" c="16-06-2018"/>
        <s v="[Dimittenddato].[Dimittenddato].&amp;[2018-06-12T00:00:00]" c="12-06-2018"/>
        <s v="[Dimittenddato].[Dimittenddato].&amp;[2018-06-08T00:00:00]" c="08-06-2018"/>
        <s v="[Dimittenddato].[Dimittenddato].&amp;[2018-06-04T00:00:00]" c="04-06-2018"/>
        <s v="[Dimittenddato].[Dimittenddato].&amp;[2017-08-31T00:00:00]" c="31-08-2017"/>
        <s v="[Dimittenddato].[Dimittenddato].&amp;[2017-08-27T00:00:00]" c="27-08-2017"/>
        <s v="[Dimittenddato].[Dimittenddato].&amp;[2017-08-23T00:00:00]" c="23-08-2017"/>
        <s v="[Dimittenddato].[Dimittenddato].&amp;[2017-08-19T00:00:00]" c="19-08-2017"/>
        <s v="[Dimittenddato].[Dimittenddato].&amp;[2017-08-15T00:00:00]" c="15-08-2017"/>
        <s v="[Dimittenddato].[Dimittenddato].&amp;[2017-08-11T00:00:00]" c="11-08-2017"/>
        <s v="[Dimittenddato].[Dimittenddato].&amp;[2017-08-07T00:00:00]" c="07-08-2017"/>
        <s v="[Dimittenddato].[Dimittenddato].&amp;[2017-08-03T00:00:00]" c="03-08-2017"/>
        <s v="[Dimittenddato].[Dimittenddato].&amp;[2017-07-30T00:00:00]" c="30-07-2017"/>
        <s v="[Dimittenddato].[Dimittenddato].&amp;[2017-07-26T00:00:00]" c="26-07-2017"/>
        <s v="[Dimittenddato].[Dimittenddato].&amp;[2017-07-22T00:00:00]" c="22-07-2017"/>
        <s v="[Dimittenddato].[Dimittenddato].&amp;[2017-07-18T00:00:00]" c="18-07-2017"/>
        <s v="[Dimittenddato].[Dimittenddato].&amp;[2017-07-14T00:00:00]" c="14-07-2017"/>
        <s v="[Dimittenddato].[Dimittenddato].&amp;[2017-07-10T00:00:00]" c="10-07-2017"/>
        <s v="[Dimittenddato].[Dimittenddato].&amp;[2017-07-06T00:00:00]" c="06-07-2017"/>
        <s v="[Dimittenddato].[Dimittenddato].&amp;[2017-07-02T00:00:00]" c="02-07-2017"/>
        <s v="[Dimittenddato].[Dimittenddato].&amp;[2017-06-28T00:00:00]" c="28-06-2017"/>
        <s v="[Dimittenddato].[Dimittenddato].&amp;[2017-06-24T00:00:00]" c="24-06-2017"/>
        <s v="[Dimittenddato].[Dimittenddato].&amp;[2017-06-20T00:00:00]" c="20-06-2017"/>
        <s v="[Dimittenddato].[Dimittenddato].&amp;[2017-06-16T00:00:00]" c="16-06-2017"/>
        <s v="[Dimittenddato].[Dimittenddato].&amp;[2017-06-12T00:00:00]" c="12-06-2017"/>
        <s v="[Dimittenddato].[Dimittenddato].&amp;[2017-06-08T00:00:00]" c="08-06-2017"/>
        <s v="[Dimittenddato].[Dimittenddato].&amp;[2017-06-04T00:00:00]" c="04-06-2017"/>
        <s v="[Dimittenddato].[Dimittenddato].&amp;[2016-08-31T00:00:00]" c="31-08-2016"/>
        <s v="[Dimittenddato].[Dimittenddato].&amp;[2016-08-27T00:00:00]" c="27-08-2016"/>
        <s v="[Dimittenddato].[Dimittenddato].&amp;[2016-08-23T00:00:00]" c="23-08-2016"/>
        <s v="[Dimittenddato].[Dimittenddato].&amp;[2016-08-19T00:00:00]" c="19-08-2016"/>
        <s v="[Dimittenddato].[Dimittenddato].&amp;[2016-08-15T00:00:00]" c="15-08-2016"/>
        <s v="[Dimittenddato].[Dimittenddato].&amp;[2016-08-11T00:00:00]" c="11-08-2016"/>
        <s v="[Dimittenddato].[Dimittenddato].&amp;[2016-08-07T00:00:00]" c="07-08-2016"/>
        <s v="[Dimittenddato].[Dimittenddato].&amp;[2016-08-03T00:00:00]" c="03-08-2016"/>
        <s v="[Dimittenddato].[Dimittenddato].&amp;[2016-07-30T00:00:00]" c="30-07-2016"/>
        <s v="[Dimittenddato].[Dimittenddato].&amp;[2016-07-26T00:00:00]" c="26-07-2016"/>
        <s v="[Dimittenddato].[Dimittenddato].&amp;[2016-07-22T00:00:00]" c="22-07-2016"/>
        <s v="[Dimittenddato].[Dimittenddato].&amp;[2016-07-18T00:00:00]" c="18-07-2016"/>
        <s v="[Dimittenddato].[Dimittenddato].&amp;[2016-07-14T00:00:00]" c="14-07-2016"/>
        <s v="[Dimittenddato].[Dimittenddato].&amp;[2016-07-10T00:00:00]" c="10-07-2016"/>
        <s v="[Dimittenddato].[Dimittenddato].&amp;[2016-07-06T00:00:00]" c="06-07-2016"/>
        <s v="[Dimittenddato].[Dimittenddato].&amp;[2016-07-02T00:00:00]" c="02-07-2016"/>
        <s v="[Dimittenddato].[Dimittenddato].&amp;[2016-06-28T00:00:00]" c="28-06-2016"/>
        <s v="[Dimittenddato].[Dimittenddato].&amp;[2020-08-24T00:00:00]" c="24-08-2020"/>
        <s v="[Dimittenddato].[Dimittenddato].&amp;[2020-08-08T00:00:00]" c="08-08-2020"/>
        <s v="[Dimittenddato].[Dimittenddato].&amp;[2020-07-23T00:00:00]" c="23-07-2020"/>
        <s v="[Dimittenddato].[Dimittenddato].&amp;[2020-07-07T00:00:00]" c="07-07-2020"/>
        <s v="[Dimittenddato].[Dimittenddato].&amp;[2020-06-21T00:00:00]" c="21-06-2020"/>
        <s v="[Dimittenddato].[Dimittenddato].&amp;[2020-06-05T00:00:00]" c="05-06-2020"/>
        <s v="[Dimittenddato].[Dimittenddato].&amp;[2019-08-20T00:00:00]" c="20-08-2019"/>
        <s v="[Dimittenddato].[Dimittenddato].&amp;[2019-08-04T00:00:00]" c="04-08-2019"/>
        <s v="[Dimittenddato].[Dimittenddato].&amp;[2019-07-19T00:00:00]" c="19-07-2019"/>
        <s v="[Dimittenddato].[Dimittenddato].&amp;[2019-07-03T00:00:00]" c="03-07-2019"/>
        <s v="[Dimittenddato].[Dimittenddato].&amp;[2019-06-17T00:00:00]" c="17-06-2019"/>
        <s v="[Dimittenddato].[Dimittenddato].&amp;[2019-06-01T00:00:00]" c="01-06-2019"/>
        <s v="[Dimittenddato].[Dimittenddato].&amp;[2018-08-16T00:00:00]" c="16-08-2018"/>
        <s v="[Dimittenddato].[Dimittenddato].&amp;[2018-07-31T00:00:00]" c="31-07-2018"/>
        <s v="[Dimittenddato].[Dimittenddato].&amp;[2018-07-15T00:00:00]" c="15-07-2018"/>
        <s v="[Dimittenddato].[Dimittenddato].&amp;[2018-06-29T00:00:00]" c="29-06-2018"/>
        <s v="[Dimittenddato].[Dimittenddato].&amp;[2018-06-13T00:00:00]" c="13-06-2018"/>
        <s v="[Dimittenddato].[Dimittenddato].&amp;[2017-08-28T00:00:00]" c="28-08-2017"/>
        <s v="[Dimittenddato].[Dimittenddato].&amp;[2017-08-12T00:00:00]" c="12-08-2017"/>
        <s v="[Dimittenddato].[Dimittenddato].&amp;[2017-07-27T00:00:00]" c="27-07-2017"/>
        <s v="[Dimittenddato].[Dimittenddato].&amp;[2017-07-11T00:00:00]" c="11-07-2017"/>
        <s v="[Dimittenddato].[Dimittenddato].&amp;[2017-06-25T00:00:00]" c="25-06-2017"/>
        <s v="[Dimittenddato].[Dimittenddato].&amp;[2017-06-09T00:00:00]" c="09-06-2017"/>
        <s v="[Dimittenddato].[Dimittenddato].&amp;[2016-08-24T00:00:00]" c="24-08-2016"/>
        <s v="[Dimittenddato].[Dimittenddato].&amp;[2016-08-08T00:00:00]" c="08-08-2016"/>
        <s v="[Dimittenddato].[Dimittenddato].&amp;[2016-07-23T00:00:00]" c="23-07-2016"/>
        <s v="[Dimittenddato].[Dimittenddato].&amp;[2016-07-07T00:00:00]" c="07-07-2016"/>
        <s v="[Dimittenddato].[Dimittenddato].&amp;[2016-06-26T00:00:00]" c="26-06-2016"/>
        <s v="[Dimittenddato].[Dimittenddato].&amp;[2016-06-22T00:00:00]" c="22-06-2016"/>
        <s v="[Dimittenddato].[Dimittenddato].&amp;[2016-06-18T00:00:00]" c="18-06-2016"/>
        <s v="[Dimittenddato].[Dimittenddato].&amp;[2016-06-14T00:00:00]" c="14-06-2016"/>
        <s v="[Dimittenddato].[Dimittenddato].&amp;[2016-06-10T00:00:00]" c="10-06-2016"/>
        <s v="[Dimittenddato].[Dimittenddato].&amp;[2016-06-06T00:00:00]" c="06-06-2016"/>
        <s v="[Dimittenddato].[Dimittenddato].&amp;[2016-06-02T00:00:00]" c="02-06-2016"/>
        <s v="[Dimittenddato].[Dimittenddato].&amp;[2015-08-29T00:00:00]" c="29-08-2015"/>
        <s v="[Dimittenddato].[Dimittenddato].&amp;[2015-08-25T00:00:00]" c="25-08-2015"/>
        <s v="[Dimittenddato].[Dimittenddato].&amp;[2015-08-21T00:00:00]" c="21-08-2015"/>
        <s v="[Dimittenddato].[Dimittenddato].&amp;[2015-08-17T00:00:00]" c="17-08-2015"/>
        <s v="[Dimittenddato].[Dimittenddato].&amp;[2015-08-13T00:00:00]" c="13-08-2015"/>
        <s v="[Dimittenddato].[Dimittenddato].&amp;[2015-08-09T00:00:00]" c="09-08-2015"/>
        <s v="[Dimittenddato].[Dimittenddato].&amp;[2015-08-05T00:00:00]" c="05-08-2015"/>
        <s v="[Dimittenddato].[Dimittenddato].&amp;[2015-08-01T00:00:00]" c="01-08-2015"/>
        <s v="[Dimittenddato].[Dimittenddato].&amp;[2015-07-28T00:00:00]" c="28-07-2015"/>
        <s v="[Dimittenddato].[Dimittenddato].&amp;[2015-07-24T00:00:00]" c="24-07-2015"/>
        <s v="[Dimittenddato].[Dimittenddato].&amp;[2015-07-20T00:00:00]" c="20-07-2015"/>
        <s v="[Dimittenddato].[Dimittenddato].&amp;[2015-07-16T00:00:00]" c="16-07-2015"/>
        <s v="[Dimittenddato].[Dimittenddato].&amp;[2015-07-12T00:00:00]" c="12-07-2015"/>
        <s v="[Dimittenddato].[Dimittenddato].&amp;[2015-07-08T00:00:00]" c="08-07-2015"/>
        <s v="[Dimittenddato].[Dimittenddato].&amp;[2015-07-04T00:00:00]" c="04-07-2015"/>
        <s v="[Dimittenddato].[Dimittenddato].&amp;[2015-06-30T00:00:00]" c="30-06-2015"/>
        <s v="[Dimittenddato].[Dimittenddato].&amp;[2015-06-26T00:00:00]" c="26-06-2015"/>
        <s v="[Dimittenddato].[Dimittenddato].&amp;[2015-06-22T00:00:00]" c="22-06-2015"/>
        <s v="[Dimittenddato].[Dimittenddato].&amp;[2015-06-18T00:00:00]" c="18-06-2015"/>
        <s v="[Dimittenddato].[Dimittenddato].&amp;[2015-06-14T00:00:00]" c="14-06-2015"/>
        <s v="[Dimittenddato].[Dimittenddato].&amp;[2015-06-10T00:00:00]" c="10-06-2015"/>
        <s v="[Dimittenddato].[Dimittenddato].&amp;[2015-06-06T00:00:00]" c="06-06-2015"/>
        <s v="[Dimittenddato].[Dimittenddato].&amp;[2015-06-02T00:00:00]" c="02-06-2015"/>
        <s v="[Dimittenddato].[Dimittenddato].&amp;[2014-08-29T00:00:00]" c="29-08-2014"/>
        <s v="[Dimittenddato].[Dimittenddato].&amp;[2014-08-25T00:00:00]" c="25-08-2014"/>
        <s v="[Dimittenddato].[Dimittenddato].&amp;[2014-08-21T00:00:00]" c="21-08-2014"/>
        <s v="[Dimittenddato].[Dimittenddato].&amp;[2014-08-17T00:00:00]" c="17-08-2014"/>
        <s v="[Dimittenddato].[Dimittenddato].&amp;[2014-08-13T00:00:00]" c="13-08-2014"/>
        <s v="[Dimittenddato].[Dimittenddato].&amp;[2014-08-09T00:00:00]" c="09-08-2014"/>
        <s v="[Dimittenddato].[Dimittenddato].&amp;[2014-08-05T00:00:00]" c="05-08-2014"/>
        <s v="[Dimittenddato].[Dimittenddato].&amp;[2014-08-01T00:00:00]" c="01-08-2014"/>
        <s v="[Dimittenddato].[Dimittenddato].&amp;[2014-07-28T00:00:00]" c="28-07-2014"/>
        <s v="[Dimittenddato].[Dimittenddato].&amp;[2014-07-24T00:00:00]" c="24-07-2014"/>
        <s v="[Dimittenddato].[Dimittenddato].&amp;[2014-07-20T00:00:00]" c="20-07-2014"/>
        <s v="[Dimittenddato].[Dimittenddato].&amp;[2014-07-16T00:00:00]" c="16-07-2014"/>
        <s v="[Dimittenddato].[Dimittenddato].&amp;[2014-07-12T00:00:00]" c="12-07-2014"/>
        <s v="[Dimittenddato].[Dimittenddato].&amp;[2014-07-08T00:00:00]" c="08-07-2014"/>
        <s v="[Dimittenddato].[Dimittenddato].&amp;[2020-08-20T00:00:00]" c="20-08-2020"/>
        <s v="[Dimittenddato].[Dimittenddato].&amp;[2020-08-04T00:00:00]" c="04-08-2020"/>
        <s v="[Dimittenddato].[Dimittenddato].&amp;[2020-07-19T00:00:00]" c="19-07-2020"/>
        <s v="[Dimittenddato].[Dimittenddato].&amp;[2020-07-03T00:00:00]" c="03-07-2020"/>
        <s v="[Dimittenddato].[Dimittenddato].&amp;[2020-06-17T00:00:00]" c="17-06-2020"/>
        <s v="[Dimittenddato].[Dimittenddato].&amp;[2020-06-01T00:00:00]" c="01-06-2020"/>
        <s v="[Dimittenddato].[Dimittenddato].&amp;[2019-08-16T00:00:00]" c="16-08-2019"/>
        <s v="[Dimittenddato].[Dimittenddato].&amp;[2019-07-31T00:00:00]" c="31-07-2019"/>
        <s v="[Dimittenddato].[Dimittenddato].&amp;[2019-07-15T00:00:00]" c="15-07-2019"/>
        <s v="[Dimittenddato].[Dimittenddato].&amp;[2019-06-29T00:00:00]" c="29-06-2019"/>
        <s v="[Dimittenddato].[Dimittenddato].&amp;[2019-06-13T00:00:00]" c="13-06-2019"/>
        <s v="[Dimittenddato].[Dimittenddato].&amp;[2018-08-28T00:00:00]" c="28-08-2018"/>
        <s v="[Dimittenddato].[Dimittenddato].&amp;[2018-08-12T00:00:00]" c="12-08-2018"/>
        <s v="[Dimittenddato].[Dimittenddato].&amp;[2018-07-27T00:00:00]" c="27-07-2018"/>
        <s v="[Dimittenddato].[Dimittenddato].&amp;[2018-07-11T00:00:00]" c="11-07-2018"/>
        <s v="[Dimittenddato].[Dimittenddato].&amp;[2018-06-25T00:00:00]" c="25-06-2018"/>
        <s v="[Dimittenddato].[Dimittenddato].&amp;[2018-06-09T00:00:00]" c="09-06-2018"/>
        <s v="[Dimittenddato].[Dimittenddato].&amp;[2017-08-24T00:00:00]" c="24-08-2017"/>
        <s v="[Dimittenddato].[Dimittenddato].&amp;[2017-08-08T00:00:00]" c="08-08-2017"/>
        <s v="[Dimittenddato].[Dimittenddato].&amp;[2017-07-23T00:00:00]" c="23-07-2017"/>
        <s v="[Dimittenddato].[Dimittenddato].&amp;[2017-07-07T00:00:00]" c="07-07-2017"/>
        <s v="[Dimittenddato].[Dimittenddato].&amp;[2017-06-21T00:00:00]" c="21-06-2017"/>
        <s v="[Dimittenddato].[Dimittenddato].&amp;[2017-06-05T00:00:00]" c="05-06-2017"/>
        <s v="[Dimittenddato].[Dimittenddato].&amp;[2016-08-20T00:00:00]" c="20-08-2016"/>
        <s v="[Dimittenddato].[Dimittenddato].&amp;[2016-08-04T00:00:00]" c="04-08-2016"/>
        <s v="[Dimittenddato].[Dimittenddato].&amp;[2016-07-19T00:00:00]" c="19-07-2016"/>
        <s v="[Dimittenddato].[Dimittenddato].&amp;[2016-07-03T00:00:00]" c="03-07-2016"/>
        <s v="[Dimittenddato].[Dimittenddato].&amp;[2016-06-25T00:00:00]" c="25-06-2016"/>
        <s v="[Dimittenddato].[Dimittenddato].&amp;[2016-06-21T00:00:00]" c="21-06-2016"/>
        <s v="[Dimittenddato].[Dimittenddato].&amp;[2016-06-17T00:00:00]" c="17-06-2016"/>
        <s v="[Dimittenddato].[Dimittenddato].&amp;[2016-06-13T00:00:00]" c="13-06-2016"/>
        <s v="[Dimittenddato].[Dimittenddato].&amp;[2016-06-09T00:00:00]" c="09-06-2016"/>
        <s v="[Dimittenddato].[Dimittenddato].&amp;[2016-06-05T00:00:00]" c="05-06-2016"/>
        <s v="[Dimittenddato].[Dimittenddato].&amp;[2016-06-01T00:00:00]" c="01-06-2016"/>
        <s v="[Dimittenddato].[Dimittenddato].&amp;[2015-08-28T00:00:00]" c="28-08-2015"/>
        <s v="[Dimittenddato].[Dimittenddato].&amp;[2015-08-24T00:00:00]" c="24-08-2015"/>
        <s v="[Dimittenddato].[Dimittenddato].&amp;[2015-08-20T00:00:00]" c="20-08-2015"/>
        <s v="[Dimittenddato].[Dimittenddato].&amp;[2015-08-16T00:00:00]" c="16-08-2015"/>
        <s v="[Dimittenddato].[Dimittenddato].&amp;[2015-08-12T00:00:00]" c="12-08-2015"/>
        <s v="[Dimittenddato].[Dimittenddato].&amp;[2015-08-08T00:00:00]" c="08-08-2015"/>
        <s v="[Dimittenddato].[Dimittenddato].&amp;[2015-08-04T00:00:00]" c="04-08-2015"/>
        <s v="[Dimittenddato].[Dimittenddato].&amp;[2015-07-31T00:00:00]" c="31-07-2015"/>
        <s v="[Dimittenddato].[Dimittenddato].&amp;[2015-07-27T00:00:00]" c="27-07-2015"/>
        <s v="[Dimittenddato].[Dimittenddato].&amp;[2015-07-23T00:00:00]" c="23-07-2015"/>
        <s v="[Dimittenddato].[Dimittenddato].&amp;[2015-07-19T00:00:00]" c="19-07-2015"/>
        <s v="[Dimittenddato].[Dimittenddato].&amp;[2015-07-15T00:00:00]" c="15-07-2015"/>
        <s v="[Dimittenddato].[Dimittenddato].&amp;[2015-07-11T00:00:00]" c="11-07-2015"/>
        <s v="[Dimittenddato].[Dimittenddato].&amp;[2015-07-07T00:00:00]" c="07-07-2015"/>
        <s v="[Dimittenddato].[Dimittenddato].&amp;[2015-07-03T00:00:00]" c="03-07-2015"/>
        <s v="[Dimittenddato].[Dimittenddato].&amp;[2015-06-29T00:00:00]" c="29-06-2015"/>
        <s v="[Dimittenddato].[Dimittenddato].&amp;[2015-06-25T00:00:00]" c="25-06-2015"/>
        <s v="[Dimittenddato].[Dimittenddato].&amp;[2015-06-21T00:00:00]" c="21-06-2015"/>
        <s v="[Dimittenddato].[Dimittenddato].&amp;[2015-06-17T00:00:00]" c="17-06-2015"/>
        <s v="[Dimittenddato].[Dimittenddato].&amp;[2015-06-13T00:00:00]" c="13-06-2015"/>
        <s v="[Dimittenddato].[Dimittenddato].&amp;[2015-06-09T00:00:00]" c="09-06-2015"/>
        <s v="[Dimittenddato].[Dimittenddato].&amp;[2015-06-05T00:00:00]" c="05-06-2015"/>
        <s v="[Dimittenddato].[Dimittenddato].&amp;[2015-06-01T00:00:00]" c="01-06-2015"/>
        <s v="[Dimittenddato].[Dimittenddato].&amp;[2014-08-28T00:00:00]" c="28-08-2014"/>
        <s v="[Dimittenddato].[Dimittenddato].&amp;[2014-08-24T00:00:00]" c="24-08-2014"/>
        <s v="[Dimittenddato].[Dimittenddato].&amp;[2014-08-20T00:00:00]" c="20-08-2014"/>
        <s v="[Dimittenddato].[Dimittenddato].&amp;[2014-08-16T00:00:00]" c="16-08-2014"/>
        <s v="[Dimittenddato].[Dimittenddato].&amp;[2014-08-12T00:00:00]" c="12-08-2014"/>
        <s v="[Dimittenddato].[Dimittenddato].&amp;[2014-08-08T00:00:00]" c="08-08-2014"/>
        <s v="[Dimittenddato].[Dimittenddato].&amp;[2014-08-04T00:00:00]" c="04-08-2014"/>
        <s v="[Dimittenddato].[Dimittenddato].&amp;[2014-07-31T00:00:00]" c="31-07-2014"/>
        <s v="[Dimittenddato].[Dimittenddato].&amp;[2014-07-27T00:00:00]" c="27-07-2014"/>
        <s v="[Dimittenddato].[Dimittenddato].&amp;[2014-07-23T00:00:00]" c="23-07-2014"/>
        <s v="[Dimittenddato].[Dimittenddato].&amp;[2014-07-19T00:00:00]" c="19-07-2014"/>
        <s v="[Dimittenddato].[Dimittenddato].&amp;[2014-07-15T00:00:00]" c="15-07-2014"/>
        <s v="[Dimittenddato].[Dimittenddato].&amp;[2014-07-11T00:00:00]" c="11-07-2014"/>
        <s v="[Dimittenddato].[Dimittenddato].&amp;[2020-08-28T00:00:00]" c="28-08-2020"/>
        <s v="[Dimittenddato].[Dimittenddato].&amp;[2020-08-12T00:00:00]" c="12-08-2020"/>
        <s v="[Dimittenddato].[Dimittenddato].&amp;[2020-07-27T00:00:00]" c="27-07-2020"/>
        <s v="[Dimittenddato].[Dimittenddato].&amp;[2020-07-11T00:00:00]" c="11-07-2020"/>
        <s v="[Dimittenddato].[Dimittenddato].&amp;[2020-06-25T00:00:00]" c="25-06-2020"/>
        <s v="[Dimittenddato].[Dimittenddato].&amp;[2020-06-09T00:00:00]" c="09-06-2020"/>
        <s v="[Dimittenddato].[Dimittenddato].&amp;[2019-08-24T00:00:00]" c="24-08-2019"/>
        <s v="[Dimittenddato].[Dimittenddato].&amp;[2019-08-08T00:00:00]" c="08-08-2019"/>
        <s v="[Dimittenddato].[Dimittenddato].&amp;[2019-07-23T00:00:00]" c="23-07-2019"/>
        <s v="[Dimittenddato].[Dimittenddato].&amp;[2019-07-07T00:00:00]" c="07-07-2019"/>
        <s v="[Dimittenddato].[Dimittenddato].&amp;[2019-06-21T00:00:00]" c="21-06-2019"/>
        <s v="[Dimittenddato].[Dimittenddato].&amp;[2019-06-05T00:00:00]" c="05-06-2019"/>
        <s v="[Dimittenddato].[Dimittenddato].&amp;[2018-08-20T00:00:00]" c="20-08-2018"/>
        <s v="[Dimittenddato].[Dimittenddato].&amp;[2018-08-04T00:00:00]" c="04-08-2018"/>
        <s v="[Dimittenddato].[Dimittenddato].&amp;[2018-07-19T00:00:00]" c="19-07-2018"/>
        <s v="[Dimittenddato].[Dimittenddato].&amp;[2018-07-03T00:00:00]" c="03-07-2018"/>
        <s v="[Dimittenddato].[Dimittenddato].&amp;[2018-06-17T00:00:00]" c="17-06-2018"/>
        <s v="[Dimittenddato].[Dimittenddato].&amp;[2018-06-01T00:00:00]" c="01-06-2018"/>
        <s v="[Dimittenddato].[Dimittenddato].&amp;[2017-08-16T00:00:00]" c="16-08-2017"/>
        <s v="[Dimittenddato].[Dimittenddato].&amp;[2017-07-31T00:00:00]" c="31-07-2017"/>
        <s v="[Dimittenddato].[Dimittenddato].&amp;[2017-07-15T00:00:00]" c="15-07-2017"/>
        <s v="[Dimittenddato].[Dimittenddato].&amp;[2017-06-29T00:00:00]" c="29-06-2017"/>
        <s v="[Dimittenddato].[Dimittenddato].&amp;[2017-06-13T00:00:00]" c="13-06-2017"/>
        <s v="[Dimittenddato].[Dimittenddato].&amp;[2016-08-28T00:00:00]" c="28-08-2016"/>
        <s v="[Dimittenddato].[Dimittenddato].&amp;[2016-08-12T00:00:00]" c="12-08-2016"/>
        <s v="[Dimittenddato].[Dimittenddato].&amp;[2016-07-27T00:00:00]" c="27-07-2016"/>
        <s v="[Dimittenddato].[Dimittenddato].&amp;[2016-07-11T00:00:00]" c="11-07-2016"/>
        <s v="[Dimittenddato].[Dimittenddato].&amp;[2016-06-27T00:00:00]" c="27-06-2016"/>
        <s v="[Dimittenddato].[Dimittenddato].&amp;[2016-06-23T00:00:00]" c="23-06-2016"/>
        <s v="[Dimittenddato].[Dimittenddato].&amp;[2016-06-19T00:00:00]" c="19-06-2016"/>
        <s v="[Dimittenddato].[Dimittenddato].&amp;[2016-06-15T00:00:00]" c="15-06-2016"/>
        <s v="[Dimittenddato].[Dimittenddato].&amp;[2016-06-11T00:00:00]" c="11-06-2016"/>
        <s v="[Dimittenddato].[Dimittenddato].&amp;[2016-06-07T00:00:00]" c="07-06-2016"/>
        <s v="[Dimittenddato].[Dimittenddato].&amp;[2016-06-03T00:00:00]" c="03-06-2016"/>
        <s v="[Dimittenddato].[Dimittenddato].&amp;[2015-08-30T00:00:00]" c="30-08-2015"/>
        <s v="[Dimittenddato].[Dimittenddato].&amp;[2015-08-26T00:00:00]" c="26-08-2015"/>
        <s v="[Dimittenddato].[Dimittenddato].&amp;[2015-08-22T00:00:00]" c="22-08-2015"/>
        <s v="[Dimittenddato].[Dimittenddato].&amp;[2015-08-18T00:00:00]" c="18-08-2015"/>
        <s v="[Dimittenddato].[Dimittenddato].&amp;[2015-08-14T00:00:00]" c="14-08-2015"/>
        <s v="[Dimittenddato].[Dimittenddato].&amp;[2015-08-10T00:00:00]" c="10-08-2015"/>
        <s v="[Dimittenddato].[Dimittenddato].&amp;[2015-08-06T00:00:00]" c="06-08-2015"/>
        <s v="[Dimittenddato].[Dimittenddato].&amp;[2015-08-02T00:00:00]" c="02-08-2015"/>
        <s v="[Dimittenddato].[Dimittenddato].&amp;[2015-07-29T00:00:00]" c="29-07-2015"/>
        <s v="[Dimittenddato].[Dimittenddato].&amp;[2015-07-25T00:00:00]" c="25-07-2015"/>
        <s v="[Dimittenddato].[Dimittenddato].&amp;[2015-07-21T00:00:00]" c="21-07-2015"/>
        <s v="[Dimittenddato].[Dimittenddato].&amp;[2015-07-17T00:00:00]" c="17-07-2015"/>
        <s v="[Dimittenddato].[Dimittenddato].&amp;[2015-07-13T00:00:00]" c="13-07-2015"/>
        <s v="[Dimittenddato].[Dimittenddato].&amp;[2015-07-09T00:00:00]" c="09-07-2015"/>
        <s v="[Dimittenddato].[Dimittenddato].&amp;[2015-07-05T00:00:00]" c="05-07-2015"/>
        <s v="[Dimittenddato].[Dimittenddato].&amp;[2015-07-01T00:00:00]" c="01-07-2015"/>
        <s v="[Dimittenddato].[Dimittenddato].&amp;[2015-06-27T00:00:00]" c="27-06-2015"/>
        <s v="[Dimittenddato].[Dimittenddato].&amp;[2015-06-23T00:00:00]" c="23-06-2015"/>
        <s v="[Dimittenddato].[Dimittenddato].&amp;[2015-06-19T00:00:00]" c="19-06-2015"/>
        <s v="[Dimittenddato].[Dimittenddato].&amp;[2015-06-15T00:00:00]" c="15-06-2015"/>
        <s v="[Dimittenddato].[Dimittenddato].&amp;[2015-06-11T00:00:00]" c="11-06-2015"/>
        <s v="[Dimittenddato].[Dimittenddato].&amp;[2015-06-07T00:00:00]" c="07-06-2015"/>
        <s v="[Dimittenddato].[Dimittenddato].&amp;[2015-06-03T00:00:00]" c="03-06-2015"/>
        <s v="[Dimittenddato].[Dimittenddato].&amp;[2014-08-30T00:00:00]" c="30-08-2014"/>
        <s v="[Dimittenddato].[Dimittenddato].&amp;[2014-08-26T00:00:00]" c="26-08-2014"/>
        <s v="[Dimittenddato].[Dimittenddato].&amp;[2014-08-22T00:00:00]" c="22-08-2014"/>
        <s v="[Dimittenddato].[Dimittenddato].&amp;[2014-08-18T00:00:00]" c="18-08-2014"/>
        <s v="[Dimittenddato].[Dimittenddato].&amp;[2014-08-14T00:00:00]" c="14-08-2014"/>
        <s v="[Dimittenddato].[Dimittenddato].&amp;[2014-08-10T00:00:00]" c="10-08-2014"/>
        <s v="[Dimittenddato].[Dimittenddato].&amp;[2014-08-06T00:00:00]" c="06-08-2014"/>
        <s v="[Dimittenddato].[Dimittenddato].&amp;[2014-08-02T00:00:00]" c="02-08-2014"/>
        <s v="[Dimittenddato].[Dimittenddato].&amp;[2014-07-29T00:00:00]" c="29-07-2014"/>
        <s v="[Dimittenddato].[Dimittenddato].&amp;[2014-07-25T00:00:00]" c="25-07-2014"/>
        <s v="[Dimittenddato].[Dimittenddato].&amp;[2014-07-21T00:00:00]" c="21-07-2014"/>
        <s v="[Dimittenddato].[Dimittenddato].&amp;[2014-07-17T00:00:00]" c="17-07-2014"/>
        <s v="[Dimittenddato].[Dimittenddato].&amp;[2014-07-13T00:00:00]" c="13-07-2014"/>
        <s v="[Dimittenddato].[Dimittenddato].&amp;[2014-07-09T00:00:00]" c="09-07-2014"/>
        <s v="[Dimittenddato].[Dimittenddato].&amp;[2014-07-05T00:00:00]" c="05-07-2014"/>
        <s v="[Dimittenddato].[Dimittenddato].&amp;[2014-07-01T00:00:00]" c="01-07-2014"/>
        <s v="[Dimittenddato].[Dimittenddato].&amp;[2014-06-27T00:00:00]" c="27-06-2014"/>
        <s v="[Dimittenddato].[Dimittenddato].&amp;[2014-06-23T00:00:00]" c="23-06-2014"/>
        <s v="[Dimittenddato].[Dimittenddato].&amp;[2014-06-19T00:00:00]" c="19-06-2014"/>
        <s v="[Dimittenddato].[Dimittenddato].&amp;[2014-06-15T00:00:00]" c="15-06-2014"/>
        <s v="[Dimittenddato].[Dimittenddato].&amp;[2014-06-11T00:00:00]" c="11-06-2014"/>
        <s v="[Dimittenddato].[Dimittenddato].&amp;[2014-06-07T00:00:00]" c="07-06-2014"/>
        <s v="[Dimittenddato].[Dimittenddato].&amp;[2014-06-03T00:00:00]" c="03-06-2014"/>
        <s v="[Dimittenddato].[Dimittenddato].&amp;[2013-08-30T00:00:00]" c="30-08-2013"/>
        <s v="[Dimittenddato].[Dimittenddato].&amp;[2013-08-26T00:00:00]" c="26-08-2013"/>
        <s v="[Dimittenddato].[Dimittenddato].&amp;[2013-08-22T00:00:00]" c="22-08-2013"/>
        <s v="[Dimittenddato].[Dimittenddato].&amp;[2013-08-18T00:00:00]" c="18-08-2013"/>
        <s v="[Dimittenddato].[Dimittenddato].&amp;[2013-08-14T00:00:00]" c="14-08-2013"/>
        <s v="[Dimittenddato].[Dimittenddato].&amp;[2013-08-10T00:00:00]" c="10-08-2013"/>
        <s v="[Dimittenddato].[Dimittenddato].&amp;[2013-08-06T00:00:00]" c="06-08-2013"/>
        <s v="[Dimittenddato].[Dimittenddato].&amp;[2013-08-02T00:00:00]" c="02-08-2013"/>
        <s v="[Dimittenddato].[Dimittenddato].&amp;[2013-07-29T00:00:00]" c="29-07-2013"/>
        <s v="[Dimittenddato].[Dimittenddato].&amp;[2013-07-25T00:00:00]" c="25-07-2013"/>
        <s v="[Dimittenddato].[Dimittenddato].&amp;[2013-07-21T00:00:00]" c="21-07-2013"/>
        <s v="[Dimittenddato].[Dimittenddato].&amp;[2013-07-17T00:00:00]" c="17-07-2013"/>
        <s v="[Dimittenddato].[Dimittenddato].&amp;[2013-07-13T00:00:00]" c="13-07-2013"/>
        <s v="[Dimittenddato].[Dimittenddato].&amp;[2013-07-09T00:00:00]" c="09-07-2013"/>
        <s v="[Dimittenddato].[Dimittenddato].&amp;[2013-07-05T00:00:00]" c="05-07-2013"/>
        <s v="[Dimittenddato].[Dimittenddato].&amp;[2013-07-01T00:00:00]" c="01-07-2013"/>
        <s v="[Dimittenddato].[Dimittenddato].&amp;[2013-06-27T00:00:00]" c="27-06-2013"/>
        <s v="[Dimittenddato].[Dimittenddato].&amp;[2013-06-23T00:00:00]" c="23-06-2013"/>
        <s v="[Dimittenddato].[Dimittenddato].&amp;[2013-06-19T00:00:00]" c="19-06-2013"/>
        <s v="[Dimittenddato].[Dimittenddato].&amp;[2013-06-15T00:00:00]" c="15-06-2013"/>
        <s v="[Dimittenddato].[Dimittenddato].&amp;[2013-06-11T00:00:00]" c="11-06-2013"/>
        <s v="[Dimittenddato].[Dimittenddato].&amp;[2013-06-07T00:00:00]" c="07-06-2013"/>
        <s v="[Dimittenddato].[Dimittenddato].&amp;[2013-06-03T00:00:00]" c="03-06-2013"/>
        <s v="[Dimittenddato].[Dimittenddato].&amp;[2012-08-30T00:00:00]" c="30-08-2012"/>
        <s v="[Dimittenddato].[Dimittenddato].&amp;[2012-08-26T00:00:00]" c="26-08-2012"/>
        <s v="[Dimittenddato].[Dimittenddato].&amp;[2012-08-22T00:00:00]" c="22-08-2012"/>
        <s v="[Dimittenddato].[Dimittenddato].&amp;[2012-08-18T00:00:00]" c="18-08-2012"/>
        <s v="[Dimittenddato].[Dimittenddato].&amp;[2012-08-14T00:00:00]" c="14-08-2012"/>
        <s v="[Dimittenddato].[Dimittenddato].&amp;[2012-08-10T00:00:00]" c="10-08-2012"/>
        <s v="[Dimittenddato].[Dimittenddato].&amp;[2012-08-06T00:00:00]" c="06-08-2012"/>
        <s v="[Dimittenddato].[Dimittenddato].&amp;[2012-08-02T00:00:00]" c="02-08-2012"/>
        <s v="[Dimittenddato].[Dimittenddato].&amp;[2012-07-29T00:00:00]" c="29-07-2012"/>
        <s v="[Dimittenddato].[Dimittenddato].&amp;[2012-07-25T00:00:00]" c="25-07-2012"/>
        <s v="[Dimittenddato].[Dimittenddato].&amp;[2012-07-21T00:00:00]" c="21-07-2012"/>
        <s v="[Dimittenddato].[Dimittenddato].&amp;[2012-07-17T00:00:00]" c="17-07-2012"/>
        <s v="[Dimittenddato].[Dimittenddato].&amp;[2012-07-13T00:00:00]" c="13-07-2012"/>
        <s v="[Dimittenddato].[Dimittenddato].&amp;[2012-07-09T00:00:00]" c="09-07-2012"/>
        <s v="[Dimittenddato].[Dimittenddato].&amp;[2012-07-05T00:00:00]" c="05-07-2012"/>
        <s v="[Dimittenddato].[Dimittenddato].&amp;[2012-07-01T00:00:00]" c="01-07-2012"/>
        <s v="[Dimittenddato].[Dimittenddato].&amp;[2012-06-27T00:00:00]" c="27-06-2012"/>
        <s v="[Dimittenddato].[Dimittenddato].&amp;[2012-06-23T00:00:00]" c="23-06-2012"/>
        <s v="[Dimittenddato].[Dimittenddato].&amp;[2012-06-19T00:00:00]" c="19-06-2012"/>
        <s v="[Dimittenddato].[Dimittenddato].&amp;[2012-06-15T00:00:00]" c="15-06-2012"/>
        <s v="[Dimittenddato].[Dimittenddato].&amp;[2020-06-29T00:00:00]" c="29-06-2020"/>
        <s v="[Dimittenddato].[Dimittenddato].&amp;[2019-07-27T00:00:00]" c="27-07-2019"/>
        <s v="[Dimittenddato].[Dimittenddato].&amp;[2018-08-24T00:00:00]" c="24-08-2018"/>
        <s v="[Dimittenddato].[Dimittenddato].&amp;[2018-06-21T00:00:00]" c="21-06-2018"/>
        <s v="[Dimittenddato].[Dimittenddato].&amp;[2017-07-19T00:00:00]" c="19-07-2017"/>
        <s v="[Dimittenddato].[Dimittenddato].&amp;[2016-08-16T00:00:00]" c="16-08-2016"/>
        <s v="[Dimittenddato].[Dimittenddato].&amp;[2016-06-24T00:00:00]" c="24-06-2016"/>
        <s v="[Dimittenddato].[Dimittenddato].&amp;[2016-06-08T00:00:00]" c="08-06-2016"/>
        <s v="[Dimittenddato].[Dimittenddato].&amp;[2015-08-23T00:00:00]" c="23-08-2015"/>
        <s v="[Dimittenddato].[Dimittenddato].&amp;[2015-08-07T00:00:00]" c="07-08-2015"/>
        <s v="[Dimittenddato].[Dimittenddato].&amp;[2015-07-22T00:00:00]" c="22-07-2015"/>
        <s v="[Dimittenddato].[Dimittenddato].&amp;[2015-07-06T00:00:00]" c="06-07-2015"/>
        <s v="[Dimittenddato].[Dimittenddato].&amp;[2015-06-20T00:00:00]" c="20-06-2015"/>
        <s v="[Dimittenddato].[Dimittenddato].&amp;[2015-06-04T00:00:00]" c="04-06-2015"/>
        <s v="[Dimittenddato].[Dimittenddato].&amp;[2014-08-19T00:00:00]" c="19-08-2014"/>
        <s v="[Dimittenddato].[Dimittenddato].&amp;[2014-08-03T00:00:00]" c="03-08-2014"/>
        <s v="[Dimittenddato].[Dimittenddato].&amp;[2014-07-18T00:00:00]" c="18-07-2014"/>
        <s v="[Dimittenddato].[Dimittenddato].&amp;[2014-07-06T00:00:00]" c="06-07-2014"/>
        <s v="[Dimittenddato].[Dimittenddato].&amp;[2014-06-30T00:00:00]" c="30-06-2014"/>
        <s v="[Dimittenddato].[Dimittenddato].&amp;[2014-06-25T00:00:00]" c="25-06-2014"/>
        <s v="[Dimittenddato].[Dimittenddato].&amp;[2014-06-20T00:00:00]" c="20-06-2014"/>
        <s v="[Dimittenddato].[Dimittenddato].&amp;[2014-06-14T00:00:00]" c="14-06-2014"/>
        <s v="[Dimittenddato].[Dimittenddato].&amp;[2014-06-09T00:00:00]" c="09-06-2014"/>
        <s v="[Dimittenddato].[Dimittenddato].&amp;[2014-06-04T00:00:00]" c="04-06-2014"/>
        <s v="[Dimittenddato].[Dimittenddato].&amp;[2013-08-29T00:00:00]" c="29-08-2013"/>
        <s v="[Dimittenddato].[Dimittenddato].&amp;[2013-08-24T00:00:00]" c="24-08-2013"/>
        <s v="[Dimittenddato].[Dimittenddato].&amp;[2013-08-19T00:00:00]" c="19-08-2013"/>
        <s v="[Dimittenddato].[Dimittenddato].&amp;[2013-08-13T00:00:00]" c="13-08-2013"/>
        <s v="[Dimittenddato].[Dimittenddato].&amp;[2013-08-08T00:00:00]" c="08-08-2013"/>
        <s v="[Dimittenddato].[Dimittenddato].&amp;[2013-08-03T00:00:00]" c="03-08-2013"/>
        <s v="[Dimittenddato].[Dimittenddato].&amp;[2013-07-28T00:00:00]" c="28-07-2013"/>
        <s v="[Dimittenddato].[Dimittenddato].&amp;[2013-07-23T00:00:00]" c="23-07-2013"/>
        <s v="[Dimittenddato].[Dimittenddato].&amp;[2013-07-18T00:00:00]" c="18-07-2013"/>
        <s v="[Dimittenddato].[Dimittenddato].&amp;[2013-07-12T00:00:00]" c="12-07-2013"/>
        <s v="[Dimittenddato].[Dimittenddato].&amp;[2013-07-07T00:00:00]" c="07-07-2013"/>
        <s v="[Dimittenddato].[Dimittenddato].&amp;[2013-07-02T00:00:00]" c="02-07-2013"/>
        <s v="[Dimittenddato].[Dimittenddato].&amp;[2013-06-26T00:00:00]" c="26-06-2013"/>
        <s v="[Dimittenddato].[Dimittenddato].&amp;[2013-06-21T00:00:00]" c="21-06-2013"/>
        <s v="[Dimittenddato].[Dimittenddato].&amp;[2013-06-16T00:00:00]" c="16-06-2013"/>
        <s v="[Dimittenddato].[Dimittenddato].&amp;[2013-06-10T00:00:00]" c="10-06-2013"/>
        <s v="[Dimittenddato].[Dimittenddato].&amp;[2013-06-05T00:00:00]" c="05-06-2013"/>
        <s v="[Dimittenddato].[Dimittenddato].&amp;[2012-08-31T00:00:00]" c="31-08-2012"/>
        <s v="[Dimittenddato].[Dimittenddato].&amp;[2012-08-25T00:00:00]" c="25-08-2012"/>
        <s v="[Dimittenddato].[Dimittenddato].&amp;[2012-08-20T00:00:00]" c="20-08-2012"/>
        <s v="[Dimittenddato].[Dimittenddato].&amp;[2012-08-15T00:00:00]" c="15-08-2012"/>
        <s v="[Dimittenddato].[Dimittenddato].&amp;[2012-08-09T00:00:00]" c="09-08-2012"/>
        <s v="[Dimittenddato].[Dimittenddato].&amp;[2012-08-04T00:00:00]" c="04-08-2012"/>
        <s v="[Dimittenddato].[Dimittenddato].&amp;[2012-07-30T00:00:00]" c="30-07-2012"/>
        <s v="[Dimittenddato].[Dimittenddato].&amp;[2012-07-24T00:00:00]" c="24-07-2012"/>
        <s v="[Dimittenddato].[Dimittenddato].&amp;[2012-07-19T00:00:00]" c="19-07-2012"/>
        <s v="[Dimittenddato].[Dimittenddato].&amp;[2012-07-14T00:00:00]" c="14-07-2012"/>
        <s v="[Dimittenddato].[Dimittenddato].&amp;[2012-07-08T00:00:00]" c="08-07-2012"/>
        <s v="[Dimittenddato].[Dimittenddato].&amp;[2012-07-03T00:00:00]" c="03-07-2012"/>
        <s v="[Dimittenddato].[Dimittenddato].&amp;[2012-06-28T00:00:00]" c="28-06-2012"/>
        <s v="[Dimittenddato].[Dimittenddato].&amp;[2012-06-22T00:00:00]" c="22-06-2012"/>
        <s v="[Dimittenddato].[Dimittenddato].&amp;[2012-06-17T00:00:00]" c="17-06-2012"/>
        <s v="[Dimittenddato].[Dimittenddato].&amp;[2012-06-12T00:00:00]" c="12-06-2012"/>
        <s v="[Dimittenddato].[Dimittenddato].&amp;[2012-06-08T00:00:00]" c="08-06-2012"/>
        <s v="[Dimittenddato].[Dimittenddato].&amp;[2012-06-04T00:00:00]" c="04-06-2012"/>
        <s v="[Dimittenddato].[Dimittenddato].&amp;[2011-08-31T00:00:00]" c="31-08-2011"/>
        <s v="[Dimittenddato].[Dimittenddato].&amp;[2011-08-27T00:00:00]" c="27-08-2011"/>
        <s v="[Dimittenddato].[Dimittenddato].&amp;[2011-08-23T00:00:00]" c="23-08-2011"/>
        <s v="[Dimittenddato].[Dimittenddato].&amp;[2011-08-19T00:00:00]" c="19-08-2011"/>
        <s v="[Dimittenddato].[Dimittenddato].&amp;[2011-08-15T00:00:00]" c="15-08-2011"/>
        <s v="[Dimittenddato].[Dimittenddato].&amp;[2011-08-11T00:00:00]" c="11-08-2011"/>
        <s v="[Dimittenddato].[Dimittenddato].&amp;[2011-08-07T00:00:00]" c="07-08-2011"/>
        <s v="[Dimittenddato].[Dimittenddato].&amp;[2011-08-03T00:00:00]" c="03-08-2011"/>
        <s v="[Dimittenddato].[Dimittenddato].&amp;[2011-07-30T00:00:00]" c="30-07-2011"/>
        <s v="[Dimittenddato].[Dimittenddato].&amp;[2011-07-26T00:00:00]" c="26-07-2011"/>
        <s v="[Dimittenddato].[Dimittenddato].&amp;[2011-07-22T00:00:00]" c="22-07-2011"/>
        <s v="[Dimittenddato].[Dimittenddato].&amp;[2011-07-18T00:00:00]" c="18-07-2011"/>
        <s v="[Dimittenddato].[Dimittenddato].&amp;[2011-07-14T00:00:00]" c="14-07-2011"/>
        <s v="[Dimittenddato].[Dimittenddato].&amp;[2011-07-10T00:00:00]" c="10-07-2011"/>
        <s v="[Dimittenddato].[Dimittenddato].&amp;[2011-07-06T00:00:00]" c="06-07-2011"/>
        <s v="[Dimittenddato].[Dimittenddato].&amp;[2011-07-02T00:00:00]" c="02-07-2011"/>
        <s v="[Dimittenddato].[Dimittenddato].&amp;[2011-06-28T00:00:00]" c="28-06-2011"/>
        <s v="[Dimittenddato].[Dimittenddato].&amp;[2011-06-24T00:00:00]" c="24-06-2011"/>
        <s v="[Dimittenddato].[Dimittenddato].&amp;[2011-06-20T00:00:00]" c="20-06-2011"/>
        <s v="[Dimittenddato].[Dimittenddato].&amp;[2011-06-16T00:00:00]" c="16-06-2011"/>
        <s v="[Dimittenddato].[Dimittenddato].&amp;[2020-08-16T00:00:00]" c="16-08-2020"/>
        <s v="[Dimittenddato].[Dimittenddato].&amp;[2020-06-13T00:00:00]" c="13-06-2020"/>
        <s v="[Dimittenddato].[Dimittenddato].&amp;[2019-07-11T00:00:00]" c="11-07-2019"/>
        <s v="[Dimittenddato].[Dimittenddato].&amp;[2018-08-08T00:00:00]" c="08-08-2018"/>
        <s v="[Dimittenddato].[Dimittenddato].&amp;[2018-06-05T00:00:00]" c="05-06-2018"/>
        <s v="[Dimittenddato].[Dimittenddato].&amp;[2017-07-03T00:00:00]" c="03-07-2017"/>
        <s v="[Dimittenddato].[Dimittenddato].&amp;[2016-07-31T00:00:00]" c="31-07-2016"/>
        <s v="[Dimittenddato].[Dimittenddato].&amp;[2016-06-20T00:00:00]" c="20-06-2016"/>
        <s v="[Dimittenddato].[Dimittenddato].&amp;[2016-06-04T00:00:00]" c="04-06-2016"/>
        <s v="[Dimittenddato].[Dimittenddato].&amp;[2015-08-19T00:00:00]" c="19-08-2015"/>
        <s v="[Dimittenddato].[Dimittenddato].&amp;[2015-08-03T00:00:00]" c="03-08-2015"/>
        <s v="[Dimittenddato].[Dimittenddato].&amp;[2015-07-18T00:00:00]" c="18-07-2015"/>
        <s v="[Dimittenddato].[Dimittenddato].&amp;[2015-07-02T00:00:00]" c="02-07-2015"/>
        <s v="[Dimittenddato].[Dimittenddato].&amp;[2015-06-16T00:00:00]" c="16-06-2015"/>
        <s v="[Dimittenddato].[Dimittenddato].&amp;[2014-08-31T00:00:00]" c="31-08-2014"/>
        <s v="[Dimittenddato].[Dimittenddato].&amp;[2014-08-15T00:00:00]" c="15-08-2014"/>
        <s v="[Dimittenddato].[Dimittenddato].&amp;[2014-07-30T00:00:00]" c="30-07-2014"/>
        <s v="[Dimittenddato].[Dimittenddato].&amp;[2014-07-14T00:00:00]" c="14-07-2014"/>
        <s v="[Dimittenddato].[Dimittenddato].&amp;[2014-07-04T00:00:00]" c="04-07-2014"/>
        <s v="[Dimittenddato].[Dimittenddato].&amp;[2014-06-29T00:00:00]" c="29-06-2014"/>
        <s v="[Dimittenddato].[Dimittenddato].&amp;[2014-06-24T00:00:00]" c="24-06-2014"/>
        <s v="[Dimittenddato].[Dimittenddato].&amp;[2014-06-18T00:00:00]" c="18-06-2014"/>
        <s v="[Dimittenddato].[Dimittenddato].&amp;[2014-06-13T00:00:00]" c="13-06-2014"/>
        <s v="[Dimittenddato].[Dimittenddato].&amp;[2014-06-08T00:00:00]" c="08-06-2014"/>
        <s v="[Dimittenddato].[Dimittenddato].&amp;[2014-06-02T00:00:00]" c="02-06-2014"/>
        <s v="[Dimittenddato].[Dimittenddato].&amp;[2013-08-28T00:00:00]" c="28-08-2013"/>
        <s v="[Dimittenddato].[Dimittenddato].&amp;[2013-08-23T00:00:00]" c="23-08-2013"/>
        <s v="[Dimittenddato].[Dimittenddato].&amp;[2013-08-17T00:00:00]" c="17-08-2013"/>
        <s v="[Dimittenddato].[Dimittenddato].&amp;[2013-08-12T00:00:00]" c="12-08-2013"/>
        <s v="[Dimittenddato].[Dimittenddato].&amp;[2013-08-07T00:00:00]" c="07-08-2013"/>
        <s v="[Dimittenddato].[Dimittenddato].&amp;[2013-08-01T00:00:00]" c="01-08-2013"/>
        <s v="[Dimittenddato].[Dimittenddato].&amp;[2013-07-27T00:00:00]" c="27-07-2013"/>
        <s v="[Dimittenddato].[Dimittenddato].&amp;[2013-07-22T00:00:00]" c="22-07-2013"/>
        <s v="[Dimittenddato].[Dimittenddato].&amp;[2013-07-16T00:00:00]" c="16-07-2013"/>
        <s v="[Dimittenddato].[Dimittenddato].&amp;[2013-07-11T00:00:00]" c="11-07-2013"/>
        <s v="[Dimittenddato].[Dimittenddato].&amp;[2013-07-06T00:00:00]" c="06-07-2013"/>
        <s v="[Dimittenddato].[Dimittenddato].&amp;[2013-06-30T00:00:00]" c="30-06-2013"/>
        <s v="[Dimittenddato].[Dimittenddato].&amp;[2013-06-25T00:00:00]" c="25-06-2013"/>
        <s v="[Dimittenddato].[Dimittenddato].&amp;[2013-06-20T00:00:00]" c="20-06-2013"/>
        <s v="[Dimittenddato].[Dimittenddato].&amp;[2013-06-14T00:00:00]" c="14-06-2013"/>
        <s v="[Dimittenddato].[Dimittenddato].&amp;[2013-06-09T00:00:00]" c="09-06-2013"/>
        <s v="[Dimittenddato].[Dimittenddato].&amp;[2013-06-04T00:00:00]" c="04-06-2013"/>
        <s v="[Dimittenddato].[Dimittenddato].&amp;[2012-08-29T00:00:00]" c="29-08-2012"/>
        <s v="[Dimittenddato].[Dimittenddato].&amp;[2012-08-24T00:00:00]" c="24-08-2012"/>
        <s v="[Dimittenddato].[Dimittenddato].&amp;[2012-08-19T00:00:00]" c="19-08-2012"/>
        <s v="[Dimittenddato].[Dimittenddato].&amp;[2012-08-13T00:00:00]" c="13-08-2012"/>
        <s v="[Dimittenddato].[Dimittenddato].&amp;[2012-08-08T00:00:00]" c="08-08-2012"/>
        <s v="[Dimittenddato].[Dimittenddato].&amp;[2012-08-03T00:00:00]" c="03-08-2012"/>
        <s v="[Dimittenddato].[Dimittenddato].&amp;[2012-07-28T00:00:00]" c="28-07-2012"/>
        <s v="[Dimittenddato].[Dimittenddato].&amp;[2012-07-23T00:00:00]" c="23-07-2012"/>
        <s v="[Dimittenddato].[Dimittenddato].&amp;[2012-07-18T00:00:00]" c="18-07-2012"/>
        <s v="[Dimittenddato].[Dimittenddato].&amp;[2012-07-12T00:00:00]" c="12-07-2012"/>
        <s v="[Dimittenddato].[Dimittenddato].&amp;[2012-07-07T00:00:00]" c="07-07-2012"/>
        <s v="[Dimittenddato].[Dimittenddato].&amp;[2012-07-02T00:00:00]" c="02-07-2012"/>
        <s v="[Dimittenddato].[Dimittenddato].&amp;[2012-06-26T00:00:00]" c="26-06-2012"/>
        <s v="[Dimittenddato].[Dimittenddato].&amp;[2012-06-21T00:00:00]" c="21-06-2012"/>
        <s v="[Dimittenddato].[Dimittenddato].&amp;[2012-06-16T00:00:00]" c="16-06-2012"/>
        <s v="[Dimittenddato].[Dimittenddato].&amp;[2012-06-11T00:00:00]" c="11-06-2012"/>
        <s v="[Dimittenddato].[Dimittenddato].&amp;[2012-06-07T00:00:00]" c="07-06-2012"/>
        <s v="[Dimittenddato].[Dimittenddato].&amp;[2012-06-03T00:00:00]" c="03-06-2012"/>
        <s v="[Dimittenddato].[Dimittenddato].&amp;[2011-08-30T00:00:00]" c="30-08-2011"/>
        <s v="[Dimittenddato].[Dimittenddato].&amp;[2011-08-26T00:00:00]" c="26-08-2011"/>
        <s v="[Dimittenddato].[Dimittenddato].&amp;[2011-08-22T00:00:00]" c="22-08-2011"/>
        <s v="[Dimittenddato].[Dimittenddato].&amp;[2011-08-18T00:00:00]" c="18-08-2011"/>
        <s v="[Dimittenddato].[Dimittenddato].&amp;[2011-08-14T00:00:00]" c="14-08-2011"/>
        <s v="[Dimittenddato].[Dimittenddato].&amp;[2011-08-10T00:00:00]" c="10-08-2011"/>
        <s v="[Dimittenddato].[Dimittenddato].&amp;[2011-08-06T00:00:00]" c="06-08-2011"/>
        <s v="[Dimittenddato].[Dimittenddato].&amp;[2011-08-02T00:00:00]" c="02-08-2011"/>
        <s v="[Dimittenddato].[Dimittenddato].&amp;[2011-07-29T00:00:00]" c="29-07-2011"/>
        <s v="[Dimittenddato].[Dimittenddato].&amp;[2011-07-25T00:00:00]" c="25-07-2011"/>
        <s v="[Dimittenddato].[Dimittenddato].&amp;[2011-07-21T00:00:00]" c="21-07-2011"/>
        <s v="[Dimittenddato].[Dimittenddato].&amp;[2011-07-17T00:00:00]" c="17-07-2011"/>
        <s v="[Dimittenddato].[Dimittenddato].&amp;[2011-07-13T00:00:00]" c="13-07-2011"/>
        <s v="[Dimittenddato].[Dimittenddato].&amp;[2011-07-09T00:00:00]" c="09-07-2011"/>
        <s v="[Dimittenddato].[Dimittenddato].&amp;[2011-07-05T00:00:00]" c="05-07-2011"/>
        <s v="[Dimittenddato].[Dimittenddato].&amp;[2011-07-01T00:00:00]" c="01-07-2011"/>
        <s v="[Dimittenddato].[Dimittenddato].&amp;[2011-06-27T00:00:00]" c="27-06-2011"/>
        <s v="[Dimittenddato].[Dimittenddato].&amp;[2011-06-23T00:00:00]" c="23-06-2011"/>
        <s v="[Dimittenddato].[Dimittenddato].&amp;[2011-06-19T00:00:00]" c="19-06-2011"/>
        <s v="[Dimittenddato].[Dimittenddato].&amp;[2011-06-15T00:00:00]" c="15-06-2011"/>
        <s v="[Dimittenddato].[Dimittenddato].&amp;[2011-06-11T00:00:00]" c="11-06-2011"/>
        <s v="[Dimittenddato].[Dimittenddato].&amp;[2011-06-07T00:00:00]" c="07-06-2011"/>
        <s v="[Dimittenddato].[Dimittenddato].&amp;[2020-07-31T00:00:00]" c="31-07-2020"/>
        <s v="[Dimittenddato].[Dimittenddato].&amp;[2019-08-28T00:00:00]" c="28-08-2019"/>
        <s v="[Dimittenddato].[Dimittenddato].&amp;[2019-06-25T00:00:00]" c="25-06-2019"/>
        <s v="[Dimittenddato].[Dimittenddato].&amp;[2018-07-23T00:00:00]" c="23-07-2018"/>
        <s v="[Dimittenddato].[Dimittenddato].&amp;[2017-08-20T00:00:00]" c="20-08-2017"/>
        <s v="[Dimittenddato].[Dimittenddato].&amp;[2017-06-17T00:00:00]" c="17-06-2017"/>
        <s v="[Dimittenddato].[Dimittenddato].&amp;[2016-07-15T00:00:00]" c="15-07-2016"/>
        <s v="[Dimittenddato].[Dimittenddato].&amp;[2016-06-16T00:00:00]" c="16-06-2016"/>
        <s v="[Dimittenddato].[Dimittenddato].&amp;[2015-08-31T00:00:00]" c="31-08-2015"/>
        <s v="[Dimittenddato].[Dimittenddato].&amp;[2015-08-15T00:00:00]" c="15-08-2015"/>
        <s v="[Dimittenddato].[Dimittenddato].&amp;[2015-07-30T00:00:00]" c="30-07-2015"/>
        <s v="[Dimittenddato].[Dimittenddato].&amp;[2015-07-14T00:00:00]" c="14-07-2015"/>
        <s v="[Dimittenddato].[Dimittenddato].&amp;[2015-06-28T00:00:00]" c="28-06-2015"/>
        <s v="[Dimittenddato].[Dimittenddato].&amp;[2015-06-12T00:00:00]" c="12-06-2015"/>
        <s v="[Dimittenddato].[Dimittenddato].&amp;[2014-08-27T00:00:00]" c="27-08-2014"/>
        <s v="[Dimittenddato].[Dimittenddato].&amp;[2014-08-11T00:00:00]" c="11-08-2014"/>
        <s v="[Dimittenddato].[Dimittenddato].&amp;[2014-07-26T00:00:00]" c="26-07-2014"/>
        <s v="[Dimittenddato].[Dimittenddato].&amp;[2014-07-10T00:00:00]" c="10-07-2014"/>
        <s v="[Dimittenddato].[Dimittenddato].&amp;[2014-07-03T00:00:00]" c="03-07-2014"/>
        <s v="[Dimittenddato].[Dimittenddato].&amp;[2014-06-28T00:00:00]" c="28-06-2014"/>
        <s v="[Dimittenddato].[Dimittenddato].&amp;[2014-06-22T00:00:00]" c="22-06-2014"/>
        <s v="[Dimittenddato].[Dimittenddato].&amp;[2014-06-17T00:00:00]" c="17-06-2014"/>
        <s v="[Dimittenddato].[Dimittenddato].&amp;[2014-06-12T00:00:00]" c="12-06-2014"/>
        <s v="[Dimittenddato].[Dimittenddato].&amp;[2014-06-06T00:00:00]" c="06-06-2014"/>
        <s v="[Dimittenddato].[Dimittenddato].&amp;[2014-06-01T00:00:00]" c="01-06-2014"/>
        <s v="[Dimittenddato].[Dimittenddato].&amp;[2013-08-27T00:00:00]" c="27-08-2013"/>
        <s v="[Dimittenddato].[Dimittenddato].&amp;[2013-08-21T00:00:00]" c="21-08-2013"/>
        <s v="[Dimittenddato].[Dimittenddato].&amp;[2013-08-16T00:00:00]" c="16-08-2013"/>
        <s v="[Dimittenddato].[Dimittenddato].&amp;[2013-08-11T00:00:00]" c="11-08-2013"/>
        <s v="[Dimittenddato].[Dimittenddato].&amp;[2013-08-05T00:00:00]" c="05-08-2013"/>
        <s v="[Dimittenddato].[Dimittenddato].&amp;[2013-07-31T00:00:00]" c="31-07-2013"/>
        <s v="[Dimittenddato].[Dimittenddato].&amp;[2013-07-26T00:00:00]" c="26-07-2013"/>
        <s v="[Dimittenddato].[Dimittenddato].&amp;[2013-07-20T00:00:00]" c="20-07-2013"/>
        <s v="[Dimittenddato].[Dimittenddato].&amp;[2013-07-15T00:00:00]" c="15-07-2013"/>
        <s v="[Dimittenddato].[Dimittenddato].&amp;[2013-07-10T00:00:00]" c="10-07-2013"/>
        <s v="[Dimittenddato].[Dimittenddato].&amp;[2013-07-04T00:00:00]" c="04-07-2013"/>
        <s v="[Dimittenddato].[Dimittenddato].&amp;[2013-06-29T00:00:00]" c="29-06-2013"/>
        <s v="[Dimittenddato].[Dimittenddato].&amp;[2013-06-24T00:00:00]" c="24-06-2013"/>
        <s v="[Dimittenddato].[Dimittenddato].&amp;[2013-06-18T00:00:00]" c="18-06-2013"/>
        <s v="[Dimittenddato].[Dimittenddato].&amp;[2013-06-13T00:00:00]" c="13-06-2013"/>
        <s v="[Dimittenddato].[Dimittenddato].&amp;[2013-06-08T00:00:00]" c="08-06-2013"/>
        <s v="[Dimittenddato].[Dimittenddato].&amp;[2013-06-02T00:00:00]" c="02-06-2013"/>
        <s v="[Dimittenddato].[Dimittenddato].&amp;[2012-08-28T00:00:00]" c="28-08-2012"/>
        <s v="[Dimittenddato].[Dimittenddato].&amp;[2012-08-23T00:00:00]" c="23-08-2012"/>
        <s v="[Dimittenddato].[Dimittenddato].&amp;[2012-08-17T00:00:00]" c="17-08-2012"/>
        <s v="[Dimittenddato].[Dimittenddato].&amp;[2012-08-12T00:00:00]" c="12-08-2012"/>
        <s v="[Dimittenddato].[Dimittenddato].&amp;[2012-08-07T00:00:00]" c="07-08-2012"/>
        <s v="[Dimittenddato].[Dimittenddato].&amp;[2012-08-01T00:00:00]" c="01-08-2012"/>
        <s v="[Dimittenddato].[Dimittenddato].&amp;[2012-07-27T00:00:00]" c="27-07-2012"/>
        <s v="[Dimittenddato].[Dimittenddato].&amp;[2012-07-22T00:00:00]" c="22-07-2012"/>
        <s v="[Dimittenddato].[Dimittenddato].&amp;[2012-07-16T00:00:00]" c="16-07-2012"/>
        <s v="[Dimittenddato].[Dimittenddato].&amp;[2012-07-11T00:00:00]" c="11-07-2012"/>
        <s v="[Dimittenddato].[Dimittenddato].&amp;[2012-07-06T00:00:00]" c="06-07-2012"/>
        <s v="[Dimittenddato].[Dimittenddato].&amp;[2012-06-30T00:00:00]" c="30-06-2012"/>
        <s v="[Dimittenddato].[Dimittenddato].&amp;[2012-06-25T00:00:00]" c="25-06-2012"/>
        <s v="[Dimittenddato].[Dimittenddato].&amp;[2012-06-20T00:00:00]" c="20-06-2012"/>
        <s v="[Dimittenddato].[Dimittenddato].&amp;[2012-06-14T00:00:00]" c="14-06-2012"/>
        <s v="[Dimittenddato].[Dimittenddato].&amp;[2012-06-10T00:00:00]" c="10-06-2012"/>
        <s v="[Dimittenddato].[Dimittenddato].&amp;[2012-06-06T00:00:00]" c="06-06-2012"/>
        <s v="[Dimittenddato].[Dimittenddato].&amp;[2012-06-02T00:00:00]" c="02-06-2012"/>
        <s v="[Dimittenddato].[Dimittenddato].&amp;[2011-08-29T00:00:00]" c="29-08-2011"/>
        <s v="[Dimittenddato].[Dimittenddato].&amp;[2011-08-25T00:00:00]" c="25-08-2011"/>
        <s v="[Dimittenddato].[Dimittenddato].&amp;[2011-08-21T00:00:00]" c="21-08-2011"/>
        <s v="[Dimittenddato].[Dimittenddato].&amp;[2011-08-17T00:00:00]" c="17-08-2011"/>
        <s v="[Dimittenddato].[Dimittenddato].&amp;[2011-08-13T00:00:00]" c="13-08-2011"/>
        <s v="[Dimittenddato].[Dimittenddato].&amp;[2011-08-09T00:00:00]" c="09-08-2011"/>
        <s v="[Dimittenddato].[Dimittenddato].&amp;[2011-08-05T00:00:00]" c="05-08-2011"/>
        <s v="[Dimittenddato].[Dimittenddato].&amp;[2011-08-01T00:00:00]" c="01-08-2011"/>
        <s v="[Dimittenddato].[Dimittenddato].&amp;[2011-07-28T00:00:00]" c="28-07-2011"/>
        <s v="[Dimittenddato].[Dimittenddato].&amp;[2011-07-24T00:00:00]" c="24-07-2011"/>
        <s v="[Dimittenddato].[Dimittenddato].&amp;[2011-07-20T00:00:00]" c="20-07-2011"/>
        <s v="[Dimittenddato].[Dimittenddato].&amp;[2011-07-16T00:00:00]" c="16-07-2011"/>
        <s v="[Dimittenddato].[Dimittenddato].&amp;[2011-07-12T00:00:00]" c="12-07-2011"/>
        <s v="[Dimittenddato].[Dimittenddato].&amp;[2011-07-08T00:00:00]" c="08-07-2011"/>
        <s v="[Dimittenddato].[Dimittenddato].&amp;[2011-07-04T00:00:00]" c="04-07-2011"/>
        <s v="[Dimittenddato].[Dimittenddato].&amp;[2011-06-30T00:00:00]" c="30-06-2011"/>
        <s v="[Dimittenddato].[Dimittenddato].&amp;[2011-06-26T00:00:00]" c="26-06-2011"/>
        <s v="[Dimittenddato].[Dimittenddato].&amp;[2011-06-22T00:00:00]" c="22-06-2011"/>
        <s v="[Dimittenddato].[Dimittenddato].&amp;[2011-06-18T00:00:00]" c="18-06-2011"/>
        <s v="[Dimittenddato].[Dimittenddato].&amp;[2011-06-14T00:00:00]" c="14-06-2011"/>
        <s v="[Dimittenddato].[Dimittenddato].&amp;[2011-06-10T00:00:00]" c="10-06-2011"/>
        <s v="[Dimittenddato].[Dimittenddato].&amp;[2011-06-06T00:00:00]" c="06-06-2011"/>
        <s v="[Dimittenddato].[Dimittenddato].&amp;[2011-06-02T00:00:00]" c="02-06-2011"/>
        <s v="[Dimittenddato].[Dimittenddato].&amp;[2010-08-29T00:00:00]" c="29-08-2010"/>
        <s v="[Dimittenddato].[Dimittenddato].&amp;[2010-08-25T00:00:00]" c="25-08-2010"/>
        <s v="[Dimittenddato].[Dimittenddato].&amp;[2010-08-21T00:00:00]" c="21-08-2010"/>
        <s v="[Dimittenddato].[Dimittenddato].&amp;[2010-08-17T00:00:00]" c="17-08-2010"/>
        <s v="[Dimittenddato].[Dimittenddato].&amp;[2010-08-13T00:00:00]" c="13-08-2010"/>
        <s v="[Dimittenddato].[Dimittenddato].&amp;[2010-08-09T00:00:00]" c="09-08-2010"/>
        <s v="[Dimittenddato].[Dimittenddato].&amp;[2010-08-05T00:00:00]" c="05-08-2010"/>
        <s v="[Dimittenddato].[Dimittenddato].&amp;[2010-08-01T00:00:00]" c="01-08-2010"/>
        <s v="[Dimittenddato].[Dimittenddato].&amp;[2010-07-28T00:00:00]" c="28-07-2010"/>
        <s v="[Dimittenddato].[Dimittenddato].&amp;[2010-07-24T00:00:00]" c="24-07-2010"/>
        <s v="[Dimittenddato].[Dimittenddato].&amp;[2010-07-20T00:00:00]" c="20-07-2010"/>
        <s v="[Dimittenddato].[Dimittenddato].&amp;[2010-07-16T00:00:00]" c="16-07-2010"/>
        <s v="[Dimittenddato].[Dimittenddato].&amp;[2010-07-12T00:00:00]" c="12-07-2010"/>
        <s v="[Dimittenddato].[Dimittenddato].&amp;[2010-07-08T00:00:00]" c="08-07-2010"/>
        <s v="[Dimittenddato].[Dimittenddato].&amp;[2010-07-04T00:00:00]" c="04-07-2010"/>
        <s v="[Dimittenddato].[Dimittenddato].&amp;[2010-06-30T00:00:00]" c="30-06-2010"/>
        <s v="[Dimittenddato].[Dimittenddato].&amp;[2010-06-26T00:00:00]" c="26-06-2010"/>
        <s v="[Dimittenddato].[Dimittenddato].&amp;[2010-06-22T00:00:00]" c="22-06-2010"/>
        <s v="[Dimittenddato].[Dimittenddato].&amp;[2010-06-18T00:00:00]" c="18-06-2010"/>
        <s v="[Dimittenddato].[Dimittenddato].&amp;[2010-06-14T00:00:00]" c="14-06-2010"/>
        <s v="[Dimittenddato].[Dimittenddato].&amp;[2010-06-10T00:00:00]" c="10-06-2010"/>
        <s v="[Dimittenddato].[Dimittenddato].&amp;[2010-06-06T00:00:00]" c="06-06-2010"/>
        <s v="[Dimittenddato].[Dimittenddato].&amp;[2010-06-02T00:00:00]" c="02-06-2010"/>
        <s v="[Dimittenddato].[Dimittenddato].&amp;[2009-08-29T00:00:00]" c="29-08-2009"/>
        <s v="[Dimittenddato].[Dimittenddato].&amp;[2009-08-25T00:00:00]" c="25-08-2009"/>
        <s v="[Dimittenddato].[Dimittenddato].&amp;[2009-08-21T00:00:00]" c="21-08-2009"/>
        <s v="[Dimittenddato].[Dimittenddato].&amp;[2009-08-17T00:00:00]" c="17-08-2009"/>
        <s v="[Dimittenddato].[Dimittenddato].&amp;[2009-08-13T00:00:00]" c="13-08-2009"/>
        <s v="[Dimittenddato].[Dimittenddato].&amp;[2009-08-09T00:00:00]" c="09-08-2009"/>
        <s v="[Dimittenddato].[Dimittenddato].&amp;[2009-08-05T00:00:00]" c="05-08-2009"/>
        <s v="[Dimittenddato].[Dimittenddato].&amp;[2009-08-01T00:00:00]" c="01-08-2009"/>
        <s v="[Dimittenddato].[Dimittenddato].&amp;[2009-07-28T00:00:00]" c="28-07-2009"/>
        <s v="[Dimittenddato].[Dimittenddato].&amp;[2009-07-24T00:00:00]" c="24-07-2009"/>
        <s v="[Dimittenddato].[Dimittenddato].&amp;[2009-07-20T00:00:00]" c="20-07-2009"/>
        <s v="[Dimittenddato].[Dimittenddato].&amp;[2009-07-16T00:00:00]" c="16-07-2009"/>
        <s v="[Dimittenddato].[Dimittenddato].&amp;[2009-07-12T00:00:00]" c="12-07-2009"/>
        <s v="[Dimittenddato].[Dimittenddato].&amp;[2009-07-08T00:00:00]" c="08-07-2009"/>
        <s v="[Dimittenddato].[Dimittenddato].&amp;[2009-07-04T00:00:00]" c="04-07-2009"/>
        <s v="[Dimittenddato].[Dimittenddato].&amp;[2009-06-30T00:00:00]" c="30-06-2009"/>
        <s v="[Dimittenddato].[Dimittenddato].&amp;[2009-06-26T00:00:00]" c="26-06-2009"/>
        <s v="[Dimittenddato].[Dimittenddato].&amp;[2009-06-22T00:00:00]" c="22-06-2009"/>
        <s v="[Dimittenddato].[Dimittenddato].&amp;[2009-06-18T00:00:00]" c="18-06-2009"/>
        <s v="[Dimittenddato].[Dimittenddato].&amp;[2009-06-14T00:00:00]" c="14-06-2009"/>
        <s v="[Dimittenddato].[Dimittenddato].&amp;[2018-07-07T00:00:00]" c="07-07-2018"/>
        <s v="[Dimittenddato].[Dimittenddato].&amp;[2016-06-12T00:00:00]" c="12-06-2016"/>
        <s v="[Dimittenddato].[Dimittenddato].&amp;[2015-07-10T00:00:00]" c="10-07-2015"/>
        <s v="[Dimittenddato].[Dimittenddato].&amp;[2014-08-07T00:00:00]" c="07-08-2014"/>
        <s v="[Dimittenddato].[Dimittenddato].&amp;[2014-06-26T00:00:00]" c="26-06-2014"/>
        <s v="[Dimittenddato].[Dimittenddato].&amp;[2014-06-05T00:00:00]" c="05-06-2014"/>
        <s v="[Dimittenddato].[Dimittenddato].&amp;[2013-08-15T00:00:00]" c="15-08-2013"/>
        <s v="[Dimittenddato].[Dimittenddato].&amp;[2013-07-24T00:00:00]" c="24-07-2013"/>
        <s v="[Dimittenddato].[Dimittenddato].&amp;[2013-07-03T00:00:00]" c="03-07-2013"/>
        <s v="[Dimittenddato].[Dimittenddato].&amp;[2013-06-12T00:00:00]" c="12-06-2013"/>
        <s v="[Dimittenddato].[Dimittenddato].&amp;[2012-08-21T00:00:00]" c="21-08-2012"/>
        <s v="[Dimittenddato].[Dimittenddato].&amp;[2012-07-31T00:00:00]" c="31-07-2012"/>
        <s v="[Dimittenddato].[Dimittenddato].&amp;[2012-07-10T00:00:00]" c="10-07-2012"/>
        <s v="[Dimittenddato].[Dimittenddato].&amp;[2012-06-18T00:00:00]" c="18-06-2012"/>
        <s v="[Dimittenddato].[Dimittenddato].&amp;[2012-06-01T00:00:00]" c="01-06-2012"/>
        <s v="[Dimittenddato].[Dimittenddato].&amp;[2011-08-16T00:00:00]" c="16-08-2011"/>
        <s v="[Dimittenddato].[Dimittenddato].&amp;[2011-07-31T00:00:00]" c="31-07-2011"/>
        <s v="[Dimittenddato].[Dimittenddato].&amp;[2011-07-15T00:00:00]" c="15-07-2011"/>
        <s v="[Dimittenddato].[Dimittenddato].&amp;[2011-06-29T00:00:00]" c="29-06-2011"/>
        <s v="[Dimittenddato].[Dimittenddato].&amp;[2011-06-13T00:00:00]" c="13-06-2011"/>
        <s v="[Dimittenddato].[Dimittenddato].&amp;[2011-06-05T00:00:00]" c="05-06-2011"/>
        <s v="[Dimittenddato].[Dimittenddato].&amp;[2010-08-31T00:00:00]" c="31-08-2010"/>
        <s v="[Dimittenddato].[Dimittenddato].&amp;[2010-08-26T00:00:00]" c="26-08-2010"/>
        <s v="[Dimittenddato].[Dimittenddato].&amp;[2010-08-20T00:00:00]" c="20-08-2010"/>
        <s v="[Dimittenddato].[Dimittenddato].&amp;[2010-08-15T00:00:00]" c="15-08-2010"/>
        <s v="[Dimittenddato].[Dimittenddato].&amp;[2010-08-10T00:00:00]" c="10-08-2010"/>
        <s v="[Dimittenddato].[Dimittenddato].&amp;[2010-08-04T00:00:00]" c="04-08-2010"/>
        <s v="[Dimittenddato].[Dimittenddato].&amp;[2010-07-30T00:00:00]" c="30-07-2010"/>
        <s v="[Dimittenddato].[Dimittenddato].&amp;[2010-07-25T00:00:00]" c="25-07-2010"/>
        <s v="[Dimittenddato].[Dimittenddato].&amp;[2010-07-19T00:00:00]" c="19-07-2010"/>
        <s v="[Dimittenddato].[Dimittenddato].&amp;[2010-07-14T00:00:00]" c="14-07-2010"/>
        <s v="[Dimittenddato].[Dimittenddato].&amp;[2010-07-09T00:00:00]" c="09-07-2010"/>
        <s v="[Dimittenddato].[Dimittenddato].&amp;[2010-07-03T00:00:00]" c="03-07-2010"/>
        <s v="[Dimittenddato].[Dimittenddato].&amp;[2010-06-28T00:00:00]" c="28-06-2010"/>
        <s v="[Dimittenddato].[Dimittenddato].&amp;[2010-06-23T00:00:00]" c="23-06-2010"/>
        <s v="[Dimittenddato].[Dimittenddato].&amp;[2010-06-17T00:00:00]" c="17-06-2010"/>
        <s v="[Dimittenddato].[Dimittenddato].&amp;[2010-06-12T00:00:00]" c="12-06-2010"/>
        <s v="[Dimittenddato].[Dimittenddato].&amp;[2010-06-07T00:00:00]" c="07-06-2010"/>
        <s v="[Dimittenddato].[Dimittenddato].&amp;[2010-06-01T00:00:00]" c="01-06-2010"/>
        <s v="[Dimittenddato].[Dimittenddato].&amp;[2009-08-27T00:00:00]" c="27-08-2009"/>
        <s v="[Dimittenddato].[Dimittenddato].&amp;[2009-08-22T00:00:00]" c="22-08-2009"/>
        <s v="[Dimittenddato].[Dimittenddato].&amp;[2009-08-16T00:00:00]" c="16-08-2009"/>
        <s v="[Dimittenddato].[Dimittenddato].&amp;[2009-08-11T00:00:00]" c="11-08-2009"/>
        <s v="[Dimittenddato].[Dimittenddato].&amp;[2009-08-06T00:00:00]" c="06-08-2009"/>
        <s v="[Dimittenddato].[Dimittenddato].&amp;[2009-07-31T00:00:00]" c="31-07-2009"/>
        <s v="[Dimittenddato].[Dimittenddato].&amp;[2009-07-26T00:00:00]" c="26-07-2009"/>
        <s v="[Dimittenddato].[Dimittenddato].&amp;[2009-07-21T00:00:00]" c="21-07-2009"/>
        <s v="[Dimittenddato].[Dimittenddato].&amp;[2009-07-15T00:00:00]" c="15-07-2009"/>
        <s v="[Dimittenddato].[Dimittenddato].&amp;[2009-07-10T00:00:00]" c="10-07-2009"/>
        <s v="[Dimittenddato].[Dimittenddato].&amp;[2009-07-05T00:00:00]" c="05-07-2009"/>
        <s v="[Dimittenddato].[Dimittenddato].&amp;[2009-06-29T00:00:00]" c="29-06-2009"/>
        <s v="[Dimittenddato].[Dimittenddato].&amp;[2009-06-24T00:00:00]" c="24-06-2009"/>
        <s v="[Dimittenddato].[Dimittenddato].&amp;[2009-06-19T00:00:00]" c="19-06-2009"/>
        <s v="[Dimittenddato].[Dimittenddato].&amp;[2009-06-13T00:00:00]" c="13-06-2009"/>
        <s v="[Dimittenddato].[Dimittenddato].&amp;[2009-06-09T00:00:00]" c="09-06-2009"/>
        <s v="[Dimittenddato].[Dimittenddato].&amp;[2009-06-05T00:00:00]" c="05-06-2009"/>
        <s v="[Dimittenddato].[Dimittenddato].&amp;[2009-06-01T00:00:00]" c="01-06-2009"/>
        <s v="[Dimittenddato].[Dimittenddato].&amp;[2008-08-28T00:00:00]" c="28-08-2008"/>
        <s v="[Dimittenddato].[Dimittenddato].&amp;[2008-08-24T00:00:00]" c="24-08-2008"/>
        <s v="[Dimittenddato].[Dimittenddato].&amp;[2008-08-20T00:00:00]" c="20-08-2008"/>
        <s v="[Dimittenddato].[Dimittenddato].&amp;[2008-08-16T00:00:00]" c="16-08-2008"/>
        <s v="[Dimittenddato].[Dimittenddato].&amp;[2008-08-12T00:00:00]" c="12-08-2008"/>
        <s v="[Dimittenddato].[Dimittenddato].&amp;[2008-08-08T00:00:00]" c="08-08-2008"/>
        <s v="[Dimittenddato].[Dimittenddato].&amp;[2008-08-04T00:00:00]" c="04-08-2008"/>
        <s v="[Dimittenddato].[Dimittenddato].&amp;[2008-07-31T00:00:00]" c="31-07-2008"/>
        <s v="[Dimittenddato].[Dimittenddato].&amp;[2008-07-27T00:00:00]" c="27-07-2008"/>
        <s v="[Dimittenddato].[Dimittenddato].&amp;[2008-07-23T00:00:00]" c="23-07-2008"/>
        <s v="[Dimittenddato].[Dimittenddato].&amp;[2008-07-19T00:00:00]" c="19-07-2008"/>
        <s v="[Dimittenddato].[Dimittenddato].&amp;[2008-07-15T00:00:00]" c="15-07-2008"/>
        <s v="[Dimittenddato].[Dimittenddato].&amp;[2008-07-11T00:00:00]" c="11-07-2008"/>
        <s v="[Dimittenddato].[Dimittenddato].&amp;[2008-07-07T00:00:00]" c="07-07-2008"/>
        <s v="[Dimittenddato].[Dimittenddato].&amp;[2008-07-03T00:00:00]" c="03-07-2008"/>
        <s v="[Dimittenddato].[Dimittenddato].&amp;[2008-06-29T00:00:00]" c="29-06-2008"/>
        <s v="[Dimittenddato].[Dimittenddato].&amp;[2008-06-25T00:00:00]" c="25-06-2008"/>
        <s v="[Dimittenddato].[Dimittenddato].&amp;[2008-06-21T00:00:00]" c="21-06-2008"/>
        <s v="[Dimittenddato].[Dimittenddato].&amp;[2008-06-17T00:00:00]" c="17-06-2008"/>
        <s v="[Dimittenddato].[Dimittenddato].&amp;[2008-06-13T00:00:00]" c="13-06-2008"/>
        <s v="[Dimittenddato].[Dimittenddato].&amp;[2008-06-09T00:00:00]" c="09-06-2008"/>
        <s v="[Dimittenddato].[Dimittenddato].&amp;[2008-06-05T00:00:00]" c="05-06-2008"/>
        <s v="[Dimittenddato].[Dimittenddato].&amp;[2008-06-01T00:00:00]" c="01-06-2008"/>
        <s v="[Dimittenddato].[Dimittenddato].&amp;[2007-08-28T00:00:00]" c="28-08-2007"/>
        <s v="[Dimittenddato].[Dimittenddato].&amp;[2007-08-24T00:00:00]" c="24-08-2007"/>
        <s v="[Dimittenddato].[Dimittenddato].&amp;[2007-08-20T00:00:00]" c="20-08-2007"/>
        <s v="[Dimittenddato].[Dimittenddato].&amp;[2007-08-16T00:00:00]" c="16-08-2007"/>
        <s v="[Dimittenddato].[Dimittenddato].&amp;[2007-08-12T00:00:00]" c="12-08-2007"/>
        <s v="[Dimittenddato].[Dimittenddato].&amp;[2007-08-08T00:00:00]" c="08-08-2007"/>
        <s v="[Dimittenddato].[Dimittenddato].&amp;[2007-08-04T00:00:00]" c="04-08-2007"/>
        <s v="[Dimittenddato].[Dimittenddato].&amp;[2007-07-31T00:00:00]" c="31-07-2007"/>
        <s v="[Dimittenddato].[Dimittenddato].&amp;[2007-07-27T00:00:00]" c="27-07-2007"/>
        <s v="[Dimittenddato].[Dimittenddato].&amp;[2007-07-23T00:00:00]" c="23-07-2007"/>
        <s v="[Dimittenddato].[Dimittenddato].&amp;[2007-07-19T00:00:00]" c="19-07-2007"/>
        <s v="[Dimittenddato].[Dimittenddato].&amp;[2007-07-15T00:00:00]" c="15-07-2007"/>
        <s v="[Dimittenddato].[Dimittenddato].&amp;[2007-07-11T00:00:00]" c="11-07-2007"/>
        <s v="[Dimittenddato].[Dimittenddato].&amp;[2007-07-07T00:00:00]" c="07-07-2007"/>
        <s v="[Dimittenddato].[Dimittenddato].&amp;[2007-07-03T00:00:00]" c="03-07-2007"/>
        <s v="[Dimittenddato].[Dimittenddato].&amp;[2007-06-29T00:00:00]" c="29-06-2007"/>
        <s v="[Dimittenddato].[Dimittenddato].&amp;[2007-06-25T00:00:00]" c="25-06-2007"/>
        <s v="[Dimittenddato].[Dimittenddato].&amp;[2007-06-21T00:00:00]" c="21-06-2007"/>
        <s v="[Dimittenddato].[Dimittenddato].&amp;[2007-06-17T00:00:00]" c="17-06-2007"/>
        <s v="[Dimittenddato].[Dimittenddato].&amp;[2007-06-13T00:00:00]" c="13-06-2007"/>
        <s v="[Dimittenddato].[Dimittenddato].&amp;[2007-06-09T00:00:00]" c="09-06-2007"/>
        <s v="[Dimittenddato].[Dimittenddato].&amp;[2007-06-05T00:00:00]" c="05-06-2007"/>
        <s v="[Dimittenddato].[Dimittenddato].&amp;[2007-06-01T00:00:00]" c="01-06-2007"/>
        <s v="[Dimittenddato].[Dimittenddato].&amp;[2020-07-15T00:00:00]" c="15-07-2020"/>
        <s v="[Dimittenddato].[Dimittenddato].&amp;[2017-08-04T00:00:00]" c="04-08-2017"/>
        <s v="[Dimittenddato].[Dimittenddato].&amp;[2015-08-27T00:00:00]" c="27-08-2015"/>
        <s v="[Dimittenddato].[Dimittenddato].&amp;[2015-06-24T00:00:00]" c="24-06-2015"/>
        <s v="[Dimittenddato].[Dimittenddato].&amp;[2014-07-22T00:00:00]" c="22-07-2014"/>
        <s v="[Dimittenddato].[Dimittenddato].&amp;[2014-06-21T00:00:00]" c="21-06-2014"/>
        <s v="[Dimittenddato].[Dimittenddato].&amp;[2013-08-31T00:00:00]" c="31-08-2013"/>
        <s v="[Dimittenddato].[Dimittenddato].&amp;[2013-08-09T00:00:00]" c="09-08-2013"/>
        <s v="[Dimittenddato].[Dimittenddato].&amp;[2013-07-19T00:00:00]" c="19-07-2013"/>
        <s v="[Dimittenddato].[Dimittenddato].&amp;[2013-06-28T00:00:00]" c="28-06-2013"/>
        <s v="[Dimittenddato].[Dimittenddato].&amp;[2013-06-06T00:00:00]" c="06-06-2013"/>
        <s v="[Dimittenddato].[Dimittenddato].&amp;[2012-08-16T00:00:00]" c="16-08-2012"/>
        <s v="[Dimittenddato].[Dimittenddato].&amp;[2012-07-26T00:00:00]" c="26-07-2012"/>
        <s v="[Dimittenddato].[Dimittenddato].&amp;[2012-07-04T00:00:00]" c="04-07-2012"/>
        <s v="[Dimittenddato].[Dimittenddato].&amp;[2012-06-13T00:00:00]" c="13-06-2012"/>
        <s v="[Dimittenddato].[Dimittenddato].&amp;[2011-08-28T00:00:00]" c="28-08-2011"/>
        <s v="[Dimittenddato].[Dimittenddato].&amp;[2011-08-12T00:00:00]" c="12-08-2011"/>
        <s v="[Dimittenddato].[Dimittenddato].&amp;[2011-07-27T00:00:00]" c="27-07-2011"/>
        <s v="[Dimittenddato].[Dimittenddato].&amp;[2011-07-11T00:00:00]" c="11-07-2011"/>
        <s v="[Dimittenddato].[Dimittenddato].&amp;[2011-06-25T00:00:00]" c="25-06-2011"/>
        <s v="[Dimittenddato].[Dimittenddato].&amp;[2011-06-12T00:00:00]" c="12-06-2011"/>
        <s v="[Dimittenddato].[Dimittenddato].&amp;[2011-06-04T00:00:00]" c="04-06-2011"/>
        <s v="[Dimittenddato].[Dimittenddato].&amp;[2010-08-30T00:00:00]" c="30-08-2010"/>
        <s v="[Dimittenddato].[Dimittenddato].&amp;[2010-08-24T00:00:00]" c="24-08-2010"/>
        <s v="[Dimittenddato].[Dimittenddato].&amp;[2010-08-19T00:00:00]" c="19-08-2010"/>
        <s v="[Dimittenddato].[Dimittenddato].&amp;[2010-08-14T00:00:00]" c="14-08-2010"/>
        <s v="[Dimittenddato].[Dimittenddato].&amp;[2010-08-08T00:00:00]" c="08-08-2010"/>
        <s v="[Dimittenddato].[Dimittenddato].&amp;[2010-08-03T00:00:00]" c="03-08-2010"/>
        <s v="[Dimittenddato].[Dimittenddato].&amp;[2010-07-29T00:00:00]" c="29-07-2010"/>
        <s v="[Dimittenddato].[Dimittenddato].&amp;[2010-07-23T00:00:00]" c="23-07-2010"/>
        <s v="[Dimittenddato].[Dimittenddato].&amp;[2010-07-18T00:00:00]" c="18-07-2010"/>
        <s v="[Dimittenddato].[Dimittenddato].&amp;[2010-07-13T00:00:00]" c="13-07-2010"/>
        <s v="[Dimittenddato].[Dimittenddato].&amp;[2010-07-07T00:00:00]" c="07-07-2010"/>
        <s v="[Dimittenddato].[Dimittenddato].&amp;[2010-07-02T00:00:00]" c="02-07-2010"/>
        <s v="[Dimittenddato].[Dimittenddato].&amp;[2010-06-27T00:00:00]" c="27-06-2010"/>
        <s v="[Dimittenddato].[Dimittenddato].&amp;[2010-06-21T00:00:00]" c="21-06-2010"/>
        <s v="[Dimittenddato].[Dimittenddato].&amp;[2010-06-16T00:00:00]" c="16-06-2010"/>
        <s v="[Dimittenddato].[Dimittenddato].&amp;[2010-06-11T00:00:00]" c="11-06-2010"/>
        <s v="[Dimittenddato].[Dimittenddato].&amp;[2010-06-05T00:00:00]" c="05-06-2010"/>
        <s v="[Dimittenddato].[Dimittenddato].&amp;[2009-08-31T00:00:00]" c="31-08-2009"/>
        <s v="[Dimittenddato].[Dimittenddato].&amp;[2009-08-26T00:00:00]" c="26-08-2009"/>
        <s v="[Dimittenddato].[Dimittenddato].&amp;[2009-08-20T00:00:00]" c="20-08-2009"/>
        <s v="[Dimittenddato].[Dimittenddato].&amp;[2009-08-15T00:00:00]" c="15-08-2009"/>
        <s v="[Dimittenddato].[Dimittenddato].&amp;[2009-08-10T00:00:00]" c="10-08-2009"/>
        <s v="[Dimittenddato].[Dimittenddato].&amp;[2009-08-04T00:00:00]" c="04-08-2009"/>
        <s v="[Dimittenddato].[Dimittenddato].&amp;[2009-07-30T00:00:00]" c="30-07-2009"/>
        <s v="[Dimittenddato].[Dimittenddato].&amp;[2009-07-25T00:00:00]" c="25-07-2009"/>
        <s v="[Dimittenddato].[Dimittenddato].&amp;[2009-07-19T00:00:00]" c="19-07-2009"/>
        <s v="[Dimittenddato].[Dimittenddato].&amp;[2009-07-14T00:00:00]" c="14-07-2009"/>
        <s v="[Dimittenddato].[Dimittenddato].&amp;[2009-07-09T00:00:00]" c="09-07-2009"/>
        <s v="[Dimittenddato].[Dimittenddato].&amp;[2009-07-03T00:00:00]" c="03-07-2009"/>
        <s v="[Dimittenddato].[Dimittenddato].&amp;[2009-06-28T00:00:00]" c="28-06-2009"/>
        <s v="[Dimittenddato].[Dimittenddato].&amp;[2009-06-23T00:00:00]" c="23-06-2009"/>
        <s v="[Dimittenddato].[Dimittenddato].&amp;[2009-06-17T00:00:00]" c="17-06-2009"/>
        <s v="[Dimittenddato].[Dimittenddato].&amp;[2009-06-12T00:00:00]" c="12-06-2009"/>
        <s v="[Dimittenddato].[Dimittenddato].&amp;[2009-06-08T00:00:00]" c="08-06-2009"/>
        <s v="[Dimittenddato].[Dimittenddato].&amp;[2009-06-04T00:00:00]" c="04-06-2009"/>
        <s v="[Dimittenddato].[Dimittenddato].&amp;[2008-08-31T00:00:00]" c="31-08-2008"/>
        <s v="[Dimittenddato].[Dimittenddato].&amp;[2008-08-27T00:00:00]" c="27-08-2008"/>
        <s v="[Dimittenddato].[Dimittenddato].&amp;[2008-08-23T00:00:00]" c="23-08-2008"/>
        <s v="[Dimittenddato].[Dimittenddato].&amp;[2008-08-19T00:00:00]" c="19-08-2008"/>
        <s v="[Dimittenddato].[Dimittenddato].&amp;[2008-08-15T00:00:00]" c="15-08-2008"/>
        <s v="[Dimittenddato].[Dimittenddato].&amp;[2008-08-11T00:00:00]" c="11-08-2008"/>
        <s v="[Dimittenddato].[Dimittenddato].&amp;[2008-08-07T00:00:00]" c="07-08-2008"/>
        <s v="[Dimittenddato].[Dimittenddato].&amp;[2008-08-03T00:00:00]" c="03-08-2008"/>
        <s v="[Dimittenddato].[Dimittenddato].&amp;[2008-07-30T00:00:00]" c="30-07-2008"/>
        <s v="[Dimittenddato].[Dimittenddato].&amp;[2008-07-26T00:00:00]" c="26-07-2008"/>
        <s v="[Dimittenddato].[Dimittenddato].&amp;[2008-07-22T00:00:00]" c="22-07-2008"/>
        <s v="[Dimittenddato].[Dimittenddato].&amp;[2008-07-18T00:00:00]" c="18-07-2008"/>
        <s v="[Dimittenddato].[Dimittenddato].&amp;[2008-07-14T00:00:00]" c="14-07-2008"/>
        <s v="[Dimittenddato].[Dimittenddato].&amp;[2008-07-10T00:00:00]" c="10-07-2008"/>
        <s v="[Dimittenddato].[Dimittenddato].&amp;[2008-07-06T00:00:00]" c="06-07-2008"/>
        <s v="[Dimittenddato].[Dimittenddato].&amp;[2008-07-02T00:00:00]" c="02-07-2008"/>
        <s v="[Dimittenddato].[Dimittenddato].&amp;[2008-06-28T00:00:00]" c="28-06-2008"/>
        <s v="[Dimittenddato].[Dimittenddato].&amp;[2008-06-24T00:00:00]" c="24-06-2008"/>
        <s v="[Dimittenddato].[Dimittenddato].&amp;[2008-06-20T00:00:00]" c="20-06-2008"/>
        <s v="[Dimittenddato].[Dimittenddato].&amp;[2008-06-16T00:00:00]" c="16-06-2008"/>
        <s v="[Dimittenddato].[Dimittenddato].&amp;[2008-06-12T00:00:00]" c="12-06-2008"/>
        <s v="[Dimittenddato].[Dimittenddato].&amp;[2008-06-08T00:00:00]" c="08-06-2008"/>
        <s v="[Dimittenddato].[Dimittenddato].&amp;[2008-06-04T00:00:00]" c="04-06-2008"/>
        <s v="[Dimittenddato].[Dimittenddato].&amp;[2007-08-31T00:00:00]" c="31-08-2007"/>
        <s v="[Dimittenddato].[Dimittenddato].&amp;[2007-08-27T00:00:00]" c="27-08-2007"/>
        <s v="[Dimittenddato].[Dimittenddato].&amp;[2007-08-23T00:00:00]" c="23-08-2007"/>
        <s v="[Dimittenddato].[Dimittenddato].&amp;[2007-08-19T00:00:00]" c="19-08-2007"/>
        <s v="[Dimittenddato].[Dimittenddato].&amp;[2007-08-15T00:00:00]" c="15-08-2007"/>
        <s v="[Dimittenddato].[Dimittenddato].&amp;[2007-08-11T00:00:00]" c="11-08-2007"/>
        <s v="[Dimittenddato].[Dimittenddato].&amp;[2007-08-07T00:00:00]" c="07-08-2007"/>
        <s v="[Dimittenddato].[Dimittenddato].&amp;[2007-08-03T00:00:00]" c="03-08-2007"/>
        <s v="[Dimittenddato].[Dimittenddato].&amp;[2007-07-30T00:00:00]" c="30-07-2007"/>
        <s v="[Dimittenddato].[Dimittenddato].&amp;[2007-07-26T00:00:00]" c="26-07-2007"/>
        <s v="[Dimittenddato].[Dimittenddato].&amp;[2007-07-22T00:00:00]" c="22-07-2007"/>
        <s v="[Dimittenddato].[Dimittenddato].&amp;[2007-07-18T00:00:00]" c="18-07-2007"/>
        <s v="[Dimittenddato].[Dimittenddato].&amp;[2007-07-14T00:00:00]" c="14-07-2007"/>
        <s v="[Dimittenddato].[Dimittenddato].&amp;[2007-07-10T00:00:00]" c="10-07-2007"/>
        <s v="[Dimittenddato].[Dimittenddato].&amp;[2007-07-06T00:00:00]" c="06-07-2007"/>
        <s v="[Dimittenddato].[Dimittenddato].&amp;[2007-07-02T00:00:00]" c="02-07-2007"/>
        <s v="[Dimittenddato].[Dimittenddato].&amp;[2007-06-28T00:00:00]" c="28-06-2007"/>
        <s v="[Dimittenddato].[Dimittenddato].&amp;[2007-06-24T00:00:00]" c="24-06-2007"/>
        <s v="[Dimittenddato].[Dimittenddato].&amp;[2007-06-20T00:00:00]" c="20-06-2007"/>
        <s v="[Dimittenddato].[Dimittenddato].&amp;[2007-06-16T00:00:00]" c="16-06-2007"/>
        <s v="[Dimittenddato].[Dimittenddato].&amp;[2007-06-12T00:00:00]" c="12-06-2007"/>
        <s v="[Dimittenddato].[Dimittenddato].&amp;[2007-06-08T00:00:00]" c="08-06-2007"/>
        <s v="[Dimittenddato].[Dimittenddato].&amp;[2007-06-04T00:00:00]" c="04-06-2007"/>
        <s v="[Dimittenddato].[Dimittenddato].&amp;[2019-08-12T00:00:00]" c="12-08-2019"/>
        <s v="[Dimittenddato].[Dimittenddato].&amp;[2017-06-01T00:00:00]" c="01-06-2017"/>
        <s v="[Dimittenddato].[Dimittenddato].&amp;[2015-08-11T00:00:00]" c="11-08-2015"/>
        <s v="[Dimittenddato].[Dimittenddato].&amp;[2015-06-08T00:00:00]" c="08-06-2015"/>
        <s v="[Dimittenddato].[Dimittenddato].&amp;[2014-07-07T00:00:00]" c="07-07-2014"/>
        <s v="[Dimittenddato].[Dimittenddato].&amp;[2014-06-16T00:00:00]" c="16-06-2014"/>
        <s v="[Dimittenddato].[Dimittenddato].&amp;[2013-08-25T00:00:00]" c="25-08-2013"/>
        <s v="[Dimittenddato].[Dimittenddato].&amp;[2013-08-04T00:00:00]" c="04-08-2013"/>
        <s v="[Dimittenddato].[Dimittenddato].&amp;[2013-07-14T00:00:00]" c="14-07-2013"/>
        <s v="[Dimittenddato].[Dimittenddato].&amp;[2013-06-22T00:00:00]" c="22-06-2013"/>
        <s v="[Dimittenddato].[Dimittenddato].&amp;[2013-06-01T00:00:00]" c="01-06-2013"/>
        <s v="[Dimittenddato].[Dimittenddato].&amp;[2012-08-11T00:00:00]" c="11-08-2012"/>
        <s v="[Dimittenddato].[Dimittenddato].&amp;[2012-07-20T00:00:00]" c="20-07-2012"/>
        <s v="[Dimittenddato].[Dimittenddato].&amp;[2012-06-29T00:00:00]" c="29-06-2012"/>
        <s v="[Dimittenddato].[Dimittenddato].&amp;[2012-06-09T00:00:00]" c="09-06-2012"/>
        <s v="[Dimittenddato].[Dimittenddato].&amp;[2011-08-24T00:00:00]" c="24-08-2011"/>
        <s v="[Dimittenddato].[Dimittenddato].&amp;[2011-08-08T00:00:00]" c="08-08-2011"/>
        <s v="[Dimittenddato].[Dimittenddato].&amp;[2011-07-23T00:00:00]" c="23-07-2011"/>
        <s v="[Dimittenddato].[Dimittenddato].&amp;[2011-07-07T00:00:00]" c="07-07-2011"/>
        <s v="[Dimittenddato].[Dimittenddato].&amp;[2011-06-21T00:00:00]" c="21-06-2011"/>
        <s v="[Dimittenddato].[Dimittenddato].&amp;[2011-06-09T00:00:00]" c="09-06-2011"/>
        <s v="[Dimittenddato].[Dimittenddato].&amp;[2011-06-03T00:00:00]" c="03-06-2011"/>
        <s v="[Dimittenddato].[Dimittenddato].&amp;[2010-08-28T00:00:00]" c="28-08-2010"/>
        <s v="[Dimittenddato].[Dimittenddato].&amp;[2010-08-23T00:00:00]" c="23-08-2010"/>
        <s v="[Dimittenddato].[Dimittenddato].&amp;[2010-08-18T00:00:00]" c="18-08-2010"/>
        <s v="[Dimittenddato].[Dimittenddato].&amp;[2010-08-12T00:00:00]" c="12-08-2010"/>
        <s v="[Dimittenddato].[Dimittenddato].&amp;[2010-08-07T00:00:00]" c="07-08-2010"/>
        <s v="[Dimittenddato].[Dimittenddato].&amp;[2010-08-02T00:00:00]" c="02-08-2010"/>
        <s v="[Dimittenddato].[Dimittenddato].&amp;[2010-07-27T00:00:00]" c="27-07-2010"/>
        <s v="[Dimittenddato].[Dimittenddato].&amp;[2010-07-22T00:00:00]" c="22-07-2010"/>
        <s v="[Dimittenddato].[Dimittenddato].&amp;[2010-07-17T00:00:00]" c="17-07-2010"/>
        <s v="[Dimittenddato].[Dimittenddato].&amp;[2010-07-11T00:00:00]" c="11-07-2010"/>
        <s v="[Dimittenddato].[Dimittenddato].&amp;[2010-07-06T00:00:00]" c="06-07-2010"/>
        <s v="[Dimittenddato].[Dimittenddato].&amp;[2010-07-01T00:00:00]" c="01-07-2010"/>
        <s v="[Dimittenddato].[Dimittenddato].&amp;[2010-06-25T00:00:00]" c="25-06-2010"/>
        <s v="[Dimittenddato].[Dimittenddato].&amp;[2010-06-20T00:00:00]" c="20-06-2010"/>
        <s v="[Dimittenddato].[Dimittenddato].&amp;[2010-06-15T00:00:00]" c="15-06-2010"/>
        <s v="[Dimittenddato].[Dimittenddato].&amp;[2010-06-09T00:00:00]" c="09-06-2010"/>
        <s v="[Dimittenddato].[Dimittenddato].&amp;[2010-06-04T00:00:00]" c="04-06-2010"/>
        <s v="[Dimittenddato].[Dimittenddato].&amp;[2009-08-30T00:00:00]" c="30-08-2009"/>
        <s v="[Dimittenddato].[Dimittenddato].&amp;[2009-08-24T00:00:00]" c="24-08-2009"/>
        <s v="[Dimittenddato].[Dimittenddato].&amp;[2009-08-19T00:00:00]" c="19-08-2009"/>
        <s v="[Dimittenddato].[Dimittenddato].&amp;[2009-08-14T00:00:00]" c="14-08-2009"/>
        <s v="[Dimittenddato].[Dimittenddato].&amp;[2009-08-08T00:00:00]" c="08-08-2009"/>
        <s v="[Dimittenddato].[Dimittenddato].&amp;[2009-08-03T00:00:00]" c="03-08-2009"/>
        <s v="[Dimittenddato].[Dimittenddato].&amp;[2009-07-29T00:00:00]" c="29-07-2009"/>
        <s v="[Dimittenddato].[Dimittenddato].&amp;[2009-07-23T00:00:00]" c="23-07-2009"/>
        <s v="[Dimittenddato].[Dimittenddato].&amp;[2009-07-18T00:00:00]" c="18-07-2009"/>
        <s v="[Dimittenddato].[Dimittenddato].&amp;[2009-07-13T00:00:00]" c="13-07-2009"/>
        <s v="[Dimittenddato].[Dimittenddato].&amp;[2009-07-07T00:00:00]" c="07-07-2009"/>
        <s v="[Dimittenddato].[Dimittenddato].&amp;[2009-07-02T00:00:00]" c="02-07-2009"/>
        <s v="[Dimittenddato].[Dimittenddato].&amp;[2009-06-27T00:00:00]" c="27-06-2009"/>
        <s v="[Dimittenddato].[Dimittenddato].&amp;[2009-06-21T00:00:00]" c="21-06-2009"/>
        <s v="[Dimittenddato].[Dimittenddato].&amp;[2009-06-16T00:00:00]" c="16-06-2009"/>
        <s v="[Dimittenddato].[Dimittenddato].&amp;[2009-06-11T00:00:00]" c="11-06-2009"/>
        <s v="[Dimittenddato].[Dimittenddato].&amp;[2009-06-07T00:00:00]" c="07-06-2009"/>
        <s v="[Dimittenddato].[Dimittenddato].&amp;[2009-06-03T00:00:00]" c="03-06-2009"/>
        <s v="[Dimittenddato].[Dimittenddato].&amp;[2008-08-30T00:00:00]" c="30-08-2008"/>
        <s v="[Dimittenddato].[Dimittenddato].&amp;[2008-08-26T00:00:00]" c="26-08-2008"/>
        <s v="[Dimittenddato].[Dimittenddato].&amp;[2008-08-22T00:00:00]" c="22-08-2008"/>
        <s v="[Dimittenddato].[Dimittenddato].&amp;[2008-08-18T00:00:00]" c="18-08-2008"/>
        <s v="[Dimittenddato].[Dimittenddato].&amp;[2008-08-14T00:00:00]" c="14-08-2008"/>
        <s v="[Dimittenddato].[Dimittenddato].&amp;[2008-08-10T00:00:00]" c="10-08-2008"/>
        <s v="[Dimittenddato].[Dimittenddato].&amp;[2008-08-06T00:00:00]" c="06-08-2008"/>
        <s v="[Dimittenddato].[Dimittenddato].&amp;[2008-08-02T00:00:00]" c="02-08-2008"/>
        <s v="[Dimittenddato].[Dimittenddato].&amp;[2008-07-29T00:00:00]" c="29-07-2008"/>
        <s v="[Dimittenddato].[Dimittenddato].&amp;[2008-07-25T00:00:00]" c="25-07-2008"/>
        <s v="[Dimittenddato].[Dimittenddato].&amp;[2008-07-21T00:00:00]" c="21-07-2008"/>
        <s v="[Dimittenddato].[Dimittenddato].&amp;[2008-07-17T00:00:00]" c="17-07-2008"/>
        <s v="[Dimittenddato].[Dimittenddato].&amp;[2008-07-13T00:00:00]" c="13-07-2008"/>
        <s v="[Dimittenddato].[Dimittenddato].&amp;[2008-07-09T00:00:00]" c="09-07-2008"/>
        <s v="[Dimittenddato].[Dimittenddato].&amp;[2008-07-05T00:00:00]" c="05-07-2008"/>
        <s v="[Dimittenddato].[Dimittenddato].&amp;[2008-07-01T00:00:00]" c="01-07-2008"/>
        <s v="[Dimittenddato].[Dimittenddato].&amp;[2008-06-27T00:00:00]" c="27-06-2008"/>
        <s v="[Dimittenddato].[Dimittenddato].&amp;[2008-06-23T00:00:00]" c="23-06-2008"/>
        <s v="[Dimittenddato].[Dimittenddato].&amp;[2008-06-19T00:00:00]" c="19-06-2008"/>
        <s v="[Dimittenddato].[Dimittenddato].&amp;[2008-06-15T00:00:00]" c="15-06-2008"/>
        <s v="[Dimittenddato].[Dimittenddato].&amp;[2008-06-11T00:00:00]" c="11-06-2008"/>
        <s v="[Dimittenddato].[Dimittenddato].&amp;[2008-06-07T00:00:00]" c="07-06-2008"/>
        <s v="[Dimittenddato].[Dimittenddato].&amp;[2008-06-03T00:00:00]" c="03-06-2008"/>
        <s v="[Dimittenddato].[Dimittenddato].&amp;[2007-08-30T00:00:00]" c="30-08-2007"/>
        <s v="[Dimittenddato].[Dimittenddato].&amp;[2007-08-26T00:00:00]" c="26-08-2007"/>
        <s v="[Dimittenddato].[Dimittenddato].&amp;[2007-08-22T00:00:00]" c="22-08-2007"/>
        <s v="[Dimittenddato].[Dimittenddato].&amp;[2007-08-18T00:00:00]" c="18-08-2007"/>
        <s v="[Dimittenddato].[Dimittenddato].&amp;[2007-08-14T00:00:00]" c="14-08-2007"/>
        <s v="[Dimittenddato].[Dimittenddato].&amp;[2007-08-10T00:00:00]" c="10-08-2007"/>
        <s v="[Dimittenddato].[Dimittenddato].&amp;[2007-08-06T00:00:00]" c="06-08-2007"/>
        <s v="[Dimittenddato].[Dimittenddato].&amp;[2007-08-02T00:00:00]" c="02-08-2007"/>
        <s v="[Dimittenddato].[Dimittenddato].&amp;[2007-07-29T00:00:00]" c="29-07-2007"/>
        <s v="[Dimittenddato].[Dimittenddato].&amp;[2007-07-25T00:00:00]" c="25-07-2007"/>
        <s v="[Dimittenddato].[Dimittenddato].&amp;[2007-07-21T00:00:00]" c="21-07-2007"/>
        <s v="[Dimittenddato].[Dimittenddato].&amp;[2007-07-17T00:00:00]" c="17-07-2007"/>
        <s v="[Dimittenddato].[Dimittenddato].&amp;[2007-07-13T00:00:00]" c="13-07-2007"/>
        <s v="[Dimittenddato].[Dimittenddato].&amp;[2007-07-09T00:00:00]" c="09-07-2007"/>
        <s v="[Dimittenddato].[Dimittenddato].&amp;[2007-07-05T00:00:00]" c="05-07-2007"/>
        <s v="[Dimittenddato].[Dimittenddato].&amp;[2007-07-01T00:00:00]" c="01-07-2007"/>
        <s v="[Dimittenddato].[Dimittenddato].&amp;[2007-06-27T00:00:00]" c="27-06-2007"/>
        <s v="[Dimittenddato].[Dimittenddato].&amp;[2007-06-23T00:00:00]" c="23-06-2007"/>
        <s v="[Dimittenddato].[Dimittenddato].&amp;[2007-06-19T00:00:00]" c="19-06-2007"/>
        <s v="[Dimittenddato].[Dimittenddato].&amp;[2007-06-15T00:00:00]" c="15-06-2007"/>
        <s v="[Dimittenddato].[Dimittenddato].&amp;[2007-06-11T00:00:00]" c="11-06-2007"/>
        <s v="[Dimittenddato].[Dimittenddato].&amp;[2007-06-07T00:00:00]" c="07-06-2007"/>
        <s v="[Dimittenddato].[Dimittenddato].&amp;[2007-06-03T00:00:00]" c="03-06-2007"/>
        <s v="[Dimittenddato].[Dimittenddato].&amp;[2019-06-09T00:00:00]" c="09-06-2019"/>
        <s v="[Dimittenddato].[Dimittenddato].&amp;[2014-07-02T00:00:00]" c="02-07-2014"/>
        <s v="[Dimittenddato].[Dimittenddato].&amp;[2013-07-08T00:00:00]" c="08-07-2013"/>
        <s v="[Dimittenddato].[Dimittenddato].&amp;[2012-07-15T00:00:00]" c="15-07-2012"/>
        <s v="[Dimittenddato].[Dimittenddato].&amp;[2011-08-04T00:00:00]" c="04-08-2011"/>
        <s v="[Dimittenddato].[Dimittenddato].&amp;[2011-06-08T00:00:00]" c="08-06-2011"/>
        <s v="[Dimittenddato].[Dimittenddato].&amp;[2010-08-16T00:00:00]" c="16-08-2010"/>
        <s v="[Dimittenddato].[Dimittenddato].&amp;[2010-07-26T00:00:00]" c="26-07-2010"/>
        <s v="[Dimittenddato].[Dimittenddato].&amp;[2010-07-05T00:00:00]" c="05-07-2010"/>
        <s v="[Dimittenddato].[Dimittenddato].&amp;[2010-06-13T00:00:00]" c="13-06-2010"/>
        <s v="[Dimittenddato].[Dimittenddato].&amp;[2009-08-23T00:00:00]" c="23-08-2009"/>
        <s v="[Dimittenddato].[Dimittenddato].&amp;[2009-08-02T00:00:00]" c="02-08-2009"/>
        <s v="[Dimittenddato].[Dimittenddato].&amp;[2009-07-11T00:00:00]" c="11-07-2009"/>
        <s v="[Dimittenddato].[Dimittenddato].&amp;[2009-06-20T00:00:00]" c="20-06-2009"/>
        <s v="[Dimittenddato].[Dimittenddato].&amp;[2009-06-02T00:00:00]" c="02-06-2009"/>
        <s v="[Dimittenddato].[Dimittenddato].&amp;[2008-08-17T00:00:00]" c="17-08-2008"/>
        <s v="[Dimittenddato].[Dimittenddato].&amp;[2008-08-01T00:00:00]" c="01-08-2008"/>
        <s v="[Dimittenddato].[Dimittenddato].&amp;[2008-07-16T00:00:00]" c="16-07-2008"/>
        <s v="[Dimittenddato].[Dimittenddato].&amp;[2008-06-30T00:00:00]" c="30-06-2008"/>
        <s v="[Dimittenddato].[Dimittenddato].&amp;[2008-06-14T00:00:00]" c="14-06-2008"/>
        <s v="[Dimittenddato].[Dimittenddato].&amp;[2007-08-29T00:00:00]" c="29-08-2007"/>
        <s v="[Dimittenddato].[Dimittenddato].&amp;[2007-08-13T00:00:00]" c="13-08-2007"/>
        <s v="[Dimittenddato].[Dimittenddato].&amp;[2007-07-28T00:00:00]" c="28-07-2007"/>
        <s v="[Dimittenddato].[Dimittenddato].&amp;[2007-07-12T00:00:00]" c="12-07-2007"/>
        <s v="[Dimittenddato].[Dimittenddato].&amp;[2007-06-26T00:00:00]" c="26-06-2007"/>
        <s v="[Dimittenddato].[Dimittenddato].&amp;[2007-06-10T00:00:00]" c="10-06-2007"/>
        <s v="[Dimittenddato].[Dimittenddato].&amp;[2016-06-29T00:00:00]" c="29-06-2016"/>
        <s v="[Dimittenddato].[Dimittenddato].&amp;[2014-06-10T00:00:00]" c="10-06-2014"/>
        <s v="[Dimittenddato].[Dimittenddato].&amp;[2013-06-17T00:00:00]" c="17-06-2013"/>
        <s v="[Dimittenddato].[Dimittenddato].&amp;[2012-06-24T00:00:00]" c="24-06-2012"/>
        <s v="[Dimittenddato].[Dimittenddato].&amp;[2011-07-19T00:00:00]" c="19-07-2011"/>
        <s v="[Dimittenddato].[Dimittenddato].&amp;[2011-06-01T00:00:00]" c="01-06-2011"/>
        <s v="[Dimittenddato].[Dimittenddato].&amp;[2010-08-11T00:00:00]" c="11-08-2010"/>
        <s v="[Dimittenddato].[Dimittenddato].&amp;[2010-07-21T00:00:00]" c="21-07-2010"/>
        <s v="[Dimittenddato].[Dimittenddato].&amp;[2010-06-29T00:00:00]" c="29-06-2010"/>
        <s v="[Dimittenddato].[Dimittenddato].&amp;[2010-06-08T00:00:00]" c="08-06-2010"/>
        <s v="[Dimittenddato].[Dimittenddato].&amp;[2009-08-18T00:00:00]" c="18-08-2009"/>
        <s v="[Dimittenddato].[Dimittenddato].&amp;[2009-07-27T00:00:00]" c="27-07-2009"/>
        <s v="[Dimittenddato].[Dimittenddato].&amp;[2009-07-06T00:00:00]" c="06-07-2009"/>
        <s v="[Dimittenddato].[Dimittenddato].&amp;[2009-06-15T00:00:00]" c="15-06-2009"/>
        <s v="[Dimittenddato].[Dimittenddato].&amp;[2008-08-29T00:00:00]" c="29-08-2008"/>
        <s v="[Dimittenddato].[Dimittenddato].&amp;[2008-08-13T00:00:00]" c="13-08-2008"/>
        <s v="[Dimittenddato].[Dimittenddato].&amp;[2008-07-28T00:00:00]" c="28-07-2008"/>
        <s v="[Dimittenddato].[Dimittenddato].&amp;[2008-07-12T00:00:00]" c="12-07-2008"/>
        <s v="[Dimittenddato].[Dimittenddato].&amp;[2008-06-26T00:00:00]" c="26-06-2008"/>
        <s v="[Dimittenddato].[Dimittenddato].&amp;[2008-06-10T00:00:00]" c="10-06-2008"/>
        <s v="[Dimittenddato].[Dimittenddato].&amp;[2007-08-25T00:00:00]" c="25-08-2007"/>
        <s v="[Dimittenddato].[Dimittenddato].&amp;[2007-08-09T00:00:00]" c="09-08-2007"/>
        <s v="[Dimittenddato].[Dimittenddato].&amp;[2007-07-24T00:00:00]" c="24-07-2007"/>
        <s v="[Dimittenddato].[Dimittenddato].&amp;[2007-07-08T00:00:00]" c="08-07-2007"/>
        <s v="[Dimittenddato].[Dimittenddato].&amp;[2007-06-22T00:00:00]" c="22-06-2007"/>
        <s v="[Dimittenddato].[Dimittenddato].&amp;[2007-06-06T00:00:00]" c="06-06-2007"/>
        <s v="[Dimittenddato].[Dimittenddato].&amp;[2015-07-26T00:00:00]" c="26-07-2015"/>
        <s v="[Dimittenddato].[Dimittenddato].&amp;[2013-08-20T00:00:00]" c="20-08-2013"/>
        <s v="[Dimittenddato].[Dimittenddato].&amp;[2012-08-27T00:00:00]" c="27-08-2012"/>
        <s v="[Dimittenddato].[Dimittenddato].&amp;[2012-06-05T00:00:00]" c="05-06-2012"/>
        <s v="[Dimittenddato].[Dimittenddato].&amp;[2011-07-03T00:00:00]" c="03-07-2011"/>
        <s v="[Dimittenddato].[Dimittenddato].&amp;[2010-08-27T00:00:00]" c="27-08-2010"/>
        <s v="[Dimittenddato].[Dimittenddato].&amp;[2010-08-06T00:00:00]" c="06-08-2010"/>
        <s v="[Dimittenddato].[Dimittenddato].&amp;[2010-07-15T00:00:00]" c="15-07-2010"/>
        <s v="[Dimittenddato].[Dimittenddato].&amp;[2010-06-24T00:00:00]" c="24-06-2010"/>
        <s v="[Dimittenddato].[Dimittenddato].&amp;[2010-06-03T00:00:00]" c="03-06-2010"/>
        <s v="[Dimittenddato].[Dimittenddato].&amp;[2009-08-12T00:00:00]" c="12-08-2009"/>
        <s v="[Dimittenddato].[Dimittenddato].&amp;[2009-07-22T00:00:00]" c="22-07-2009"/>
        <s v="[Dimittenddato].[Dimittenddato].&amp;[2009-07-01T00:00:00]" c="01-07-2009"/>
        <s v="[Dimittenddato].[Dimittenddato].&amp;[2009-06-10T00:00:00]" c="10-06-2009"/>
        <s v="[Dimittenddato].[Dimittenddato].&amp;[2008-08-25T00:00:00]" c="25-08-2008"/>
        <s v="[Dimittenddato].[Dimittenddato].&amp;[2008-08-09T00:00:00]" c="09-08-2008"/>
        <s v="[Dimittenddato].[Dimittenddato].&amp;[2008-07-24T00:00:00]" c="24-07-2008"/>
        <s v="[Dimittenddato].[Dimittenddato].&amp;[2008-07-08T00:00:00]" c="08-07-2008"/>
        <s v="[Dimittenddato].[Dimittenddato].&amp;[2008-06-22T00:00:00]" c="22-06-2008"/>
        <s v="[Dimittenddato].[Dimittenddato].&amp;[2008-06-06T00:00:00]" c="06-06-2008"/>
        <s v="[Dimittenddato].[Dimittenddato].&amp;[2007-08-21T00:00:00]" c="21-08-2007"/>
        <s v="[Dimittenddato].[Dimittenddato].&amp;[2007-08-05T00:00:00]" c="05-08-2007"/>
        <s v="[Dimittenddato].[Dimittenddato].&amp;[2007-07-20T00:00:00]" c="20-07-2007"/>
        <s v="[Dimittenddato].[Dimittenddato].&amp;[2007-07-04T00:00:00]" c="04-07-2007"/>
        <s v="[Dimittenddato].[Dimittenddato].&amp;[2007-06-18T00:00:00]" c="18-06-2007"/>
        <s v="[Dimittenddato].[Dimittenddato].&amp;[2007-06-02T00:00:00]" c="02-06-2007"/>
        <s v="[Dimittenddato].[Dimittenddato].&amp;[2014-08-23T00:00:00]" c="23-08-2014"/>
        <s v="[Dimittenddato].[Dimittenddato].&amp;[2011-06-17T00:00:00]" c="17-06-2011"/>
        <s v="[Dimittenddato].[Dimittenddato].&amp;[2010-06-19T00:00:00]" c="19-06-2010"/>
        <s v="[Dimittenddato].[Dimittenddato].&amp;[2009-06-25T00:00:00]" c="25-06-2009"/>
        <s v="[Dimittenddato].[Dimittenddato].&amp;[2008-07-20T00:00:00]" c="20-07-2008"/>
        <s v="[Dimittenddato].[Dimittenddato].&amp;[2007-08-17T00:00:00]" c="17-08-2007"/>
        <s v="[Dimittenddato].[Dimittenddato].&amp;[2007-06-14T00:00:00]" c="14-06-2007"/>
        <s v="[Dimittenddato].[Dimittenddato].&amp;[2013-07-30T00:00:00]" c="30-07-2013"/>
        <s v="[Dimittenddato].[Dimittenddato].&amp;[2010-08-22T00:00:00]" c="22-08-2010"/>
        <s v="[Dimittenddato].[Dimittenddato].&amp;[2009-08-28T00:00:00]" c="28-08-2009"/>
        <s v="[Dimittenddato].[Dimittenddato].&amp;[2009-06-06T00:00:00]" c="06-06-2009"/>
        <s v="[Dimittenddato].[Dimittenddato].&amp;[2008-07-04T00:00:00]" c="04-07-2008"/>
        <s v="[Dimittenddato].[Dimittenddato].&amp;[2007-08-01T00:00:00]" c="01-08-2007"/>
        <s v="[Dimittenddato].[Dimittenddato].&amp;[2012-08-05T00:00:00]" c="05-08-2012"/>
        <s v="[Dimittenddato].[Dimittenddato].&amp;[2010-07-31T00:00:00]" c="31-07-2010"/>
        <s v="[Dimittenddato].[Dimittenddato].&amp;[2009-08-07T00:00:00]" c="07-08-2009"/>
        <s v="[Dimittenddato].[Dimittenddato].&amp;[2008-08-21T00:00:00]" c="21-08-2008"/>
        <s v="[Dimittenddato].[Dimittenddato].&amp;[2008-06-18T00:00:00]" c="18-06-2008"/>
        <s v="[Dimittenddato].[Dimittenddato].&amp;[2007-07-16T00:00:00]" c="16-07-2007"/>
        <s v="[Dimittenddato].[Dimittenddato].&amp;[2011-08-20T00:00:00]" c="20-08-2011"/>
        <s v="[Dimittenddato].[Dimittenddato].&amp;[2008-06-02T00:00:00]" c="02-06-2008"/>
        <s v="[Dimittenddato].[Dimittenddato].&amp;[2010-07-10T00:00:00]" c="10-07-2010"/>
        <s v="[Dimittenddato].[Dimittenddato].&amp;[2007-06-30T00:00:00]" c="30-06-2007"/>
        <s v="[Dimittenddato].[Dimittenddato].&amp;[2009-07-17T00:00:00]" c="17-07-2009"/>
        <s v="[Dimittenddato].[Dimittenddato].&amp;[2008-08-05T00:00:00]" c="05-08-2008"/>
      </sharedItems>
    </cacheField>
    <cacheField name="[Medlem].[Køn].[Køn]" caption="Køn" numFmtId="0" hierarchy="208" level="1">
      <sharedItems count="2">
        <s v="[Medlem].[Køn].&amp;[Kvinde]" c="Kvinde"/>
        <s v="[Medlem].[Køn].&amp;[Mand]" c="Mand"/>
      </sharedItems>
    </cacheField>
    <cacheField name="[Uddannelsesretning].[IDA Gruppe Cand Scient].[IDA Gruppe Cand Scient]" caption="IDA Gruppe Cand Scient" numFmtId="0" hierarchy="297" level="1">
      <sharedItems count="5">
        <s v="[Uddannelsesretning].[IDA Gruppe Cand Scient].&amp;[Medicin mv.]" c="Medicin mv."/>
        <s v="[Uddannelsesretning].[IDA Gruppe Cand Scient].&amp;[Geo-bio]" c="Geo-bio"/>
        <s v="[Uddannelsesretning].[IDA Gruppe Cand Scient].&amp;[Matematik-Fysik-Kemi]" c="Matematik-Fysik-Kemi"/>
        <s v="[Uddannelsesretning].[IDA Gruppe Cand Scient].&amp;[Data og IT]" c="Data og IT"/>
        <s v="[Uddannelsesretning].[IDA Gruppe Cand Scient].&amp;[Øvrige retninger/uoplyste]" c="Øvrige retninger/uoplyste"/>
      </sharedItems>
    </cacheField>
    <cacheField name="[Uddannelsesretning].[IDA Gruppe].[IDA Gruppe]" caption="IDA Gruppe" numFmtId="0" hierarchy="296" level="1">
      <sharedItems count="9">
        <s v="[Uddannelsesretning].[IDA Gruppe].&amp;[Øvrige retninger/uoplyste]" c="Øvrige retninger/uoplyste"/>
        <s v="[Uddannelsesretning].[IDA Gruppe].&amp;[Anlæg]" c="Anlæg"/>
        <s v="[Uddannelsesretning].[IDA Gruppe].&amp;[Maskin]" c="Maskin"/>
        <s v="[Uddannelsesretning].[IDA Gruppe].&amp;[Kemi]" c="Kemi"/>
        <s v="[Uddannelsesretning].[IDA Gruppe].&amp;[Produktion]" c="Produktion"/>
        <s v="[Uddannelsesretning].[IDA Gruppe].&amp;[Teknisk ledelse]" c="Teknisk ledelse"/>
        <s v="[Uddannelsesretning].[IDA Gruppe].&amp;[Nye retninger]" c="Nye retninger"/>
        <s v="[Uddannelsesretning].[IDA Gruppe].&amp;[Bygning]" c="Bygning"/>
        <s v="[Uddannelsesretning].[IDA Gruppe].&amp;[Elektronik-IT]" c="Elektronik-IT"/>
      </sharedItems>
    </cacheField>
    <cacheField name="[Betalingsstatus].[Betalingsstatus].[Betalingsstatus]" caption="Betalingsstatus" numFmtId="0" hierarchy="70" level="1">
      <sharedItems count="1">
        <s v="[Betalingsstatus].[Betalingsstatus].&amp;[Betalende medlem]" c="Betalende medlem"/>
      </sharedItems>
    </cacheField>
  </cacheFields>
  <cacheHierarchies count="1366">
    <cacheHierarchy uniqueName="[Afslutningsdato].[AfsluttedeMåneder]" caption="AfsluttedeMåneder" attribute="1" defaultMemberUniqueName="[Afslutningsdato].[AfsluttedeMåneder].[All]" allUniqueName="[Afslutningsdato].[AfsluttedeMåneder].[All]" dimensionUniqueName="[Afslutningsdato]" displayFolder="" count="2" unbalanced="0"/>
    <cacheHierarchy uniqueName="[Afslutningsdato].[Dag i måneden]" caption="Dag i måneden" attribute="1" defaultMemberUniqueName="[Afslutningsdato].[Dag i måneden].[All]" allUniqueName="[Afslutningsdato].[Dag i måneden].[All]" dimensionUniqueName="[Afslutningsdato]" displayFolder="" count="2" unbalanced="0"/>
    <cacheHierarchy uniqueName="[Afslutningsdato].[DagpengeKvartal]" caption="DagpengeKvartal" attribute="1" defaultMemberUniqueName="[Afslutningsdato].[DagpengeKvartal].[All]" allUniqueName="[Afslutningsdato].[DagpengeKvartal].[All]" dimensionUniqueName="[Afslutningsdato]" displayFolder="" count="2" unbalanced="0"/>
    <cacheHierarchy uniqueName="[Afslutningsdato].[DagpengePeriode]" caption="DagpengePeriode" attribute="1" defaultMemberUniqueName="[Afslutningsdato].[DagpengePeriode].[All]" allUniqueName="[Afslutningsdato].[DagpengePeriode].[All]" dimensionUniqueName="[Afslutningsdato]" displayFolder="" count="2" unbalanced="0"/>
    <cacheHierarchy uniqueName="[Afslutningsdato].[DagpengePeriodeNavn]" caption="DagpengePeriodeNavn" attribute="1" defaultMemberUniqueName="[Afslutningsdato].[DagpengePeriodeNavn].[All]" allUniqueName="[Afslutningsdato].[DagpengePeriodeNavn].[All]" dimensionUniqueName="[Afslutningsdato]" displayFolder="" count="2" unbalanced="0"/>
    <cacheHierarchy uniqueName="[Afslutningsdato].[DagpengePeriodeNr]" caption="DagpengePeriodeNr" attribute="1" defaultMemberUniqueName="[Afslutningsdato].[DagpengePeriodeNr].[All]" allUniqueName="[Afslutningsdato].[DagpengePeriodeNr].[All]" dimensionUniqueName="[Afslutningsdato]" displayFolder="" count="2" unbalanced="0"/>
    <cacheHierarchy uniqueName="[Afslutningsdato].[DagpengePeriodeNummer]" caption="DagpengePeriodeNummer" attribute="1" defaultMemberUniqueName="[Afslutningsdato].[DagpengePeriodeNummer].[All]" allUniqueName="[Afslutningsdato].[DagpengePeriodeNummer].[All]" dimensionUniqueName="[Afslutningsdato]" displayFolder="" count="2" unbalanced="0"/>
    <cacheHierarchy uniqueName="[Afslutningsdato].[DagpengeUge]" caption="DagpengeUge" attribute="1" defaultMemberUniqueName="[Afslutningsdato].[DagpengeUge].[All]" allUniqueName="[Afslutningsdato].[DagpengeUge].[All]" dimensionUniqueName="[Afslutningsdato]" displayFolder="" count="2" unbalanced="0"/>
    <cacheHierarchy uniqueName="[Afslutningsdato].[DagpengeUgeNr]" caption="DagpengeUgeNr" attribute="1" defaultMemberUniqueName="[Afslutningsdato].[DagpengeUgeNr].[All]" allUniqueName="[Afslutningsdato].[DagpengeUgeNr].[All]" dimensionUniqueName="[Afslutningsdato]" displayFolder="" count="2" unbalanced="0"/>
    <cacheHierarchy uniqueName="[Afslutningsdato].[DagpengeUgeNummer]" caption="DagpengeUgeNummer" attribute="1" defaultMemberUniqueName="[Afslutningsdato].[DagpengeUgeNummer].[All]" allUniqueName="[Afslutningsdato].[DagpengeUgeNummer].[All]" dimensionUniqueName="[Afslutningsdato]" displayFolder="" count="2" unbalanced="0"/>
    <cacheHierarchy uniqueName="[Afslutningsdato].[DagpengeÅr]" caption="DagpengeÅr" attribute="1" defaultMemberUniqueName="[Afslutningsdato].[DagpengeÅr].[All]" allUniqueName="[Afslutningsdato].[DagpengeÅr].[All]" dimensionUniqueName="[Afslutningsdato]" displayFolder="" count="2" unbalanced="0"/>
    <cacheHierarchy uniqueName="[Afslutningsdato].[Dato]" caption="Dato" attribute="1" defaultMemberUniqueName="[Afslutningsdato].[Dato].[All]" allUniqueName="[Afslutningsdato].[Dato].[All]" dimensionUniqueName="[Afslutningsdato]" displayFolder="" count="2" unbalanced="0"/>
    <cacheHierarchy uniqueName="[Afslutningsdato].[Igår]" caption="Igår" attribute="1" defaultMemberUniqueName="[Afslutningsdato].[Igår].[All]" allUniqueName="[Afslutningsdato].[Igår].[All]" dimensionUniqueName="[Afslutningsdato]" displayFolder="" count="2" unbalanced="0"/>
    <cacheHierarchy uniqueName="[Afslutningsdato].[IndværendeMåned]" caption="IndværendeMåned" attribute="1" defaultMemberUniqueName="[Afslutningsdato].[IndværendeMåned].[All]" allUniqueName="[Afslutningsdato].[IndværendeMåned].[All]" dimensionUniqueName="[Afslutningsdato]" displayFolder="" count="2" unbalanced="0"/>
    <cacheHierarchy uniqueName="[Afslutningsdato].[Kvartal]" caption="Kvartal" attribute="1" defaultMemberUniqueName="[Afslutningsdato].[Kvartal].[All]" allUniqueName="[Afslutningsdato].[Kvartal].[All]" dimensionUniqueName="[Afslutningsdato]" displayFolder="" count="2" unbalanced="0"/>
    <cacheHierarchy uniqueName="[Afslutningsdato].[Måned]" caption="Måned" attribute="1" defaultMemberUniqueName="[Afslutningsdato].[Måned].[All]" allUniqueName="[Afslutningsdato].[Måned].[All]" dimensionUniqueName="[Afslutningsdato]" displayFolder="" count="2" unbalanced="0"/>
    <cacheHierarchy uniqueName="[Afslutningsdato].[MånedNavn]" caption="MånedNavn" attribute="1" defaultMemberUniqueName="[Afslutningsdato].[MånedNavn].[All]" allUniqueName="[Afslutningsdato].[MånedNavn].[All]" dimensionUniqueName="[Afslutningsdato]" displayFolder="" count="2" unbalanced="0"/>
    <cacheHierarchy uniqueName="[Afslutningsdato].[MånedNavnKort]" caption="MånedNavnKort" attribute="1" defaultMemberUniqueName="[Afslutningsdato].[MånedNavnKort].[All]" allUniqueName="[Afslutningsdato].[MånedNavnKort].[All]" dimensionUniqueName="[Afslutningsdato]" displayFolder="" count="2" unbalanced="0"/>
    <cacheHierarchy uniqueName="[Afslutningsdato].[MånedNummer]" caption="MånedNummer" attribute="1" defaultMemberUniqueName="[Afslutningsdato].[MånedNummer].[All]" allUniqueName="[Afslutningsdato].[MånedNummer].[All]" dimensionUniqueName="[Afslutningsdato]" displayFolder="" count="2" unbalanced="0"/>
    <cacheHierarchy uniqueName="[Afslutningsdato].[SidsteFemÅr]" caption="SidsteFemÅr" attribute="1" defaultMemberUniqueName="[Afslutningsdato].[SidsteFemÅr].[All]" allUniqueName="[Afslutningsdato].[SidsteFemÅr].[All]" dimensionUniqueName="[Afslutningsdato]" displayFolder="" count="2" unbalanced="0"/>
    <cacheHierarchy uniqueName="[Afslutningsdato].[Ugedag]" caption="Ugedag" attribute="1" defaultMemberUniqueName="[Afslutningsdato].[Ugedag].[All]" allUniqueName="[Afslutningsdato].[Ugedag].[All]" dimensionUniqueName="[Afslutningsdato]" displayFolder="" count="2" unbalanced="0"/>
    <cacheHierarchy uniqueName="[Afslutningsdato].[År]" caption="År" attribute="1" defaultMemberUniqueName="[Afslutningsdato].[År].[All]" allUniqueName="[Afslutningsdato].[År].[All]" dimensionUniqueName="[Afslutningsdato]" displayFolder="" count="2" unbalanced="0"/>
    <cacheHierarchy uniqueName="[Afslutningsdato].[År - Måned - Dato]" caption="År - Måned - Dato" defaultMemberUniqueName="[Afslutningsdato].[År - Måned - Dato].[All]" allUniqueName="[Afslutningsdato].[År - Måned - Dato].[All]" dimensionUniqueName="[Afslutningsdato]" displayFolder="" count="4" unbalanced="0"/>
    <cacheHierarchy uniqueName="[Aftale Afholdelsesstatus].[Aftale Afholdelsesstatus]" caption="Aftale Afholdelsesstatus" attribute="1" defaultMemberUniqueName="[Aftale Afholdelsesstatus].[Aftale Afholdelsesstatus].[All]" allUniqueName="[Aftale Afholdelsesstatus].[Aftale Afholdelsesstatus].[All]" dimensionUniqueName="[Aftale Afholdelsesstatus]" displayFolder="" count="2" unbalanced="0"/>
    <cacheHierarchy uniqueName="[Aftalestatus].[Aftalestatus]" caption="Aftalestatus" attribute="1" defaultMemberUniqueName="[Aftalestatus].[Aftalestatus].[All]" allUniqueName="[Aftalestatus].[Aftalestatus].[All]" dimensionUniqueName="[Aftalestatus]" displayFolder="" count="2" unbalanced="0"/>
    <cacheHierarchy uniqueName="[Aftaletype].[Aftaletype]" caption="Aftaletype" attribute="1" defaultMemberUniqueName="[Aftaletype].[Aftaletype].[All]" allUniqueName="[Aftaletype].[Aftaletype].[All]" dimensionUniqueName="[Aftaletype]" displayFolder="" count="2" unbalanced="0"/>
    <cacheHierarchy uniqueName="[Aftaletype].[Aftaletype Gruppe]" caption="Aftaletype Gruppe" attribute="1" defaultMemberUniqueName="[Aftaletype].[Aftaletype Gruppe].[All]" allUniqueName="[Aftaletype].[Aftaletype Gruppe].[All]" dimensionUniqueName="[Aftaletype]" displayFolder="" count="2" unbalanced="0"/>
    <cacheHierarchy uniqueName="[Afvist].[Afvist]" caption="Afvist" attribute="1" defaultMemberUniqueName="[Afvist].[Afvist].[All]" allUniqueName="[Afvist].[Afvist].[All]" dimensionUniqueName="[Afvist]" displayFolder="" count="2" unbalanced="0"/>
    <cacheHierarchy uniqueName="[Aktivitetsstatus].[Aktivitetsstatus]" caption="Aktivitetsstatus" attribute="1" defaultMemberUniqueName="[Aktivitetsstatus].[Aktivitetsstatus].[All]" allUniqueName="[Aktivitetsstatus].[Aktivitetsstatus].[All]" dimensionUniqueName="[Aktivitetsstatus]" displayFolder="" count="2" unbalanced="0"/>
    <cacheHierarchy uniqueName="[Aktivitetstype].[Aktivitetstype]" caption="Aktivitetstype" attribute="1" defaultMemberUniqueName="[Aktivitetstype].[Aktivitetstype].[All]" allUniqueName="[Aktivitetstype].[Aktivitetstype].[All]" dimensionUniqueName="[Aktivitetstype]" displayFolder="" count="2" unbalanced="0"/>
    <cacheHierarchy uniqueName="[Aktivitetstype].[Aktivitetstype_Key]" caption="Aktivitetstype_Key" attribute="1" defaultMemberUniqueName="[Aktivitetstype].[Aktivitetstype_Key].[All]" allUniqueName="[Aktivitetstype].[Aktivitetstype_Key].[All]" dimensionUniqueName="[Aktivitetstype]" displayFolder="" count="2" unbalanced="0"/>
    <cacheHierarchy uniqueName="[Alder].[Aldersgruppe]" caption="Aldersgruppe" attribute="1" defaultMemberUniqueName="[Alder].[Aldersgruppe].[All]" allUniqueName="[Alder].[Aldersgruppe].[All]" dimensionUniqueName="[Alder]" displayFolder="" count="2" unbalanced="0"/>
    <cacheHierarchy uniqueName="[Alder].[Aldersgruppe 10 års interval]" caption="Aldersgruppe 10 års interval" attribute="1" defaultMemberUniqueName="[Alder].[Aldersgruppe 10 års interval].[All]" allUniqueName="[Alder].[Aldersgruppe 10 års interval].[All]" allCaption="All" dimensionUniqueName="[Alder]" displayFolder="" count="2" unbalanced="0">
      <fieldsUsage count="2">
        <fieldUsage x="-1"/>
        <fieldUsage x="3"/>
      </fieldsUsage>
    </cacheHierarchy>
    <cacheHierarchy uniqueName="[Alder].[SortOrder]" caption="SortOrder" attribute="1" defaultMemberUniqueName="[Alder].[SortOrder].[All]" allUniqueName="[Alder].[SortOrder].[All]" dimensionUniqueName="[Alder]" displayFolder="" count="2" unbalanced="0"/>
    <cacheHierarchy uniqueName="[Alder].[SortOrder 10 års interval]" caption="SortOrder 10 års interval" attribute="1" defaultMemberUniqueName="[Alder].[SortOrder 10 års interval].[All]" allUniqueName="[Alder].[SortOrder 10 års interval].[All]" dimensionUniqueName="[Alder]" displayFolder="" count="2" unbalanced="0"/>
    <cacheHierarchy uniqueName="[Anden A-kasse].[Anden A-kasse]" caption="Anden A-kasse" attribute="1" defaultMemberUniqueName="[Anden A-kasse].[Anden A-kasse].[All]" allUniqueName="[Anden A-kasse].[Anden A-kasse].[All]" dimensionUniqueName="[Anden A-kasse]" displayFolder="" count="2" unbalanced="0"/>
    <cacheHierarchy uniqueName="[Anden Aktør Aktiviteter].[Antal Timer]" caption="Antal Timer" attribute="1" defaultMemberUniqueName="[Anden Aktør Aktiviteter].[Antal Timer].[All]" allUniqueName="[Anden Aktør Aktiviteter].[Antal Timer].[All]" dimensionUniqueName="[Anden Aktør Aktiviteter]" displayFolder="" count="2" unbalanced="0"/>
    <cacheHierarchy uniqueName="[Anden Aktør Aktiviteter].[Beskrivelse]" caption="Beskrivelse" attribute="1" defaultMemberUniqueName="[Anden Aktør Aktiviteter].[Beskrivelse].[All]" allUniqueName="[Anden Aktør Aktiviteter].[Beskrivelse].[All]" dimensionUniqueName="[Anden Aktør Aktiviteter]" displayFolder="" count="2" unbalanced="0"/>
    <cacheHierarchy uniqueName="[Anden Aktør Aktiviteter].[Slutdato]" caption="Slutdato" attribute="1" defaultMemberUniqueName="[Anden Aktør Aktiviteter].[Slutdato].[All]" allUniqueName="[Anden Aktør Aktiviteter].[Slutdato].[All]" dimensionUniqueName="[Anden Aktør Aktiviteter]" displayFolder="" count="2" unbalanced="0"/>
    <cacheHierarchy uniqueName="[Anden Aktør Aktiviteter].[Startdato]" caption="Startdato" attribute="1" defaultMemberUniqueName="[Anden Aktør Aktiviteter].[Startdato].[All]" allUniqueName="[Anden Aktør Aktiviteter].[Startdato].[All]" dimensionUniqueName="[Anden Aktør Aktiviteter]" displayFolder="" count="2" unbalanced="0"/>
    <cacheHierarchy uniqueName="[Anden Aktør Aktivitetstype].[Anden Aktør Aktivitetstype]" caption="Anden Aktør Aktivitetstype" attribute="1" defaultMemberUniqueName="[Anden Aktør Aktivitetstype].[Anden Aktør Aktivitetstype].[All]" allUniqueName="[Anden Aktør Aktivitetstype].[Anden Aktør Aktivitetstype].[All]" dimensionUniqueName="[Anden Aktør Aktivitetstype]" displayFolder="" count="2" unbalanced="0"/>
    <cacheHierarchy uniqueName="[Anden Aktør Aktivitetstype].[Virksomhedsrettet Tilbud]" caption="Virksomhedsrettet Tilbud" attribute="1" defaultMemberUniqueName="[Anden Aktør Aktivitetstype].[Virksomhedsrettet Tilbud].[All]" allUniqueName="[Anden Aktør Aktivitetstype].[Virksomhedsrettet Tilbud].[All]" dimensionUniqueName="[Anden Aktør Aktivitetstype]" displayFolder="" count="2" unbalanced="0"/>
    <cacheHierarchy uniqueName="[Ansvarligt Team].[Ansvarlig Afdeling]" caption="Ansvarlig Afdeling" attribute="1" defaultMemberUniqueName="[Ansvarligt Team].[Ansvarlig Afdeling].[All]" allUniqueName="[Ansvarligt Team].[Ansvarlig Afdeling].[All]" dimensionUniqueName="[Ansvarligt Team]" displayFolder="" count="2" unbalanced="0"/>
    <cacheHierarchy uniqueName="[Ansvarligt Team].[Ansvarligt Team]" caption="Ansvarligt Team" attribute="1" defaultMemberUniqueName="[Ansvarligt Team].[Ansvarligt Team].[All]" allUniqueName="[Ansvarligt Team].[Ansvarligt Team].[All]" dimensionUniqueName="[Ansvarligt Team]" displayFolder="" count="2" unbalanced="0"/>
    <cacheHierarchy uniqueName="[Ansvarligt Team].[Ansvarligt Team Gruppe]" caption="Ansvarligt Team Gruppe" attribute="1" defaultMemberUniqueName="[Ansvarligt Team].[Ansvarligt Team Gruppe].[All]" allUniqueName="[Ansvarligt Team].[Ansvarligt Team Gruppe].[All]" dimensionUniqueName="[Ansvarligt Team]" displayFolder="" count="2" unbalanced="0"/>
    <cacheHierarchy uniqueName="[Ansvarligt Team].[Ansvarligt Team_BK]" caption="Ansvarligt Team_BK" attribute="1" defaultMemberUniqueName="[Ansvarligt Team].[Ansvarligt Team_BK].[All]" allUniqueName="[Ansvarligt Team].[Ansvarligt Team_BK].[All]" dimensionUniqueName="[Ansvarligt Team]" displayFolder="" count="2" unbalanced="0"/>
    <cacheHierarchy uniqueName="[Arbejdsgange].[AfslutningsDato]" caption="AfslutningsDato" attribute="1" defaultMemberUniqueName="[Arbejdsgange].[AfslutningsDato].[All]" allUniqueName="[Arbejdsgange].[AfslutningsDato].[All]" dimensionUniqueName="[Arbejdsgange]" displayFolder="" count="2" unbalanced="0"/>
    <cacheHierarchy uniqueName="[Arbejdsgange].[AktiveretDato]" caption="AktiveretDato" attribute="1" defaultMemberUniqueName="[Arbejdsgange].[AktiveretDato].[All]" allUniqueName="[Arbejdsgange].[AktiveretDato].[All]" dimensionUniqueName="[Arbejdsgange]" displayFolder="" count="2" unbalanced="0"/>
    <cacheHierarchy uniqueName="[Arbejdsgange].[Arbejdsgangs_BK]" caption="Arbejdsgangs_BK" attribute="1" defaultMemberUniqueName="[Arbejdsgange].[Arbejdsgangs_BK].[All]" allUniqueName="[Arbejdsgange].[Arbejdsgangs_BK].[All]" dimensionUniqueName="[Arbejdsgange]" displayFolder="" count="2" unbalanced="0"/>
    <cacheHierarchy uniqueName="[Arbejdsgange].[AutomatiskTrin]" caption="AutomatiskTrin" attribute="1" defaultMemberUniqueName="[Arbejdsgange].[AutomatiskTrin].[All]" allUniqueName="[Arbejdsgange].[AutomatiskTrin].[All]" dimensionUniqueName="[Arbejdsgange]" displayFolder="" count="2" unbalanced="0"/>
    <cacheHierarchy uniqueName="[Arbejdsgange].[DimittendDato]" caption="DimittendDato" attribute="1" defaultMemberUniqueName="[Arbejdsgange].[DimittendDato].[All]" allUniqueName="[Arbejdsgange].[DimittendDato].[All]" dimensionUniqueName="[Arbejdsgange]" displayFolder="" count="2" unbalanced="0"/>
    <cacheHierarchy uniqueName="[Arbejdsgange].[ManueltTrin]" caption="ManueltTrin" attribute="1" defaultMemberUniqueName="[Arbejdsgange].[ManueltTrin].[All]" allUniqueName="[Arbejdsgange].[ManueltTrin].[All]" dimensionUniqueName="[Arbejdsgange]" displayFolder="" count="2" unbalanced="0"/>
    <cacheHierarchy uniqueName="[Arbejdsgange].[TrinNummer]" caption="TrinNummer" attribute="1" defaultMemberUniqueName="[Arbejdsgange].[TrinNummer].[All]" allUniqueName="[Arbejdsgange].[TrinNummer].[All]" dimensionUniqueName="[Arbejdsgange]" displayFolder="" count="2" unbalanced="0"/>
    <cacheHierarchy uniqueName="[Arbejdsgangstype].[Arbejdsgangstype]" caption="Arbejdsgangstype" attribute="1" defaultMemberUniqueName="[Arbejdsgangstype].[Arbejdsgangstype].[All]" allUniqueName="[Arbejdsgangstype].[Arbejdsgangstype].[All]" dimensionUniqueName="[Arbejdsgangstype]" displayFolder="" count="2" unbalanced="0"/>
    <cacheHierarchy uniqueName="[Arbejdsgangstype].[Arbejdsgangstype_Key]" caption="Arbejdsgangstype_Key" attribute="1" defaultMemberUniqueName="[Arbejdsgangstype].[Arbejdsgangstype_Key].[All]" allUniqueName="[Arbejdsgangstype].[Arbejdsgangstype_Key].[All]" dimensionUniqueName="[Arbejdsgangstype]" displayFolder="" count="2" unbalanced="0"/>
    <cacheHierarchy uniqueName="[Arbejdsgangstype].[ArbejdsgangstypeBeskrivelse]" caption="ArbejdsgangstypeBeskrivelse" attribute="1" defaultMemberUniqueName="[Arbejdsgangstype].[ArbejdsgangstypeBeskrivelse].[All]" allUniqueName="[Arbejdsgangstype].[ArbejdsgangstypeBeskrivelse].[All]" dimensionUniqueName="[Arbejdsgangstype]" displayFolder="" count="2" unbalanced="0"/>
    <cacheHierarchy uniqueName="[Arbejdsgangstype].[ArbejdsgangstypeGruppering]" caption="ArbejdsgangstypeGruppering" attribute="1" defaultMemberUniqueName="[Arbejdsgangstype].[ArbejdsgangstypeGruppering].[All]" allUniqueName="[Arbejdsgangstype].[ArbejdsgangstypeGruppering].[All]" dimensionUniqueName="[Arbejdsgangstype]" displayFolder="" count="2" unbalanced="0"/>
    <cacheHierarchy uniqueName="[Arbejdsgangtrin].[Arbejdsgangtrin]" caption="Arbejdsgangtrin" attribute="1" defaultMemberUniqueName="[Arbejdsgangtrin].[Arbejdsgangtrin].[All]" allUniqueName="[Arbejdsgangtrin].[Arbejdsgangtrin].[All]" dimensionUniqueName="[Arbejdsgangtrin]" displayFolder="" count="2" unbalanced="0"/>
    <cacheHierarchy uniqueName="[Arbejdsgangtrin].[Arbejdsgangtrin_BK]" caption="Arbejdsgangtrin_BK" attribute="1" defaultMemberUniqueName="[Arbejdsgangtrin].[Arbejdsgangtrin_BK].[All]" allUniqueName="[Arbejdsgangtrin].[Arbejdsgangtrin_BK].[All]" dimensionUniqueName="[Arbejdsgangtrin]" displayFolder="" count="2" unbalanced="0"/>
    <cacheHierarchy uniqueName="[Arbejdsgangtrin].[Arbejdsgangtrin_Key]" caption="Arbejdsgangtrin_Key" attribute="1" defaultMemberUniqueName="[Arbejdsgangtrin].[Arbejdsgangtrin_Key].[All]" allUniqueName="[Arbejdsgangtrin].[Arbejdsgangtrin_Key].[All]" dimensionUniqueName="[Arbejdsgangtrin]" displayFolder="" count="2" unbalanced="0"/>
    <cacheHierarchy uniqueName="[Arbejdsgangtrin].[ArbejdsgangtrinType]" caption="ArbejdsgangtrinType" attribute="1" defaultMemberUniqueName="[Arbejdsgangtrin].[ArbejdsgangtrinType].[All]" allUniqueName="[Arbejdsgangtrin].[ArbejdsgangtrinType].[All]" dimensionUniqueName="[Arbejdsgangtrin]" displayFolder="" count="2" unbalanced="0"/>
    <cacheHierarchy uniqueName="[ArbejdsgangtrinStatus].[Arbejdsgangtrinstatus]" caption="Arbejdsgangtrinstatus" attribute="1" defaultMemberUniqueName="[ArbejdsgangtrinStatus].[Arbejdsgangtrinstatus].[All]" allUniqueName="[ArbejdsgangtrinStatus].[Arbejdsgangtrinstatus].[All]" dimensionUniqueName="[ArbejdsgangtrinStatus]" displayFolder="" count="2" unbalanced="0"/>
    <cacheHierarchy uniqueName="[ArbejdsgangtrinStatus].[Arbejdsgangtrinstatus_BK]" caption="Arbejdsgangtrinstatus_BK" attribute="1" defaultMemberUniqueName="[ArbejdsgangtrinStatus].[Arbejdsgangtrinstatus_BK].[All]" allUniqueName="[ArbejdsgangtrinStatus].[Arbejdsgangtrinstatus_BK].[All]" dimensionUniqueName="[ArbejdsgangtrinStatus]" displayFolder="" count="2" unbalanced="0"/>
    <cacheHierarchy uniqueName="[ArbejdsgangtrinStatus].[Arbejdsgangtrinstatus_Key]" caption="Arbejdsgangtrinstatus_Key" attribute="1" defaultMemberUniqueName="[ArbejdsgangtrinStatus].[Arbejdsgangtrinstatus_Key].[All]" allUniqueName="[ArbejdsgangtrinStatus].[Arbejdsgangtrinstatus_Key].[All]" dimensionUniqueName="[ArbejdsgangtrinStatus]" displayFolder="" count="2" unbalanced="0"/>
    <cacheHierarchy uniqueName="[Arrangement].[Arrangement]" caption="Arrangement" attribute="1" defaultMemberUniqueName="[Arrangement].[Arrangement].[All]" allUniqueName="[Arrangement].[Arrangement].[All]" dimensionUniqueName="[Arrangement]" displayFolder="" count="2" unbalanced="0"/>
    <cacheHierarchy uniqueName="[Arrangement].[Arrangement By]" caption="Arrangement By" attribute="1" defaultMemberUniqueName="[Arrangement].[Arrangement By].[All]" allUniqueName="[Arrangement].[Arrangement By].[All]" dimensionUniqueName="[Arrangement]" displayFolder="" count="2" unbalanced="0"/>
    <cacheHierarchy uniqueName="[Arrangement].[Arrangement Gruppe]" caption="Arrangement Gruppe" attribute="1" defaultMemberUniqueName="[Arrangement].[Arrangement Gruppe].[All]" allUniqueName="[Arrangement].[Arrangement Gruppe].[All]" dimensionUniqueName="[Arrangement]" displayFolder="" count="2" unbalanced="0"/>
    <cacheHierarchy uniqueName="[Automatiseringstype].[Automatiseringstype]" caption="Automatiseringstype" attribute="1" defaultMemberUniqueName="[Automatiseringstype].[Automatiseringstype].[All]" allUniqueName="[Automatiseringstype].[Automatiseringstype].[All]" dimensionUniqueName="[Automatiseringstype]" displayFolder="" count="2" unbalanced="0"/>
    <cacheHierarchy uniqueName="[Automatiseringstype].[Automatiseringstype_Key]" caption="Automatiseringstype_Key" attribute="1" defaultMemberUniqueName="[Automatiseringstype].[Automatiseringstype_Key].[All]" allUniqueName="[Automatiseringstype].[Automatiseringstype_Key].[All]" dimensionUniqueName="[Automatiseringstype]" displayFolder="" count="2" unbalanced="0"/>
    <cacheHierarchy uniqueName="[Behandlet].[Behandlet]" caption="Behandlet" attribute="1" defaultMemberUniqueName="[Behandlet].[Behandlet].[All]" allUniqueName="[Behandlet].[Behandlet].[All]" dimensionUniqueName="[Behandlet]" displayFolder="" count="2" unbalanced="0"/>
    <cacheHierarchy uniqueName="[Betalingsstatus].[Betalingsstatus]" caption="Betalingsstatus" attribute="1" defaultMemberUniqueName="[Betalingsstatus].[Betalingsstatus].[All]" allUniqueName="[Betalingsstatus].[Betalingsstatus].[All]" dimensionUniqueName="[Betalingsstatus]" displayFolder="" count="2" unbalanced="0">
      <fieldsUsage count="2">
        <fieldUsage x="-1"/>
        <fieldUsage x="11"/>
      </fieldsUsage>
    </cacheHierarchy>
    <cacheHierarchy uniqueName="[Dato].[Afsluttede Måneder]" caption="Afsluttede Måneder" attribute="1" defaultMemberUniqueName="[Dato].[Afsluttede Måneder].[All]" allUniqueName="[Dato].[Afsluttede Måneder].[All]" dimensionUniqueName="[Dato]" displayFolder="" count="2" unbalanced="0"/>
    <cacheHierarchy uniqueName="[Dato].[Arbejdsdag]" caption="Arbejdsdag" attribute="1" defaultMemberUniqueName="[Dato].[Arbejdsdag].[All]" allUniqueName="[Dato].[Arbejdsdag].[All]" dimensionUniqueName="[Dato]" displayFolder="" count="2" unbalanced="0"/>
    <cacheHierarchy uniqueName="[Dato].[Dag I Dagpengeperiode]" caption="Dag I Dagpengeperiode" attribute="1" defaultMemberUniqueName="[Dato].[Dag I Dagpengeperiode].[All]" allUniqueName="[Dato].[Dag I Dagpengeperiode].[All]" dimensionUniqueName="[Dato]" displayFolder="" count="2" unbalanced="0"/>
    <cacheHierarchy uniqueName="[Dato].[Dag I Måneden]" caption="Dag I Måneden" attribute="1" defaultMemberUniqueName="[Dato].[Dag I Måneden].[All]" allUniqueName="[Dato].[Dag I Måneden].[All]" dimensionUniqueName="[Dato]" displayFolder="" count="2" unbalanced="0"/>
    <cacheHierarchy uniqueName="[Dato].[Dagpenge Kvartal]" caption="Dagpenge Kvartal" attribute="1" defaultMemberUniqueName="[Dato].[Dagpenge Kvartal].[All]" allUniqueName="[Dato].[Dagpenge Kvartal].[All]" dimensionUniqueName="[Dato]" displayFolder="" count="2" unbalanced="0"/>
    <cacheHierarchy uniqueName="[Dato].[Dagpenge Periode]" caption="Dagpenge Periode" attribute="1" defaultMemberUniqueName="[Dato].[Dagpenge Periode].[All]" allUniqueName="[Dato].[Dagpenge Periode].[All]" dimensionUniqueName="[Dato]" displayFolder="" count="2" unbalanced="0"/>
    <cacheHierarchy uniqueName="[Dato].[Dagpenge Periode Navn]" caption="Dagpenge Periode Navn" attribute="1" defaultMemberUniqueName="[Dato].[Dagpenge Periode Navn].[All]" allUniqueName="[Dato].[Dagpenge Periode Navn].[All]" dimensionUniqueName="[Dato]" displayFolder="" count="2" unbalanced="0"/>
    <cacheHierarchy uniqueName="[Dato].[Dagpenge Periode Nummer]" caption="Dagpenge Periode Nummer" attribute="1" defaultMemberUniqueName="[Dato].[Dagpenge Periode Nummer].[All]" allUniqueName="[Dato].[Dagpenge Periode Nummer].[All]" dimensionUniqueName="[Dato]" displayFolder="" count="2" unbalanced="0"/>
    <cacheHierarchy uniqueName="[Dato].[Dagpenge Uge]" caption="Dagpenge Uge" attribute="1" defaultMemberUniqueName="[Dato].[Dagpenge Uge].[All]" allUniqueName="[Dato].[Dagpenge Uge].[All]" dimensionUniqueName="[Dato]" displayFolder="" count="2" unbalanced="0"/>
    <cacheHierarchy uniqueName="[Dato].[Dagpenge Uge Nummer]" caption="Dagpenge Uge Nummer" attribute="1" defaultMemberUniqueName="[Dato].[Dagpenge Uge Nummer].[All]" allUniqueName="[Dato].[Dagpenge Uge Nummer].[All]" dimensionUniqueName="[Dato]" displayFolder="" count="2" unbalanced="0"/>
    <cacheHierarchy uniqueName="[Dato].[Dagpenge År]" caption="Dagpenge År" attribute="1" defaultMemberUniqueName="[Dato].[Dagpenge År].[All]" allUniqueName="[Dato].[Dagpenge År].[All]" dimensionUniqueName="[Dato]" displayFolder="" count="2" unbalanced="0"/>
    <cacheHierarchy uniqueName="[Dato].[Dagpenge År - Periode]" caption="Dagpenge År - Periode" defaultMemberUniqueName="[Dato].[Dagpenge År - Periode].[All]" allUniqueName="[Dato].[Dagpenge År - Periode].[All]" dimensionUniqueName="[Dato]" displayFolder="" count="3" unbalanced="0"/>
    <cacheHierarchy uniqueName="[Dato].[Dato]" caption="Dato" attribute="1" defaultMemberUniqueName="[Dato].[Dato].[All]" allUniqueName="[Dato].[Dato].[All]" dimensionUniqueName="[Dato]" displayFolder="" count="2" unbalanced="0"/>
    <cacheHierarchy uniqueName="[Dato].[ForrigeUge]" caption="ForrigeUge" attribute="1" defaultMemberUniqueName="[Dato].[ForrigeUge].[All]" allUniqueName="[Dato].[ForrigeUge].[All]" dimensionUniqueName="[Dato]" displayFolder="" count="2" unbalanced="0"/>
    <cacheHierarchy uniqueName="[Dato].[Fremtid]" caption="Fremtid" attribute="1" defaultMemberUniqueName="[Dato].[Fremtid].[All]" allUniqueName="[Dato].[Fremtid].[All]" dimensionUniqueName="[Dato]" displayFolder="" count="2" unbalanced="0"/>
    <cacheHierarchy uniqueName="[Dato].[Helligdag]" caption="Helligdag" attribute="1" defaultMemberUniqueName="[Dato].[Helligdag].[All]" allUniqueName="[Dato].[Helligdag].[All]" dimensionUniqueName="[Dato]" displayFolder="" count="2" unbalanced="0"/>
    <cacheHierarchy uniqueName="[Dato].[Helligdag Navn]" caption="Helligdag Navn" attribute="1" defaultMemberUniqueName="[Dato].[Helligdag Navn].[All]" allUniqueName="[Dato].[Helligdag Navn].[All]" dimensionUniqueName="[Dato]" displayFolder="" count="2" unbalanced="0"/>
    <cacheHierarchy uniqueName="[Dato].[I går]" caption="I går" attribute="1" defaultMemberUniqueName="[Dato].[I går].[All]" allUniqueName="[Dato].[I går].[All]" dimensionUniqueName="[Dato]" displayFolder="" count="2" unbalanced="0"/>
    <cacheHierarchy uniqueName="[Dato].[Indeværende Måned]" caption="Indeværende Måned" attribute="1" defaultMemberUniqueName="[Dato].[Indeværende Måned].[All]" allUniqueName="[Dato].[Indeværende Måned].[All]" dimensionUniqueName="[Dato]" displayFolder="" count="2" unbalanced="0"/>
    <cacheHierarchy uniqueName="[Dato].[Kvartal]" caption="Kvartal" attribute="1" defaultMemberUniqueName="[Dato].[Kvartal].[All]" allUniqueName="[Dato].[Kvartal].[All]" dimensionUniqueName="[Dato]" displayFolder="" count="2" unbalanced="0"/>
    <cacheHierarchy uniqueName="[Dato].[Måned]" caption="Måned" attribute="1" defaultMemberUniqueName="[Dato].[Måned].[All]" allUniqueName="[Dato].[Måned].[All]" dimensionUniqueName="[Dato]" displayFolder="" count="2" unbalanced="0"/>
    <cacheHierarchy uniqueName="[Dato].[Måned Navn]" caption="Måned Navn" attribute="1" defaultMemberUniqueName="[Dato].[Måned Navn].[All]" allUniqueName="[Dato].[Måned Navn].[All]" dimensionUniqueName="[Dato]" displayFolder="" count="2" unbalanced="0"/>
    <cacheHierarchy uniqueName="[Dato].[Måned Navn Kort]" caption="Måned Navn Kort" attribute="1" defaultMemberUniqueName="[Dato].[Måned Navn Kort].[All]" allUniqueName="[Dato].[Måned Navn Kort].[All]" dimensionUniqueName="[Dato]" displayFolder="" count="2" unbalanced="0"/>
    <cacheHierarchy uniqueName="[Dato].[Månednummer]" caption="Månednummer" attribute="1" defaultMemberUniqueName="[Dato].[Månednummer].[All]" allUniqueName="[Dato].[Månednummer].[All]" dimensionUniqueName="[Dato]" displayFolder="" count="2" unbalanced="0"/>
    <cacheHierarchy uniqueName="[Dato].[Sidste Fem År]" caption="Sidste Fem År" attribute="1" defaultMemberUniqueName="[Dato].[Sidste Fem År].[All]" allUniqueName="[Dato].[Sidste Fem År].[All]" dimensionUniqueName="[Dato]" displayFolder="" count="2" unbalanced="0"/>
    <cacheHierarchy uniqueName="[Dato].[SidsteUge]" caption="SidsteUge" attribute="1" defaultMemberUniqueName="[Dato].[SidsteUge].[All]" allUniqueName="[Dato].[SidsteUge].[All]" dimensionUniqueName="[Dato]" displayFolder="" count="2" unbalanced="0"/>
    <cacheHierarchy uniqueName="[Dato].[Uge]" caption="Uge" attribute="1" defaultMemberUniqueName="[Dato].[Uge].[All]" allUniqueName="[Dato].[Uge].[All]" dimensionUniqueName="[Dato]" displayFolder="" count="2" unbalanced="0"/>
    <cacheHierarchy uniqueName="[Dato].[Uge Nummer]" caption="Uge Nummer" attribute="1" defaultMemberUniqueName="[Dato].[Uge Nummer].[All]" allUniqueName="[Dato].[Uge Nummer].[All]" dimensionUniqueName="[Dato]" displayFolder="" count="2" unbalanced="0"/>
    <cacheHierarchy uniqueName="[Dato].[Uge År]" caption="Uge År" attribute="1" defaultMemberUniqueName="[Dato].[Uge År].[All]" allUniqueName="[Dato].[Uge År].[All]" dimensionUniqueName="[Dato]" displayFolder="" count="2" unbalanced="0"/>
    <cacheHierarchy uniqueName="[Dato].[Ugedag]" caption="Ugedag" attribute="1" defaultMemberUniqueName="[Dato].[Ugedag].[All]" allUniqueName="[Dato].[Ugedag].[All]" dimensionUniqueName="[Dato]" displayFolder="" count="2" unbalanced="0"/>
    <cacheHierarchy uniqueName="[Dato].[År]" caption="År" attribute="1" defaultMemberUniqueName="[Dato].[År].[All]" allUniqueName="[Dato].[År].[All]" dimensionUniqueName="[Dato]" displayFolder="" count="2" unbalanced="0"/>
    <cacheHierarchy uniqueName="[Dato].[År - Måned - Dato]" caption="År - Måned - Dato" defaultMemberUniqueName="[Dato].[År - Måned - Dato].[All]" allUniqueName="[Dato].[År - Måned - Dato].[All]" dimensionUniqueName="[Dato]" displayFolder="" count="4" unbalanced="0"/>
    <cacheHierarchy uniqueName="[Dato].[År - Uge - Dato]" caption="År - Uge - Dato" defaultMemberUniqueName="[Dato].[År - Uge - Dato].[All]" allUniqueName="[Dato].[År - Uge - Dato].[All]" dimensionUniqueName="[Dato]" displayFolder="" count="4" unbalanced="0"/>
    <cacheHierarchy uniqueName="[Deadlinedato].[AfsluttedeMåneder]" caption="AfsluttedeMåneder" attribute="1" defaultMemberUniqueName="[Deadlinedato].[AfsluttedeMåneder].[All]" allUniqueName="[Deadlinedato].[AfsluttedeMåneder].[All]" dimensionUniqueName="[Deadlinedato]" displayFolder="" count="2" unbalanced="0"/>
    <cacheHierarchy uniqueName="[Deadlinedato].[Dag i måneden]" caption="Dag i måneden" attribute="1" defaultMemberUniqueName="[Deadlinedato].[Dag i måneden].[All]" allUniqueName="[Deadlinedato].[Dag i måneden].[All]" dimensionUniqueName="[Deadlinedato]" displayFolder="" count="2" unbalanced="0"/>
    <cacheHierarchy uniqueName="[Deadlinedato].[DagpengeKvartal]" caption="DagpengeKvartal" attribute="1" defaultMemberUniqueName="[Deadlinedato].[DagpengeKvartal].[All]" allUniqueName="[Deadlinedato].[DagpengeKvartal].[All]" dimensionUniqueName="[Deadlinedato]" displayFolder="" count="2" unbalanced="0"/>
    <cacheHierarchy uniqueName="[Deadlinedato].[DagpengePeriode]" caption="DagpengePeriode" attribute="1" defaultMemberUniqueName="[Deadlinedato].[DagpengePeriode].[All]" allUniqueName="[Deadlinedato].[DagpengePeriode].[All]" dimensionUniqueName="[Deadlinedato]" displayFolder="" count="2" unbalanced="0"/>
    <cacheHierarchy uniqueName="[Deadlinedato].[DagpengePeriodeNavn]" caption="DagpengePeriodeNavn" attribute="1" defaultMemberUniqueName="[Deadlinedato].[DagpengePeriodeNavn].[All]" allUniqueName="[Deadlinedato].[DagpengePeriodeNavn].[All]" dimensionUniqueName="[Deadlinedato]" displayFolder="" count="2" unbalanced="0"/>
    <cacheHierarchy uniqueName="[Deadlinedato].[DagpengePeriodeNr]" caption="DagpengePeriodeNr" attribute="1" defaultMemberUniqueName="[Deadlinedato].[DagpengePeriodeNr].[All]" allUniqueName="[Deadlinedato].[DagpengePeriodeNr].[All]" dimensionUniqueName="[Deadlinedato]" displayFolder="" count="2" unbalanced="0"/>
    <cacheHierarchy uniqueName="[Deadlinedato].[DagpengePeriodeNummer]" caption="DagpengePeriodeNummer" attribute="1" defaultMemberUniqueName="[Deadlinedato].[DagpengePeriodeNummer].[All]" allUniqueName="[Deadlinedato].[DagpengePeriodeNummer].[All]" dimensionUniqueName="[Deadlinedato]" displayFolder="" count="2" unbalanced="0"/>
    <cacheHierarchy uniqueName="[Deadlinedato].[DagpengeUge]" caption="DagpengeUge" attribute="1" defaultMemberUniqueName="[Deadlinedato].[DagpengeUge].[All]" allUniqueName="[Deadlinedato].[DagpengeUge].[All]" dimensionUniqueName="[Deadlinedato]" displayFolder="" count="2" unbalanced="0"/>
    <cacheHierarchy uniqueName="[Deadlinedato].[DagpengeUgeNr]" caption="DagpengeUgeNr" attribute="1" defaultMemberUniqueName="[Deadlinedato].[DagpengeUgeNr].[All]" allUniqueName="[Deadlinedato].[DagpengeUgeNr].[All]" dimensionUniqueName="[Deadlinedato]" displayFolder="" count="2" unbalanced="0"/>
    <cacheHierarchy uniqueName="[Deadlinedato].[DagpengeUgeNummer]" caption="DagpengeUgeNummer" attribute="1" defaultMemberUniqueName="[Deadlinedato].[DagpengeUgeNummer].[All]" allUniqueName="[Deadlinedato].[DagpengeUgeNummer].[All]" dimensionUniqueName="[Deadlinedato]" displayFolder="" count="2" unbalanced="0"/>
    <cacheHierarchy uniqueName="[Deadlinedato].[DagpengeÅr]" caption="DagpengeÅr" attribute="1" defaultMemberUniqueName="[Deadlinedato].[DagpengeÅr].[All]" allUniqueName="[Deadlinedato].[DagpengeÅr].[All]" dimensionUniqueName="[Deadlinedato]" displayFolder="" count="2" unbalanced="0"/>
    <cacheHierarchy uniqueName="[Deadlinedato].[Dato]" caption="Dato" attribute="1" defaultMemberUniqueName="[Deadlinedato].[Dato].[All]" allUniqueName="[Deadlinedato].[Dato].[All]" dimensionUniqueName="[Deadlinedato]" displayFolder="" count="2" unbalanced="0"/>
    <cacheHierarchy uniqueName="[Deadlinedato].[Igår]" caption="Igår" attribute="1" defaultMemberUniqueName="[Deadlinedato].[Igår].[All]" allUniqueName="[Deadlinedato].[Igår].[All]" dimensionUniqueName="[Deadlinedato]" displayFolder="" count="2" unbalanced="0"/>
    <cacheHierarchy uniqueName="[Deadlinedato].[IndværendeMåned]" caption="IndværendeMåned" attribute="1" defaultMemberUniqueName="[Deadlinedato].[IndværendeMåned].[All]" allUniqueName="[Deadlinedato].[IndværendeMåned].[All]" dimensionUniqueName="[Deadlinedato]" displayFolder="" count="2" unbalanced="0"/>
    <cacheHierarchy uniqueName="[Deadlinedato].[Kvartal]" caption="Kvartal" attribute="1" defaultMemberUniqueName="[Deadlinedato].[Kvartal].[All]" allUniqueName="[Deadlinedato].[Kvartal].[All]" dimensionUniqueName="[Deadlinedato]" displayFolder="" count="2" unbalanced="0"/>
    <cacheHierarchy uniqueName="[Deadlinedato].[Måned]" caption="Måned" attribute="1" defaultMemberUniqueName="[Deadlinedato].[Måned].[All]" allUniqueName="[Deadlinedato].[Måned].[All]" dimensionUniqueName="[Deadlinedato]" displayFolder="" count="2" unbalanced="0"/>
    <cacheHierarchy uniqueName="[Deadlinedato].[MånedNavn]" caption="MånedNavn" attribute="1" defaultMemberUniqueName="[Deadlinedato].[MånedNavn].[All]" allUniqueName="[Deadlinedato].[MånedNavn].[All]" dimensionUniqueName="[Deadlinedato]" displayFolder="" count="2" unbalanced="0"/>
    <cacheHierarchy uniqueName="[Deadlinedato].[MånedNavnKort]" caption="MånedNavnKort" attribute="1" defaultMemberUniqueName="[Deadlinedato].[MånedNavnKort].[All]" allUniqueName="[Deadlinedato].[MånedNavnKort].[All]" dimensionUniqueName="[Deadlinedato]" displayFolder="" count="2" unbalanced="0"/>
    <cacheHierarchy uniqueName="[Deadlinedato].[MånedNummer]" caption="MånedNummer" attribute="1" defaultMemberUniqueName="[Deadlinedato].[MånedNummer].[All]" allUniqueName="[Deadlinedato].[MånedNummer].[All]" dimensionUniqueName="[Deadlinedato]" displayFolder="" count="2" unbalanced="0"/>
    <cacheHierarchy uniqueName="[Deadlinedato].[SidsteFemÅr]" caption="SidsteFemÅr" attribute="1" defaultMemberUniqueName="[Deadlinedato].[SidsteFemÅr].[All]" allUniqueName="[Deadlinedato].[SidsteFemÅr].[All]" dimensionUniqueName="[Deadlinedato]" displayFolder="" count="2" unbalanced="0"/>
    <cacheHierarchy uniqueName="[Deadlinedato].[Ugedag]" caption="Ugedag" attribute="1" defaultMemberUniqueName="[Deadlinedato].[Ugedag].[All]" allUniqueName="[Deadlinedato].[Ugedag].[All]" dimensionUniqueName="[Deadlinedato]" displayFolder="" count="2" unbalanced="0"/>
    <cacheHierarchy uniqueName="[Deadlinedato].[År]" caption="År" attribute="1" defaultMemberUniqueName="[Deadlinedato].[År].[All]" allUniqueName="[Deadlinedato].[År].[All]" dimensionUniqueName="[Deadlinedato]" displayFolder="" count="2" unbalanced="0"/>
    <cacheHierarchy uniqueName="[Deadlinedato].[År - Måned - Dato]" caption="År - Måned - Dato" defaultMemberUniqueName="[Deadlinedato].[År - Måned - Dato].[All]" allUniqueName="[Deadlinedato].[År - Måned - Dato].[All]" dimensionUniqueName="[Deadlinedato]" displayFolder="" count="4" unbalanced="0"/>
    <cacheHierarchy uniqueName="[Dimittenddato].[Dimittenddato]" caption="Dimittenddato" attribute="1" defaultMemberUniqueName="[Dimittenddato].[Dimittenddato].[All]" allUniqueName="[Dimittenddato].[Dimittenddato].[All]" dimensionUniqueName="[Dimittenddato]" displayFolder="" count="2" unbalanced="0">
      <fieldsUsage count="2">
        <fieldUsage x="-1"/>
        <fieldUsage x="7"/>
      </fieldsUsage>
    </cacheHierarchy>
    <cacheHierarchy uniqueName="[Erklæringstype].[Alternativ Erklæringstype Gruppe]" caption="Alternativ Erklæringstype Gruppe" attribute="1" defaultMemberUniqueName="[Erklæringstype].[Alternativ Erklæringstype Gruppe].[All]" allUniqueName="[Erklæringstype].[Alternativ Erklæringstype Gruppe].[All]" dimensionUniqueName="[Erklæringstype]" displayFolder="" count="2" unbalanced="0"/>
    <cacheHierarchy uniqueName="[Erklæringstype].[Erklæringstype]" caption="Erklæringstype" attribute="1" defaultMemberUniqueName="[Erklæringstype].[Erklæringstype].[All]" allUniqueName="[Erklæringstype].[Erklæringstype].[All]" dimensionUniqueName="[Erklæringstype]" displayFolder="" count="2" unbalanced="0"/>
    <cacheHierarchy uniqueName="[Erklæringstype].[Erklæringstype Gruppe]" caption="Erklæringstype Gruppe" attribute="1" defaultMemberUniqueName="[Erklæringstype].[Erklæringstype Gruppe].[All]" allUniqueName="[Erklæringstype].[Erklæringstype Gruppe].[All]" dimensionUniqueName="[Erklæringstype]" displayFolder="" count="2" unbalanced="0"/>
    <cacheHierarchy uniqueName="[Erklæringstype].[Erklæringstype_BK]" caption="Erklæringstype_BK" attribute="1" defaultMemberUniqueName="[Erklæringstype].[Erklæringstype_BK].[All]" allUniqueName="[Erklæringstype].[Erklæringstype_BK].[All]" dimensionUniqueName="[Erklæringstype]" displayFolder="" count="2" unbalanced="0"/>
    <cacheHierarchy uniqueName="[Fagligt Tilhørsforhold].[Fagligt Tilhørsforhold]" caption="Fagligt Tilhørsforhold" attribute="1" defaultMemberUniqueName="[Fagligt Tilhørsforhold].[Fagligt Tilhørsforhold].[All]" allUniqueName="[Fagligt Tilhørsforhold].[Fagligt Tilhørsforhold].[All]" dimensionUniqueName="[Fagligt Tilhørsforhold]" displayFolder="" count="2" unbalanced="0"/>
    <cacheHierarchy uniqueName="[Fagligt Tilhørsforhold].[Valggruppe]" caption="Valggruppe" attribute="1" defaultMemberUniqueName="[Fagligt Tilhørsforhold].[Valggruppe].[All]" allUniqueName="[Fagligt Tilhørsforhold].[Valggruppe].[All]" dimensionUniqueName="[Fagligt Tilhørsforhold]" displayFolder="" count="2" unbalanced="0"/>
    <cacheHierarchy uniqueName="[Fagligt Tilhørsforhold].[Valggruppe - Fagligt Tilhørsforhold]" caption="Valggruppe - Fagligt Tilhørsforhold" defaultMemberUniqueName="[Fagligt Tilhørsforhold].[Valggruppe - Fagligt Tilhørsforhold].[All]" allUniqueName="[Fagligt Tilhørsforhold].[Valggruppe - Fagligt Tilhørsforhold].[All]" dimensionUniqueName="[Fagligt Tilhørsforhold]" displayFolder="" count="3" unbalanced="0"/>
    <cacheHierarchy uniqueName="[Fagligt Tilhørsforhold].[Valggruppe Navn]" caption="Valggruppe Navn" attribute="1" defaultMemberUniqueName="[Fagligt Tilhørsforhold].[Valggruppe Navn].[All]" allUniqueName="[Fagligt Tilhørsforhold].[Valggruppe Navn].[All]" dimensionUniqueName="[Fagligt Tilhørsforhold]" displayFolder="" count="2" unbalanced="0"/>
    <cacheHierarchy uniqueName="[Fagligt Tilhørsforhold].[Valggruppe Nummer]" caption="Valggruppe Nummer" attribute="1" defaultMemberUniqueName="[Fagligt Tilhørsforhold].[Valggruppe Nummer].[All]" allUniqueName="[Fagligt Tilhørsforhold].[Valggruppe Nummer].[All]" dimensionUniqueName="[Fagligt Tilhørsforhold]" displayFolder="" count="2" unbalanced="0"/>
    <cacheHierarchy uniqueName="[Forløb].[Forløb]" caption="Forløb" attribute="1" defaultMemberUniqueName="[Forløb].[Forløb].[All]" allUniqueName="[Forløb].[Forløb].[All]" dimensionUniqueName="[Forløb]" displayFolder="" count="2" unbalanced="0"/>
    <cacheHierarchy uniqueName="[Fraværskode].[Fraværskode]" caption="Fraværskode" attribute="1" defaultMemberUniqueName="[Fraværskode].[Fraværskode].[All]" allUniqueName="[Fraværskode].[Fraværskode].[All]" dimensionUniqueName="[Fraværskode]" displayFolder="" count="2" unbalanced="0"/>
    <cacheHierarchy uniqueName="[Fraværskode].[Fraværskode Beskrivelse]" caption="Fraværskode Beskrivelse" attribute="1" defaultMemberUniqueName="[Fraværskode].[Fraværskode Beskrivelse].[All]" allUniqueName="[Fraværskode].[Fraværskode Beskrivelse].[All]" dimensionUniqueName="[Fraværskode]" displayFolder="" count="2" unbalanced="0"/>
    <cacheHierarchy uniqueName="[Fraværskode].[Fraværskode Gruppe]" caption="Fraværskode Gruppe" attribute="1" defaultMemberUniqueName="[Fraværskode].[Fraværskode Gruppe].[All]" allUniqueName="[Fraværskode].[Fraværskode Gruppe].[All]" dimensionUniqueName="[Fraværskode]" displayFolder="" count="2" unbalanced="0"/>
    <cacheHierarchy uniqueName="[Fraværskode].[Fraværskode Nummer]" caption="Fraværskode Nummer" attribute="1" defaultMemberUniqueName="[Fraværskode].[Fraværskode Nummer].[All]" allUniqueName="[Fraværskode].[Fraværskode Nummer].[All]" dimensionUniqueName="[Fraværskode]" displayFolder="" count="2" unbalanced="0"/>
    <cacheHierarchy uniqueName="[HelpDeskIncident].[Behandlingstid2]" caption="Behandlingstid2" attribute="1" defaultMemberUniqueName="[HelpDeskIncident].[Behandlingstid2].[All]" allUniqueName="[HelpDeskIncident].[Behandlingstid2].[All]" dimensionUniqueName="[HelpDeskIncident]" displayFolder="" count="2" unbalanced="0"/>
    <cacheHierarchy uniqueName="[HelpDeskIncident].[Foerste Svar]" caption="Foerste Svar" attribute="1" defaultMemberUniqueName="[HelpDeskIncident].[Foerste Svar].[All]" allUniqueName="[HelpDeskIncident].[Foerste Svar].[All]" dimensionUniqueName="[HelpDeskIncident]" displayFolder="" count="2" unbalanced="0"/>
    <cacheHierarchy uniqueName="[HelpDeskIncident].[ForbrugtTidMinutter]" caption="ForbrugtTidMinutter" attribute="1" defaultMemberUniqueName="[HelpDeskIncident].[ForbrugtTidMinutter].[All]" allUniqueName="[HelpDeskIncident].[ForbrugtTidMinutter].[All]" dimensionUniqueName="[HelpDeskIncident]" displayFolder="" count="2" unbalanced="0"/>
    <cacheHierarchy uniqueName="[HelpDeskIncident].[GennemløbstidMinutter]" caption="GennemløbstidMinutter" attribute="1" defaultMemberUniqueName="[HelpDeskIncident].[GennemløbstidMinutter].[All]" allUniqueName="[HelpDeskIncident].[GennemløbstidMinutter].[All]" dimensionUniqueName="[HelpDeskIncident]" displayFolder="" count="2" unbalanced="0"/>
    <cacheHierarchy uniqueName="[HelpDeskIncident].[Incidentnummer]" caption="Incidentnummer" attribute="1" defaultMemberUniqueName="[HelpDeskIncident].[Incidentnummer].[All]" allUniqueName="[HelpDeskIncident].[Incidentnummer].[All]" dimensionUniqueName="[HelpDeskIncident]" displayFolder="" count="2" unbalanced="0"/>
    <cacheHierarchy uniqueName="[HelpDeskIncident].[SvarDeadline]" caption="SvarDeadline" attribute="1" defaultMemberUniqueName="[HelpDeskIncident].[SvarDeadline].[All]" allUniqueName="[HelpDeskIncident].[SvarDeadline].[All]" dimensionUniqueName="[HelpDeskIncident]" displayFolder="" count="2" unbalanced="0"/>
    <cacheHierarchy uniqueName="[Incident Kategori].[Incident Kategori]" caption="Incident Kategori" attribute="1" defaultMemberUniqueName="[Incident Kategori].[Incident Kategori].[All]" allUniqueName="[Incident Kategori].[Incident Kategori].[All]" dimensionUniqueName="[Incident Kategori]" displayFolder="" count="2" unbalanced="0"/>
    <cacheHierarchy uniqueName="[Incident Kategori].[Incident Kategori Gruppe]" caption="Incident Kategori Gruppe" attribute="1" defaultMemberUniqueName="[Incident Kategori].[Incident Kategori Gruppe].[All]" allUniqueName="[Incident Kategori].[Incident Kategori Gruppe].[All]" dimensionUniqueName="[Incident Kategori]" displayFolder="" count="2" unbalanced="0"/>
    <cacheHierarchy uniqueName="[Incident Status].[Incident status]" caption="Incident status" attribute="1" defaultMemberUniqueName="[Incident Status].[Incident status].[All]" allUniqueName="[Incident Status].[Incident status].[All]" dimensionUniqueName="[Incident Status]" displayFolder="" count="2" unbalanced="0"/>
    <cacheHierarchy uniqueName="[Indbetaler Til Efterløn].[Indbetaler Til Efterløn]" caption="Indbetaler Til Efterløn" attribute="1" defaultMemberUniqueName="[Indbetaler Til Efterløn].[Indbetaler Til Efterløn].[All]" allUniqueName="[Indbetaler Til Efterløn].[Indbetaler Til Efterløn].[All]" dimensionUniqueName="[Indbetaler Til Efterløn]" displayFolder="" count="2" unbalanced="0"/>
    <cacheHierarchy uniqueName="[Kandidatalder].[Kandidatalder Gruppe]" caption="Kandidatalder Gruppe" attribute="1" defaultMemberUniqueName="[Kandidatalder].[Kandidatalder Gruppe].[All]" allUniqueName="[Kandidatalder].[Kandidatalder Gruppe].[All]" dimensionUniqueName="[Kandidatalder]" displayFolder="" count="2" unbalanced="0"/>
    <cacheHierarchy uniqueName="[Kandidatalder].[Kandidatalder Gruppe Hierarki]" caption="Kandidatalder Gruppe Hierarki" defaultMemberUniqueName="[Kandidatalder].[Kandidatalder Gruppe Hierarki].[All]" allUniqueName="[Kandidatalder].[Kandidatalder Gruppe Hierarki].[All]" dimensionUniqueName="[Kandidatalder]" displayFolder="" count="3" unbalanced="0"/>
    <cacheHierarchy uniqueName="[Kandidatalder].[Kandidatalder Gruppe Niveau1]" caption="Kandidatalder Gruppe Niveau1" attribute="1" defaultMemberUniqueName="[Kandidatalder].[Kandidatalder Gruppe Niveau1].[All]" allUniqueName="[Kandidatalder].[Kandidatalder Gruppe Niveau1].[All]" dimensionUniqueName="[Kandidatalder]" displayFolder="" count="2" unbalanced="0">
      <fieldsUsage count="2">
        <fieldUsage x="-1"/>
        <fieldUsage x="5"/>
      </fieldsUsage>
    </cacheHierarchy>
    <cacheHierarchy uniqueName="[Kandidatalder].[Kandidatalder Måneder]" caption="Kandidatalder Måneder" attribute="1" defaultMemberUniqueName="[Kandidatalder].[Kandidatalder Måneder].[All]" allUniqueName="[Kandidatalder].[Kandidatalder Måneder].[All]" dimensionUniqueName="[Kandidatalder]" displayFolder="" count="2" unbalanced="0"/>
    <cacheHierarchy uniqueName="[Kandidatalder].[SortOrder]" caption="SortOrder" attribute="1" defaultMemberUniqueName="[Kandidatalder].[SortOrder].[All]" allUniqueName="[Kandidatalder].[SortOrder].[All]" dimensionUniqueName="[Kandidatalder]" displayFolder="" count="2" unbalanced="0"/>
    <cacheHierarchy uniqueName="[Kandidatalder].[SortOrderNiveau1]" caption="SortOrderNiveau1" attribute="1" defaultMemberUniqueName="[Kandidatalder].[SortOrderNiveau1].[All]" allUniqueName="[Kandidatalder].[SortOrderNiveau1].[All]" dimensionUniqueName="[Kandidatalder]" displayFolder="" count="2" unbalanced="0"/>
    <cacheHierarchy uniqueName="[Klipforbrug].[KlipForbrug]" caption="KlipForbrug" attribute="1" defaultMemberUniqueName="[Klipforbrug].[KlipForbrug].[All]" allUniqueName="[Klipforbrug].[KlipForbrug].[All]" dimensionUniqueName="[Klipforbrug]" displayFolder="" count="2" unbalanced="0"/>
    <cacheHierarchy uniqueName="[Klipforbrug].[KlipForbrugGruppe]" caption="KlipForbrugGruppe" attribute="1" defaultMemberUniqueName="[Klipforbrug].[KlipForbrugGruppe].[All]" allUniqueName="[Klipforbrug].[KlipForbrugGruppe].[All]" dimensionUniqueName="[Klipforbrug]" displayFolder="" count="2" unbalanced="0"/>
    <cacheHierarchy uniqueName="[Kommune].[Kommune]" caption="Kommune" attribute="1" defaultMemberUniqueName="[Kommune].[Kommune].[All]" allUniqueName="[Kommune].[Kommune].[All]" dimensionUniqueName="[Kommune]" displayFolder="" count="2" unbalanced="0"/>
    <cacheHierarchy uniqueName="[Kommune].[Region]" caption="Region" attribute="1" defaultMemberUniqueName="[Kommune].[Region].[All]" allUniqueName="[Kommune].[Region].[All]" dimensionUniqueName="[Kommune]" displayFolder="" count="2" unbalanced="0">
      <fieldsUsage count="2">
        <fieldUsage x="-1"/>
        <fieldUsage x="2"/>
      </fieldsUsage>
    </cacheHierarchy>
    <cacheHierarchy uniqueName="[Kommune].[Region - Kommune]" caption="Region - Kommune" defaultMemberUniqueName="[Kommune].[Region - Kommune].[All]" allUniqueName="[Kommune].[Region - Kommune].[All]" dimensionUniqueName="[Kommune]" displayFolder="" count="3" unbalanced="0"/>
    <cacheHierarchy uniqueName="[Land].[Land]" caption="Land" attribute="1" defaultMemberUniqueName="[Land].[Land].[All]" allUniqueName="[Land].[Land].[All]" dimensionUniqueName="[Land]" displayFolder="" count="2" unbalanced="0"/>
    <cacheHierarchy uniqueName="[Ledighedstal Opdateret].[DagpengeUge]" caption="DagpengeUge" attribute="1" defaultMemberUniqueName="[Ledighedstal Opdateret].[DagpengeUge].[All]" allUniqueName="[Ledighedstal Opdateret].[DagpengeUge].[All]" dimensionUniqueName="[Ledighedstal Opdateret]" displayFolder="" count="2" unbalanced="0"/>
    <cacheHierarchy uniqueName="[Measures]" caption="Measures" attribute="1" keyAttribute="1" defaultMemberUniqueName="[Measures].[__No measures defined]" dimensionUniqueName="[Measures]" displayFolder="" measures="1" count="1" unbalanced="0">
      <fieldsUsage count="1">
        <fieldUsage x="6"/>
      </fieldsUsage>
    </cacheHierarchy>
    <cacheHierarchy uniqueName="[Medarbejder].[Anciennitetsdato]" caption="Anciennitetsdato" attribute="1" defaultMemberUniqueName="[Medarbejder].[Anciennitetsdato].[All]" allUniqueName="[Medarbejder].[Anciennitetsdato].[All]" dimensionUniqueName="[Medarbejder]" displayFolder="" count="2" unbalanced="0"/>
    <cacheHierarchy uniqueName="[Medarbejder].[Ansættelse Status]" caption="Ansættelse Status" attribute="1" defaultMemberUniqueName="[Medarbejder].[Ansættelse Status].[All]" allUniqueName="[Medarbejder].[Ansættelse Status].[All]" dimensionUniqueName="[Medarbejder]" displayFolder="" count="2" unbalanced="0"/>
    <cacheHierarchy uniqueName="[Medarbejder].[Efternavn]" caption="Efternavn" attribute="1" defaultMemberUniqueName="[Medarbejder].[Efternavn].[All]" allUniqueName="[Medarbejder].[Efternavn].[All]" dimensionUniqueName="[Medarbejder]" displayFolder="" count="2" unbalanced="0"/>
    <cacheHierarchy uniqueName="[Medarbejder].[Foedselsdato]" caption="Foedselsdato" attribute="1" defaultMemberUniqueName="[Medarbejder].[Foedselsdato].[All]" allUniqueName="[Medarbejder].[Foedselsdato].[All]" dimensionUniqueName="[Medarbejder]" displayFolder="" count="2" unbalanced="0"/>
    <cacheHierarchy uniqueName="[Medarbejder].[Fornavn]" caption="Fornavn" attribute="1" defaultMemberUniqueName="[Medarbejder].[Fornavn].[All]" allUniqueName="[Medarbejder].[Fornavn].[All]" dimensionUniqueName="[Medarbejder]" displayFolder="" count="2" unbalanced="0"/>
    <cacheHierarchy uniqueName="[Medarbejder].[Fratraedelsesdato]" caption="Fratraedelsesdato" attribute="1" defaultMemberUniqueName="[Medarbejder].[Fratraedelsesdato].[All]" allUniqueName="[Medarbejder].[Fratraedelsesdato].[All]" dimensionUniqueName="[Medarbejder]" displayFolder="" count="2" unbalanced="0"/>
    <cacheHierarchy uniqueName="[Medarbejder].[Initialer]" caption="Initialer" attribute="1" defaultMemberUniqueName="[Medarbejder].[Initialer].[All]" allUniqueName="[Medarbejder].[Initialer].[All]" dimensionUniqueName="[Medarbejder]" displayFolder="" count="2" unbalanced="0"/>
    <cacheHierarchy uniqueName="[Medarbejder].[Mobilnummer]" caption="Mobilnummer" attribute="1" defaultMemberUniqueName="[Medarbejder].[Mobilnummer].[All]" allUniqueName="[Medarbejder].[Mobilnummer].[All]" dimensionUniqueName="[Medarbejder]" displayFolder="" count="2" unbalanced="0"/>
    <cacheHierarchy uniqueName="[Medarbejder].[Navn]" caption="Navn" attribute="1" defaultMemberUniqueName="[Medarbejder].[Navn].[All]" allUniqueName="[Medarbejder].[Navn].[All]" dimensionUniqueName="[Medarbejder]" displayFolder="" count="2" unbalanced="0"/>
    <cacheHierarchy uniqueName="[Medarbejder].[Postdistrikt]" caption="Postdistrikt" attribute="1" defaultMemberUniqueName="[Medarbejder].[Postdistrikt].[All]" allUniqueName="[Medarbejder].[Postdistrikt].[All]" dimensionUniqueName="[Medarbejder]" displayFolder="" count="2" unbalanced="0"/>
    <cacheHierarchy uniqueName="[Medarbejder].[Postnummer]" caption="Postnummer" attribute="1" defaultMemberUniqueName="[Medarbejder].[Postnummer].[All]" allUniqueName="[Medarbejder].[Postnummer].[All]" dimensionUniqueName="[Medarbejder]" displayFolder="" count="2" unbalanced="0"/>
    <cacheHierarchy uniqueName="[Medarbejder].[Telefonnummer]" caption="Telefonnummer" attribute="1" defaultMemberUniqueName="[Medarbejder].[Telefonnummer].[All]" allUniqueName="[Medarbejder].[Telefonnummer].[All]" dimensionUniqueName="[Medarbejder]" displayFolder="" count="2" unbalanced="0"/>
    <cacheHierarchy uniqueName="[Medarbejder].[Titel]" caption="Titel" attribute="1" defaultMemberUniqueName="[Medarbejder].[Titel].[All]" allUniqueName="[Medarbejder].[Titel].[All]" dimensionUniqueName="[Medarbejder]" displayFolder="" count="2" unbalanced="0"/>
    <cacheHierarchy uniqueName="[Medarbejder].[Vej]" caption="Vej" attribute="1" defaultMemberUniqueName="[Medarbejder].[Vej].[All]" allUniqueName="[Medarbejder].[Vej].[All]" dimensionUniqueName="[Medarbejder]" displayFolder="" count="2" unbalanced="0"/>
    <cacheHierarchy uniqueName="[Medarbejder anmelder].[AnsaettelseStatus]" caption="AnsaettelseStatus" attribute="1" defaultMemberUniqueName="[Medarbejder anmelder].[AnsaettelseStatus].[All]" allUniqueName="[Medarbejder anmelder].[AnsaettelseStatus].[All]" dimensionUniqueName="[Medarbejder anmelder]" displayFolder="" count="2" unbalanced="0"/>
    <cacheHierarchy uniqueName="[Medarbejder anmelder].[Efternavn]" caption="Efternavn" attribute="1" defaultMemberUniqueName="[Medarbejder anmelder].[Efternavn].[All]" allUniqueName="[Medarbejder anmelder].[Efternavn].[All]" dimensionUniqueName="[Medarbejder anmelder]" displayFolder="" count="2" unbalanced="0"/>
    <cacheHierarchy uniqueName="[Medarbejder anmelder].[Fornavn]" caption="Fornavn" attribute="1" defaultMemberUniqueName="[Medarbejder anmelder].[Fornavn].[All]" allUniqueName="[Medarbejder anmelder].[Fornavn].[All]" dimensionUniqueName="[Medarbejder anmelder]" displayFolder="" count="2" unbalanced="0"/>
    <cacheHierarchy uniqueName="[Medarbejder anmelder].[Initialer]" caption="Initialer" attribute="1" defaultMemberUniqueName="[Medarbejder anmelder].[Initialer].[All]" allUniqueName="[Medarbejder anmelder].[Initialer].[All]" dimensionUniqueName="[Medarbejder anmelder]" displayFolder="" count="2" unbalanced="0"/>
    <cacheHierarchy uniqueName="[Medarbejder anmelder].[Mobilnummer]" caption="Mobilnummer" attribute="1" defaultMemberUniqueName="[Medarbejder anmelder].[Mobilnummer].[All]" allUniqueName="[Medarbejder anmelder].[Mobilnummer].[All]" dimensionUniqueName="[Medarbejder anmelder]" displayFolder="" count="2" unbalanced="0"/>
    <cacheHierarchy uniqueName="[Medarbejder anmelder].[Navn]" caption="Navn" attribute="1" defaultMemberUniqueName="[Medarbejder anmelder].[Navn].[All]" allUniqueName="[Medarbejder anmelder].[Navn].[All]" dimensionUniqueName="[Medarbejder anmelder]" displayFolder="" count="2" unbalanced="0"/>
    <cacheHierarchy uniqueName="[Medarbejder anmelder].[Postdistrikt]" caption="Postdistrikt" attribute="1" defaultMemberUniqueName="[Medarbejder anmelder].[Postdistrikt].[All]" allUniqueName="[Medarbejder anmelder].[Postdistrikt].[All]" dimensionUniqueName="[Medarbejder anmelder]" displayFolder="" count="2" unbalanced="0"/>
    <cacheHierarchy uniqueName="[Medarbejder anmelder].[Postnummer]" caption="Postnummer" attribute="1" defaultMemberUniqueName="[Medarbejder anmelder].[Postnummer].[All]" allUniqueName="[Medarbejder anmelder].[Postnummer].[All]" dimensionUniqueName="[Medarbejder anmelder]" displayFolder="" count="2" unbalanced="0"/>
    <cacheHierarchy uniqueName="[Medarbejder anmelder].[Telefonnummer]" caption="Telefonnummer" attribute="1" defaultMemberUniqueName="[Medarbejder anmelder].[Telefonnummer].[All]" allUniqueName="[Medarbejder anmelder].[Telefonnummer].[All]" dimensionUniqueName="[Medarbejder anmelder]" displayFolder="" count="2" unbalanced="0"/>
    <cacheHierarchy uniqueName="[Medarbejder anmelder].[Titel]" caption="Titel" attribute="1" defaultMemberUniqueName="[Medarbejder anmelder].[Titel].[All]" allUniqueName="[Medarbejder anmelder].[Titel].[All]" dimensionUniqueName="[Medarbejder anmelder]" displayFolder="" count="2" unbalanced="0"/>
    <cacheHierarchy uniqueName="[Medarbejder anmelder].[Vej]" caption="Vej" attribute="1" defaultMemberUniqueName="[Medarbejder anmelder].[Vej].[All]" allUniqueName="[Medarbejder anmelder].[Vej].[All]" dimensionUniqueName="[Medarbejder anmelder]" displayFolder="" count="2" unbalanced="0"/>
    <cacheHierarchy uniqueName="[Medarbejder Viderestillet].[Ansættelse Status]" caption="Ansættelse Status" attribute="1" defaultMemberUniqueName="[Medarbejder Viderestillet].[Ansættelse Status].[All]" allUniqueName="[Medarbejder Viderestillet].[Ansættelse Status].[All]" dimensionUniqueName="[Medarbejder Viderestillet]" displayFolder="" count="2" unbalanced="0"/>
    <cacheHierarchy uniqueName="[Medarbejder Viderestillet].[Efternavn]" caption="Efternavn" attribute="1" defaultMemberUniqueName="[Medarbejder Viderestillet].[Efternavn].[All]" allUniqueName="[Medarbejder Viderestillet].[Efternavn].[All]" dimensionUniqueName="[Medarbejder Viderestillet]" displayFolder="" count="2" unbalanced="0"/>
    <cacheHierarchy uniqueName="[Medarbejder Viderestillet].[Fornavn]" caption="Fornavn" attribute="1" defaultMemberUniqueName="[Medarbejder Viderestillet].[Fornavn].[All]" allUniqueName="[Medarbejder Viderestillet].[Fornavn].[All]" dimensionUniqueName="[Medarbejder Viderestillet]" displayFolder="" count="2" unbalanced="0"/>
    <cacheHierarchy uniqueName="[Medarbejder Viderestillet].[Initialer]" caption="Initialer" attribute="1" defaultMemberUniqueName="[Medarbejder Viderestillet].[Initialer].[All]" allUniqueName="[Medarbejder Viderestillet].[Initialer].[All]" dimensionUniqueName="[Medarbejder Viderestillet]" displayFolder="" count="2" unbalanced="0"/>
    <cacheHierarchy uniqueName="[Medarbejder Viderestillet].[Mobilnummer]" caption="Mobilnummer" attribute="1" defaultMemberUniqueName="[Medarbejder Viderestillet].[Mobilnummer].[All]" allUniqueName="[Medarbejder Viderestillet].[Mobilnummer].[All]" dimensionUniqueName="[Medarbejder Viderestillet]" displayFolder="" count="2" unbalanced="0"/>
    <cacheHierarchy uniqueName="[Medarbejder Viderestillet].[Navn]" caption="Navn" attribute="1" defaultMemberUniqueName="[Medarbejder Viderestillet].[Navn].[All]" allUniqueName="[Medarbejder Viderestillet].[Navn].[All]" dimensionUniqueName="[Medarbejder Viderestillet]" displayFolder="" count="2" unbalanced="0"/>
    <cacheHierarchy uniqueName="[Medarbejder Viderestillet].[Postdistrikt]" caption="Postdistrikt" attribute="1" defaultMemberUniqueName="[Medarbejder Viderestillet].[Postdistrikt].[All]" allUniqueName="[Medarbejder Viderestillet].[Postdistrikt].[All]" dimensionUniqueName="[Medarbejder Viderestillet]" displayFolder="" count="2" unbalanced="0"/>
    <cacheHierarchy uniqueName="[Medarbejder Viderestillet].[Postnummer]" caption="Postnummer" attribute="1" defaultMemberUniqueName="[Medarbejder Viderestillet].[Postnummer].[All]" allUniqueName="[Medarbejder Viderestillet].[Postnummer].[All]" dimensionUniqueName="[Medarbejder Viderestillet]" displayFolder="" count="2" unbalanced="0"/>
    <cacheHierarchy uniqueName="[Medarbejder Viderestillet].[Telefonnummer]" caption="Telefonnummer" attribute="1" defaultMemberUniqueName="[Medarbejder Viderestillet].[Telefonnummer].[All]" allUniqueName="[Medarbejder Viderestillet].[Telefonnummer].[All]" dimensionUniqueName="[Medarbejder Viderestillet]" displayFolder="" count="2" unbalanced="0"/>
    <cacheHierarchy uniqueName="[Medarbejder Viderestillet].[Titel]" caption="Titel" attribute="1" defaultMemberUniqueName="[Medarbejder Viderestillet].[Titel].[All]" allUniqueName="[Medarbejder Viderestillet].[Titel].[All]" dimensionUniqueName="[Medarbejder Viderestillet]" displayFolder="" count="2" unbalanced="0"/>
    <cacheHierarchy uniqueName="[Medarbejder Viderestillet].[Vej]" caption="Vej" attribute="1" defaultMemberUniqueName="[Medarbejder Viderestillet].[Vej].[All]" allUniqueName="[Medarbejder Viderestillet].[Vej].[All]" dimensionUniqueName="[Medarbejder Viderestillet]" displayFolder="" count="2" unbalanced="0"/>
    <cacheHierarchy uniqueName="[Medlem].[CPRNR]" caption="CPRNR" attribute="1" defaultMemberUniqueName="[Medlem].[CPRNR].[All]" allUniqueName="[Medlem].[CPRNR].[All]" dimensionUniqueName="[Medlem]" displayFolder="" count="2" unbalanced="0"/>
    <cacheHierarchy uniqueName="[Medlem].[Efternavn]" caption="Efternavn" attribute="1" defaultMemberUniqueName="[Medlem].[Efternavn].[All]" allUniqueName="[Medlem].[Efternavn].[All]" dimensionUniqueName="[Medlem]" displayFolder="" count="2" unbalanced="0"/>
    <cacheHierarchy uniqueName="[Medlem].[Email]" caption="Email" attribute="1" defaultMemberUniqueName="[Medlem].[Email].[All]" allUniqueName="[Medlem].[Email].[All]" dimensionUniqueName="[Medlem]" displayFolder="" count="2" unbalanced="0"/>
    <cacheHierarchy uniqueName="[Medlem].[Fornavn]" caption="Fornavn" attribute="1" defaultMemberUniqueName="[Medlem].[Fornavn].[All]" allUniqueName="[Medlem].[Fornavn].[All]" dimensionUniqueName="[Medlem]" displayFolder="" count="2" unbalanced="0"/>
    <cacheHierarchy uniqueName="[Medlem].[Fødselsdato]" caption="Fødselsdato" attribute="1" defaultMemberUniqueName="[Medlem].[Fødselsdato].[All]" allUniqueName="[Medlem].[Fødselsdato].[All]" dimensionUniqueName="[Medlem]" displayFolder="" count="2" unbalanced="0"/>
    <cacheHierarchy uniqueName="[Medlem].[Indmeldelsesdato]" caption="Indmeldelsesdato" attribute="1" defaultMemberUniqueName="[Medlem].[Indmeldelsesdato].[All]" allUniqueName="[Medlem].[Indmeldelsesdato].[All]" dimensionUniqueName="[Medlem]" displayFolder="" count="2" unbalanced="0"/>
    <cacheHierarchy uniqueName="[Medlem].[Køn]" caption="Køn" attribute="1" defaultMemberUniqueName="[Medlem].[Køn].[All]" allUniqueName="[Medlem].[Køn].[All]" allCaption="All" dimensionUniqueName="[Medlem]" displayFolder="" count="2" unbalanced="0">
      <fieldsUsage count="2">
        <fieldUsage x="-1"/>
        <fieldUsage x="8"/>
      </fieldsUsage>
    </cacheHierarchy>
    <cacheHierarchy uniqueName="[Medlem].[Medlem_BK]" caption="Medlem_BK" attribute="1" defaultMemberUniqueName="[Medlem].[Medlem_BK].[All]" allUniqueName="[Medlem].[Medlem_BK].[All]" dimensionUniqueName="[Medlem]" displayFolder="" count="2" unbalanced="0"/>
    <cacheHierarchy uniqueName="[Medlem].[Medlemsnummer]" caption="Medlemsnummer" attribute="1" defaultMemberUniqueName="[Medlem].[Medlemsnummer].[All]" allUniqueName="[Medlem].[Medlemsnummer].[All]" dimensionUniqueName="[Medlem]" displayFolder="" count="2" unbalanced="0"/>
    <cacheHierarchy uniqueName="[Medlem].[Navn]" caption="Navn" attribute="1" defaultMemberUniqueName="[Medlem].[Navn].[All]" allUniqueName="[Medlem].[Navn].[All]" dimensionUniqueName="[Medlem]" displayFolder="" count="2" unbalanced="0"/>
    <cacheHierarchy uniqueName="[Medlem].[Udfaldet]" caption="Udfaldet" attribute="1" defaultMemberUniqueName="[Medlem].[Udfaldet].[All]" allUniqueName="[Medlem].[Udfaldet].[All]" dimensionUniqueName="[Medlem]" displayFolder="" count="2" unbalanced="0"/>
    <cacheHierarchy uniqueName="[Medlem].[Udfaldsdato]" caption="Udfaldsdato" attribute="1" defaultMemberUniqueName="[Medlem].[Udfaldsdato].[All]" allUniqueName="[Medlem].[Udfaldsdato].[All]" dimensionUniqueName="[Medlem]" displayFolder="" count="2" unbalanced="0"/>
    <cacheHierarchy uniqueName="[Medlem].[Udmeldelsesdato]" caption="Udmeldelsesdato" attribute="1" defaultMemberUniqueName="[Medlem].[Udmeldelsesdato].[All]" allUniqueName="[Medlem].[Udmeldelsesdato].[All]" dimensionUniqueName="[Medlem]" displayFolder="" count="2" unbalanced="0"/>
    <cacheHierarchy uniqueName="[Medlemsstatus].[Dimittendstatus]" caption="Dimittendstatus" attribute="1" defaultMemberUniqueName="[Medlemsstatus].[Dimittendstatus].[All]" allUniqueName="[Medlemsstatus].[Dimittendstatus].[All]" dimensionUniqueName="[Medlemsstatus]" displayFolder="" count="2" unbalanced="0"/>
    <cacheHierarchy uniqueName="[Medlemsstatus].[Medlemsstatus]" caption="Medlemsstatus" attribute="1" defaultMemberUniqueName="[Medlemsstatus].[Medlemsstatus].[All]" allUniqueName="[Medlemsstatus].[Medlemsstatus].[All]" dimensionUniqueName="[Medlemsstatus]" displayFolder="" count="2" unbalanced="0"/>
    <cacheHierarchy uniqueName="[Medlemsstatus].[Medlemsstatus Gruppe]" caption="Medlemsstatus Gruppe" attribute="1" defaultMemberUniqueName="[Medlemsstatus].[Medlemsstatus Gruppe].[All]" allUniqueName="[Medlemsstatus].[Medlemsstatus Gruppe].[All]" dimensionUniqueName="[Medlemsstatus]" displayFolder="" count="2" unbalanced="0"/>
    <cacheHierarchy uniqueName="[Medlemsstatus].[Medlemsstatus Gruppe - Medlemsstatus]" caption="Medlemsstatus Gruppe - Medlemsstatus" defaultMemberUniqueName="[Medlemsstatus].[Medlemsstatus Gruppe - Medlemsstatus].[All]" allUniqueName="[Medlemsstatus].[Medlemsstatus Gruppe - Medlemsstatus].[All]" dimensionUniqueName="[Medlemsstatus]" displayFolder="" count="3" unbalanced="0"/>
    <cacheHierarchy uniqueName="[Medlemstal Bevægelse].[Medlemstal Bevægelse]" caption="Medlemstal Bevægelse" attribute="1" defaultMemberUniqueName="[Medlemstal Bevægelse].[Medlemstal Bevægelse].[All]" allUniqueName="[Medlemstal Bevægelse].[Medlemstal Bevægelse].[All]" dimensionUniqueName="[Medlemstal Bevægelse]" displayFolder="" count="2" unbalanced="0"/>
    <cacheHierarchy uniqueName="[Medlemstal Bevægelse].[Medlemstal Bevægelse Type]" caption="Medlemstal Bevægelse Type" attribute="1" defaultMemberUniqueName="[Medlemstal Bevægelse].[Medlemstal Bevægelse Type].[All]" allUniqueName="[Medlemstal Bevægelse].[Medlemstal Bevægelse Type].[All]" dimensionUniqueName="[Medlemstal Bevægelse]" displayFolder="" count="2" unbalanced="0"/>
    <cacheHierarchy uniqueName="[Medlemstal Bevægelse].[Medlemstal Bevægelse Type - Bevægelse]" caption="Medlemstal Bevægelse Type - Bevægelse" defaultMemberUniqueName="[Medlemstal Bevægelse].[Medlemstal Bevægelse Type - Bevægelse].[All]" allUniqueName="[Medlemstal Bevægelse].[Medlemstal Bevægelse Type - Bevægelse].[All]" dimensionUniqueName="[Medlemstal Bevægelse]" displayFolder="" count="4" unbalanced="0"/>
    <cacheHierarchy uniqueName="[Medlemstal Bevægelse].[Medlemstal Bevægelse Type Niveau 1]" caption="Medlemstal Bevægelse Type Niveau 1" attribute="1" defaultMemberUniqueName="[Medlemstal Bevægelse].[Medlemstal Bevægelse Type Niveau 1].[All]" allUniqueName="[Medlemstal Bevægelse].[Medlemstal Bevægelse Type Niveau 1].[All]" dimensionUniqueName="[Medlemstal Bevægelse]" displayFolder="" count="2" unbalanced="0"/>
    <cacheHierarchy uniqueName="[Opkaldsresultat].[Opkaldsresultat]" caption="Opkaldsresultat" attribute="1" defaultMemberUniqueName="[Opkaldsresultat].[Opkaldsresultat].[All]" allUniqueName="[Opkaldsresultat].[Opkaldsresultat].[All]" dimensionUniqueName="[Opkaldsresultat]" displayFolder="" count="2" unbalanced="0"/>
    <cacheHierarchy uniqueName="[Opkaldsresultat].[Opkaldsresultat Gruppe]" caption="Opkaldsresultat Gruppe" attribute="1" defaultMemberUniqueName="[Opkaldsresultat].[Opkaldsresultat Gruppe].[All]" allUniqueName="[Opkaldsresultat].[Opkaldsresultat Gruppe].[All]" dimensionUniqueName="[Opkaldsresultat]" displayFolder="" count="2" unbalanced="0"/>
    <cacheHierarchy uniqueName="[Opkaldsresultat].[Opkaldsresultat Gruppering]" caption="Opkaldsresultat Gruppering" defaultMemberUniqueName="[Opkaldsresultat].[Opkaldsresultat Gruppering].[All]" allUniqueName="[Opkaldsresultat].[Opkaldsresultat Gruppering].[All]" dimensionUniqueName="[Opkaldsresultat]" displayFolder="" count="3" unbalanced="0"/>
    <cacheHierarchy uniqueName="[Opkaldstype].[Opkaldstype]" caption="Opkaldstype" attribute="1" defaultMemberUniqueName="[Opkaldstype].[Opkaldstype].[All]" allUniqueName="[Opkaldstype].[Opkaldstype].[All]" dimensionUniqueName="[Opkaldstype]" displayFolder="" count="2" unbalanced="0"/>
    <cacheHierarchy uniqueName="[Postnummer].[Postdistrikt]" caption="Postdistrikt" attribute="1" defaultMemberUniqueName="[Postnummer].[Postdistrikt].[All]" allUniqueName="[Postnummer].[Postdistrikt].[All]" dimensionUniqueName="[Postnummer]" displayFolder="" count="2" unbalanced="0"/>
    <cacheHierarchy uniqueName="[Postnummer].[Postnummer]" caption="Postnummer" attribute="1" defaultMemberUniqueName="[Postnummer].[Postnummer].[All]" allUniqueName="[Postnummer].[Postnummer].[All]" dimensionUniqueName="[Postnummer]" displayFolder="" count="2" unbalanced="0"/>
    <cacheHierarchy uniqueName="[Postnummer].[Postnummer Postdistrikt]" caption="Postnummer Postdistrikt" attribute="1" defaultMemberUniqueName="[Postnummer].[Postnummer Postdistrikt].[All]" allUniqueName="[Postnummer].[Postnummer Postdistrikt].[All]" dimensionUniqueName="[Postnummer]" displayFolder="" count="2" unbalanced="0"/>
    <cacheHierarchy uniqueName="[Rapporteringskvartal].[Rapporteringskvartal]" caption="Rapporteringskvartal" attribute="1" defaultMemberUniqueName="[Rapporteringskvartal].[Rapporteringskvartal].[All]" allUniqueName="[Rapporteringskvartal].[Rapporteringskvartal].[All]" dimensionUniqueName="[Rapporteringskvartal]" displayFolder="" count="2" unbalanced="0"/>
    <cacheHierarchy uniqueName="[Rapporteringskvartal].[Rapporteringskvartal Navn]" caption="Rapporteringskvartal Navn" attribute="1" defaultMemberUniqueName="[Rapporteringskvartal].[Rapporteringskvartal Navn].[All]" allUniqueName="[Rapporteringskvartal].[Rapporteringskvartal Navn].[All]" dimensionUniqueName="[Rapporteringskvartal]" displayFolder="" count="2" unbalanced="0"/>
    <cacheHierarchy uniqueName="[Rapporteringskvartal].[Rapporteringskvartal Nummer]" caption="Rapporteringskvartal Nummer" attribute="1" defaultMemberUniqueName="[Rapporteringskvartal].[Rapporteringskvartal Nummer].[All]" allUniqueName="[Rapporteringskvartal].[Rapporteringskvartal Nummer].[All]" dimensionUniqueName="[Rapporteringskvartal]" displayFolder="" count="2" unbalanced="0"/>
    <cacheHierarchy uniqueName="[Rapporteringskvartal].[Rapporteringskvartal År]" caption="Rapporteringskvartal År" attribute="1" defaultMemberUniqueName="[Rapporteringskvartal].[Rapporteringskvartal År].[All]" allUniqueName="[Rapporteringskvartal].[Rapporteringskvartal År].[All]" dimensionUniqueName="[Rapporteringskvartal]" displayFolder="" count="2" unbalanced="0"/>
    <cacheHierarchy uniqueName="[Rapporteringsmåned].[Nyeste Officielle Ledighedstal]" caption="Nyeste Officielle Ledighedstal" attribute="1" time="1" defaultMemberUniqueName="[Rapporteringsmåned].[Nyeste Officielle Ledighedstal].[All]" allUniqueName="[Rapporteringsmåned].[Nyeste Officielle Ledighedstal].[All]" dimensionUniqueName="[Rapporteringsmåned]" displayFolder="" count="2" unbalanced="0"/>
    <cacheHierarchy uniqueName="[Rapporteringsmåned].[Nyeste Officielle Medlemstal]" caption="Nyeste Officielle Medlemstal" attribute="1" time="1" defaultMemberUniqueName="[Rapporteringsmåned].[Nyeste Officielle Medlemstal].[All]" allUniqueName="[Rapporteringsmåned].[Nyeste Officielle Medlemstal].[All]" dimensionUniqueName="[Rapporteringsmåned]" displayFolder="" count="2" unbalanced="0"/>
    <cacheHierarchy uniqueName="[Rapporteringsmåned].[Rapporteringsmåned]" caption="Rapporteringsmåned" attribute="1" time="1" defaultMemberUniqueName="[Rapporteringsmåned].[Rapporteringsmåned].[All]" allUniqueName="[Rapporteringsmåned].[Rapporteringsmåned].[All]" dimensionUniqueName="[Rapporteringsmåned]" displayFolder="" count="2" unbalanced="0">
      <fieldsUsage count="2">
        <fieldUsage x="-1"/>
        <fieldUsage x="0"/>
      </fieldsUsage>
    </cacheHierarchy>
    <cacheHierarchy uniqueName="[Rapporteringsmåned].[Rapporteringsmåned Navn]" caption="Rapporteringsmåned Navn" attribute="1" time="1" defaultMemberUniqueName="[Rapporteringsmåned].[Rapporteringsmåned Navn].[All]" allUniqueName="[Rapporteringsmåned].[Rapporteringsmåned Navn].[All]" dimensionUniqueName="[Rapporteringsmåned]" displayFolder="" count="2" unbalanced="0"/>
    <cacheHierarchy uniqueName="[Rapporteringsmåned].[Rapporteringsmåned Nummer]" caption="Rapporteringsmåned Nummer" attribute="1" time="1" defaultMemberUniqueName="[Rapporteringsmåned].[Rapporteringsmåned Nummer].[All]" allUniqueName="[Rapporteringsmåned].[Rapporteringsmåned Nummer].[All]" dimensionUniqueName="[Rapporteringsmåned]" displayFolder="" count="2" unbalanced="0"/>
    <cacheHierarchy uniqueName="[Rapporteringsmåned].[Rapporteringsmåned År]" caption="Rapporteringsmåned År" attribute="1" time="1" defaultMemberUniqueName="[Rapporteringsmåned].[Rapporteringsmåned År].[All]" allUniqueName="[Rapporteringsmåned].[Rapporteringsmåned År].[All]" dimensionUniqueName="[Rapporteringsmåned]" displayFolder="" count="2" unbalanced="0"/>
    <cacheHierarchy uniqueName="[Rapporteringsmåned].[Rullende 12 Måneder]" caption="Rullende 12 Måneder" attribute="1" time="1" defaultMemberUniqueName="[Rapporteringsmåned].[Rullende 12 Måneder].[All]" allUniqueName="[Rapporteringsmåned].[Rullende 12 Måneder].[All]" dimensionUniqueName="[Rapporteringsmåned]" displayFolder="" count="2" unbalanced="0"/>
    <cacheHierarchy uniqueName="[Rapporteringsår].[Rapporteringsår]" caption="Rapporteringsår" attribute="1" defaultMemberUniqueName="[Rapporteringsår].[Rapporteringsår].[All]" allUniqueName="[Rapporteringsår].[Rapporteringsår].[All]" dimensionUniqueName="[Rapporteringsår]" displayFolder="" count="2" unbalanced="0"/>
    <cacheHierarchy uniqueName="[Sagsbehandling].[AfslutningsDato]" caption="AfslutningsDato" attribute="1" defaultMemberUniqueName="[Sagsbehandling].[AfslutningsDato].[All]" allUniqueName="[Sagsbehandling].[AfslutningsDato].[All]" dimensionUniqueName="[Sagsbehandling]" displayFolder="" count="2" unbalanced="0"/>
    <cacheHierarchy uniqueName="[Sagsbehandling].[Arbejdsgangs_BK]" caption="Arbejdsgangs_BK" attribute="1" defaultMemberUniqueName="[Sagsbehandling].[Arbejdsgangs_BK].[All]" allUniqueName="[Sagsbehandling].[Arbejdsgangs_BK].[All]" dimensionUniqueName="[Sagsbehandling]" displayFolder="" count="2" unbalanced="0"/>
    <cacheHierarchy uniqueName="[Sagsbehandling].[DimittendDato]" caption="DimittendDato" attribute="1" defaultMemberUniqueName="[Sagsbehandling].[DimittendDato].[All]" allUniqueName="[Sagsbehandling].[DimittendDato].[All]" dimensionUniqueName="[Sagsbehandling]" displayFolder="" count="2" unbalanced="0"/>
    <cacheHierarchy uniqueName="[Sagsbehandling].[ErAfsluttet]" caption="ErAfsluttet" attribute="1" defaultMemberUniqueName="[Sagsbehandling].[ErAfsluttet].[All]" allUniqueName="[Sagsbehandling].[ErAfsluttet].[All]" dimensionUniqueName="[Sagsbehandling]" displayFolder="" count="2" unbalanced="0"/>
    <cacheHierarchy uniqueName="[Sagsbehandling].[ErAfsluttetEllerManuel]" caption="ErAfsluttetEllerManuel" attribute="1" defaultMemberUniqueName="[Sagsbehandling].[ErAfsluttetEllerManuel].[All]" allUniqueName="[Sagsbehandling].[ErAfsluttetEllerManuel].[All]" dimensionUniqueName="[Sagsbehandling]" displayFolder="" count="2" unbalanced="0"/>
    <cacheHierarchy uniqueName="[Sagsbehandling].[StartDato]" caption="StartDato" attribute="1" defaultMemberUniqueName="[Sagsbehandling].[StartDato].[All]" allUniqueName="[Sagsbehandling].[StartDato].[All]" dimensionUniqueName="[Sagsbehandling]" displayFolder="" count="2" unbalanced="0"/>
    <cacheHierarchy uniqueName="[Sagsstatus].[Sagsstatus]" caption="Sagsstatus" attribute="1" defaultMemberUniqueName="[Sagsstatus].[Sagsstatus].[All]" allUniqueName="[Sagsstatus].[Sagsstatus].[All]" dimensionUniqueName="[Sagsstatus]" displayFolder="" count="2" unbalanced="0"/>
    <cacheHierarchy uniqueName="[Sagsstatus].[Sagsstatus_Key]" caption="Sagsstatus_Key" attribute="1" defaultMemberUniqueName="[Sagsstatus].[Sagsstatus_Key].[All]" allUniqueName="[Sagsstatus].[Sagsstatus_Key].[All]" dimensionUniqueName="[Sagsstatus]" displayFolder="" count="2" unbalanced="0"/>
    <cacheHierarchy uniqueName="[Sagstype].[Sagstype]" caption="Sagstype" attribute="1" defaultMemberUniqueName="[Sagstype].[Sagstype].[All]" allUniqueName="[Sagstype].[Sagstype].[All]" dimensionUniqueName="[Sagstype]" displayFolder="" count="2" unbalanced="0"/>
    <cacheHierarchy uniqueName="[Sagstype].[Sagstype_Key]" caption="Sagstype_Key" attribute="1" defaultMemberUniqueName="[Sagstype].[Sagstype_Key].[All]" allUniqueName="[Sagstype].[Sagstype_Key].[All]" dimensionUniqueName="[Sagstype]" displayFolder="" count="2" unbalanced="0"/>
    <cacheHierarchy uniqueName="[Selvbetjeningsbeskeder].[Afslutningsdato]" caption="Afslutningsdato" attribute="1" defaultMemberUniqueName="[Selvbetjeningsbeskeder].[Afslutningsdato].[All]" allUniqueName="[Selvbetjeningsbeskeder].[Afslutningsdato].[All]" dimensionUniqueName="[Selvbetjeningsbeskeder]" displayFolder="" count="2" unbalanced="0"/>
    <cacheHierarchy uniqueName="[Selvbetjeningsbeskeder].[Beskedretning]" caption="Beskedretning" attribute="1" defaultMemberUniqueName="[Selvbetjeningsbeskeder].[Beskedretning].[All]" allUniqueName="[Selvbetjeningsbeskeder].[Beskedretning].[All]" dimensionUniqueName="[Selvbetjeningsbeskeder]" displayFolder="" count="2" unbalanced="0"/>
    <cacheHierarchy uniqueName="[Selvbetjeningsbeskeder].[DimittendDato]" caption="DimittendDato" attribute="1" defaultMemberUniqueName="[Selvbetjeningsbeskeder].[DimittendDato].[All]" allUniqueName="[Selvbetjeningsbeskeder].[DimittendDato].[All]" dimensionUniqueName="[Selvbetjeningsbeskeder]" displayFolder="" count="2" unbalanced="0"/>
    <cacheHierarchy uniqueName="[Selvbetjeningsbeskeder].[ForsikringKortErOverskredet]" caption="ForsikringKortErOverskredet" attribute="1" defaultMemberUniqueName="[Selvbetjeningsbeskeder].[ForsikringKortErOverskredet].[All]" allUniqueName="[Selvbetjeningsbeskeder].[ForsikringKortErOverskredet].[All]" dimensionUniqueName="[Selvbetjeningsbeskeder]" displayFolder="" count="2" unbalanced="0"/>
    <cacheHierarchy uniqueName="[Selvbetjeningsbeskeder].[ForsikringLangErOverskredet]" caption="ForsikringLangErOverskredet" attribute="1" defaultMemberUniqueName="[Selvbetjeningsbeskeder].[ForsikringLangErOverskredet].[All]" allUniqueName="[Selvbetjeningsbeskeder].[ForsikringLangErOverskredet].[All]" dimensionUniqueName="[Selvbetjeningsbeskeder]" displayFolder="" count="2" unbalanced="0"/>
    <cacheHierarchy uniqueName="[Selvbetjeningsbeskeder].[OprettelsesDato]" caption="OprettelsesDato" attribute="1" defaultMemberUniqueName="[Selvbetjeningsbeskeder].[OprettelsesDato].[All]" allUniqueName="[Selvbetjeningsbeskeder].[OprettelsesDato].[All]" dimensionUniqueName="[Selvbetjeningsbeskeder]" displayFolder="" count="2" unbalanced="0"/>
    <cacheHierarchy uniqueName="[Selvbetjeningsbeskeder].[Traad_BK]" caption="Traad_BK" attribute="1" defaultMemberUniqueName="[Selvbetjeningsbeskeder].[Traad_BK].[All]" allUniqueName="[Selvbetjeningsbeskeder].[Traad_BK].[All]" dimensionUniqueName="[Selvbetjeningsbeskeder]" displayFolder="" count="2" unbalanced="0"/>
    <cacheHierarchy uniqueName="[Senest Opdateret].[Senest Opdateret]" caption="Senest Opdateret" attribute="1" defaultMemberUniqueName="[Senest Opdateret].[Senest Opdateret].[All]" allUniqueName="[Senest Opdateret].[Senest Opdateret].[All]" dimensionUniqueName="[Senest Opdateret]" displayFolder="" count="2" unbalanced="0"/>
    <cacheHierarchy uniqueName="[Service].[Service]" caption="Service" attribute="1" defaultMemberUniqueName="[Service].[Service].[All]" allUniqueName="[Service].[Service].[All]" dimensionUniqueName="[Service]" displayFolder="" count="2" unbalanced="0"/>
    <cacheHierarchy uniqueName="[Service].[Service Gruppe]" caption="Service Gruppe" attribute="1" defaultMemberUniqueName="[Service].[Service Gruppe].[All]" allUniqueName="[Service].[Service Gruppe].[All]" dimensionUniqueName="[Service]" displayFolder="" count="2" unbalanced="0"/>
    <cacheHierarchy uniqueName="[Service Viderestillet].[Service]" caption="Service" attribute="1" defaultMemberUniqueName="[Service Viderestillet].[Service].[All]" allUniqueName="[Service Viderestillet].[Service].[All]" dimensionUniqueName="[Service Viderestillet]" displayFolder="" count="2" unbalanced="0"/>
    <cacheHierarchy uniqueName="[Service Viderestillet].[Service Gruppe]" caption="Service Gruppe" attribute="1" defaultMemberUniqueName="[Service Viderestillet].[Service Gruppe].[All]" allUniqueName="[Service Viderestillet].[Service Gruppe].[All]" dimensionUniqueName="[Service Viderestillet]" displayFolder="" count="2" unbalanced="0"/>
    <cacheHierarchy uniqueName="[Sommerdimittender].[Dimittenddato]" caption="Dimittenddato" attribute="1" defaultMemberUniqueName="[Sommerdimittender].[Dimittenddato].[All]" allUniqueName="[Sommerdimittender].[Dimittenddato].[All]" dimensionUniqueName="[Sommerdimittender]" displayFolder="" count="2" unbalanced="0"/>
    <cacheHierarchy uniqueName="[Sommerdimittender Kvartal].[Dimittenddato]" caption="Dimittenddato" attribute="1" defaultMemberUniqueName="[Sommerdimittender Kvartal].[Dimittenddato].[All]" allUniqueName="[Sommerdimittender Kvartal].[Dimittenddato].[All]" dimensionUniqueName="[Sommerdimittender Kvartal]" displayFolder="" count="2" unbalanced="0"/>
    <cacheHierarchy uniqueName="[Sommerdimittender År].[Dimittenddato]" caption="Dimittenddato" attribute="1" defaultMemberUniqueName="[Sommerdimittender År].[Dimittenddato].[All]" allUniqueName="[Sommerdimittender År].[Dimittenddato].[All]" dimensionUniqueName="[Sommerdimittender År]" displayFolder="" count="2" unbalanced="0"/>
    <cacheHierarchy uniqueName="[Stoptrin].[AfslutningsDato]" caption="AfslutningsDato" attribute="1" defaultMemberUniqueName="[Stoptrin].[AfslutningsDato].[All]" allUniqueName="[Stoptrin].[AfslutningsDato].[All]" dimensionUniqueName="[Stoptrin]" displayFolder="" count="2" unbalanced="0"/>
    <cacheHierarchy uniqueName="[Stoptrin].[AktiveretDato]" caption="AktiveretDato" attribute="1" defaultMemberUniqueName="[Stoptrin].[AktiveretDato].[All]" allUniqueName="[Stoptrin].[AktiveretDato].[All]" dimensionUniqueName="[Stoptrin]" displayFolder="" count="2" unbalanced="0"/>
    <cacheHierarchy uniqueName="[Stoptrin].[Arbejdsgangs_BK]" caption="Arbejdsgangs_BK" attribute="1" defaultMemberUniqueName="[Stoptrin].[Arbejdsgangs_BK].[All]" allUniqueName="[Stoptrin].[Arbejdsgangs_BK].[All]" dimensionUniqueName="[Stoptrin]" displayFolder="" count="2" unbalanced="0"/>
    <cacheHierarchy uniqueName="[Stoptrin].[DimittendDato]" caption="DimittendDato" attribute="1" defaultMemberUniqueName="[Stoptrin].[DimittendDato].[All]" allUniqueName="[Stoptrin].[DimittendDato].[All]" dimensionUniqueName="[Stoptrin]" displayFolder="" count="2" unbalanced="0"/>
    <cacheHierarchy uniqueName="[Stoptrin].[TrinNummer]" caption="TrinNummer" attribute="1" defaultMemberUniqueName="[Stoptrin].[TrinNummer].[All]" allUniqueName="[Stoptrin].[TrinNummer].[All]" dimensionUniqueName="[Stoptrin]" displayFolder="" count="2" unbalanced="0"/>
    <cacheHierarchy uniqueName="[Stoptrin].[TrinSlutDato]" caption="TrinSlutDato" attribute="1" defaultMemberUniqueName="[Stoptrin].[TrinSlutDato].[All]" allUniqueName="[Stoptrin].[TrinSlutDato].[All]" dimensionUniqueName="[Stoptrin]" displayFolder="" count="2" unbalanced="0"/>
    <cacheHierarchy uniqueName="[Stoptrin].[TrinStartDato]" caption="TrinStartDato" attribute="1" defaultMemberUniqueName="[Stoptrin].[TrinStartDato].[All]" allUniqueName="[Stoptrin].[TrinStartDato].[All]" dimensionUniqueName="[Stoptrin]" displayFolder="" count="2" unbalanced="0"/>
    <cacheHierarchy uniqueName="[Team].[Afdeling]" caption="Afdeling" attribute="1" defaultMemberUniqueName="[Team].[Afdeling].[All]" allUniqueName="[Team].[Afdeling].[All]" dimensionUniqueName="[Team]" displayFolder="" count="2" unbalanced="0"/>
    <cacheHierarchy uniqueName="[Team].[Team]" caption="Team" attribute="1" defaultMemberUniqueName="[Team].[Team].[All]" allUniqueName="[Team].[Team].[All]" dimensionUniqueName="[Team]" displayFolder="" count="2" unbalanced="0"/>
    <cacheHierarchy uniqueName="[Team].[Team Gruppe]" caption="Team Gruppe" attribute="1" defaultMemberUniqueName="[Team].[Team Gruppe].[All]" allUniqueName="[Team].[Team Gruppe].[All]" dimensionUniqueName="[Team]" displayFolder="" count="2" unbalanced="0"/>
    <cacheHierarchy uniqueName="[Team].[Team_BK]" caption="Team_BK" attribute="1" defaultMemberUniqueName="[Team].[Team_BK].[All]" allUniqueName="[Team].[Team_BK].[All]" dimensionUniqueName="[Team]" displayFolder="" count="2" unbalanced="0"/>
    <cacheHierarchy uniqueName="[Team anmelder].[Afdeling]" caption="Afdeling" attribute="1" defaultMemberUniqueName="[Team anmelder].[Afdeling].[All]" allUniqueName="[Team anmelder].[Afdeling].[All]" dimensionUniqueName="[Team anmelder]" displayFolder="" count="2" unbalanced="0"/>
    <cacheHierarchy uniqueName="[Team anmelder].[Team]" caption="Team" attribute="1" defaultMemberUniqueName="[Team anmelder].[Team].[All]" allUniqueName="[Team anmelder].[Team].[All]" dimensionUniqueName="[Team anmelder]" displayFolder="" count="2" unbalanced="0"/>
    <cacheHierarchy uniqueName="[Team anmelder].[TeamGruppe]" caption="TeamGruppe" attribute="1" defaultMemberUniqueName="[Team anmelder].[TeamGruppe].[All]" allUniqueName="[Team anmelder].[TeamGruppe].[All]" dimensionUniqueName="[Team anmelder]" displayFolder="" count="2" unbalanced="0"/>
    <cacheHierarchy uniqueName="[Team Viderestillet].[Afdeling]" caption="Afdeling" attribute="1" defaultMemberUniqueName="[Team Viderestillet].[Afdeling].[All]" allUniqueName="[Team Viderestillet].[Afdeling].[All]" dimensionUniqueName="[Team Viderestillet]" displayFolder="" count="2" unbalanced="0"/>
    <cacheHierarchy uniqueName="[Team Viderestillet].[Team]" caption="Team" attribute="1" defaultMemberUniqueName="[Team Viderestillet].[Team].[All]" allUniqueName="[Team Viderestillet].[Team].[All]" dimensionUniqueName="[Team Viderestillet]" displayFolder="" count="2" unbalanced="0"/>
    <cacheHierarchy uniqueName="[Team Viderestillet].[Team Gruppe]" caption="Team Gruppe" attribute="1" defaultMemberUniqueName="[Team Viderestillet].[Team Gruppe].[All]" allUniqueName="[Team Viderestillet].[Team Gruppe].[All]" dimensionUniqueName="[Team Viderestillet]" displayFolder="" count="2" unbalanced="0"/>
    <cacheHierarchy uniqueName="[Tid på dagen].[Halve Time]" caption="Halve Time" attribute="1" defaultMemberUniqueName="[Tid på dagen].[Halve Time].[All]" allUniqueName="[Tid på dagen].[Halve Time].[All]" dimensionUniqueName="[Tid på dagen]" displayFolder="" count="2" unbalanced="0"/>
    <cacheHierarchy uniqueName="[Tid på dagen].[Halve Time På Dagen]" caption="Halve Time På Dagen" attribute="1" defaultMemberUniqueName="[Tid på dagen].[Halve Time På Dagen].[All]" allUniqueName="[Tid på dagen].[Halve Time På Dagen].[All]" dimensionUniqueName="[Tid på dagen]" displayFolder="" count="2" unbalanced="0"/>
    <cacheHierarchy uniqueName="[Tid på dagen].[Kvarter]" caption="Kvarter" attribute="1" defaultMemberUniqueName="[Tid på dagen].[Kvarter].[All]" allUniqueName="[Tid på dagen].[Kvarter].[All]" dimensionUniqueName="[Tid på dagen]" displayFolder="" count="2" unbalanced="0"/>
    <cacheHierarchy uniqueName="[Tid på dagen].[Kvarter På Dagen]" caption="Kvarter På Dagen" attribute="1" defaultMemberUniqueName="[Tid på dagen].[Kvarter På Dagen].[All]" allUniqueName="[Tid på dagen].[Kvarter På Dagen].[All]" dimensionUniqueName="[Tid på dagen]" displayFolder="" count="2" unbalanced="0"/>
    <cacheHierarchy uniqueName="[Tid på dagen].[Minuttal]" caption="Minuttal" attribute="1" defaultMemberUniqueName="[Tid på dagen].[Minuttal].[All]" allUniqueName="[Tid på dagen].[Minuttal].[All]" dimensionUniqueName="[Tid på dagen]" displayFolder="" count="2" unbalanced="0"/>
    <cacheHierarchy uniqueName="[Tid på dagen].[Tid På Dagen]" caption="Tid På Dagen" attribute="1" defaultMemberUniqueName="[Tid på dagen].[Tid På Dagen].[All]" allUniqueName="[Tid på dagen].[Tid På Dagen].[All]" dimensionUniqueName="[Tid på dagen]" displayFolder="" count="2" unbalanced="0"/>
    <cacheHierarchy uniqueName="[Tid på dagen].[Timetal]" caption="Timetal" attribute="1" defaultMemberUniqueName="[Tid på dagen].[Timetal].[All]" allUniqueName="[Tid på dagen].[Timetal].[All]" dimensionUniqueName="[Tid på dagen]" displayFolder="" count="2" unbalanced="0"/>
    <cacheHierarchy uniqueName="[Uddannelse].[IDA Gruppe]" caption="IDA Gruppe" attribute="1" defaultMemberUniqueName="[Uddannelse].[IDA Gruppe].[All]" allUniqueName="[Uddannelse].[IDA Gruppe].[All]" dimensionUniqueName="[Uddannelse]" displayFolder="" count="2" unbalanced="0">
      <fieldsUsage count="2">
        <fieldUsage x="-1"/>
        <fieldUsage x="4"/>
      </fieldsUsage>
    </cacheHierarchy>
    <cacheHierarchy uniqueName="[Uddannelse].[IDA Gruppe Niveau1]" caption="IDA Gruppe Niveau1" attribute="1" defaultMemberUniqueName="[Uddannelse].[IDA Gruppe Niveau1].[All]" allUniqueName="[Uddannelse].[IDA Gruppe Niveau1].[All]" dimensionUniqueName="[Uddannelse]" displayFolder="" count="2" unbalanced="0">
      <fieldsUsage count="2">
        <fieldUsage x="-1"/>
        <fieldUsage x="1"/>
      </fieldsUsage>
    </cacheHierarchy>
    <cacheHierarchy uniqueName="[Uddannelse].[IDA Gruppering]" caption="IDA Gruppering" defaultMemberUniqueName="[Uddannelse].[IDA Gruppering].[All]" allUniqueName="[Uddannelse].[IDA Gruppering].[All]" dimensionUniqueName="[Uddannelse]" displayFolder="" count="3" unbalanced="0"/>
    <cacheHierarchy uniqueName="[Uddannelse].[Uddannelse]" caption="Uddannelse" attribute="1" defaultMemberUniqueName="[Uddannelse].[Uddannelse].[All]" allUniqueName="[Uddannelse].[Uddannelse].[All]" dimensionUniqueName="[Uddannelse]" displayFolder="" count="2" unbalanced="0"/>
    <cacheHierarchy uniqueName="[Uddannelse].[Uddannelses Kategori]" caption="Uddannelses Kategori" attribute="1" defaultMemberUniqueName="[Uddannelse].[Uddannelses Kategori].[All]" allUniqueName="[Uddannelse].[Uddannelses Kategori].[All]" dimensionUniqueName="[Uddannelse]" displayFolder="" count="2" unbalanced="0"/>
    <cacheHierarchy uniqueName="[Uddannelsesretning].[IDA Gruppe]" caption="IDA Gruppe" attribute="1" defaultMemberUniqueName="[Uddannelsesretning].[IDA Gruppe].[All]" allUniqueName="[Uddannelsesretning].[IDA Gruppe].[All]" dimensionUniqueName="[Uddannelsesretning]" displayFolder="" count="2" unbalanced="0">
      <fieldsUsage count="2">
        <fieldUsage x="-1"/>
        <fieldUsage x="10"/>
      </fieldsUsage>
    </cacheHierarchy>
    <cacheHierarchy uniqueName="[Uddannelsesretning].[IDA Gruppe Cand Scient]" caption="IDA Gruppe Cand Scient" attribute="1" defaultMemberUniqueName="[Uddannelsesretning].[IDA Gruppe Cand Scient].[All]" allUniqueName="[Uddannelsesretning].[IDA Gruppe Cand Scient].[All]" dimensionUniqueName="[Uddannelsesretning]" displayFolder="" count="2" unbalanced="0">
      <fieldsUsage count="2">
        <fieldUsage x="-1"/>
        <fieldUsage x="9"/>
      </fieldsUsage>
    </cacheHierarchy>
    <cacheHierarchy uniqueName="[Uddannelsesretning].[IDA Gruppe Cand Scient Niveau1]" caption="IDA Gruppe Cand Scient Niveau1" attribute="1" defaultMemberUniqueName="[Uddannelsesretning].[IDA Gruppe Cand Scient Niveau1].[All]" allUniqueName="[Uddannelsesretning].[IDA Gruppe Cand Scient Niveau1].[All]" dimensionUniqueName="[Uddannelsesretning]" displayFolder="" count="2" unbalanced="0"/>
    <cacheHierarchy uniqueName="[Uddannelsesretning].[IDA Gruppe Niveau1]" caption="IDA Gruppe Niveau1" attribute="1" defaultMemberUniqueName="[Uddannelsesretning].[IDA Gruppe Niveau1].[All]" allUniqueName="[Uddannelsesretning].[IDA Gruppe Niveau1].[All]" dimensionUniqueName="[Uddannelsesretning]" displayFolder="" count="2" unbalanced="0"/>
    <cacheHierarchy uniqueName="[Uddannelsesretning].[Uddannelsesretning]" caption="Uddannelsesretning" attribute="1" defaultMemberUniqueName="[Uddannelsesretning].[Uddannelsesretning].[All]" allUniqueName="[Uddannelsesretning].[Uddannelsesretning].[All]" dimensionUniqueName="[Uddannelsesretning]" displayFolder="" count="2" unbalanced="0"/>
    <cacheHierarchy uniqueName="[Uddannelsessted].[Uddannelsessted]" caption="Uddannelsessted" attribute="1" defaultMemberUniqueName="[Uddannelsessted].[Uddannelsessted].[All]" allUniqueName="[Uddannelsessted].[Uddannelsessted].[All]" dimensionUniqueName="[Uddannelsessted]" displayFolder="" count="2" unbalanced="0"/>
    <cacheHierarchy uniqueName="[Uddannelsessted].[Uddannelsessted Gruppering]" caption="Uddannelsessted Gruppering" attribute="1" defaultMemberUniqueName="[Uddannelsessted].[Uddannelsessted Gruppering].[All]" allUniqueName="[Uddannelsessted].[Uddannelsessted Gruppering].[All]" dimensionUniqueName="[Uddannelsessted]" displayFolder="" count="2" unbalanced="0"/>
    <cacheHierarchy uniqueName="[Varighed Samtaletid].[Varighed Samtaletid]" caption="Varighed Samtaletid" attribute="1" defaultMemberUniqueName="[Varighed Samtaletid].[Varighed Samtaletid].[All]" allUniqueName="[Varighed Samtaletid].[Varighed Samtaletid].[All]" dimensionUniqueName="[Varighed Samtaletid]" displayFolder="" count="2" unbalanced="0"/>
    <cacheHierarchy uniqueName="[Varighed Samtaletid].[Varighed Samtaletid Gruppe]" caption="Varighed Samtaletid Gruppe" attribute="1" defaultMemberUniqueName="[Varighed Samtaletid].[Varighed Samtaletid Gruppe].[All]" allUniqueName="[Varighed Samtaletid].[Varighed Samtaletid Gruppe].[All]" dimensionUniqueName="[Varighed Samtaletid]" displayFolder="" count="2" unbalanced="0"/>
    <cacheHierarchy uniqueName="[Varighed Samtaletid].[Varighed Samtaletid Gruppe Niveau1]" caption="Varighed Samtaletid Gruppe Niveau1" attribute="1" defaultMemberUniqueName="[Varighed Samtaletid].[Varighed Samtaletid Gruppe Niveau1].[All]" allUniqueName="[Varighed Samtaletid].[Varighed Samtaletid Gruppe Niveau1].[All]" dimensionUniqueName="[Varighed Samtaletid]" displayFolder="" count="2" unbalanced="0"/>
    <cacheHierarchy uniqueName="[Varighed Ventetid].[Varighed Ventetid]" caption="Varighed Ventetid" attribute="1" defaultMemberUniqueName="[Varighed Ventetid].[Varighed Ventetid].[All]" allUniqueName="[Varighed Ventetid].[Varighed Ventetid].[All]" dimensionUniqueName="[Varighed Ventetid]" displayFolder="" count="2" unbalanced="0"/>
    <cacheHierarchy uniqueName="[Varighed Ventetid].[Varighed Ventetid Gruppe]" caption="Varighed Ventetid Gruppe" attribute="1" defaultMemberUniqueName="[Varighed Ventetid].[Varighed Ventetid Gruppe].[All]" allUniqueName="[Varighed Ventetid].[Varighed Ventetid Gruppe].[All]" dimensionUniqueName="[Varighed Ventetid]" displayFolder="" count="2" unbalanced="0"/>
    <cacheHierarchy uniqueName="[Varighed Ventetid].[Varighed Ventetid Gruppe Niveau1]" caption="Varighed Ventetid Gruppe Niveau1" attribute="1" defaultMemberUniqueName="[Varighed Ventetid].[Varighed Ventetid Gruppe Niveau1].[All]" allUniqueName="[Varighed Ventetid].[Varighed Ventetid Gruppe Niveau1].[All]" dimensionUniqueName="[Varighed Ventetid]" displayFolder="" count="2" unbalanced="0"/>
    <cacheHierarchy uniqueName="[Viderestillet].[Viderestillet]" caption="Viderestillet" attribute="1" defaultMemberUniqueName="[Viderestillet].[Viderestillet].[All]" allUniqueName="[Viderestillet].[Viderestillet].[All]" dimensionUniqueName="[Viderestillet]" displayFolder="" count="2" unbalanced="0"/>
    <cacheHierarchy uniqueName="[Virksomhed].[Virksomhed]" caption="Virksomhed" attribute="1" defaultMemberUniqueName="[Virksomhed].[Virksomhed].[All]" allUniqueName="[Virksomhed].[Virksomhed].[All]" dimensionUniqueName="[Virksomhed]" displayFolder="" count="2" unbalanced="0"/>
    <cacheHierarchy uniqueName="[Ydelsestype].[AlternativYdelsestypeGruppe]" caption="AlternativYdelsestypeGruppe" attribute="1" defaultMemberUniqueName="[Ydelsestype].[AlternativYdelsestypeGruppe].[All]" allUniqueName="[Ydelsestype].[AlternativYdelsestypeGruppe].[All]" dimensionUniqueName="[Ydelsestype]" displayFolder="" count="2" unbalanced="0"/>
    <cacheHierarchy uniqueName="[Ydelsestype].[Ydelsesetype Gruppe - Ydelsestype]" caption="Ydelsesetype Gruppe - Ydelsestype" defaultMemberUniqueName="[Ydelsestype].[Ydelsesetype Gruppe - Ydelsestype].[All]" allUniqueName="[Ydelsestype].[Ydelsesetype Gruppe - Ydelsestype].[All]" dimensionUniqueName="[Ydelsestype]" displayFolder="" count="3" unbalanced="0"/>
    <cacheHierarchy uniqueName="[Ydelsestype].[Ydelsestype]" caption="Ydelsestype" attribute="1" defaultMemberUniqueName="[Ydelsestype].[Ydelsestype].[All]" allUniqueName="[Ydelsestype].[Ydelsestype].[All]" dimensionUniqueName="[Ydelsestype]" displayFolder="" count="2" unbalanced="0"/>
    <cacheHierarchy uniqueName="[Ydelsestype].[Ydelsestype Gruppe]" caption="Ydelsestype Gruppe" attribute="1" defaultMemberUniqueName="[Ydelsestype].[Ydelsestype Gruppe].[All]" allUniqueName="[Ydelsestype].[Ydelsestype Gruppe].[All]" dimensionUniqueName="[Ydelsestype]" displayFolder="" count="2" unbalanced="0"/>
    <cacheHierarchy uniqueName="[Ydelsestype].[Ydelsestype_BK]" caption="Ydelsestype_BK" attribute="1" defaultMemberUniqueName="[Ydelsestype].[Ydelsestype_BK].[All]" allUniqueName="[Ydelsestype].[Ydelsestype_BK].[All]" dimensionUniqueName="[Ydelsestype]" displayFolder="" count="2" unbalanced="0"/>
    <cacheHierarchy uniqueName="[Ændring efter fastfrysning].[Ændring Efter Fastfrysning]" caption="Ændring Efter Fastfrysning" attribute="1" defaultMemberUniqueName="[Ændring efter fastfrysning].[Ændring Efter Fastfrysning].[All]" allUniqueName="[Ændring efter fastfrysning].[Ændring Efter Fastfrysning].[All]" dimensionUniqueName="[Ændring efter fastfrysning]" displayFolder="" count="2" unbalanced="0"/>
    <cacheHierarchy uniqueName="[Årsag].[Årsag]" caption="Årsag" attribute="1" defaultMemberUniqueName="[Årsag].[Årsag].[All]" allUniqueName="[Årsag].[Årsag].[All]" dimensionUniqueName="[Årsag]" displayFolder="" count="2" unbalanced="0"/>
    <cacheHierarchy uniqueName="[Årsag].[Årsag Type]" caption="Årsag Type" attribute="1" defaultMemberUniqueName="[Årsag].[Årsag Type].[All]" allUniqueName="[Årsag].[Årsag Type].[All]" dimensionUniqueName="[Årsag]" displayFolder="" count="2" unbalanced="0"/>
    <cacheHierarchy uniqueName="[Årsag].[Årsag Type - Årsag]" caption="Årsag Type - Årsag" defaultMemberUniqueName="[Årsag].[Årsag Type - Årsag].[All]" allUniqueName="[Årsag].[Årsag Type - Årsag].[All]" dimensionUniqueName="[Årsag]" displayFolder="" count="3" unbalanced="0"/>
    <cacheHierarchy uniqueName="[Afslutningsdato].[DagpengeUgeSlut]" caption="DagpengeUgeSlut" attribute="1" defaultMemberUniqueName="[Afslutningsdato].[DagpengeUgeSlut].[All]" allUniqueName="[Afslutningsdato].[DagpengeUgeSlut].[All]" dimensionUniqueName="[Afslutningsdato]" displayFolder="" count="2" unbalanced="0" hidden="1"/>
    <cacheHierarchy uniqueName="[Afslutningsdato].[DagpengeUgeStart]" caption="DagpengeUgeStart" attribute="1" defaultMemberUniqueName="[Afslutningsdato].[DagpengeUgeStart].[All]" allUniqueName="[Afslutningsdato].[DagpengeUgeStart].[All]" dimensionUniqueName="[Afslutningsdato]" displayFolder="" count="2" unbalanced="0" hidden="1"/>
    <cacheHierarchy uniqueName="[Afslutningsdato].[MånedNr]" caption="MånedNr" attribute="1" defaultMemberUniqueName="[Afslutningsdato].[MånedNr].[All]" allUniqueName="[Afslutningsdato].[MånedNr].[All]" dimensionUniqueName="[Afslutningsdato]" displayFolder="" count="2" unbalanced="0" hidden="1"/>
    <cacheHierarchy uniqueName="[Afslutningsdato].[MånedÅr]" caption="MånedÅr" attribute="1" defaultMemberUniqueName="[Afslutningsdato].[MånedÅr].[All]" allUniqueName="[Afslutningsdato].[MånedÅr].[All]" dimensionUniqueName="[Afslutningsdato]" displayFolder="" count="2" unbalanced="0" hidden="1"/>
    <cacheHierarchy uniqueName="[Afslutningsdato].[UgedagNr]" caption="UgedagNr" attribute="1" defaultMemberUniqueName="[Afslutningsdato].[UgedagNr].[All]" allUniqueName="[Afslutningsdato].[UgedagNr].[All]" dimensionUniqueName="[Afslutningsdato]" displayFolder="" count="2" unbalanced="0" hidden="1"/>
    <cacheHierarchy uniqueName="[Aftale Afholdelsesstatus].[AftaleAfholdelsesstatus_BK]" caption="AftaleAfholdelsesstatus_BK" attribute="1" defaultMemberUniqueName="[Aftale Afholdelsesstatus].[AftaleAfholdelsesstatus_BK].[All]" allUniqueName="[Aftale Afholdelsesstatus].[AftaleAfholdelsesstatus_BK].[All]" dimensionUniqueName="[Aftale Afholdelsesstatus]" displayFolder="" count="2" unbalanced="0" hidden="1"/>
    <cacheHierarchy uniqueName="[Aftale Afholdelsesstatus].[AftaleAfholdelsesstatus_Key]" caption="AftaleAfholdelsesstatus_Key" attribute="1" defaultMemberUniqueName="[Aftale Afholdelsesstatus].[AftaleAfholdelsesstatus_Key].[All]" allUniqueName="[Aftale Afholdelsesstatus].[AftaleAfholdelsesstatus_Key].[All]" dimensionUniqueName="[Aftale Afholdelsesstatus]" displayFolder="" count="2" unbalanced="0" hidden="1"/>
    <cacheHierarchy uniqueName="[Aftaler].[#Aftaletid]" caption="#Aftaletid" attribute="1" defaultMemberUniqueName="[Aftaler].[#Aftaletid].[All]" allUniqueName="[Aftaler].[#Aftaletid].[All]" dimensionUniqueName="[Aftaler]" displayFolder="" count="2" unbalanced="0" hidden="1"/>
    <cacheHierarchy uniqueName="[Aftaler].[#NomeretTid]" caption="#NomeretTid" attribute="1" defaultMemberUniqueName="[Aftaler].[#NomeretTid].[All]" allUniqueName="[Aftaler].[#NomeretTid].[All]" dimensionUniqueName="[Aftaler]" displayFolder="" count="2" unbalanced="0" hidden="1"/>
    <cacheHierarchy uniqueName="[Aftaler].[AftaleAfholdelsesstatus_Key]" caption="AftaleAfholdelsesstatus_Key" attribute="1" defaultMemberUniqueName="[Aftaler].[AftaleAfholdelsesstatus_Key].[All]" allUniqueName="[Aftaler].[AftaleAfholdelsesstatus_Key].[All]" dimensionUniqueName="[Aftaler]" displayFolder="" count="2" unbalanced="0" hidden="1"/>
    <cacheHierarchy uniqueName="[Aftaler].[AftaleID]" caption="AftaleID" attribute="1" defaultMemberUniqueName="[Aftaler].[AftaleID].[All]" allUniqueName="[Aftaler].[AftaleID].[All]" dimensionUniqueName="[Aftaler]" displayFolder="" count="2" unbalanced="0" hidden="1"/>
    <cacheHierarchy uniqueName="[Aftaler].[Aftalestatus_Key]" caption="Aftalestatus_Key" attribute="1" defaultMemberUniqueName="[Aftaler].[Aftalestatus_Key].[All]" allUniqueName="[Aftaler].[Aftalestatus_Key].[All]" dimensionUniqueName="[Aftaler]" displayFolder="" count="2" unbalanced="0" hidden="1"/>
    <cacheHierarchy uniqueName="[Aftaler].[Aftaletype_Key]" caption="Aftaletype_Key" attribute="1" defaultMemberUniqueName="[Aftaler].[Aftaletype_Key].[All]" allUniqueName="[Aftaler].[Aftaletype_Key].[All]" dimensionUniqueName="[Aftaler]" displayFolder="" count="2" unbalanced="0" hidden="1"/>
    <cacheHierarchy uniqueName="[Aftaler].[Alder_Key]" caption="Alder_Key" attribute="1" defaultMemberUniqueName="[Aftaler].[Alder_Key].[All]" allUniqueName="[Aftaler].[Alder_Key].[All]" dimensionUniqueName="[Aftaler]" displayFolder="" count="2" unbalanced="0" hidden="1"/>
    <cacheHierarchy uniqueName="[Aftaler].[AndenAkasse_Key]" caption="AndenAkasse_Key" attribute="1" defaultMemberUniqueName="[Aftaler].[AndenAkasse_Key].[All]" allUniqueName="[Aftaler].[AndenAkasse_Key].[All]" dimensionUniqueName="[Aftaler]" displayFolder="" count="2" unbalanced="0" hidden="1"/>
    <cacheHierarchy uniqueName="[Aftaler].[Ansvarligt_Team_Key]" caption="Ansvarligt_Team_Key" attribute="1" defaultMemberUniqueName="[Aftaler].[Ansvarligt_Team_Key].[All]" allUniqueName="[Aftaler].[Ansvarligt_Team_Key].[All]" dimensionUniqueName="[Aftaler]" displayFolder="" count="2" unbalanced="0" hidden="1"/>
    <cacheHierarchy uniqueName="[Aftaler].[Arrangement_Key]" caption="Arrangement_Key" attribute="1" defaultMemberUniqueName="[Aftaler].[Arrangement_Key].[All]" allUniqueName="[Aftaler].[Arrangement_Key].[All]" dimensionUniqueName="[Aftaler]" displayFolder="" count="2" unbalanced="0" hidden="1"/>
    <cacheHierarchy uniqueName="[Aftaler].[Betalingsstatus_Key]" caption="Betalingsstatus_Key" attribute="1" defaultMemberUniqueName="[Aftaler].[Betalingsstatus_Key].[All]" allUniqueName="[Aftaler].[Betalingsstatus_Key].[All]" dimensionUniqueName="[Aftaler]" displayFolder="" count="2" unbalanced="0" hidden="1"/>
    <cacheHierarchy uniqueName="[Aftaler].[Dato]" caption="Dato" attribute="1" defaultMemberUniqueName="[Aftaler].[Dato].[All]" allUniqueName="[Aftaler].[Dato].[All]" dimensionUniqueName="[Aftaler]" displayFolder="" count="2" unbalanced="0" hidden="1"/>
    <cacheHierarchy uniqueName="[Aftaler].[DimittendDato]" caption="DimittendDato" attribute="1" defaultMemberUniqueName="[Aftaler].[DimittendDato].[All]" allUniqueName="[Aftaler].[DimittendDato].[All]" dimensionUniqueName="[Aftaler]" displayFolder="" count="2" unbalanced="0" hidden="1"/>
    <cacheHierarchy uniqueName="[Aftaler].[FagligtTilhoersforhold_Key]" caption="FagligtTilhoersforhold_Key" attribute="1" defaultMemberUniqueName="[Aftaler].[FagligtTilhoersforhold_Key].[All]" allUniqueName="[Aftaler].[FagligtTilhoersforhold_Key].[All]" dimensionUniqueName="[Aftaler]" displayFolder="" count="2" unbalanced="0" hidden="1"/>
    <cacheHierarchy uniqueName="[Aftaler].[Forloeb_Key]" caption="Forloeb_Key" attribute="1" defaultMemberUniqueName="[Aftaler].[Forloeb_Key].[All]" allUniqueName="[Aftaler].[Forloeb_Key].[All]" dimensionUniqueName="[Aftaler]" displayFolder="" count="2" unbalanced="0" hidden="1"/>
    <cacheHierarchy uniqueName="[Aftaler].[IndbetalerTilEfterloen_Key]" caption="IndbetalerTilEfterloen_Key" attribute="1" defaultMemberUniqueName="[Aftaler].[IndbetalerTilEfterloen_Key].[All]" allUniqueName="[Aftaler].[IndbetalerTilEfterloen_Key].[All]" dimensionUniqueName="[Aftaler]" displayFolder="" count="2" unbalanced="0" hidden="1"/>
    <cacheHierarchy uniqueName="[Aftaler].[KandidatAlder_Key]" caption="KandidatAlder_Key" attribute="1" defaultMemberUniqueName="[Aftaler].[KandidatAlder_Key].[All]" allUniqueName="[Aftaler].[KandidatAlder_Key].[All]" dimensionUniqueName="[Aftaler]" displayFolder="" count="2" unbalanced="0" hidden="1"/>
    <cacheHierarchy uniqueName="[Aftaler].[Kommune_Key]" caption="Kommune_Key" attribute="1" defaultMemberUniqueName="[Aftaler].[Kommune_Key].[All]" allUniqueName="[Aftaler].[Kommune_Key].[All]" dimensionUniqueName="[Aftaler]" displayFolder="" count="2" unbalanced="0" hidden="1"/>
    <cacheHierarchy uniqueName="[Aftaler].[Land_Key]" caption="Land_Key" attribute="1" defaultMemberUniqueName="[Aftaler].[Land_Key].[All]" allUniqueName="[Aftaler].[Land_Key].[All]" dimensionUniqueName="[Aftaler]" displayFolder="" count="2" unbalanced="0" hidden="1"/>
    <cacheHierarchy uniqueName="[Aftaler].[Medarbejder_Key]" caption="Medarbejder_Key" attribute="1" defaultMemberUniqueName="[Aftaler].[Medarbejder_Key].[All]" allUniqueName="[Aftaler].[Medarbejder_Key].[All]" dimensionUniqueName="[Aftaler]" displayFolder="" count="2" unbalanced="0" hidden="1"/>
    <cacheHierarchy uniqueName="[Aftaler].[Medlem_Key]" caption="Medlem_Key" attribute="1" defaultMemberUniqueName="[Aftaler].[Medlem_Key].[All]" allUniqueName="[Aftaler].[Medlem_Key].[All]" dimensionUniqueName="[Aftaler]" displayFolder="" count="2" unbalanced="0" hidden="1"/>
    <cacheHierarchy uniqueName="[Aftaler].[Medlemsstatus_Key]" caption="Medlemsstatus_Key" attribute="1" defaultMemberUniqueName="[Aftaler].[Medlemsstatus_Key].[All]" allUniqueName="[Aftaler].[Medlemsstatus_Key].[All]" dimensionUniqueName="[Aftaler]" displayFolder="" count="2" unbalanced="0" hidden="1"/>
    <cacheHierarchy uniqueName="[Aftaler].[Postnummer_Key]" caption="Postnummer_Key" attribute="1" defaultMemberUniqueName="[Aftaler].[Postnummer_Key].[All]" allUniqueName="[Aftaler].[Postnummer_Key].[All]" dimensionUniqueName="[Aftaler]" displayFolder="" count="2" unbalanced="0" hidden="1"/>
    <cacheHierarchy uniqueName="[Aftaler].[RapporteringsMaanedAar]" caption="RapporteringsMaanedAar" attribute="1" defaultMemberUniqueName="[Aftaler].[RapporteringsMaanedAar].[All]" allUniqueName="[Aftaler].[RapporteringsMaanedAar].[All]" dimensionUniqueName="[Aftaler]" displayFolder="" count="2" unbalanced="0" hidden="1"/>
    <cacheHierarchy uniqueName="[Aftaler].[StraksBooket]" caption="StraksBooket" attribute="1" defaultMemberUniqueName="[Aftaler].[StraksBooket].[All]" allUniqueName="[Aftaler].[StraksBooket].[All]" dimensionUniqueName="[Aftaler]" displayFolder="" count="2" unbalanced="0" hidden="1"/>
    <cacheHierarchy uniqueName="[Aftaler].[Team_Key]" caption="Team_Key" attribute="1" defaultMemberUniqueName="[Aftaler].[Team_Key].[All]" allUniqueName="[Aftaler].[Team_Key].[All]" dimensionUniqueName="[Aftaler]" displayFolder="" count="2" unbalanced="0" hidden="1"/>
    <cacheHierarchy uniqueName="[Aftaler].[Uddannelse_Key]" caption="Uddannelse_Key" attribute="1" defaultMemberUniqueName="[Aftaler].[Uddannelse_Key].[All]" allUniqueName="[Aftaler].[Uddannelse_Key].[All]" dimensionUniqueName="[Aftaler]" displayFolder="" count="2" unbalanced="0" hidden="1"/>
    <cacheHierarchy uniqueName="[Aftaler].[Uddannelsessted_Key]" caption="Uddannelsessted_Key" attribute="1" defaultMemberUniqueName="[Aftaler].[Uddannelsessted_Key].[All]" allUniqueName="[Aftaler].[Uddannelsessted_Key].[All]" dimensionUniqueName="[Aftaler]" displayFolder="" count="2" unbalanced="0" hidden="1"/>
    <cacheHierarchy uniqueName="[Aftaler].[Aarsag_Key]" caption="Aarsag_Key" attribute="1" defaultMemberUniqueName="[Aftaler].[Aarsag_Key].[All]" allUniqueName="[Aftaler].[Aarsag_Key].[All]" dimensionUniqueName="[Aftaler]" displayFolder="" count="2" unbalanced="0" hidden="1"/>
    <cacheHierarchy uniqueName="[Aftalestatus].[Aftalestatus_BK]" caption="Aftalestatus_BK" attribute="1" defaultMemberUniqueName="[Aftalestatus].[Aftalestatus_BK].[All]" allUniqueName="[Aftalestatus].[Aftalestatus_BK].[All]" dimensionUniqueName="[Aftalestatus]" displayFolder="" count="2" unbalanced="0" hidden="1"/>
    <cacheHierarchy uniqueName="[Aftalestatus].[Aftalestatus_Key]" caption="Aftalestatus_Key" attribute="1" defaultMemberUniqueName="[Aftalestatus].[Aftalestatus_Key].[All]" allUniqueName="[Aftalestatus].[Aftalestatus_Key].[All]" dimensionUniqueName="[Aftalestatus]" displayFolder="" count="2" unbalanced="0" hidden="1"/>
    <cacheHierarchy uniqueName="[Aftaletype].[Aftaletype_BK]" caption="Aftaletype_BK" attribute="1" defaultMemberUniqueName="[Aftaletype].[Aftaletype_BK].[All]" allUniqueName="[Aftaletype].[Aftaletype_BK].[All]" dimensionUniqueName="[Aftaletype]" displayFolder="" count="2" unbalanced="0" hidden="1"/>
    <cacheHierarchy uniqueName="[Aftaletype].[Aftaletype_Key]" caption="Aftaletype_Key" attribute="1" defaultMemberUniqueName="[Aftaletype].[Aftaletype_Key].[All]" allUniqueName="[Aftaletype].[Aftaletype_Key].[All]" dimensionUniqueName="[Aftaletype]" displayFolder="" count="2" unbalanced="0" hidden="1"/>
    <cacheHierarchy uniqueName="[Afvist].[Afvist_BK]" caption="Afvist_BK" attribute="1" defaultMemberUniqueName="[Afvist].[Afvist_BK].[All]" allUniqueName="[Afvist].[Afvist_BK].[All]" dimensionUniqueName="[Afvist]" displayFolder="" count="2" unbalanced="0" hidden="1"/>
    <cacheHierarchy uniqueName="[Afvist].[Afvist_Key]" caption="Afvist_Key" attribute="1" defaultMemberUniqueName="[Afvist].[Afvist_Key].[All]" allUniqueName="[Afvist].[Afvist_Key].[All]" dimensionUniqueName="[Afvist]" displayFolder="" count="2" unbalanced="0" hidden="1"/>
    <cacheHierarchy uniqueName="[Aktivitetsstatus].[Aktivitetsstatus_Key]" caption="Aktivitetsstatus_Key" attribute="1" defaultMemberUniqueName="[Aktivitetsstatus].[Aktivitetsstatus_Key].[All]" allUniqueName="[Aktivitetsstatus].[Aktivitetsstatus_Key].[All]" dimensionUniqueName="[Aktivitetsstatus]" displayFolder="" count="2" unbalanced="0" hidden="1"/>
    <cacheHierarchy uniqueName="[Alder].[Alder_Key]" caption="Alder_Key" attribute="1" defaultMemberUniqueName="[Alder].[Alder_Key].[All]" allUniqueName="[Alder].[Alder_Key].[All]" dimensionUniqueName="[Alder]" displayFolder="" count="2" unbalanced="0" hidden="1"/>
    <cacheHierarchy uniqueName="[Alder].[AlderMdr]" caption="AlderMdr" attribute="1" defaultMemberUniqueName="[Alder].[AlderMdr].[All]" allUniqueName="[Alder].[AlderMdr].[All]" dimensionUniqueName="[Alder]" displayFolder="" count="2" unbalanced="0" hidden="1"/>
    <cacheHierarchy uniqueName="[Anden A-kasse].[AndenAkasse_Key]" caption="AndenAkasse_Key" attribute="1" defaultMemberUniqueName="[Anden A-kasse].[AndenAkasse_Key].[All]" allUniqueName="[Anden A-kasse].[AndenAkasse_Key].[All]" dimensionUniqueName="[Anden A-kasse]" displayFolder="" count="2" unbalanced="0" hidden="1"/>
    <cacheHierarchy uniqueName="[Anden Aktør Aktiviteter].[#AndenAktoerAktivitetID]" caption="#AndenAktoerAktivitetID" attribute="1" defaultMemberUniqueName="[Anden Aktør Aktiviteter].[#AndenAktoerAktivitetID].[All]" allUniqueName="[Anden Aktør Aktiviteter].[#AndenAktoerAktivitetID].[All]" dimensionUniqueName="[Anden Aktør Aktiviteter]" displayFolder="" count="2" unbalanced="0" hidden="1"/>
    <cacheHierarchy uniqueName="[Anden Aktør Aktiviteter].[Afvist_Key]" caption="Afvist_Key" attribute="1" defaultMemberUniqueName="[Anden Aktør Aktiviteter].[Afvist_Key].[All]" allUniqueName="[Anden Aktør Aktiviteter].[Afvist_Key].[All]" dimensionUniqueName="[Anden Aktør Aktiviteter]" displayFolder="" count="2" unbalanced="0" hidden="1"/>
    <cacheHierarchy uniqueName="[Anden Aktør Aktiviteter].[AndenAktoerAktivitetstype_Key]" caption="AndenAktoerAktivitetstype_Key" attribute="1" defaultMemberUniqueName="[Anden Aktør Aktiviteter].[AndenAktoerAktivitetstype_Key].[All]" allUniqueName="[Anden Aktør Aktiviteter].[AndenAktoerAktivitetstype_Key].[All]" dimensionUniqueName="[Anden Aktør Aktiviteter]" displayFolder="" count="2" unbalanced="0" hidden="1"/>
    <cacheHierarchy uniqueName="[Anden Aktør Aktiviteter].[Behandlet_Key]" caption="Behandlet_Key" attribute="1" defaultMemberUniqueName="[Anden Aktør Aktiviteter].[Behandlet_Key].[All]" allUniqueName="[Anden Aktør Aktiviteter].[Behandlet_Key].[All]" dimensionUniqueName="[Anden Aktør Aktiviteter]" displayFolder="" count="2" unbalanced="0" hidden="1"/>
    <cacheHierarchy uniqueName="[Anden Aktør Aktiviteter].[Dato]" caption="Dato" attribute="1" defaultMemberUniqueName="[Anden Aktør Aktiviteter].[Dato].[All]" allUniqueName="[Anden Aktør Aktiviteter].[Dato].[All]" dimensionUniqueName="[Anden Aktør Aktiviteter]" displayFolder="" count="2" unbalanced="0" hidden="1"/>
    <cacheHierarchy uniqueName="[Anden Aktør Aktiviteter].[Medarbejder_key]" caption="Medarbejder_key" attribute="1" defaultMemberUniqueName="[Anden Aktør Aktiviteter].[Medarbejder_key].[All]" allUniqueName="[Anden Aktør Aktiviteter].[Medarbejder_key].[All]" dimensionUniqueName="[Anden Aktør Aktiviteter]" displayFolder="" count="2" unbalanced="0" hidden="1"/>
    <cacheHierarchy uniqueName="[Anden Aktør Aktiviteter].[Medlem_Key]" caption="Medlem_Key" attribute="1" defaultMemberUniqueName="[Anden Aktør Aktiviteter].[Medlem_Key].[All]" allUniqueName="[Anden Aktør Aktiviteter].[Medlem_Key].[All]" dimensionUniqueName="[Anden Aktør Aktiviteter]" displayFolder="" count="2" unbalanced="0" hidden="1"/>
    <cacheHierarchy uniqueName="[Anden Aktør Aktiviteter].[RapporteringsMaanedAar]" caption="RapporteringsMaanedAar" attribute="1" defaultMemberUniqueName="[Anden Aktør Aktiviteter].[RapporteringsMaanedAar].[All]" allUniqueName="[Anden Aktør Aktiviteter].[RapporteringsMaanedAar].[All]" dimensionUniqueName="[Anden Aktør Aktiviteter]" displayFolder="" count="2" unbalanced="0" hidden="1"/>
    <cacheHierarchy uniqueName="[Anden Aktør Aktiviteter].[Virksomhed_Key]" caption="Virksomhed_Key" attribute="1" defaultMemberUniqueName="[Anden Aktør Aktiviteter].[Virksomhed_Key].[All]" allUniqueName="[Anden Aktør Aktiviteter].[Virksomhed_Key].[All]" dimensionUniqueName="[Anden Aktør Aktiviteter]" displayFolder="" count="2" unbalanced="0" hidden="1"/>
    <cacheHierarchy uniqueName="[Anden Aktør Aktivitetstype].[AndenAktoerAktivitetstype_BK]" caption="AndenAktoerAktivitetstype_BK" attribute="1" defaultMemberUniqueName="[Anden Aktør Aktivitetstype].[AndenAktoerAktivitetstype_BK].[All]" allUniqueName="[Anden Aktør Aktivitetstype].[AndenAktoerAktivitetstype_BK].[All]" dimensionUniqueName="[Anden Aktør Aktivitetstype]" displayFolder="" count="2" unbalanced="0" hidden="1"/>
    <cacheHierarchy uniqueName="[Anden Aktør Aktivitetstype].[AndenAktoerAktivitetstype_Key]" caption="AndenAktoerAktivitetstype_Key" attribute="1" defaultMemberUniqueName="[Anden Aktør Aktivitetstype].[AndenAktoerAktivitetstype_Key].[All]" allUniqueName="[Anden Aktør Aktivitetstype].[AndenAktoerAktivitetstype_Key].[All]" dimensionUniqueName="[Anden Aktør Aktivitetstype]" displayFolder="" count="2" unbalanced="0" hidden="1"/>
    <cacheHierarchy uniqueName="[Ansvarligt Team].[Team_Key]" caption="Team_Key" attribute="1" defaultMemberUniqueName="[Ansvarligt Team].[Team_Key].[All]" allUniqueName="[Ansvarligt Team].[Team_Key].[All]" dimensionUniqueName="[Ansvarligt Team]" displayFolder="" count="2" unbalanced="0" hidden="1"/>
    <cacheHierarchy uniqueName="[Arbejdsgange].[#Behandlingstid]" caption="#Behandlingstid" attribute="1" defaultMemberUniqueName="[Arbejdsgange].[#Behandlingstid].[All]" allUniqueName="[Arbejdsgange].[#Behandlingstid].[All]" dimensionUniqueName="[Arbejdsgange]" displayFolder="" count="2" unbalanced="0" hidden="1"/>
    <cacheHierarchy uniqueName="[Arbejdsgange].[#Trin]" caption="#Trin" attribute="1" defaultMemberUniqueName="[Arbejdsgange].[#Trin].[All]" allUniqueName="[Arbejdsgange].[#Trin].[All]" dimensionUniqueName="[Arbejdsgange]" displayFolder="" count="2" unbalanced="0" hidden="1"/>
    <cacheHierarchy uniqueName="[Arbejdsgange].[Aktivitetstype_Key]" caption="Aktivitetstype_Key" attribute="1" defaultMemberUniqueName="[Arbejdsgange].[Aktivitetstype_Key].[All]" allUniqueName="[Arbejdsgange].[Aktivitetstype_Key].[All]" dimensionUniqueName="[Arbejdsgange]" displayFolder="" count="2" unbalanced="0" hidden="1"/>
    <cacheHierarchy uniqueName="[Arbejdsgange].[Alder_Key]" caption="Alder_Key" attribute="1" defaultMemberUniqueName="[Arbejdsgange].[Alder_Key].[All]" allUniqueName="[Arbejdsgange].[Alder_Key].[All]" dimensionUniqueName="[Arbejdsgange]" displayFolder="" count="2" unbalanced="0" hidden="1"/>
    <cacheHierarchy uniqueName="[Arbejdsgange].[AndenAKasse_Key]" caption="AndenAKasse_Key" attribute="1" defaultMemberUniqueName="[Arbejdsgange].[AndenAKasse_Key].[All]" allUniqueName="[Arbejdsgange].[AndenAKasse_Key].[All]" dimensionUniqueName="[Arbejdsgange]" displayFolder="" count="2" unbalanced="0" hidden="1"/>
    <cacheHierarchy uniqueName="[Arbejdsgange].[Ansvarligt_Team_Key]" caption="Ansvarligt_Team_Key" attribute="1" defaultMemberUniqueName="[Arbejdsgange].[Ansvarligt_Team_Key].[All]" allUniqueName="[Arbejdsgange].[Ansvarligt_Team_Key].[All]" dimensionUniqueName="[Arbejdsgange]" displayFolder="" count="2" unbalanced="0" hidden="1"/>
    <cacheHierarchy uniqueName="[Arbejdsgange].[Arbejdsgangstype_Key]" caption="Arbejdsgangstype_Key" attribute="1" defaultMemberUniqueName="[Arbejdsgange].[Arbejdsgangstype_Key].[All]" allUniqueName="[Arbejdsgange].[Arbejdsgangstype_Key].[All]" dimensionUniqueName="[Arbejdsgange]" displayFolder="" count="2" unbalanced="0" hidden="1"/>
    <cacheHierarchy uniqueName="[Arbejdsgange].[Arbejdsgangtrin_Key]" caption="Arbejdsgangtrin_Key" attribute="1" defaultMemberUniqueName="[Arbejdsgange].[Arbejdsgangtrin_Key].[All]" allUniqueName="[Arbejdsgange].[Arbejdsgangtrin_Key].[All]" dimensionUniqueName="[Arbejdsgange]" displayFolder="" count="2" unbalanced="0" hidden="1"/>
    <cacheHierarchy uniqueName="[Arbejdsgange].[Arbejdsgangtrinstatus_Key]" caption="Arbejdsgangtrinstatus_Key" attribute="1" defaultMemberUniqueName="[Arbejdsgange].[Arbejdsgangtrinstatus_Key].[All]" allUniqueName="[Arbejdsgange].[Arbejdsgangtrinstatus_Key].[All]" dimensionUniqueName="[Arbejdsgange]" displayFolder="" count="2" unbalanced="0" hidden="1"/>
    <cacheHierarchy uniqueName="[Arbejdsgange].[Automatiseringstype_Key]" caption="Automatiseringstype_Key" attribute="1" defaultMemberUniqueName="[Arbejdsgange].[Automatiseringstype_Key].[All]" allUniqueName="[Arbejdsgange].[Automatiseringstype_Key].[All]" dimensionUniqueName="[Arbejdsgange]" displayFolder="" count="2" unbalanced="0" hidden="1"/>
    <cacheHierarchy uniqueName="[Arbejdsgange].[Betalingsstatus_Key]" caption="Betalingsstatus_Key" attribute="1" defaultMemberUniqueName="[Arbejdsgange].[Betalingsstatus_Key].[All]" allUniqueName="[Arbejdsgange].[Betalingsstatus_Key].[All]" dimensionUniqueName="[Arbejdsgange]" displayFolder="" count="2" unbalanced="0" hidden="1"/>
    <cacheHierarchy uniqueName="[Arbejdsgange].[FagligtTilhoersforhold_Key]" caption="FagligtTilhoersforhold_Key" attribute="1" defaultMemberUniqueName="[Arbejdsgange].[FagligtTilhoersforhold_Key].[All]" allUniqueName="[Arbejdsgange].[FagligtTilhoersforhold_Key].[All]" dimensionUniqueName="[Arbejdsgange]" displayFolder="" count="2" unbalanced="0" hidden="1"/>
    <cacheHierarchy uniqueName="[Arbejdsgange].[IndbetalerTilEfterloen_Key]" caption="IndbetalerTilEfterloen_Key" attribute="1" defaultMemberUniqueName="[Arbejdsgange].[IndbetalerTilEfterloen_Key].[All]" allUniqueName="[Arbejdsgange].[IndbetalerTilEfterloen_Key].[All]" dimensionUniqueName="[Arbejdsgange]" displayFolder="" count="2" unbalanced="0" hidden="1"/>
    <cacheHierarchy uniqueName="[Arbejdsgange].[KandidatAlder_Key]" caption="KandidatAlder_Key" attribute="1" defaultMemberUniqueName="[Arbejdsgange].[KandidatAlder_Key].[All]" allUniqueName="[Arbejdsgange].[KandidatAlder_Key].[All]" dimensionUniqueName="[Arbejdsgange]" displayFolder="" count="2" unbalanced="0" hidden="1"/>
    <cacheHierarchy uniqueName="[Arbejdsgange].[Kommune_Key]" caption="Kommune_Key" attribute="1" defaultMemberUniqueName="[Arbejdsgange].[Kommune_Key].[All]" allUniqueName="[Arbejdsgange].[Kommune_Key].[All]" dimensionUniqueName="[Arbejdsgange]" displayFolder="" count="2" unbalanced="0" hidden="1"/>
    <cacheHierarchy uniqueName="[Arbejdsgange].[Land_Key]" caption="Land_Key" attribute="1" defaultMemberUniqueName="[Arbejdsgange].[Land_Key].[All]" allUniqueName="[Arbejdsgange].[Land_Key].[All]" dimensionUniqueName="[Arbejdsgange]" displayFolder="" count="2" unbalanced="0" hidden="1"/>
    <cacheHierarchy uniqueName="[Arbejdsgange].[Medarbejder_Key]" caption="Medarbejder_Key" attribute="1" defaultMemberUniqueName="[Arbejdsgange].[Medarbejder_Key].[All]" allUniqueName="[Arbejdsgange].[Medarbejder_Key].[All]" dimensionUniqueName="[Arbejdsgange]" displayFolder="" count="2" unbalanced="0" hidden="1"/>
    <cacheHierarchy uniqueName="[Arbejdsgange].[Medlem_Key]" caption="Medlem_Key" attribute="1" defaultMemberUniqueName="[Arbejdsgange].[Medlem_Key].[All]" allUniqueName="[Arbejdsgange].[Medlem_Key].[All]" dimensionUniqueName="[Arbejdsgange]" displayFolder="" count="2" unbalanced="0" hidden="1"/>
    <cacheHierarchy uniqueName="[Arbejdsgange].[Medlemsstatus_Key]" caption="Medlemsstatus_Key" attribute="1" defaultMemberUniqueName="[Arbejdsgange].[Medlemsstatus_Key].[All]" allUniqueName="[Arbejdsgange].[Medlemsstatus_Key].[All]" dimensionUniqueName="[Arbejdsgange]" displayFolder="" count="2" unbalanced="0" hidden="1"/>
    <cacheHierarchy uniqueName="[Arbejdsgange].[Postnummer_Key]" caption="Postnummer_Key" attribute="1" defaultMemberUniqueName="[Arbejdsgange].[Postnummer_Key].[All]" allUniqueName="[Arbejdsgange].[Postnummer_Key].[All]" dimensionUniqueName="[Arbejdsgange]" displayFolder="" count="2" unbalanced="0" hidden="1"/>
    <cacheHierarchy uniqueName="[Arbejdsgange].[RapporteringsMaanedAr]" caption="RapporteringsMaanedAr" attribute="1" defaultMemberUniqueName="[Arbejdsgange].[RapporteringsMaanedAr].[All]" allUniqueName="[Arbejdsgange].[RapporteringsMaanedAr].[All]" dimensionUniqueName="[Arbejdsgange]" displayFolder="" count="2" unbalanced="0" hidden="1"/>
    <cacheHierarchy uniqueName="[Arbejdsgange].[Sagsstatus_Key]" caption="Sagsstatus_Key" attribute="1" defaultMemberUniqueName="[Arbejdsgange].[Sagsstatus_Key].[All]" allUniqueName="[Arbejdsgange].[Sagsstatus_Key].[All]" dimensionUniqueName="[Arbejdsgange]" displayFolder="" count="2" unbalanced="0" hidden="1"/>
    <cacheHierarchy uniqueName="[Arbejdsgange].[Sagstype_Key]" caption="Sagstype_Key" attribute="1" defaultMemberUniqueName="[Arbejdsgange].[Sagstype_Key].[All]" allUniqueName="[Arbejdsgange].[Sagstype_Key].[All]" dimensionUniqueName="[Arbejdsgange]" displayFolder="" count="2" unbalanced="0" hidden="1"/>
    <cacheHierarchy uniqueName="[Arbejdsgange].[Team_Key]" caption="Team_Key" attribute="1" defaultMemberUniqueName="[Arbejdsgange].[Team_Key].[All]" allUniqueName="[Arbejdsgange].[Team_Key].[All]" dimensionUniqueName="[Arbejdsgange]" displayFolder="" count="2" unbalanced="0" hidden="1"/>
    <cacheHierarchy uniqueName="[Arbejdsgange].[Uddannelse_Key]" caption="Uddannelse_Key" attribute="1" defaultMemberUniqueName="[Arbejdsgange].[Uddannelse_Key].[All]" allUniqueName="[Arbejdsgange].[Uddannelse_Key].[All]" dimensionUniqueName="[Arbejdsgange]" displayFolder="" count="2" unbalanced="0" hidden="1"/>
    <cacheHierarchy uniqueName="[Arbejdsgange].[Uddannelsessted_Key]" caption="Uddannelsessted_Key" attribute="1" defaultMemberUniqueName="[Arbejdsgange].[Uddannelsessted_Key].[All]" allUniqueName="[Arbejdsgange].[Uddannelsessted_Key].[All]" dimensionUniqueName="[Arbejdsgange]" displayFolder="" count="2" unbalanced="0" hidden="1"/>
    <cacheHierarchy uniqueName="[Arbejdsgange].[Aarsag_Key]" caption="Aarsag_Key" attribute="1" defaultMemberUniqueName="[Arbejdsgange].[Aarsag_Key].[All]" allUniqueName="[Arbejdsgange].[Aarsag_Key].[All]" dimensionUniqueName="[Arbejdsgange]" displayFolder="" count="2" unbalanced="0" hidden="1"/>
    <cacheHierarchy uniqueName="[Arrangement].[Arrangement_BK]" caption="Arrangement_BK" attribute="1" defaultMemberUniqueName="[Arrangement].[Arrangement_BK].[All]" allUniqueName="[Arrangement].[Arrangement_BK].[All]" dimensionUniqueName="[Arrangement]" displayFolder="" count="2" unbalanced="0" hidden="1"/>
    <cacheHierarchy uniqueName="[Arrangement].[Arrangement_Key]" caption="Arrangement_Key" attribute="1" defaultMemberUniqueName="[Arrangement].[Arrangement_Key].[All]" allUniqueName="[Arrangement].[Arrangement_Key].[All]" dimensionUniqueName="[Arrangement]" displayFolder="" count="2" unbalanced="0" hidden="1"/>
    <cacheHierarchy uniqueName="[Arrangementer].[AftaleAfholdelsesstatus_Key]" caption="AftaleAfholdelsesstatus_Key" attribute="1" defaultMemberUniqueName="[Arrangementer].[AftaleAfholdelsesstatus_Key].[All]" allUniqueName="[Arrangementer].[AftaleAfholdelsesstatus_Key].[All]" dimensionUniqueName="[Arrangementer]" displayFolder="" count="2" unbalanced="0" hidden="1"/>
    <cacheHierarchy uniqueName="[Arrangementer].[AftaleID]" caption="AftaleID" attribute="1" defaultMemberUniqueName="[Arrangementer].[AftaleID].[All]" allUniqueName="[Arrangementer].[AftaleID].[All]" dimensionUniqueName="[Arrangementer]" displayFolder="" count="2" unbalanced="0" hidden="1"/>
    <cacheHierarchy uniqueName="[Arrangementer].[Aftalestatus_Key]" caption="Aftalestatus_Key" attribute="1" defaultMemberUniqueName="[Arrangementer].[Aftalestatus_Key].[All]" allUniqueName="[Arrangementer].[Aftalestatus_Key].[All]" dimensionUniqueName="[Arrangementer]" displayFolder="" count="2" unbalanced="0" hidden="1"/>
    <cacheHierarchy uniqueName="[Arrangementer].[Aftaletype_Key]" caption="Aftaletype_Key" attribute="1" defaultMemberUniqueName="[Arrangementer].[Aftaletype_Key].[All]" allUniqueName="[Arrangementer].[Aftaletype_Key].[All]" dimensionUniqueName="[Arrangementer]" displayFolder="" count="2" unbalanced="0" hidden="1"/>
    <cacheHierarchy uniqueName="[Arrangementer].[Alder_Key]" caption="Alder_Key" attribute="1" defaultMemberUniqueName="[Arrangementer].[Alder_Key].[All]" allUniqueName="[Arrangementer].[Alder_Key].[All]" dimensionUniqueName="[Arrangementer]" displayFolder="" count="2" unbalanced="0" hidden="1"/>
    <cacheHierarchy uniqueName="[Arrangementer].[AndenAkasse_Key]" caption="AndenAkasse_Key" attribute="1" defaultMemberUniqueName="[Arrangementer].[AndenAkasse_Key].[All]" allUniqueName="[Arrangementer].[AndenAkasse_Key].[All]" dimensionUniqueName="[Arrangementer]" displayFolder="" count="2" unbalanced="0" hidden="1"/>
    <cacheHierarchy uniqueName="[Arrangementer].[Ansvarligt_Team_Key]" caption="Ansvarligt_Team_Key" attribute="1" defaultMemberUniqueName="[Arrangementer].[Ansvarligt_Team_Key].[All]" allUniqueName="[Arrangementer].[Ansvarligt_Team_Key].[All]" dimensionUniqueName="[Arrangementer]" displayFolder="" count="2" unbalanced="0" hidden="1"/>
    <cacheHierarchy uniqueName="[Arrangementer].[Arrangement_Key]" caption="Arrangement_Key" attribute="1" defaultMemberUniqueName="[Arrangementer].[Arrangement_Key].[All]" allUniqueName="[Arrangementer].[Arrangement_Key].[All]" dimensionUniqueName="[Arrangementer]" displayFolder="" count="2" unbalanced="0" hidden="1"/>
    <cacheHierarchy uniqueName="[Arrangementer].[Betalingsstatus_Key]" caption="Betalingsstatus_Key" attribute="1" defaultMemberUniqueName="[Arrangementer].[Betalingsstatus_Key].[All]" allUniqueName="[Arrangementer].[Betalingsstatus_Key].[All]" dimensionUniqueName="[Arrangementer]" displayFolder="" count="2" unbalanced="0" hidden="1"/>
    <cacheHierarchy uniqueName="[Arrangementer].[Dato]" caption="Dato" attribute="1" defaultMemberUniqueName="[Arrangementer].[Dato].[All]" allUniqueName="[Arrangementer].[Dato].[All]" dimensionUniqueName="[Arrangementer]" displayFolder="" count="2" unbalanced="0" hidden="1"/>
    <cacheHierarchy uniqueName="[Arrangementer].[DimittendDato]" caption="DimittendDato" attribute="1" defaultMemberUniqueName="[Arrangementer].[DimittendDato].[All]" allUniqueName="[Arrangementer].[DimittendDato].[All]" dimensionUniqueName="[Arrangementer]" displayFolder="" count="2" unbalanced="0" hidden="1"/>
    <cacheHierarchy uniqueName="[Arrangementer].[FagligtTilhoersforhold_Key]" caption="FagligtTilhoersforhold_Key" attribute="1" defaultMemberUniqueName="[Arrangementer].[FagligtTilhoersforhold_Key].[All]" allUniqueName="[Arrangementer].[FagligtTilhoersforhold_Key].[All]" dimensionUniqueName="[Arrangementer]" displayFolder="" count="2" unbalanced="0" hidden="1"/>
    <cacheHierarchy uniqueName="[Arrangementer].[Forloeb_Key]" caption="Forloeb_Key" attribute="1" defaultMemberUniqueName="[Arrangementer].[Forloeb_Key].[All]" allUniqueName="[Arrangementer].[Forloeb_Key].[All]" dimensionUniqueName="[Arrangementer]" displayFolder="" count="2" unbalanced="0" hidden="1"/>
    <cacheHierarchy uniqueName="[Arrangementer].[IndbetalerTilEfterloen_Key]" caption="IndbetalerTilEfterloen_Key" attribute="1" defaultMemberUniqueName="[Arrangementer].[IndbetalerTilEfterloen_Key].[All]" allUniqueName="[Arrangementer].[IndbetalerTilEfterloen_Key].[All]" dimensionUniqueName="[Arrangementer]" displayFolder="" count="2" unbalanced="0" hidden="1"/>
    <cacheHierarchy uniqueName="[Arrangementer].[KandidatAlder_Key]" caption="KandidatAlder_Key" attribute="1" defaultMemberUniqueName="[Arrangementer].[KandidatAlder_Key].[All]" allUniqueName="[Arrangementer].[KandidatAlder_Key].[All]" dimensionUniqueName="[Arrangementer]" displayFolder="" count="2" unbalanced="0" hidden="1"/>
    <cacheHierarchy uniqueName="[Arrangementer].[Kommune_Key]" caption="Kommune_Key" attribute="1" defaultMemberUniqueName="[Arrangementer].[Kommune_Key].[All]" allUniqueName="[Arrangementer].[Kommune_Key].[All]" dimensionUniqueName="[Arrangementer]" displayFolder="" count="2" unbalanced="0" hidden="1"/>
    <cacheHierarchy uniqueName="[Arrangementer].[Land_Key]" caption="Land_Key" attribute="1" defaultMemberUniqueName="[Arrangementer].[Land_Key].[All]" allUniqueName="[Arrangementer].[Land_Key].[All]" dimensionUniqueName="[Arrangementer]" displayFolder="" count="2" unbalanced="0" hidden="1"/>
    <cacheHierarchy uniqueName="[Arrangementer].[Medarbejder_Key]" caption="Medarbejder_Key" attribute="1" defaultMemberUniqueName="[Arrangementer].[Medarbejder_Key].[All]" allUniqueName="[Arrangementer].[Medarbejder_Key].[All]" dimensionUniqueName="[Arrangementer]" displayFolder="" count="2" unbalanced="0" hidden="1"/>
    <cacheHierarchy uniqueName="[Arrangementer].[Medlem_Key]" caption="Medlem_Key" attribute="1" defaultMemberUniqueName="[Arrangementer].[Medlem_Key].[All]" allUniqueName="[Arrangementer].[Medlem_Key].[All]" dimensionUniqueName="[Arrangementer]" displayFolder="" count="2" unbalanced="0" hidden="1"/>
    <cacheHierarchy uniqueName="[Arrangementer].[Medlemsstatus_Key]" caption="Medlemsstatus_Key" attribute="1" defaultMemberUniqueName="[Arrangementer].[Medlemsstatus_Key].[All]" allUniqueName="[Arrangementer].[Medlemsstatus_Key].[All]" dimensionUniqueName="[Arrangementer]" displayFolder="" count="2" unbalanced="0" hidden="1"/>
    <cacheHierarchy uniqueName="[Arrangementer].[Postnummer_Key]" caption="Postnummer_Key" attribute="1" defaultMemberUniqueName="[Arrangementer].[Postnummer_Key].[All]" allUniqueName="[Arrangementer].[Postnummer_Key].[All]" dimensionUniqueName="[Arrangementer]" displayFolder="" count="2" unbalanced="0" hidden="1"/>
    <cacheHierarchy uniqueName="[Arrangementer].[RapporteringsMaanedAar]" caption="RapporteringsMaanedAar" attribute="1" defaultMemberUniqueName="[Arrangementer].[RapporteringsMaanedAar].[All]" allUniqueName="[Arrangementer].[RapporteringsMaanedAar].[All]" dimensionUniqueName="[Arrangementer]" displayFolder="" count="2" unbalanced="0" hidden="1"/>
    <cacheHierarchy uniqueName="[Arrangementer].[Straks Booket]" caption="Straks Booket" attribute="1" defaultMemberUniqueName="[Arrangementer].[Straks Booket].[All]" allUniqueName="[Arrangementer].[Straks Booket].[All]" dimensionUniqueName="[Arrangementer]" displayFolder="" count="2" unbalanced="0" hidden="1"/>
    <cacheHierarchy uniqueName="[Arrangementer].[Team_Key]" caption="Team_Key" attribute="1" defaultMemberUniqueName="[Arrangementer].[Team_Key].[All]" allUniqueName="[Arrangementer].[Team_Key].[All]" dimensionUniqueName="[Arrangementer]" displayFolder="" count="2" unbalanced="0" hidden="1"/>
    <cacheHierarchy uniqueName="[Arrangementer].[Uddannelse_Key]" caption="Uddannelse_Key" attribute="1" defaultMemberUniqueName="[Arrangementer].[Uddannelse_Key].[All]" allUniqueName="[Arrangementer].[Uddannelse_Key].[All]" dimensionUniqueName="[Arrangementer]" displayFolder="" count="2" unbalanced="0" hidden="1"/>
    <cacheHierarchy uniqueName="[Arrangementer].[Uddannelsessted_Key]" caption="Uddannelsessted_Key" attribute="1" defaultMemberUniqueName="[Arrangementer].[Uddannelsessted_Key].[All]" allUniqueName="[Arrangementer].[Uddannelsessted_Key].[All]" dimensionUniqueName="[Arrangementer]" displayFolder="" count="2" unbalanced="0" hidden="1"/>
    <cacheHierarchy uniqueName="[Arrangementer].[Aarsag_Key]" caption="Aarsag_Key" attribute="1" defaultMemberUniqueName="[Arrangementer].[Aarsag_Key].[All]" allUniqueName="[Arrangementer].[Aarsag_Key].[All]" dimensionUniqueName="[Arrangementer]" displayFolder="" count="2" unbalanced="0" hidden="1"/>
    <cacheHierarchy uniqueName="[Behandlet].[Behandlet_BK]" caption="Behandlet_BK" attribute="1" defaultMemberUniqueName="[Behandlet].[Behandlet_BK].[All]" allUniqueName="[Behandlet].[Behandlet_BK].[All]" dimensionUniqueName="[Behandlet]" displayFolder="" count="2" unbalanced="0" hidden="1"/>
    <cacheHierarchy uniqueName="[Behandlet].[Behandlet_Key]" caption="Behandlet_Key" attribute="1" defaultMemberUniqueName="[Behandlet].[Behandlet_Key].[All]" allUniqueName="[Behandlet].[Behandlet_Key].[All]" dimensionUniqueName="[Behandlet]" displayFolder="" count="2" unbalanced="0" hidden="1"/>
    <cacheHierarchy uniqueName="[Betalingsstatus].[Betalingsstatus_Key]" caption="Betalingsstatus_Key" attribute="1" defaultMemberUniqueName="[Betalingsstatus].[Betalingsstatus_Key].[All]" allUniqueName="[Betalingsstatus].[Betalingsstatus_Key].[All]" dimensionUniqueName="[Betalingsstatus]" displayFolder="" count="2" unbalanced="0" hidden="1"/>
    <cacheHierarchy uniqueName="[Dato].[DagpengePeriodeNr]" caption="DagpengePeriodeNr" attribute="1" defaultMemberUniqueName="[Dato].[DagpengePeriodeNr].[All]" allUniqueName="[Dato].[DagpengePeriodeNr].[All]" dimensionUniqueName="[Dato]" displayFolder="" count="2" unbalanced="0" hidden="1"/>
    <cacheHierarchy uniqueName="[Dato].[DagpengeUgeSlut]" caption="DagpengeUgeSlut" attribute="1" defaultMemberUniqueName="[Dato].[DagpengeUgeSlut].[All]" allUniqueName="[Dato].[DagpengeUgeSlut].[All]" dimensionUniqueName="[Dato]" displayFolder="" count="2" unbalanced="0" hidden="1"/>
    <cacheHierarchy uniqueName="[Dato].[DagpengeUgeStart]" caption="DagpengeUgeStart" attribute="1" defaultMemberUniqueName="[Dato].[DagpengeUgeStart].[All]" allUniqueName="[Dato].[DagpengeUgeStart].[All]" dimensionUniqueName="[Dato]" displayFolder="" count="2" unbalanced="0" hidden="1"/>
    <cacheHierarchy uniqueName="[Dato].[MaanedNr]" caption="MaanedNr" attribute="1" defaultMemberUniqueName="[Dato].[MaanedNr].[All]" allUniqueName="[Dato].[MaanedNr].[All]" dimensionUniqueName="[Dato]" displayFolder="" count="2" unbalanced="0" hidden="1"/>
    <cacheHierarchy uniqueName="[Dato].[MaanedAar]" caption="MaanedAar" attribute="1" defaultMemberUniqueName="[Dato].[MaanedAar].[All]" allUniqueName="[Dato].[MaanedAar].[All]" dimensionUniqueName="[Dato]" displayFolder="" count="2" unbalanced="0" hidden="1"/>
    <cacheHierarchy uniqueName="[Dato].[UgedagNr]" caption="UgedagNr" attribute="1" defaultMemberUniqueName="[Dato].[UgedagNr].[All]" allUniqueName="[Dato].[UgedagNr].[All]" dimensionUniqueName="[Dato]" displayFolder="" count="2" unbalanced="0" hidden="1"/>
    <cacheHierarchy uniqueName="[Deadlinedato].[DagpengeUgeSlut]" caption="DagpengeUgeSlut" attribute="1" defaultMemberUniqueName="[Deadlinedato].[DagpengeUgeSlut].[All]" allUniqueName="[Deadlinedato].[DagpengeUgeSlut].[All]" dimensionUniqueName="[Deadlinedato]" displayFolder="" count="2" unbalanced="0" hidden="1"/>
    <cacheHierarchy uniqueName="[Deadlinedato].[DagpengeUgeStart]" caption="DagpengeUgeStart" attribute="1" defaultMemberUniqueName="[Deadlinedato].[DagpengeUgeStart].[All]" allUniqueName="[Deadlinedato].[DagpengeUgeStart].[All]" dimensionUniqueName="[Deadlinedato]" displayFolder="" count="2" unbalanced="0" hidden="1"/>
    <cacheHierarchy uniqueName="[Deadlinedato].[MånedNr]" caption="MånedNr" attribute="1" defaultMemberUniqueName="[Deadlinedato].[MånedNr].[All]" allUniqueName="[Deadlinedato].[MånedNr].[All]" dimensionUniqueName="[Deadlinedato]" displayFolder="" count="2" unbalanced="0" hidden="1"/>
    <cacheHierarchy uniqueName="[Deadlinedato].[MånedÅr]" caption="MånedÅr" attribute="1" defaultMemberUniqueName="[Deadlinedato].[MånedÅr].[All]" allUniqueName="[Deadlinedato].[MånedÅr].[All]" dimensionUniqueName="[Deadlinedato]" displayFolder="" count="2" unbalanced="0" hidden="1"/>
    <cacheHierarchy uniqueName="[Deadlinedato].[UgedagNr]" caption="UgedagNr" attribute="1" defaultMemberUniqueName="[Deadlinedato].[UgedagNr].[All]" allUniqueName="[Deadlinedato].[UgedagNr].[All]" dimensionUniqueName="[Deadlinedato]" displayFolder="" count="2" unbalanced="0" hidden="1"/>
    <cacheHierarchy uniqueName="[Dimittenddato].[Sommerdimittend]" caption="Sommerdimittend" attribute="1" defaultMemberUniqueName="[Dimittenddato].[Sommerdimittend].[All]" allUniqueName="[Dimittenddato].[Sommerdimittend].[All]" dimensionUniqueName="[Dimittenddato]" displayFolder="" count="2" unbalanced="0" hidden="1"/>
    <cacheHierarchy uniqueName="[Dimittenddato Opdateret].[Dimittenddato Opdateret]" caption="Dimittenddato Opdateret" attribute="1" defaultMemberUniqueName="[Dimittenddato Opdateret].[Dimittenddato Opdateret].[All]" allUniqueName="[Dimittenddato Opdateret].[Dimittenddato Opdateret].[All]" dimensionUniqueName="[Dimittenddato Opdateret]" displayFolder="" count="2" unbalanced="0" hidden="1"/>
    <cacheHierarchy uniqueName="[Erklæringer Opdateret].[#ErklaeringOpdateret]" caption="#ErklaeringOpdateret" attribute="1" defaultMemberUniqueName="[Erklæringer Opdateret].[#ErklaeringOpdateret].[All]" allUniqueName="[Erklæringer Opdateret].[#ErklaeringOpdateret].[All]" dimensionUniqueName="[Erklæringer Opdateret]" displayFolder="" count="2" unbalanced="0" hidden="1"/>
    <cacheHierarchy uniqueName="[Erklæringer Opdateret].[Dato]" caption="Dato" attribute="1" defaultMemberUniqueName="[Erklæringer Opdateret].[Dato].[All]" allUniqueName="[Erklæringer Opdateret].[Dato].[All]" dimensionUniqueName="[Erklæringer Opdateret]" displayFolder="" count="2" unbalanced="0" hidden="1"/>
    <cacheHierarchy uniqueName="[Erklæringer Opdateret].[Dimittend]" caption="Dimittend" attribute="1" defaultMemberUniqueName="[Erklæringer Opdateret].[Dimittend].[All]" allUniqueName="[Erklæringer Opdateret].[Dimittend].[All]" dimensionUniqueName="[Erklæringer Opdateret]" displayFolder="" count="2" unbalanced="0" hidden="1"/>
    <cacheHierarchy uniqueName="[Erklæringer Opdateret].[Erklaeringstype_Key]" caption="Erklaeringstype_Key" attribute="1" defaultMemberUniqueName="[Erklæringer Opdateret].[Erklaeringstype_Key].[All]" allUniqueName="[Erklæringer Opdateret].[Erklaeringstype_Key].[All]" dimensionUniqueName="[Erklæringer Opdateret]" displayFolder="" count="2" unbalanced="0" hidden="1"/>
    <cacheHierarchy uniqueName="[Erklæringer Opdateret].[Medlem_Key]" caption="Medlem_Key" attribute="1" defaultMemberUniqueName="[Erklæringer Opdateret].[Medlem_Key].[All]" allUniqueName="[Erklæringer Opdateret].[Medlem_Key].[All]" dimensionUniqueName="[Erklæringer Opdateret]" displayFolder="" count="2" unbalanced="0" hidden="1"/>
    <cacheHierarchy uniqueName="[Erklæringer Opdateret].[RapporteringsMaanedAar]" caption="RapporteringsMaanedAar" attribute="1" defaultMemberUniqueName="[Erklæringer Opdateret].[RapporteringsMaanedAar].[All]" allUniqueName="[Erklæringer Opdateret].[RapporteringsMaanedAar].[All]" dimensionUniqueName="[Erklæringer Opdateret]" displayFolder="" count="2" unbalanced="0" hidden="1"/>
    <cacheHierarchy uniqueName="[Erklæringstype].[Erklaeringstype_Key]" caption="Erklaeringstype_Key" attribute="1" defaultMemberUniqueName="[Erklæringstype].[Erklaeringstype_Key].[All]" allUniqueName="[Erklæringstype].[Erklaeringstype_Key].[All]" dimensionUniqueName="[Erklæringstype]" displayFolder="" count="2" unbalanced="0" hidden="1"/>
    <cacheHierarchy uniqueName="[Erklæringstype].[SortOrderAlternativErklaeringstypeGruppe]" caption="SortOrderAlternativErklaeringstypeGruppe" attribute="1" defaultMemberUniqueName="[Erklæringstype].[SortOrderAlternativErklaeringstypeGruppe].[All]" allUniqueName="[Erklæringstype].[SortOrderAlternativErklaeringstypeGruppe].[All]" dimensionUniqueName="[Erklæringstype]" displayFolder="" count="2" unbalanced="0" hidden="1"/>
    <cacheHierarchy uniqueName="[Fagligt Tilhørsforhold].[FagligtTilhoersforhold_BK]" caption="FagligtTilhoersforhold_BK" attribute="1" defaultMemberUniqueName="[Fagligt Tilhørsforhold].[FagligtTilhoersforhold_BK].[All]" allUniqueName="[Fagligt Tilhørsforhold].[FagligtTilhoersforhold_BK].[All]" dimensionUniqueName="[Fagligt Tilhørsforhold]" displayFolder="" count="2" unbalanced="0" hidden="1"/>
    <cacheHierarchy uniqueName="[Fagligt Tilhørsforhold].[FagligtTilhoersforhold_Key]" caption="FagligtTilhoersforhold_Key" attribute="1" defaultMemberUniqueName="[Fagligt Tilhørsforhold].[FagligtTilhoersforhold_Key].[All]" allUniqueName="[Fagligt Tilhørsforhold].[FagligtTilhoersforhold_Key].[All]" dimensionUniqueName="[Fagligt Tilhørsforhold]" displayFolder="" count="2" unbalanced="0" hidden="1"/>
    <cacheHierarchy uniqueName="[Fagligt Tilhørsforhold].[SortBy]" caption="SortBy" attribute="1" defaultMemberUniqueName="[Fagligt Tilhørsforhold].[SortBy].[All]" allUniqueName="[Fagligt Tilhørsforhold].[SortBy].[All]" dimensionUniqueName="[Fagligt Tilhørsforhold]" displayFolder="" count="2" unbalanced="0" hidden="1"/>
    <cacheHierarchy uniqueName="[Forløb].[Forloeb_BK]" caption="Forloeb_BK" attribute="1" defaultMemberUniqueName="[Forløb].[Forloeb_BK].[All]" allUniqueName="[Forløb].[Forloeb_BK].[All]" dimensionUniqueName="[Forløb]" displayFolder="" count="2" unbalanced="0" hidden="1"/>
    <cacheHierarchy uniqueName="[Forløb].[Forloeb_Key]" caption="Forloeb_Key" attribute="1" defaultMemberUniqueName="[Forløb].[Forloeb_Key].[All]" allUniqueName="[Forløb].[Forloeb_Key].[All]" dimensionUniqueName="[Forløb]" displayFolder="" count="2" unbalanced="0" hidden="1"/>
    <cacheHierarchy uniqueName="[Fravær].[#Fravaer]" caption="#Fravaer" attribute="1" defaultMemberUniqueName="[Fravær].[#Fravaer].[All]" allUniqueName="[Fravær].[#Fravaer].[All]" dimensionUniqueName="[Fravær]" displayFolder="" count="2" unbalanced="0" hidden="1"/>
    <cacheHierarchy uniqueName="[Fravær].[Dato]" caption="Dato" attribute="1" defaultMemberUniqueName="[Fravær].[Dato].[All]" allUniqueName="[Fravær].[Dato].[All]" dimensionUniqueName="[Fravær]" displayFolder="" count="2" unbalanced="0" hidden="1"/>
    <cacheHierarchy uniqueName="[Fravær].[FravaerID]" caption="FravaerID" attribute="1" defaultMemberUniqueName="[Fravær].[FravaerID].[All]" allUniqueName="[Fravær].[FravaerID].[All]" dimensionUniqueName="[Fravær]" displayFolder="" count="2" unbalanced="0" hidden="1"/>
    <cacheHierarchy uniqueName="[Fravær].[Fravaerskode_Key]" caption="Fravaerskode_Key" attribute="1" defaultMemberUniqueName="[Fravær].[Fravaerskode_Key].[All]" allUniqueName="[Fravær].[Fravaerskode_Key].[All]" dimensionUniqueName="[Fravær]" displayFolder="" count="2" unbalanced="0" hidden="1"/>
    <cacheHierarchy uniqueName="[Fravær].[Medarbejder_Key]" caption="Medarbejder_Key" attribute="1" defaultMemberUniqueName="[Fravær].[Medarbejder_Key].[All]" allUniqueName="[Fravær].[Medarbejder_Key].[All]" dimensionUniqueName="[Fravær]" displayFolder="" count="2" unbalanced="0" hidden="1"/>
    <cacheHierarchy uniqueName="[Fravær].[RapporteringsMaanedAar]" caption="RapporteringsMaanedAar" attribute="1" defaultMemberUniqueName="[Fravær].[RapporteringsMaanedAar].[All]" allUniqueName="[Fravær].[RapporteringsMaanedAar].[All]" dimensionUniqueName="[Fravær]" displayFolder="" count="2" unbalanced="0" hidden="1"/>
    <cacheHierarchy uniqueName="[Fravær].[Team_Key]" caption="Team_Key" attribute="1" defaultMemberUniqueName="[Fravær].[Team_Key].[All]" allUniqueName="[Fravær].[Team_Key].[All]" dimensionUniqueName="[Fravær]" displayFolder="" count="2" unbalanced="0" hidden="1"/>
    <cacheHierarchy uniqueName="[Fraværskode].[Fravaerskode_Key]" caption="Fravaerskode_Key" attribute="1" defaultMemberUniqueName="[Fraværskode].[Fravaerskode_Key].[All]" allUniqueName="[Fraværskode].[Fravaerskode_Key].[All]" dimensionUniqueName="[Fraværskode]" displayFolder="" count="2" unbalanced="0" hidden="1"/>
    <cacheHierarchy uniqueName="[HelpDeskIncident].[AfsenderMedarbejder_Key]" caption="AfsenderMedarbejder_Key" attribute="1" defaultMemberUniqueName="[HelpDeskIncident].[AfsenderMedarbejder_Key].[All]" allUniqueName="[HelpDeskIncident].[AfsenderMedarbejder_Key].[All]" dimensionUniqueName="[HelpDeskIncident]" displayFolder="" count="2" unbalanced="0" hidden="1"/>
    <cacheHierarchy uniqueName="[HelpDeskIncident].[AfsenderTeam_Key]" caption="AfsenderTeam_Key" attribute="1" defaultMemberUniqueName="[HelpDeskIncident].[AfsenderTeam_Key].[All]" allUniqueName="[HelpDeskIncident].[AfsenderTeam_Key].[All]" dimensionUniqueName="[HelpDeskIncident]" displayFolder="" count="2" unbalanced="0" hidden="1"/>
    <cacheHierarchy uniqueName="[HelpDeskIncident].[AfsluttetDato]" caption="AfsluttetDato" attribute="1" defaultMemberUniqueName="[HelpDeskIncident].[AfsluttetDato].[All]" allUniqueName="[HelpDeskIncident].[AfsluttetDato].[All]" dimensionUniqueName="[HelpDeskIncident]" displayFolder="" count="2" unbalanced="0" hidden="1"/>
    <cacheHierarchy uniqueName="[HelpDeskIncident].[AfsluttetDatoTid]" caption="AfsluttetDatoTid" attribute="1" defaultMemberUniqueName="[HelpDeskIncident].[AfsluttetDatoTid].[All]" allUniqueName="[HelpDeskIncident].[AfsluttetDatoTid].[All]" dimensionUniqueName="[HelpDeskIncident]" displayFolder="" count="2" unbalanced="0" hidden="1"/>
    <cacheHierarchy uniqueName="[HelpDeskIncident].[AnsvarligMedarbejder_Key]" caption="AnsvarligMedarbejder_Key" attribute="1" defaultMemberUniqueName="[HelpDeskIncident].[AnsvarligMedarbejder_Key].[All]" allUniqueName="[HelpDeskIncident].[AnsvarligMedarbejder_Key].[All]" dimensionUniqueName="[HelpDeskIncident]" displayFolder="" count="2" unbalanced="0" hidden="1"/>
    <cacheHierarchy uniqueName="[HelpDeskIncident].[AnsvarligTeam_Key]" caption="AnsvarligTeam_Key" attribute="1" defaultMemberUniqueName="[HelpDeskIncident].[AnsvarligTeam_Key].[All]" allUniqueName="[HelpDeskIncident].[AnsvarligTeam_Key].[All]" dimensionUniqueName="[HelpDeskIncident]" displayFolder="" count="2" unbalanced="0" hidden="1"/>
    <cacheHierarchy uniqueName="[HelpDeskIncident].[DeadlineOverholdt]" caption="DeadlineOverholdt" attribute="1" defaultMemberUniqueName="[HelpDeskIncident].[DeadlineOverholdt].[All]" allUniqueName="[HelpDeskIncident].[DeadlineOverholdt].[All]" dimensionUniqueName="[HelpDeskIncident]" displayFolder="" count="2" unbalanced="0" hidden="1"/>
    <cacheHierarchy uniqueName="[HelpDeskIncident].[IncidentKategori_Key]" caption="IncidentKategori_Key" attribute="1" defaultMemberUniqueName="[HelpDeskIncident].[IncidentKategori_Key].[All]" allUniqueName="[HelpDeskIncident].[IncidentKategori_Key].[All]" dimensionUniqueName="[HelpDeskIncident]" displayFolder="" count="2" unbalanced="0" hidden="1"/>
    <cacheHierarchy uniqueName="[HelpDeskIncident].[Incidents]" caption="Incidents" attribute="1" defaultMemberUniqueName="[HelpDeskIncident].[Incidents].[All]" allUniqueName="[HelpDeskIncident].[Incidents].[All]" dimensionUniqueName="[HelpDeskIncident]" displayFolder="" count="2" unbalanced="0" hidden="1"/>
    <cacheHierarchy uniqueName="[HelpDeskIncident].[IncidentStatus_Key]" caption="IncidentStatus_Key" attribute="1" defaultMemberUniqueName="[HelpDeskIncident].[IncidentStatus_Key].[All]" allUniqueName="[HelpDeskIncident].[IncidentStatus_Key].[All]" dimensionUniqueName="[HelpDeskIncident]" displayFolder="" count="2" unbalanced="0" hidden="1"/>
    <cacheHierarchy uniqueName="[HelpDeskIncident].[OprettelsesDato]" caption="OprettelsesDato" attribute="1" defaultMemberUniqueName="[HelpDeskIncident].[OprettelsesDato].[All]" allUniqueName="[HelpDeskIncident].[OprettelsesDato].[All]" dimensionUniqueName="[HelpDeskIncident]" displayFolder="" count="2" unbalanced="0" hidden="1"/>
    <cacheHierarchy uniqueName="[HelpDeskIncident].[OprettelsesDatoTid]" caption="OprettelsesDatoTid" attribute="1" defaultMemberUniqueName="[HelpDeskIncident].[OprettelsesDatoTid].[All]" allUniqueName="[HelpDeskIncident].[OprettelsesDatoTid].[All]" dimensionUniqueName="[HelpDeskIncident]" displayFolder="" count="2" unbalanced="0" hidden="1"/>
    <cacheHierarchy uniqueName="[HelpDeskIncident].[OprettelsesTidspunkt]" caption="OprettelsesTidspunkt" attribute="1" defaultMemberUniqueName="[HelpDeskIncident].[OprettelsesTidspunkt].[All]" allUniqueName="[HelpDeskIncident].[OprettelsesTidspunkt].[All]" dimensionUniqueName="[HelpDeskIncident]" displayFolder="" count="2" unbalanced="0" hidden="1"/>
    <cacheHierarchy uniqueName="[HelpDeskIncident].[Svartid]" caption="Svartid" attribute="1" defaultMemberUniqueName="[HelpDeskIncident].[Svartid].[All]" allUniqueName="[HelpDeskIncident].[Svartid].[All]" dimensionUniqueName="[HelpDeskIncident]" displayFolder="" count="2" unbalanced="0" hidden="1"/>
    <cacheHierarchy uniqueName="[Incident Kategori].[IncidentKategori_BK]" caption="IncidentKategori_BK" attribute="1" defaultMemberUniqueName="[Incident Kategori].[IncidentKategori_BK].[All]" allUniqueName="[Incident Kategori].[IncidentKategori_BK].[All]" dimensionUniqueName="[Incident Kategori]" displayFolder="" count="2" unbalanced="0" hidden="1"/>
    <cacheHierarchy uniqueName="[Incident Kategori].[IncidentKategori_Key]" caption="IncidentKategori_Key" attribute="1" defaultMemberUniqueName="[Incident Kategori].[IncidentKategori_Key].[All]" allUniqueName="[Incident Kategori].[IncidentKategori_Key].[All]" dimensionUniqueName="[Incident Kategori]" displayFolder="" count="2" unbalanced="0" hidden="1"/>
    <cacheHierarchy uniqueName="[Incident Status].[IncidentStatus_BK]" caption="IncidentStatus_BK" attribute="1" defaultMemberUniqueName="[Incident Status].[IncidentStatus_BK].[All]" allUniqueName="[Incident Status].[IncidentStatus_BK].[All]" dimensionUniqueName="[Incident Status]" displayFolder="" count="2" unbalanced="0" hidden="1"/>
    <cacheHierarchy uniqueName="[Incident Status].[IncidentStatus_Key]" caption="IncidentStatus_Key" attribute="1" defaultMemberUniqueName="[Incident Status].[IncidentStatus_Key].[All]" allUniqueName="[Incident Status].[IncidentStatus_Key].[All]" dimensionUniqueName="[Incident Status]" displayFolder="" count="2" unbalanced="0" hidden="1"/>
    <cacheHierarchy uniqueName="[Incident Status].[Rang]" caption="Rang" attribute="1" defaultMemberUniqueName="[Incident Status].[Rang].[All]" allUniqueName="[Incident Status].[Rang].[All]" dimensionUniqueName="[Incident Status]" displayFolder="" count="2" unbalanced="0" hidden="1"/>
    <cacheHierarchy uniqueName="[Indbetaler Til Efterløn].[IndbetalerTilEfterloen_Key]" caption="IndbetalerTilEfterloen_Key" attribute="1" defaultMemberUniqueName="[Indbetaler Til Efterløn].[IndbetalerTilEfterloen_Key].[All]" allUniqueName="[Indbetaler Til Efterløn].[IndbetalerTilEfterloen_Key].[All]" dimensionUniqueName="[Indbetaler Til Efterløn]" displayFolder="" count="2" unbalanced="0" hidden="1"/>
    <cacheHierarchy uniqueName="[Kandidatalder].[Kandidatalder_Key]" caption="Kandidatalder_Key" attribute="1" defaultMemberUniqueName="[Kandidatalder].[Kandidatalder_Key].[All]" allUniqueName="[Kandidatalder].[Kandidatalder_Key].[All]" dimensionUniqueName="[Kandidatalder]" displayFolder="" count="2" unbalanced="0" hidden="1"/>
    <cacheHierarchy uniqueName="[Klipforbrug].[KlipForbrug_Key]" caption="KlipForbrug_Key" attribute="1" defaultMemberUniqueName="[Klipforbrug].[KlipForbrug_Key].[All]" allUniqueName="[Klipforbrug].[KlipForbrug_Key].[All]" dimensionUniqueName="[Klipforbrug]" displayFolder="" count="2" unbalanced="0" hidden="1"/>
    <cacheHierarchy uniqueName="[Kommune].[Kommune_BK]" caption="Kommune_BK" attribute="1" defaultMemberUniqueName="[Kommune].[Kommune_BK].[All]" allUniqueName="[Kommune].[Kommune_BK].[All]" dimensionUniqueName="[Kommune]" displayFolder="" count="2" unbalanced="0" hidden="1"/>
    <cacheHierarchy uniqueName="[Kommune].[Kommune_Key]" caption="Kommune_Key" attribute="1" defaultMemberUniqueName="[Kommune].[Kommune_Key].[All]" allUniqueName="[Kommune].[Kommune_Key].[All]" dimensionUniqueName="[Kommune]" displayFolder="" count="2" unbalanced="0" hidden="1"/>
    <cacheHierarchy uniqueName="[Land].[Land_Key]" caption="Land_Key" attribute="1" defaultMemberUniqueName="[Land].[Land_Key].[All]" allUniqueName="[Land].[Land_Key].[All]" dimensionUniqueName="[Land]" displayFolder="" count="2" unbalanced="0" hidden="1"/>
    <cacheHierarchy uniqueName="[Ledighedstal].[#BeloebUdbetalt]" caption="#BeloebUdbetalt" attribute="1" defaultMemberUniqueName="[Ledighedstal].[#BeloebUdbetalt].[All]" allUniqueName="[Ledighedstal].[#BeloebUdbetalt].[All]" dimensionUniqueName="[Ledighedstal]" displayFolder="" count="2" unbalanced="0" hidden="1"/>
    <cacheHierarchy uniqueName="[Ledighedstal].[#KlipForbrug]" caption="#KlipForbrug" attribute="1" defaultMemberUniqueName="[Ledighedstal].[#KlipForbrug].[All]" allUniqueName="[Ledighedstal].[#KlipForbrug].[All]" dimensionUniqueName="[Ledighedstal]" displayFolder="" count="2" unbalanced="0" hidden="1"/>
    <cacheHierarchy uniqueName="[Ledighedstal].[#TimerUdbetalt]" caption="#TimerUdbetalt" attribute="1" defaultMemberUniqueName="[Ledighedstal].[#TimerUdbetalt].[All]" allUniqueName="[Ledighedstal].[#TimerUdbetalt].[All]" dimensionUniqueName="[Ledighedstal]" displayFolder="" count="2" unbalanced="0" hidden="1"/>
    <cacheHierarchy uniqueName="[Ledighedstal].[Alder_Key]" caption="Alder_Key" attribute="1" defaultMemberUniqueName="[Ledighedstal].[Alder_Key].[All]" allUniqueName="[Ledighedstal].[Alder_Key].[All]" dimensionUniqueName="[Ledighedstal]" displayFolder="" count="2" unbalanced="0" hidden="1"/>
    <cacheHierarchy uniqueName="[Ledighedstal].[AndenAkasse_Key]" caption="AndenAkasse_Key" attribute="1" defaultMemberUniqueName="[Ledighedstal].[AndenAkasse_Key].[All]" allUniqueName="[Ledighedstal].[AndenAkasse_Key].[All]" dimensionUniqueName="[Ledighedstal]" displayFolder="" count="2" unbalanced="0" hidden="1"/>
    <cacheHierarchy uniqueName="[Ledighedstal].[Betalingsstatus_Key]" caption="Betalingsstatus_Key" attribute="1" defaultMemberUniqueName="[Ledighedstal].[Betalingsstatus_Key].[All]" allUniqueName="[Ledighedstal].[Betalingsstatus_Key].[All]" dimensionUniqueName="[Ledighedstal]" displayFolder="" count="2" unbalanced="0" hidden="1"/>
    <cacheHierarchy uniqueName="[Ledighedstal].[Dimittenddato]" caption="Dimittenddato" attribute="1" defaultMemberUniqueName="[Ledighedstal].[Dimittenddato].[All]" allUniqueName="[Ledighedstal].[Dimittenddato].[All]" dimensionUniqueName="[Ledighedstal]" displayFolder="" count="2" unbalanced="0" hidden="1"/>
    <cacheHierarchy uniqueName="[Ledighedstal].[Dimittendledig]" caption="Dimittendledig" attribute="1" defaultMemberUniqueName="[Ledighedstal].[Dimittendledig].[All]" allUniqueName="[Ledighedstal].[Dimittendledig].[All]" dimensionUniqueName="[Ledighedstal]" displayFolder="" count="2" unbalanced="0" hidden="1"/>
    <cacheHierarchy uniqueName="[Ledighedstal].[FagligtTilhoersforhold_Key]" caption="FagligtTilhoersforhold_Key" attribute="1" defaultMemberUniqueName="[Ledighedstal].[FagligtTilhoersforhold_Key].[All]" allUniqueName="[Ledighedstal].[FagligtTilhoersforhold_Key].[All]" dimensionUniqueName="[Ledighedstal]" displayFolder="" count="2" unbalanced="0" hidden="1"/>
    <cacheHierarchy uniqueName="[Ledighedstal].[IndbetalerTilEfterloen_Key]" caption="IndbetalerTilEfterloen_Key" attribute="1" defaultMemberUniqueName="[Ledighedstal].[IndbetalerTilEfterloen_Key].[All]" allUniqueName="[Ledighedstal].[IndbetalerTilEfterloen_Key].[All]" dimensionUniqueName="[Ledighedstal]" displayFolder="" count="2" unbalanced="0" hidden="1"/>
    <cacheHierarchy uniqueName="[Ledighedstal].[KandidatAlder_Key]" caption="KandidatAlder_Key" attribute="1" defaultMemberUniqueName="[Ledighedstal].[KandidatAlder_Key].[All]" allUniqueName="[Ledighedstal].[KandidatAlder_Key].[All]" dimensionUniqueName="[Ledighedstal]" displayFolder="" count="2" unbalanced="0" hidden="1"/>
    <cacheHierarchy uniqueName="[Ledighedstal].[KlipForbrugTotal]" caption="KlipForbrugTotal" attribute="1" defaultMemberUniqueName="[Ledighedstal].[KlipForbrugTotal].[All]" allUniqueName="[Ledighedstal].[KlipForbrugTotal].[All]" dimensionUniqueName="[Ledighedstal]" displayFolder="" count="2" unbalanced="0" hidden="1"/>
    <cacheHierarchy uniqueName="[Ledighedstal].[Kommune_Key]" caption="Kommune_Key" attribute="1" defaultMemberUniqueName="[Ledighedstal].[Kommune_Key].[All]" allUniqueName="[Ledighedstal].[Kommune_Key].[All]" dimensionUniqueName="[Ledighedstal]" displayFolder="" count="2" unbalanced="0" hidden="1"/>
    <cacheHierarchy uniqueName="[Ledighedstal].[Land_Key]" caption="Land_Key" attribute="1" defaultMemberUniqueName="[Ledighedstal].[Land_Key].[All]" allUniqueName="[Ledighedstal].[Land_Key].[All]" dimensionUniqueName="[Ledighedstal]" displayFolder="" count="2" unbalanced="0" hidden="1"/>
    <cacheHierarchy uniqueName="[Ledighedstal].[Langtidsledig]" caption="Langtidsledig" attribute="1" defaultMemberUniqueName="[Ledighedstal].[Langtidsledig].[All]" allUniqueName="[Ledighedstal].[Langtidsledig].[All]" dimensionUniqueName="[Ledighedstal]" displayFolder="" count="2" unbalanced="0" hidden="1"/>
    <cacheHierarchy uniqueName="[Ledighedstal].[Ledighedsberoert]" caption="Ledighedsberoert" attribute="1" defaultMemberUniqueName="[Ledighedstal].[Ledighedsberoert].[All]" allUniqueName="[Ledighedstal].[Ledighedsberoert].[All]" dimensionUniqueName="[Ledighedstal]" displayFolder="" count="2" unbalanced="0" hidden="1"/>
    <cacheHierarchy uniqueName="[Ledighedstal].[Medlem_Key]" caption="Medlem_Key" attribute="1" defaultMemberUniqueName="[Ledighedstal].[Medlem_Key].[All]" allUniqueName="[Ledighedstal].[Medlem_Key].[All]" dimensionUniqueName="[Ledighedstal]" displayFolder="" count="2" unbalanced="0" hidden="1"/>
    <cacheHierarchy uniqueName="[Ledighedstal].[Medlemsstatus_Key]" caption="Medlemsstatus_Key" attribute="1" defaultMemberUniqueName="[Ledighedstal].[Medlemsstatus_Key].[All]" allUniqueName="[Ledighedstal].[Medlemsstatus_Key].[All]" dimensionUniqueName="[Ledighedstal]" displayFolder="" count="2" unbalanced="0" hidden="1"/>
    <cacheHierarchy uniqueName="[Ledighedstal].[Nyledig]" caption="Nyledig" attribute="1" defaultMemberUniqueName="[Ledighedstal].[Nyledig].[All]" allUniqueName="[Ledighedstal].[Nyledig].[All]" dimensionUniqueName="[Ledighedstal]" displayFolder="" count="2" unbalanced="0" hidden="1"/>
    <cacheHierarchy uniqueName="[Ledighedstal].[Postnummer_Key]" caption="Postnummer_Key" attribute="1" defaultMemberUniqueName="[Ledighedstal].[Postnummer_Key].[All]" allUniqueName="[Ledighedstal].[Postnummer_Key].[All]" dimensionUniqueName="[Ledighedstal]" displayFolder="" count="2" unbalanced="0" hidden="1"/>
    <cacheHierarchy uniqueName="[Ledighedstal].[RapporteringsMaanedAar]" caption="RapporteringsMaanedAar" attribute="1" defaultMemberUniqueName="[Ledighedstal].[RapporteringsMaanedAar].[All]" allUniqueName="[Ledighedstal].[RapporteringsMaanedAar].[All]" dimensionUniqueName="[Ledighedstal]" displayFolder="" count="2" unbalanced="0" hidden="1"/>
    <cacheHierarchy uniqueName="[Ledighedstal].[Uddannelse_Key]" caption="Uddannelse_Key" attribute="1" defaultMemberUniqueName="[Ledighedstal].[Uddannelse_Key].[All]" allUniqueName="[Ledighedstal].[Uddannelse_Key].[All]" dimensionUniqueName="[Ledighedstal]" displayFolder="" count="2" unbalanced="0" hidden="1"/>
    <cacheHierarchy uniqueName="[Ledighedstal].[Uddannelsesretning_Key]" caption="Uddannelsesretning_Key" attribute="1" defaultMemberUniqueName="[Ledighedstal].[Uddannelsesretning_Key].[All]" allUniqueName="[Ledighedstal].[Uddannelsesretning_Key].[All]" dimensionUniqueName="[Ledighedstal]" displayFolder="" count="2" unbalanced="0" hidden="1"/>
    <cacheHierarchy uniqueName="[Ledighedstal].[Uddannelsessted_Key]" caption="Uddannelsessted_Key" attribute="1" defaultMemberUniqueName="[Ledighedstal].[Uddannelsessted_Key].[All]" allUniqueName="[Ledighedstal].[Uddannelsessted_Key].[All]" dimensionUniqueName="[Ledighedstal]" displayFolder="" count="2" unbalanced="0" hidden="1"/>
    <cacheHierarchy uniqueName="[Ledighedstal].[Udfaldet]" caption="Udfaldet" attribute="1" defaultMemberUniqueName="[Ledighedstal].[Udfaldet].[All]" allUniqueName="[Ledighedstal].[Udfaldet].[All]" dimensionUniqueName="[Ledighedstal]" displayFolder="" count="2" unbalanced="0" hidden="1"/>
    <cacheHierarchy uniqueName="[Ledighedstal].[Udfaldstruet]" caption="Udfaldstruet" attribute="1" defaultMemberUniqueName="[Ledighedstal].[Udfaldstruet].[All]" allUniqueName="[Ledighedstal].[Udfaldstruet].[All]" dimensionUniqueName="[Ledighedstal]" displayFolder="" count="2" unbalanced="0" hidden="1"/>
    <cacheHierarchy uniqueName="[Ledighedstal].[Ydelsestype_Key]" caption="Ydelsestype_Key" attribute="1" defaultMemberUniqueName="[Ledighedstal].[Ydelsestype_Key].[All]" allUniqueName="[Ledighedstal].[Ydelsestype_Key].[All]" dimensionUniqueName="[Ledighedstal]" displayFolder="" count="2" unbalanced="0" hidden="1"/>
    <cacheHierarchy uniqueName="[Ledighedstal].[Aarsag_Key]" caption="Aarsag_Key" attribute="1" defaultMemberUniqueName="[Ledighedstal].[Aarsag_Key].[All]" allUniqueName="[Ledighedstal].[Aarsag_Key].[All]" dimensionUniqueName="[Ledighedstal]" displayFolder="" count="2" unbalanced="0" hidden="1"/>
    <cacheHierarchy uniqueName="[Ledighedstal 12 måneder].[Alder_Key]" caption="Alder_Key" attribute="1" defaultMemberUniqueName="[Ledighedstal 12 måneder].[Alder_Key].[All]" allUniqueName="[Ledighedstal 12 måneder].[Alder_Key].[All]" dimensionUniqueName="[Ledighedstal 12 måneder]" displayFolder="" count="2" unbalanced="0" hidden="1"/>
    <cacheHierarchy uniqueName="[Ledighedstal 12 måneder].[AndenAkasse_Key]" caption="AndenAkasse_Key" attribute="1" defaultMemberUniqueName="[Ledighedstal 12 måneder].[AndenAkasse_Key].[All]" allUniqueName="[Ledighedstal 12 måneder].[AndenAkasse_Key].[All]" dimensionUniqueName="[Ledighedstal 12 måneder]" displayFolder="" count="2" unbalanced="0" hidden="1"/>
    <cacheHierarchy uniqueName="[Ledighedstal 12 måneder].[Betalingsstatus_Key]" caption="Betalingsstatus_Key" attribute="1" defaultMemberUniqueName="[Ledighedstal 12 måneder].[Betalingsstatus_Key].[All]" allUniqueName="[Ledighedstal 12 måneder].[Betalingsstatus_Key].[All]" dimensionUniqueName="[Ledighedstal 12 måneder]" displayFolder="" count="2" unbalanced="0" hidden="1"/>
    <cacheHierarchy uniqueName="[Ledighedstal 12 måneder].[DimittendDato]" caption="DimittendDato" attribute="1" defaultMemberUniqueName="[Ledighedstal 12 måneder].[DimittendDato].[All]" allUniqueName="[Ledighedstal 12 måneder].[DimittendDato].[All]" dimensionUniqueName="[Ledighedstal 12 måneder]" displayFolder="" count="2" unbalanced="0" hidden="1"/>
    <cacheHierarchy uniqueName="[Ledighedstal 12 måneder].[Dimittendledig]" caption="Dimittendledig" attribute="1" defaultMemberUniqueName="[Ledighedstal 12 måneder].[Dimittendledig].[All]" allUniqueName="[Ledighedstal 12 måneder].[Dimittendledig].[All]" dimensionUniqueName="[Ledighedstal 12 måneder]" displayFolder="" count="2" unbalanced="0" hidden="1"/>
    <cacheHierarchy uniqueName="[Ledighedstal 12 måneder].[FagligtTilhoersforhold_Key]" caption="FagligtTilhoersforhold_Key" attribute="1" defaultMemberUniqueName="[Ledighedstal 12 måneder].[FagligtTilhoersforhold_Key].[All]" allUniqueName="[Ledighedstal 12 måneder].[FagligtTilhoersforhold_Key].[All]" dimensionUniqueName="[Ledighedstal 12 måneder]" displayFolder="" count="2" unbalanced="0" hidden="1"/>
    <cacheHierarchy uniqueName="[Ledighedstal 12 måneder].[IndbetalerTilEfterloen_Key]" caption="IndbetalerTilEfterloen_Key" attribute="1" defaultMemberUniqueName="[Ledighedstal 12 måneder].[IndbetalerTilEfterloen_Key].[All]" allUniqueName="[Ledighedstal 12 måneder].[IndbetalerTilEfterloen_Key].[All]" dimensionUniqueName="[Ledighedstal 12 måneder]" displayFolder="" count="2" unbalanced="0" hidden="1"/>
    <cacheHierarchy uniqueName="[Ledighedstal 12 måneder].[KandidatAlder_Key]" caption="KandidatAlder_Key" attribute="1" defaultMemberUniqueName="[Ledighedstal 12 måneder].[KandidatAlder_Key].[All]" allUniqueName="[Ledighedstal 12 måneder].[KandidatAlder_Key].[All]" dimensionUniqueName="[Ledighedstal 12 måneder]" displayFolder="" count="2" unbalanced="0" hidden="1"/>
    <cacheHierarchy uniqueName="[Ledighedstal 12 måneder].[Kommune_Key]" caption="Kommune_Key" attribute="1" defaultMemberUniqueName="[Ledighedstal 12 måneder].[Kommune_Key].[All]" allUniqueName="[Ledighedstal 12 måneder].[Kommune_Key].[All]" dimensionUniqueName="[Ledighedstal 12 måneder]" displayFolder="" count="2" unbalanced="0" hidden="1"/>
    <cacheHierarchy uniqueName="[Ledighedstal 12 måneder].[Land_Key]" caption="Land_Key" attribute="1" defaultMemberUniqueName="[Ledighedstal 12 måneder].[Land_Key].[All]" allUniqueName="[Ledighedstal 12 måneder].[Land_Key].[All]" dimensionUniqueName="[Ledighedstal 12 måneder]" displayFolder="" count="2" unbalanced="0" hidden="1"/>
    <cacheHierarchy uniqueName="[Ledighedstal 12 måneder].[Langtidsledig]" caption="Langtidsledig" attribute="1" defaultMemberUniqueName="[Ledighedstal 12 måneder].[Langtidsledig].[All]" allUniqueName="[Ledighedstal 12 måneder].[Langtidsledig].[All]" dimensionUniqueName="[Ledighedstal 12 måneder]" displayFolder="" count="2" unbalanced="0" hidden="1"/>
    <cacheHierarchy uniqueName="[Ledighedstal 12 måneder].[Ledighedsberoert]" caption="Ledighedsberoert" attribute="1" defaultMemberUniqueName="[Ledighedstal 12 måneder].[Ledighedsberoert].[All]" allUniqueName="[Ledighedstal 12 måneder].[Ledighedsberoert].[All]" dimensionUniqueName="[Ledighedstal 12 måneder]" displayFolder="" count="2" unbalanced="0" hidden="1"/>
    <cacheHierarchy uniqueName="[Ledighedstal 12 måneder].[Medlem_Key]" caption="Medlem_Key" attribute="1" defaultMemberUniqueName="[Ledighedstal 12 måneder].[Medlem_Key].[All]" allUniqueName="[Ledighedstal 12 måneder].[Medlem_Key].[All]" dimensionUniqueName="[Ledighedstal 12 måneder]" displayFolder="" count="2" unbalanced="0" hidden="1"/>
    <cacheHierarchy uniqueName="[Ledighedstal 12 måneder].[Medlemsstatus_Key]" caption="Medlemsstatus_Key" attribute="1" defaultMemberUniqueName="[Ledighedstal 12 måneder].[Medlemsstatus_Key].[All]" allUniqueName="[Ledighedstal 12 måneder].[Medlemsstatus_Key].[All]" dimensionUniqueName="[Ledighedstal 12 måneder]" displayFolder="" count="2" unbalanced="0" hidden="1"/>
    <cacheHierarchy uniqueName="[Ledighedstal 12 måneder].[Nyledig]" caption="Nyledig" attribute="1" defaultMemberUniqueName="[Ledighedstal 12 måneder].[Nyledig].[All]" allUniqueName="[Ledighedstal 12 måneder].[Nyledig].[All]" dimensionUniqueName="[Ledighedstal 12 måneder]" displayFolder="" count="2" unbalanced="0" hidden="1"/>
    <cacheHierarchy uniqueName="[Ledighedstal 12 måneder].[Postnummer_Key]" caption="Postnummer_Key" attribute="1" defaultMemberUniqueName="[Ledighedstal 12 måneder].[Postnummer_Key].[All]" allUniqueName="[Ledighedstal 12 måneder].[Postnummer_Key].[All]" dimensionUniqueName="[Ledighedstal 12 måneder]" displayFolder="" count="2" unbalanced="0" hidden="1"/>
    <cacheHierarchy uniqueName="[Ledighedstal 12 måneder].[RapporteringsMaaned]" caption="RapporteringsMaaned" attribute="1" defaultMemberUniqueName="[Ledighedstal 12 måneder].[RapporteringsMaaned].[All]" allUniqueName="[Ledighedstal 12 måneder].[RapporteringsMaaned].[All]" dimensionUniqueName="[Ledighedstal 12 måneder]" displayFolder="" count="2" unbalanced="0" hidden="1"/>
    <cacheHierarchy uniqueName="[Ledighedstal 12 måneder].[TimerUdbetalt]" caption="TimerUdbetalt" attribute="1" defaultMemberUniqueName="[Ledighedstal 12 måneder].[TimerUdbetalt].[All]" allUniqueName="[Ledighedstal 12 måneder].[TimerUdbetalt].[All]" dimensionUniqueName="[Ledighedstal 12 måneder]" displayFolder="" count="2" unbalanced="0" hidden="1"/>
    <cacheHierarchy uniqueName="[Ledighedstal 12 måneder].[Uddannelse_Key]" caption="Uddannelse_Key" attribute="1" defaultMemberUniqueName="[Ledighedstal 12 måneder].[Uddannelse_Key].[All]" allUniqueName="[Ledighedstal 12 måneder].[Uddannelse_Key].[All]" dimensionUniqueName="[Ledighedstal 12 måneder]" displayFolder="" count="2" unbalanced="0" hidden="1"/>
    <cacheHierarchy uniqueName="[Ledighedstal 12 måneder].[Uddannelsesretning_Key]" caption="Uddannelsesretning_Key" attribute="1" defaultMemberUniqueName="[Ledighedstal 12 måneder].[Uddannelsesretning_Key].[All]" allUniqueName="[Ledighedstal 12 måneder].[Uddannelsesretning_Key].[All]" dimensionUniqueName="[Ledighedstal 12 måneder]" displayFolder="" count="2" unbalanced="0" hidden="1"/>
    <cacheHierarchy uniqueName="[Ledighedstal 12 måneder].[Uddannelsessted_Key]" caption="Uddannelsessted_Key" attribute="1" defaultMemberUniqueName="[Ledighedstal 12 måneder].[Uddannelsessted_Key].[All]" allUniqueName="[Ledighedstal 12 måneder].[Uddannelsessted_Key].[All]" dimensionUniqueName="[Ledighedstal 12 måneder]" displayFolder="" count="2" unbalanced="0" hidden="1"/>
    <cacheHierarchy uniqueName="[Ledighedstal 12 måneder].[Udfaldet]" caption="Udfaldet" attribute="1" defaultMemberUniqueName="[Ledighedstal 12 måneder].[Udfaldet].[All]" allUniqueName="[Ledighedstal 12 måneder].[Udfaldet].[All]" dimensionUniqueName="[Ledighedstal 12 måneder]" displayFolder="" count="2" unbalanced="0" hidden="1"/>
    <cacheHierarchy uniqueName="[Ledighedstal 12 måneder].[Udfaldstruet]" caption="Udfaldstruet" attribute="1" defaultMemberUniqueName="[Ledighedstal 12 måneder].[Udfaldstruet].[All]" allUniqueName="[Ledighedstal 12 måneder].[Udfaldstruet].[All]" dimensionUniqueName="[Ledighedstal 12 måneder]" displayFolder="" count="2" unbalanced="0" hidden="1"/>
    <cacheHierarchy uniqueName="[Ledighedstal 12 måneder].[Ydelsestype_Key]" caption="Ydelsestype_Key" attribute="1" defaultMemberUniqueName="[Ledighedstal 12 måneder].[Ydelsestype_Key].[All]" allUniqueName="[Ledighedstal 12 måneder].[Ydelsestype_Key].[All]" dimensionUniqueName="[Ledighedstal 12 måneder]" displayFolder="" count="2" unbalanced="0" hidden="1"/>
    <cacheHierarchy uniqueName="[Ledighedstal 12 måneder].[Aarsag_Key]" caption="Aarsag_Key" attribute="1" defaultMemberUniqueName="[Ledighedstal 12 måneder].[Aarsag_Key].[All]" allUniqueName="[Ledighedstal 12 måneder].[Aarsag_Key].[All]" dimensionUniqueName="[Ledighedstal 12 måneder]" displayFolder="" count="2" unbalanced="0" hidden="1"/>
    <cacheHierarchy uniqueName="[Ledighedstal Kvartal].[#TimerUdbetalt]" caption="#TimerUdbetalt" attribute="1" defaultMemberUniqueName="[Ledighedstal Kvartal].[#TimerUdbetalt].[All]" allUniqueName="[Ledighedstal Kvartal].[#TimerUdbetalt].[All]" dimensionUniqueName="[Ledighedstal Kvartal]" displayFolder="" count="2" unbalanced="0" hidden="1"/>
    <cacheHierarchy uniqueName="[Ledighedstal Kvartal].[Alder_Key]" caption="Alder_Key" attribute="1" defaultMemberUniqueName="[Ledighedstal Kvartal].[Alder_Key].[All]" allUniqueName="[Ledighedstal Kvartal].[Alder_Key].[All]" dimensionUniqueName="[Ledighedstal Kvartal]" displayFolder="" count="2" unbalanced="0" hidden="1"/>
    <cacheHierarchy uniqueName="[Ledighedstal Kvartal].[AndenAkasse_Key]" caption="AndenAkasse_Key" attribute="1" defaultMemberUniqueName="[Ledighedstal Kvartal].[AndenAkasse_Key].[All]" allUniqueName="[Ledighedstal Kvartal].[AndenAkasse_Key].[All]" dimensionUniqueName="[Ledighedstal Kvartal]" displayFolder="" count="2" unbalanced="0" hidden="1"/>
    <cacheHierarchy uniqueName="[Ledighedstal Kvartal].[Betalingsstatus_Key]" caption="Betalingsstatus_Key" attribute="1" defaultMemberUniqueName="[Ledighedstal Kvartal].[Betalingsstatus_Key].[All]" allUniqueName="[Ledighedstal Kvartal].[Betalingsstatus_Key].[All]" dimensionUniqueName="[Ledighedstal Kvartal]" displayFolder="" count="2" unbalanced="0" hidden="1"/>
    <cacheHierarchy uniqueName="[Ledighedstal Kvartal].[DimittendDato]" caption="DimittendDato" attribute="1" defaultMemberUniqueName="[Ledighedstal Kvartal].[DimittendDato].[All]" allUniqueName="[Ledighedstal Kvartal].[DimittendDato].[All]" dimensionUniqueName="[Ledighedstal Kvartal]" displayFolder="" count="2" unbalanced="0" hidden="1"/>
    <cacheHierarchy uniqueName="[Ledighedstal Kvartal].[Dimittendledig]" caption="Dimittendledig" attribute="1" defaultMemberUniqueName="[Ledighedstal Kvartal].[Dimittendledig].[All]" allUniqueName="[Ledighedstal Kvartal].[Dimittendledig].[All]" dimensionUniqueName="[Ledighedstal Kvartal]" displayFolder="" count="2" unbalanced="0" hidden="1"/>
    <cacheHierarchy uniqueName="[Ledighedstal Kvartal].[FagligtTilhoersforhold_Key]" caption="FagligtTilhoersforhold_Key" attribute="1" defaultMemberUniqueName="[Ledighedstal Kvartal].[FagligtTilhoersforhold_Key].[All]" allUniqueName="[Ledighedstal Kvartal].[FagligtTilhoersforhold_Key].[All]" dimensionUniqueName="[Ledighedstal Kvartal]" displayFolder="" count="2" unbalanced="0" hidden="1"/>
    <cacheHierarchy uniqueName="[Ledighedstal Kvartal].[IndbetalerTilEfterloen_Key]" caption="IndbetalerTilEfterloen_Key" attribute="1" defaultMemberUniqueName="[Ledighedstal Kvartal].[IndbetalerTilEfterloen_Key].[All]" allUniqueName="[Ledighedstal Kvartal].[IndbetalerTilEfterloen_Key].[All]" dimensionUniqueName="[Ledighedstal Kvartal]" displayFolder="" count="2" unbalanced="0" hidden="1"/>
    <cacheHierarchy uniqueName="[Ledighedstal Kvartal].[KandidatAlder_Key]" caption="KandidatAlder_Key" attribute="1" defaultMemberUniqueName="[Ledighedstal Kvartal].[KandidatAlder_Key].[All]" allUniqueName="[Ledighedstal Kvartal].[KandidatAlder_Key].[All]" dimensionUniqueName="[Ledighedstal Kvartal]" displayFolder="" count="2" unbalanced="0" hidden="1"/>
    <cacheHierarchy uniqueName="[Ledighedstal Kvartal].[Kommune_Key]" caption="Kommune_Key" attribute="1" defaultMemberUniqueName="[Ledighedstal Kvartal].[Kommune_Key].[All]" allUniqueName="[Ledighedstal Kvartal].[Kommune_Key].[All]" dimensionUniqueName="[Ledighedstal Kvartal]" displayFolder="" count="2" unbalanced="0" hidden="1"/>
    <cacheHierarchy uniqueName="[Ledighedstal Kvartal].[Land_Key]" caption="Land_Key" attribute="1" defaultMemberUniqueName="[Ledighedstal Kvartal].[Land_Key].[All]" allUniqueName="[Ledighedstal Kvartal].[Land_Key].[All]" dimensionUniqueName="[Ledighedstal Kvartal]" displayFolder="" count="2" unbalanced="0" hidden="1"/>
    <cacheHierarchy uniqueName="[Ledighedstal Kvartal].[Langtidsledig]" caption="Langtidsledig" attribute="1" defaultMemberUniqueName="[Ledighedstal Kvartal].[Langtidsledig].[All]" allUniqueName="[Ledighedstal Kvartal].[Langtidsledig].[All]" dimensionUniqueName="[Ledighedstal Kvartal]" displayFolder="" count="2" unbalanced="0" hidden="1"/>
    <cacheHierarchy uniqueName="[Ledighedstal Kvartal].[Ledighedsberoert]" caption="Ledighedsberoert" attribute="1" defaultMemberUniqueName="[Ledighedstal Kvartal].[Ledighedsberoert].[All]" allUniqueName="[Ledighedstal Kvartal].[Ledighedsberoert].[All]" dimensionUniqueName="[Ledighedstal Kvartal]" displayFolder="" count="2" unbalanced="0" hidden="1"/>
    <cacheHierarchy uniqueName="[Ledighedstal Kvartal].[Medlem_Key]" caption="Medlem_Key" attribute="1" defaultMemberUniqueName="[Ledighedstal Kvartal].[Medlem_Key].[All]" allUniqueName="[Ledighedstal Kvartal].[Medlem_Key].[All]" dimensionUniqueName="[Ledighedstal Kvartal]" displayFolder="" count="2" unbalanced="0" hidden="1"/>
    <cacheHierarchy uniqueName="[Ledighedstal Kvartal].[Medlemsstatus_Key]" caption="Medlemsstatus_Key" attribute="1" defaultMemberUniqueName="[Ledighedstal Kvartal].[Medlemsstatus_Key].[All]" allUniqueName="[Ledighedstal Kvartal].[Medlemsstatus_Key].[All]" dimensionUniqueName="[Ledighedstal Kvartal]" displayFolder="" count="2" unbalanced="0" hidden="1"/>
    <cacheHierarchy uniqueName="[Ledighedstal Kvartal].[Nyledig]" caption="Nyledig" attribute="1" defaultMemberUniqueName="[Ledighedstal Kvartal].[Nyledig].[All]" allUniqueName="[Ledighedstal Kvartal].[Nyledig].[All]" dimensionUniqueName="[Ledighedstal Kvartal]" displayFolder="" count="2" unbalanced="0" hidden="1"/>
    <cacheHierarchy uniqueName="[Ledighedstal Kvartal].[Postnummer_Key]" caption="Postnummer_Key" attribute="1" defaultMemberUniqueName="[Ledighedstal Kvartal].[Postnummer_Key].[All]" allUniqueName="[Ledighedstal Kvartal].[Postnummer_Key].[All]" dimensionUniqueName="[Ledighedstal Kvartal]" displayFolder="" count="2" unbalanced="0" hidden="1"/>
    <cacheHierarchy uniqueName="[Ledighedstal Kvartal].[RapporteringsKvartalAar]" caption="RapporteringsKvartalAar" attribute="1" defaultMemberUniqueName="[Ledighedstal Kvartal].[RapporteringsKvartalAar].[All]" allUniqueName="[Ledighedstal Kvartal].[RapporteringsKvartalAar].[All]" dimensionUniqueName="[Ledighedstal Kvartal]" displayFolder="" count="2" unbalanced="0" hidden="1"/>
    <cacheHierarchy uniqueName="[Ledighedstal Kvartal].[Uddannelse_Key]" caption="Uddannelse_Key" attribute="1" defaultMemberUniqueName="[Ledighedstal Kvartal].[Uddannelse_Key].[All]" allUniqueName="[Ledighedstal Kvartal].[Uddannelse_Key].[All]" dimensionUniqueName="[Ledighedstal Kvartal]" displayFolder="" count="2" unbalanced="0" hidden="1"/>
    <cacheHierarchy uniqueName="[Ledighedstal Kvartal].[Uddannelsesretning_Key]" caption="Uddannelsesretning_Key" attribute="1" defaultMemberUniqueName="[Ledighedstal Kvartal].[Uddannelsesretning_Key].[All]" allUniqueName="[Ledighedstal Kvartal].[Uddannelsesretning_Key].[All]" dimensionUniqueName="[Ledighedstal Kvartal]" displayFolder="" count="2" unbalanced="0" hidden="1"/>
    <cacheHierarchy uniqueName="[Ledighedstal Kvartal].[Uddannelsessted_Key]" caption="Uddannelsessted_Key" attribute="1" defaultMemberUniqueName="[Ledighedstal Kvartal].[Uddannelsessted_Key].[All]" allUniqueName="[Ledighedstal Kvartal].[Uddannelsessted_Key].[All]" dimensionUniqueName="[Ledighedstal Kvartal]" displayFolder="" count="2" unbalanced="0" hidden="1"/>
    <cacheHierarchy uniqueName="[Ledighedstal Kvartal].[Udfaldet]" caption="Udfaldet" attribute="1" defaultMemberUniqueName="[Ledighedstal Kvartal].[Udfaldet].[All]" allUniqueName="[Ledighedstal Kvartal].[Udfaldet].[All]" dimensionUniqueName="[Ledighedstal Kvartal]" displayFolder="" count="2" unbalanced="0" hidden="1"/>
    <cacheHierarchy uniqueName="[Ledighedstal Kvartal].[Udfaldstruet]" caption="Udfaldstruet" attribute="1" defaultMemberUniqueName="[Ledighedstal Kvartal].[Udfaldstruet].[All]" allUniqueName="[Ledighedstal Kvartal].[Udfaldstruet].[All]" dimensionUniqueName="[Ledighedstal Kvartal]" displayFolder="" count="2" unbalanced="0" hidden="1"/>
    <cacheHierarchy uniqueName="[Ledighedstal Kvartal].[Ydelsestype_Key]" caption="Ydelsestype_Key" attribute="1" defaultMemberUniqueName="[Ledighedstal Kvartal].[Ydelsestype_Key].[All]" allUniqueName="[Ledighedstal Kvartal].[Ydelsestype_Key].[All]" dimensionUniqueName="[Ledighedstal Kvartal]" displayFolder="" count="2" unbalanced="0" hidden="1"/>
    <cacheHierarchy uniqueName="[Ledighedstal Kvartal].[Aarsag_Key]" caption="Aarsag_Key" attribute="1" defaultMemberUniqueName="[Ledighedstal Kvartal].[Aarsag_Key].[All]" allUniqueName="[Ledighedstal Kvartal].[Aarsag_Key].[All]" dimensionUniqueName="[Ledighedstal Kvartal]" displayFolder="" count="2" unbalanced="0" hidden="1"/>
    <cacheHierarchy uniqueName="[Ledighedstal Opdateret].[#BeloebUdbetalt]" caption="#BeloebUdbetalt" attribute="1" defaultMemberUniqueName="[Ledighedstal Opdateret].[#BeloebUdbetalt].[All]" allUniqueName="[Ledighedstal Opdateret].[#BeloebUdbetalt].[All]" dimensionUniqueName="[Ledighedstal Opdateret]" displayFolder="" count="2" unbalanced="0" hidden="1"/>
    <cacheHierarchy uniqueName="[Ledighedstal Opdateret].[#KlipForbrug]" caption="#KlipForbrug" attribute="1" defaultMemberUniqueName="[Ledighedstal Opdateret].[#KlipForbrug].[All]" allUniqueName="[Ledighedstal Opdateret].[#KlipForbrug].[All]" dimensionUniqueName="[Ledighedstal Opdateret]" displayFolder="" count="2" unbalanced="0" hidden="1"/>
    <cacheHierarchy uniqueName="[Ledighedstal Opdateret].[#TimerUdbetalt]" caption="#TimerUdbetalt" attribute="1" defaultMemberUniqueName="[Ledighedstal Opdateret].[#TimerUdbetalt].[All]" allUniqueName="[Ledighedstal Opdateret].[#TimerUdbetalt].[All]" dimensionUniqueName="[Ledighedstal Opdateret]" displayFolder="" count="2" unbalanced="0" hidden="1"/>
    <cacheHierarchy uniqueName="[Ledighedstal Opdateret].[Alder_Key]" caption="Alder_Key" attribute="1" defaultMemberUniqueName="[Ledighedstal Opdateret].[Alder_Key].[All]" allUniqueName="[Ledighedstal Opdateret].[Alder_Key].[All]" dimensionUniqueName="[Ledighedstal Opdateret]" displayFolder="" count="2" unbalanced="0" hidden="1"/>
    <cacheHierarchy uniqueName="[Ledighedstal Opdateret].[AndenAkasse_Key]" caption="AndenAkasse_Key" attribute="1" defaultMemberUniqueName="[Ledighedstal Opdateret].[AndenAkasse_Key].[All]" allUniqueName="[Ledighedstal Opdateret].[AndenAkasse_Key].[All]" dimensionUniqueName="[Ledighedstal Opdateret]" displayFolder="" count="2" unbalanced="0" hidden="1"/>
    <cacheHierarchy uniqueName="[Ledighedstal Opdateret].[Betalingsstatus_Key]" caption="Betalingsstatus_Key" attribute="1" defaultMemberUniqueName="[Ledighedstal Opdateret].[Betalingsstatus_Key].[All]" allUniqueName="[Ledighedstal Opdateret].[Betalingsstatus_Key].[All]" dimensionUniqueName="[Ledighedstal Opdateret]" displayFolder="" count="2" unbalanced="0" hidden="1"/>
    <cacheHierarchy uniqueName="[Ledighedstal Opdateret].[Dato]" caption="Dato" attribute="1" defaultMemberUniqueName="[Ledighedstal Opdateret].[Dato].[All]" allUniqueName="[Ledighedstal Opdateret].[Dato].[All]" dimensionUniqueName="[Ledighedstal Opdateret]" displayFolder="" count="2" unbalanced="0" hidden="1"/>
    <cacheHierarchy uniqueName="[Ledighedstal Opdateret].[Dimittenddato]" caption="Dimittenddato" attribute="1" defaultMemberUniqueName="[Ledighedstal Opdateret].[Dimittenddato].[All]" allUniqueName="[Ledighedstal Opdateret].[Dimittenddato].[All]" dimensionUniqueName="[Ledighedstal Opdateret]" displayFolder="" count="2" unbalanced="0" hidden="1"/>
    <cacheHierarchy uniqueName="[Ledighedstal Opdateret].[Dimittendledig]" caption="Dimittendledig" attribute="1" defaultMemberUniqueName="[Ledighedstal Opdateret].[Dimittendledig].[All]" allUniqueName="[Ledighedstal Opdateret].[Dimittendledig].[All]" dimensionUniqueName="[Ledighedstal Opdateret]" displayFolder="" count="2" unbalanced="0" hidden="1"/>
    <cacheHierarchy uniqueName="[Ledighedstal Opdateret].[FagligtTilhoersforhold_Key]" caption="FagligtTilhoersforhold_Key" attribute="1" defaultMemberUniqueName="[Ledighedstal Opdateret].[FagligtTilhoersforhold_Key].[All]" allUniqueName="[Ledighedstal Opdateret].[FagligtTilhoersforhold_Key].[All]" dimensionUniqueName="[Ledighedstal Opdateret]" displayFolder="" count="2" unbalanced="0" hidden="1"/>
    <cacheHierarchy uniqueName="[Ledighedstal Opdateret].[IndbetalerTilEfterloen_Key]" caption="IndbetalerTilEfterloen_Key" attribute="1" defaultMemberUniqueName="[Ledighedstal Opdateret].[IndbetalerTilEfterloen_Key].[All]" allUniqueName="[Ledighedstal Opdateret].[IndbetalerTilEfterloen_Key].[All]" dimensionUniqueName="[Ledighedstal Opdateret]" displayFolder="" count="2" unbalanced="0" hidden="1"/>
    <cacheHierarchy uniqueName="[Ledighedstal Opdateret].[KandidatAlder_Key]" caption="KandidatAlder_Key" attribute="1" defaultMemberUniqueName="[Ledighedstal Opdateret].[KandidatAlder_Key].[All]" allUniqueName="[Ledighedstal Opdateret].[KandidatAlder_Key].[All]" dimensionUniqueName="[Ledighedstal Opdateret]" displayFolder="" count="2" unbalanced="0" hidden="1"/>
    <cacheHierarchy uniqueName="[Ledighedstal Opdateret].[KlipForbrugTotal_Key]" caption="KlipForbrugTotal_Key" attribute="1" defaultMemberUniqueName="[Ledighedstal Opdateret].[KlipForbrugTotal_Key].[All]" allUniqueName="[Ledighedstal Opdateret].[KlipForbrugTotal_Key].[All]" dimensionUniqueName="[Ledighedstal Opdateret]" displayFolder="" count="2" unbalanced="0" hidden="1"/>
    <cacheHierarchy uniqueName="[Ledighedstal Opdateret].[Kommune_Key]" caption="Kommune_Key" attribute="1" defaultMemberUniqueName="[Ledighedstal Opdateret].[Kommune_Key].[All]" allUniqueName="[Ledighedstal Opdateret].[Kommune_Key].[All]" dimensionUniqueName="[Ledighedstal Opdateret]" displayFolder="" count="2" unbalanced="0" hidden="1"/>
    <cacheHierarchy uniqueName="[Ledighedstal Opdateret].[Land_Key]" caption="Land_Key" attribute="1" defaultMemberUniqueName="[Ledighedstal Opdateret].[Land_Key].[All]" allUniqueName="[Ledighedstal Opdateret].[Land_Key].[All]" dimensionUniqueName="[Ledighedstal Opdateret]" displayFolder="" count="2" unbalanced="0" hidden="1"/>
    <cacheHierarchy uniqueName="[Ledighedstal Opdateret].[Langtidsledig]" caption="Langtidsledig" attribute="1" defaultMemberUniqueName="[Ledighedstal Opdateret].[Langtidsledig].[All]" allUniqueName="[Ledighedstal Opdateret].[Langtidsledig].[All]" dimensionUniqueName="[Ledighedstal Opdateret]" displayFolder="" count="2" unbalanced="0" hidden="1"/>
    <cacheHierarchy uniqueName="[Ledighedstal Opdateret].[Ledighedsberoert]" caption="Ledighedsberoert" attribute="1" defaultMemberUniqueName="[Ledighedstal Opdateret].[Ledighedsberoert].[All]" allUniqueName="[Ledighedstal Opdateret].[Ledighedsberoert].[All]" dimensionUniqueName="[Ledighedstal Opdateret]" displayFolder="" count="2" unbalanced="0" hidden="1"/>
    <cacheHierarchy uniqueName="[Ledighedstal Opdateret].[Medlem_Key]" caption="Medlem_Key" attribute="1" defaultMemberUniqueName="[Ledighedstal Opdateret].[Medlem_Key].[All]" allUniqueName="[Ledighedstal Opdateret].[Medlem_Key].[All]" dimensionUniqueName="[Ledighedstal Opdateret]" displayFolder="" count="2" unbalanced="0" hidden="1"/>
    <cacheHierarchy uniqueName="[Ledighedstal Opdateret].[Medlemsstatus_Key]" caption="Medlemsstatus_Key" attribute="1" defaultMemberUniqueName="[Ledighedstal Opdateret].[Medlemsstatus_Key].[All]" allUniqueName="[Ledighedstal Opdateret].[Medlemsstatus_Key].[All]" dimensionUniqueName="[Ledighedstal Opdateret]" displayFolder="" count="2" unbalanced="0" hidden="1"/>
    <cacheHierarchy uniqueName="[Ledighedstal Opdateret].[Nyledig]" caption="Nyledig" attribute="1" defaultMemberUniqueName="[Ledighedstal Opdateret].[Nyledig].[All]" allUniqueName="[Ledighedstal Opdateret].[Nyledig].[All]" dimensionUniqueName="[Ledighedstal Opdateret]" displayFolder="" count="2" unbalanced="0" hidden="1"/>
    <cacheHierarchy uniqueName="[Ledighedstal Opdateret].[Postnummer_Key]" caption="Postnummer_Key" attribute="1" defaultMemberUniqueName="[Ledighedstal Opdateret].[Postnummer_Key].[All]" allUniqueName="[Ledighedstal Opdateret].[Postnummer_Key].[All]" dimensionUniqueName="[Ledighedstal Opdateret]" displayFolder="" count="2" unbalanced="0" hidden="1"/>
    <cacheHierarchy uniqueName="[Ledighedstal Opdateret].[RapporteringsMaanedAar]" caption="RapporteringsMaanedAar" attribute="1" defaultMemberUniqueName="[Ledighedstal Opdateret].[RapporteringsMaanedAar].[All]" allUniqueName="[Ledighedstal Opdateret].[RapporteringsMaanedAar].[All]" dimensionUniqueName="[Ledighedstal Opdateret]" displayFolder="" count="2" unbalanced="0" hidden="1"/>
    <cacheHierarchy uniqueName="[Ledighedstal Opdateret].[Uddannelse_Key]" caption="Uddannelse_Key" attribute="1" defaultMemberUniqueName="[Ledighedstal Opdateret].[Uddannelse_Key].[All]" allUniqueName="[Ledighedstal Opdateret].[Uddannelse_Key].[All]" dimensionUniqueName="[Ledighedstal Opdateret]" displayFolder="" count="2" unbalanced="0" hidden="1"/>
    <cacheHierarchy uniqueName="[Ledighedstal Opdateret].[Uddannelsesretning_Key]" caption="Uddannelsesretning_Key" attribute="1" defaultMemberUniqueName="[Ledighedstal Opdateret].[Uddannelsesretning_Key].[All]" allUniqueName="[Ledighedstal Opdateret].[Uddannelsesretning_Key].[All]" dimensionUniqueName="[Ledighedstal Opdateret]" displayFolder="" count="2" unbalanced="0" hidden="1"/>
    <cacheHierarchy uniqueName="[Ledighedstal Opdateret].[Uddannelsessted_Key]" caption="Uddannelsessted_Key" attribute="1" defaultMemberUniqueName="[Ledighedstal Opdateret].[Uddannelsessted_Key].[All]" allUniqueName="[Ledighedstal Opdateret].[Uddannelsessted_Key].[All]" dimensionUniqueName="[Ledighedstal Opdateret]" displayFolder="" count="2" unbalanced="0" hidden="1"/>
    <cacheHierarchy uniqueName="[Ledighedstal Opdateret].[Udfaldet]" caption="Udfaldet" attribute="1" defaultMemberUniqueName="[Ledighedstal Opdateret].[Udfaldet].[All]" allUniqueName="[Ledighedstal Opdateret].[Udfaldet].[All]" dimensionUniqueName="[Ledighedstal Opdateret]" displayFolder="" count="2" unbalanced="0" hidden="1"/>
    <cacheHierarchy uniqueName="[Ledighedstal Opdateret].[Udfaldstruet]" caption="Udfaldstruet" attribute="1" defaultMemberUniqueName="[Ledighedstal Opdateret].[Udfaldstruet].[All]" allUniqueName="[Ledighedstal Opdateret].[Udfaldstruet].[All]" dimensionUniqueName="[Ledighedstal Opdateret]" displayFolder="" count="2" unbalanced="0" hidden="1"/>
    <cacheHierarchy uniqueName="[Ledighedstal Opdateret].[Ydelsestype_Key]" caption="Ydelsestype_Key" attribute="1" defaultMemberUniqueName="[Ledighedstal Opdateret].[Ydelsestype_Key].[All]" allUniqueName="[Ledighedstal Opdateret].[Ydelsestype_Key].[All]" dimensionUniqueName="[Ledighedstal Opdateret]" displayFolder="" count="2" unbalanced="0" hidden="1"/>
    <cacheHierarchy uniqueName="[Ledighedstal Opdateret].[Aarsag_Key]" caption="Aarsag_Key" attribute="1" defaultMemberUniqueName="[Ledighedstal Opdateret].[Aarsag_Key].[All]" allUniqueName="[Ledighedstal Opdateret].[Aarsag_Key].[All]" dimensionUniqueName="[Ledighedstal Opdateret]" displayFolder="" count="2" unbalanced="0" hidden="1"/>
    <cacheHierarchy uniqueName="[Ledighedstal År].[#TimerUdbetalt]" caption="#TimerUdbetalt" attribute="1" defaultMemberUniqueName="[Ledighedstal År].[#TimerUdbetalt].[All]" allUniqueName="[Ledighedstal År].[#TimerUdbetalt].[All]" dimensionUniqueName="[Ledighedstal År]" displayFolder="" count="2" unbalanced="0" hidden="1"/>
    <cacheHierarchy uniqueName="[Ledighedstal År].[Alder_Key]" caption="Alder_Key" attribute="1" defaultMemberUniqueName="[Ledighedstal År].[Alder_Key].[All]" allUniqueName="[Ledighedstal År].[Alder_Key].[All]" dimensionUniqueName="[Ledighedstal År]" displayFolder="" count="2" unbalanced="0" hidden="1"/>
    <cacheHierarchy uniqueName="[Ledighedstal År].[AndenAkasse_Key]" caption="AndenAkasse_Key" attribute="1" defaultMemberUniqueName="[Ledighedstal År].[AndenAkasse_Key].[All]" allUniqueName="[Ledighedstal År].[AndenAkasse_Key].[All]" dimensionUniqueName="[Ledighedstal År]" displayFolder="" count="2" unbalanced="0" hidden="1"/>
    <cacheHierarchy uniqueName="[Ledighedstal År].[Betalingsstatus_Key]" caption="Betalingsstatus_Key" attribute="1" defaultMemberUniqueName="[Ledighedstal År].[Betalingsstatus_Key].[All]" allUniqueName="[Ledighedstal År].[Betalingsstatus_Key].[All]" dimensionUniqueName="[Ledighedstal År]" displayFolder="" count="2" unbalanced="0" hidden="1"/>
    <cacheHierarchy uniqueName="[Ledighedstal År].[DimittendDato]" caption="DimittendDato" attribute="1" defaultMemberUniqueName="[Ledighedstal År].[DimittendDato].[All]" allUniqueName="[Ledighedstal År].[DimittendDato].[All]" dimensionUniqueName="[Ledighedstal År]" displayFolder="" count="2" unbalanced="0" hidden="1"/>
    <cacheHierarchy uniqueName="[Ledighedstal År].[Dimittendledig]" caption="Dimittendledig" attribute="1" defaultMemberUniqueName="[Ledighedstal År].[Dimittendledig].[All]" allUniqueName="[Ledighedstal År].[Dimittendledig].[All]" dimensionUniqueName="[Ledighedstal År]" displayFolder="" count="2" unbalanced="0" hidden="1"/>
    <cacheHierarchy uniqueName="[Ledighedstal År].[FagligtTilhoersforhold_Key]" caption="FagligtTilhoersforhold_Key" attribute="1" defaultMemberUniqueName="[Ledighedstal År].[FagligtTilhoersforhold_Key].[All]" allUniqueName="[Ledighedstal År].[FagligtTilhoersforhold_Key].[All]" dimensionUniqueName="[Ledighedstal År]" displayFolder="" count="2" unbalanced="0" hidden="1"/>
    <cacheHierarchy uniqueName="[Ledighedstal År].[IndbetalerTilEfterloen_Key]" caption="IndbetalerTilEfterloen_Key" attribute="1" defaultMemberUniqueName="[Ledighedstal År].[IndbetalerTilEfterloen_Key].[All]" allUniqueName="[Ledighedstal År].[IndbetalerTilEfterloen_Key].[All]" dimensionUniqueName="[Ledighedstal År]" displayFolder="" count="2" unbalanced="0" hidden="1"/>
    <cacheHierarchy uniqueName="[Ledighedstal År].[KandidatAlder_Key]" caption="KandidatAlder_Key" attribute="1" defaultMemberUniqueName="[Ledighedstal År].[KandidatAlder_Key].[All]" allUniqueName="[Ledighedstal År].[KandidatAlder_Key].[All]" dimensionUniqueName="[Ledighedstal År]" displayFolder="" count="2" unbalanced="0" hidden="1"/>
    <cacheHierarchy uniqueName="[Ledighedstal År].[Kommune_Key]" caption="Kommune_Key" attribute="1" defaultMemberUniqueName="[Ledighedstal År].[Kommune_Key].[All]" allUniqueName="[Ledighedstal År].[Kommune_Key].[All]" dimensionUniqueName="[Ledighedstal År]" displayFolder="" count="2" unbalanced="0" hidden="1"/>
    <cacheHierarchy uniqueName="[Ledighedstal År].[Land_Key]" caption="Land_Key" attribute="1" defaultMemberUniqueName="[Ledighedstal År].[Land_Key].[All]" allUniqueName="[Ledighedstal År].[Land_Key].[All]" dimensionUniqueName="[Ledighedstal År]" displayFolder="" count="2" unbalanced="0" hidden="1"/>
    <cacheHierarchy uniqueName="[Ledighedstal År].[Langtidsledig]" caption="Langtidsledig" attribute="1" defaultMemberUniqueName="[Ledighedstal År].[Langtidsledig].[All]" allUniqueName="[Ledighedstal År].[Langtidsledig].[All]" dimensionUniqueName="[Ledighedstal År]" displayFolder="" count="2" unbalanced="0" hidden="1"/>
    <cacheHierarchy uniqueName="[Ledighedstal År].[Ledighedsberoert]" caption="Ledighedsberoert" attribute="1" defaultMemberUniqueName="[Ledighedstal År].[Ledighedsberoert].[All]" allUniqueName="[Ledighedstal År].[Ledighedsberoert].[All]" dimensionUniqueName="[Ledighedstal År]" displayFolder="" count="2" unbalanced="0" hidden="1"/>
    <cacheHierarchy uniqueName="[Ledighedstal År].[Medlem_Key]" caption="Medlem_Key" attribute="1" defaultMemberUniqueName="[Ledighedstal År].[Medlem_Key].[All]" allUniqueName="[Ledighedstal År].[Medlem_Key].[All]" dimensionUniqueName="[Ledighedstal År]" displayFolder="" count="2" unbalanced="0" hidden="1"/>
    <cacheHierarchy uniqueName="[Ledighedstal År].[Medlemsstatus_Key]" caption="Medlemsstatus_Key" attribute="1" defaultMemberUniqueName="[Ledighedstal År].[Medlemsstatus_Key].[All]" allUniqueName="[Ledighedstal År].[Medlemsstatus_Key].[All]" dimensionUniqueName="[Ledighedstal År]" displayFolder="" count="2" unbalanced="0" hidden="1"/>
    <cacheHierarchy uniqueName="[Ledighedstal År].[Nyledig]" caption="Nyledig" attribute="1" defaultMemberUniqueName="[Ledighedstal År].[Nyledig].[All]" allUniqueName="[Ledighedstal År].[Nyledig].[All]" dimensionUniqueName="[Ledighedstal År]" displayFolder="" count="2" unbalanced="0" hidden="1"/>
    <cacheHierarchy uniqueName="[Ledighedstal År].[Postnummer_Key]" caption="Postnummer_Key" attribute="1" defaultMemberUniqueName="[Ledighedstal År].[Postnummer_Key].[All]" allUniqueName="[Ledighedstal År].[Postnummer_Key].[All]" dimensionUniqueName="[Ledighedstal År]" displayFolder="" count="2" unbalanced="0" hidden="1"/>
    <cacheHierarchy uniqueName="[Ledighedstal År].[RapporteringsAar]" caption="RapporteringsAar" attribute="1" defaultMemberUniqueName="[Ledighedstal År].[RapporteringsAar].[All]" allUniqueName="[Ledighedstal År].[RapporteringsAar].[All]" dimensionUniqueName="[Ledighedstal År]" displayFolder="" count="2" unbalanced="0" hidden="1"/>
    <cacheHierarchy uniqueName="[Ledighedstal År].[Uddannelse_Key]" caption="Uddannelse_Key" attribute="1" defaultMemberUniqueName="[Ledighedstal År].[Uddannelse_Key].[All]" allUniqueName="[Ledighedstal År].[Uddannelse_Key].[All]" dimensionUniqueName="[Ledighedstal År]" displayFolder="" count="2" unbalanced="0" hidden="1"/>
    <cacheHierarchy uniqueName="[Ledighedstal År].[Uddannelsesretning_Key]" caption="Uddannelsesretning_Key" attribute="1" defaultMemberUniqueName="[Ledighedstal År].[Uddannelsesretning_Key].[All]" allUniqueName="[Ledighedstal År].[Uddannelsesretning_Key].[All]" dimensionUniqueName="[Ledighedstal År]" displayFolder="" count="2" unbalanced="0" hidden="1"/>
    <cacheHierarchy uniqueName="[Ledighedstal År].[Uddannelsessted_Key]" caption="Uddannelsessted_Key" attribute="1" defaultMemberUniqueName="[Ledighedstal År].[Uddannelsessted_Key].[All]" allUniqueName="[Ledighedstal År].[Uddannelsessted_Key].[All]" dimensionUniqueName="[Ledighedstal År]" displayFolder="" count="2" unbalanced="0" hidden="1"/>
    <cacheHierarchy uniqueName="[Ledighedstal År].[Udfaldet]" caption="Udfaldet" attribute="1" defaultMemberUniqueName="[Ledighedstal År].[Udfaldet].[All]" allUniqueName="[Ledighedstal År].[Udfaldet].[All]" dimensionUniqueName="[Ledighedstal År]" displayFolder="" count="2" unbalanced="0" hidden="1"/>
    <cacheHierarchy uniqueName="[Ledighedstal År].[Udfaldstruet]" caption="Udfaldstruet" attribute="1" defaultMemberUniqueName="[Ledighedstal År].[Udfaldstruet].[All]" allUniqueName="[Ledighedstal År].[Udfaldstruet].[All]" dimensionUniqueName="[Ledighedstal År]" displayFolder="" count="2" unbalanced="0" hidden="1"/>
    <cacheHierarchy uniqueName="[Ledighedstal År].[Ydelsestype_Key]" caption="Ydelsestype_Key" attribute="1" defaultMemberUniqueName="[Ledighedstal År].[Ydelsestype_Key].[All]" allUniqueName="[Ledighedstal År].[Ydelsestype_Key].[All]" dimensionUniqueName="[Ledighedstal År]" displayFolder="" count="2" unbalanced="0" hidden="1"/>
    <cacheHierarchy uniqueName="[Ledighedstal År].[Aarsag_Key]" caption="Aarsag_Key" attribute="1" defaultMemberUniqueName="[Ledighedstal År].[Aarsag_Key].[All]" allUniqueName="[Ledighedstal År].[Aarsag_Key].[All]" dimensionUniqueName="[Ledighedstal År]" displayFolder="" count="2" unbalanced="0" hidden="1"/>
    <cacheHierarchy uniqueName="[Medarbejder].[AnciennitetsdatoErValid]" caption="AnciennitetsdatoErValid" attribute="1" defaultMemberUniqueName="[Medarbejder].[AnciennitetsdatoErValid].[All]" allUniqueName="[Medarbejder].[AnciennitetsdatoErValid].[All]" dimensionUniqueName="[Medarbejder]" displayFolder="" count="2" unbalanced="0" hidden="1"/>
    <cacheHierarchy uniqueName="[Medarbejder].[ErFratrådt]" caption="ErFratrådt" attribute="1" defaultMemberUniqueName="[Medarbejder].[ErFratrådt].[All]" allUniqueName="[Medarbejder].[ErFratrådt].[All]" dimensionUniqueName="[Medarbejder]" displayFolder="" count="2" unbalanced="0" hidden="1"/>
    <cacheHierarchy uniqueName="[Medarbejder].[Medarbejder_BK]" caption="Medarbejder_BK" attribute="1" defaultMemberUniqueName="[Medarbejder].[Medarbejder_BK].[All]" allUniqueName="[Medarbejder].[Medarbejder_BK].[All]" dimensionUniqueName="[Medarbejder]" displayFolder="" count="2" unbalanced="0" hidden="1"/>
    <cacheHierarchy uniqueName="[Medarbejder].[Medarbejder_Key]" caption="Medarbejder_Key" attribute="1" defaultMemberUniqueName="[Medarbejder].[Medarbejder_Key].[All]" allUniqueName="[Medarbejder].[Medarbejder_Key].[All]" dimensionUniqueName="[Medarbejder]" displayFolder="" count="2" unbalanced="0" hidden="1"/>
    <cacheHierarchy uniqueName="[Medarbejder anmelder].[Anciennitetsdato]" caption="Anciennitetsdato" attribute="1" defaultMemberUniqueName="[Medarbejder anmelder].[Anciennitetsdato].[All]" allUniqueName="[Medarbejder anmelder].[Anciennitetsdato].[All]" dimensionUniqueName="[Medarbejder anmelder]" displayFolder="" count="2" unbalanced="0" hidden="1"/>
    <cacheHierarchy uniqueName="[Medarbejder anmelder].[Foedselsdato]" caption="Foedselsdato" attribute="1" defaultMemberUniqueName="[Medarbejder anmelder].[Foedselsdato].[All]" allUniqueName="[Medarbejder anmelder].[Foedselsdato].[All]" dimensionUniqueName="[Medarbejder anmelder]" displayFolder="" count="2" unbalanced="0" hidden="1"/>
    <cacheHierarchy uniqueName="[Medarbejder anmelder].[JobID]" caption="JobID" attribute="1" defaultMemberUniqueName="[Medarbejder anmelder].[JobID].[All]" allUniqueName="[Medarbejder anmelder].[JobID].[All]" dimensionUniqueName="[Medarbejder anmelder]" displayFolder="" count="2" unbalanced="0" hidden="1"/>
    <cacheHierarchy uniqueName="[Medarbejder anmelder].[JobID_Opdateret]" caption="JobID_Opdateret" attribute="1" defaultMemberUniqueName="[Medarbejder anmelder].[JobID_Opdateret].[All]" allUniqueName="[Medarbejder anmelder].[JobID_Opdateret].[All]" dimensionUniqueName="[Medarbejder anmelder]" displayFolder="" count="2" unbalanced="0" hidden="1"/>
    <cacheHierarchy uniqueName="[Medarbejder anmelder].[Medarbejder_BK]" caption="Medarbejder_BK" attribute="1" defaultMemberUniqueName="[Medarbejder anmelder].[Medarbejder_BK].[All]" allUniqueName="[Medarbejder anmelder].[Medarbejder_BK].[All]" dimensionUniqueName="[Medarbejder anmelder]" displayFolder="" count="2" unbalanced="0" hidden="1"/>
    <cacheHierarchy uniqueName="[Medarbejder anmelder].[Medarbejder_Key]" caption="Medarbejder_Key" attribute="1" defaultMemberUniqueName="[Medarbejder anmelder].[Medarbejder_Key].[All]" allUniqueName="[Medarbejder anmelder].[Medarbejder_Key].[All]" dimensionUniqueName="[Medarbejder anmelder]" displayFolder="" count="2" unbalanced="0" hidden="1"/>
    <cacheHierarchy uniqueName="[Medarbejder Viderestillet].[Medarbejder_BK]" caption="Medarbejder_BK" attribute="1" defaultMemberUniqueName="[Medarbejder Viderestillet].[Medarbejder_BK].[All]" allUniqueName="[Medarbejder Viderestillet].[Medarbejder_BK].[All]" dimensionUniqueName="[Medarbejder Viderestillet]" displayFolder="" count="2" unbalanced="0" hidden="1"/>
    <cacheHierarchy uniqueName="[Medarbejder Viderestillet].[ViderestilletTilMedarbejder_Key]" caption="ViderestilletTilMedarbejder_Key" attribute="1" defaultMemberUniqueName="[Medarbejder Viderestillet].[ViderestilletTilMedarbejder_Key].[All]" allUniqueName="[Medarbejder Viderestillet].[ViderestilletTilMedarbejder_Key].[All]" dimensionUniqueName="[Medarbejder Viderestillet]" displayFolder="" count="2" unbalanced="0" hidden="1"/>
    <cacheHierarchy uniqueName="[Medlem].[Medlem_Key]" caption="Medlem_Key" attribute="1" defaultMemberUniqueName="[Medlem].[Medlem_Key].[All]" allUniqueName="[Medlem].[Medlem_Key].[All]" dimensionUniqueName="[Medlem]" displayFolder="" count="2" unbalanced="0" hidden="1"/>
    <cacheHierarchy uniqueName="[Medlemsstatus].[Medlemsstatus_Key]" caption="Medlemsstatus_Key" attribute="1" defaultMemberUniqueName="[Medlemsstatus].[Medlemsstatus_Key].[All]" allUniqueName="[Medlemsstatus].[Medlemsstatus_Key].[All]" dimensionUniqueName="[Medlemsstatus]" displayFolder="" count="2" unbalanced="0" hidden="1"/>
    <cacheHierarchy uniqueName="[Medlemstal].[#Indmeldelser]" caption="#Indmeldelser" attribute="1" defaultMemberUniqueName="[Medlemstal].[#Indmeldelser].[All]" allUniqueName="[Medlemstal].[#Indmeldelser].[All]" dimensionUniqueName="[Medlemstal]" displayFolder="" count="2" unbalanced="0" hidden="1"/>
    <cacheHierarchy uniqueName="[Medlemstal].[#Medlemstal]" caption="#Medlemstal" attribute="1" defaultMemberUniqueName="[Medlemstal].[#Medlemstal].[All]" allUniqueName="[Medlemstal].[#Medlemstal].[All]" dimensionUniqueName="[Medlemstal]" displayFolder="" count="2" unbalanced="0" hidden="1"/>
    <cacheHierarchy uniqueName="[Medlemstal].[#Statusskift]" caption="#Statusskift" attribute="1" defaultMemberUniqueName="[Medlemstal].[#Statusskift].[All]" allUniqueName="[Medlemstal].[#Statusskift].[All]" dimensionUniqueName="[Medlemstal]" displayFolder="" count="2" unbalanced="0" hidden="1"/>
    <cacheHierarchy uniqueName="[Medlemstal].[#StatusskiftAfgang]" caption="#StatusskiftAfgang" attribute="1" defaultMemberUniqueName="[Medlemstal].[#StatusskiftAfgang].[All]" allUniqueName="[Medlemstal].[#StatusskiftAfgang].[All]" dimensionUniqueName="[Medlemstal]" displayFolder="" count="2" unbalanced="0" hidden="1"/>
    <cacheHierarchy uniqueName="[Medlemstal].[#StatusskiftTilgang]" caption="#StatusskiftTilgang" attribute="1" defaultMemberUniqueName="[Medlemstal].[#StatusskiftTilgang].[All]" allUniqueName="[Medlemstal].[#StatusskiftTilgang].[All]" dimensionUniqueName="[Medlemstal]" displayFolder="" count="2" unbalanced="0" hidden="1"/>
    <cacheHierarchy uniqueName="[Medlemstal].[#Udmeldelser]" caption="#Udmeldelser" attribute="1" defaultMemberUniqueName="[Medlemstal].[#Udmeldelser].[All]" allUniqueName="[Medlemstal].[#Udmeldelser].[All]" dimensionUniqueName="[Medlemstal]" displayFolder="" count="2" unbalanced="0" hidden="1"/>
    <cacheHierarchy uniqueName="[Medlemstal].[Alder_Key]" caption="Alder_Key" attribute="1" defaultMemberUniqueName="[Medlemstal].[Alder_Key].[All]" allUniqueName="[Medlemstal].[Alder_Key].[All]" dimensionUniqueName="[Medlemstal]" displayFolder="" count="2" unbalanced="0" hidden="1"/>
    <cacheHierarchy uniqueName="[Medlemstal].[AndenAKasse_Key]" caption="AndenAKasse_Key" attribute="1" defaultMemberUniqueName="[Medlemstal].[AndenAKasse_Key].[All]" allUniqueName="[Medlemstal].[AndenAKasse_Key].[All]" dimensionUniqueName="[Medlemstal]" displayFolder="" count="2" unbalanced="0" hidden="1"/>
    <cacheHierarchy uniqueName="[Medlemstal].[Betalingsstatus_Key]" caption="Betalingsstatus_Key" attribute="1" defaultMemberUniqueName="[Medlemstal].[Betalingsstatus_Key].[All]" allUniqueName="[Medlemstal].[Betalingsstatus_Key].[All]" dimensionUniqueName="[Medlemstal]" displayFolder="" count="2" unbalanced="0" hidden="1"/>
    <cacheHierarchy uniqueName="[Medlemstal].[DimittendDato]" caption="DimittendDato" attribute="1" defaultMemberUniqueName="[Medlemstal].[DimittendDato].[All]" allUniqueName="[Medlemstal].[DimittendDato].[All]" dimensionUniqueName="[Medlemstal]" displayFolder="" count="2" unbalanced="0" hidden="1"/>
    <cacheHierarchy uniqueName="[Medlemstal].[FagligtTilhoersforhold_Key]" caption="FagligtTilhoersforhold_Key" attribute="1" defaultMemberUniqueName="[Medlemstal].[FagligtTilhoersforhold_Key].[All]" allUniqueName="[Medlemstal].[FagligtTilhoersforhold_Key].[All]" dimensionUniqueName="[Medlemstal]" displayFolder="" count="2" unbalanced="0" hidden="1"/>
    <cacheHierarchy uniqueName="[Medlemstal].[Fastfrysningsdato]" caption="Fastfrysningsdato" attribute="1" defaultMemberUniqueName="[Medlemstal].[Fastfrysningsdato].[All]" allUniqueName="[Medlemstal].[Fastfrysningsdato].[All]" dimensionUniqueName="[Medlemstal]" displayFolder="" count="2" unbalanced="0" hidden="1"/>
    <cacheHierarchy uniqueName="[Medlemstal].[IDA Gruppe]" caption="IDA Gruppe" attribute="1" defaultMemberUniqueName="[Medlemstal].[IDA Gruppe].[All]" allUniqueName="[Medlemstal].[IDA Gruppe].[All]" dimensionUniqueName="[Medlemstal]" displayFolder="" count="2" unbalanced="0" hidden="1"/>
    <cacheHierarchy uniqueName="[Medlemstal].[IndbetalerTilEfterloen_Key]" caption="IndbetalerTilEfterloen_Key" attribute="1" defaultMemberUniqueName="[Medlemstal].[IndbetalerTilEfterloen_Key].[All]" allUniqueName="[Medlemstal].[IndbetalerTilEfterloen_Key].[All]" dimensionUniqueName="[Medlemstal]" displayFolder="" count="2" unbalanced="0" hidden="1"/>
    <cacheHierarchy uniqueName="[Medlemstal].[Kandidatalder_Key]" caption="Kandidatalder_Key" attribute="1" defaultMemberUniqueName="[Medlemstal].[Kandidatalder_Key].[All]" allUniqueName="[Medlemstal].[Kandidatalder_Key].[All]" dimensionUniqueName="[Medlemstal]" displayFolder="" count="2" unbalanced="0" hidden="1"/>
    <cacheHierarchy uniqueName="[Medlemstal].[Kommune_Key]" caption="Kommune_Key" attribute="1" defaultMemberUniqueName="[Medlemstal].[Kommune_Key].[All]" allUniqueName="[Medlemstal].[Kommune_Key].[All]" dimensionUniqueName="[Medlemstal]" displayFolder="" count="2" unbalanced="0" hidden="1"/>
    <cacheHierarchy uniqueName="[Medlemstal].[Land_Key]" caption="Land_Key" attribute="1" defaultMemberUniqueName="[Medlemstal].[Land_Key].[All]" allUniqueName="[Medlemstal].[Land_Key].[All]" dimensionUniqueName="[Medlemstal]" displayFolder="" count="2" unbalanced="0" hidden="1"/>
    <cacheHierarchy uniqueName="[Medlemstal].[Medlem_Key]" caption="Medlem_Key" attribute="1" defaultMemberUniqueName="[Medlemstal].[Medlem_Key].[All]" allUniqueName="[Medlemstal].[Medlem_Key].[All]" dimensionUniqueName="[Medlemstal]" displayFolder="" count="2" unbalanced="0" hidden="1"/>
    <cacheHierarchy uniqueName="[Medlemstal].[Medlemsstatus Gruppe]" caption="Medlemsstatus Gruppe" attribute="1" defaultMemberUniqueName="[Medlemstal].[Medlemsstatus Gruppe].[All]" allUniqueName="[Medlemstal].[Medlemsstatus Gruppe].[All]" dimensionUniqueName="[Medlemstal]" displayFolder="" count="2" unbalanced="0" hidden="1"/>
    <cacheHierarchy uniqueName="[Medlemstal].[Medlemsstatus_Key]" caption="Medlemsstatus_Key" attribute="1" defaultMemberUniqueName="[Medlemstal].[Medlemsstatus_Key].[All]" allUniqueName="[Medlemstal].[Medlemsstatus_Key].[All]" dimensionUniqueName="[Medlemstal]" displayFolder="" count="2" unbalanced="0" hidden="1"/>
    <cacheHierarchy uniqueName="[Medlemstal].[MedlemstalBevaegelse_Key]" caption="MedlemstalBevaegelse_Key" attribute="1" defaultMemberUniqueName="[Medlemstal].[MedlemstalBevaegelse_Key].[All]" allUniqueName="[Medlemstal].[MedlemstalBevaegelse_Key].[All]" dimensionUniqueName="[Medlemstal]" displayFolder="" count="2" unbalanced="0" hidden="1"/>
    <cacheHierarchy uniqueName="[Medlemstal].[Postnummer_Key]" caption="Postnummer_Key" attribute="1" defaultMemberUniqueName="[Medlemstal].[Postnummer_Key].[All]" allUniqueName="[Medlemstal].[Postnummer_Key].[All]" dimensionUniqueName="[Medlemstal]" displayFolder="" count="2" unbalanced="0" hidden="1"/>
    <cacheHierarchy uniqueName="[Medlemstal].[RapporteringsKvartalAar]" caption="RapporteringsKvartalAar" attribute="1" defaultMemberUniqueName="[Medlemstal].[RapporteringsKvartalAar].[All]" allUniqueName="[Medlemstal].[RapporteringsKvartalAar].[All]" dimensionUniqueName="[Medlemstal]" displayFolder="" count="2" unbalanced="0" hidden="1"/>
    <cacheHierarchy uniqueName="[Medlemstal].[RapporteringsMaanedAar]" caption="RapporteringsMaanedAar" attribute="1" defaultMemberUniqueName="[Medlemstal].[RapporteringsMaanedAar].[All]" allUniqueName="[Medlemstal].[RapporteringsMaanedAar].[All]" dimensionUniqueName="[Medlemstal]" displayFolder="" count="2" unbalanced="0" hidden="1"/>
    <cacheHierarchy uniqueName="[Medlemstal].[RapporteringsAar]" caption="RapporteringsAar" attribute="1" defaultMemberUniqueName="[Medlemstal].[RapporteringsAar].[All]" allUniqueName="[Medlemstal].[RapporteringsAar].[All]" dimensionUniqueName="[Medlemstal]" displayFolder="" count="2" unbalanced="0" hidden="1"/>
    <cacheHierarchy uniqueName="[Medlemstal].[Uddannelse_Key]" caption="Uddannelse_Key" attribute="1" defaultMemberUniqueName="[Medlemstal].[Uddannelse_Key].[All]" allUniqueName="[Medlemstal].[Uddannelse_Key].[All]" dimensionUniqueName="[Medlemstal]" displayFolder="" count="2" unbalanced="0" hidden="1"/>
    <cacheHierarchy uniqueName="[Medlemstal].[Uddannelsesretning_Key]" caption="Uddannelsesretning_Key" attribute="1" defaultMemberUniqueName="[Medlemstal].[Uddannelsesretning_Key].[All]" allUniqueName="[Medlemstal].[Uddannelsesretning_Key].[All]" dimensionUniqueName="[Medlemstal]" displayFolder="" count="2" unbalanced="0" hidden="1"/>
    <cacheHierarchy uniqueName="[Medlemstal].[Uddannelsessted_Key]" caption="Uddannelsessted_Key" attribute="1" defaultMemberUniqueName="[Medlemstal].[Uddannelsessted_Key].[All]" allUniqueName="[Medlemstal].[Uddannelsessted_Key].[All]" dimensionUniqueName="[Medlemstal]" displayFolder="" count="2" unbalanced="0" hidden="1"/>
    <cacheHierarchy uniqueName="[Medlemstal].[Ændring Efter Fastfrysning]" caption="Ændring Efter Fastfrysning" attribute="1" defaultMemberUniqueName="[Medlemstal].[Ændring Efter Fastfrysning].[All]" allUniqueName="[Medlemstal].[Ændring Efter Fastfrysning].[All]" dimensionUniqueName="[Medlemstal]" displayFolder="" count="2" unbalanced="0" hidden="1"/>
    <cacheHierarchy uniqueName="[Medlemstal].[Ændringsdato]" caption="Ændringsdato" attribute="1" defaultMemberUniqueName="[Medlemstal].[Ændringsdato].[All]" allUniqueName="[Medlemstal].[Ændringsdato].[All]" dimensionUniqueName="[Medlemstal]" displayFolder="" count="2" unbalanced="0" hidden="1"/>
    <cacheHierarchy uniqueName="[Medlemstal].[Aarsag_Key]" caption="Aarsag_Key" attribute="1" defaultMemberUniqueName="[Medlemstal].[Aarsag_Key].[All]" allUniqueName="[Medlemstal].[Aarsag_Key].[All]" dimensionUniqueName="[Medlemstal]" displayFolder="" count="2" unbalanced="0" hidden="1"/>
    <cacheHierarchy uniqueName="[Medlemstal Bevægelse].[MedlemstalBevaegelse_Key]" caption="MedlemstalBevaegelse_Key" attribute="1" defaultMemberUniqueName="[Medlemstal Bevægelse].[MedlemstalBevaegelse_Key].[All]" allUniqueName="[Medlemstal Bevægelse].[MedlemstalBevaegelse_Key].[All]" dimensionUniqueName="[Medlemstal Bevægelse]" displayFolder="" count="2" unbalanced="0" hidden="1"/>
    <cacheHierarchy uniqueName="[Medlemstal Bevægelse].[SortOrder]" caption="SortOrder" attribute="1" defaultMemberUniqueName="[Medlemstal Bevægelse].[SortOrder].[All]" allUniqueName="[Medlemstal Bevægelse].[SortOrder].[All]" dimensionUniqueName="[Medlemstal Bevægelse]" displayFolder="" count="2" unbalanced="0" hidden="1"/>
    <cacheHierarchy uniqueName="[Medlemstal Bevægelse].[TypeNiveau1SortOrder]" caption="TypeNiveau1SortOrder" attribute="1" defaultMemberUniqueName="[Medlemstal Bevægelse].[TypeNiveau1SortOrder].[All]" allUniqueName="[Medlemstal Bevægelse].[TypeNiveau1SortOrder].[All]" dimensionUniqueName="[Medlemstal Bevægelse]" displayFolder="" count="2" unbalanced="0" hidden="1"/>
    <cacheHierarchy uniqueName="[Medlemstal Bevægelse].[TypeSortOrder]" caption="TypeSortOrder" attribute="1" defaultMemberUniqueName="[Medlemstal Bevægelse].[TypeSortOrder].[All]" allUniqueName="[Medlemstal Bevægelse].[TypeSortOrder].[All]" dimensionUniqueName="[Medlemstal Bevægelse]" displayFolder="" count="2" unbalanced="0" hidden="1"/>
    <cacheHierarchy uniqueName="[Medlemstal Budget].[#MedlemstalBudget]" caption="#MedlemstalBudget" attribute="1" defaultMemberUniqueName="[Medlemstal Budget].[#MedlemstalBudget].[All]" allUniqueName="[Medlemstal Budget].[#MedlemstalBudget].[All]" dimensionUniqueName="[Medlemstal Budget]" displayFolder="" count="2" unbalanced="0" hidden="1"/>
    <cacheHierarchy uniqueName="[Medlemstal Budget].[Betalingsstatus_Key]" caption="Betalingsstatus_Key" attribute="1" defaultMemberUniqueName="[Medlemstal Budget].[Betalingsstatus_Key].[All]" allUniqueName="[Medlemstal Budget].[Betalingsstatus_Key].[All]" dimensionUniqueName="[Medlemstal Budget]" displayFolder="" count="2" unbalanced="0" hidden="1"/>
    <cacheHierarchy uniqueName="[Medlemstal Budget].[Dato]" caption="Dato" attribute="1" defaultMemberUniqueName="[Medlemstal Budget].[Dato].[All]" allUniqueName="[Medlemstal Budget].[Dato].[All]" dimensionUniqueName="[Medlemstal Budget]" displayFolder="" count="2" unbalanced="0" hidden="1"/>
    <cacheHierarchy uniqueName="[Medlemstal Budget].[Medlemsstatus_Key]" caption="Medlemsstatus_Key" attribute="1" defaultMemberUniqueName="[Medlemstal Budget].[Medlemsstatus_Key].[All]" allUniqueName="[Medlemstal Budget].[Medlemsstatus_Key].[All]" dimensionUniqueName="[Medlemstal Budget]" displayFolder="" count="2" unbalanced="0" hidden="1"/>
    <cacheHierarchy uniqueName="[Medlemstal Budget].[MedlemstalBevaegelse_Key]" caption="MedlemstalBevaegelse_Key" attribute="1" defaultMemberUniqueName="[Medlemstal Budget].[MedlemstalBevaegelse_Key].[All]" allUniqueName="[Medlemstal Budget].[MedlemstalBevaegelse_Key].[All]" dimensionUniqueName="[Medlemstal Budget]" displayFolder="" count="2" unbalanced="0" hidden="1"/>
    <cacheHierarchy uniqueName="[Medlemstal Budget].[RapporteringsMaanedAar]" caption="RapporteringsMaanedAar" attribute="1" defaultMemberUniqueName="[Medlemstal Budget].[RapporteringsMaanedAar].[All]" allUniqueName="[Medlemstal Budget].[RapporteringsMaanedAar].[All]" dimensionUniqueName="[Medlemstal Budget]" displayFolder="" count="2" unbalanced="0" hidden="1"/>
    <cacheHierarchy uniqueName="[Medlemstal Budget].[Aarsag_Key]" caption="Aarsag_Key" attribute="1" defaultMemberUniqueName="[Medlemstal Budget].[Aarsag_Key].[All]" allUniqueName="[Medlemstal Budget].[Aarsag_Key].[All]" dimensionUniqueName="[Medlemstal Budget]" displayFolder="" count="2" unbalanced="0" hidden="1"/>
    <cacheHierarchy uniqueName="[Medlemstal Opdateret].[#IndmeldelserOpdateret]" caption="#IndmeldelserOpdateret" attribute="1" defaultMemberUniqueName="[Medlemstal Opdateret].[#IndmeldelserOpdateret].[All]" allUniqueName="[Medlemstal Opdateret].[#IndmeldelserOpdateret].[All]" dimensionUniqueName="[Medlemstal Opdateret]" displayFolder="" count="2" unbalanced="0" hidden="1"/>
    <cacheHierarchy uniqueName="[Medlemstal Opdateret].[#MedlemstalOpdateret]" caption="#MedlemstalOpdateret" attribute="1" defaultMemberUniqueName="[Medlemstal Opdateret].[#MedlemstalOpdateret].[All]" allUniqueName="[Medlemstal Opdateret].[#MedlemstalOpdateret].[All]" dimensionUniqueName="[Medlemstal Opdateret]" displayFolder="" count="2" unbalanced="0" hidden="1"/>
    <cacheHierarchy uniqueName="[Medlemstal Opdateret].[#StatusskiftAfgangOpdateret]" caption="#StatusskiftAfgangOpdateret" attribute="1" defaultMemberUniqueName="[Medlemstal Opdateret].[#StatusskiftAfgangOpdateret].[All]" allUniqueName="[Medlemstal Opdateret].[#StatusskiftAfgangOpdateret].[All]" dimensionUniqueName="[Medlemstal Opdateret]" displayFolder="" count="2" unbalanced="0" hidden="1"/>
    <cacheHierarchy uniqueName="[Medlemstal Opdateret].[#StatusskiftOpdateret]" caption="#StatusskiftOpdateret" attribute="1" defaultMemberUniqueName="[Medlemstal Opdateret].[#StatusskiftOpdateret].[All]" allUniqueName="[Medlemstal Opdateret].[#StatusskiftOpdateret].[All]" dimensionUniqueName="[Medlemstal Opdateret]" displayFolder="" count="2" unbalanced="0" hidden="1"/>
    <cacheHierarchy uniqueName="[Medlemstal Opdateret].[#StatusskiftTilgangOpdateret]" caption="#StatusskiftTilgangOpdateret" attribute="1" defaultMemberUniqueName="[Medlemstal Opdateret].[#StatusskiftTilgangOpdateret].[All]" allUniqueName="[Medlemstal Opdateret].[#StatusskiftTilgangOpdateret].[All]" dimensionUniqueName="[Medlemstal Opdateret]" displayFolder="" count="2" unbalanced="0" hidden="1"/>
    <cacheHierarchy uniqueName="[Medlemstal Opdateret].[#UdmeldelserOpdateret]" caption="#UdmeldelserOpdateret" attribute="1" defaultMemberUniqueName="[Medlemstal Opdateret].[#UdmeldelserOpdateret].[All]" allUniqueName="[Medlemstal Opdateret].[#UdmeldelserOpdateret].[All]" dimensionUniqueName="[Medlemstal Opdateret]" displayFolder="" count="2" unbalanced="0" hidden="1"/>
    <cacheHierarchy uniqueName="[Medlemstal Opdateret].[Alder_Key]" caption="Alder_Key" attribute="1" defaultMemberUniqueName="[Medlemstal Opdateret].[Alder_Key].[All]" allUniqueName="[Medlemstal Opdateret].[Alder_Key].[All]" dimensionUniqueName="[Medlemstal Opdateret]" displayFolder="" count="2" unbalanced="0" hidden="1"/>
    <cacheHierarchy uniqueName="[Medlemstal Opdateret].[AndenAkasse_Key]" caption="AndenAkasse_Key" attribute="1" defaultMemberUniqueName="[Medlemstal Opdateret].[AndenAkasse_Key].[All]" allUniqueName="[Medlemstal Opdateret].[AndenAkasse_Key].[All]" dimensionUniqueName="[Medlemstal Opdateret]" displayFolder="" count="2" unbalanced="0" hidden="1"/>
    <cacheHierarchy uniqueName="[Medlemstal Opdateret].[Betalingsstatus_Key]" caption="Betalingsstatus_Key" attribute="1" defaultMemberUniqueName="[Medlemstal Opdateret].[Betalingsstatus_Key].[All]" allUniqueName="[Medlemstal Opdateret].[Betalingsstatus_Key].[All]" dimensionUniqueName="[Medlemstal Opdateret]" displayFolder="" count="2" unbalanced="0" hidden="1"/>
    <cacheHierarchy uniqueName="[Medlemstal Opdateret].[Dato]" caption="Dato" attribute="1" defaultMemberUniqueName="[Medlemstal Opdateret].[Dato].[All]" allUniqueName="[Medlemstal Opdateret].[Dato].[All]" dimensionUniqueName="[Medlemstal Opdateret]" displayFolder="" count="2" unbalanced="0" hidden="1"/>
    <cacheHierarchy uniqueName="[Medlemstal Opdateret].[DimittendDato]" caption="DimittendDato" attribute="1" defaultMemberUniqueName="[Medlemstal Opdateret].[DimittendDato].[All]" allUniqueName="[Medlemstal Opdateret].[DimittendDato].[All]" dimensionUniqueName="[Medlemstal Opdateret]" displayFolder="" count="2" unbalanced="0" hidden="1"/>
    <cacheHierarchy uniqueName="[Medlemstal Opdateret].[FagligtTilhoersforhold_Key]" caption="FagligtTilhoersforhold_Key" attribute="1" defaultMemberUniqueName="[Medlemstal Opdateret].[FagligtTilhoersforhold_Key].[All]" allUniqueName="[Medlemstal Opdateret].[FagligtTilhoersforhold_Key].[All]" dimensionUniqueName="[Medlemstal Opdateret]" displayFolder="" count="2" unbalanced="0" hidden="1"/>
    <cacheHierarchy uniqueName="[Medlemstal Opdateret].[IndbetalerTilEfterloen_Key]" caption="IndbetalerTilEfterloen_Key" attribute="1" defaultMemberUniqueName="[Medlemstal Opdateret].[IndbetalerTilEfterloen_Key].[All]" allUniqueName="[Medlemstal Opdateret].[IndbetalerTilEfterloen_Key].[All]" dimensionUniqueName="[Medlemstal Opdateret]" displayFolder="" count="2" unbalanced="0" hidden="1"/>
    <cacheHierarchy uniqueName="[Medlemstal Opdateret].[Kandidatalder_Key]" caption="Kandidatalder_Key" attribute="1" defaultMemberUniqueName="[Medlemstal Opdateret].[Kandidatalder_Key].[All]" allUniqueName="[Medlemstal Opdateret].[Kandidatalder_Key].[All]" dimensionUniqueName="[Medlemstal Opdateret]" displayFolder="" count="2" unbalanced="0" hidden="1"/>
    <cacheHierarchy uniqueName="[Medlemstal Opdateret].[Kommune_Key]" caption="Kommune_Key" attribute="1" defaultMemberUniqueName="[Medlemstal Opdateret].[Kommune_Key].[All]" allUniqueName="[Medlemstal Opdateret].[Kommune_Key].[All]" dimensionUniqueName="[Medlemstal Opdateret]" displayFolder="" count="2" unbalanced="0" hidden="1"/>
    <cacheHierarchy uniqueName="[Medlemstal Opdateret].[Land_Key]" caption="Land_Key" attribute="1" defaultMemberUniqueName="[Medlemstal Opdateret].[Land_Key].[All]" allUniqueName="[Medlemstal Opdateret].[Land_Key].[All]" dimensionUniqueName="[Medlemstal Opdateret]" displayFolder="" count="2" unbalanced="0" hidden="1"/>
    <cacheHierarchy uniqueName="[Medlemstal Opdateret].[Medlem_Key]" caption="Medlem_Key" attribute="1" defaultMemberUniqueName="[Medlemstal Opdateret].[Medlem_Key].[All]" allUniqueName="[Medlemstal Opdateret].[Medlem_Key].[All]" dimensionUniqueName="[Medlemstal Opdateret]" displayFolder="" count="2" unbalanced="0" hidden="1"/>
    <cacheHierarchy uniqueName="[Medlemstal Opdateret].[Medlemsstatus_Key]" caption="Medlemsstatus_Key" attribute="1" defaultMemberUniqueName="[Medlemstal Opdateret].[Medlemsstatus_Key].[All]" allUniqueName="[Medlemstal Opdateret].[Medlemsstatus_Key].[All]" dimensionUniqueName="[Medlemstal Opdateret]" displayFolder="" count="2" unbalanced="0" hidden="1"/>
    <cacheHierarchy uniqueName="[Medlemstal Opdateret].[MedlemstalBevaegelse_Key]" caption="MedlemstalBevaegelse_Key" attribute="1" defaultMemberUniqueName="[Medlemstal Opdateret].[MedlemstalBevaegelse_Key].[All]" allUniqueName="[Medlemstal Opdateret].[MedlemstalBevaegelse_Key].[All]" dimensionUniqueName="[Medlemstal Opdateret]" displayFolder="" count="2" unbalanced="0" hidden="1"/>
    <cacheHierarchy uniqueName="[Medlemstal Opdateret].[Postnummer_Key]" caption="Postnummer_Key" attribute="1" defaultMemberUniqueName="[Medlemstal Opdateret].[Postnummer_Key].[All]" allUniqueName="[Medlemstal Opdateret].[Postnummer_Key].[All]" dimensionUniqueName="[Medlemstal Opdateret]" displayFolder="" count="2" unbalanced="0" hidden="1"/>
    <cacheHierarchy uniqueName="[Medlemstal Opdateret].[RapporteringsMaanedAar]" caption="RapporteringsMaanedAar" attribute="1" defaultMemberUniqueName="[Medlemstal Opdateret].[RapporteringsMaanedAar].[All]" allUniqueName="[Medlemstal Opdateret].[RapporteringsMaanedAar].[All]" dimensionUniqueName="[Medlemstal Opdateret]" displayFolder="" count="2" unbalanced="0" hidden="1"/>
    <cacheHierarchy uniqueName="[Medlemstal Opdateret].[Uddannelse_Key]" caption="Uddannelse_Key" attribute="1" defaultMemberUniqueName="[Medlemstal Opdateret].[Uddannelse_Key].[All]" allUniqueName="[Medlemstal Opdateret].[Uddannelse_Key].[All]" dimensionUniqueName="[Medlemstal Opdateret]" displayFolder="" count="2" unbalanced="0" hidden="1"/>
    <cacheHierarchy uniqueName="[Medlemstal Opdateret].[Uddannelsesretning_Key]" caption="Uddannelsesretning_Key" attribute="1" defaultMemberUniqueName="[Medlemstal Opdateret].[Uddannelsesretning_Key].[All]" allUniqueName="[Medlemstal Opdateret].[Uddannelsesretning_Key].[All]" dimensionUniqueName="[Medlemstal Opdateret]" displayFolder="" count="2" unbalanced="0" hidden="1"/>
    <cacheHierarchy uniqueName="[Medlemstal Opdateret].[Uddannelsessted_Key]" caption="Uddannelsessted_Key" attribute="1" defaultMemberUniqueName="[Medlemstal Opdateret].[Uddannelsessted_Key].[All]" allUniqueName="[Medlemstal Opdateret].[Uddannelsessted_Key].[All]" dimensionUniqueName="[Medlemstal Opdateret]" displayFolder="" count="2" unbalanced="0" hidden="1"/>
    <cacheHierarchy uniqueName="[Medlemstal Opdateret].[Aarsag_Key]" caption="Aarsag_Key" attribute="1" defaultMemberUniqueName="[Medlemstal Opdateret].[Aarsag_Key].[All]" allUniqueName="[Medlemstal Opdateret].[Aarsag_Key].[All]" dimensionUniqueName="[Medlemstal Opdateret]" displayFolder="" count="2" unbalanced="0" hidden="1"/>
    <cacheHierarchy uniqueName="[Medlemstal Økonomibudget].[#MedlemstalOekonomibudget]" caption="#MedlemstalOekonomibudget" attribute="1" defaultMemberUniqueName="[Medlemstal Økonomibudget].[#MedlemstalOekonomibudget].[All]" allUniqueName="[Medlemstal Økonomibudget].[#MedlemstalOekonomibudget].[All]" dimensionUniqueName="[Medlemstal Økonomibudget]" displayFolder="" count="2" unbalanced="0" hidden="1"/>
    <cacheHierarchy uniqueName="[Medlemstal Økonomibudget].[Betalingsstatus_Key]" caption="Betalingsstatus_Key" attribute="1" defaultMemberUniqueName="[Medlemstal Økonomibudget].[Betalingsstatus_Key].[All]" allUniqueName="[Medlemstal Økonomibudget].[Betalingsstatus_Key].[All]" dimensionUniqueName="[Medlemstal Økonomibudget]" displayFolder="" count="2" unbalanced="0" hidden="1"/>
    <cacheHierarchy uniqueName="[Medlemstal Økonomibudget].[Dato]" caption="Dato" attribute="1" defaultMemberUniqueName="[Medlemstal Økonomibudget].[Dato].[All]" allUniqueName="[Medlemstal Økonomibudget].[Dato].[All]" dimensionUniqueName="[Medlemstal Økonomibudget]" displayFolder="" count="2" unbalanced="0" hidden="1"/>
    <cacheHierarchy uniqueName="[Medlemstal Økonomibudget].[Medlemsstatus_Key]" caption="Medlemsstatus_Key" attribute="1" defaultMemberUniqueName="[Medlemstal Økonomibudget].[Medlemsstatus_Key].[All]" allUniqueName="[Medlemstal Økonomibudget].[Medlemsstatus_Key].[All]" dimensionUniqueName="[Medlemstal Økonomibudget]" displayFolder="" count="2" unbalanced="0" hidden="1"/>
    <cacheHierarchy uniqueName="[Medlemstal Økonomibudget].[MedlemstalBevaegelse_Key]" caption="MedlemstalBevaegelse_Key" attribute="1" defaultMemberUniqueName="[Medlemstal Økonomibudget].[MedlemstalBevaegelse_Key].[All]" allUniqueName="[Medlemstal Økonomibudget].[MedlemstalBevaegelse_Key].[All]" dimensionUniqueName="[Medlemstal Økonomibudget]" displayFolder="" count="2" unbalanced="0" hidden="1"/>
    <cacheHierarchy uniqueName="[Medlemstal Økonomibudget].[RapporteringsMaanedAar]" caption="RapporteringsMaanedAar" attribute="1" defaultMemberUniqueName="[Medlemstal Økonomibudget].[RapporteringsMaanedAar].[All]" allUniqueName="[Medlemstal Økonomibudget].[RapporteringsMaanedAar].[All]" dimensionUniqueName="[Medlemstal Økonomibudget]" displayFolder="" count="2" unbalanced="0" hidden="1"/>
    <cacheHierarchy uniqueName="[Medlemstal Økonomibudget].[Aarsag_Key]" caption="Aarsag_Key" attribute="1" defaultMemberUniqueName="[Medlemstal Økonomibudget].[Aarsag_Key].[All]" allUniqueName="[Medlemstal Økonomibudget].[Aarsag_Key].[All]" dimensionUniqueName="[Medlemstal Økonomibudget]" displayFolder="" count="2" unbalanced="0" hidden="1"/>
    <cacheHierarchy uniqueName="[Normtimer].[#DageIPeriode]" caption="#DageIPeriode" attribute="1" defaultMemberUniqueName="[Normtimer].[#DageIPeriode].[All]" allUniqueName="[Normtimer].[#DageIPeriode].[All]" dimensionUniqueName="[Normtimer]" displayFolder="" count="2" unbalanced="0" hidden="1"/>
    <cacheHierarchy uniqueName="[Normtimer].[#Normtimer]" caption="#Normtimer" attribute="1" defaultMemberUniqueName="[Normtimer].[#Normtimer].[All]" allUniqueName="[Normtimer].[#Normtimer].[All]" dimensionUniqueName="[Normtimer]" displayFolder="" count="2" unbalanced="0" hidden="1"/>
    <cacheHierarchy uniqueName="[Normtimer].[Dato]" caption="Dato" attribute="1" defaultMemberUniqueName="[Normtimer].[Dato].[All]" allUniqueName="[Normtimer].[Dato].[All]" dimensionUniqueName="[Normtimer]" displayFolder="" count="2" unbalanced="0" hidden="1"/>
    <cacheHierarchy uniqueName="[Normtimer].[Medarbejder_Key]" caption="Medarbejder_Key" attribute="1" defaultMemberUniqueName="[Normtimer].[Medarbejder_Key].[All]" allUniqueName="[Normtimer].[Medarbejder_Key].[All]" dimensionUniqueName="[Normtimer]" displayFolder="" count="2" unbalanced="0" hidden="1"/>
    <cacheHierarchy uniqueName="[Normtimer].[RapporteringsMaanedAar]" caption="RapporteringsMaanedAar" attribute="1" defaultMemberUniqueName="[Normtimer].[RapporteringsMaanedAar].[All]" allUniqueName="[Normtimer].[RapporteringsMaanedAar].[All]" dimensionUniqueName="[Normtimer]" displayFolder="" count="2" unbalanced="0" hidden="1"/>
    <cacheHierarchy uniqueName="[Normtimer].[Team_Key]" caption="Team_Key" attribute="1" defaultMemberUniqueName="[Normtimer].[Team_Key].[All]" allUniqueName="[Normtimer].[Team_Key].[All]" dimensionUniqueName="[Normtimer]" displayFolder="" count="2" unbalanced="0" hidden="1"/>
    <cacheHierarchy uniqueName="[Normtimer Fuldtid].[#NormtimerFuldtid]" caption="#NormtimerFuldtid" attribute="1" defaultMemberUniqueName="[Normtimer Fuldtid].[#NormtimerFuldtid].[All]" allUniqueName="[Normtimer Fuldtid].[#NormtimerFuldtid].[All]" dimensionUniqueName="[Normtimer Fuldtid]" displayFolder="" count="2" unbalanced="0" hidden="1"/>
    <cacheHierarchy uniqueName="[Normtimer Fuldtid].[#NormtimerFuldtidsnorm]" caption="#NormtimerFuldtidsnorm" attribute="1" defaultMemberUniqueName="[Normtimer Fuldtid].[#NormtimerFuldtidsnorm].[All]" allUniqueName="[Normtimer Fuldtid].[#NormtimerFuldtidsnorm].[All]" dimensionUniqueName="[Normtimer Fuldtid]" displayFolder="" count="2" unbalanced="0" hidden="1"/>
    <cacheHierarchy uniqueName="[Normtimer Fuldtid].[Dato]" caption="Dato" attribute="1" defaultMemberUniqueName="[Normtimer Fuldtid].[Dato].[All]" allUniqueName="[Normtimer Fuldtid].[Dato].[All]" dimensionUniqueName="[Normtimer Fuldtid]" displayFolder="" count="2" unbalanced="0" hidden="1"/>
    <cacheHierarchy uniqueName="[Normtimer Fuldtid].[RapporteringsMaanedAar]" caption="RapporteringsMaanedAar" attribute="1" defaultMemberUniqueName="[Normtimer Fuldtid].[RapporteringsMaanedAar].[All]" allUniqueName="[Normtimer Fuldtid].[RapporteringsMaanedAar].[All]" dimensionUniqueName="[Normtimer Fuldtid]" displayFolder="" count="2" unbalanced="0" hidden="1"/>
    <cacheHierarchy uniqueName="[Opkaldsresultat].[Opkaldsresultat_BK]" caption="Opkaldsresultat_BK" attribute="1" defaultMemberUniqueName="[Opkaldsresultat].[Opkaldsresultat_BK].[All]" allUniqueName="[Opkaldsresultat].[Opkaldsresultat_BK].[All]" dimensionUniqueName="[Opkaldsresultat]" displayFolder="" count="2" unbalanced="0" hidden="1"/>
    <cacheHierarchy uniqueName="[Opkaldsresultat].[Opkaldsresultat_Key]" caption="Opkaldsresultat_Key" attribute="1" defaultMemberUniqueName="[Opkaldsresultat].[Opkaldsresultat_Key].[All]" allUniqueName="[Opkaldsresultat].[Opkaldsresultat_Key].[All]" dimensionUniqueName="[Opkaldsresultat]" displayFolder="" count="2" unbalanced="0" hidden="1"/>
    <cacheHierarchy uniqueName="[Opkaldsresultat].[OpkaldsresultatSortering]" caption="OpkaldsresultatSortering" attribute="1" defaultMemberUniqueName="[Opkaldsresultat].[OpkaldsresultatSortering].[All]" allUniqueName="[Opkaldsresultat].[OpkaldsresultatSortering].[All]" dimensionUniqueName="[Opkaldsresultat]" displayFolder="" count="2" unbalanced="0" hidden="1"/>
    <cacheHierarchy uniqueName="[Opkaldstype].[Opkaldstype_BK]" caption="Opkaldstype_BK" attribute="1" defaultMemberUniqueName="[Opkaldstype].[Opkaldstype_BK].[All]" allUniqueName="[Opkaldstype].[Opkaldstype_BK].[All]" dimensionUniqueName="[Opkaldstype]" displayFolder="" count="2" unbalanced="0" hidden="1"/>
    <cacheHierarchy uniqueName="[Opkaldstype].[Opkaldstype_Key]" caption="Opkaldstype_Key" attribute="1" defaultMemberUniqueName="[Opkaldstype].[Opkaldstype_Key].[All]" allUniqueName="[Opkaldstype].[Opkaldstype_Key].[All]" dimensionUniqueName="[Opkaldstype]" displayFolder="" count="2" unbalanced="0" hidden="1"/>
    <cacheHierarchy uniqueName="[Postnummer].[Postnummer_Key]" caption="Postnummer_Key" attribute="1" defaultMemberUniqueName="[Postnummer].[Postnummer_Key].[All]" allUniqueName="[Postnummer].[Postnummer_Key].[All]" dimensionUniqueName="[Postnummer]" displayFolder="" count="2" unbalanced="0" hidden="1"/>
    <cacheHierarchy uniqueName="[Rapporteringskvartal].[#Antal Uger I Perioden]" caption="#Antal Uger I Perioden" attribute="1" defaultMemberUniqueName="[Rapporteringskvartal].[#Antal Uger I Perioden].[All]" allUniqueName="[Rapporteringskvartal].[#Antal Uger I Perioden].[All]" dimensionUniqueName="[Rapporteringskvartal]" displayFolder="" count="2" unbalanced="0" hidden="1"/>
    <cacheHierarchy uniqueName="[Rapporteringskvartal].[RapporteringsKvartalAar]" caption="RapporteringsKvartalAar" attribute="1" defaultMemberUniqueName="[Rapporteringskvartal].[RapporteringsKvartalAar].[All]" allUniqueName="[Rapporteringskvartal].[RapporteringsKvartalAar].[All]" dimensionUniqueName="[Rapporteringskvartal]" displayFolder="" count="2" unbalanced="0" hidden="1"/>
    <cacheHierarchy uniqueName="[Rapporteringsmåned].[#Antal Uger I Perioden]" caption="#Antal Uger I Perioden" attribute="1" time="1" defaultMemberUniqueName="[Rapporteringsmåned].[#Antal Uger I Perioden].[All]" allUniqueName="[Rapporteringsmåned].[#Antal Uger I Perioden].[All]" dimensionUniqueName="[Rapporteringsmåned]" displayFolder="" count="2" unbalanced="0" hidden="1"/>
    <cacheHierarchy uniqueName="[Rapporteringsmåned].[RapporteringsMaanedDato]" caption="RapporteringsMaanedDato" attribute="1" time="1" keyAttribute="1" defaultMemberUniqueName="[Rapporteringsmåned].[RapporteringsMaanedDato].[All]" allUniqueName="[Rapporteringsmåned].[RapporteringsMaanedDato].[All]" dimensionUniqueName="[Rapporteringsmåned]" displayFolder="" count="2" unbalanced="0" hidden="1"/>
    <cacheHierarchy uniqueName="[Rapporteringsmåned].[RapporteringsMaanedPeriodeNr]" caption="RapporteringsMaanedPeriodeNr" attribute="1" time="1" defaultMemberUniqueName="[Rapporteringsmåned].[RapporteringsMaanedPeriodeNr].[All]" allUniqueName="[Rapporteringsmåned].[RapporteringsMaanedPeriodeNr].[All]" dimensionUniqueName="[Rapporteringsmåned]" displayFolder="" count="2" unbalanced="0" hidden="1"/>
    <cacheHierarchy uniqueName="[Rapporteringsmåned].[RapporteringsMaanedAar]" caption="RapporteringsMaanedAar" attribute="1" time="1" defaultMemberUniqueName="[Rapporteringsmåned].[RapporteringsMaanedAar].[All]" allUniqueName="[Rapporteringsmåned].[RapporteringsMaanedAar].[All]" dimensionUniqueName="[Rapporteringsmåned]" displayFolder="" count="2" unbalanced="0" hidden="1"/>
    <cacheHierarchy uniqueName="[Rapporteringsår].[#Antal Uger I Perioden]" caption="#Antal Uger I Perioden" attribute="1" defaultMemberUniqueName="[Rapporteringsår].[#Antal Uger I Perioden].[All]" allUniqueName="[Rapporteringsår].[#Antal Uger I Perioden].[All]" dimensionUniqueName="[Rapporteringsår]" displayFolder="" count="2" unbalanced="0" hidden="1"/>
    <cacheHierarchy uniqueName="[Rapporteringsår].[RapporteringsAar]" caption="RapporteringsAar" attribute="1" defaultMemberUniqueName="[Rapporteringsår].[RapporteringsAar].[All]" allUniqueName="[Rapporteringsår].[RapporteringsAar].[All]" dimensionUniqueName="[Rapporteringsår]" displayFolder="" count="2" unbalanced="0" hidden="1"/>
    <cacheHierarchy uniqueName="[Sagsbehandling].[#Sager]" caption="#Sager" attribute="1" defaultMemberUniqueName="[Sagsbehandling].[#Sager].[All]" allUniqueName="[Sagsbehandling].[#Sager].[All]" dimensionUniqueName="[Sagsbehandling]" displayFolder="" count="2" unbalanced="0" hidden="1"/>
    <cacheHierarchy uniqueName="[Sagsbehandling].[#Sagsbehandlingstid]" caption="#Sagsbehandlingstid" attribute="1" defaultMemberUniqueName="[Sagsbehandling].[#Sagsbehandlingstid].[All]" allUniqueName="[Sagsbehandling].[#Sagsbehandlingstid].[All]" dimensionUniqueName="[Sagsbehandling]" displayFolder="" count="2" unbalanced="0" hidden="1"/>
    <cacheHierarchy uniqueName="[Sagsbehandling].[#Svartid]" caption="#Svartid" attribute="1" defaultMemberUniqueName="[Sagsbehandling].[#Svartid].[All]" allUniqueName="[Sagsbehandling].[#Svartid].[All]" dimensionUniqueName="[Sagsbehandling]" displayFolder="" count="2" unbalanced="0" hidden="1"/>
    <cacheHierarchy uniqueName="[Sagsbehandling].[Aktivitetstype_Key]" caption="Aktivitetstype_Key" attribute="1" defaultMemberUniqueName="[Sagsbehandling].[Aktivitetstype_Key].[All]" allUniqueName="[Sagsbehandling].[Aktivitetstype_Key].[All]" dimensionUniqueName="[Sagsbehandling]" displayFolder="" count="2" unbalanced="0" hidden="1"/>
    <cacheHierarchy uniqueName="[Sagsbehandling].[Alder_Key]" caption="Alder_Key" attribute="1" defaultMemberUniqueName="[Sagsbehandling].[Alder_Key].[All]" allUniqueName="[Sagsbehandling].[Alder_Key].[All]" dimensionUniqueName="[Sagsbehandling]" displayFolder="" count="2" unbalanced="0" hidden="1"/>
    <cacheHierarchy uniqueName="[Sagsbehandling].[AndenAKasse_Key]" caption="AndenAKasse_Key" attribute="1" defaultMemberUniqueName="[Sagsbehandling].[AndenAKasse_Key].[All]" allUniqueName="[Sagsbehandling].[AndenAKasse_Key].[All]" dimensionUniqueName="[Sagsbehandling]" displayFolder="" count="2" unbalanced="0" hidden="1"/>
    <cacheHierarchy uniqueName="[Sagsbehandling].[Ansvarligt_Team_Key]" caption="Ansvarligt_Team_Key" attribute="1" defaultMemberUniqueName="[Sagsbehandling].[Ansvarligt_Team_Key].[All]" allUniqueName="[Sagsbehandling].[Ansvarligt_Team_Key].[All]" dimensionUniqueName="[Sagsbehandling]" displayFolder="" count="2" unbalanced="0" hidden="1"/>
    <cacheHierarchy uniqueName="[Sagsbehandling].[Arbejdsgangstype_Key]" caption="Arbejdsgangstype_Key" attribute="1" defaultMemberUniqueName="[Sagsbehandling].[Arbejdsgangstype_Key].[All]" allUniqueName="[Sagsbehandling].[Arbejdsgangstype_Key].[All]" dimensionUniqueName="[Sagsbehandling]" displayFolder="" count="2" unbalanced="0" hidden="1"/>
    <cacheHierarchy uniqueName="[Sagsbehandling].[Automatiseringstype_Key]" caption="Automatiseringstype_Key" attribute="1" defaultMemberUniqueName="[Sagsbehandling].[Automatiseringstype_Key].[All]" allUniqueName="[Sagsbehandling].[Automatiseringstype_Key].[All]" dimensionUniqueName="[Sagsbehandling]" displayFolder="" count="2" unbalanced="0" hidden="1"/>
    <cacheHierarchy uniqueName="[Sagsbehandling].[Betalingsstatus_Key]" caption="Betalingsstatus_Key" attribute="1" defaultMemberUniqueName="[Sagsbehandling].[Betalingsstatus_Key].[All]" allUniqueName="[Sagsbehandling].[Betalingsstatus_Key].[All]" dimensionUniqueName="[Sagsbehandling]" displayFolder="" count="2" unbalanced="0" hidden="1"/>
    <cacheHierarchy uniqueName="[Sagsbehandling].[FagligtTilhoersforhold_Key]" caption="FagligtTilhoersforhold_Key" attribute="1" defaultMemberUniqueName="[Sagsbehandling].[FagligtTilhoersforhold_Key].[All]" allUniqueName="[Sagsbehandling].[FagligtTilhoersforhold_Key].[All]" dimensionUniqueName="[Sagsbehandling]" displayFolder="" count="2" unbalanced="0" hidden="1"/>
    <cacheHierarchy uniqueName="[Sagsbehandling].[IndbetalerTilEfterloen_Key]" caption="IndbetalerTilEfterloen_Key" attribute="1" defaultMemberUniqueName="[Sagsbehandling].[IndbetalerTilEfterloen_Key].[All]" allUniqueName="[Sagsbehandling].[IndbetalerTilEfterloen_Key].[All]" dimensionUniqueName="[Sagsbehandling]" displayFolder="" count="2" unbalanced="0" hidden="1"/>
    <cacheHierarchy uniqueName="[Sagsbehandling].[KandidatAlder_Key]" caption="KandidatAlder_Key" attribute="1" defaultMemberUniqueName="[Sagsbehandling].[KandidatAlder_Key].[All]" allUniqueName="[Sagsbehandling].[KandidatAlder_Key].[All]" dimensionUniqueName="[Sagsbehandling]" displayFolder="" count="2" unbalanced="0" hidden="1"/>
    <cacheHierarchy uniqueName="[Sagsbehandling].[Kommune_Key]" caption="Kommune_Key" attribute="1" defaultMemberUniqueName="[Sagsbehandling].[Kommune_Key].[All]" allUniqueName="[Sagsbehandling].[Kommune_Key].[All]" dimensionUniqueName="[Sagsbehandling]" displayFolder="" count="2" unbalanced="0" hidden="1"/>
    <cacheHierarchy uniqueName="[Sagsbehandling].[Land_Key]" caption="Land_Key" attribute="1" defaultMemberUniqueName="[Sagsbehandling].[Land_Key].[All]" allUniqueName="[Sagsbehandling].[Land_Key].[All]" dimensionUniqueName="[Sagsbehandling]" displayFolder="" count="2" unbalanced="0" hidden="1"/>
    <cacheHierarchy uniqueName="[Sagsbehandling].[Medarbejder_Key]" caption="Medarbejder_Key" attribute="1" defaultMemberUniqueName="[Sagsbehandling].[Medarbejder_Key].[All]" allUniqueName="[Sagsbehandling].[Medarbejder_Key].[All]" dimensionUniqueName="[Sagsbehandling]" displayFolder="" count="2" unbalanced="0" hidden="1"/>
    <cacheHierarchy uniqueName="[Sagsbehandling].[Medlem_Key]" caption="Medlem_Key" attribute="1" defaultMemberUniqueName="[Sagsbehandling].[Medlem_Key].[All]" allUniqueName="[Sagsbehandling].[Medlem_Key].[All]" dimensionUniqueName="[Sagsbehandling]" displayFolder="" count="2" unbalanced="0" hidden="1"/>
    <cacheHierarchy uniqueName="[Sagsbehandling].[Medlemsstatus_Key]" caption="Medlemsstatus_Key" attribute="1" defaultMemberUniqueName="[Sagsbehandling].[Medlemsstatus_Key].[All]" allUniqueName="[Sagsbehandling].[Medlemsstatus_Key].[All]" dimensionUniqueName="[Sagsbehandling]" displayFolder="" count="2" unbalanced="0" hidden="1"/>
    <cacheHierarchy uniqueName="[Sagsbehandling].[Postnummer_Key]" caption="Postnummer_Key" attribute="1" defaultMemberUniqueName="[Sagsbehandling].[Postnummer_Key].[All]" allUniqueName="[Sagsbehandling].[Postnummer_Key].[All]" dimensionUniqueName="[Sagsbehandling]" displayFolder="" count="2" unbalanced="0" hidden="1"/>
    <cacheHierarchy uniqueName="[Sagsbehandling].[RapporteringsMaanedAr]" caption="RapporteringsMaanedAr" attribute="1" defaultMemberUniqueName="[Sagsbehandling].[RapporteringsMaanedAr].[All]" allUniqueName="[Sagsbehandling].[RapporteringsMaanedAr].[All]" dimensionUniqueName="[Sagsbehandling]" displayFolder="" count="2" unbalanced="0" hidden="1"/>
    <cacheHierarchy uniqueName="[Sagsbehandling].[Sagsstatus_Key]" caption="Sagsstatus_Key" attribute="1" defaultMemberUniqueName="[Sagsbehandling].[Sagsstatus_Key].[All]" allUniqueName="[Sagsbehandling].[Sagsstatus_Key].[All]" dimensionUniqueName="[Sagsbehandling]" displayFolder="" count="2" unbalanced="0" hidden="1"/>
    <cacheHierarchy uniqueName="[Sagsbehandling].[Sagstype_Key]" caption="Sagstype_Key" attribute="1" defaultMemberUniqueName="[Sagsbehandling].[Sagstype_Key].[All]" allUniqueName="[Sagsbehandling].[Sagstype_Key].[All]" dimensionUniqueName="[Sagsbehandling]" displayFolder="" count="2" unbalanced="0" hidden="1"/>
    <cacheHierarchy uniqueName="[Sagsbehandling].[Team_Key]" caption="Team_Key" attribute="1" defaultMemberUniqueName="[Sagsbehandling].[Team_Key].[All]" allUniqueName="[Sagsbehandling].[Team_Key].[All]" dimensionUniqueName="[Sagsbehandling]" displayFolder="" count="2" unbalanced="0" hidden="1"/>
    <cacheHierarchy uniqueName="[Sagsbehandling].[Uddannelse_Key]" caption="Uddannelse_Key" attribute="1" defaultMemberUniqueName="[Sagsbehandling].[Uddannelse_Key].[All]" allUniqueName="[Sagsbehandling].[Uddannelse_Key].[All]" dimensionUniqueName="[Sagsbehandling]" displayFolder="" count="2" unbalanced="0" hidden="1"/>
    <cacheHierarchy uniqueName="[Sagsbehandling].[Uddannelsessted_Key]" caption="Uddannelsessted_Key" attribute="1" defaultMemberUniqueName="[Sagsbehandling].[Uddannelsessted_Key].[All]" allUniqueName="[Sagsbehandling].[Uddannelsessted_Key].[All]" dimensionUniqueName="[Sagsbehandling]" displayFolder="" count="2" unbalanced="0" hidden="1"/>
    <cacheHierarchy uniqueName="[Sagsbehandling].[Aarsag_Key]" caption="Aarsag_Key" attribute="1" defaultMemberUniqueName="[Sagsbehandling].[Aarsag_Key].[All]" allUniqueName="[Sagsbehandling].[Aarsag_Key].[All]" dimensionUniqueName="[Sagsbehandling]" displayFolder="" count="2" unbalanced="0" hidden="1"/>
    <cacheHierarchy uniqueName="[Samtaler].[AftaleAfholdelsesstatus_Key]" caption="AftaleAfholdelsesstatus_Key" attribute="1" defaultMemberUniqueName="[Samtaler].[AftaleAfholdelsesstatus_Key].[All]" allUniqueName="[Samtaler].[AftaleAfholdelsesstatus_Key].[All]" dimensionUniqueName="[Samtaler]" displayFolder="" count="2" unbalanced="0" hidden="1"/>
    <cacheHierarchy uniqueName="[Samtaler].[AftaleID]" caption="AftaleID" attribute="1" defaultMemberUniqueName="[Samtaler].[AftaleID].[All]" allUniqueName="[Samtaler].[AftaleID].[All]" dimensionUniqueName="[Samtaler]" displayFolder="" count="2" unbalanced="0" hidden="1"/>
    <cacheHierarchy uniqueName="[Samtaler].[Aftalestatus_Key]" caption="Aftalestatus_Key" attribute="1" defaultMemberUniqueName="[Samtaler].[Aftalestatus_Key].[All]" allUniqueName="[Samtaler].[Aftalestatus_Key].[All]" dimensionUniqueName="[Samtaler]" displayFolder="" count="2" unbalanced="0" hidden="1"/>
    <cacheHierarchy uniqueName="[Samtaler].[Aftaletype_Key]" caption="Aftaletype_Key" attribute="1" defaultMemberUniqueName="[Samtaler].[Aftaletype_Key].[All]" allUniqueName="[Samtaler].[Aftaletype_Key].[All]" dimensionUniqueName="[Samtaler]" displayFolder="" count="2" unbalanced="0" hidden="1"/>
    <cacheHierarchy uniqueName="[Samtaler].[Alder_Key]" caption="Alder_Key" attribute="1" defaultMemberUniqueName="[Samtaler].[Alder_Key].[All]" allUniqueName="[Samtaler].[Alder_Key].[All]" dimensionUniqueName="[Samtaler]" displayFolder="" count="2" unbalanced="0" hidden="1"/>
    <cacheHierarchy uniqueName="[Samtaler].[AndenAkasse_Key]" caption="AndenAkasse_Key" attribute="1" defaultMemberUniqueName="[Samtaler].[AndenAkasse_Key].[All]" allUniqueName="[Samtaler].[AndenAkasse_Key].[All]" dimensionUniqueName="[Samtaler]" displayFolder="" count="2" unbalanced="0" hidden="1"/>
    <cacheHierarchy uniqueName="[Samtaler].[Ansvarligt_Team_Key]" caption="Ansvarligt_Team_Key" attribute="1" defaultMemberUniqueName="[Samtaler].[Ansvarligt_Team_Key].[All]" allUniqueName="[Samtaler].[Ansvarligt_Team_Key].[All]" dimensionUniqueName="[Samtaler]" displayFolder="" count="2" unbalanced="0" hidden="1"/>
    <cacheHierarchy uniqueName="[Samtaler].[Betalingsstatus_Key]" caption="Betalingsstatus_Key" attribute="1" defaultMemberUniqueName="[Samtaler].[Betalingsstatus_Key].[All]" allUniqueName="[Samtaler].[Betalingsstatus_Key].[All]" dimensionUniqueName="[Samtaler]" displayFolder="" count="2" unbalanced="0" hidden="1"/>
    <cacheHierarchy uniqueName="[Samtaler].[Dato]" caption="Dato" attribute="1" defaultMemberUniqueName="[Samtaler].[Dato].[All]" allUniqueName="[Samtaler].[Dato].[All]" dimensionUniqueName="[Samtaler]" displayFolder="" count="2" unbalanced="0" hidden="1"/>
    <cacheHierarchy uniqueName="[Samtaler].[DimittendDato]" caption="DimittendDato" attribute="1" defaultMemberUniqueName="[Samtaler].[DimittendDato].[All]" allUniqueName="[Samtaler].[DimittendDato].[All]" dimensionUniqueName="[Samtaler]" displayFolder="" count="2" unbalanced="0" hidden="1"/>
    <cacheHierarchy uniqueName="[Samtaler].[FagligtTilhoersforhold_Key]" caption="FagligtTilhoersforhold_Key" attribute="1" defaultMemberUniqueName="[Samtaler].[FagligtTilhoersforhold_Key].[All]" allUniqueName="[Samtaler].[FagligtTilhoersforhold_Key].[All]" dimensionUniqueName="[Samtaler]" displayFolder="" count="2" unbalanced="0" hidden="1"/>
    <cacheHierarchy uniqueName="[Samtaler].[Forloeb_Key]" caption="Forloeb_Key" attribute="1" defaultMemberUniqueName="[Samtaler].[Forloeb_Key].[All]" allUniqueName="[Samtaler].[Forloeb_Key].[All]" dimensionUniqueName="[Samtaler]" displayFolder="" count="2" unbalanced="0" hidden="1"/>
    <cacheHierarchy uniqueName="[Samtaler].[IndbetalerTilEfterloen_Key]" caption="IndbetalerTilEfterloen_Key" attribute="1" defaultMemberUniqueName="[Samtaler].[IndbetalerTilEfterloen_Key].[All]" allUniqueName="[Samtaler].[IndbetalerTilEfterloen_Key].[All]" dimensionUniqueName="[Samtaler]" displayFolder="" count="2" unbalanced="0" hidden="1"/>
    <cacheHierarchy uniqueName="[Samtaler].[KandidatAlder_Key]" caption="KandidatAlder_Key" attribute="1" defaultMemberUniqueName="[Samtaler].[KandidatAlder_Key].[All]" allUniqueName="[Samtaler].[KandidatAlder_Key].[All]" dimensionUniqueName="[Samtaler]" displayFolder="" count="2" unbalanced="0" hidden="1"/>
    <cacheHierarchy uniqueName="[Samtaler].[Kommune_Key]" caption="Kommune_Key" attribute="1" defaultMemberUniqueName="[Samtaler].[Kommune_Key].[All]" allUniqueName="[Samtaler].[Kommune_Key].[All]" dimensionUniqueName="[Samtaler]" displayFolder="" count="2" unbalanced="0" hidden="1"/>
    <cacheHierarchy uniqueName="[Samtaler].[Land_Key]" caption="Land_Key" attribute="1" defaultMemberUniqueName="[Samtaler].[Land_Key].[All]" allUniqueName="[Samtaler].[Land_Key].[All]" dimensionUniqueName="[Samtaler]" displayFolder="" count="2" unbalanced="0" hidden="1"/>
    <cacheHierarchy uniqueName="[Samtaler].[Medarbejder_Key]" caption="Medarbejder_Key" attribute="1" defaultMemberUniqueName="[Samtaler].[Medarbejder_Key].[All]" allUniqueName="[Samtaler].[Medarbejder_Key].[All]" dimensionUniqueName="[Samtaler]" displayFolder="" count="2" unbalanced="0" hidden="1"/>
    <cacheHierarchy uniqueName="[Samtaler].[Medlem_Key]" caption="Medlem_Key" attribute="1" defaultMemberUniqueName="[Samtaler].[Medlem_Key].[All]" allUniqueName="[Samtaler].[Medlem_Key].[All]" dimensionUniqueName="[Samtaler]" displayFolder="" count="2" unbalanced="0" hidden="1"/>
    <cacheHierarchy uniqueName="[Samtaler].[Medlemsstatus_Key]" caption="Medlemsstatus_Key" attribute="1" defaultMemberUniqueName="[Samtaler].[Medlemsstatus_Key].[All]" allUniqueName="[Samtaler].[Medlemsstatus_Key].[All]" dimensionUniqueName="[Samtaler]" displayFolder="" count="2" unbalanced="0" hidden="1"/>
    <cacheHierarchy uniqueName="[Samtaler].[Postnummer_Key]" caption="Postnummer_Key" attribute="1" defaultMemberUniqueName="[Samtaler].[Postnummer_Key].[All]" allUniqueName="[Samtaler].[Postnummer_Key].[All]" dimensionUniqueName="[Samtaler]" displayFolder="" count="2" unbalanced="0" hidden="1"/>
    <cacheHierarchy uniqueName="[Samtaler].[RapporteringsMaanedAar]" caption="RapporteringsMaanedAar" attribute="1" defaultMemberUniqueName="[Samtaler].[RapporteringsMaanedAar].[All]" allUniqueName="[Samtaler].[RapporteringsMaanedAar].[All]" dimensionUniqueName="[Samtaler]" displayFolder="" count="2" unbalanced="0" hidden="1"/>
    <cacheHierarchy uniqueName="[Samtaler].[Straks Booket]" caption="Straks Booket" attribute="1" defaultMemberUniqueName="[Samtaler].[Straks Booket].[All]" allUniqueName="[Samtaler].[Straks Booket].[All]" dimensionUniqueName="[Samtaler]" displayFolder="" count="2" unbalanced="0" hidden="1"/>
    <cacheHierarchy uniqueName="[Samtaler].[Team_Key]" caption="Team_Key" attribute="1" defaultMemberUniqueName="[Samtaler].[Team_Key].[All]" allUniqueName="[Samtaler].[Team_Key].[All]" dimensionUniqueName="[Samtaler]" displayFolder="" count="2" unbalanced="0" hidden="1"/>
    <cacheHierarchy uniqueName="[Samtaler].[Uddannelse_Key]" caption="Uddannelse_Key" attribute="1" defaultMemberUniqueName="[Samtaler].[Uddannelse_Key].[All]" allUniqueName="[Samtaler].[Uddannelse_Key].[All]" dimensionUniqueName="[Samtaler]" displayFolder="" count="2" unbalanced="0" hidden="1"/>
    <cacheHierarchy uniqueName="[Samtaler].[Uddannelsessted_Key]" caption="Uddannelsessted_Key" attribute="1" defaultMemberUniqueName="[Samtaler].[Uddannelsessted_Key].[All]" allUniqueName="[Samtaler].[Uddannelsessted_Key].[All]" dimensionUniqueName="[Samtaler]" displayFolder="" count="2" unbalanced="0" hidden="1"/>
    <cacheHierarchy uniqueName="[Samtaler].[Aarsag_Key]" caption="Aarsag_Key" attribute="1" defaultMemberUniqueName="[Samtaler].[Aarsag_Key].[All]" allUniqueName="[Samtaler].[Aarsag_Key].[All]" dimensionUniqueName="[Samtaler]" displayFolder="" count="2" unbalanced="0" hidden="1"/>
    <cacheHierarchy uniqueName="[Selvbetjeningsbeskeder].[#Behandlingstid]" caption="#Behandlingstid" attribute="1" defaultMemberUniqueName="[Selvbetjeningsbeskeder].[#Behandlingstid].[All]" allUniqueName="[Selvbetjeningsbeskeder].[#Behandlingstid].[All]" dimensionUniqueName="[Selvbetjeningsbeskeder]" displayFolder="" count="2" unbalanced="0" hidden="1"/>
    <cacheHierarchy uniqueName="[Selvbetjeningsbeskeder].[#Beskeder]" caption="#Beskeder" attribute="1" defaultMemberUniqueName="[Selvbetjeningsbeskeder].[#Beskeder].[All]" allUniqueName="[Selvbetjeningsbeskeder].[#Beskeder].[All]" dimensionUniqueName="[Selvbetjeningsbeskeder]" displayFolder="" count="2" unbalanced="0" hidden="1"/>
    <cacheHierarchy uniqueName="[Selvbetjeningsbeskeder].[#Svartid]" caption="#Svartid" attribute="1" defaultMemberUniqueName="[Selvbetjeningsbeskeder].[#Svartid].[All]" allUniqueName="[Selvbetjeningsbeskeder].[#Svartid].[All]" dimensionUniqueName="[Selvbetjeningsbeskeder]" displayFolder="" count="2" unbalanced="0" hidden="1"/>
    <cacheHierarchy uniqueName="[Selvbetjeningsbeskeder].[Aktivitetsstatus_Key]" caption="Aktivitetsstatus_Key" attribute="1" defaultMemberUniqueName="[Selvbetjeningsbeskeder].[Aktivitetsstatus_Key].[All]" allUniqueName="[Selvbetjeningsbeskeder].[Aktivitetsstatus_Key].[All]" dimensionUniqueName="[Selvbetjeningsbeskeder]" displayFolder="" count="2" unbalanced="0" hidden="1"/>
    <cacheHierarchy uniqueName="[Selvbetjeningsbeskeder].[Aktivitetstype_Key]" caption="Aktivitetstype_Key" attribute="1" defaultMemberUniqueName="[Selvbetjeningsbeskeder].[Aktivitetstype_Key].[All]" allUniqueName="[Selvbetjeningsbeskeder].[Aktivitetstype_Key].[All]" dimensionUniqueName="[Selvbetjeningsbeskeder]" displayFolder="" count="2" unbalanced="0" hidden="1"/>
    <cacheHierarchy uniqueName="[Selvbetjeningsbeskeder].[Alder_Key]" caption="Alder_Key" attribute="1" defaultMemberUniqueName="[Selvbetjeningsbeskeder].[Alder_Key].[All]" allUniqueName="[Selvbetjeningsbeskeder].[Alder_Key].[All]" dimensionUniqueName="[Selvbetjeningsbeskeder]" displayFolder="" count="2" unbalanced="0" hidden="1"/>
    <cacheHierarchy uniqueName="[Selvbetjeningsbeskeder].[AndenAKasse_Key]" caption="AndenAKasse_Key" attribute="1" defaultMemberUniqueName="[Selvbetjeningsbeskeder].[AndenAKasse_Key].[All]" allUniqueName="[Selvbetjeningsbeskeder].[AndenAKasse_Key].[All]" dimensionUniqueName="[Selvbetjeningsbeskeder]" displayFolder="" count="2" unbalanced="0" hidden="1"/>
    <cacheHierarchy uniqueName="[Selvbetjeningsbeskeder].[Ansvarligt_Team_Key]" caption="Ansvarligt_Team_Key" attribute="1" defaultMemberUniqueName="[Selvbetjeningsbeskeder].[Ansvarligt_Team_Key].[All]" allUniqueName="[Selvbetjeningsbeskeder].[Ansvarligt_Team_Key].[All]" dimensionUniqueName="[Selvbetjeningsbeskeder]" displayFolder="" count="2" unbalanced="0" hidden="1"/>
    <cacheHierarchy uniqueName="[Selvbetjeningsbeskeder].[Betalingsstatus_Key]" caption="Betalingsstatus_Key" attribute="1" defaultMemberUniqueName="[Selvbetjeningsbeskeder].[Betalingsstatus_Key].[All]" allUniqueName="[Selvbetjeningsbeskeder].[Betalingsstatus_Key].[All]" dimensionUniqueName="[Selvbetjeningsbeskeder]" displayFolder="" count="2" unbalanced="0" hidden="1"/>
    <cacheHierarchy uniqueName="[Selvbetjeningsbeskeder].[FagligtTilhoersforhold_Key]" caption="FagligtTilhoersforhold_Key" attribute="1" defaultMemberUniqueName="[Selvbetjeningsbeskeder].[FagligtTilhoersforhold_Key].[All]" allUniqueName="[Selvbetjeningsbeskeder].[FagligtTilhoersforhold_Key].[All]" dimensionUniqueName="[Selvbetjeningsbeskeder]" displayFolder="" count="2" unbalanced="0" hidden="1"/>
    <cacheHierarchy uniqueName="[Selvbetjeningsbeskeder].[IndbetalerTilEfterloen_Key]" caption="IndbetalerTilEfterloen_Key" attribute="1" defaultMemberUniqueName="[Selvbetjeningsbeskeder].[IndbetalerTilEfterloen_Key].[All]" allUniqueName="[Selvbetjeningsbeskeder].[IndbetalerTilEfterloen_Key].[All]" dimensionUniqueName="[Selvbetjeningsbeskeder]" displayFolder="" count="2" unbalanced="0" hidden="1"/>
    <cacheHierarchy uniqueName="[Selvbetjeningsbeskeder].[JobMatchKortErOverskredet]" caption="JobMatchKortErOverskredet" attribute="1" defaultMemberUniqueName="[Selvbetjeningsbeskeder].[JobMatchKortErOverskredet].[All]" allUniqueName="[Selvbetjeningsbeskeder].[JobMatchKortErOverskredet].[All]" dimensionUniqueName="[Selvbetjeningsbeskeder]" displayFolder="" count="2" unbalanced="0" hidden="1"/>
    <cacheHierarchy uniqueName="[Selvbetjeningsbeskeder].[JobMatchLangErOverskredet]" caption="JobMatchLangErOverskredet" attribute="1" defaultMemberUniqueName="[Selvbetjeningsbeskeder].[JobMatchLangErOverskredet].[All]" allUniqueName="[Selvbetjeningsbeskeder].[JobMatchLangErOverskredet].[All]" dimensionUniqueName="[Selvbetjeningsbeskeder]" displayFolder="" count="2" unbalanced="0" hidden="1"/>
    <cacheHierarchy uniqueName="[Selvbetjeningsbeskeder].[KandidatAlder_Key]" caption="KandidatAlder_Key" attribute="1" defaultMemberUniqueName="[Selvbetjeningsbeskeder].[KandidatAlder_Key].[All]" allUniqueName="[Selvbetjeningsbeskeder].[KandidatAlder_Key].[All]" dimensionUniqueName="[Selvbetjeningsbeskeder]" displayFolder="" count="2" unbalanced="0" hidden="1"/>
    <cacheHierarchy uniqueName="[Selvbetjeningsbeskeder].[Kommune_Key]" caption="Kommune_Key" attribute="1" defaultMemberUniqueName="[Selvbetjeningsbeskeder].[Kommune_Key].[All]" allUniqueName="[Selvbetjeningsbeskeder].[Kommune_Key].[All]" dimensionUniqueName="[Selvbetjeningsbeskeder]" displayFolder="" count="2" unbalanced="0" hidden="1"/>
    <cacheHierarchy uniqueName="[Selvbetjeningsbeskeder].[Land_Key]" caption="Land_Key" attribute="1" defaultMemberUniqueName="[Selvbetjeningsbeskeder].[Land_Key].[All]" allUniqueName="[Selvbetjeningsbeskeder].[Land_Key].[All]" dimensionUniqueName="[Selvbetjeningsbeskeder]" displayFolder="" count="2" unbalanced="0" hidden="1"/>
    <cacheHierarchy uniqueName="[Selvbetjeningsbeskeder].[Medarbejder_Key]" caption="Medarbejder_Key" attribute="1" defaultMemberUniqueName="[Selvbetjeningsbeskeder].[Medarbejder_Key].[All]" allUniqueName="[Selvbetjeningsbeskeder].[Medarbejder_Key].[All]" dimensionUniqueName="[Selvbetjeningsbeskeder]" displayFolder="" count="2" unbalanced="0" hidden="1"/>
    <cacheHierarchy uniqueName="[Selvbetjeningsbeskeder].[Medlem_Key]" caption="Medlem_Key" attribute="1" defaultMemberUniqueName="[Selvbetjeningsbeskeder].[Medlem_Key].[All]" allUniqueName="[Selvbetjeningsbeskeder].[Medlem_Key].[All]" dimensionUniqueName="[Selvbetjeningsbeskeder]" displayFolder="" count="2" unbalanced="0" hidden="1"/>
    <cacheHierarchy uniqueName="[Selvbetjeningsbeskeder].[Medlemsstatus_Key]" caption="Medlemsstatus_Key" attribute="1" defaultMemberUniqueName="[Selvbetjeningsbeskeder].[Medlemsstatus_Key].[All]" allUniqueName="[Selvbetjeningsbeskeder].[Medlemsstatus_Key].[All]" dimensionUniqueName="[Selvbetjeningsbeskeder]" displayFolder="" count="2" unbalanced="0" hidden="1"/>
    <cacheHierarchy uniqueName="[Selvbetjeningsbeskeder].[Postnummer_Key]" caption="Postnummer_Key" attribute="1" defaultMemberUniqueName="[Selvbetjeningsbeskeder].[Postnummer_Key].[All]" allUniqueName="[Selvbetjeningsbeskeder].[Postnummer_Key].[All]" dimensionUniqueName="[Selvbetjeningsbeskeder]" displayFolder="" count="2" unbalanced="0" hidden="1"/>
    <cacheHierarchy uniqueName="[Selvbetjeningsbeskeder].[RapporteringsMaanedAr]" caption="RapporteringsMaanedAr" attribute="1" defaultMemberUniqueName="[Selvbetjeningsbeskeder].[RapporteringsMaanedAr].[All]" allUniqueName="[Selvbetjeningsbeskeder].[RapporteringsMaanedAr].[All]" dimensionUniqueName="[Selvbetjeningsbeskeder]" displayFolder="" count="2" unbalanced="0" hidden="1"/>
    <cacheHierarchy uniqueName="[Selvbetjeningsbeskeder].[Selvbetjeningsbesked_BK]" caption="Selvbetjeningsbesked_BK" attribute="1" defaultMemberUniqueName="[Selvbetjeningsbeskeder].[Selvbetjeningsbesked_BK].[All]" allUniqueName="[Selvbetjeningsbeskeder].[Selvbetjeningsbesked_BK].[All]" dimensionUniqueName="[Selvbetjeningsbeskeder]" displayFolder="" count="2" unbalanced="0" hidden="1"/>
    <cacheHierarchy uniqueName="[Selvbetjeningsbeskeder].[Team_Key]" caption="Team_Key" attribute="1" defaultMemberUniqueName="[Selvbetjeningsbeskeder].[Team_Key].[All]" allUniqueName="[Selvbetjeningsbeskeder].[Team_Key].[All]" dimensionUniqueName="[Selvbetjeningsbeskeder]" displayFolder="" count="2" unbalanced="0" hidden="1"/>
    <cacheHierarchy uniqueName="[Selvbetjeningsbeskeder].[Uddannelse_Key]" caption="Uddannelse_Key" attribute="1" defaultMemberUniqueName="[Selvbetjeningsbeskeder].[Uddannelse_Key].[All]" allUniqueName="[Selvbetjeningsbeskeder].[Uddannelse_Key].[All]" dimensionUniqueName="[Selvbetjeningsbeskeder]" displayFolder="" count="2" unbalanced="0" hidden="1"/>
    <cacheHierarchy uniqueName="[Selvbetjeningsbeskeder].[Uddannelsessted_Key]" caption="Uddannelsessted_Key" attribute="1" defaultMemberUniqueName="[Selvbetjeningsbeskeder].[Uddannelsessted_Key].[All]" allUniqueName="[Selvbetjeningsbeskeder].[Uddannelsessted_Key].[All]" dimensionUniqueName="[Selvbetjeningsbeskeder]" displayFolder="" count="2" unbalanced="0" hidden="1"/>
    <cacheHierarchy uniqueName="[Selvbetjeningsbeskeder].[Aarsag_Key]" caption="Aarsag_Key" attribute="1" defaultMemberUniqueName="[Selvbetjeningsbeskeder].[Aarsag_Key].[All]" allUniqueName="[Selvbetjeningsbeskeder].[Aarsag_Key].[All]" dimensionUniqueName="[Selvbetjeningsbeskeder]" displayFolder="" count="2" unbalanced="0" hidden="1"/>
    <cacheHierarchy uniqueName="[Service].[Service_BK]" caption="Service_BK" attribute="1" defaultMemberUniqueName="[Service].[Service_BK].[All]" allUniqueName="[Service].[Service_BK].[All]" dimensionUniqueName="[Service]" displayFolder="" count="2" unbalanced="0" hidden="1"/>
    <cacheHierarchy uniqueName="[Service].[Service_Key]" caption="Service_Key" attribute="1" defaultMemberUniqueName="[Service].[Service_Key].[All]" allUniqueName="[Service].[Service_Key].[All]" dimensionUniqueName="[Service]" displayFolder="" count="2" unbalanced="0" hidden="1"/>
    <cacheHierarchy uniqueName="[Service Viderestillet].[Service_BK]" caption="Service_BK" attribute="1" defaultMemberUniqueName="[Service Viderestillet].[Service_BK].[All]" allUniqueName="[Service Viderestillet].[Service_BK].[All]" dimensionUniqueName="[Service Viderestillet]" displayFolder="" count="2" unbalanced="0" hidden="1"/>
    <cacheHierarchy uniqueName="[Service Viderestillet].[ViderestilletTilService_Key]" caption="ViderestilletTilService_Key" attribute="1" defaultMemberUniqueName="[Service Viderestillet].[ViderestilletTilService_Key].[All]" allUniqueName="[Service Viderestillet].[ViderestilletTilService_Key].[All]" dimensionUniqueName="[Service Viderestillet]" displayFolder="" count="2" unbalanced="0" hidden="1"/>
    <cacheHierarchy uniqueName="[Sommerdimittender].[#Sommerdimittend]" caption="#Sommerdimittend" attribute="1" defaultMemberUniqueName="[Sommerdimittender].[#Sommerdimittend].[All]" allUniqueName="[Sommerdimittender].[#Sommerdimittend].[All]" dimensionUniqueName="[Sommerdimittender]" displayFolder="" count="2" unbalanced="0" hidden="1"/>
    <cacheHierarchy uniqueName="[Sommerdimittender].[RapporteringsMaanedAar]" caption="RapporteringsMaanedAar" attribute="1" defaultMemberUniqueName="[Sommerdimittender].[RapporteringsMaanedAar].[All]" allUniqueName="[Sommerdimittender].[RapporteringsMaanedAar].[All]" dimensionUniqueName="[Sommerdimittender]" displayFolder="" count="2" unbalanced="0" hidden="1"/>
    <cacheHierarchy uniqueName="[Sommerdimittender Kvartal].[#Sommerdimittend]" caption="#Sommerdimittend" attribute="1" defaultMemberUniqueName="[Sommerdimittender Kvartal].[#Sommerdimittend].[All]" allUniqueName="[Sommerdimittender Kvartal].[#Sommerdimittend].[All]" dimensionUniqueName="[Sommerdimittender Kvartal]" displayFolder="" count="2" unbalanced="0" hidden="1"/>
    <cacheHierarchy uniqueName="[Sommerdimittender Kvartal].[RapporteringsKvartalAar]" caption="RapporteringsKvartalAar" attribute="1" defaultMemberUniqueName="[Sommerdimittender Kvartal].[RapporteringsKvartalAar].[All]" allUniqueName="[Sommerdimittender Kvartal].[RapporteringsKvartalAar].[All]" dimensionUniqueName="[Sommerdimittender Kvartal]" displayFolder="" count="2" unbalanced="0" hidden="1"/>
    <cacheHierarchy uniqueName="[Sommerdimittender År].[#Sommerdimittend]" caption="#Sommerdimittend" attribute="1" defaultMemberUniqueName="[Sommerdimittender År].[#Sommerdimittend].[All]" allUniqueName="[Sommerdimittender År].[#Sommerdimittend].[All]" dimensionUniqueName="[Sommerdimittender År]" displayFolder="" count="2" unbalanced="0" hidden="1"/>
    <cacheHierarchy uniqueName="[Sommerdimittender År].[RapporteringsAar]" caption="RapporteringsAar" attribute="1" defaultMemberUniqueName="[Sommerdimittender År].[RapporteringsAar].[All]" allUniqueName="[Sommerdimittender År].[RapporteringsAar].[All]" dimensionUniqueName="[Sommerdimittender År]" displayFolder="" count="2" unbalanced="0" hidden="1"/>
    <cacheHierarchy uniqueName="[Stoptrin].[#Behandlingstid]" caption="#Behandlingstid" attribute="1" defaultMemberUniqueName="[Stoptrin].[#Behandlingstid].[All]" allUniqueName="[Stoptrin].[#Behandlingstid].[All]" dimensionUniqueName="[Stoptrin]" displayFolder="" count="2" unbalanced="0" hidden="1"/>
    <cacheHierarchy uniqueName="[Stoptrin].[Aktivitetstype_Key]" caption="Aktivitetstype_Key" attribute="1" defaultMemberUniqueName="[Stoptrin].[Aktivitetstype_Key].[All]" allUniqueName="[Stoptrin].[Aktivitetstype_Key].[All]" dimensionUniqueName="[Stoptrin]" displayFolder="" count="2" unbalanced="0" hidden="1"/>
    <cacheHierarchy uniqueName="[Stoptrin].[Alder_Key]" caption="Alder_Key" attribute="1" defaultMemberUniqueName="[Stoptrin].[Alder_Key].[All]" allUniqueName="[Stoptrin].[Alder_Key].[All]" dimensionUniqueName="[Stoptrin]" displayFolder="" count="2" unbalanced="0" hidden="1"/>
    <cacheHierarchy uniqueName="[Stoptrin].[AndenAKasse_Key]" caption="AndenAKasse_Key" attribute="1" defaultMemberUniqueName="[Stoptrin].[AndenAKasse_Key].[All]" allUniqueName="[Stoptrin].[AndenAKasse_Key].[All]" dimensionUniqueName="[Stoptrin]" displayFolder="" count="2" unbalanced="0" hidden="1"/>
    <cacheHierarchy uniqueName="[Stoptrin].[Arbejdsgangstype_Key]" caption="Arbejdsgangstype_Key" attribute="1" defaultMemberUniqueName="[Stoptrin].[Arbejdsgangstype_Key].[All]" allUniqueName="[Stoptrin].[Arbejdsgangstype_Key].[All]" dimensionUniqueName="[Stoptrin]" displayFolder="" count="2" unbalanced="0" hidden="1"/>
    <cacheHierarchy uniqueName="[Stoptrin].[Arbejdsgangtrin_Key]" caption="Arbejdsgangtrin_Key" attribute="1" defaultMemberUniqueName="[Stoptrin].[Arbejdsgangtrin_Key].[All]" allUniqueName="[Stoptrin].[Arbejdsgangtrin_Key].[All]" dimensionUniqueName="[Stoptrin]" displayFolder="" count="2" unbalanced="0" hidden="1"/>
    <cacheHierarchy uniqueName="[Stoptrin].[Arbejdsgangtrinstatus_Key]" caption="Arbejdsgangtrinstatus_Key" attribute="1" defaultMemberUniqueName="[Stoptrin].[Arbejdsgangtrinstatus_Key].[All]" allUniqueName="[Stoptrin].[Arbejdsgangtrinstatus_Key].[All]" dimensionUniqueName="[Stoptrin]" displayFolder="" count="2" unbalanced="0" hidden="1"/>
    <cacheHierarchy uniqueName="[Stoptrin].[Automatiseringstype_Key]" caption="Automatiseringstype_Key" attribute="1" defaultMemberUniqueName="[Stoptrin].[Automatiseringstype_Key].[All]" allUniqueName="[Stoptrin].[Automatiseringstype_Key].[All]" dimensionUniqueName="[Stoptrin]" displayFolder="" count="2" unbalanced="0" hidden="1"/>
    <cacheHierarchy uniqueName="[Stoptrin].[Betalingsstatus_Key]" caption="Betalingsstatus_Key" attribute="1" defaultMemberUniqueName="[Stoptrin].[Betalingsstatus_Key].[All]" allUniqueName="[Stoptrin].[Betalingsstatus_Key].[All]" dimensionUniqueName="[Stoptrin]" displayFolder="" count="2" unbalanced="0" hidden="1"/>
    <cacheHierarchy uniqueName="[Stoptrin].[FagligtTilhoersforhold_Key]" caption="FagligtTilhoersforhold_Key" attribute="1" defaultMemberUniqueName="[Stoptrin].[FagligtTilhoersforhold_Key].[All]" allUniqueName="[Stoptrin].[FagligtTilhoersforhold_Key].[All]" dimensionUniqueName="[Stoptrin]" displayFolder="" count="2" unbalanced="0" hidden="1"/>
    <cacheHierarchy uniqueName="[Stoptrin].[IndbetalerTilEfterloen_Key]" caption="IndbetalerTilEfterloen_Key" attribute="1" defaultMemberUniqueName="[Stoptrin].[IndbetalerTilEfterloen_Key].[All]" allUniqueName="[Stoptrin].[IndbetalerTilEfterloen_Key].[All]" dimensionUniqueName="[Stoptrin]" displayFolder="" count="2" unbalanced="0" hidden="1"/>
    <cacheHierarchy uniqueName="[Stoptrin].[KandidatAlder_Key]" caption="KandidatAlder_Key" attribute="1" defaultMemberUniqueName="[Stoptrin].[KandidatAlder_Key].[All]" allUniqueName="[Stoptrin].[KandidatAlder_Key].[All]" dimensionUniqueName="[Stoptrin]" displayFolder="" count="2" unbalanced="0" hidden="1"/>
    <cacheHierarchy uniqueName="[Stoptrin].[Kommune_Key]" caption="Kommune_Key" attribute="1" defaultMemberUniqueName="[Stoptrin].[Kommune_Key].[All]" allUniqueName="[Stoptrin].[Kommune_Key].[All]" dimensionUniqueName="[Stoptrin]" displayFolder="" count="2" unbalanced="0" hidden="1"/>
    <cacheHierarchy uniqueName="[Stoptrin].[Land_Key]" caption="Land_Key" attribute="1" defaultMemberUniqueName="[Stoptrin].[Land_Key].[All]" allUniqueName="[Stoptrin].[Land_Key].[All]" dimensionUniqueName="[Stoptrin]" displayFolder="" count="2" unbalanced="0" hidden="1"/>
    <cacheHierarchy uniqueName="[Stoptrin].[Medarbejder_Key]" caption="Medarbejder_Key" attribute="1" defaultMemberUniqueName="[Stoptrin].[Medarbejder_Key].[All]" allUniqueName="[Stoptrin].[Medarbejder_Key].[All]" dimensionUniqueName="[Stoptrin]" displayFolder="" count="2" unbalanced="0" hidden="1"/>
    <cacheHierarchy uniqueName="[Stoptrin].[Medlem_Key]" caption="Medlem_Key" attribute="1" defaultMemberUniqueName="[Stoptrin].[Medlem_Key].[All]" allUniqueName="[Stoptrin].[Medlem_Key].[All]" dimensionUniqueName="[Stoptrin]" displayFolder="" count="2" unbalanced="0" hidden="1"/>
    <cacheHierarchy uniqueName="[Stoptrin].[Medlemsstatus_Key]" caption="Medlemsstatus_Key" attribute="1" defaultMemberUniqueName="[Stoptrin].[Medlemsstatus_Key].[All]" allUniqueName="[Stoptrin].[Medlemsstatus_Key].[All]" dimensionUniqueName="[Stoptrin]" displayFolder="" count="2" unbalanced="0" hidden="1"/>
    <cacheHierarchy uniqueName="[Stoptrin].[Postnummer_Key]" caption="Postnummer_Key" attribute="1" defaultMemberUniqueName="[Stoptrin].[Postnummer_Key].[All]" allUniqueName="[Stoptrin].[Postnummer_Key].[All]" dimensionUniqueName="[Stoptrin]" displayFolder="" count="2" unbalanced="0" hidden="1"/>
    <cacheHierarchy uniqueName="[Stoptrin].[RapporteringsMaanedAr]" caption="RapporteringsMaanedAr" attribute="1" defaultMemberUniqueName="[Stoptrin].[RapporteringsMaanedAr].[All]" allUniqueName="[Stoptrin].[RapporteringsMaanedAr].[All]" dimensionUniqueName="[Stoptrin]" displayFolder="" count="2" unbalanced="0" hidden="1"/>
    <cacheHierarchy uniqueName="[Stoptrin].[Sagsstatus_Key]" caption="Sagsstatus_Key" attribute="1" defaultMemberUniqueName="[Stoptrin].[Sagsstatus_Key].[All]" allUniqueName="[Stoptrin].[Sagsstatus_Key].[All]" dimensionUniqueName="[Stoptrin]" displayFolder="" count="2" unbalanced="0" hidden="1"/>
    <cacheHierarchy uniqueName="[Stoptrin].[Sagstype_Key]" caption="Sagstype_Key" attribute="1" defaultMemberUniqueName="[Stoptrin].[Sagstype_Key].[All]" allUniqueName="[Stoptrin].[Sagstype_Key].[All]" dimensionUniqueName="[Stoptrin]" displayFolder="" count="2" unbalanced="0" hidden="1"/>
    <cacheHierarchy uniqueName="[Stoptrin].[Team_Key]" caption="Team_Key" attribute="1" defaultMemberUniqueName="[Stoptrin].[Team_Key].[All]" allUniqueName="[Stoptrin].[Team_Key].[All]" dimensionUniqueName="[Stoptrin]" displayFolder="" count="2" unbalanced="0" hidden="1"/>
    <cacheHierarchy uniqueName="[Stoptrin].[Uddannelse_Key]" caption="Uddannelse_Key" attribute="1" defaultMemberUniqueName="[Stoptrin].[Uddannelse_Key].[All]" allUniqueName="[Stoptrin].[Uddannelse_Key].[All]" dimensionUniqueName="[Stoptrin]" displayFolder="" count="2" unbalanced="0" hidden="1"/>
    <cacheHierarchy uniqueName="[Stoptrin].[Uddannelsessted_Key]" caption="Uddannelsessted_Key" attribute="1" defaultMemberUniqueName="[Stoptrin].[Uddannelsessted_Key].[All]" allUniqueName="[Stoptrin].[Uddannelsessted_Key].[All]" dimensionUniqueName="[Stoptrin]" displayFolder="" count="2" unbalanced="0" hidden="1"/>
    <cacheHierarchy uniqueName="[Stoptrin].[Aarsag_Key]" caption="Aarsag_Key" attribute="1" defaultMemberUniqueName="[Stoptrin].[Aarsag_Key].[All]" allUniqueName="[Stoptrin].[Aarsag_Key].[All]" dimensionUniqueName="[Stoptrin]" displayFolder="" count="2" unbalanced="0" hidden="1"/>
    <cacheHierarchy uniqueName="[Team].[Medtages]" caption="Medtages" attribute="1" defaultMemberUniqueName="[Team].[Medtages].[All]" allUniqueName="[Team].[Medtages].[All]" dimensionUniqueName="[Team]" displayFolder="" count="2" unbalanced="0" hidden="1"/>
    <cacheHierarchy uniqueName="[Team].[Team_Key]" caption="Team_Key" attribute="1" defaultMemberUniqueName="[Team].[Team_Key].[All]" allUniqueName="[Team].[Team_Key].[All]" dimensionUniqueName="[Team]" displayFolder="" count="2" unbalanced="0" hidden="1"/>
    <cacheHierarchy uniqueName="[Team anmelder].[JobID]" caption="JobID" attribute="1" defaultMemberUniqueName="[Team anmelder].[JobID].[All]" allUniqueName="[Team anmelder].[JobID].[All]" dimensionUniqueName="[Team anmelder]" displayFolder="" count="2" unbalanced="0" hidden="1"/>
    <cacheHierarchy uniqueName="[Team anmelder].[JobID_Opdateret]" caption="JobID_Opdateret" attribute="1" defaultMemberUniqueName="[Team anmelder].[JobID_Opdateret].[All]" allUniqueName="[Team anmelder].[JobID_Opdateret].[All]" dimensionUniqueName="[Team anmelder]" displayFolder="" count="2" unbalanced="0" hidden="1"/>
    <cacheHierarchy uniqueName="[Team anmelder].[Medtages]" caption="Medtages" attribute="1" defaultMemberUniqueName="[Team anmelder].[Medtages].[All]" allUniqueName="[Team anmelder].[Medtages].[All]" dimensionUniqueName="[Team anmelder]" displayFolder="" count="2" unbalanced="0" hidden="1"/>
    <cacheHierarchy uniqueName="[Team anmelder].[Team_BK]" caption="Team_BK" attribute="1" defaultMemberUniqueName="[Team anmelder].[Team_BK].[All]" allUniqueName="[Team anmelder].[Team_BK].[All]" dimensionUniqueName="[Team anmelder]" displayFolder="" count="2" unbalanced="0" hidden="1"/>
    <cacheHierarchy uniqueName="[Team anmelder].[Team_Key]" caption="Team_Key" attribute="1" defaultMemberUniqueName="[Team anmelder].[Team_Key].[All]" allUniqueName="[Team anmelder].[Team_Key].[All]" dimensionUniqueName="[Team anmelder]" displayFolder="" count="2" unbalanced="0" hidden="1"/>
    <cacheHierarchy uniqueName="[Team Viderestillet].[Team_BK]" caption="Team_BK" attribute="1" defaultMemberUniqueName="[Team Viderestillet].[Team_BK].[All]" allUniqueName="[Team Viderestillet].[Team_BK].[All]" dimensionUniqueName="[Team Viderestillet]" displayFolder="" count="2" unbalanced="0" hidden="1"/>
    <cacheHierarchy uniqueName="[Team Viderestillet].[ViderestilletTilTeam_Key]" caption="ViderestilletTilTeam_Key" attribute="1" defaultMemberUniqueName="[Team Viderestillet].[ViderestilletTilTeam_Key].[All]" allUniqueName="[Team Viderestillet].[ViderestilletTilTeam_Key].[All]" dimensionUniqueName="[Team Viderestillet]" displayFolder="" count="2" unbalanced="0" hidden="1"/>
    <cacheHierarchy uniqueName="[Telefon Indlogning].[#Indlogningstid]" caption="#Indlogningstid" attribute="1" defaultMemberUniqueName="[Telefon Indlogning].[#Indlogningstid].[All]" allUniqueName="[Telefon Indlogning].[#Indlogningstid].[All]" dimensionUniqueName="[Telefon Indlogning]" displayFolder="" count="2" unbalanced="0" hidden="1"/>
    <cacheHierarchy uniqueName="[Telefon Indlogning].[Dato]" caption="Dato" attribute="1" defaultMemberUniqueName="[Telefon Indlogning].[Dato].[All]" allUniqueName="[Telefon Indlogning].[Dato].[All]" dimensionUniqueName="[Telefon Indlogning]" displayFolder="" count="2" unbalanced="0" hidden="1"/>
    <cacheHierarchy uniqueName="[Telefon Indlogning].[Medarbejder_Key]" caption="Medarbejder_Key" attribute="1" defaultMemberUniqueName="[Telefon Indlogning].[Medarbejder_Key].[All]" allUniqueName="[Telefon Indlogning].[Medarbejder_Key].[All]" dimensionUniqueName="[Telefon Indlogning]" displayFolder="" count="2" unbalanced="0" hidden="1"/>
    <cacheHierarchy uniqueName="[Telefon Indlogning].[RapporteringsMaanedAar]" caption="RapporteringsMaanedAar" attribute="1" defaultMemberUniqueName="[Telefon Indlogning].[RapporteringsMaanedAar].[All]" allUniqueName="[Telefon Indlogning].[RapporteringsMaanedAar].[All]" dimensionUniqueName="[Telefon Indlogning]" displayFolder="" count="2" unbalanced="0" hidden="1"/>
    <cacheHierarchy uniqueName="[Telefon Indlogning].[Team_Key]" caption="Team_Key" attribute="1" defaultMemberUniqueName="[Telefon Indlogning].[Team_Key].[All]" allUniqueName="[Telefon Indlogning].[Team_Key].[All]" dimensionUniqueName="[Telefon Indlogning]" displayFolder="" count="2" unbalanced="0" hidden="1"/>
    <cacheHierarchy uniqueName="[Telefon Indlogning].[TidPaaDagen_Key]" caption="TidPaaDagen_Key" attribute="1" defaultMemberUniqueName="[Telefon Indlogning].[TidPaaDagen_Key].[All]" allUniqueName="[Telefon Indlogning].[TidPaaDagen_Key].[All]" dimensionUniqueName="[Telefon Indlogning]" displayFolder="" count="2" unbalanced="0" hidden="1"/>
    <cacheHierarchy uniqueName="[Telefonopkald].[#AntalOpkald]" caption="#AntalOpkald" attribute="1" defaultMemberUniqueName="[Telefonopkald].[#AntalOpkald].[All]" allUniqueName="[Telefonopkald].[#AntalOpkald].[All]" dimensionUniqueName="[Telefonopkald]" displayFolder="" count="2" unbalanced="0" hidden="1"/>
    <cacheHierarchy uniqueName="[Telefonopkald].[#Samtaletid]" caption="#Samtaletid" attribute="1" defaultMemberUniqueName="[Telefonopkald].[#Samtaletid].[All]" allUniqueName="[Telefonopkald].[#Samtaletid].[All]" dimensionUniqueName="[Telefonopkald]" displayFolder="" count="2" unbalanced="0" hidden="1"/>
    <cacheHierarchy uniqueName="[Telefonopkald].[#Ventetid]" caption="#Ventetid" attribute="1" defaultMemberUniqueName="[Telefonopkald].[#Ventetid].[All]" allUniqueName="[Telefonopkald].[#Ventetid].[All]" dimensionUniqueName="[Telefonopkald]" displayFolder="" count="2" unbalanced="0" hidden="1"/>
    <cacheHierarchy uniqueName="[Telefonopkald].[Alder_Key]" caption="Alder_Key" attribute="1" defaultMemberUniqueName="[Telefonopkald].[Alder_Key].[All]" allUniqueName="[Telefonopkald].[Alder_Key].[All]" dimensionUniqueName="[Telefonopkald]" displayFolder="" count="2" unbalanced="0" hidden="1"/>
    <cacheHierarchy uniqueName="[Telefonopkald].[AndenAkasse_Key]" caption="AndenAkasse_Key" attribute="1" defaultMemberUniqueName="[Telefonopkald].[AndenAkasse_Key].[All]" allUniqueName="[Telefonopkald].[AndenAkasse_Key].[All]" dimensionUniqueName="[Telefonopkald]" displayFolder="" count="2" unbalanced="0" hidden="1"/>
    <cacheHierarchy uniqueName="[Telefonopkald].[Betalingsstatus_Key]" caption="Betalingsstatus_Key" attribute="1" defaultMemberUniqueName="[Telefonopkald].[Betalingsstatus_Key].[All]" allUniqueName="[Telefonopkald].[Betalingsstatus_Key].[All]" dimensionUniqueName="[Telefonopkald]" displayFolder="" count="2" unbalanced="0" hidden="1"/>
    <cacheHierarchy uniqueName="[Telefonopkald].[Dato]" caption="Dato" attribute="1" defaultMemberUniqueName="[Telefonopkald].[Dato].[All]" allUniqueName="[Telefonopkald].[Dato].[All]" dimensionUniqueName="[Telefonopkald]" displayFolder="" count="2" unbalanced="0" hidden="1"/>
    <cacheHierarchy uniqueName="[Telefonopkald].[DimittendDato]" caption="DimittendDato" attribute="1" defaultMemberUniqueName="[Telefonopkald].[DimittendDato].[All]" allUniqueName="[Telefonopkald].[DimittendDato].[All]" dimensionUniqueName="[Telefonopkald]" displayFolder="" count="2" unbalanced="0" hidden="1"/>
    <cacheHierarchy uniqueName="[Telefonopkald].[FagligtTilhoersforhold_Key]" caption="FagligtTilhoersforhold_Key" attribute="1" defaultMemberUniqueName="[Telefonopkald].[FagligtTilhoersforhold_Key].[All]" allUniqueName="[Telefonopkald].[FagligtTilhoersforhold_Key].[All]" dimensionUniqueName="[Telefonopkald]" displayFolder="" count="2" unbalanced="0" hidden="1"/>
    <cacheHierarchy uniqueName="[Telefonopkald].[IndbetalerTilEfterloen_Key]" caption="IndbetalerTilEfterloen_Key" attribute="1" defaultMemberUniqueName="[Telefonopkald].[IndbetalerTilEfterloen_Key].[All]" allUniqueName="[Telefonopkald].[IndbetalerTilEfterloen_Key].[All]" dimensionUniqueName="[Telefonopkald]" displayFolder="" count="2" unbalanced="0" hidden="1"/>
    <cacheHierarchy uniqueName="[Telefonopkald].[KandidatAlder_Key]" caption="KandidatAlder_Key" attribute="1" defaultMemberUniqueName="[Telefonopkald].[KandidatAlder_Key].[All]" allUniqueName="[Telefonopkald].[KandidatAlder_Key].[All]" dimensionUniqueName="[Telefonopkald]" displayFolder="" count="2" unbalanced="0" hidden="1"/>
    <cacheHierarchy uniqueName="[Telefonopkald].[Kommune_Key]" caption="Kommune_Key" attribute="1" defaultMemberUniqueName="[Telefonopkald].[Kommune_Key].[All]" allUniqueName="[Telefonopkald].[Kommune_Key].[All]" dimensionUniqueName="[Telefonopkald]" displayFolder="" count="2" unbalanced="0" hidden="1"/>
    <cacheHierarchy uniqueName="[Telefonopkald].[Land_Key]" caption="Land_Key" attribute="1" defaultMemberUniqueName="[Telefonopkald].[Land_Key].[All]" allUniqueName="[Telefonopkald].[Land_Key].[All]" dimensionUniqueName="[Telefonopkald]" displayFolder="" count="2" unbalanced="0" hidden="1"/>
    <cacheHierarchy uniqueName="[Telefonopkald].[Medarbejder_Key]" caption="Medarbejder_Key" attribute="1" defaultMemberUniqueName="[Telefonopkald].[Medarbejder_Key].[All]" allUniqueName="[Telefonopkald].[Medarbejder_Key].[All]" dimensionUniqueName="[Telefonopkald]" displayFolder="" count="2" unbalanced="0" hidden="1"/>
    <cacheHierarchy uniqueName="[Telefonopkald].[Medlem_Key]" caption="Medlem_Key" attribute="1" defaultMemberUniqueName="[Telefonopkald].[Medlem_Key].[All]" allUniqueName="[Telefonopkald].[Medlem_Key].[All]" dimensionUniqueName="[Telefonopkald]" displayFolder="" count="2" unbalanced="0" hidden="1"/>
    <cacheHierarchy uniqueName="[Telefonopkald].[Medlemsstatus_Key]" caption="Medlemsstatus_Key" attribute="1" defaultMemberUniqueName="[Telefonopkald].[Medlemsstatus_Key].[All]" allUniqueName="[Telefonopkald].[Medlemsstatus_Key].[All]" dimensionUniqueName="[Telefonopkald]" displayFolder="" count="2" unbalanced="0" hidden="1"/>
    <cacheHierarchy uniqueName="[Telefonopkald].[Opkaldsresultat_Key]" caption="Opkaldsresultat_Key" attribute="1" defaultMemberUniqueName="[Telefonopkald].[Opkaldsresultat_Key].[All]" allUniqueName="[Telefonopkald].[Opkaldsresultat_Key].[All]" dimensionUniqueName="[Telefonopkald]" displayFolder="" count="2" unbalanced="0" hidden="1"/>
    <cacheHierarchy uniqueName="[Telefonopkald].[Opkaldstype_Key]" caption="Opkaldstype_Key" attribute="1" defaultMemberUniqueName="[Telefonopkald].[Opkaldstype_Key].[All]" allUniqueName="[Telefonopkald].[Opkaldstype_Key].[All]" dimensionUniqueName="[Telefonopkald]" displayFolder="" count="2" unbalanced="0" hidden="1"/>
    <cacheHierarchy uniqueName="[Telefonopkald].[Postnummer_Key]" caption="Postnummer_Key" attribute="1" defaultMemberUniqueName="[Telefonopkald].[Postnummer_Key].[All]" allUniqueName="[Telefonopkald].[Postnummer_Key].[All]" dimensionUniqueName="[Telefonopkald]" displayFolder="" count="2" unbalanced="0" hidden="1"/>
    <cacheHierarchy uniqueName="[Telefonopkald].[RapporteringsMaanedAar]" caption="RapporteringsMaanedAar" attribute="1" defaultMemberUniqueName="[Telefonopkald].[RapporteringsMaanedAar].[All]" allUniqueName="[Telefonopkald].[RapporteringsMaanedAar].[All]" dimensionUniqueName="[Telefonopkald]" displayFolder="" count="2" unbalanced="0" hidden="1"/>
    <cacheHierarchy uniqueName="[Telefonopkald].[Service_Key]" caption="Service_Key" attribute="1" defaultMemberUniqueName="[Telefonopkald].[Service_Key].[All]" allUniqueName="[Telefonopkald].[Service_Key].[All]" dimensionUniqueName="[Telefonopkald]" displayFolder="" count="2" unbalanced="0" hidden="1"/>
    <cacheHierarchy uniqueName="[Telefonopkald].[Team_Key]" caption="Team_Key" attribute="1" defaultMemberUniqueName="[Telefonopkald].[Team_Key].[All]" allUniqueName="[Telefonopkald].[Team_Key].[All]" dimensionUniqueName="[Telefonopkald]" displayFolder="" count="2" unbalanced="0" hidden="1"/>
    <cacheHierarchy uniqueName="[Telefonopkald].[TidPaaDagen_Key]" caption="TidPaaDagen_Key" attribute="1" defaultMemberUniqueName="[Telefonopkald].[TidPaaDagen_Key].[All]" allUniqueName="[Telefonopkald].[TidPaaDagen_Key].[All]" dimensionUniqueName="[Telefonopkald]" displayFolder="" count="2" unbalanced="0" hidden="1"/>
    <cacheHierarchy uniqueName="[Telefonopkald].[Uddannelse_Key]" caption="Uddannelse_Key" attribute="1" defaultMemberUniqueName="[Telefonopkald].[Uddannelse_Key].[All]" allUniqueName="[Telefonopkald].[Uddannelse_Key].[All]" dimensionUniqueName="[Telefonopkald]" displayFolder="" count="2" unbalanced="0" hidden="1"/>
    <cacheHierarchy uniqueName="[Telefonopkald].[Uddannelsessted_Key]" caption="Uddannelsessted_Key" attribute="1" defaultMemberUniqueName="[Telefonopkald].[Uddannelsessted_Key].[All]" allUniqueName="[Telefonopkald].[Uddannelsessted_Key].[All]" dimensionUniqueName="[Telefonopkald]" displayFolder="" count="2" unbalanced="0" hidden="1"/>
    <cacheHierarchy uniqueName="[Telefonopkald].[VarighedSamtaletid_Key]" caption="VarighedSamtaletid_Key" attribute="1" defaultMemberUniqueName="[Telefonopkald].[VarighedSamtaletid_Key].[All]" allUniqueName="[Telefonopkald].[VarighedSamtaletid_Key].[All]" dimensionUniqueName="[Telefonopkald]" displayFolder="" count="2" unbalanced="0" hidden="1"/>
    <cacheHierarchy uniqueName="[Telefonopkald].[VarighedVentetid_Key]" caption="VarighedVentetid_Key" attribute="1" defaultMemberUniqueName="[Telefonopkald].[VarighedVentetid_Key].[All]" allUniqueName="[Telefonopkald].[VarighedVentetid_Key].[All]" dimensionUniqueName="[Telefonopkald]" displayFolder="" count="2" unbalanced="0" hidden="1"/>
    <cacheHierarchy uniqueName="[Telefonopkald].[Viderestillet_Key]" caption="Viderestillet_Key" attribute="1" defaultMemberUniqueName="[Telefonopkald].[Viderestillet_Key].[All]" allUniqueName="[Telefonopkald].[Viderestillet_Key].[All]" dimensionUniqueName="[Telefonopkald]" displayFolder="" count="2" unbalanced="0" hidden="1"/>
    <cacheHierarchy uniqueName="[Telefonopkald].[ViderestilletTilMedarbejder_Key]" caption="ViderestilletTilMedarbejder_Key" attribute="1" defaultMemberUniqueName="[Telefonopkald].[ViderestilletTilMedarbejder_Key].[All]" allUniqueName="[Telefonopkald].[ViderestilletTilMedarbejder_Key].[All]" dimensionUniqueName="[Telefonopkald]" displayFolder="" count="2" unbalanced="0" hidden="1"/>
    <cacheHierarchy uniqueName="[Telefonopkald].[ViderestilletTilService_Key]" caption="ViderestilletTilService_Key" attribute="1" defaultMemberUniqueName="[Telefonopkald].[ViderestilletTilService_Key].[All]" allUniqueName="[Telefonopkald].[ViderestilletTilService_Key].[All]" dimensionUniqueName="[Telefonopkald]" displayFolder="" count="2" unbalanced="0" hidden="1"/>
    <cacheHierarchy uniqueName="[Telefonopkald].[ViderestilletTilTeam_Key]" caption="ViderestilletTilTeam_Key" attribute="1" defaultMemberUniqueName="[Telefonopkald].[ViderestilletTilTeam_Key].[All]" allUniqueName="[Telefonopkald].[ViderestilletTilTeam_Key].[All]" dimensionUniqueName="[Telefonopkald]" displayFolder="" count="2" unbalanced="0" hidden="1"/>
    <cacheHierarchy uniqueName="[Telefonopkald].[Aarsag_Key]" caption="Aarsag_Key" attribute="1" defaultMemberUniqueName="[Telefonopkald].[Aarsag_Key].[All]" allUniqueName="[Telefonopkald].[Aarsag_Key].[All]" dimensionUniqueName="[Telefonopkald]" displayFolder="" count="2" unbalanced="0" hidden="1"/>
    <cacheHierarchy uniqueName="[Tid på dagen].[HalveTimeINT]" caption="HalveTimeINT" attribute="1" defaultMemberUniqueName="[Tid på dagen].[HalveTimeINT].[All]" allUniqueName="[Tid på dagen].[HalveTimeINT].[All]" dimensionUniqueName="[Tid på dagen]" displayFolder="" count="2" unbalanced="0" hidden="1"/>
    <cacheHierarchy uniqueName="[Tid på dagen].[HalveTimePaaDagenINT]" caption="HalveTimePaaDagenINT" attribute="1" defaultMemberUniqueName="[Tid på dagen].[HalveTimePaaDagenINT].[All]" allUniqueName="[Tid på dagen].[HalveTimePaaDagenINT].[All]" dimensionUniqueName="[Tid på dagen]" displayFolder="" count="2" unbalanced="0" hidden="1"/>
    <cacheHierarchy uniqueName="[Tid på dagen].[KvarterINT]" caption="KvarterINT" attribute="1" defaultMemberUniqueName="[Tid på dagen].[KvarterINT].[All]" allUniqueName="[Tid på dagen].[KvarterINT].[All]" dimensionUniqueName="[Tid på dagen]" displayFolder="" count="2" unbalanced="0" hidden="1"/>
    <cacheHierarchy uniqueName="[Tid på dagen].[KvarterPaaDagenINT]" caption="KvarterPaaDagenINT" attribute="1" defaultMemberUniqueName="[Tid på dagen].[KvarterPaaDagenINT].[All]" allUniqueName="[Tid på dagen].[KvarterPaaDagenINT].[All]" dimensionUniqueName="[Tid på dagen]" displayFolder="" count="2" unbalanced="0" hidden="1"/>
    <cacheHierarchy uniqueName="[Tid på dagen].[MinuttalINT]" caption="MinuttalINT" attribute="1" defaultMemberUniqueName="[Tid på dagen].[MinuttalINT].[All]" allUniqueName="[Tid på dagen].[MinuttalINT].[All]" dimensionUniqueName="[Tid på dagen]" displayFolder="" count="2" unbalanced="0" hidden="1"/>
    <cacheHierarchy uniqueName="[Tid på dagen].[TidPaaDagen_Key]" caption="TidPaaDagen_Key" attribute="1" defaultMemberUniqueName="[Tid på dagen].[TidPaaDagen_Key].[All]" allUniqueName="[Tid på dagen].[TidPaaDagen_Key].[All]" dimensionUniqueName="[Tid på dagen]" displayFolder="" count="2" unbalanced="0" hidden="1"/>
    <cacheHierarchy uniqueName="[Tid på dagen].[TimetalINT]" caption="TimetalINT" attribute="1" defaultMemberUniqueName="[Tid på dagen].[TimetalINT].[All]" allUniqueName="[Tid på dagen].[TimetalINT].[All]" dimensionUniqueName="[Tid på dagen]" displayFolder="" count="2" unbalanced="0" hidden="1"/>
    <cacheHierarchy uniqueName="[Uddannelse].[Uddannelse_BK]" caption="Uddannelse_BK" attribute="1" defaultMemberUniqueName="[Uddannelse].[Uddannelse_BK].[All]" allUniqueName="[Uddannelse].[Uddannelse_BK].[All]" dimensionUniqueName="[Uddannelse]" displayFolder="" count="2" unbalanced="0" hidden="1"/>
    <cacheHierarchy uniqueName="[Uddannelse].[Uddannelse_Key]" caption="Uddannelse_Key" attribute="1" defaultMemberUniqueName="[Uddannelse].[Uddannelse_Key].[All]" allUniqueName="[Uddannelse].[Uddannelse_Key].[All]" dimensionUniqueName="[Uddannelse]" displayFolder="" count="2" unbalanced="0" hidden="1"/>
    <cacheHierarchy uniqueName="[Uddannelsesretning].[Uddannelsesretning_BK]" caption="Uddannelsesretning_BK" attribute="1" defaultMemberUniqueName="[Uddannelsesretning].[Uddannelsesretning_BK].[All]" allUniqueName="[Uddannelsesretning].[Uddannelsesretning_BK].[All]" dimensionUniqueName="[Uddannelsesretning]" displayFolder="" count="2" unbalanced="0" hidden="1"/>
    <cacheHierarchy uniqueName="[Uddannelsesretning].[Uddannelsesretning_Key]" caption="Uddannelsesretning_Key" attribute="1" defaultMemberUniqueName="[Uddannelsesretning].[Uddannelsesretning_Key].[All]" allUniqueName="[Uddannelsesretning].[Uddannelsesretning_Key].[All]" dimensionUniqueName="[Uddannelsesretning]" displayFolder="" count="2" unbalanced="0" hidden="1"/>
    <cacheHierarchy uniqueName="[Uddannelsessted].[Uddannelsessted_BK]" caption="Uddannelsessted_BK" attribute="1" defaultMemberUniqueName="[Uddannelsessted].[Uddannelsessted_BK].[All]" allUniqueName="[Uddannelsessted].[Uddannelsessted_BK].[All]" dimensionUniqueName="[Uddannelsessted]" displayFolder="" count="2" unbalanced="0" hidden="1"/>
    <cacheHierarchy uniqueName="[Uddannelsessted].[Uddannelsessted_Key]" caption="Uddannelsessted_Key" attribute="1" defaultMemberUniqueName="[Uddannelsessted].[Uddannelsessted_Key].[All]" allUniqueName="[Uddannelsessted].[Uddannelsessted_Key].[All]" dimensionUniqueName="[Uddannelsessted]" displayFolder="" count="2" unbalanced="0" hidden="1"/>
    <cacheHierarchy uniqueName="[Varighed Samtaletid].[SortOrder]" caption="SortOrder" attribute="1" defaultMemberUniqueName="[Varighed Samtaletid].[SortOrder].[All]" allUniqueName="[Varighed Samtaletid].[SortOrder].[All]" dimensionUniqueName="[Varighed Samtaletid]" displayFolder="" count="2" unbalanced="0" hidden="1"/>
    <cacheHierarchy uniqueName="[Varighed Samtaletid].[SortOrderNiveau1]" caption="SortOrderNiveau1" attribute="1" defaultMemberUniqueName="[Varighed Samtaletid].[SortOrderNiveau1].[All]" allUniqueName="[Varighed Samtaletid].[SortOrderNiveau1].[All]" dimensionUniqueName="[Varighed Samtaletid]" displayFolder="" count="2" unbalanced="0" hidden="1"/>
    <cacheHierarchy uniqueName="[Varighed Samtaletid].[VarighedSamtaletid_BK]" caption="VarighedSamtaletid_BK" attribute="1" defaultMemberUniqueName="[Varighed Samtaletid].[VarighedSamtaletid_BK].[All]" allUniqueName="[Varighed Samtaletid].[VarighedSamtaletid_BK].[All]" dimensionUniqueName="[Varighed Samtaletid]" displayFolder="" count="2" unbalanced="0" hidden="1"/>
    <cacheHierarchy uniqueName="[Varighed Samtaletid].[VarighedSamtaletid_Key]" caption="VarighedSamtaletid_Key" attribute="1" defaultMemberUniqueName="[Varighed Samtaletid].[VarighedSamtaletid_Key].[All]" allUniqueName="[Varighed Samtaletid].[VarighedSamtaletid_Key].[All]" dimensionUniqueName="[Varighed Samtaletid]" displayFolder="" count="2" unbalanced="0" hidden="1"/>
    <cacheHierarchy uniqueName="[Varighed Ventetid].[SortOrder]" caption="SortOrder" attribute="1" defaultMemberUniqueName="[Varighed Ventetid].[SortOrder].[All]" allUniqueName="[Varighed Ventetid].[SortOrder].[All]" dimensionUniqueName="[Varighed Ventetid]" displayFolder="" count="2" unbalanced="0" hidden="1"/>
    <cacheHierarchy uniqueName="[Varighed Ventetid].[SortOrderNiveau1]" caption="SortOrderNiveau1" attribute="1" defaultMemberUniqueName="[Varighed Ventetid].[SortOrderNiveau1].[All]" allUniqueName="[Varighed Ventetid].[SortOrderNiveau1].[All]" dimensionUniqueName="[Varighed Ventetid]" displayFolder="" count="2" unbalanced="0" hidden="1"/>
    <cacheHierarchy uniqueName="[Varighed Ventetid].[VarighedVentetid_BK]" caption="VarighedVentetid_BK" attribute="1" defaultMemberUniqueName="[Varighed Ventetid].[VarighedVentetid_BK].[All]" allUniqueName="[Varighed Ventetid].[VarighedVentetid_BK].[All]" dimensionUniqueName="[Varighed Ventetid]" displayFolder="" count="2" unbalanced="0" hidden="1"/>
    <cacheHierarchy uniqueName="[Varighed Ventetid].[VarighedVentetid_Key]" caption="VarighedVentetid_Key" attribute="1" defaultMemberUniqueName="[Varighed Ventetid].[VarighedVentetid_Key].[All]" allUniqueName="[Varighed Ventetid].[VarighedVentetid_Key].[All]" dimensionUniqueName="[Varighed Ventetid]" displayFolder="" count="2" unbalanced="0" hidden="1"/>
    <cacheHierarchy uniqueName="[Venteliste].[AftaleAfholdelsesstatus_Key]" caption="AftaleAfholdelsesstatus_Key" attribute="1" defaultMemberUniqueName="[Venteliste].[AftaleAfholdelsesstatus_Key].[All]" allUniqueName="[Venteliste].[AftaleAfholdelsesstatus_Key].[All]" dimensionUniqueName="[Venteliste]" displayFolder="" count="2" unbalanced="0" hidden="1"/>
    <cacheHierarchy uniqueName="[Venteliste].[Aftalestatus_Key]" caption="Aftalestatus_Key" attribute="1" defaultMemberUniqueName="[Venteliste].[Aftalestatus_Key].[All]" allUniqueName="[Venteliste].[Aftalestatus_Key].[All]" dimensionUniqueName="[Venteliste]" displayFolder="" count="2" unbalanced="0" hidden="1"/>
    <cacheHierarchy uniqueName="[Venteliste].[Aftaletype_Key]" caption="Aftaletype_Key" attribute="1" defaultMemberUniqueName="[Venteliste].[Aftaletype_Key].[All]" allUniqueName="[Venteliste].[Aftaletype_Key].[All]" dimensionUniqueName="[Venteliste]" displayFolder="" count="2" unbalanced="0" hidden="1"/>
    <cacheHierarchy uniqueName="[Venteliste].[Alder_Key]" caption="Alder_Key" attribute="1" defaultMemberUniqueName="[Venteliste].[Alder_Key].[All]" allUniqueName="[Venteliste].[Alder_Key].[All]" dimensionUniqueName="[Venteliste]" displayFolder="" count="2" unbalanced="0" hidden="1"/>
    <cacheHierarchy uniqueName="[Venteliste].[AndenAkasse_Key]" caption="AndenAkasse_Key" attribute="1" defaultMemberUniqueName="[Venteliste].[AndenAkasse_Key].[All]" allUniqueName="[Venteliste].[AndenAkasse_Key].[All]" dimensionUniqueName="[Venteliste]" displayFolder="" count="2" unbalanced="0" hidden="1"/>
    <cacheHierarchy uniqueName="[Venteliste].[Arrangement_Key]" caption="Arrangement_Key" attribute="1" defaultMemberUniqueName="[Venteliste].[Arrangement_Key].[All]" allUniqueName="[Venteliste].[Arrangement_Key].[All]" dimensionUniqueName="[Venteliste]" displayFolder="" count="2" unbalanced="0" hidden="1"/>
    <cacheHierarchy uniqueName="[Venteliste].[Betalingsstatus_Key]" caption="Betalingsstatus_Key" attribute="1" defaultMemberUniqueName="[Venteliste].[Betalingsstatus_Key].[All]" allUniqueName="[Venteliste].[Betalingsstatus_Key].[All]" dimensionUniqueName="[Venteliste]" displayFolder="" count="2" unbalanced="0" hidden="1"/>
    <cacheHierarchy uniqueName="[Venteliste].[Dato]" caption="Dato" attribute="1" defaultMemberUniqueName="[Venteliste].[Dato].[All]" allUniqueName="[Venteliste].[Dato].[All]" dimensionUniqueName="[Venteliste]" displayFolder="" count="2" unbalanced="0" hidden="1"/>
    <cacheHierarchy uniqueName="[Venteliste].[DimittendDato]" caption="DimittendDato" attribute="1" defaultMemberUniqueName="[Venteliste].[DimittendDato].[All]" allUniqueName="[Venteliste].[DimittendDato].[All]" dimensionUniqueName="[Venteliste]" displayFolder="" count="2" unbalanced="0" hidden="1"/>
    <cacheHierarchy uniqueName="[Venteliste].[FagligtTilhoersforhold_Key]" caption="FagligtTilhoersforhold_Key" attribute="1" defaultMemberUniqueName="[Venteliste].[FagligtTilhoersforhold_Key].[All]" allUniqueName="[Venteliste].[FagligtTilhoersforhold_Key].[All]" dimensionUniqueName="[Venteliste]" displayFolder="" count="2" unbalanced="0" hidden="1"/>
    <cacheHierarchy uniqueName="[Venteliste].[IndbetalerTilEfterloen_Key]" caption="IndbetalerTilEfterloen_Key" attribute="1" defaultMemberUniqueName="[Venteliste].[IndbetalerTilEfterloen_Key].[All]" allUniqueName="[Venteliste].[IndbetalerTilEfterloen_Key].[All]" dimensionUniqueName="[Venteliste]" displayFolder="" count="2" unbalanced="0" hidden="1"/>
    <cacheHierarchy uniqueName="[Venteliste].[KandidatAlder_Key]" caption="KandidatAlder_Key" attribute="1" defaultMemberUniqueName="[Venteliste].[KandidatAlder_Key].[All]" allUniqueName="[Venteliste].[KandidatAlder_Key].[All]" dimensionUniqueName="[Venteliste]" displayFolder="" count="2" unbalanced="0" hidden="1"/>
    <cacheHierarchy uniqueName="[Venteliste].[Kommune_Key]" caption="Kommune_Key" attribute="1" defaultMemberUniqueName="[Venteliste].[Kommune_Key].[All]" allUniqueName="[Venteliste].[Kommune_Key].[All]" dimensionUniqueName="[Venteliste]" displayFolder="" count="2" unbalanced="0" hidden="1"/>
    <cacheHierarchy uniqueName="[Venteliste].[Land_Key]" caption="Land_Key" attribute="1" defaultMemberUniqueName="[Venteliste].[Land_Key].[All]" allUniqueName="[Venteliste].[Land_Key].[All]" dimensionUniqueName="[Venteliste]" displayFolder="" count="2" unbalanced="0" hidden="1"/>
    <cacheHierarchy uniqueName="[Venteliste].[Medarbejder_Key]" caption="Medarbejder_Key" attribute="1" defaultMemberUniqueName="[Venteliste].[Medarbejder_Key].[All]" allUniqueName="[Venteliste].[Medarbejder_Key].[All]" dimensionUniqueName="[Venteliste]" displayFolder="" count="2" unbalanced="0" hidden="1"/>
    <cacheHierarchy uniqueName="[Venteliste].[Medlem_Key]" caption="Medlem_Key" attribute="1" defaultMemberUniqueName="[Venteliste].[Medlem_Key].[All]" allUniqueName="[Venteliste].[Medlem_Key].[All]" dimensionUniqueName="[Venteliste]" displayFolder="" count="2" unbalanced="0" hidden="1"/>
    <cacheHierarchy uniqueName="[Venteliste].[Medlemsstatus_Key]" caption="Medlemsstatus_Key" attribute="1" defaultMemberUniqueName="[Venteliste].[Medlemsstatus_Key].[All]" allUniqueName="[Venteliste].[Medlemsstatus_Key].[All]" dimensionUniqueName="[Venteliste]" displayFolder="" count="2" unbalanced="0" hidden="1"/>
    <cacheHierarchy uniqueName="[Venteliste].[Postnummer_Key]" caption="Postnummer_Key" attribute="1" defaultMemberUniqueName="[Venteliste].[Postnummer_Key].[All]" allUniqueName="[Venteliste].[Postnummer_Key].[All]" dimensionUniqueName="[Venteliste]" displayFolder="" count="2" unbalanced="0" hidden="1"/>
    <cacheHierarchy uniqueName="[Venteliste].[RapporteringsMaanedAar]" caption="RapporteringsMaanedAar" attribute="1" defaultMemberUniqueName="[Venteliste].[RapporteringsMaanedAar].[All]" allUniqueName="[Venteliste].[RapporteringsMaanedAar].[All]" dimensionUniqueName="[Venteliste]" displayFolder="" count="2" unbalanced="0" hidden="1"/>
    <cacheHierarchy uniqueName="[Venteliste].[Team_Key]" caption="Team_Key" attribute="1" defaultMemberUniqueName="[Venteliste].[Team_Key].[All]" allUniqueName="[Venteliste].[Team_Key].[All]" dimensionUniqueName="[Venteliste]" displayFolder="" count="2" unbalanced="0" hidden="1"/>
    <cacheHierarchy uniqueName="[Venteliste].[Uddannelse_Key]" caption="Uddannelse_Key" attribute="1" defaultMemberUniqueName="[Venteliste].[Uddannelse_Key].[All]" allUniqueName="[Venteliste].[Uddannelse_Key].[All]" dimensionUniqueName="[Venteliste]" displayFolder="" count="2" unbalanced="0" hidden="1"/>
    <cacheHierarchy uniqueName="[Venteliste].[Uddannelsessted_Key]" caption="Uddannelsessted_Key" attribute="1" defaultMemberUniqueName="[Venteliste].[Uddannelsessted_Key].[All]" allUniqueName="[Venteliste].[Uddannelsessted_Key].[All]" dimensionUniqueName="[Venteliste]" displayFolder="" count="2" unbalanced="0" hidden="1"/>
    <cacheHierarchy uniqueName="[Venteliste].[VentelisteID]" caption="VentelisteID" attribute="1" defaultMemberUniqueName="[Venteliste].[VentelisteID].[All]" allUniqueName="[Venteliste].[VentelisteID].[All]" dimensionUniqueName="[Venteliste]" displayFolder="" count="2" unbalanced="0" hidden="1"/>
    <cacheHierarchy uniqueName="[Venteliste].[Ventelistestatus_Key]" caption="Ventelistestatus_Key" attribute="1" defaultMemberUniqueName="[Venteliste].[Ventelistestatus_Key].[All]" allUniqueName="[Venteliste].[Ventelistestatus_Key].[All]" dimensionUniqueName="[Venteliste]" displayFolder="" count="2" unbalanced="0" hidden="1"/>
    <cacheHierarchy uniqueName="[Venteliste].[Aarsag_Key]" caption="Aarsag_Key" attribute="1" defaultMemberUniqueName="[Venteliste].[Aarsag_Key].[All]" allUniqueName="[Venteliste].[Aarsag_Key].[All]" dimensionUniqueName="[Venteliste]" displayFolder="" count="2" unbalanced="0" hidden="1"/>
    <cacheHierarchy uniqueName="[Ventelistestatus].[Ventelistestatus]" caption="Ventelistestatus" attribute="1" defaultMemberUniqueName="[Ventelistestatus].[Ventelistestatus].[All]" allUniqueName="[Ventelistestatus].[Ventelistestatus].[All]" dimensionUniqueName="[Ventelistestatus]" displayFolder="" count="2" unbalanced="0" hidden="1"/>
    <cacheHierarchy uniqueName="[Ventelistestatus].[Ventelistestatus_BK]" caption="Ventelistestatus_BK" attribute="1" defaultMemberUniqueName="[Ventelistestatus].[Ventelistestatus_BK].[All]" allUniqueName="[Ventelistestatus].[Ventelistestatus_BK].[All]" dimensionUniqueName="[Ventelistestatus]" displayFolder="" count="2" unbalanced="0" hidden="1"/>
    <cacheHierarchy uniqueName="[Ventelistestatus].[Ventelistestatus_Key]" caption="Ventelistestatus_Key" attribute="1" defaultMemberUniqueName="[Ventelistestatus].[Ventelistestatus_Key].[All]" allUniqueName="[Ventelistestatus].[Ventelistestatus_Key].[All]" dimensionUniqueName="[Ventelistestatus]" displayFolder="" count="2" unbalanced="0" hidden="1"/>
    <cacheHierarchy uniqueName="[Viderestillet].[Viderestillet_BK]" caption="Viderestillet_BK" attribute="1" defaultMemberUniqueName="[Viderestillet].[Viderestillet_BK].[All]" allUniqueName="[Viderestillet].[Viderestillet_BK].[All]" dimensionUniqueName="[Viderestillet]" displayFolder="" count="2" unbalanced="0" hidden="1"/>
    <cacheHierarchy uniqueName="[Viderestillet].[Viderestillet_Key]" caption="Viderestillet_Key" attribute="1" defaultMemberUniqueName="[Viderestillet].[Viderestillet_Key].[All]" allUniqueName="[Viderestillet].[Viderestillet_Key].[All]" dimensionUniqueName="[Viderestillet]" displayFolder="" count="2" unbalanced="0" hidden="1"/>
    <cacheHierarchy uniqueName="[Virksomhed].[Virksomhed_BK]" caption="Virksomhed_BK" attribute="1" defaultMemberUniqueName="[Virksomhed].[Virksomhed_BK].[All]" allUniqueName="[Virksomhed].[Virksomhed_BK].[All]" dimensionUniqueName="[Virksomhed]" displayFolder="" count="2" unbalanced="0" hidden="1"/>
    <cacheHierarchy uniqueName="[Virksomhed].[Virksomhed_Key]" caption="Virksomhed_Key" attribute="1" defaultMemberUniqueName="[Virksomhed].[Virksomhed_Key].[All]" allUniqueName="[Virksomhed].[Virksomhed_Key].[All]" dimensionUniqueName="[Virksomhed]" displayFolder="" count="2" unbalanced="0" hidden="1"/>
    <cacheHierarchy uniqueName="[Ydelsestype].[LedighedsberørteJN]" caption="LedighedsberørteJN" attribute="1" defaultMemberUniqueName="[Ydelsestype].[LedighedsberørteJN].[All]" allUniqueName="[Ydelsestype].[LedighedsberørteJN].[All]" dimensionUniqueName="[Ydelsestype]" displayFolder="" count="2" unbalanced="0" hidden="1"/>
    <cacheHierarchy uniqueName="[Ydelsestype].[SortOrderAlternativYdelsestypeGruppe]" caption="SortOrderAlternativYdelsestypeGruppe" attribute="1" defaultMemberUniqueName="[Ydelsestype].[SortOrderAlternativYdelsestypeGruppe].[All]" allUniqueName="[Ydelsestype].[SortOrderAlternativYdelsestypeGruppe].[All]" dimensionUniqueName="[Ydelsestype]" displayFolder="" count="2" unbalanced="0" hidden="1"/>
    <cacheHierarchy uniqueName="[Ydelsestype].[Ydelsestype_Key]" caption="Ydelsestype_Key" attribute="1" defaultMemberUniqueName="[Ydelsestype].[Ydelsestype_Key].[All]" allUniqueName="[Ydelsestype].[Ydelsestype_Key].[All]" dimensionUniqueName="[Ydelsestype]" displayFolder="" count="2" unbalanced="0" hidden="1"/>
    <cacheHierarchy uniqueName="[Ændring efter fastfrysning].[ÆndringEfterFastfrysning_Key]" caption="ÆndringEfterFastfrysning_Key" attribute="1" defaultMemberUniqueName="[Ændring efter fastfrysning].[ÆndringEfterFastfrysning_Key].[All]" allUniqueName="[Ændring efter fastfrysning].[ÆndringEfterFastfrysning_Key].[All]" dimensionUniqueName="[Ændring efter fastfrysning]" displayFolder="" count="2" unbalanced="0" hidden="1"/>
    <cacheHierarchy uniqueName="[Årsag].[Aarsag_Key]" caption="Aarsag_Key" attribute="1" defaultMemberUniqueName="[Årsag].[Aarsag_Key].[All]" allUniqueName="[Årsag].[Aarsag_Key].[All]" dimensionUniqueName="[Årsag]" displayFolder="" count="2" unbalanced="0" hidden="1"/>
    <cacheHierarchy uniqueName="[Measures].[__No measures defined]" caption="__No measures defined" measure="1" displayFolder="" count="0"/>
    <cacheHierarchy uniqueName="[Measures].[Indmeldelser]" caption="Indmeldelser" measure="1" displayFolder="" measureGroup="Medlemstal" count="0"/>
    <cacheHierarchy uniqueName="[Measures].[Udmeldelser]" caption="Udmeldelser" measure="1" displayFolder="" measureGroup="Medlemstal" count="0"/>
    <cacheHierarchy uniqueName="[Measures].[Medlemstal tilknyttet datodimensionen]" caption="Medlemstal tilknyttet datodimensionen" measure="1" displayFolder="" measureGroup="Medlemstal" count="0"/>
    <cacheHierarchy uniqueName="[Measures].[Medlemstal Opdateret tilknyttet datodimensionen]" caption="Medlemstal Opdateret tilknyttet datodimensionen" measure="1" displayFolder="" measureGroup="Medlemstal Opdateret" count="0"/>
    <cacheHierarchy uniqueName="[Measures].[Nettotilgang]" caption="Nettotilgang" measure="1" displayFolder="" measureGroup="Medlemstal" count="0"/>
    <cacheHierarchy uniqueName="[Measures].[Statusskift Netto Opdateret]" caption="Statusskift Netto Opdateret" measure="1" displayFolder="" measureGroup="Medlemstal Opdateret" count="0"/>
    <cacheHierarchy uniqueName="[Measures].[Medlemstal Primo Opdateret tilknyttet datodimensionen]" caption="Medlemstal Primo Opdateret tilknyttet datodimensionen" measure="1" displayFolder="" measureGroup="Medlemstal Opdateret" count="0"/>
    <cacheHierarchy uniqueName="[Measures].[Medlemstal Primo tilknyttet datodimensionen]" caption="Medlemstal Primo tilknyttet datodimensionen" measure="1" displayFolder="" measureGroup="Medlemstal" count="0"/>
    <cacheHierarchy uniqueName="[Measures].[Medlemstal Opdateret Samme Periode Sidste År]" caption="Medlemstal Opdateret Samme Periode Sidste År" measure="1" displayFolder="" measureGroup="Medlemstal Opdateret" count="0"/>
    <cacheHierarchy uniqueName="[Measures].[Nettotilgang Opdateret]" caption="Nettotilgang Opdateret" measure="1" displayFolder="" measureGroup="Medlemstal Opdateret" count="0"/>
    <cacheHierarchy uniqueName="[Measures].[Statusskift Netto]" caption="Statusskift Netto" measure="1" displayFolder="" measureGroup="Medlemstal" count="0"/>
    <cacheHierarchy uniqueName="[Measures].[Medlemstal Samme Periode Sidste År]" caption="Medlemstal Samme Periode Sidste År" measure="1" displayFolder="" measureGroup="Medlemstal" count="0"/>
    <cacheHierarchy uniqueName="[Measures].[Erklæring Opdateret]" caption="Erklæring Opdateret" measure="1" displayFolder="" measureGroup="Erklæringer Opdateret" count="0"/>
    <cacheHierarchy uniqueName="[Measures].[Nettotilgang Budget]" caption="Nettotilgang Budget" measure="1" displayFolder="" measureGroup="Medlemstal Budget" count="0"/>
    <cacheHierarchy uniqueName="[Measures].[Indmeldelser Budget]" caption="Indmeldelser Budget" measure="1" displayFolder="" measureGroup="Medlemstal Budget" count="0"/>
    <cacheHierarchy uniqueName="[Measures].[Udmeldelser Budget]" caption="Udmeldelser Budget" measure="1" displayFolder="" measureGroup="Medlemstal Budget" count="0"/>
    <cacheHierarchy uniqueName="[Measures].[Ledighedsmulige Opdateret]" caption="Ledighedsmulige Opdateret" measure="1" displayFolder="" measureGroup="Medlemstal Opdateret" count="0"/>
    <cacheHierarchy uniqueName="[Measures].[Ledighedsmulige]" caption="Ledighedsmulige" measure="1" displayFolder="" measureGroup="Medlemstal" count="0"/>
    <cacheHierarchy uniqueName="[Measures].[Nettotilgang Opdateret År Til Dato]" caption="Nettotilgang Opdateret År Til Dato" measure="1" displayFolder="" measureGroup="Medlemstal Opdateret" count="0"/>
    <cacheHierarchy uniqueName="[Measures].[Nettotilgang År Til Dato]" caption="Nettotilgang År Til Dato" measure="1" displayFolder="" measureGroup="Medlemstal" count="0"/>
    <cacheHierarchy uniqueName="[Measures].[Timer Udbetalt Opdateret]" caption="Timer Udbetalt Opdateret" measure="1" displayFolder="" measureGroup="Ledighedstal Opdateret" count="0"/>
    <cacheHierarchy uniqueName="[Measures].[Beløb Udbetalt Opdateret]" caption="Beløb Udbetalt Opdateret" measure="1" displayFolder="" measureGroup="Ledighedstal Opdateret" count="0"/>
    <cacheHierarchy uniqueName="[Measures].[Klipforbrug Opdateret]" caption="Klipforbrug Opdateret" measure="1" displayFolder="" measureGroup="Ledighedstal Opdateret" count="0"/>
    <cacheHierarchy uniqueName="[Measures].[Ledighedsberørte Opdateret]" caption="Ledighedsberørte Opdateret" measure="1" displayFolder="" measureGroup="Ledighedstal Opdateret" count="0"/>
    <cacheHierarchy uniqueName="[Measures].[Ledighed Opdateret]" caption="Ledighed Opdateret" measure="1" displayFolder="" measureGroup="Ledighedstal Opdateret" count="0"/>
    <cacheHierarchy uniqueName="[Measures].[Fuldtidsledige Opdateret]" caption="Fuldtidsledige Opdateret" measure="1" displayFolder="" measureGroup="Ledighedstal Opdateret" count="0"/>
    <cacheHierarchy uniqueName="[Measures].[Fuldtidsledighed Opdateret]" caption="Fuldtidsledighed Opdateret" measure="1" displayFolder="" measureGroup="Ledighedstal Opdateret" count="0"/>
    <cacheHierarchy uniqueName="[Measures].[Langtidsledige Opdateret]" caption="Langtidsledige Opdateret" measure="1" displayFolder="" measureGroup="Ledighedstal Opdateret" count="0"/>
    <cacheHierarchy uniqueName="[Measures].[Andel Langtidsledige Opdateret]" caption="Andel Langtidsledige Opdateret" measure="1" displayFolder="" measureGroup="Ledighedstal Opdateret" count="0"/>
    <cacheHierarchy uniqueName="[Measures].[Nyledige Opdateret]" caption="Nyledige Opdateret" measure="1" displayFolder="" measureGroup="Ledighedstal Opdateret" count="0"/>
    <cacheHierarchy uniqueName="[Measures].[Dimittendledige Opdateret]" caption="Dimittendledige Opdateret" measure="1" displayFolder="" measureGroup="Ledighedstal Opdateret" count="0"/>
    <cacheHierarchy uniqueName="[Measures].[Udfaldstruede Opdateret]" caption="Udfaldstruede Opdateret" measure="1" displayFolder="" measureGroup="Ledighedstal Opdateret" count="0"/>
    <cacheHierarchy uniqueName="[Measures].[Udfaldne Opdateret]" caption="Udfaldne Opdateret" measure="1" displayFolder="" measureGroup="Ledighedstal Opdateret" count="0"/>
    <cacheHierarchy uniqueName="[Measures].[Dimittend Erklæring Opdateret]" caption="Dimittend Erklæring Opdateret" measure="1" displayFolder="" measureGroup="Erklæringer Opdateret" count="0"/>
    <cacheHierarchy uniqueName="[Measures].[Antal Medlemmer med udbetaling Opdateret]" caption="Antal Medlemmer med udbetaling Opdateret" measure="1" displayFolder="" measureGroup="Ledighedstal Opdateret" count="0"/>
    <cacheHierarchy uniqueName="[Measures].[Medlemstal Opdateret]" caption="Medlemstal Opdateret" measure="1" displayFolder="" measureGroup="Medlemstal Opdateret" count="0"/>
    <cacheHierarchy uniqueName="[Measures].[Medlemstal]" caption="Medlemstal" measure="1" displayFolder="" measureGroup="Medlemstal" count="0"/>
    <cacheHierarchy uniqueName="[Measures].[Indmeldelser Opdateret Samme Periode Sidste År]" caption="Indmeldelser Opdateret Samme Periode Sidste År" measure="1" displayFolder="" measureGroup="Medlemstal Opdateret" count="0"/>
    <cacheHierarchy uniqueName="[Measures].[Udmeldelser Opdateret Samme Periode Sidste År]" caption="Udmeldelser Opdateret Samme Periode Sidste År" measure="1" displayFolder="" measureGroup="Medlemstal Opdateret" count="0"/>
    <cacheHierarchy uniqueName="[Measures].[Indmeldelser Samme Periode Sidste År]" caption="Indmeldelser Samme Periode Sidste År" measure="1" displayFolder="" measureGroup="Medlemstal" count="0"/>
    <cacheHierarchy uniqueName="[Measures].[Udmeldelser Samme Periode Sidste År]" caption="Udmeldelser Samme Periode Sidste År" measure="1" displayFolder="" measureGroup="Medlemstal" count="0"/>
    <cacheHierarchy uniqueName="[Measures].[Nettotilgang Økonomibudget]" caption="Nettotilgang Økonomibudget" measure="1" displayFolder="" measureGroup="Medlemstal Økonomibudget" count="0"/>
    <cacheHierarchy uniqueName="[Measures].[Indmeldelser Økonomibudget]" caption="Indmeldelser Økonomibudget" measure="1" displayFolder="" measureGroup="Medlemstal Økonomibudget" count="0"/>
    <cacheHierarchy uniqueName="[Measures].[Udmeldelser Økonomibudget]" caption="Udmeldelser Økonomibudget" measure="1" displayFolder="" measureGroup="Medlemstal Økonomibudget" count="0"/>
    <cacheHierarchy uniqueName="[Measures].[Indmeldelser År Til Dato]" caption="Indmeldelser År Til Dato" measure="1" displayFolder="" measureGroup="Medlemstal" count="0"/>
    <cacheHierarchy uniqueName="[Measures].[Udmeldelser År Til Dato]" caption="Udmeldelser År Til Dato" measure="1" displayFolder="" measureGroup="Medlemstal" count="0"/>
    <cacheHierarchy uniqueName="[Measures].[Statusskift Netto År Til Dato]" caption="Statusskift Netto År Til Dato" measure="1" displayFolder="" measureGroup="Medlemstal" count="0"/>
    <cacheHierarchy uniqueName="[Measures].[Statusskift Netto Samme Periode Sidste År]" caption="Statusskift Netto Samme Periode Sidste År" measure="1" displayFolder="" measureGroup="Medlemstal" count="0"/>
    <cacheHierarchy uniqueName="[Measures].[Nettotilgang Samme Periode Sidste År]" caption="Nettotilgang Samme Periode Sidste År" measure="1" displayFolder="" measureGroup="Medlemstal" count="0"/>
    <cacheHierarchy uniqueName="[Measures].[Statusskift Netto Opdateret År Til Dato]" caption="Statusskift Netto Opdateret År Til Dato" measure="1" displayFolder="" measureGroup="Medlemstal Opdateret" count="0"/>
    <cacheHierarchy uniqueName="[Measures].[Udmeldelser Opdateret År Til Dato]" caption="Udmeldelser Opdateret År Til Dato" measure="1" displayFolder="" measureGroup="Medlemstal Opdateret" count="0"/>
    <cacheHierarchy uniqueName="[Measures].[Indmeldelser Opdateret År Til Dato]" caption="Indmeldelser Opdateret År Til Dato" measure="1" displayFolder="" measureGroup="Medlemstal Opdateret" count="0"/>
    <cacheHierarchy uniqueName="[Measures].[Statusskift Netto Opdateret Samme Periode Sidste År]" caption="Statusskift Netto Opdateret Samme Periode Sidste År" measure="1" displayFolder="" measureGroup="Medlemstal Opdateret" count="0"/>
    <cacheHierarchy uniqueName="[Measures].[Nettotilgang Opdateret Samme Periode Sidste År]" caption="Nettotilgang Opdateret Samme Periode Sidste År" measure="1" displayFolder="" measureGroup="Medlemstal Opdateret" count="0"/>
    <cacheHierarchy uniqueName="[Measures].[Indmeldelser Økonomibudget År Til Dato]" caption="Indmeldelser Økonomibudget År Til Dato" measure="1" displayFolder="" measureGroup="Medlemstal Økonomibudget" count="0"/>
    <cacheHierarchy uniqueName="[Measures].[Udmeldelser Økonomibudget År Til Dato]" caption="Udmeldelser Økonomibudget År Til Dato" measure="1" displayFolder="" measureGroup="Medlemstal Økonomibudget" count="0"/>
    <cacheHierarchy uniqueName="[Measures].[Nettotilgang Økonomibudget År Til Dato]" caption="Nettotilgang Økonomibudget År Til Dato" measure="1" displayFolder="" measureGroup="Medlemstal Økonomibudget" count="0"/>
    <cacheHierarchy uniqueName="[Measures].[Indmeldelser Økonomibudget Samme Periode Sidste År]" caption="Indmeldelser Økonomibudget Samme Periode Sidste År" measure="1" displayFolder="" measureGroup="Medlemstal Økonomibudget" count="0"/>
    <cacheHierarchy uniqueName="[Measures].[Udmeldelser Økonomibudget Samme Periode Sidste År]" caption="Udmeldelser Økonomibudget Samme Periode Sidste År" measure="1" displayFolder="" measureGroup="Medlemstal Økonomibudget" count="0"/>
    <cacheHierarchy uniqueName="[Measures].[Nettotilgang Økonomibudget Samme Periode Sidste År]" caption="Nettotilgang Økonomibudget Samme Periode Sidste År" measure="1" displayFolder="" measureGroup="Medlemstal Økonomibudget" count="0"/>
    <cacheHierarchy uniqueName="[Measures].[Indmeldelser Budget År Til Dato]" caption="Indmeldelser Budget År Til Dato" measure="1" displayFolder="" measureGroup="Medlemstal Budget" count="0"/>
    <cacheHierarchy uniqueName="[Measures].[Udmeldelser Budget År Til Dato]" caption="Udmeldelser Budget År Til Dato" measure="1" displayFolder="" measureGroup="Medlemstal Budget" count="0"/>
    <cacheHierarchy uniqueName="[Measures].[Nettotilgang Budget År Til Dato]" caption="Nettotilgang Budget År Til Dato" measure="1" displayFolder="" measureGroup="Medlemstal Budget" count="0"/>
    <cacheHierarchy uniqueName="[Measures].[Indmeldelser Budget Samme Periode Sidste År]" caption="Indmeldelser Budget Samme Periode Sidste År" measure="1" displayFolder="" measureGroup="Medlemstal Budget" count="0"/>
    <cacheHierarchy uniqueName="[Measures].[Udmeldelser Budget Samme Periode Sidste År]" caption="Udmeldelser Budget Samme Periode Sidste År" measure="1" displayFolder="" measureGroup="Medlemstal Budget" count="0"/>
    <cacheHierarchy uniqueName="[Measures].[Nettotilgang Budget Samme Periode Sidste År]" caption="Nettotilgang Budget Samme Periode Sidste År" measure="1" displayFolder="" measureGroup="Medlemstal Budget" count="0"/>
    <cacheHierarchy uniqueName="[Measures].[Timer Udbetalt]" caption="Timer Udbetalt" measure="1" displayFolder="" measureGroup="Ledighedstal" count="0"/>
    <cacheHierarchy uniqueName="[Measures].[Beløb Udbetalt]" caption="Beløb Udbetalt" measure="1" displayFolder="" measureGroup="Ledighedstal" count="0"/>
    <cacheHierarchy uniqueName="[Measures].[Klipforbrug]" caption="Klipforbrug" measure="1" displayFolder="" measureGroup="Ledighedstal" count="0"/>
    <cacheHierarchy uniqueName="[Measures].[Ledighedsberørte]" caption="Ledighedsberørte" measure="1" displayFolder="" measureGroup="Ledighedstal" count="0"/>
    <cacheHierarchy uniqueName="[Measures].[Ledighed]" caption="Ledighed" measure="1" displayFolder="" measureGroup="Ledighedstal" count="0"/>
    <cacheHierarchy uniqueName="[Measures].[Antal Medlemmer med udbetaling]" caption="Antal Medlemmer med udbetaling" measure="1" displayFolder="" measureGroup="Ledighedstal" count="0"/>
    <cacheHierarchy uniqueName="[Measures].[Fuldtidsledige]" caption="Fuldtidsledige" measure="1" displayFolder="" measureGroup="Ledighedstal" count="0"/>
    <cacheHierarchy uniqueName="[Measures].[Fuldtidsledighed]" caption="Fuldtidsledighed" measure="1" displayFolder="" measureGroup="Ledighedstal" count="0"/>
    <cacheHierarchy uniqueName="[Measures].[Langtidsledige]" caption="Langtidsledige" measure="1" displayFolder="" measureGroup="Ledighedstal" count="0"/>
    <cacheHierarchy uniqueName="[Measures].[Andel Langtidsledige]" caption="Andel Langtidsledige" measure="1" displayFolder="" measureGroup="Ledighedstal" count="0"/>
    <cacheHierarchy uniqueName="[Measures].[Nyledige]" caption="Nyledige" measure="1" displayFolder="" measureGroup="Ledighedstal" count="0"/>
    <cacheHierarchy uniqueName="[Measures].[Dimittendledige]" caption="Dimittendledige" measure="1" displayFolder="" measureGroup="Ledighedstal" count="0"/>
    <cacheHierarchy uniqueName="[Measures].[Udfaldstruede]" caption="Udfaldstruede" measure="1" displayFolder="" measureGroup="Ledighedstal" count="0"/>
    <cacheHierarchy uniqueName="[Measures].[Udfaldne]" caption="Udfaldne" measure="1" displayFolder="" measureGroup="Ledighedstal" count="0"/>
    <cacheHierarchy uniqueName="[Measures].[Medlemstal Primo Opdateret]" caption="Medlemstal Primo Opdateret" measure="1" displayFolder="" measureGroup="Medlemstal Opdateret" count="0"/>
    <cacheHierarchy uniqueName="[Measures].[Medlemstal Primo]" caption="Medlemstal Primo" measure="1" displayFolder="" measureGroup="Medlemstal" count="0"/>
    <cacheHierarchy uniqueName="[Measures].[Medlemstal Opdateret Samme Periode Sidste År tilknyttet datodimensionen]" caption="Medlemstal Opdateret Samme Periode Sidste År tilknyttet datodimensionen" measure="1" displayFolder="" measureGroup="Medlemstal Opdateret" count="0"/>
    <cacheHierarchy uniqueName="[Measures].[Medlemstal Samme Periode Sidste År tilknyttet datodimensionen]" caption="Medlemstal Samme Periode Sidste År tilknyttet datodimensionen" measure="1" displayFolder="" measureGroup="Medlemstal" count="0"/>
    <cacheHierarchy uniqueName="[Measures].[Ledighedsberørte Samme Periode Sidste År]" caption="Ledighedsberørte Samme Periode Sidste År" measure="1" displayFolder="" measureGroup="Ledighedstal" count="0"/>
    <cacheHierarchy uniqueName="[Measures].[Ledighed Samme Periode Sidste År]" caption="Ledighed Samme Periode Sidste År" measure="1" displayFolder="" measureGroup="Ledighedstal" count="0"/>
    <cacheHierarchy uniqueName="[Measures].[Fuldtidsledige Samme Periode Sidste År]" caption="Fuldtidsledige Samme Periode Sidste År" measure="1" displayFolder="" measureGroup="Ledighedstal" count="0"/>
    <cacheHierarchy uniqueName="[Measures].[Fuldtidsledighed Samme Periode Sidste År]" caption="Fuldtidsledighed Samme Periode Sidste År" measure="1" displayFolder="" measureGroup="Ledighedstal" count="0"/>
    <cacheHierarchy uniqueName="[Measures].[Langtidsledige Samme Periode Sidste År]" caption="Langtidsledige Samme Periode Sidste År" measure="1" displayFolder="" measureGroup="Ledighedstal" count="0"/>
    <cacheHierarchy uniqueName="[Measures].[Andel Langtidsledige Samme Periode Sidste År]" caption="Andel Langtidsledige Samme Periode Sidste År" measure="1" displayFolder="" measureGroup="Ledighedstal" count="0"/>
    <cacheHierarchy uniqueName="[Measures].[Nyledige Samme Periode Sidste År]" caption="Nyledige Samme Periode Sidste År" measure="1" displayFolder="" measureGroup="Ledighedstal" count="0"/>
    <cacheHierarchy uniqueName="[Measures].[Dimittendledige Samme Periode Sidste År]" caption="Dimittendledige Samme Periode Sidste År" measure="1" displayFolder="" measureGroup="Ledighedstal" count="0"/>
    <cacheHierarchy uniqueName="[Measures].[Udfaldstruede Samme Periode Sidste År]" caption="Udfaldstruede Samme Periode Sidste År" measure="1" displayFolder="" measureGroup="Ledighedstal" count="0"/>
    <cacheHierarchy uniqueName="[Measures].[Udfaldne Samme Periode Sidste År]" caption="Udfaldne Samme Periode Sidste År" measure="1" displayFolder="" measureGroup="Ledighedstal" count="0"/>
    <cacheHierarchy uniqueName="[Measures].[Ventetid]" caption="Ventetid" measure="1" displayFolder="" measureGroup="Telefonopkald" count="0"/>
    <cacheHierarchy uniqueName="[Measures].[Samtaletid]" caption="Samtaletid" measure="1" displayFolder="" measureGroup="Telefonopkald" count="0"/>
    <cacheHierarchy uniqueName="[Measures].[Antal Opkald]" caption="Antal Opkald" measure="1" displayFolder="" measureGroup="Telefonopkald" count="0"/>
    <cacheHierarchy uniqueName="[Measures].[Ventetid (timer)]" caption="Ventetid (timer)" measure="1" displayFolder="" measureGroup="Telefonopkald" count="0"/>
    <cacheHierarchy uniqueName="[Measures].[Samtaletid (timer)]" caption="Samtaletid (timer)" measure="1" displayFolder="" measureGroup="Telefonopkald" count="0"/>
    <cacheHierarchy uniqueName="[Measures].[Indlogningstid]" caption="Indlogningstid" measure="1" displayFolder="" measureGroup="Telefon Indlogning" count="0"/>
    <cacheHierarchy uniqueName="[Measures].[Antal Medarbejdere Indlogget]" caption="Antal Medarbejdere Indlogget" measure="1" displayFolder="" measureGroup="Telefon Indlogning" count="0"/>
    <cacheHierarchy uniqueName="[Measures].[Indlogningstid (timer)]" caption="Indlogningstid (timer)" measure="1" displayFolder="" measureGroup="Telefon Indlogning" count="0"/>
    <cacheHierarchy uniqueName="[Measures].[Antal Medarbejdere Pr Opkald]" caption="Antal Medarbejdere Pr Opkald" measure="1" displayFolder="" measureGroup="Telefon Indlogning" count="0"/>
    <cacheHierarchy uniqueName="[Measures].[Indlogningstimer Pr Samtaletimer]" caption="Indlogningstimer Pr Samtaletimer" measure="1" displayFolder="" measureGroup="Telefon Indlogning" count="0"/>
    <cacheHierarchy uniqueName="[Measures].[Aftaletid]" caption="Aftaletid" measure="1" displayFolder="" measureGroup="Aftaler" count="0"/>
    <cacheHierarchy uniqueName="[Measures].[Nomeret Tid]" caption="Nomeret Tid" measure="1" displayFolder="" measureGroup="Aftaler" count="0"/>
    <cacheHierarchy uniqueName="[Measures].[Antal Aftaler]" caption="Antal Aftaler" measure="1" displayFolder="" measureGroup="Aftaler" count="0"/>
    <cacheHierarchy uniqueName="[Measures].[Aftaletid (timer)]" caption="Aftaletid (timer)" measure="1" displayFolder="" measureGroup="Aftaler" count="0"/>
    <cacheHierarchy uniqueName="[Measures].[Nomeret Tid (timer)]" caption="Nomeret Tid (timer)" measure="1" displayFolder="" measureGroup="Aftaler" count="0"/>
    <cacheHierarchy uniqueName="[Measures].[Sagsbehandlingstid (i minutter)]" caption="Sagsbehandlingstid (i minutter)" measure="1" displayFolder="" measureGroup="Sagsbehandling" count="0"/>
    <cacheHierarchy uniqueName="[Measures].[Antal sager]" caption="Antal sager" measure="1" displayFolder="" measureGroup="Sagsbehandling" count="0"/>
    <cacheHierarchy uniqueName="[Measures].[Svartid (i minutter)]" caption="Svartid (i minutter)" measure="1" displayFolder="" measureGroup="Sagsbehandling" count="0"/>
    <cacheHierarchy uniqueName="[Measures].[Behandlingstid (trin)]" caption="Behandlingstid (trin)" measure="1" displayFolder="" measureGroup="Arbejdsgange" count="0"/>
    <cacheHierarchy uniqueName="[Measures].[Antal trin]" caption="Antal trin" measure="1" displayFolder="" measureGroup="Arbejdsgange" count="0"/>
    <cacheHierarchy uniqueName="[Measures].[Automatiseringsgrad]" caption="Automatiseringsgrad" measure="1" displayFolder="" measureGroup="Sagsbehandling" count="0"/>
    <cacheHierarchy uniqueName="[Measures].[Beskeder]" caption="Beskeder" measure="1" displayFolder="" measureGroup="Selvbetjeningsbeskeder" count="0"/>
    <cacheHierarchy uniqueName="[Measures].[Svartid (minutter)]" caption="Svartid (minutter)" measure="1" displayFolder="" measureGroup="Selvbetjeningsbeskeder" count="0"/>
    <cacheHierarchy uniqueName="[Measures].[Svartid (timer)]" caption="Svartid (timer)" measure="1" displayFolder="" measureGroup="Selvbetjeningsbeskeder" count="0"/>
    <cacheHierarchy uniqueName="[Measures].[Svartid (hele dage)]" caption="Svartid (hele dage)" measure="1" displayFolder="" measureGroup="Selvbetjeningsbeskeder" count="0"/>
    <cacheHierarchy uniqueName="[Measures].[Behandlingstid (minutter)]" caption="Behandlingstid (minutter)" measure="1" displayFolder="" measureGroup="Selvbetjeningsbeskeder" count="0"/>
    <cacheHierarchy uniqueName="[Measures].[Behandlingstid (timer)]" caption="Behandlingstid (timer)" measure="1" displayFolder="" measureGroup="Selvbetjeningsbeskeder" count="0"/>
    <cacheHierarchy uniqueName="[Measures].[Behandlingstid (hele dage)]" caption="Behandlingstid (hele dage)" measure="1" displayFolder="" measureGroup="Selvbetjeningsbeskeder" count="0"/>
    <cacheHierarchy uniqueName="[Measures].[Gns. Svartid (minutter)]" caption="Gns. Svartid (minutter)" measure="1" displayFolder="" measureGroup="Selvbetjeningsbeskeder" count="0"/>
    <cacheHierarchy uniqueName="[Measures].[Gns. Svartid (timer)]" caption="Gns. Svartid (timer)" measure="1" displayFolder="" measureGroup="Selvbetjeningsbeskeder" count="0"/>
    <cacheHierarchy uniqueName="[Measures].[Gns. Svartid (hele dage)]" caption="Gns. Svartid (hele dage)" measure="1" displayFolder="" measureGroup="Selvbetjeningsbeskeder" count="0"/>
    <cacheHierarchy uniqueName="[Measures].[Gns. behandlingstid (minutter)]" caption="Gns. behandlingstid (minutter)" measure="1" displayFolder="" measureGroup="Selvbetjeningsbeskeder" count="0"/>
    <cacheHierarchy uniqueName="[Measures].[Gns. behandlingstid (timer)]" caption="Gns. behandlingstid (timer)" measure="1" displayFolder="" measureGroup="Selvbetjeningsbeskeder" count="0"/>
    <cacheHierarchy uniqueName="[Measures].[Gns. behandlingstid (hele dage)]" caption="Gns. behandlingstid (hele dage)" measure="1" displayFolder="" measureGroup="Selvbetjeningsbeskeder" count="0"/>
    <cacheHierarchy uniqueName="[Measures].[Normtimer]" caption="Normtimer" measure="1" displayFolder="" measureGroup="Normtimer" count="0"/>
    <cacheHierarchy uniqueName="[Measures].[Antal Medarbejdere]" caption="Antal Medarbejdere" measure="1" displayFolder="" measureGroup="Normtimer" count="0"/>
    <cacheHierarchy uniqueName="[Measures].[Antal FTE]" caption="Antal FTE" measure="1" displayFolder="" measureGroup="Normtimer" count="0"/>
    <cacheHierarchy uniqueName="[Measures].[Sagsbehandlingstid (i timer)]" caption="Sagsbehandlingstid (i timer)" measure="1" displayFolder="" measureGroup="Sagsbehandling" count="0"/>
    <cacheHierarchy uniqueName="[Measures].[Sagsbehandlingstid (i hele dage)]" caption="Sagsbehandlingstid (i hele dage)" measure="1" displayFolder="" measureGroup="Sagsbehandling" count="0"/>
    <cacheHierarchy uniqueName="[Measures].[Svartid (i hele dage)]" caption="Svartid (i hele dage)" measure="1" displayFolder="" measureGroup="Sagsbehandling" count="0"/>
    <cacheHierarchy uniqueName="[Measures].[Svartid (i timer)]" caption="Svartid (i timer)" measure="1" displayFolder="" measureGroup="Sagsbehandling" count="0"/>
    <cacheHierarchy uniqueName="[Measures].[Gns. sagsbehandlingstid (i minutter)]" caption="Gns. sagsbehandlingstid (i minutter)" measure="1" displayFolder="" measureGroup="Sagsbehandling" count="0"/>
    <cacheHierarchy uniqueName="[Measures].[Gns. sagsbehandlingstid (i timer)]" caption="Gns. sagsbehandlingstid (i timer)" measure="1" displayFolder="" measureGroup="Sagsbehandling" count="0"/>
    <cacheHierarchy uniqueName="[Measures].[Gns. sagsbehandlingstid (i hele dage)]" caption="Gns. sagsbehandlingstid (i hele dage)" measure="1" displayFolder="" measureGroup="Sagsbehandling" count="0"/>
    <cacheHierarchy uniqueName="[Measures].[Gns. svartid (i minutter)]" caption="Gns. svartid (i minutter)" measure="1" displayFolder="" measureGroup="Sagsbehandling" count="0"/>
    <cacheHierarchy uniqueName="[Measures].[Gns. svartid (i timer)]" caption="Gns. svartid (i timer)" measure="1" displayFolder="" measureGroup="Sagsbehandling" count="0"/>
    <cacheHierarchy uniqueName="[Measures].[Gns. svartid (i hele dage)]" caption="Gns. svartid (i hele dage)" measure="1" displayFolder="" measureGroup="Sagsbehandling" count="0"/>
    <cacheHierarchy uniqueName="[Measures].[Fravær]" caption="Fravær" measure="1" displayFolder="" measureGroup="Fravær" count="0"/>
    <cacheHierarchy uniqueName="[Measures].[Sygdom]" caption="Sygdom" measure="1" displayFolder="" measureGroup="Fravær" count="0"/>
    <cacheHierarchy uniqueName="[Measures].[Antal Fraværsregistreringer]" caption="Antal Fraværsregistreringer" measure="1" displayFolder="" measureGroup="Fravær" count="0"/>
    <cacheHierarchy uniqueName="[Measures].[Antal Arbejdsdage I Perioden]" caption="Antal Arbejdsdage I Perioden" measure="1" displayFolder="" measureGroup="Normtimer" count="0"/>
    <cacheHierarchy uniqueName="[Measures].[Sygefravær]" caption="Sygefravær" measure="1" displayFolder="" measureGroup="Fravær" count="0"/>
    <cacheHierarchy uniqueName="[Measures].[Normtimer Fuldtidsnorm]" caption="Normtimer Fuldtidsnorm" measure="1" displayFolder="" measureGroup="Normtimer Fuldtid" count="0"/>
    <cacheHierarchy uniqueName="[Measures].[Ledighedsmulige Samme Periode Sidste År]" caption="Ledighedsmulige Samme Periode Sidste År" measure="1" displayFolder="" measureGroup="Medlemstal" count="0"/>
    <cacheHierarchy uniqueName="[Measures].[Ledighedsmulige Opdateret Samme Periode Sidste År]" caption="Ledighedsmulige Opdateret Samme Periode Sidste År" measure="1" displayFolder="" measureGroup="Medlemstal Opdateret" count="0"/>
    <cacheHierarchy uniqueName="[Measures].[Dimittendledighed]" caption="Dimittendledighed" measure="1" displayFolder="" measureGroup="Ledighedstal" count="0"/>
    <cacheHierarchy uniqueName="[Measures].[Dimittendledighed Opdateret]" caption="Dimittendledighed Opdateret" measure="1" displayFolder="" measureGroup="Ledighedstal Opdateret" count="0"/>
    <cacheHierarchy uniqueName="[Measures].[Dimittendledighed Samme Periode Sidste År]" caption="Dimittendledighed Samme Periode Sidste År" measure="1" displayFolder="" measureGroup="Ledighedstal" count="0"/>
    <cacheHierarchy uniqueName="[Measures].[Dimittendledighed Opdateret Samme Periode Sidste År]" caption="Dimittendledighed Opdateret Samme Periode Sidste År" measure="1" displayFolder="" measureGroup="Ledighedstal Opdateret" count="0"/>
    <cacheHierarchy uniqueName="[Measures].[Arbejdsgange]" caption="Arbejdsgange" measure="1" displayFolder="" measureGroup="Stoptrin" count="0"/>
    <cacheHierarchy uniqueName="[Measures].[Behandlingstid]" caption="Behandlingstid" measure="1" displayFolder="" measureGroup="Stoptrin" count="0"/>
    <cacheHierarchy uniqueName="[Measures].[Gns. Samtaletid (minutter)]" caption="Gns. Samtaletid (minutter)" measure="1" displayFolder="" measureGroup="Telefonopkald" count="0"/>
    <cacheHierarchy uniqueName="[Measures].[Gns. Ventetid (minutter)]" caption="Gns. Ventetid (minutter)" measure="1" displayFolder="" measureGroup="Telefonopkald" count="0"/>
    <cacheHierarchy uniqueName="[Measures].[Viderestillingspct.]" caption="Viderestillingspct." measure="1" displayFolder="" measureGroup="Telefonopkald" count="0"/>
    <cacheHierarchy uniqueName="[Measures].[Antal Sager Sidste Uge]" caption="Antal Sager Sidste Uge" measure="1" displayFolder="" measureGroup="Sagsbehandling" count="0"/>
    <cacheHierarchy uniqueName="[Measures].[Antal Sager Sidste Måned]" caption="Antal Sager Sidste Måned" measure="1" displayFolder="" measureGroup="Sagsbehandling" count="0"/>
    <cacheHierarchy uniqueName="[Measures].[Automatiseringsgrad sidste måned]" caption="Automatiseringsgrad sidste måned" measure="1" displayFolder="" measureGroup="Sagsbehandling" count="0"/>
    <cacheHierarchy uniqueName="[Measures].[Automatiseringsgrad sidste uge]" caption="Automatiseringsgrad sidste uge" measure="1" displayFolder="" measureGroup="Sagsbehandling" count="0"/>
    <cacheHierarchy uniqueName="[Measures].[Automatiseringstendens sidste uge]" caption="Automatiseringstendens sidste uge" measure="1" displayFolder="" measureGroup="Sagsbehandling" count="0"/>
    <cacheHierarchy uniqueName="[Measures].[Automatiseringstendens sidste måned]" caption="Automatiseringstendens sidste måned" measure="1" displayFolder="" measureGroup="Sagsbehandling" count="0"/>
    <cacheHierarchy uniqueName="[Measures].[Normtimer Fuldtidsnorm Samme periode sidste år]" caption="Normtimer Fuldtidsnorm Samme periode sidste år" measure="1" displayFolder="" measureGroup="Normtimer Fuldtid" count="0"/>
    <cacheHierarchy uniqueName="[Measures].[Antal FTE Samme periode sidste år]" caption="Antal FTE Samme periode sidste år" measure="1" displayFolder="" measureGroup="Normtimer" count="0"/>
    <cacheHierarchy uniqueName="[Measures].[Antal FTE Sidste måned]" caption="Antal FTE Sidste måned" measure="1" displayFolder="" measureGroup="Normtimer" count="0"/>
    <cacheHierarchy uniqueName="[Measures].[Fravær Samme periode sidste år]" caption="Fravær Samme periode sidste år" measure="1" displayFolder="" measureGroup="Fravær" count="0"/>
    <cacheHierarchy uniqueName="[Measures].[Fravær Sidste måned]" caption="Fravær Sidste måned" measure="1" displayFolder="" measureGroup="Fravær" count="0"/>
    <cacheHierarchy uniqueName="[Measures].[Sygefravær Samme periode sidste år]" caption="Sygefravær Samme periode sidste år" measure="1" displayFolder="" measureGroup="Fravær" count="0"/>
    <cacheHierarchy uniqueName="[Measures].[Sygefravær Sidste måned]" caption="Sygefravær Sidste måned" measure="1" displayFolder="" measureGroup="Fravær" count="0"/>
    <cacheHierarchy uniqueName="[Measures].[Antal afsluttede sager]" caption="Antal afsluttede sager" measure="1" displayFolder="" measureGroup="Sagsbehandling" count="0"/>
    <cacheHierarchy uniqueName="[Measures].[Antal åbne sager]" caption="Antal åbne sager" measure="1" displayFolder="" measureGroup="Sagsbehandling" count="0"/>
    <cacheHierarchy uniqueName="[Measures].[Fuldautomatiseringsgrad]" caption="Fuldautomatiseringsgrad" measure="1" displayFolder="" measureGroup="Sagsbehandling" count="0"/>
    <cacheHierarchy uniqueName="[Measures].[Fuldautomatiseringsgrad sidste måned]" caption="Fuldautomatiseringsgrad sidste måned" measure="1" displayFolder="" measureGroup="Sagsbehandling" count="0"/>
    <cacheHierarchy uniqueName="[Measures].[Fuldautomatiseringsgrad sidste uge]" caption="Fuldautomatiseringsgrad sidste uge" measure="1" displayFolder="" measureGroup="Sagsbehandling" count="0"/>
    <cacheHierarchy uniqueName="[Measures].[Fuldautomatiseringstendens sidste uge]" caption="Fuldautomatiseringstendens sidste uge" measure="1" displayFolder="" measureGroup="Sagsbehandling" count="0"/>
    <cacheHierarchy uniqueName="[Measures].[Fuldautomatiseringstendens sidste måned]" caption="Fuldautomatiseringstendens sidste måned" measure="1" displayFolder="" measureGroup="Sagsbehandling" count="0"/>
    <cacheHierarchy uniqueName="[Measures].[Antal Afsluttede Sager Sidste Måned]" caption="Antal Afsluttede Sager Sidste Måned" measure="1" displayFolder="" measureGroup="Sagsbehandling" count="0"/>
    <cacheHierarchy uniqueName="[Measures].[Antal Afsluttede Sager Sidste Uge]" caption="Antal Afsluttede Sager Sidste Uge" measure="1" displayFolder="" measureGroup="Sagsbehandling" count="0"/>
    <cacheHierarchy uniqueName="[Measures].[Antal Sager Samme Måned Sidste år]" caption="Antal Sager Samme Måned Sidste år" measure="1" displayFolder="" measureGroup="Sagsbehandling" count="0"/>
    <cacheHierarchy uniqueName="[Measures].[Fuldautomatiseringsgrad samme måned sidste år]" caption="Fuldautomatiseringsgrad samme måned sidste år" measure="1" displayFolder="" measureGroup="Sagsbehandling" count="0"/>
    <cacheHierarchy uniqueName="[Measures].[Antal Afsluttede Sager Måned Sidste år]" caption="Antal Afsluttede Sager Måned Sidste år" measure="1" displayFolder="" measureGroup="Sagsbehandling" count="0"/>
    <cacheHierarchy uniqueName="[Measures].[Fuldautomatiseringstendens samme måned sidste år]" caption="Fuldautomatiseringstendens samme måned sidste år" measure="1" displayFolder="" measureGroup="Sagsbehandling" count="0"/>
    <cacheHierarchy uniqueName="[Measures].[Antal Samtaler]" caption="Antal Samtaler" measure="1" displayFolder="" measureGroup="Samtaler" count="0"/>
    <cacheHierarchy uniqueName="[Measures].[Antal Deltagere på Arrangementer]" caption="Antal Deltagere på Arrangementer" measure="1" displayFolder="" measureGroup="Arrangementer" count="0"/>
    <cacheHierarchy uniqueName="[Measures].[Antal Arrangementer]" caption="Antal Arrangementer" measure="1" displayFolder="" measureGroup="Arrangementer" count="0"/>
    <cacheHierarchy uniqueName="[Measures].[Antal nye incidents]" caption="Antal nye incidents" measure="1" displayFolder="" measureGroup="HelpDeskIncident" count="0"/>
    <cacheHierarchy uniqueName="[Measures].[Antal deadline overholdt]" caption="Antal deadline overholdt" measure="1" displayFolder="" measureGroup="HelpDeskIncident" count="0"/>
    <cacheHierarchy uniqueName="[Measures].[Overholdelse af deadline]" caption="Overholdelse af deadline" measure="1" displayFolder="" measureGroup="HelpDeskIncident" count="0"/>
    <cacheHierarchy uniqueName="[Measures].[Forbrugt tid (minutter)]" caption="Forbrugt tid (minutter)" measure="1" displayFolder="" measureGroup="HelpDeskIncident" count="0"/>
    <cacheHierarchy uniqueName="[Measures].[Antal løste incidents]" caption="Antal løste incidents" measure="1" displayFolder="" measureGroup="HelpDeskIncident" count="0"/>
    <cacheHierarchy uniqueName="[Measures].[Løsningspct]" caption="Løsningspct" measure="1" displayFolder="" measureGroup="HelpDeskIncident" count="0"/>
    <cacheHierarchy uniqueName="[Measures].[Gns. Forbrugt tid (minutter)]" caption="Gns. Forbrugt tid (minutter)" measure="1" displayFolder="" measureGroup="HelpDeskIncident" count="0"/>
    <cacheHierarchy uniqueName="[Measures].[Gns. Gennemløbstid (minutter)]" caption="Gns. Gennemløbstid (minutter)" measure="1" displayFolder="" measureGroup="HelpDeskIncident" count="0"/>
    <cacheHierarchy uniqueName="[Measures].[Forbrugt tid (timer)]" caption="Forbrugt tid (timer)" measure="1" displayFolder="" measureGroup="HelpDeskIncident" count="0"/>
    <cacheHierarchy uniqueName="[Measures].[Gns. Gennemløbstid (timer)]" caption="Gns. Gennemløbstid (timer)" measure="1" displayFolder="" measureGroup="HelpDeskIncident" count="0"/>
    <cacheHierarchy uniqueName="[Measures].[Gns.Forbrugt tid (timer)]" caption="Gns.Forbrugt tid (timer)" measure="1" displayFolder="" measureGroup="HelpDeskIncident" count="0"/>
    <cacheHierarchy uniqueName="[Measures].[Klipforbrug for Ledighedsberørte Opdateret]" caption="Klipforbrug for Ledighedsberørte Opdateret" measure="1" displayFolder="" measureGroup="Ledighedstal Opdateret" count="0"/>
    <cacheHierarchy uniqueName="[Measures].[Gns. Ledighedslængde pr ledighedsberørt Opdateret]" caption="Gns. Ledighedslængde pr ledighedsberørt Opdateret" measure="1" displayFolder="" measureGroup="Ledighedstal Opdateret" count="0"/>
    <cacheHierarchy uniqueName="[Measures].[Max Klipforbrug Opdateret]" caption="Max Klipforbrug Opdateret" measure="1" displayFolder="" measureGroup="Ledighedstal Opdateret" count="0"/>
    <cacheHierarchy uniqueName="[Measures].[Max Klipforbrug]" caption="Max Klipforbrug" measure="1" displayFolder="" measureGroup="Ledighedstal" count="0"/>
    <cacheHierarchy uniqueName="[Measures].[Gns. Ledighedslængde pr ledighedsberørt]" caption="Gns. Ledighedslængde pr ledighedsberørt" measure="1" displayFolder="" measureGroup="Ledighedstal" count="0"/>
    <cacheHierarchy uniqueName="[Measures].[Gns. Incident Svartid (minutter)]" caption="Gns. Incident Svartid (minutter)" measure="1" displayFolder="" measureGroup="HelpDeskIncident" count="0"/>
    <cacheHierarchy uniqueName="[Measures].[Gns. Incident Behandlingstid (minutter)]" caption="Gns. Incident Behandlingstid (minutter)" measure="1" displayFolder="" measureGroup="HelpDeskIncident" count="0"/>
    <cacheHierarchy uniqueName="[Measures].[Alder]" caption="Alder" measure="1" displayFolder="" measureGroup="Medarbejder" count="0"/>
    <cacheHierarchy uniqueName="[Measures].[Anciennitet]" caption="Anciennitet" measure="1" displayFolder="" measureGroup="Medarbejder" count="0"/>
    <cacheHierarchy uniqueName="[Measures].[Gennemsnitsalder]" caption="Gennemsnitsalder" measure="1" displayFolder="" measureGroup="Medarbejder" count="0"/>
    <cacheHierarchy uniqueName="[Measures].[Gennemsnitsanciennitet]" caption="Gennemsnitsanciennitet" measure="1" displayFolder="" measureGroup="Medarbejder" count="0"/>
    <cacheHierarchy uniqueName="[Measures].[Nyansættelser]" caption="Nyansættelser" measure="1" displayFolder="" measureGroup="Medarbejder" count="0"/>
    <cacheHierarchy uniqueName="[Measures].[Fratrædelser]" caption="Fratrædelser" measure="1" displayFolder="" measureGroup="Medarbejder" count="0"/>
    <cacheHierarchy uniqueName="[Measures].[Fratrædelser sidste 12 måneder]" caption="Fratrædelser sidste 12 måneder" measure="1" displayFolder="" measureGroup="Medarbejder" count="0"/>
    <cacheHierarchy uniqueName="[Measures].[Ansatte]" caption="Ansatte" measure="1" displayFolder="" measureGroup="Medarbejder" count="0"/>
    <cacheHierarchy uniqueName="[Measures].[Ansatte sidste 12 måneder]" caption="Ansatte sidste 12 måneder" measure="1" displayFolder="" measureGroup="Medarbejder" count="0"/>
    <cacheHierarchy uniqueName="[Measures].[Medarbejderomsætning]" caption="Medarbejderomsætning" measure="1" displayFolder="" measureGroup="Medarbejder" count="0"/>
    <cacheHierarchy uniqueName="[Measures].[Antal Anden Aktør Aktiviteter]" caption="Antal Anden Aktør Aktiviteter" measure="1" displayFolder="" measureGroup="Anden Aktør Aktiviteter" count="0"/>
    <cacheHierarchy uniqueName="[Measures].[Antal Ledige i Anden Aktør]" caption="Antal Ledige i Anden Aktør" measure="1" displayFolder="" measureGroup="Anden Aktør Aktiviteter" count="0"/>
    <cacheHierarchy uniqueName="[Measures].[Antal Ledige i Anden Aktør Virksomhedsrettede Tilbud]" caption="Antal Ledige i Anden Aktør Virksomhedsrettede Tilbud" measure="1" displayFolder="" measureGroup="Anden Aktør Aktiviteter" count="0"/>
    <cacheHierarchy uniqueName="[Measures].[Andel Ledige i Anden Aktør Virksomhedsrettede Tilbud]" caption="Andel Ledige i Anden Aktør Virksomhedsrettede Tilbud" measure="1" displayFolder="" measureGroup="Anden Aktør Aktiviteter" count="0"/>
    <cacheHierarchy uniqueName="[Measures].[Antal Straksbookede Samtaler]" caption="Antal Straksbookede Samtaler" measure="1" displayFolder="" measureGroup="Samtaler" count="0"/>
    <cacheHierarchy uniqueName="[Measures].[Antal straksbookede deltagelser på arrangementer]" caption="Antal straksbookede deltagelser på arrangementer" measure="1" displayFolder="" measureGroup="Arrangementer" count="0"/>
    <cacheHierarchy uniqueName="[Measures].[Antal arrangementer med straksbookede deltagere]" caption="Antal arrangementer med straksbookede deltagere" measure="1" displayFolder="" measureGroup="Arrangementer" count="0"/>
    <cacheHierarchy uniqueName="[Measures].[Ledighedsberørte Kvartal]" caption="Ledighedsberørte Kvartal" measure="1" displayFolder="" measureGroup="Ledighedstal Kvartal" count="0"/>
    <cacheHierarchy uniqueName="[Measures].[Ledighed Kvartal]" caption="Ledighed Kvartal" measure="1" displayFolder="" measureGroup="Ledighedstal Kvartal" count="0"/>
    <cacheHierarchy uniqueName="[Measures].[Timer Udbetalt Kvartal]" caption="Timer Udbetalt Kvartal" measure="1" displayFolder="" measureGroup="Ledighedstal Kvartal" count="0"/>
    <cacheHierarchy uniqueName="[Measures].[Fuldtidsledige Kvartal]" caption="Fuldtidsledige Kvartal" measure="1" displayFolder="" measureGroup="Ledighedstal Kvartal" count="0"/>
    <cacheHierarchy uniqueName="[Measures].[Fuldtidsledighed Kvartal]" caption="Fuldtidsledighed Kvartal" measure="1" displayFolder="" measureGroup="Ledighedstal Kvartal" count="0"/>
    <cacheHierarchy uniqueName="[Measures].[Langtidsledige Kvartal]" caption="Langtidsledige Kvartal" measure="1" displayFolder="" measureGroup="Ledighedstal Kvartal" count="0"/>
    <cacheHierarchy uniqueName="[Measures].[Andel Langtidsledige Kvartal]" caption="Andel Langtidsledige Kvartal" measure="1" displayFolder="" measureGroup="Ledighedstal Kvartal" count="0"/>
    <cacheHierarchy uniqueName="[Measures].[Nyledige Kvartal]" caption="Nyledige Kvartal" measure="1" displayFolder="" measureGroup="Ledighedstal Kvartal" count="0"/>
    <cacheHierarchy uniqueName="[Measures].[Dimittendledige Kvartal]" caption="Dimittendledige Kvartal" measure="1" displayFolder="" measureGroup="Ledighedstal Kvartal" count="0"/>
    <cacheHierarchy uniqueName="[Measures].[Dimittendledighed Kvartal]" caption="Dimittendledighed Kvartal" measure="1" displayFolder="" measureGroup="Ledighedstal Kvartal" count="0"/>
    <cacheHierarchy uniqueName="[Measures].[Udfaldstruede Kvartal]" caption="Udfaldstruede Kvartal" measure="1" displayFolder="" measureGroup="Ledighedstal Kvartal" count="0"/>
    <cacheHierarchy uniqueName="[Measures].[Udfaldne Kvartal]" caption="Udfaldne Kvartal" measure="1" displayFolder="" measureGroup="Ledighedstal Kvartal" count="0"/>
    <cacheHierarchy uniqueName="[Measures].[Medlemstal Kvartal]" caption="Medlemstal Kvartal" measure="1" displayFolder="" measureGroup="Medlemstal" count="0"/>
    <cacheHierarchy uniqueName="[Measures].[Ledighedsmulige Kvartal]" caption="Ledighedsmulige Kvartal" measure="1" displayFolder="" measureGroup="Medlemstal" count="0"/>
    <cacheHierarchy uniqueName="[Measures].[Ledighedsberørte År]" caption="Ledighedsberørte År" measure="1" displayFolder="" measureGroup="Ledighedstal År" count="0"/>
    <cacheHierarchy uniqueName="[Measures].[Ledighed År]" caption="Ledighed År" measure="1" displayFolder="" measureGroup="Ledighedstal År" count="0"/>
    <cacheHierarchy uniqueName="[Measures].[Ledighedsmulige År]" caption="Ledighedsmulige År" measure="1" displayFolder="" measureGroup="Medlemstal" count="0"/>
    <cacheHierarchy uniqueName="[Measures].[Medlemstal År]" caption="Medlemstal År" measure="1" displayFolder="" measureGroup="Medlemstal" count="0"/>
    <cacheHierarchy uniqueName="[Measures].[Fuldtidsledige År]" caption="Fuldtidsledige År" measure="1" displayFolder="" measureGroup="Ledighedstal År" count="0"/>
    <cacheHierarchy uniqueName="[Measures].[Timer Udbetalt År]" caption="Timer Udbetalt År" measure="1" displayFolder="" measureGroup="Ledighedstal År" count="0"/>
    <cacheHierarchy uniqueName="[Measures].[Andel Langtidsledige År]" caption="Andel Langtidsledige År" measure="1" displayFolder="" measureGroup="Ledighedstal År" count="0"/>
    <cacheHierarchy uniqueName="[Measures].[Fuldtidsledighed År]" caption="Fuldtidsledighed År" measure="1" displayFolder="" measureGroup="Ledighedstal År" count="0"/>
    <cacheHierarchy uniqueName="[Measures].[Langtidsledige År]" caption="Langtidsledige År" measure="1" displayFolder="" measureGroup="Ledighedstal År" count="0"/>
    <cacheHierarchy uniqueName="[Measures].[Nyledige År]" caption="Nyledige År" measure="1" displayFolder="" measureGroup="Ledighedstal År" count="0"/>
    <cacheHierarchy uniqueName="[Measures].[Dimittendledige År]" caption="Dimittendledige År" measure="1" displayFolder="" measureGroup="Ledighedstal År" count="0"/>
    <cacheHierarchy uniqueName="[Measures].[Dimittendledighed År]" caption="Dimittendledighed År" measure="1" displayFolder="" measureGroup="Ledighedstal År" count="0"/>
    <cacheHierarchy uniqueName="[Measures].[Udfaldstruede År]" caption="Udfaldstruede År" measure="1" displayFolder="" measureGroup="Ledighedstal År" count="0"/>
    <cacheHierarchy uniqueName="[Measures].[Udfaldne År]" caption="Udfaldne År" measure="1" displayFolder="" measureGroup="Ledighedstal År" count="0"/>
    <cacheHierarchy uniqueName="[Measures].[Sommerdimittender År]" caption="Sommerdimittender År" measure="1" displayFolder="" measureGroup="Sommerdimittender År" count="0"/>
    <cacheHierarchy uniqueName="[Measures].[Sommerdimittender Kvartal]" caption="Sommerdimittender Kvartal" measure="1" displayFolder="" measureGroup="Sommerdimittender Kvartal" count="0"/>
    <cacheHierarchy uniqueName="[Measures].[Sommerdimittender]" caption="Sommerdimittender" measure="1" displayFolder="" measureGroup="Sommerdimittender" count="0"/>
    <cacheHierarchy uniqueName="[Measures].[Antal straksbookede aftaler]" caption="Antal straksbookede aftaler" measure="1" displayFolder="" measureGroup="Aftaler" count="0"/>
    <cacheHierarchy uniqueName="[Measures].[Ledighedsberørte 12 måneder]" caption="Ledighedsberørte 12 måneder" measure="1" displayFolder="" measureGroup="Ledighedstal 12 måneder" count="0"/>
    <cacheHierarchy uniqueName="[Measures].[Udfaldstruede 12 måneder]" caption="Udfaldstruede 12 måneder" measure="1" displayFolder="" measureGroup="Ledighedstal 12 måneder" count="0"/>
    <cacheHierarchy uniqueName="[Measures].[Beskedtråde]" caption="Beskedtråde" measure="1" displayFolder="" measureGroup="Selvbetjeningsbeskeder" count="0"/>
    <cacheHierarchy uniqueName="[Measures].[Udmeldelser Opdateret]" caption="Udmeldelser Opdateret" measure="1" displayFolder="" measureGroup="Medlemstal Opdateret" count="0"/>
    <cacheHierarchy uniqueName="[Measures].[Indmeldelser Opdateret]" caption="Indmeldelser Opdateret" measure="1" displayFolder="" measureGroup="Medlemstal Opdateret" count="0"/>
    <cacheHierarchy uniqueName="[Measures].[Indmeldelser Opdateret Sammenlignet Med Samme Periode Sidste År]" caption="Indmeldelser Opdateret Sammenlignet Med Samme Periode Sidste År" measure="1" displayFolder="" measureGroup="Medlemstal Opdateret" count="0"/>
    <cacheHierarchy uniqueName="[Measures].[Udmeldelser Opdateret Sammenlignet Med Samme Periode Sidste År]" caption="Udmeldelser Opdateret Sammenlignet Med Samme Periode Sidste År" measure="1" displayFolder="" measureGroup="Medlemstal Opdateret" count="0"/>
    <cacheHierarchy uniqueName="[Measures].[Indmeldelser Sammenlignet Med Samme Periode Sidste År]" caption="Indmeldelser Sammenlignet Med Samme Periode Sidste År" measure="1" displayFolder="" measureGroup="Medlemstal" count="0"/>
    <cacheHierarchy uniqueName="[Measures].[Udmeldelser Sammenlignet Med Samme Periode Sidste År]" caption="Udmeldelser Sammenlignet Med Samme Periode Sidste År" measure="1" displayFolder="" measureGroup="Medlemstal" count="0"/>
    <cacheHierarchy uniqueName="[Measures].[Forsikring Kort Overholdelse]" caption="Forsikring Kort Overholdelse" measure="1" displayFolder="" measureGroup="Selvbetjeningsbeskeder" count="0"/>
    <cacheHierarchy uniqueName="[Measures].[Jobmatch Kort Overholdelse]" caption="Jobmatch Kort Overholdelse" measure="1" displayFolder="" measureGroup="Selvbetjeningsbeskeder" count="0"/>
    <cacheHierarchy uniqueName="[Measures].[Jobmatch Lang Overholdelse]" caption="Jobmatch Lang Overholdelse" measure="1" displayFolder="" measureGroup="Selvbetjeningsbeskeder" count="0"/>
    <cacheHierarchy uniqueName="[Measures].[Forsikring Lang Overholdelse]" caption="Forsikring Lang Overholdelse" measure="1" displayFolder="" measureGroup="Selvbetjeningsbeskeder" count="0"/>
    <cacheHierarchy uniqueName="[Measures].[_Count Medlem]" caption="_Count Medlem" measure="1" displayFolder="" measureGroup="Medlem" count="0" hidden="1"/>
    <cacheHierarchy uniqueName="[Measures].[_Count Medlemstal]" caption="_Count Medlemstal" measure="1" displayFolder="" measureGroup="Medlemstal" count="0" hidden="1"/>
    <cacheHierarchy uniqueName="[Measures].[_Count Medlemstal Opdateret]" caption="_Count Medlemstal Opdateret" measure="1" displayFolder="" measureGroup="Medlemstal Opdateret" count="0" hidden="1"/>
    <cacheHierarchy uniqueName="[Measures].[_Count Dato]" caption="_Count Dato" measure="1" displayFolder="" measureGroup="Dato" count="0" hidden="1"/>
    <cacheHierarchy uniqueName="[Measures].[_Count Uddannelse]" caption="_Count Uddannelse" measure="1" displayFolder="" measureGroup="Uddannelse" count="0" hidden="1"/>
    <cacheHierarchy uniqueName="[Measures].[_Count Fagligt Tilhørsforhold]" caption="_Count Fagligt Tilhørsforhold" measure="1" displayFolder="" measureGroup="Fagligt Tilhørsforhold" count="0" hidden="1"/>
    <cacheHierarchy uniqueName="[Measures].[_Count Kommune]" caption="_Count Kommune" measure="1" displayFolder="" measureGroup="Kommune" count="0" hidden="1"/>
    <cacheHierarchy uniqueName="[Measures].[_Count Postnummer]" caption="_Count Postnummer" measure="1" displayFolder="" measureGroup="Postnummer" count="0" hidden="1"/>
    <cacheHierarchy uniqueName="[Measures].[_Count Uddannelsessted]" caption="_Count Uddannelsessted" measure="1" displayFolder="" measureGroup="Uddannelsessted" count="0" hidden="1"/>
    <cacheHierarchy uniqueName="[Measures].[_Count Senest Opdateret]" caption="_Count Senest Opdateret" measure="1" displayFolder="" measureGroup="Senest Opdateret" count="0" hidden="1"/>
    <cacheHierarchy uniqueName="[Measures].[_Count Dimittenddato Opdateret]" caption="_Count Dimittenddato Opdateret" measure="1" displayFolder="" measureGroup="Dimittenddato Opdateret" count="0" hidden="1"/>
    <cacheHierarchy uniqueName="[Measures].[_Count Betalingsstatus]" caption="_Count Betalingsstatus" measure="1" displayFolder="" measureGroup="Betalingsstatus" count="0" hidden="1"/>
    <cacheHierarchy uniqueName="[Measures].[_Count Anden A-kasse 1]" caption="_Count Anden A-kasse 1" measure="1" displayFolder="" measureGroup="Anden A-kasse" count="0" hidden="1"/>
    <cacheHierarchy uniqueName="[Measures].[_Count Indbetaler Til Efterløn]" caption="_Count Indbetaler Til Efterløn" measure="1" displayFolder="" measureGroup="Indbetaler Til Efterløn" count="0" hidden="1"/>
    <cacheHierarchy uniqueName="[Measures].[_Count Medlemsstatus]" caption="_Count Medlemsstatus" measure="1" displayFolder="" measureGroup="Medlemsstatus" count="0" hidden="1"/>
    <cacheHierarchy uniqueName="[Measures].[_Count Årsag]" caption="_Count Årsag" measure="1" displayFolder="" measureGroup="Årsag" count="0" hidden="1"/>
    <cacheHierarchy uniqueName="[Measures].[_Count Land]" caption="_Count Land" measure="1" displayFolder="" measureGroup="Land" count="0" hidden="1"/>
    <cacheHierarchy uniqueName="[Measures].[_Count Kandidatalder]" caption="_Count Kandidatalder" measure="1" displayFolder="" measureGroup="Kandidatalder" count="0" hidden="1"/>
    <cacheHierarchy uniqueName="[Measures].[_Count Alder]" caption="_Count Alder" measure="1" displayFolder="" measureGroup="Alder" count="0" hidden="1"/>
    <cacheHierarchy uniqueName="[Measures].[_Count Ændring efter fastfrysning]" caption="_Count Ændring efter fastfrysning" measure="1" displayFolder="" measureGroup="Ændring efter fastfrysning" count="0" hidden="1"/>
    <cacheHierarchy uniqueName="[Measures].[_Count Medlemstal Bevægelse]" caption="_Count Medlemstal Bevægelse" measure="1" displayFolder="" measureGroup="Medlemstal Bevægelse" count="0" hidden="1"/>
    <cacheHierarchy uniqueName="[Measures].[_Count Ydelsestype]" caption="_Count Ydelsestype" measure="1" displayFolder="" measureGroup="Ydelsestype" count="0" hidden="1"/>
    <cacheHierarchy uniqueName="[Measures].[_Count Erklæringstype]" caption="_Count Erklæringstype" measure="1" displayFolder="" measureGroup="Erklæringstype" count="0" hidden="1"/>
    <cacheHierarchy uniqueName="[Measures].[_Count Erklæringer Opdateret]" caption="_Count Erklæringer Opdateret" measure="1" displayFolder="" measureGroup="Erklæringer Opdateret" count="0" hidden="1"/>
    <cacheHierarchy uniqueName="[Measures].[_Count Medlemstal Budget]" caption="_Count Medlemstal Budget" measure="1" displayFolder="" measureGroup="Medlemstal Budget" count="0" hidden="1"/>
    <cacheHierarchy uniqueName="[Measures].[_Count Ledighedstal Opdateret]" caption="_Count Ledighedstal Opdateret" measure="1" displayFolder="" measureGroup="Ledighedstal Opdateret" count="0" hidden="1"/>
    <cacheHierarchy uniqueName="[Measures].[_Count Rapporteringsmåned]" caption="_Count Rapporteringsmåned" measure="1" displayFolder="" measureGroup="Rapporteringsmåned" count="0" hidden="1"/>
    <cacheHierarchy uniqueName="[Measures].[_Count Medlemstal Økonomibudget]" caption="_Count Medlemstal Økonomibudget" measure="1" displayFolder="" measureGroup="Medlemstal Økonomibudget" count="0" hidden="1"/>
    <cacheHierarchy uniqueName="[Measures].[_Count Ledighedstal]" caption="_Count Ledighedstal" measure="1" displayFolder="" measureGroup="Ledighedstal" count="0" hidden="1"/>
    <cacheHierarchy uniqueName="[Measures].[_Count Dimittenddato]" caption="_Count Dimittenddato" measure="1" displayFolder="" measureGroup="Dimittenddato" count="0" hidden="1"/>
    <cacheHierarchy uniqueName="[Measures].[_Count Medarbejder]" caption="_Count Medarbejder" measure="1" displayFolder="" measureGroup="Medarbejder" count="0" hidden="1"/>
    <cacheHierarchy uniqueName="[Measures].[_Count Opkaldsresultat]" caption="_Count Opkaldsresultat" measure="1" displayFolder="" measureGroup="Opkaldsresultat" count="0" hidden="1"/>
    <cacheHierarchy uniqueName="[Measures].[_Count Opkaldstype]" caption="_Count Opkaldstype" measure="1" displayFolder="" measureGroup="Opkaldstype" count="0" hidden="1"/>
    <cacheHierarchy uniqueName="[Measures].[_Count Service]" caption="_Count Service" measure="1" displayFolder="" measureGroup="Service" count="0" hidden="1"/>
    <cacheHierarchy uniqueName="[Measures].[_Count Telefonopkald]" caption="_Count Telefonopkald" measure="1" displayFolder="" measureGroup="Telefonopkald" count="0" hidden="1"/>
    <cacheHierarchy uniqueName="[Measures].[_Count Tid på dagen]" caption="_Count Tid på dagen" measure="1" displayFolder="" measureGroup="Tid på dagen" count="0" hidden="1"/>
    <cacheHierarchy uniqueName="[Measures].[_Count Varighed Samtaletid]" caption="_Count Varighed Samtaletid" measure="1" displayFolder="" measureGroup="Varighed Samtaletid" count="0" hidden="1"/>
    <cacheHierarchy uniqueName="[Measures].[_Count Varighed Ventetid]" caption="_Count Varighed Ventetid" measure="1" displayFolder="" measureGroup="Varighed Ventetid" count="0" hidden="1"/>
    <cacheHierarchy uniqueName="[Measures].[_Count Viderestillet]" caption="_Count Viderestillet" measure="1" displayFolder="" measureGroup="Viderestillet" count="0" hidden="1"/>
    <cacheHierarchy uniqueName="[Measures].[_Count Medarbejder Viderestillet]" caption="_Count Medarbejder Viderestillet" measure="1" displayFolder="" measureGroup="Medarbejder Viderestillet" count="0" hidden="1"/>
    <cacheHierarchy uniqueName="[Measures].[_Count Service Viderestillet]" caption="_Count Service Viderestillet" measure="1" displayFolder="" measureGroup="Service Viderestillet" count="0" hidden="1"/>
    <cacheHierarchy uniqueName="[Measures].[_Count Team]" caption="_Count Team" measure="1" displayFolder="" measureGroup="Team" count="0" hidden="1"/>
    <cacheHierarchy uniqueName="[Measures].[_Count Team Viderestillet]" caption="_Count Team Viderestillet" measure="1" displayFolder="" measureGroup="Team Viderestillet" count="0" hidden="1"/>
    <cacheHierarchy uniqueName="[Measures].[_Count Telefon Indlogning]" caption="_Count Telefon Indlogning" measure="1" displayFolder="" measureGroup="Telefon Indlogning" count="0" hidden="1"/>
    <cacheHierarchy uniqueName="[Measures].[_Count Aftale Afholdelsesstatus]" caption="_Count Aftale Afholdelsesstatus" measure="1" displayFolder="" measureGroup="Aftale Afholdelsesstatus" count="0" hidden="1"/>
    <cacheHierarchy uniqueName="[Measures].[_Count Aftalestatus]" caption="_Count Aftalestatus" measure="1" displayFolder="" measureGroup="Aftalestatus" count="0" hidden="1"/>
    <cacheHierarchy uniqueName="[Measures].[_Count Aftaletype]" caption="_Count Aftaletype" measure="1" displayFolder="" measureGroup="Aftaletype" count="0" hidden="1"/>
    <cacheHierarchy uniqueName="[Measures].[_Count Forløb]" caption="_Count Forløb" measure="1" displayFolder="" measureGroup="Forløb" count="0" hidden="1"/>
    <cacheHierarchy uniqueName="[Measures].[_Count Aftaler]" caption="_Count Aftaler" measure="1" displayFolder="" measureGroup="Aftaler" count="0" hidden="1"/>
    <cacheHierarchy uniqueName="[Measures].[_Count Arrangement]" caption="_Count Arrangement" measure="1" displayFolder="" measureGroup="Arrangement" count="0" hidden="1"/>
    <cacheHierarchy uniqueName="[Measures].[_Count Ventelistestatus]" caption="_Count Ventelistestatus" measure="1" displayFolder="" measureGroup="Ventelistestatus" count="0" hidden="1"/>
    <cacheHierarchy uniqueName="[Measures].[_Count Venteliste]" caption="_Count Venteliste" measure="1" displayFolder="" measureGroup="Venteliste" count="0" hidden="1"/>
    <cacheHierarchy uniqueName="[Measures].[_Count Aktivitetstype]" caption="_Count Aktivitetstype" measure="1" displayFolder="" measureGroup="Aktivitetstype" count="0" hidden="1"/>
    <cacheHierarchy uniqueName="[Measures].[_Count Arbejdsgange]" caption="_Count Arbejdsgange" measure="1" displayFolder="" measureGroup="Arbejdsgange" count="0" hidden="1"/>
    <cacheHierarchy uniqueName="[Measures].[_Count Sagsbehandling]" caption="_Count Sagsbehandling" measure="1" displayFolder="" measureGroup="Sagsbehandling" count="0" hidden="1"/>
    <cacheHierarchy uniqueName="[Measures].[_Count Arbejdsgangstype]" caption="_Count Arbejdsgangstype" measure="1" displayFolder="" measureGroup="Arbejdsgangstype" count="0" hidden="1"/>
    <cacheHierarchy uniqueName="[Measures].[_Count Arbejdsgangtrin]" caption="_Count Arbejdsgangtrin" measure="1" displayFolder="" measureGroup="Arbejdsgangtrin" count="0" hidden="1"/>
    <cacheHierarchy uniqueName="[Measures].[_Count ArbejdsgangtrinStatus]" caption="_Count ArbejdsgangtrinStatus" measure="1" displayFolder="" measureGroup="ArbejdsgangtrinStatus" count="0" hidden="1"/>
    <cacheHierarchy uniqueName="[Measures].[_Count Automatiseringstype]" caption="_Count Automatiseringstype" measure="1" displayFolder="" measureGroup="Automatiseringstype" count="0" hidden="1"/>
    <cacheHierarchy uniqueName="[Measures].[_Count Sagsstatus]" caption="_Count Sagsstatus" measure="1" displayFolder="" measureGroup="Sagsstatus" count="0" hidden="1"/>
    <cacheHierarchy uniqueName="[Measures].[_Count Sagstype]" caption="_Count Sagstype" measure="1" displayFolder="" measureGroup="Sagstype" count="0" hidden="1"/>
    <cacheHierarchy uniqueName="[Measures].[_Count Aktivitetsstatus]" caption="_Count Aktivitetsstatus" measure="1" displayFolder="" measureGroup="Aktivitetsstatus" count="0" hidden="1"/>
    <cacheHierarchy uniqueName="[Measures].[_Count Selvbetjeningsbeskeder]" caption="_Count Selvbetjeningsbeskeder" measure="1" displayFolder="" measureGroup="Selvbetjeningsbeskeder" count="0" hidden="1"/>
    <cacheHierarchy uniqueName="[Measures].[_Count Fraværskode 1]" caption="_Count Fraværskode 1" measure="1" displayFolder="" measureGroup="Fraværskode" count="0" hidden="1"/>
    <cacheHierarchy uniqueName="[Measures].[_Count Normtimer]" caption="_Count Normtimer" measure="1" displayFolder="" measureGroup="Normtimer" count="0" hidden="1"/>
    <cacheHierarchy uniqueName="[Measures].[_Count Normtimer Fuldtid]" caption="_Count Normtimer Fuldtid" measure="1" displayFolder="" measureGroup="Normtimer Fuldtid" count="0" hidden="1"/>
    <cacheHierarchy uniqueName="[Measures].[_Count Afslutningsdato]" caption="_Count Afslutningsdato" measure="1" displayFolder="" measureGroup="Afslutningsdato" count="0" hidden="1"/>
    <cacheHierarchy uniqueName="[Measures].[_Count Deadlinedato]" caption="_Count Deadlinedato" measure="1" displayFolder="" measureGroup="Deadlinedato" count="0" hidden="1"/>
    <cacheHierarchy uniqueName="[Measures].[_Count Fravær]" caption="_Count Fravær" measure="1" displayFolder="" measureGroup="Fravær" count="0" hidden="1"/>
    <cacheHierarchy uniqueName="[Measures].[_Count Stoptrin]" caption="_Count Stoptrin" measure="1" displayFolder="" measureGroup="Stoptrin" count="0" hidden="1"/>
    <cacheHierarchy uniqueName="[Measures].[_Count Ansvarligt Team]" caption="_Count Ansvarligt Team" measure="1" displayFolder="" measureGroup="Ansvarligt Team" count="0" hidden="1"/>
    <cacheHierarchy uniqueName="[Measures].[_Count Arrangementer]" caption="_Count Arrangementer" measure="1" displayFolder="" measureGroup="Arrangementer" count="0" hidden="1"/>
    <cacheHierarchy uniqueName="[Measures].[_Count Samtaler]" caption="_Count Samtaler" measure="1" displayFolder="" measureGroup="Samtaler" count="0" hidden="1"/>
    <cacheHierarchy uniqueName="[Measures].[_Count Incident Kategori]" caption="_Count Incident Kategori" measure="1" displayFolder="" measureGroup="Incident Kategori" count="0" hidden="1"/>
    <cacheHierarchy uniqueName="[Measures].[_Count Incident Status]" caption="_Count Incident Status" measure="1" displayFolder="" measureGroup="Incident Status" count="0" hidden="1"/>
    <cacheHierarchy uniqueName="[Measures].[_Count HelpDeskIncident]" caption="_Count HelpDeskIncident" measure="1" displayFolder="" measureGroup="HelpDeskIncident" count="0" hidden="1"/>
    <cacheHierarchy uniqueName="[Measures].[_Count Medarbejder anmelder]" caption="_Count Medarbejder anmelder" measure="1" displayFolder="" measureGroup="Medarbejder anmelder" count="0" hidden="1"/>
    <cacheHierarchy uniqueName="[Measures].[_Count Team anmelder]" caption="_Count Team anmelder" measure="1" displayFolder="" measureGroup="Team anmelder" count="0" hidden="1"/>
    <cacheHierarchy uniqueName="[Measures].[_Count Uddannelsesretning]" caption="_Count Uddannelsesretning" measure="1" displayFolder="" measureGroup="Uddannelsesretning" count="0" hidden="1"/>
    <cacheHierarchy uniqueName="[Measures].[_Count Klipforbrug]" caption="_Count Klipforbrug" measure="1" displayFolder="" measureGroup="Klipforbrug" count="0" hidden="1"/>
    <cacheHierarchy uniqueName="[Measures].[_Count Anden Aktør Aktiviteter]" caption="_Count Anden Aktør Aktiviteter" measure="1" displayFolder="" measureGroup="Anden Aktør Aktiviteter" count="0" hidden="1"/>
    <cacheHierarchy uniqueName="[Measures].[_Count Anden Aktør Aktivitetstype]" caption="_Count Anden Aktør Aktivitetstype" measure="1" displayFolder="" measureGroup="Anden Aktør Aktivitetstype" count="0" hidden="1"/>
    <cacheHierarchy uniqueName="[Measures].[_Count Afvist]" caption="_Count Afvist" measure="1" displayFolder="" measureGroup="Afvist" count="0" hidden="1"/>
    <cacheHierarchy uniqueName="[Measures].[_Count Behandlet]" caption="_Count Behandlet" measure="1" displayFolder="" measureGroup="Behandlet" count="0" hidden="1"/>
    <cacheHierarchy uniqueName="[Measures].[_Count Virksomhed]" caption="_Count Virksomhed" measure="1" displayFolder="" measureGroup="Virksomhed" count="0" hidden="1"/>
    <cacheHierarchy uniqueName="[Measures].[_Count Ledighedstal Kvartal]" caption="_Count Ledighedstal Kvartal" measure="1" displayFolder="" measureGroup="Ledighedstal Kvartal" count="0" hidden="1"/>
    <cacheHierarchy uniqueName="[Measures].[_Count Rapporteringskvartal]" caption="_Count Rapporteringskvartal" measure="1" displayFolder="" measureGroup="Rapporteringskvartal" count="0" hidden="1"/>
    <cacheHierarchy uniqueName="[Measures].[_Count Rapporteringsår]" caption="_Count Rapporteringsår" measure="1" displayFolder="" measureGroup="Rapporteringsår" count="0" hidden="1"/>
    <cacheHierarchy uniqueName="[Measures].[_Count Ledighedstal År]" caption="_Count Ledighedstal År" measure="1" displayFolder="" measureGroup="Ledighedstal År" count="0" hidden="1"/>
    <cacheHierarchy uniqueName="[Measures].[_Count Sommerdimittender År]" caption="_Count Sommerdimittender År" measure="1" displayFolder="" measureGroup="Sommerdimittender År" count="0" hidden="1"/>
    <cacheHierarchy uniqueName="[Measures].[_Count Sommerdimittender Kvartal]" caption="_Count Sommerdimittender Kvartal" measure="1" displayFolder="" measureGroup="Sommerdimittender Kvartal" count="0" hidden="1"/>
    <cacheHierarchy uniqueName="[Measures].[_Count Sommerdimittender]" caption="_Count Sommerdimittender" measure="1" displayFolder="" measureGroup="Sommerdimittender" count="0" hidden="1"/>
    <cacheHierarchy uniqueName="[Measures].[_Count Ledighedstal 12 måneder]" caption="_Count Ledighedstal 12 måneder" measure="1" displayFolder="" measureGroup="Ledighedstal 12 måneder" count="0" hidden="1"/>
    <cacheHierarchy uniqueName="[Measures].[Statusskift Tilgang Opdateret]" caption="Statusskift Tilgang Opdateret" measure="1" displayFolder="" measureGroup="Medlemstal Opdateret" count="0" hidden="1"/>
    <cacheHierarchy uniqueName="[Measures].[Statusskift Afgang Opdateret]" caption="Statusskift Afgang Opdateret" measure="1" displayFolder="" measureGroup="Medlemstal Opdateret" count="0" hidden="1"/>
    <cacheHierarchy uniqueName="[Measures].[Statusskift Tilgang]" caption="Statusskift Tilgang" measure="1" displayFolder="" measureGroup="Medlemstal" count="0" hidden="1"/>
    <cacheHierarchy uniqueName="[Measures].[Statusskift Afgang]" caption="Statusskift Afgang" measure="1" displayFolder="" measureGroup="Medlemstal" count="0" hidden="1"/>
    <cacheHierarchy uniqueName="[Measures].[Ledighedstal Normtimer Opdateret]" caption="Ledighedstal Normtimer Opdateret" measure="1" displayFolder="" measureGroup="Ledighedstal Opdateret" count="0" hidden="1"/>
    <cacheHierarchy uniqueName="[Measures].[Antal uger i perioden Opdateret]" caption="Antal uger i perioden Opdateret" measure="1" displayFolder="" measureGroup="Ledighedstal Opdateret" count="0" hidden="1"/>
    <cacheHierarchy uniqueName="[Measures].[Statusskift Netto Betalende Opdateret]" caption="Statusskift Netto Betalende Opdateret" measure="1" displayFolder="" measureGroup="Medlemstal Opdateret" count="0" hidden="1"/>
    <cacheHierarchy uniqueName="[Measures].[Statusskift Netto Ikke-Betalende Opdateret]" caption="Statusskift Netto Ikke-Betalende Opdateret" measure="1" displayFolder="" measureGroup="Medlemstal Opdateret" count="0" hidden="1"/>
    <cacheHierarchy uniqueName="[Measures].[Statusskift Netto Ikke-Betalende]" caption="Statusskift Netto Ikke-Betalende" measure="1" displayFolder="" measureGroup="Medlemstal" count="0" hidden="1"/>
    <cacheHierarchy uniqueName="[Measures].[Statusskift Netto Betalende]" caption="Statusskift Netto Betalende" measure="1" displayFolder="" measureGroup="Medlemstal" count="0" hidden="1"/>
    <cacheHierarchy uniqueName="[Measures].[Ledighedstal Normtimer]" caption="Ledighedstal Normtimer" measure="1" displayFolder="" measureGroup="Ledighedstal" count="0" hidden="1"/>
    <cacheHierarchy uniqueName="[Measures].[Antal uger i perioden]" caption="Antal uger i perioden" measure="1" displayFolder="" measureGroup="Ledighedstal" count="0" hidden="1"/>
    <cacheHierarchy uniqueName="[Measures].[Antal På Venteliste]" caption="Antal På Venteliste" measure="1" displayFolder="" measureGroup="Venteliste" count="0" hidden="1"/>
    <cacheHierarchy uniqueName="[Measures].[Normtimer Fuldtid]" caption="Normtimer Fuldtid" measure="1" displayFolder="" measureGroup="Normtimer Fuldtid" count="0" hidden="1"/>
    <cacheHierarchy uniqueName="[Measures].[AntalViderestillet]" caption="AntalViderestillet" measure="1" displayFolder="" measureGroup="Telefonopkald" count="0" hidden="1"/>
    <cacheHierarchy uniqueName="[Measures].[Gennemløbstid (minutter)]" caption="Gennemløbstid (minutter)" measure="1" displayFolder="" measureGroup="HelpDeskIncident" count="0" hidden="1"/>
    <cacheHierarchy uniqueName="[Measures].[Gennemløbstid (timer)]" caption="Gennemløbstid (timer)" measure="1" displayFolder="" measureGroup="HelpDeskIncident" count="0" hidden="1"/>
    <cacheHierarchy uniqueName="[Measures].[Antal Besvarede Incidents]" caption="Antal Besvarede Incidents" measure="1" displayFolder="" measureGroup="HelpDeskIncident" count="0" hidden="1"/>
    <cacheHierarchy uniqueName="[Measures].[Antal uger i perioden Kvartal]" caption="Antal uger i perioden Kvartal" measure="1" displayFolder="" measureGroup="Ledighedstal Kvartal" count="0" hidden="1"/>
    <cacheHierarchy uniqueName="[Measures].[Ledighedstal Normtimer Kvartal]" caption="Ledighedstal Normtimer Kvartal" measure="1" displayFolder="" measureGroup="Ledighedstal Kvartal" count="0" hidden="1"/>
    <cacheHierarchy uniqueName="[Measures].[Antal uger i perioden År]" caption="Antal uger i perioden År" measure="1" displayFolder="" measureGroup="Ledighedstal År" count="0" hidden="1"/>
    <cacheHierarchy uniqueName="[Measures].[Ledighedstal Normtimer År]" caption="Ledighedstal Normtimer År" measure="1" displayFolder="" measureGroup="Ledighedstal År" count="0" hidden="1"/>
    <cacheHierarchy uniqueName="[Measures].[Indgående Beskeder]" caption="Indgående Beskeder" measure="1" displayFolder="" measureGroup="Selvbetjeningsbeskeder" count="0" hidden="1"/>
    <cacheHierarchy uniqueName="[Measures].[Indgående Forsikring Kort Overskredet]" caption="Indgående Forsikring Kort Overskredet" measure="1" displayFolder="" measureGroup="Selvbetjeningsbeskeder" count="0" hidden="1"/>
    <cacheHierarchy uniqueName="[Measures].[Indgående Forsikring Lang Overskredet]" caption="Indgående Forsikring Lang Overskredet" measure="1" displayFolder="" measureGroup="Selvbetjeningsbeskeder" count="0" hidden="1"/>
    <cacheHierarchy uniqueName="[Measures].[Indgående Jobmatch Kort Overskredet]" caption="Indgående Jobmatch Kort Overskredet" measure="1" displayFolder="" measureGroup="Selvbetjeningsbeskeder" count="0" hidden="1"/>
    <cacheHierarchy uniqueName="[Measures].[Indgående Jobmatch Lang Overskredet]" caption="Indgående Jobmatch Lang Overskredet" measure="1" displayFolder="" measureGroup="Selvbetjeningsbeskeder" count="0" hidden="1"/>
    <cacheHierarchy uniqueName="[Measures].[_Udmeldelser Opdateret Goal]" caption="_Udmeldelser Opdateret Goal" measure="1" displayFolder="" measureGroup="Medlemstal Opdateret" count="0" hidden="1"/>
    <cacheHierarchy uniqueName="[Measures].[_Udmeldelser Opdateret Status]" caption="_Udmeldelser Opdateret Status" measure="1" displayFolder="" measureGroup="Medlemstal Opdateret" count="0" hidden="1"/>
    <cacheHierarchy uniqueName="[Measures].[_Indmeldelser Opdateret Goal]" caption="_Indmeldelser Opdateret Goal" measure="1" displayFolder="" measureGroup="Medlemstal Opdateret" count="0" hidden="1"/>
    <cacheHierarchy uniqueName="[Measures].[_Indmeldelser Opdateret Status]" caption="_Indmeldelser Opdateret Status" measure="1" displayFolder="" measureGroup="Medlemstal Opdateret" count="0" hidden="1"/>
    <cacheHierarchy uniqueName="[Measures].[_Indmeldelser Opdateret Sammenlignet Med Samme Periode Sidste År Goal]" caption="_Indmeldelser Opdateret Sammenlignet Med Samme Periode Sidste År Goal" measure="1" displayFolder="" measureGroup="Medlemstal Opdateret" count="0" hidden="1"/>
    <cacheHierarchy uniqueName="[Measures].[_Indmeldelser Opdateret Sammenlignet Med Samme Periode Sidste År Status]" caption="_Indmeldelser Opdateret Sammenlignet Med Samme Periode Sidste År Status" measure="1" displayFolder="" measureGroup="Medlemstal Opdateret" count="0" hidden="1"/>
    <cacheHierarchy uniqueName="[Measures].[_Udmeldelser Opdateret Sammenlignet Med Samme Periode Sidste År Goal]" caption="_Udmeldelser Opdateret Sammenlignet Med Samme Periode Sidste År Goal" measure="1" displayFolder="" measureGroup="Medlemstal Opdateret" count="0" hidden="1"/>
    <cacheHierarchy uniqueName="[Measures].[_Udmeldelser Opdateret Sammenlignet Med Samme Periode Sidste År Status]" caption="_Udmeldelser Opdateret Sammenlignet Med Samme Periode Sidste År Status" measure="1" displayFolder="" measureGroup="Medlemstal Opdateret" count="0" hidden="1"/>
    <cacheHierarchy uniqueName="[Measures].[_Indmeldelser Sammenlignet Med Samme Periode Sidste År Goal]" caption="_Indmeldelser Sammenlignet Med Samme Periode Sidste År Goal" measure="1" displayFolder="" measureGroup="Medlemstal" count="0" hidden="1"/>
    <cacheHierarchy uniqueName="[Measures].[_Indmeldelser Sammenlignet Med Samme Periode Sidste År Status]" caption="_Indmeldelser Sammenlignet Med Samme Periode Sidste År Status" measure="1" displayFolder="" measureGroup="Medlemstal" count="0" hidden="1"/>
    <cacheHierarchy uniqueName="[Measures].[_Udmeldelser Sammenlignet Med Samme Periode Sidste År Goal]" caption="_Udmeldelser Sammenlignet Med Samme Periode Sidste År Goal" measure="1" displayFolder="" measureGroup="Medlemstal" count="0" hidden="1"/>
    <cacheHierarchy uniqueName="[Measures].[_Udmeldelser Sammenlignet Med Samme Periode Sidste År Status]" caption="_Udmeldelser Sammenlignet Med Samme Periode Sidste År Status" measure="1" displayFolder="" measureGroup="Medlemstal" count="0" hidden="1"/>
    <cacheHierarchy uniqueName="[Measures].[_Forsikring Kort Overholdelse Goal]" caption="_Forsikring Kort Overholdelse Goal" measure="1" displayFolder="" measureGroup="Selvbetjeningsbeskeder" count="0" hidden="1"/>
    <cacheHierarchy uniqueName="[Measures].[_Forsikring Kort Overholdelse Status]" caption="_Forsikring Kort Overholdelse Status" measure="1" displayFolder="" measureGroup="Selvbetjeningsbeskeder" count="0" hidden="1"/>
    <cacheHierarchy uniqueName="[Measures].[_Jobmatch Kort Overholdelse Goal]" caption="_Jobmatch Kort Overholdelse Goal" measure="1" displayFolder="" measureGroup="Selvbetjeningsbeskeder" count="0" hidden="1"/>
    <cacheHierarchy uniqueName="[Measures].[_Jobmatch Kort Overholdelse Status]" caption="_Jobmatch Kort Overholdelse Status" measure="1" displayFolder="" measureGroup="Selvbetjeningsbeskeder" count="0" hidden="1"/>
    <cacheHierarchy uniqueName="[Measures].[_Jobmatch Lang Overholdelse Goal]" caption="_Jobmatch Lang Overholdelse Goal" measure="1" displayFolder="" measureGroup="Selvbetjeningsbeskeder" count="0" hidden="1"/>
    <cacheHierarchy uniqueName="[Measures].[_Jobmatch Lang Overholdelse Status]" caption="_Jobmatch Lang Overholdelse Status" measure="1" displayFolder="" measureGroup="Selvbetjeningsbeskeder" count="0" hidden="1"/>
    <cacheHierarchy uniqueName="[Measures].[_Forsikring Lang Overholdelse Goal]" caption="_Forsikring Lang Overholdelse Goal" measure="1" displayFolder="" measureGroup="Selvbetjeningsbeskeder" count="0" hidden="1"/>
    <cacheHierarchy uniqueName="[Measures].[_Forsikring Lang Overholdelse Status]" caption="_Forsikring Lang Overholdelse Status" measure="1" displayFolder="" measureGroup="Selvbetjeningsbeskeder" count="0" hidden="1"/>
  </cacheHierarchies>
  <kpis count="10">
    <kpi uniqueName="Udmeldelser Opdateret" caption="Udmeldelser Opdateret" displayFolder="" measureGroup="Medlemstal Opdateret" parent="" value="[Measures].[Udmeldelser Opdateret]" goal="[Measures].[_Udmeldelser Opdateret Goal]" status="[Measures].[_Udmeldelser Opdateret Status]" trend="" weight=""/>
    <kpi uniqueName="Indmeldelser Opdateret" caption="Indmeldelser Opdateret" displayFolder="" measureGroup="Medlemstal Opdateret" parent="" value="[Measures].[Indmeldelser Opdateret]" goal="[Measures].[_Indmeldelser Opdateret Goal]" status="[Measures].[_Indmeldelser Opdateret Status]" trend="" weight=""/>
    <kpi uniqueName="Indmeldelser Opdateret Sammenlignet Med Samme Periode Sidste År" caption="Indmeldelser Opdateret Sammenlignet Med Samme Periode Sidste År" displayFolder="" measureGroup="Medlemstal Opdateret" parent="" value="[Measures].[Indmeldelser Opdateret Sammenlignet Med Samme Periode Sidste År]" goal="[Measures].[_Indmeldelser Opdateret Sammenlignet Med Samme Periode Sidste År Goal]" status="[Measures].[_Indmeldelser Opdateret Sammenlignet Med Samme Periode Sidste År Status]" trend="" weight=""/>
    <kpi uniqueName="Udmeldelser Opdateret Sammenlignet Med Samme Periode Sidste År" caption="Udmeldelser Opdateret Sammenlignet Med Samme Periode Sidste År" displayFolder="" measureGroup="Medlemstal Opdateret" parent="" value="[Measures].[Udmeldelser Opdateret Sammenlignet Med Samme Periode Sidste År]" goal="[Measures].[_Udmeldelser Opdateret Sammenlignet Med Samme Periode Sidste År Goal]" status="[Measures].[_Udmeldelser Opdateret Sammenlignet Med Samme Periode Sidste År Status]" trend="" weight=""/>
    <kpi uniqueName="Indmeldelser Sammenlignet Med Samme Periode Sidste År" caption="Indmeldelser Sammenlignet Med Samme Periode Sidste År" displayFolder="" measureGroup="Medlemstal" parent="" value="[Measures].[Indmeldelser Sammenlignet Med Samme Periode Sidste År]" goal="[Measures].[_Indmeldelser Sammenlignet Med Samme Periode Sidste År Goal]" status="[Measures].[_Indmeldelser Sammenlignet Med Samme Periode Sidste År Status]" trend="" weight=""/>
    <kpi uniqueName="Udmeldelser Sammenlignet Med Samme Periode Sidste År" caption="Udmeldelser Sammenlignet Med Samme Periode Sidste År" displayFolder="" measureGroup="Medlemstal" parent="" value="[Measures].[Udmeldelser Sammenlignet Med Samme Periode Sidste År]" goal="[Measures].[_Udmeldelser Sammenlignet Med Samme Periode Sidste År Goal]" status="[Measures].[_Udmeldelser Sammenlignet Med Samme Periode Sidste År Status]" trend="" weight=""/>
    <kpi uniqueName="Forsikring Kort Overholdelse" caption="Forsikring Kort Overholdelse" displayFolder="" measureGroup="Selvbetjeningsbeskeder" parent="" value="[Measures].[Forsikring Kort Overholdelse]" goal="[Measures].[_Forsikring Kort Overholdelse Goal]" status="[Measures].[_Forsikring Kort Overholdelse Status]" trend="" weight=""/>
    <kpi uniqueName="Jobmatch Kort Overholdelse" caption="Jobmatch Kort Overholdelse" displayFolder="" measureGroup="Selvbetjeningsbeskeder" parent="" value="[Measures].[Jobmatch Kort Overholdelse]" goal="[Measures].[_Jobmatch Kort Overholdelse Goal]" status="[Measures].[_Jobmatch Kort Overholdelse Status]" trend="" weight=""/>
    <kpi uniqueName="Jobmatch Lang Overholdelse" caption="Jobmatch Lang Overholdelse" displayFolder="" measureGroup="Selvbetjeningsbeskeder" parent="" value="[Measures].[Jobmatch Lang Overholdelse]" goal="[Measures].[_Jobmatch Lang Overholdelse Goal]" status="[Measures].[_Jobmatch Lang Overholdelse Status]" trend="" weight=""/>
    <kpi uniqueName="Forsikring Lang Overholdelse" caption="Forsikring Lang Overholdelse" displayFolder="" measureGroup="Selvbetjeningsbeskeder" parent="" value="[Measures].[Forsikring Lang Overholdelse]" goal="[Measures].[_Forsikring Lang Overholdelse Goal]" status="[Measures].[_Forsikring Lang Overholdelse Status]" trend="" weight=""/>
  </kpis>
  <tupleCache>
    <entries count="32166">
      <n v="2.2421900525333011E-2" in="0">
        <tpls c="5">
          <tpl fld="11" item="0"/>
          <tpl fld="6" item="0"/>
          <tpl hier="208" item="4294967295"/>
          <tpl hier="236" item="0"/>
          <tpl fld="4" item="4"/>
        </tpls>
      </n>
      <n v="2.2733972246167366E-2" in="0">
        <tpls c="5">
          <tpl fld="3" item="0"/>
          <tpl fld="11" item="0"/>
          <tpl fld="6" item="0"/>
          <tpl hier="236" item="0"/>
          <tpl fld="4" item="3"/>
        </tpls>
      </n>
      <n v="1.8253155057924658E-2" in="0">
        <tpls c="5">
          <tpl fld="3" item="4"/>
          <tpl fld="11" item="0"/>
          <tpl fld="6" item="0"/>
          <tpl hier="236" item="0"/>
          <tpl fld="1" item="0"/>
        </tpls>
      </n>
      <n v="0.11604895484244283" in="0">
        <tpls c="5">
          <tpl fld="11" item="0"/>
          <tpl fld="2" item="1"/>
          <tpl fld="6" item="0"/>
          <tpl hier="236" item="0"/>
          <tpl fld="4" item="1"/>
        </tpls>
      </n>
      <n v="76.617162162162145" in="2">
        <tpls c="3">
          <tpl fld="6" item="2"/>
          <tpl hier="236" item="0"/>
          <tpl fld="4" item="5"/>
        </tpls>
      </n>
      <n v="0.25" in="0">
        <tpls c="5">
          <tpl fld="3" item="0"/>
          <tpl fld="11" item="0"/>
          <tpl fld="6" item="0"/>
          <tpl hier="236" item="0"/>
          <tpl fld="4" item="5"/>
        </tpls>
      </n>
      <n v="1064" in="1">
        <tpls c="3">
          <tpl fld="6" item="1"/>
          <tpl hier="236" item="0"/>
          <tpl fld="4" item="0"/>
        </tpls>
      </n>
      <n v="2.4015810953508944E-2" in="0">
        <tpls c="5">
          <tpl fld="11" item="0"/>
          <tpl fld="2" item="2"/>
          <tpl fld="6" item="0"/>
          <tpl hier="236" item="0"/>
          <tpl fld="4" item="4"/>
        </tpls>
      </n>
      <n v="124.42114864864864" in="2">
        <tpls c="3">
          <tpl fld="6" item="2"/>
          <tpl hier="236" item="0"/>
          <tpl fld="4" item="0"/>
        </tpls>
      </n>
      <n v="1.3113128287551141E-2" in="0">
        <tpls c="4">
          <tpl fld="11" item="0"/>
          <tpl fld="6" item="0"/>
          <tpl hier="236" item="0"/>
          <tpl fld="4" item="3"/>
        </tpls>
      </n>
      <n v="2.9152232165752096E-2" in="0">
        <tpls c="5">
          <tpl fld="11" item="0"/>
          <tpl fld="6" item="0"/>
          <tpl fld="8" item="0"/>
          <tpl hier="236" item="0"/>
          <tpl fld="1" item="0"/>
        </tpls>
      </n>
      <m>
        <tpls c="4">
          <tpl fld="7" item="929"/>
          <tpl fld="6" item="2"/>
          <tpl hier="236" item="0"/>
          <tpl fld="4" item="5"/>
        </tpls>
      </m>
      <m>
        <tpls c="4">
          <tpl fld="7" item="937"/>
          <tpl fld="6" item="2"/>
          <tpl hier="236" item="0"/>
          <tpl fld="4" item="5"/>
        </tpls>
      </m>
      <m>
        <tpls c="4">
          <tpl fld="7" item="945"/>
          <tpl fld="6" item="2"/>
          <tpl hier="236" item="0"/>
          <tpl fld="4" item="5"/>
        </tpls>
      </m>
      <n v="1" in="2">
        <tpls c="4">
          <tpl fld="7" item="953"/>
          <tpl fld="6" item="2"/>
          <tpl hier="236" item="0"/>
          <tpl fld="4" item="5"/>
        </tpls>
      </n>
      <n v="1301.8420945945945" in="2">
        <tpls c="4">
          <tpl fld="11" item="0"/>
          <tpl fld="6" item="2"/>
          <tpl hier="236" item="0"/>
          <tpl fld="1" item="0"/>
        </tpls>
      </n>
      <m>
        <tpls c="4">
          <tpl fld="7" item="1040"/>
          <tpl fld="6" item="2"/>
          <tpl hier="236" item="0"/>
          <tpl fld="4" item="5"/>
        </tpls>
      </m>
      <m>
        <tpls c="4">
          <tpl fld="7" item="942"/>
          <tpl fld="6" item="2"/>
          <tpl hier="236" item="0"/>
          <tpl fld="4" item="6"/>
        </tpls>
      </m>
      <n v="8.0886215368973988E-3" in="0">
        <tpls c="5">
          <tpl fld="11" item="0"/>
          <tpl fld="5" item="3"/>
          <tpl fld="6" item="0"/>
          <tpl hier="236" item="0"/>
          <tpl fld="4" item="6"/>
        </tpls>
      </n>
      <n v="3.9074069352371239E-2" in="0">
        <tpls c="5">
          <tpl fld="11" item="0"/>
          <tpl fld="2" item="0"/>
          <tpl fld="6" item="0"/>
          <tpl hier="236" item="0"/>
          <tpl fld="4" item="6"/>
        </tpls>
      </n>
      <m>
        <tpls c="5">
          <tpl fld="11" item="0"/>
          <tpl fld="5" item="1"/>
          <tpl fld="6" item="0"/>
          <tpl hier="236" item="0"/>
          <tpl fld="4" item="3"/>
        </tpls>
      </m>
      <n v="1.9388235673883803E-2" in="0">
        <tpls c="5">
          <tpl fld="11" item="0"/>
          <tpl fld="6" item="0"/>
          <tpl fld="8" item="1"/>
          <tpl hier="236" item="0"/>
          <tpl fld="4" item="4"/>
        </tpls>
      </n>
      <n v="9.556777440706013E-2" in="0">
        <tpls c="5">
          <tpl fld="11" item="0"/>
          <tpl fld="2" item="3"/>
          <tpl fld="6" item="0"/>
          <tpl hier="236" item="0"/>
          <tpl fld="4" item="1"/>
        </tpls>
      </n>
      <n v="9.2217675887030746E-3" in="0">
        <tpls c="5">
          <tpl fld="11" item="0"/>
          <tpl fld="5" item="0"/>
          <tpl fld="6" item="0"/>
          <tpl hier="236" item="0"/>
          <tpl fld="4" item="4"/>
        </tpls>
      </n>
      <n v="4.3897268517307242E-2" in="0">
        <tpls c="5">
          <tpl fld="11" item="0"/>
          <tpl fld="6" item="0"/>
          <tpl fld="8" item="1"/>
          <tpl hier="236" item="0"/>
          <tpl fld="4" item="5"/>
        </tpls>
      </n>
      <n v="4.9848511491322148E-2" in="0">
        <tpls c="5">
          <tpl hier="32" item="4294967295"/>
          <tpl fld="11" item="0"/>
          <tpl fld="6" item="0"/>
          <tpl hier="236" item="0"/>
          <tpl fld="4" item="5"/>
        </tpls>
      </n>
      <n v="1.3447785860258511E-2" in="0">
        <tpls c="5">
          <tpl fld="11" item="0"/>
          <tpl fld="2" item="1"/>
          <tpl fld="6" item="0"/>
          <tpl hier="236" item="0"/>
          <tpl fld="4" item="3"/>
        </tpls>
      </n>
      <n v="0.11645270270270269" in="0">
        <tpls c="5">
          <tpl fld="11" item="0"/>
          <tpl fld="5" item="2"/>
          <tpl fld="6" item="0"/>
          <tpl hier="236" item="0"/>
          <tpl fld="4" item="1"/>
        </tpls>
      </n>
      <n v="0.16563373718546132" in="0">
        <tpls c="5">
          <tpl fld="3" item="3"/>
          <tpl fld="11" item="0"/>
          <tpl fld="6" item="0"/>
          <tpl hier="236" item="0"/>
          <tpl fld="4" item="2"/>
        </tpls>
      </n>
      <m>
        <tpls c="4">
          <tpl fld="7" item="1138"/>
          <tpl fld="6" item="2"/>
          <tpl hier="236" item="0"/>
          <tpl fld="4" item="5"/>
        </tpls>
      </m>
      <m>
        <tpls c="4">
          <tpl fld="7" item="1146"/>
          <tpl fld="6" item="2"/>
          <tpl hier="236" item="0"/>
          <tpl fld="4" item="5"/>
        </tpls>
      </m>
      <m>
        <tpls c="4">
          <tpl fld="7" item="1154"/>
          <tpl fld="6" item="2"/>
          <tpl hier="236" item="0"/>
          <tpl fld="4" item="5"/>
        </tpls>
      </m>
      <m>
        <tpls c="4">
          <tpl fld="7" item="1162"/>
          <tpl fld="6" item="2"/>
          <tpl hier="236" item="0"/>
          <tpl fld="4" item="5"/>
        </tpls>
      </m>
      <m>
        <tpls c="5">
          <tpl fld="11" item="0"/>
          <tpl fld="5" item="2"/>
          <tpl fld="6" item="0"/>
          <tpl hier="236" item="0"/>
          <tpl fld="4" item="3"/>
        </tpls>
      </m>
      <m>
        <tpls c="4">
          <tpl fld="7" item="1050"/>
          <tpl fld="6" item="2"/>
          <tpl hier="236" item="0"/>
          <tpl fld="4" item="5"/>
        </tpls>
      </m>
      <m>
        <tpls c="4">
          <tpl fld="7" item="933"/>
          <tpl fld="6" item="2"/>
          <tpl hier="236" item="0"/>
          <tpl fld="4" item="6"/>
        </tpls>
      </m>
      <m>
        <tpls c="5">
          <tpl fld="11" item="0"/>
          <tpl fld="5" item="4"/>
          <tpl fld="6" item="0"/>
          <tpl hier="236" item="0"/>
          <tpl fld="4" item="3"/>
        </tpls>
      </m>
      <n v="1.3138159351779017E-2" in="0">
        <tpls c="5">
          <tpl fld="11" item="0"/>
          <tpl fld="2" item="3"/>
          <tpl fld="6" item="0"/>
          <tpl hier="236" item="0"/>
          <tpl fld="4" item="3"/>
        </tpls>
      </n>
      <n v="1.1420862840055734E-2" in="0">
        <tpls c="5">
          <tpl fld="11" item="0"/>
          <tpl fld="5" item="5"/>
          <tpl fld="6" item="0"/>
          <tpl hier="236" item="0"/>
          <tpl fld="4" item="7"/>
        </tpls>
      </n>
      <n v="6.0196078431372556E-2" in="0">
        <tpls c="5">
          <tpl fld="11" item="0"/>
          <tpl fld="6" item="0"/>
          <tpl fld="8" item="0"/>
          <tpl hier="236" item="0"/>
          <tpl fld="4" item="2"/>
        </tpls>
      </n>
      <n v="2.5953613187655742E-2" in="0">
        <tpls c="5">
          <tpl fld="11" item="0"/>
          <tpl fld="5" item="4"/>
          <tpl fld="6" item="0"/>
          <tpl hier="236" item="0"/>
          <tpl fld="4" item="0"/>
        </tpls>
      </n>
      <n v="2.5988931829646792E-2" in="0">
        <tpls c="5">
          <tpl fld="11" item="0"/>
          <tpl fld="2" item="0"/>
          <tpl fld="6" item="0"/>
          <tpl hier="236" item="0"/>
          <tpl fld="4" item="4"/>
        </tpls>
      </n>
      <n v="1.3113128287551141E-2" in="0">
        <tpls c="5">
          <tpl fld="11" item="0"/>
          <tpl fld="5" item="5"/>
          <tpl fld="6" item="0"/>
          <tpl hier="236" item="0"/>
          <tpl fld="4" item="3"/>
        </tpls>
      </n>
      <n v="0.10804438748579764" in="0">
        <tpls c="4">
          <tpl fld="11" item="0"/>
          <tpl fld="6" item="0"/>
          <tpl hier="236" item="0"/>
          <tpl fld="4" item="1"/>
        </tpls>
      </n>
      <n v="7.1103616019547664E-2" in="0">
        <tpls c="5">
          <tpl fld="11" item="0"/>
          <tpl fld="5" item="2"/>
          <tpl fld="6" item="0"/>
          <tpl hier="236" item="0"/>
          <tpl fld="1" item="0"/>
        </tpls>
      </n>
      <n v="2.3581639023783893E-2" in="0">
        <tpls c="5">
          <tpl fld="11" item="0"/>
          <tpl fld="2" item="3"/>
          <tpl fld="6" item="0"/>
          <tpl hier="236" item="0"/>
          <tpl fld="1" item="0"/>
        </tpls>
      </n>
      <m>
        <tpls c="5">
          <tpl fld="11" item="0"/>
          <tpl fld="5" item="1"/>
          <tpl fld="6" item="0"/>
          <tpl hier="236" item="0"/>
          <tpl fld="4" item="7"/>
        </tpls>
      </m>
      <n v="9.678456414934658E-3" in="0">
        <tpls c="5">
          <tpl fld="3" item="1"/>
          <tpl fld="11" item="0"/>
          <tpl fld="6" item="0"/>
          <tpl hier="236" item="0"/>
          <tpl fld="4" item="3"/>
        </tpls>
      </n>
      <m>
        <tpls c="4">
          <tpl fld="7" item="1139"/>
          <tpl fld="6" item="2"/>
          <tpl hier="236" item="0"/>
          <tpl fld="4" item="5"/>
        </tpls>
      </m>
      <m>
        <tpls c="4">
          <tpl fld="7" item="1147"/>
          <tpl fld="6" item="2"/>
          <tpl hier="236" item="0"/>
          <tpl fld="4" item="5"/>
        </tpls>
      </m>
      <m>
        <tpls c="4">
          <tpl fld="7" item="1155"/>
          <tpl fld="6" item="2"/>
          <tpl hier="236" item="0"/>
          <tpl fld="4" item="5"/>
        </tpls>
      </m>
      <m>
        <tpls c="4">
          <tpl fld="7" item="1163"/>
          <tpl fld="6" item="2"/>
          <tpl hier="236" item="0"/>
          <tpl fld="4" item="5"/>
        </tpls>
      </m>
      <n v="7.8331989228460422E-2" in="0">
        <tpls c="5">
          <tpl fld="3" item="2"/>
          <tpl fld="11" item="0"/>
          <tpl fld="6" item="0"/>
          <tpl hier="236" item="0"/>
          <tpl fld="4" item="4"/>
        </tpls>
      </n>
      <m>
        <tpls c="4">
          <tpl fld="7" item="1054"/>
          <tpl fld="6" item="2"/>
          <tpl hier="236" item="0"/>
          <tpl fld="4" item="5"/>
        </tpls>
      </m>
      <m>
        <tpls c="4">
          <tpl fld="7" item="939"/>
          <tpl fld="6" item="2"/>
          <tpl hier="236" item="0"/>
          <tpl fld="4" item="6"/>
        </tpls>
      </m>
      <n v="3.1254531343037649E-2" in="0">
        <tpls c="5">
          <tpl hier="32" item="4294967295"/>
          <tpl fld="11" item="0"/>
          <tpl fld="6" item="0"/>
          <tpl hier="236" item="0"/>
          <tpl fld="4" item="6"/>
        </tpls>
      </n>
      <n v="0.10804438748579764" in="0">
        <tpls c="5">
          <tpl hier="32" item="4294967295"/>
          <tpl fld="11" item="0"/>
          <tpl fld="6" item="0"/>
          <tpl hier="236" item="0"/>
          <tpl fld="4" item="1"/>
        </tpls>
      </n>
      <n v="0.30353925353925354" in="0">
        <tpls c="5">
          <tpl fld="11" item="0"/>
          <tpl fld="5" item="1"/>
          <tpl fld="6" item="0"/>
          <tpl hier="236" item="0"/>
          <tpl fld="4" item="5"/>
        </tpls>
      </n>
      <m>
        <tpls c="4">
          <tpl fld="7" item="946"/>
          <tpl fld="6" item="2"/>
          <tpl hier="236" item="0"/>
          <tpl fld="4" item="5"/>
        </tpls>
      </m>
      <n v="6.8807545640878973E-2" in="0">
        <tpls c="5">
          <tpl fld="3" item="4"/>
          <tpl fld="11" item="0"/>
          <tpl fld="6" item="0"/>
          <tpl hier="236" item="0"/>
          <tpl fld="4" item="1"/>
        </tpls>
      </n>
      <m>
        <tpls c="4">
          <tpl fld="7" item="965"/>
          <tpl fld="6" item="2"/>
          <tpl hier="236" item="0"/>
          <tpl fld="4" item="5"/>
        </tpls>
      </m>
      <m>
        <tpls c="4">
          <tpl fld="7" item="1033"/>
          <tpl fld="6" item="2"/>
          <tpl hier="236" item="0"/>
          <tpl fld="4" item="5"/>
        </tpls>
      </m>
      <n v="3.7037037037037035E-2" in="0">
        <tpls c="5">
          <tpl fld="3" item="0"/>
          <tpl fld="11" item="0"/>
          <tpl fld="6" item="0"/>
          <tpl hier="236" item="0"/>
          <tpl fld="4" item="1"/>
        </tpls>
      </n>
      <n v="1.3113128287551141E-2" in="0">
        <tpls c="5">
          <tpl hier="32" item="4294967295"/>
          <tpl fld="11" item="0"/>
          <tpl fld="6" item="0"/>
          <tpl hier="236" item="0"/>
          <tpl fld="4" item="3"/>
        </tpls>
      </n>
      <n v="2.1750777671830306E-2" in="0">
        <tpls c="5">
          <tpl fld="11" item="0"/>
          <tpl fld="5" item="4"/>
          <tpl fld="6" item="0"/>
          <tpl hier="236" item="0"/>
          <tpl fld="4" item="6"/>
        </tpls>
      </n>
      <m>
        <tpls c="4">
          <tpl fld="7" item="932"/>
          <tpl fld="6" item="2"/>
          <tpl hier="236" item="0"/>
          <tpl fld="4" item="5"/>
        </tpls>
      </m>
      <n v="0.21576043703277742" in="0">
        <tpls c="5">
          <tpl fld="11" item="0"/>
          <tpl fld="5" item="1"/>
          <tpl fld="6" item="0"/>
          <tpl hier="236" item="0"/>
          <tpl fld="4" item="4"/>
        </tpls>
      </n>
      <n v="1" in="2">
        <tpls c="4">
          <tpl fld="7" item="1032"/>
          <tpl fld="6" item="2"/>
          <tpl hier="236" item="0"/>
          <tpl fld="4" item="6"/>
        </tpls>
      </n>
      <n v="2.358490566037736E-2" in="0">
        <tpls c="5">
          <tpl fld="11" item="0"/>
          <tpl fld="2" item="3"/>
          <tpl fld="6" item="0"/>
          <tpl hier="236" item="0"/>
          <tpl fld="4" item="7"/>
        </tpls>
      </n>
      <m>
        <tpls c="4">
          <tpl fld="7" item="1230"/>
          <tpl fld="6" item="2"/>
          <tpl hier="236" item="0"/>
          <tpl fld="4" item="5"/>
        </tpls>
      </m>
      <n v="1.5625E-2" in="0">
        <tpls c="5">
          <tpl fld="11" item="0"/>
          <tpl fld="5" item="3"/>
          <tpl fld="6" item="0"/>
          <tpl hier="236" item="0"/>
          <tpl fld="4" item="2"/>
        </tpls>
      </n>
      <n v="9.4736842105263161E-2" in="0">
        <tpls c="5">
          <tpl fld="11" item="0"/>
          <tpl fld="2" item="4"/>
          <tpl fld="6" item="0"/>
          <tpl hier="236" item="0"/>
          <tpl fld="4" item="0"/>
        </tpls>
      </n>
      <n v="2.1482897318348397E-2" in="0">
        <tpls c="4">
          <tpl fld="11" item="0"/>
          <tpl fld="6" item="0"/>
          <tpl hier="236" item="0"/>
          <tpl fld="1" item="0"/>
        </tpls>
      </n>
      <n v="9.7966800935550935E-2" in="0">
        <tpls c="5">
          <tpl fld="11" item="0"/>
          <tpl fld="6" item="0"/>
          <tpl fld="8" item="1"/>
          <tpl hier="236" item="0"/>
          <tpl fld="4" item="0"/>
        </tpls>
      </n>
      <m>
        <tpls c="5">
          <tpl fld="11" item="0"/>
          <tpl fld="5" item="3"/>
          <tpl fld="6" item="0"/>
          <tpl hier="236" item="0"/>
          <tpl fld="4" item="7"/>
        </tpls>
      </m>
      <n v="1.2325179983476927E-2" in="0">
        <tpls c="5">
          <tpl fld="11" item="0"/>
          <tpl fld="2" item="2"/>
          <tpl fld="6" item="0"/>
          <tpl hier="236" item="0"/>
          <tpl fld="4" item="3"/>
        </tpls>
      </n>
      <n v="4.9848511491322148E-2" in="0">
        <tpls c="4">
          <tpl fld="11" item="0"/>
          <tpl fld="6" item="0"/>
          <tpl hier="236" item="0"/>
          <tpl fld="4" item="5"/>
        </tpls>
      </n>
      <n v="1.3055483976357387E-2" in="0">
        <tpls c="5">
          <tpl fld="11" item="0"/>
          <tpl fld="6" item="0"/>
          <tpl fld="8" item="1"/>
          <tpl hier="236" item="0"/>
          <tpl fld="4" item="3"/>
        </tpls>
      </n>
      <n v="3.3448275862068964E-2" in="0">
        <tpls c="5">
          <tpl fld="11" item="0"/>
          <tpl fld="5" item="3"/>
          <tpl fld="6" item="0"/>
          <tpl hier="236" item="0"/>
          <tpl fld="4" item="0"/>
        </tpls>
      </n>
      <n v="0.10532591414944356" in="0">
        <tpls c="5">
          <tpl fld="11" item="0"/>
          <tpl fld="2" item="3"/>
          <tpl fld="6" item="0"/>
          <tpl hier="236" item="0"/>
          <tpl fld="4" item="5"/>
        </tpls>
      </n>
      <n v="8.3977511863008045E-2" in="0">
        <tpls c="5">
          <tpl fld="11" item="0"/>
          <tpl fld="5" item="2"/>
          <tpl fld="6" item="0"/>
          <tpl hier="236" item="0"/>
          <tpl fld="4" item="6"/>
        </tpls>
      </n>
      <n v="14434" in="1">
        <tpls c="3">
          <tpl fld="6" item="1"/>
          <tpl hier="236" item="0"/>
          <tpl fld="4" item="6"/>
        </tpls>
      </n>
      <m>
        <tpls c="4">
          <tpl fld="7" item="931"/>
          <tpl fld="6" item="2"/>
          <tpl hier="236" item="0"/>
          <tpl fld="4" item="5"/>
        </tpls>
      </m>
      <m>
        <tpls c="4">
          <tpl fld="7" item="939"/>
          <tpl fld="6" item="2"/>
          <tpl hier="236" item="0"/>
          <tpl fld="4" item="5"/>
        </tpls>
      </m>
      <m>
        <tpls c="4">
          <tpl fld="7" item="947"/>
          <tpl fld="6" item="2"/>
          <tpl hier="236" item="0"/>
          <tpl fld="4" item="5"/>
        </tpls>
      </m>
      <m>
        <tpls c="4">
          <tpl fld="7" item="955"/>
          <tpl fld="6" item="2"/>
          <tpl hier="236" item="0"/>
          <tpl fld="4" item="5"/>
        </tpls>
      </m>
      <m>
        <tpls c="4">
          <tpl fld="7" item="1048"/>
          <tpl fld="6" item="2"/>
          <tpl hier="236" item="0"/>
          <tpl fld="4" item="5"/>
        </tpls>
      </m>
      <m>
        <tpls c="4">
          <tpl fld="7" item="1139"/>
          <tpl fld="6" item="1"/>
          <tpl hier="236" item="0"/>
          <tpl fld="4" item="5"/>
        </tpls>
      </m>
      <m>
        <tpls c="4">
          <tpl fld="7" item="938"/>
          <tpl fld="6" item="2"/>
          <tpl hier="236" item="0"/>
          <tpl fld="4" item="6"/>
        </tpls>
      </m>
      <n v="27298" in="1">
        <tpls c="3">
          <tpl fld="6" item="1"/>
          <tpl hier="236" item="0"/>
          <tpl fld="4" item="4"/>
        </tpls>
      </n>
      <n v="7.8994614003590671E-3" in="0">
        <tpls c="5">
          <tpl fld="11" item="0"/>
          <tpl fld="2" item="0"/>
          <tpl fld="6" item="0"/>
          <tpl hier="236" item="0"/>
          <tpl fld="4" item="3"/>
        </tpls>
      </n>
      <n v="3.5559101591710288E-2" in="0">
        <tpls c="5">
          <tpl fld="11" item="0"/>
          <tpl fld="5" item="5"/>
          <tpl fld="6" item="0"/>
          <tpl hier="236" item="0"/>
          <tpl fld="4" item="1"/>
        </tpls>
      </n>
      <n v="3.5038791097370431E-2" in="0">
        <tpls c="5">
          <tpl fld="11" item="0"/>
          <tpl fld="2" item="3"/>
          <tpl fld="6" item="0"/>
          <tpl hier="236" item="0"/>
          <tpl fld="4" item="6"/>
        </tpls>
      </n>
      <n v="642" in="1">
        <tpls c="3">
          <tpl fld="6" item="1"/>
          <tpl hier="236" item="0"/>
          <tpl fld="4" item="2"/>
        </tpls>
      </n>
      <n v="2.3459497943834801E-2" in="0">
        <tpls c="5">
          <tpl fld="11" item="0"/>
          <tpl fld="2" item="3"/>
          <tpl fld="6" item="0"/>
          <tpl hier="236" item="0"/>
          <tpl fld="4" item="4"/>
        </tpls>
      </n>
      <n v="3.507154213036566E-2" in="0">
        <tpls c="5">
          <tpl fld="11" item="0"/>
          <tpl fld="5" item="5"/>
          <tpl fld="6" item="0"/>
          <tpl hier="236" item="0"/>
          <tpl fld="4" item="5"/>
        </tpls>
      </n>
      <n v="3.7851419258454436E-2" in="0">
        <tpls c="5">
          <tpl fld="3" item="1"/>
          <tpl fld="11" item="0"/>
          <tpl fld="6" item="0"/>
          <tpl hier="236" item="0"/>
          <tpl fld="4" item="5"/>
        </tpls>
      </n>
      <n v="0.11955221924510717" in="0">
        <tpls c="5">
          <tpl fld="11" item="0"/>
          <tpl fld="2" item="1"/>
          <tpl fld="6" item="0"/>
          <tpl hier="236" item="0"/>
          <tpl fld="4" item="0"/>
        </tpls>
      </n>
      <n v="2.2421900525333011E-2" in="0">
        <tpls c="5">
          <tpl hier="32" item="4294967295"/>
          <tpl fld="11" item="0"/>
          <tpl fld="6" item="0"/>
          <tpl hier="236" item="0"/>
          <tpl fld="4" item="4"/>
        </tpls>
      </n>
      <n v="2.3418362182407126E-2" in="0">
        <tpls c="5">
          <tpl fld="11" item="0"/>
          <tpl fld="5" item="4"/>
          <tpl fld="6" item="0"/>
          <tpl hier="236" item="0"/>
          <tpl fld="4" item="5"/>
        </tpls>
      </n>
      <m>
        <tpls c="4">
          <tpl fld="7" item="1133"/>
          <tpl fld="6" item="2"/>
          <tpl hier="236" item="0"/>
          <tpl fld="4" item="5"/>
        </tpls>
      </m>
      <m>
        <tpls c="4">
          <tpl fld="7" item="1140"/>
          <tpl fld="6" item="2"/>
          <tpl hier="236" item="0"/>
          <tpl fld="4" item="5"/>
        </tpls>
      </m>
      <m>
        <tpls c="4">
          <tpl fld="7" item="1148"/>
          <tpl fld="6" item="2"/>
          <tpl hier="236" item="0"/>
          <tpl fld="4" item="5"/>
        </tpls>
      </m>
      <m>
        <tpls c="4">
          <tpl fld="7" item="1156"/>
          <tpl fld="6" item="2"/>
          <tpl hier="236" item="0"/>
          <tpl fld="4" item="5"/>
        </tpls>
      </m>
      <m>
        <tpls c="4">
          <tpl fld="7" item="1164"/>
          <tpl fld="6" item="2"/>
          <tpl hier="236" item="0"/>
          <tpl fld="4" item="5"/>
        </tpls>
      </m>
      <n v="6042" in="1">
        <tpls c="3">
          <tpl fld="6" item="1"/>
          <tpl hier="236" item="0"/>
          <tpl fld="4" item="1"/>
        </tpls>
      </n>
      <m>
        <tpls c="4">
          <tpl fld="7" item="1058"/>
          <tpl fld="6" item="2"/>
          <tpl hier="236" item="0"/>
          <tpl fld="4" item="5"/>
        </tpls>
      </m>
      <m>
        <tpls c="4">
          <tpl fld="7" item="929"/>
          <tpl fld="6" item="2"/>
          <tpl hier="236" item="0"/>
          <tpl fld="4" item="6"/>
        </tpls>
      </m>
      <m>
        <tpls c="4">
          <tpl fld="7" item="1146"/>
          <tpl fld="6" item="1"/>
          <tpl hier="236" item="0"/>
          <tpl fld="4" item="5"/>
        </tpls>
      </m>
      <m>
        <tpls c="4">
          <tpl fld="7" item="945"/>
          <tpl fld="6" item="2"/>
          <tpl hier="236" item="0"/>
          <tpl fld="4" item="6"/>
        </tpls>
      </m>
      <n v="9.5927001768123271E-2" in="0">
        <tpls c="5">
          <tpl fld="11" item="0"/>
          <tpl fld="2" item="4"/>
          <tpl fld="6" item="0"/>
          <tpl hier="236" item="0"/>
          <tpl fld="4" item="1"/>
        </tpls>
      </n>
      <n v="5.4505556958827986E-2" in="0">
        <tpls c="5">
          <tpl fld="3" item="4"/>
          <tpl fld="11" item="0"/>
          <tpl fld="6" item="0"/>
          <tpl hier="236" item="0"/>
          <tpl fld="4" item="0"/>
        </tpls>
      </n>
      <m>
        <tpls c="5">
          <tpl fld="11" item="0"/>
          <tpl fld="5" item="0"/>
          <tpl fld="6" item="0"/>
          <tpl hier="236" item="0"/>
          <tpl fld="4" item="3"/>
        </tpls>
      </m>
      <n v="451.27790540540542" in="2">
        <tpls c="3">
          <tpl fld="6" item="2"/>
          <tpl hier="236" item="0"/>
          <tpl fld="4" item="6"/>
        </tpls>
      </n>
      <n v="1.1420862840055734E-2" in="0">
        <tpls c="4">
          <tpl fld="11" item="0"/>
          <tpl fld="6" item="0"/>
          <tpl hier="236" item="0"/>
          <tpl fld="4" item="7"/>
        </tpls>
      </n>
      <n v="9.5718083423001459E-3" in="0">
        <tpls c="5">
          <tpl fld="3" item="1"/>
          <tpl fld="11" item="0"/>
          <tpl fld="6" item="0"/>
          <tpl hier="236" item="0"/>
          <tpl fld="4" item="7"/>
        </tpls>
      </n>
      <n v="6.4890977934456201E-3" in="0">
        <tpls c="5">
          <tpl fld="11" item="0"/>
          <tpl fld="5" item="0"/>
          <tpl fld="6" item="0"/>
          <tpl hier="236" item="0"/>
          <tpl fld="4" item="1"/>
        </tpls>
      </n>
      <m>
        <tpls c="4">
          <tpl fld="7" item="999"/>
          <tpl fld="6" item="2"/>
          <tpl hier="236" item="0"/>
          <tpl fld="4" item="1"/>
        </tpls>
      </m>
      <n v="2.1482897318348397E-2" in="0">
        <tpls c="5">
          <tpl hier="32" item="4294967295"/>
          <tpl fld="11" item="0"/>
          <tpl fld="6" item="0"/>
          <tpl hier="236" item="0"/>
          <tpl fld="1" item="0"/>
        </tpls>
      </n>
      <n v="1.3888888888888888E-2" in="0">
        <tpls c="5">
          <tpl fld="11" item="0"/>
          <tpl fld="2" item="4"/>
          <tpl fld="6" item="0"/>
          <tpl hier="236" item="0"/>
          <tpl fld="4" item="5"/>
        </tpls>
      </n>
      <m>
        <tpls c="4">
          <tpl fld="7" item="1031"/>
          <tpl fld="6" item="2"/>
          <tpl hier="236" item="0"/>
          <tpl fld="4" item="5"/>
        </tpls>
      </m>
      <m>
        <tpls c="4">
          <tpl fld="7" item="1141"/>
          <tpl fld="6" item="2"/>
          <tpl hier="236" item="0"/>
          <tpl fld="4" item="5"/>
        </tpls>
      </m>
      <m>
        <tpls c="4">
          <tpl fld="7" item="1149"/>
          <tpl fld="6" item="2"/>
          <tpl hier="236" item="0"/>
          <tpl fld="4" item="5"/>
        </tpls>
      </m>
      <m>
        <tpls c="4">
          <tpl fld="7" item="1157"/>
          <tpl fld="6" item="2"/>
          <tpl hier="236" item="0"/>
          <tpl fld="4" item="5"/>
        </tpls>
      </m>
      <m>
        <tpls c="4">
          <tpl fld="7" item="1165"/>
          <tpl fld="6" item="2"/>
          <tpl hier="236" item="0"/>
          <tpl fld="4" item="5"/>
        </tpls>
      </m>
      <m>
        <tpls c="4">
          <tpl fld="7" item="927"/>
          <tpl fld="6" item="2"/>
          <tpl hier="236" item="0"/>
          <tpl fld="4" item="5"/>
        </tpls>
      </m>
      <m>
        <tpls c="4">
          <tpl fld="7" item="1062"/>
          <tpl fld="6" item="2"/>
          <tpl hier="236" item="0"/>
          <tpl fld="4" item="5"/>
        </tpls>
      </m>
      <m>
        <tpls c="4">
          <tpl fld="7" item="1183"/>
          <tpl fld="6" item="2"/>
          <tpl hier="236" item="0"/>
          <tpl fld="4" item="5"/>
        </tpls>
      </m>
      <n v="2" in="1">
        <tpls c="4">
          <tpl fld="7" item="1136"/>
          <tpl fld="6" item="1"/>
          <tpl hier="236" item="0"/>
          <tpl fld="4" item="5"/>
        </tpls>
      </n>
      <m>
        <tpls c="4">
          <tpl fld="7" item="935"/>
          <tpl fld="6" item="2"/>
          <tpl hier="236" item="0"/>
          <tpl fld="4" item="6"/>
        </tpls>
      </m>
      <n v="1.1607414083564357E-2" in="0">
        <tpls c="5">
          <tpl fld="11" item="0"/>
          <tpl fld="5" item="5"/>
          <tpl fld="6" item="0"/>
          <tpl hier="236" item="0"/>
          <tpl fld="1" item="0"/>
        </tpls>
      </n>
      <m>
        <tpls c="5">
          <tpl fld="3" item="2"/>
          <tpl fld="11" item="0"/>
          <tpl fld="6" item="0"/>
          <tpl hier="236" item="0"/>
          <tpl fld="4" item="3"/>
        </tpls>
      </m>
      <n v="0.18129096627703573" in="0">
        <tpls c="5">
          <tpl fld="3" item="2"/>
          <tpl fld="11" item="0"/>
          <tpl fld="6" item="0"/>
          <tpl hier="236" item="0"/>
          <tpl fld="4" item="1"/>
        </tpls>
      </n>
      <n v="2.9235630979817028E-2" in="0">
        <tpls c="5">
          <tpl fld="11" item="0"/>
          <tpl fld="6" item="0"/>
          <tpl fld="8" item="1"/>
          <tpl hier="236" item="0"/>
          <tpl fld="4" item="2"/>
        </tpls>
      </n>
      <m>
        <tpls c="4">
          <tpl fld="7" item="954"/>
          <tpl fld="6" item="2"/>
          <tpl hier="236" item="0"/>
          <tpl fld="4" item="5"/>
        </tpls>
      </m>
      <m>
        <tpls c="4">
          <tpl fld="7" item="1149"/>
          <tpl fld="6" item="1"/>
          <tpl hier="236" item="0"/>
          <tpl fld="4" item="5"/>
        </tpls>
      </m>
      <m>
        <tpls c="4">
          <tpl fld="7" item="875"/>
          <tpl fld="6" item="2"/>
          <tpl hier="236" item="0"/>
          <tpl fld="4" item="5"/>
        </tpls>
      </m>
      <m>
        <tpls c="4">
          <tpl fld="7" item="959"/>
          <tpl fld="6" item="2"/>
          <tpl hier="236" item="0"/>
          <tpl fld="4" item="5"/>
        </tpls>
      </m>
      <m>
        <tpls c="4">
          <tpl fld="7" item="967"/>
          <tpl fld="6" item="2"/>
          <tpl hier="236" item="0"/>
          <tpl fld="4" item="5"/>
        </tpls>
      </m>
      <m>
        <tpls c="4">
          <tpl fld="7" item="1033"/>
          <tpl fld="6" item="1"/>
          <tpl hier="236" item="0"/>
          <tpl fld="4" item="5"/>
        </tpls>
      </m>
      <n v="1.1026833779642769E-2" in="0">
        <tpls c="5">
          <tpl fld="11" item="0"/>
          <tpl fld="2" item="4"/>
          <tpl fld="6" item="0"/>
          <tpl hier="236" item="0"/>
          <tpl fld="4" item="4"/>
        </tpls>
      </n>
      <m>
        <tpls c="4">
          <tpl fld="7" item="1041"/>
          <tpl fld="6" item="2"/>
          <tpl hier="236" item="0"/>
          <tpl fld="4" item="5"/>
        </tpls>
      </m>
      <n v="5.0962837837837838E-2" in="0">
        <tpls c="5">
          <tpl fld="11" item="0"/>
          <tpl fld="2" item="1"/>
          <tpl fld="6" item="0"/>
          <tpl hier="236" item="0"/>
          <tpl fld="4" item="2"/>
        </tpls>
      </n>
      <n v="1.3423019112037063E-2" in="0">
        <tpls c="5">
          <tpl fld="11" item="0"/>
          <tpl fld="2" item="4"/>
          <tpl fld="6" item="0"/>
          <tpl hier="236" item="0"/>
          <tpl fld="1" item="0"/>
        </tpls>
      </n>
      <n v="9.9273344837643412E-2" in="0">
        <tpls c="5">
          <tpl fld="11" item="0"/>
          <tpl fld="2" item="2"/>
          <tpl fld="6" item="0"/>
          <tpl hier="236" item="0"/>
          <tpl fld="4" item="1"/>
        </tpls>
      </n>
      <m>
        <tpls c="4">
          <tpl fld="7" item="940"/>
          <tpl fld="6" item="2"/>
          <tpl hier="236" item="0"/>
          <tpl fld="4" item="5"/>
        </tpls>
      </m>
      <m>
        <tpls c="4">
          <tpl fld="7" item="1052"/>
          <tpl fld="6" item="2"/>
          <tpl hier="236" item="0"/>
          <tpl fld="4" item="5"/>
        </tpls>
      </m>
      <m>
        <tpls c="4">
          <tpl fld="7" item="1262"/>
          <tpl fld="6" item="2"/>
          <tpl hier="236" item="0"/>
          <tpl fld="4" item="5"/>
        </tpls>
      </m>
      <n v="1.7458022083324261E-2" in="0">
        <tpls c="5">
          <tpl fld="3" item="0"/>
          <tpl fld="11" item="0"/>
          <tpl fld="6" item="0"/>
          <tpl hier="236" item="0"/>
          <tpl fld="1" item="0"/>
        </tpls>
      </n>
      <n v="2.3255813953488372E-2" in="0">
        <tpls c="5">
          <tpl fld="11" item="0"/>
          <tpl fld="2" item="2"/>
          <tpl fld="6" item="0"/>
          <tpl hier="236" item="0"/>
          <tpl fld="4" item="2"/>
        </tpls>
      </n>
      <n v="1.3307129078426086E-2" in="0">
        <tpls c="5">
          <tpl fld="11" item="0"/>
          <tpl fld="5" item="5"/>
          <tpl fld="6" item="0"/>
          <tpl hier="236" item="0"/>
          <tpl fld="4" item="6"/>
        </tpls>
      </n>
      <n v="3.1254531343037649E-2" in="0">
        <tpls c="4">
          <tpl fld="11" item="0"/>
          <tpl fld="6" item="0"/>
          <tpl hier="236" item="0"/>
          <tpl fld="4" item="6"/>
        </tpls>
      </n>
      <n v="1.9674915591759132E-2" in="0">
        <tpls c="5">
          <tpl fld="3" item="4"/>
          <tpl fld="11" item="0"/>
          <tpl fld="6" item="0"/>
          <tpl hier="236" item="0"/>
          <tpl fld="4" item="6"/>
        </tpls>
      </n>
      <n v="5.3971486761710792E-3" in="0">
        <tpls c="5">
          <tpl fld="11" item="0"/>
          <tpl fld="2" item="2"/>
          <tpl fld="6" item="0"/>
          <tpl hier="236" item="0"/>
          <tpl fld="4" item="7"/>
        </tpls>
      </n>
      <n v="9.5470446934119626E-3" in="0">
        <tpls c="5">
          <tpl fld="11" item="0"/>
          <tpl fld="5" item="5"/>
          <tpl fld="6" item="0"/>
          <tpl hier="236" item="0"/>
          <tpl fld="4" item="4"/>
        </tpls>
      </n>
      <n v="3.9215686274509803E-2" in="0">
        <tpls c="5">
          <tpl fld="3" item="3"/>
          <tpl fld="11" item="0"/>
          <tpl fld="6" item="0"/>
          <tpl hier="236" item="0"/>
          <tpl fld="4" item="0"/>
        </tpls>
      </n>
      <n v="2.4927283876342094E-2" in="0">
        <tpls c="5">
          <tpl fld="11" item="0"/>
          <tpl fld="2" item="0"/>
          <tpl fld="6" item="0"/>
          <tpl hier="236" item="0"/>
          <tpl fld="1" item="0"/>
        </tpls>
      </n>
      <n v="1.3327134848616225E-2" in="0">
        <tpls c="5">
          <tpl fld="3" item="3"/>
          <tpl fld="11" item="0"/>
          <tpl fld="6" item="0"/>
          <tpl hier="236" item="0"/>
          <tpl fld="4" item="3"/>
        </tpls>
      </n>
      <n v="0.16117463617463615" in="0">
        <tpls c="5">
          <tpl fld="11" item="0"/>
          <tpl fld="5" item="1"/>
          <tpl fld="6" item="0"/>
          <tpl hier="236" item="0"/>
          <tpl fld="4" item="2"/>
        </tpls>
      </n>
      <m>
        <tpls c="4">
          <tpl fld="7" item="933"/>
          <tpl fld="6" item="2"/>
          <tpl hier="236" item="0"/>
          <tpl fld="4" item="5"/>
        </tpls>
      </m>
      <n v="1" in="2">
        <tpls c="4">
          <tpl fld="7" item="941"/>
          <tpl fld="6" item="2"/>
          <tpl hier="236" item="0"/>
          <tpl fld="4" item="5"/>
        </tpls>
      </n>
      <m>
        <tpls c="4">
          <tpl fld="7" item="949"/>
          <tpl fld="6" item="2"/>
          <tpl hier="236" item="0"/>
          <tpl fld="4" item="5"/>
        </tpls>
      </m>
      <m>
        <tpls c="4">
          <tpl fld="7" item="957"/>
          <tpl fld="6" item="2"/>
          <tpl hier="236" item="0"/>
          <tpl fld="4" item="5"/>
        </tpls>
      </m>
      <n v="3.1593539006950937E-2" in="0">
        <tpls c="5">
          <tpl fld="11" item="0"/>
          <tpl fld="6" item="0"/>
          <tpl fld="8" item="0"/>
          <tpl hier="236" item="0"/>
          <tpl fld="4" item="4"/>
        </tpls>
      </n>
      <n v="1" in="2">
        <tpls c="4">
          <tpl fld="7" item="1056"/>
          <tpl fld="6" item="2"/>
          <tpl hier="236" item="0"/>
          <tpl fld="4" item="5"/>
        </tpls>
      </n>
      <m>
        <tpls c="4">
          <tpl fld="7" item="973"/>
          <tpl fld="6" item="2"/>
          <tpl hier="236" item="0"/>
          <tpl fld="4" item="5"/>
        </tpls>
      </m>
      <m>
        <tpls c="4">
          <tpl fld="7" item="1224"/>
          <tpl fld="6" item="1"/>
          <tpl hier="236" item="0"/>
          <tpl fld="4" item="5"/>
        </tpls>
      </m>
      <m>
        <tpls c="4">
          <tpl fld="7" item="934"/>
          <tpl fld="6" item="2"/>
          <tpl hier="236" item="0"/>
          <tpl fld="4" item="6"/>
        </tpls>
      </m>
      <m>
        <tpls c="4">
          <tpl fld="7" item="1043"/>
          <tpl fld="6" item="1"/>
          <tpl hier="236" item="0"/>
          <tpl fld="1" item="0"/>
        </tpls>
      </m>
      <m>
        <tpls c="4">
          <tpl fld="7" item="1151"/>
          <tpl fld="6" item="1"/>
          <tpl hier="236" item="0"/>
          <tpl fld="4" item="5"/>
        </tpls>
      </m>
      <n v="1.2143757921825189E-2" in="0">
        <tpls c="5">
          <tpl fld="11" item="0"/>
          <tpl fld="5" item="0"/>
          <tpl fld="6" item="0"/>
          <tpl hier="236" item="0"/>
          <tpl fld="4" item="6"/>
        </tpls>
      </n>
      <n v="3.7898074027106279E-2" in="0">
        <tpls c="5">
          <tpl fld="3" item="1"/>
          <tpl fld="11" item="0"/>
          <tpl fld="6" item="0"/>
          <tpl hier="236" item="0"/>
          <tpl fld="4" item="1"/>
        </tpls>
      </n>
      <n v="2.7027027027027029E-2" in="0">
        <tpls c="5">
          <tpl fld="11" item="0"/>
          <tpl fld="5" item="4"/>
          <tpl fld="6" item="0"/>
          <tpl hier="236" item="0"/>
          <tpl fld="4" item="2"/>
        </tpls>
      </n>
      <n v="2.1666551461947878E-2" in="0">
        <tpls c="5">
          <tpl fld="11" item="0"/>
          <tpl fld="5" item="0"/>
          <tpl fld="6" item="0"/>
          <tpl hier="236" item="0"/>
          <tpl fld="4" item="5"/>
        </tpls>
      </n>
      <n v="7.098765432098765E-2" in="0">
        <tpls c="5">
          <tpl fld="3" item="2"/>
          <tpl fld="11" item="0"/>
          <tpl fld="6" item="0"/>
          <tpl hier="236" item="0"/>
          <tpl fld="4" item="2"/>
        </tpls>
      </n>
      <n v="0.25404673216088269" in="0">
        <tpls c="5">
          <tpl fld="11" item="0"/>
          <tpl fld="5" item="1"/>
          <tpl fld="6" item="0"/>
          <tpl hier="236" item="0"/>
          <tpl fld="1" item="0"/>
        </tpls>
      </n>
      <n v="2.1482897318348397E-2" in="0">
        <tpls c="5">
          <tpl fld="11" item="0"/>
          <tpl fld="6" item="0"/>
          <tpl hier="208" item="4294967295"/>
          <tpl hier="236" item="0"/>
          <tpl fld="1" item="0"/>
        </tpls>
      </n>
      <n v="4.1533004967584407E-2" in="0">
        <tpls c="5">
          <tpl hier="32" item="4294967295"/>
          <tpl fld="11" item="0"/>
          <tpl fld="6" item="0"/>
          <tpl hier="236" item="0"/>
          <tpl fld="4" item="2"/>
        </tpls>
      </n>
      <n v="13688" in="1">
        <tpls c="3">
          <tpl fld="6" item="1"/>
          <tpl hier="236" item="0"/>
          <tpl fld="4" item="3"/>
        </tpls>
      </n>
      <m>
        <tpls c="4">
          <tpl fld="7" item="928"/>
          <tpl fld="6" item="2"/>
          <tpl hier="236" item="0"/>
          <tpl fld="4" item="5"/>
        </tpls>
      </m>
      <m>
        <tpls c="4">
          <tpl fld="7" item="1142"/>
          <tpl fld="6" item="2"/>
          <tpl hier="236" item="0"/>
          <tpl fld="4" item="5"/>
        </tpls>
      </m>
      <m>
        <tpls c="4">
          <tpl fld="7" item="1150"/>
          <tpl fld="6" item="2"/>
          <tpl hier="236" item="0"/>
          <tpl fld="4" item="5"/>
        </tpls>
      </m>
      <m>
        <tpls c="4">
          <tpl fld="7" item="1158"/>
          <tpl fld="6" item="2"/>
          <tpl hier="236" item="0"/>
          <tpl fld="4" item="5"/>
        </tpls>
      </m>
      <n v="0.12335248185929122" in="0">
        <tpls c="5">
          <tpl fld="11" item="0"/>
          <tpl fld="2" item="0"/>
          <tpl fld="6" item="0"/>
          <tpl hier="236" item="0"/>
          <tpl fld="4" item="1"/>
        </tpls>
      </n>
      <m>
        <tpls c="4">
          <tpl fld="7" item="1034"/>
          <tpl fld="6" item="2"/>
          <tpl hier="236" item="0"/>
          <tpl fld="4" item="5"/>
        </tpls>
      </m>
      <m>
        <tpls c="4">
          <tpl fld="7" item="1081"/>
          <tpl fld="6" item="1"/>
          <tpl hier="236" item="0"/>
          <tpl fld="4" item="5"/>
        </tpls>
      </m>
      <n v="7" in="1">
        <tpls c="4">
          <tpl fld="7" item="1034"/>
          <tpl fld="6" item="1"/>
          <tpl hier="236" item="0"/>
          <tpl fld="1" item="0"/>
        </tpls>
      </n>
      <m>
        <tpls c="4">
          <tpl fld="7" item="1142"/>
          <tpl fld="6" item="1"/>
          <tpl hier="236" item="0"/>
          <tpl fld="4" item="5"/>
        </tpls>
      </m>
      <m>
        <tpls c="4">
          <tpl fld="7" item="941"/>
          <tpl fld="6" item="2"/>
          <tpl hier="236" item="0"/>
          <tpl fld="4" item="6"/>
        </tpls>
      </m>
      <n v="2.2421900525333011E-2" in="0">
        <tpls c="4">
          <tpl fld="11" item="0"/>
          <tpl fld="6" item="0"/>
          <tpl hier="236" item="0"/>
          <tpl fld="4" item="4"/>
        </tpls>
      </n>
      <n v="1.1420862840055734E-2" in="0">
        <tpls c="5">
          <tpl fld="11" item="0"/>
          <tpl fld="6" item="0"/>
          <tpl hier="208" item="4294967295"/>
          <tpl hier="236" item="0"/>
          <tpl fld="4" item="7"/>
        </tpls>
      </n>
      <n v="4.7619047619047616E-2" in="0">
        <tpls c="5">
          <tpl fld="3" item="4"/>
          <tpl fld="11" item="0"/>
          <tpl fld="6" item="0"/>
          <tpl hier="236" item="0"/>
          <tpl fld="4" item="7"/>
        </tpls>
      </n>
      <n v="1.2939202355122074E-2" in="0">
        <tpls c="5">
          <tpl fld="3" item="3"/>
          <tpl fld="11" item="0"/>
          <tpl fld="6" item="0"/>
          <tpl hier="236" item="0"/>
          <tpl fld="4" item="4"/>
        </tpls>
      </n>
      <n v="1.1420862840055734E-2" in="0">
        <tpls c="5">
          <tpl hier="32" item="4294967295"/>
          <tpl fld="11" item="0"/>
          <tpl fld="6" item="0"/>
          <tpl hier="236" item="0"/>
          <tpl fld="4" item="7"/>
        </tpls>
      </n>
      <n v="1.0637660102691416E-2" in="0">
        <tpls c="5">
          <tpl fld="3" item="1"/>
          <tpl fld="11" item="0"/>
          <tpl fld="6" item="0"/>
          <tpl hier="236" item="0"/>
          <tpl fld="1" item="0"/>
        </tpls>
      </n>
      <m>
        <tpls c="5">
          <tpl fld="3" item="4"/>
          <tpl fld="11" item="0"/>
          <tpl fld="6" item="0"/>
          <tpl hier="236" item="0"/>
          <tpl fld="4" item="3"/>
        </tpls>
      </m>
      <n v="2.3351351351351354E-2" in="0">
        <tpls c="5">
          <tpl fld="11" item="0"/>
          <tpl fld="2" item="3"/>
          <tpl fld="6" item="0"/>
          <tpl hier="236" item="0"/>
          <tpl fld="4" item="2"/>
        </tpls>
      </n>
      <n v="4.9848511491322148E-2" in="0">
        <tpls c="5">
          <tpl fld="11" item="0"/>
          <tpl fld="6" item="0"/>
          <tpl hier="208" item="4294967295"/>
          <tpl hier="236" item="0"/>
          <tpl fld="4" item="5"/>
        </tpls>
      </n>
      <n v="0.18496883737185463" in="0">
        <tpls c="5">
          <tpl fld="11" item="0"/>
          <tpl fld="6" item="0"/>
          <tpl fld="8" item="0"/>
          <tpl hier="236" item="0"/>
          <tpl fld="4" item="0"/>
        </tpls>
      </n>
      <m>
        <tpls c="4">
          <tpl fld="7" item="1224"/>
          <tpl fld="6" item="2"/>
          <tpl hier="236" item="0"/>
          <tpl fld="4" item="5"/>
        </tpls>
      </m>
      <m>
        <tpls c="4">
          <tpl fld="7" item="1143"/>
          <tpl fld="6" item="2"/>
          <tpl hier="236" item="0"/>
          <tpl fld="4" item="5"/>
        </tpls>
      </m>
      <m>
        <tpls c="4">
          <tpl fld="7" item="1151"/>
          <tpl fld="6" item="2"/>
          <tpl hier="236" item="0"/>
          <tpl fld="4" item="5"/>
        </tpls>
      </m>
      <m>
        <tpls c="4">
          <tpl fld="7" item="1159"/>
          <tpl fld="6" item="2"/>
          <tpl hier="236" item="0"/>
          <tpl fld="4" item="5"/>
        </tpls>
      </m>
      <n v="0.11693716978256451" in="0">
        <tpls c="5">
          <tpl fld="11" item="0"/>
          <tpl fld="6" item="0"/>
          <tpl hier="208" item="4294967295"/>
          <tpl hier="236" item="0"/>
          <tpl fld="4" item="0"/>
        </tpls>
      </n>
      <m>
        <tpls c="4">
          <tpl fld="7" item="1038"/>
          <tpl fld="6" item="2"/>
          <tpl hier="236" item="0"/>
          <tpl fld="4" item="5"/>
        </tpls>
      </m>
      <m>
        <tpls c="4">
          <tpl fld="7" item="1133"/>
          <tpl fld="6" item="1"/>
          <tpl hier="236" item="0"/>
          <tpl fld="4" item="5"/>
        </tpls>
      </m>
      <m>
        <tpls c="4">
          <tpl fld="7" item="931"/>
          <tpl fld="6" item="2"/>
          <tpl hier="236" item="0"/>
          <tpl fld="4" item="6"/>
        </tpls>
      </m>
      <n v="6" in="1">
        <tpls c="4">
          <tpl fld="7" item="1040"/>
          <tpl fld="6" item="1"/>
          <tpl hier="236" item="0"/>
          <tpl fld="1" item="0"/>
        </tpls>
      </n>
      <m>
        <tpls c="4">
          <tpl fld="7" item="1148"/>
          <tpl fld="6" item="1"/>
          <tpl hier="236" item="0"/>
          <tpl fld="4" item="5"/>
        </tpls>
      </m>
      <m>
        <tpls c="4">
          <tpl fld="7" item="930"/>
          <tpl fld="6" item="2"/>
          <tpl hier="236" item="0"/>
          <tpl fld="4" item="5"/>
        </tpls>
      </m>
      <n v="0.11693716978256451" in="0">
        <tpls c="5">
          <tpl hier="32" item="4294967295"/>
          <tpl fld="11" item="0"/>
          <tpl fld="6" item="0"/>
          <tpl hier="236" item="0"/>
          <tpl fld="4" item="0"/>
        </tpls>
      </n>
      <m>
        <tpls c="4">
          <tpl fld="7" item="1031"/>
          <tpl fld="6" item="1"/>
          <tpl hier="236" item="0"/>
          <tpl fld="4" item="5"/>
        </tpls>
      </m>
      <n v="4.1533004967584407E-2" in="0">
        <tpls c="5">
          <tpl fld="11" item="0"/>
          <tpl fld="6" item="0"/>
          <tpl hier="208" item="4294967295"/>
          <tpl hier="236" item="0"/>
          <tpl fld="4" item="2"/>
        </tpls>
      </n>
      <m>
        <tpls c="4">
          <tpl fld="7" item="1226"/>
          <tpl fld="6" item="2"/>
          <tpl hier="236" item="0"/>
          <tpl fld="4" item="5"/>
        </tpls>
      </m>
      <m>
        <tpls c="4">
          <tpl fld="7" item="961"/>
          <tpl fld="6" item="2"/>
          <tpl hier="236" item="0"/>
          <tpl fld="4" item="5"/>
        </tpls>
      </m>
      <m>
        <tpls c="4">
          <tpl fld="7" item="969"/>
          <tpl fld="6" item="2"/>
          <tpl hier="236" item="0"/>
          <tpl fld="4" item="5"/>
        </tpls>
      </m>
      <m>
        <tpls c="4">
          <tpl fld="7" item="1030"/>
          <tpl fld="6" item="1"/>
          <tpl hier="236" item="0"/>
          <tpl fld="4" item="5"/>
        </tpls>
      </m>
      <m>
        <tpls c="4">
          <tpl fld="7" item="936"/>
          <tpl fld="6" item="1"/>
          <tpl hier="236" item="0"/>
          <tpl fld="1" item="0"/>
        </tpls>
      </m>
      <m>
        <tpls c="4">
          <tpl fld="7" item="1045"/>
          <tpl fld="6" item="1"/>
          <tpl hier="236" item="0"/>
          <tpl fld="4" item="5"/>
        </tpls>
      </m>
      <n v="0.31601146601146601" in="0">
        <tpls c="5">
          <tpl fld="11" item="0"/>
          <tpl fld="5" item="1"/>
          <tpl fld="6" item="0"/>
          <tpl hier="236" item="0"/>
          <tpl fld="4" item="6"/>
        </tpls>
      </n>
      <m>
        <tpls c="4">
          <tpl fld="7" item="1049"/>
          <tpl fld="6" item="2"/>
          <tpl hier="236" item="0"/>
          <tpl fld="4" item="5"/>
        </tpls>
      </m>
      <m>
        <tpls c="5">
          <tpl fld="11" item="0"/>
          <tpl fld="5" item="0"/>
          <tpl fld="6" item="0"/>
          <tpl hier="236" item="0"/>
          <tpl fld="4" item="2"/>
        </tpls>
      </m>
      <n v="1.8567251461988305E-2" in="0">
        <tpls c="5">
          <tpl fld="11" item="0"/>
          <tpl fld="5" item="5"/>
          <tpl fld="6" item="0"/>
          <tpl hier="236" item="0"/>
          <tpl fld="4" item="0"/>
        </tpls>
      </n>
      <n v="0.23428571428571426" in="0">
        <tpls c="5">
          <tpl fld="11" item="0"/>
          <tpl fld="5" item="2"/>
          <tpl fld="6" item="0"/>
          <tpl hier="236" item="0"/>
          <tpl fld="4" item="2"/>
        </tpls>
      </n>
      <m>
        <tpls c="4">
          <tpl fld="7" item="948"/>
          <tpl fld="6" item="2"/>
          <tpl hier="236" item="0"/>
          <tpl fld="4" item="5"/>
        </tpls>
      </m>
      <m>
        <tpls c="4">
          <tpl fld="7" item="1145"/>
          <tpl fld="6" item="1"/>
          <tpl hier="236" item="0"/>
          <tpl fld="4" item="5"/>
        </tpls>
      </m>
      <n v="1.1338094318128827E-2" in="0">
        <tpls c="5">
          <tpl fld="11" item="0"/>
          <tpl fld="6" item="0"/>
          <tpl fld="8" item="1"/>
          <tpl hier="236" item="0"/>
          <tpl fld="4" item="7"/>
        </tpls>
      </n>
      <m>
        <tpls c="4">
          <tpl fld="7" item="1172"/>
          <tpl fld="6" item="2"/>
          <tpl hier="236" item="0"/>
          <tpl fld="4" item="5"/>
        </tpls>
      </m>
      <m>
        <tpls c="4">
          <tpl fld="7" item="1181"/>
          <tpl fld="6" item="2"/>
          <tpl hier="236" item="0"/>
          <tpl fld="4" item="5"/>
        </tpls>
      </m>
      <n v="2" in="1">
        <tpls c="4">
          <tpl fld="7" item="1135"/>
          <tpl fld="6" item="1"/>
          <tpl hier="236" item="0"/>
          <tpl fld="4" item="5"/>
        </tpls>
      </n>
      <m>
        <tpls c="4">
          <tpl fld="7" item="1251"/>
          <tpl fld="6" item="2"/>
          <tpl hier="236" item="0"/>
          <tpl fld="4" item="6"/>
        </tpls>
      </m>
      <n v="1" in="1">
        <tpls c="4">
          <tpl fld="7" item="939"/>
          <tpl fld="6" item="1"/>
          <tpl hier="236" item="0"/>
          <tpl fld="1" item="0"/>
        </tpls>
      </n>
      <m>
        <tpls c="4">
          <tpl fld="7" item="1048"/>
          <tpl fld="6" item="1"/>
          <tpl hier="236" item="0"/>
          <tpl fld="4" item="5"/>
        </tpls>
      </m>
      <m>
        <tpls c="4">
          <tpl fld="7" item="1035"/>
          <tpl fld="6" item="2"/>
          <tpl hier="236" item="0"/>
          <tpl fld="4" item="5"/>
        </tpls>
      </m>
      <n v="4.1533004967584407E-2" in="0">
        <tpls c="4">
          <tpl fld="11" item="0"/>
          <tpl fld="6" item="0"/>
          <tpl hier="236" item="0"/>
          <tpl fld="4" item="2"/>
        </tpls>
      </n>
      <n v="5179" in="1">
        <tpls c="3">
          <tpl fld="6" item="1"/>
          <tpl hier="236" item="0"/>
          <tpl fld="4" item="7"/>
        </tpls>
      </n>
      <n v="0.36601016206640652" in="0">
        <tpls c="5">
          <tpl fld="11" item="0"/>
          <tpl fld="5" item="1"/>
          <tpl fld="6" item="0"/>
          <tpl hier="236" item="0"/>
          <tpl fld="4" item="1"/>
        </tpls>
      </n>
      <m>
        <tpls c="4">
          <tpl fld="7" item="934"/>
          <tpl fld="6" item="2"/>
          <tpl hier="236" item="0"/>
          <tpl fld="4" item="5"/>
        </tpls>
      </m>
      <n v="26.664189189189191" in="2">
        <tpls c="3">
          <tpl fld="6" item="2"/>
          <tpl hier="236" item="0"/>
          <tpl fld="4" item="2"/>
        </tpls>
      </n>
      <n v="11" in="1">
        <tpls c="4">
          <tpl fld="7" item="1033"/>
          <tpl fld="6" item="1"/>
          <tpl hier="236" item="0"/>
          <tpl fld="1" item="0"/>
        </tpls>
      </n>
      <n v="0.12108268983268983" in="0">
        <tpls c="5">
          <tpl fld="11" item="0"/>
          <tpl fld="2" item="3"/>
          <tpl fld="6" item="0"/>
          <tpl hier="236" item="0"/>
          <tpl fld="4" item="0"/>
        </tpls>
      </n>
      <m>
        <tpls c="4">
          <tpl fld="7" item="1227"/>
          <tpl fld="6" item="2"/>
          <tpl hier="236" item="0"/>
          <tpl fld="4" item="5"/>
        </tpls>
      </m>
      <m>
        <tpls c="4">
          <tpl fld="7" item="962"/>
          <tpl fld="6" item="2"/>
          <tpl hier="236" item="0"/>
          <tpl fld="4" item="5"/>
        </tpls>
      </m>
      <m>
        <tpls c="4">
          <tpl fld="7" item="970"/>
          <tpl fld="6" item="2"/>
          <tpl hier="236" item="0"/>
          <tpl fld="4" item="5"/>
        </tpls>
      </m>
      <m>
        <tpls c="4">
          <tpl fld="7" item="1035"/>
          <tpl fld="6" item="1"/>
          <tpl hier="236" item="0"/>
          <tpl fld="4" item="5"/>
        </tpls>
      </m>
      <m>
        <tpls c="4">
          <tpl fld="7" item="1226"/>
          <tpl fld="6" item="2"/>
          <tpl hier="236" item="0"/>
          <tpl fld="4" item="6"/>
        </tpls>
      </m>
      <n v="1" in="1">
        <tpls c="4">
          <tpl fld="7" item="942"/>
          <tpl fld="6" item="1"/>
          <tpl hier="236" item="0"/>
          <tpl fld="1" item="0"/>
        </tpls>
      </n>
      <m>
        <tpls c="4">
          <tpl fld="7" item="1053"/>
          <tpl fld="6" item="2"/>
          <tpl hier="236" item="0"/>
          <tpl fld="4" item="5"/>
        </tpls>
      </m>
      <n v="4.6014625140161622E-2" in="0">
        <tpls c="5">
          <tpl fld="11" item="0"/>
          <tpl fld="5" item="4"/>
          <tpl fld="6" item="0"/>
          <tpl hier="236" item="0"/>
          <tpl fld="4" item="1"/>
        </tpls>
      </n>
      <n v="3.1049000348531419E-2" in="0">
        <tpls c="5">
          <tpl fld="3" item="4"/>
          <tpl fld="11" item="0"/>
          <tpl fld="6" item="0"/>
          <tpl hier="236" item="0"/>
          <tpl fld="4" item="5"/>
        </tpls>
      </n>
      <m>
        <tpls c="4">
          <tpl fld="7" item="951"/>
          <tpl fld="6" item="2"/>
          <tpl hier="236" item="0"/>
          <tpl fld="4" item="5"/>
        </tpls>
      </m>
      <m>
        <tpls c="4">
          <tpl fld="7" item="1147"/>
          <tpl fld="6" item="1"/>
          <tpl hier="236" item="0"/>
          <tpl fld="4" item="5"/>
        </tpls>
      </m>
      <n v="1537" in="1">
        <tpls c="3">
          <tpl fld="6" item="1"/>
          <tpl hier="236" item="0"/>
          <tpl fld="4" item="5"/>
        </tpls>
      </n>
      <m>
        <tpls c="5">
          <tpl fld="3" item="2"/>
          <tpl fld="11" item="0"/>
          <tpl fld="6" item="0"/>
          <tpl hier="236" item="0"/>
          <tpl fld="4" item="7"/>
        </tpls>
      </m>
      <n v="2.8885367445836758E-2" in="0">
        <tpls c="5">
          <tpl fld="11" item="0"/>
          <tpl fld="6" item="0"/>
          <tpl fld="8" item="1"/>
          <tpl hier="236" item="0"/>
          <tpl fld="4" item="6"/>
        </tpls>
      </n>
      <m>
        <tpls c="4">
          <tpl fld="7" item="1160"/>
          <tpl fld="6" item="2"/>
          <tpl hier="236" item="0"/>
          <tpl fld="4" item="5"/>
        </tpls>
      </m>
      <m>
        <tpls c="4">
          <tpl fld="7" item="1046"/>
          <tpl fld="6" item="1"/>
          <tpl hier="236" item="0"/>
          <tpl fld="1" item="0"/>
        </tpls>
      </m>
      <n v="1.3461993678376987E-2" in="0">
        <tpls c="5">
          <tpl fld="11" item="0"/>
          <tpl fld="6" item="0"/>
          <tpl fld="8" item="0"/>
          <tpl hier="236" item="0"/>
          <tpl fld="4" item="3"/>
        </tpls>
      </n>
      <n v="6.2046197983697975E-2" in="0">
        <tpls c="5">
          <tpl fld="11" item="0"/>
          <tpl fld="6" item="0"/>
          <tpl fld="8" item="0"/>
          <tpl hier="236" item="0"/>
          <tpl fld="4" item="5"/>
        </tpls>
      </n>
      <n v="0.12420768927370734" in="0">
        <tpls c="5">
          <tpl fld="11" item="0"/>
          <tpl fld="6" item="0"/>
          <tpl fld="8" item="0"/>
          <tpl hier="236" item="0"/>
          <tpl fld="4" item="1"/>
        </tpls>
      </n>
      <m>
        <tpls c="4">
          <tpl fld="7" item="1161"/>
          <tpl fld="6" item="2"/>
          <tpl hier="236" item="0"/>
          <tpl fld="4" item="5"/>
        </tpls>
      </m>
      <m>
        <tpls c="4">
          <tpl fld="7" item="943"/>
          <tpl fld="6" item="2"/>
          <tpl hier="236" item="0"/>
          <tpl fld="4" item="6"/>
        </tpls>
      </m>
      <m>
        <tpls c="4">
          <tpl fld="7" item="932"/>
          <tpl fld="6" item="2"/>
          <tpl hier="236" item="0"/>
          <tpl fld="4" item="6"/>
        </tpls>
      </m>
      <m>
        <tpls c="4">
          <tpl fld="7" item="971"/>
          <tpl fld="6" item="2"/>
          <tpl hier="236" item="0"/>
          <tpl fld="4" item="5"/>
        </tpls>
      </m>
      <m>
        <tpls c="4">
          <tpl fld="7" item="1267"/>
          <tpl fld="6" item="2"/>
          <tpl hier="236" item="0"/>
          <tpl fld="4" item="6"/>
        </tpls>
      </m>
      <m>
        <tpls c="4">
          <tpl fld="7" item="1180"/>
          <tpl fld="6" item="2"/>
          <tpl hier="236" item="0"/>
          <tpl fld="4" item="5"/>
        </tpls>
      </m>
      <m>
        <tpls c="4">
          <tpl fld="7" item="944"/>
          <tpl fld="6" item="2"/>
          <tpl hier="236" item="0"/>
          <tpl fld="4" item="6"/>
        </tpls>
      </m>
      <m>
        <tpls c="4">
          <tpl fld="7" item="1166"/>
          <tpl fld="6" item="2"/>
          <tpl hier="236" item="0"/>
          <tpl fld="4" item="5"/>
        </tpls>
      </m>
      <m>
        <tpls c="4">
          <tpl fld="7" item="1176"/>
          <tpl fld="6" item="2"/>
          <tpl hier="236" item="0"/>
          <tpl fld="4" item="5"/>
        </tpls>
      </m>
      <n v="3" in="1">
        <tpls c="4">
          <tpl fld="7" item="1134"/>
          <tpl fld="6" item="1"/>
          <tpl hier="236" item="0"/>
          <tpl fld="1" item="0"/>
        </tpls>
      </n>
      <n v="3" in="1">
        <tpls c="4">
          <tpl fld="7" item="935"/>
          <tpl fld="6" item="1"/>
          <tpl hier="236" item="0"/>
          <tpl fld="1" item="0"/>
        </tpls>
      </n>
      <m>
        <tpls c="4">
          <tpl fld="7" item="1253"/>
          <tpl fld="6" item="2"/>
          <tpl hier="236" item="0"/>
          <tpl fld="4" item="6"/>
        </tpls>
      </m>
      <n v="3.2528217232571516E-2" in="0">
        <tpls c="5">
          <tpl fld="11" item="0"/>
          <tpl fld="2" item="2"/>
          <tpl fld="6" item="0"/>
          <tpl hier="236" item="0"/>
          <tpl fld="4" item="6"/>
        </tpls>
      </n>
      <n v="2.2200370849019501E-2" in="0">
        <tpls c="5">
          <tpl fld="11" item="0"/>
          <tpl fld="5" item="5"/>
          <tpl fld="6" item="0"/>
          <tpl hier="236" item="0"/>
          <tpl fld="4" item="2"/>
        </tpls>
      </n>
      <n v="1.0705607279157918E-2" in="0">
        <tpls c="5">
          <tpl fld="11" item="0"/>
          <tpl fld="5" item="0"/>
          <tpl fld="6" item="0"/>
          <tpl hier="236" item="0"/>
          <tpl fld="1" item="0"/>
        </tpls>
      </n>
      <m>
        <tpls c="4">
          <tpl fld="7" item="958"/>
          <tpl fld="6" item="2"/>
          <tpl hier="236" item="0"/>
          <tpl fld="4" item="5"/>
        </tpls>
      </m>
      <n v="2" in="1">
        <tpls c="4">
          <tpl fld="7" item="1141"/>
          <tpl fld="6" item="1"/>
          <tpl hier="236" item="0"/>
          <tpl fld="4" item="5"/>
        </tpls>
      </n>
      <n v="4.80999180999181E-2" in="0">
        <tpls c="5">
          <tpl fld="3" item="3"/>
          <tpl fld="11" item="0"/>
          <tpl fld="6" item="0"/>
          <tpl hier="236" item="0"/>
          <tpl fld="4" item="1"/>
        </tpls>
      </n>
      <m>
        <tpls c="4">
          <tpl fld="7" item="960"/>
          <tpl fld="6" item="2"/>
          <tpl hier="236" item="0"/>
          <tpl fld="4" item="5"/>
        </tpls>
      </m>
      <m>
        <tpls c="4">
          <tpl fld="7" item="972"/>
          <tpl fld="6" item="2"/>
          <tpl hier="236" item="0"/>
          <tpl fld="4" item="5"/>
        </tpls>
      </m>
      <m>
        <tpls c="4">
          <tpl fld="7" item="875"/>
          <tpl fld="6" item="2"/>
          <tpl hier="236" item="0"/>
          <tpl fld="4" item="6"/>
        </tpls>
      </m>
      <n v="2" in="1">
        <tpls c="4">
          <tpl fld="7" item="1039"/>
          <tpl fld="6" item="1"/>
          <tpl hier="236" item="0"/>
          <tpl fld="4" item="5"/>
        </tpls>
      </n>
      <m>
        <tpls c="4">
          <tpl fld="7" item="1047"/>
          <tpl fld="6" item="1"/>
          <tpl hier="236" item="0"/>
          <tpl fld="4" item="5"/>
        </tpls>
      </m>
      <m>
        <tpls c="4">
          <tpl fld="7" item="1037"/>
          <tpl fld="6" item="2"/>
          <tpl hier="236" item="0"/>
          <tpl fld="4" item="5"/>
        </tpls>
      </m>
      <n v="2" in="1">
        <tpls c="4">
          <tpl fld="7" item="875"/>
          <tpl fld="6" item="1"/>
          <tpl hier="236" item="0"/>
          <tpl fld="1" item="0"/>
        </tpls>
      </n>
      <m>
        <tpls c="4">
          <tpl fld="7" item="934"/>
          <tpl fld="6" item="1"/>
          <tpl hier="236" item="0"/>
          <tpl fld="4" item="5"/>
        </tpls>
      </m>
      <m>
        <tpls c="4">
          <tpl fld="7" item="1146"/>
          <tpl fld="6" item="2"/>
          <tpl hier="236" item="0"/>
          <tpl fld="4" item="6"/>
        </tpls>
      </m>
      <m>
        <tpls c="4">
          <tpl fld="7" item="1228"/>
          <tpl fld="6" item="1"/>
          <tpl hier="236" item="0"/>
          <tpl fld="1" item="0"/>
        </tpls>
      </m>
      <m>
        <tpls c="4">
          <tpl fld="7" item="950"/>
          <tpl fld="6" item="1"/>
          <tpl hier="236" item="0"/>
          <tpl fld="4" item="5"/>
        </tpls>
      </m>
      <m>
        <tpls c="4">
          <tpl fld="7" item="1162"/>
          <tpl fld="6" item="2"/>
          <tpl hier="236" item="0"/>
          <tpl fld="4" item="6"/>
        </tpls>
      </m>
      <m>
        <tpls c="4">
          <tpl fld="7" item="1250"/>
          <tpl fld="6" item="2"/>
          <tpl hier="236" item="0"/>
          <tpl fld="4" item="5"/>
        </tpls>
      </m>
      <n v="2" in="1">
        <tpls c="4">
          <tpl fld="7" item="1138"/>
          <tpl fld="6" item="1"/>
          <tpl hier="236" item="0"/>
          <tpl fld="1" item="0"/>
        </tpls>
      </n>
      <m>
        <tpls c="4">
          <tpl fld="7" item="1203"/>
          <tpl fld="6" item="2"/>
          <tpl hier="236" item="0"/>
          <tpl fld="4" item="6"/>
        </tpls>
      </m>
      <m>
        <tpls c="4">
          <tpl fld="7" item="961"/>
          <tpl fld="6" item="1"/>
          <tpl hier="236" item="0"/>
          <tpl fld="4" item="5"/>
        </tpls>
      </m>
      <m>
        <tpls c="4">
          <tpl fld="7" item="1173"/>
          <tpl fld="6" item="2"/>
          <tpl hier="236" item="0"/>
          <tpl fld="4" item="6"/>
        </tpls>
      </m>
      <n v="1" in="1">
        <tpls c="4">
          <tpl fld="7" item="1030"/>
          <tpl fld="6" item="1"/>
          <tpl hier="236" item="0"/>
          <tpl fld="1" item="0"/>
        </tpls>
      </n>
      <m>
        <tpls c="4">
          <tpl fld="7" item="1175"/>
          <tpl fld="6" item="2"/>
          <tpl hier="236" item="0"/>
          <tpl fld="4" item="5"/>
        </tpls>
      </m>
      <n v="0" in="1">
        <tpls c="4">
          <tpl fld="7" item="941"/>
          <tpl fld="6" item="1"/>
          <tpl hier="236" item="0"/>
          <tpl fld="1" item="0"/>
        </tpls>
      </n>
      <n v="1" in="1">
        <tpls c="4">
          <tpl fld="7" item="1032"/>
          <tpl fld="6" item="1"/>
          <tpl hier="236" item="0"/>
          <tpl fld="4" item="5"/>
        </tpls>
      </n>
      <n v="6" in="1">
        <tpls c="4">
          <tpl fld="7" item="935"/>
          <tpl fld="6" item="1"/>
          <tpl hier="236" item="0"/>
          <tpl fld="4" item="5"/>
        </tpls>
      </n>
      <m>
        <tpls c="4">
          <tpl fld="7" item="1149"/>
          <tpl fld="6" item="2"/>
          <tpl hier="236" item="0"/>
          <tpl fld="4" item="6"/>
        </tpls>
      </m>
      <m>
        <tpls c="4">
          <tpl fld="7" item="1156"/>
          <tpl fld="6" item="2"/>
          <tpl hier="236" item="0"/>
          <tpl fld="4" item="6"/>
        </tpls>
      </m>
      <m>
        <tpls c="4">
          <tpl fld="7" item="1163"/>
          <tpl fld="6" item="2"/>
          <tpl hier="236" item="0"/>
          <tpl fld="4" item="6"/>
        </tpls>
      </m>
      <m>
        <tpls c="4">
          <tpl fld="7" item="1073"/>
          <tpl fld="6" item="2"/>
          <tpl hier="236" item="0"/>
          <tpl fld="4" item="5"/>
        </tpls>
      </m>
      <m>
        <tpls c="4">
          <tpl fld="7" item="1060"/>
          <tpl fld="6" item="2"/>
          <tpl hier="236" item="0"/>
          <tpl fld="4" item="6"/>
        </tpls>
      </m>
      <m>
        <tpls c="4">
          <tpl fld="7" item="964"/>
          <tpl fld="6" item="1"/>
          <tpl hier="236" item="0"/>
          <tpl fld="4" item="5"/>
        </tpls>
      </m>
      <m>
        <tpls c="4">
          <tpl fld="7" item="1177"/>
          <tpl fld="6" item="2"/>
          <tpl hier="236" item="0"/>
          <tpl fld="4" item="6"/>
        </tpls>
      </m>
      <n v="1" in="1">
        <tpls c="4">
          <tpl fld="7" item="1210"/>
          <tpl fld="6" item="1"/>
          <tpl hier="236" item="0"/>
          <tpl fld="1" item="0"/>
        </tpls>
      </n>
      <m>
        <tpls c="4">
          <tpl fld="7" item="1030"/>
          <tpl fld="6" item="2"/>
          <tpl hier="236" item="0"/>
          <tpl fld="4" item="6"/>
        </tpls>
      </m>
      <m>
        <tpls c="4">
          <tpl fld="7" item="1152"/>
          <tpl fld="6" item="1"/>
          <tpl hier="236" item="0"/>
          <tpl fld="4" item="5"/>
        </tpls>
      </m>
      <m>
        <tpls c="4">
          <tpl fld="7" item="1230"/>
          <tpl fld="6" item="2"/>
          <tpl hier="236" item="0"/>
          <tpl fld="4" item="6"/>
        </tpls>
      </m>
      <n v="6" in="1">
        <tpls c="4">
          <tpl fld="7" item="1166"/>
          <tpl fld="6" item="1"/>
          <tpl hier="236" item="0"/>
          <tpl fld="1" item="0"/>
        </tpls>
      </n>
      <m>
        <tpls c="4">
          <tpl fld="7" item="1233"/>
          <tpl fld="6" item="1"/>
          <tpl hier="236" item="0"/>
          <tpl fld="4" item="5"/>
        </tpls>
      </m>
      <m>
        <tpls c="4">
          <tpl fld="7" item="1074"/>
          <tpl fld="6" item="2"/>
          <tpl hier="236" item="0"/>
          <tpl fld="4" item="6"/>
        </tpls>
      </m>
      <n v="9" in="1">
        <tpls c="4">
          <tpl fld="7" item="1182"/>
          <tpl fld="6" item="1"/>
          <tpl hier="236" item="0"/>
          <tpl fld="1" item="0"/>
        </tpls>
      </n>
      <m>
        <tpls c="4">
          <tpl fld="7" item="1076"/>
          <tpl fld="6" item="2"/>
          <tpl hier="236" item="0"/>
          <tpl fld="4" item="5"/>
        </tpls>
      </m>
      <m>
        <tpls c="4">
          <tpl fld="7" item="1267"/>
          <tpl fld="6" item="1"/>
          <tpl hier="236" item="0"/>
          <tpl fld="4" item="5"/>
        </tpls>
      </m>
      <n v="2" in="1">
        <tpls c="4">
          <tpl fld="7" item="1158"/>
          <tpl fld="6" item="1"/>
          <tpl hier="236" item="0"/>
          <tpl fld="1" item="0"/>
        </tpls>
      </n>
      <m>
        <tpls c="4">
          <tpl fld="7" item="1165"/>
          <tpl fld="6" item="1"/>
          <tpl hier="236" item="0"/>
          <tpl fld="4" item="5"/>
        </tpls>
      </m>
      <m>
        <tpls c="4">
          <tpl fld="7" item="964"/>
          <tpl fld="6" item="2"/>
          <tpl hier="236" item="0"/>
          <tpl fld="4" item="6"/>
        </tpls>
      </m>
      <n v="9" in="1">
        <tpls c="4">
          <tpl fld="7" item="1073"/>
          <tpl fld="6" item="1"/>
          <tpl hier="236" item="0"/>
          <tpl fld="1" item="0"/>
        </tpls>
      </n>
      <n v="2" in="1">
        <tpls c="4">
          <tpl fld="7" item="1181"/>
          <tpl fld="6" item="1"/>
          <tpl hier="236" item="0"/>
          <tpl fld="4" item="5"/>
        </tpls>
      </n>
      <m>
        <tpls c="4">
          <tpl fld="7" item="1137"/>
          <tpl fld="6" item="1"/>
          <tpl hier="236" item="0"/>
          <tpl fld="4" item="5"/>
        </tpls>
      </m>
      <m>
        <tpls c="4">
          <tpl fld="7" item="1177"/>
          <tpl fld="6" item="2"/>
          <tpl hier="236" item="0"/>
          <tpl fld="4" item="5"/>
        </tpls>
      </m>
      <n v="0" in="1">
        <tpls c="4">
          <tpl fld="7" item="1046"/>
          <tpl fld="6" item="1"/>
          <tpl hier="236" item="0"/>
          <tpl fld="4" item="5"/>
        </tpls>
      </n>
      <n v="1" in="2">
        <tpls c="4">
          <tpl fld="7" item="1224"/>
          <tpl fld="6" item="2"/>
          <tpl hier="236" item="0"/>
          <tpl fld="4" item="6"/>
        </tpls>
      </n>
      <m>
        <tpls c="4">
          <tpl fld="7" item="1200"/>
          <tpl fld="6" item="1"/>
          <tpl hier="236" item="0"/>
          <tpl fld="1" item="0"/>
        </tpls>
      </m>
      <m>
        <tpls c="4">
          <tpl fld="7" item="1267"/>
          <tpl fld="6" item="1"/>
          <tpl hier="236" item="0"/>
          <tpl fld="1" item="0"/>
        </tpls>
      </m>
      <n v="1" in="1">
        <tpls c="4">
          <tpl fld="7" item="1255"/>
          <tpl fld="6" item="1"/>
          <tpl hier="236" item="0"/>
          <tpl fld="1" item="0"/>
        </tpls>
      </n>
      <m>
        <tpls c="4">
          <tpl fld="7" item="957"/>
          <tpl fld="6" item="1"/>
          <tpl hier="236" item="0"/>
          <tpl fld="4" item="5"/>
        </tpls>
      </m>
      <m>
        <tpls c="4">
          <tpl fld="7" item="1075"/>
          <tpl fld="6" item="2"/>
          <tpl hier="236" item="0"/>
          <tpl fld="4" item="5"/>
        </tpls>
      </m>
      <n v="4" in="1">
        <tpls c="4">
          <tpl fld="7" item="1051"/>
          <tpl fld="6" item="1"/>
          <tpl hier="236" item="0"/>
          <tpl fld="1" item="0"/>
        </tpls>
      </n>
      <n v="8" in="1">
        <tpls c="4">
          <tpl fld="7" item="957"/>
          <tpl fld="6" item="1"/>
          <tpl hier="236" item="0"/>
          <tpl fld="1" item="0"/>
        </tpls>
      </n>
      <m>
        <tpls c="4">
          <tpl fld="7" item="1171"/>
          <tpl fld="6" item="2"/>
          <tpl hier="236" item="0"/>
          <tpl fld="4" item="6"/>
        </tpls>
      </m>
      <m>
        <tpls c="4">
          <tpl fld="7" item="976"/>
          <tpl fld="6" item="1"/>
          <tpl hier="236" item="0"/>
          <tpl fld="4" item="5"/>
        </tpls>
      </m>
      <n v="47" in="1">
        <tpls c="4">
          <tpl fld="7" item="1031"/>
          <tpl fld="6" item="1"/>
          <tpl hier="236" item="0"/>
          <tpl fld="1" item="0"/>
        </tpls>
      </n>
      <n v="5" in="1">
        <tpls c="4">
          <tpl fld="7" item="946"/>
          <tpl fld="6" item="1"/>
          <tpl hier="236" item="0"/>
          <tpl fld="1" item="0"/>
        </tpls>
      </n>
      <m>
        <tpls c="4">
          <tpl fld="7" item="1057"/>
          <tpl fld="6" item="2"/>
          <tpl hier="236" item="0"/>
          <tpl fld="4" item="6"/>
        </tpls>
      </m>
      <m>
        <tpls c="4">
          <tpl fld="7" item="1206"/>
          <tpl fld="6" item="1"/>
          <tpl hier="236" item="0"/>
          <tpl fld="4" item="5"/>
        </tpls>
      </m>
      <m>
        <tpls c="4">
          <tpl fld="7" item="1069"/>
          <tpl fld="6" item="2"/>
          <tpl hier="236" item="0"/>
          <tpl fld="4" item="6"/>
        </tpls>
      </m>
      <n v="25" in="1">
        <tpls c="4">
          <tpl fld="7" item="1177"/>
          <tpl fld="6" item="1"/>
          <tpl hier="236" item="0"/>
          <tpl fld="1" item="0"/>
        </tpls>
      </n>
      <m>
        <tpls c="4">
          <tpl fld="7" item="1210"/>
          <tpl fld="6" item="1"/>
          <tpl hier="236" item="0"/>
          <tpl fld="4" item="5"/>
        </tpls>
      </m>
      <m>
        <tpls c="4">
          <tpl fld="7" item="1080"/>
          <tpl fld="6" item="2"/>
          <tpl hier="236" item="0"/>
          <tpl fld="4" item="5"/>
        </tpls>
      </m>
      <m>
        <tpls c="4">
          <tpl fld="7" item="1048"/>
          <tpl fld="6" item="2"/>
          <tpl hier="236" item="0"/>
          <tpl fld="4" item="6"/>
        </tpls>
      </m>
      <m>
        <tpls c="4">
          <tpl fld="7" item="952"/>
          <tpl fld="6" item="2"/>
          <tpl hier="236" item="0"/>
          <tpl fld="4" item="6"/>
        </tpls>
      </m>
      <m>
        <tpls c="4">
          <tpl fld="7" item="959"/>
          <tpl fld="6" item="2"/>
          <tpl hier="236" item="0"/>
          <tpl fld="4" item="6"/>
        </tpls>
      </m>
      <n v="2" in="1">
        <tpls c="4">
          <tpl fld="7" item="1068"/>
          <tpl fld="6" item="1"/>
          <tpl hier="236" item="0"/>
          <tpl fld="1" item="0"/>
        </tpls>
      </n>
      <m>
        <tpls c="4">
          <tpl fld="7" item="1176"/>
          <tpl fld="6" item="1"/>
          <tpl hier="236" item="0"/>
          <tpl fld="4" item="5"/>
        </tpls>
      </m>
      <m>
        <tpls c="4">
          <tpl fld="7" item="1171"/>
          <tpl fld="6" item="2"/>
          <tpl hier="236" item="0"/>
          <tpl fld="4" item="5"/>
        </tpls>
      </m>
      <m>
        <tpls c="4">
          <tpl fld="7" item="1042"/>
          <tpl fld="6" item="1"/>
          <tpl hier="236" item="0"/>
          <tpl fld="4" item="5"/>
        </tpls>
      </m>
      <m>
        <tpls c="4">
          <tpl fld="7" item="1134"/>
          <tpl fld="6" item="1"/>
          <tpl hier="236" item="0"/>
          <tpl fld="4" item="5"/>
        </tpls>
      </m>
      <m>
        <tpls c="4">
          <tpl fld="7" item="1141"/>
          <tpl fld="6" item="2"/>
          <tpl hier="236" item="0"/>
          <tpl fld="4" item="6"/>
        </tpls>
      </m>
      <m>
        <tpls c="4">
          <tpl fld="7" item="1148"/>
          <tpl fld="6" item="2"/>
          <tpl hier="236" item="0"/>
          <tpl fld="4" item="6"/>
        </tpls>
      </m>
      <n v="0.4027027027027027" in="2">
        <tpls c="4">
          <tpl fld="7" item="1155"/>
          <tpl fld="6" item="2"/>
          <tpl hier="236" item="0"/>
          <tpl fld="4" item="6"/>
        </tpls>
      </n>
      <n v="4" in="1">
        <tpls c="4">
          <tpl fld="7" item="1205"/>
          <tpl fld="6" item="1"/>
          <tpl hier="236" item="0"/>
          <tpl fld="1" item="0"/>
        </tpls>
      </n>
      <m>
        <tpls c="4">
          <tpl fld="7" item="1067"/>
          <tpl fld="6" item="2"/>
          <tpl hier="236" item="0"/>
          <tpl fld="4" item="5"/>
        </tpls>
      </m>
      <n v="1" in="1">
        <tpls c="4">
          <tpl fld="7" item="1152"/>
          <tpl fld="6" item="1"/>
          <tpl hier="236" item="0"/>
          <tpl fld="1" item="0"/>
        </tpls>
      </n>
      <n v="17" in="1">
        <tpls c="4">
          <tpl fld="7" item="1059"/>
          <tpl fld="6" item="1"/>
          <tpl hier="236" item="0"/>
          <tpl fld="1" item="0"/>
        </tpls>
      </n>
      <m>
        <tpls c="4">
          <tpl fld="7" item="963"/>
          <tpl fld="6" item="1"/>
          <tpl hier="236" item="0"/>
          <tpl fld="4" item="5"/>
        </tpls>
      </m>
      <n v="1" in="1">
        <tpls c="4">
          <tpl fld="7" item="1260"/>
          <tpl fld="6" item="1"/>
          <tpl hier="236" item="0"/>
          <tpl fld="1" item="0"/>
        </tpls>
      </n>
      <n v="1" in="1">
        <tpls c="4">
          <tpl fld="7" item="975"/>
          <tpl fld="6" item="1"/>
          <tpl hier="236" item="0"/>
          <tpl fld="4" item="5"/>
        </tpls>
      </n>
      <m>
        <tpls c="4">
          <tpl fld="7" item="1209"/>
          <tpl fld="6" item="2"/>
          <tpl hier="236" item="0"/>
          <tpl fld="4" item="5"/>
        </tpls>
      </m>
      <m>
        <tpls c="4">
          <tpl fld="7" item="1202"/>
          <tpl fld="6" item="1"/>
          <tpl hier="236" item="0"/>
          <tpl fld="4" item="5"/>
        </tpls>
      </m>
      <m>
        <tpls c="4">
          <tpl fld="7" item="1204"/>
          <tpl fld="6" item="1"/>
          <tpl hier="236" item="0"/>
          <tpl fld="4" item="5"/>
        </tpls>
      </m>
      <n v="2" in="1">
        <tpls c="4">
          <tpl fld="7" item="1268"/>
          <tpl fld="6" item="1"/>
          <tpl hier="236" item="0"/>
          <tpl fld="4" item="5"/>
        </tpls>
      </n>
      <m>
        <tpls c="4">
          <tpl fld="7" item="1068"/>
          <tpl fld="6" item="2"/>
          <tpl hier="236" item="0"/>
          <tpl fld="4" item="6"/>
        </tpls>
      </m>
      <n v="1" in="1">
        <tpls c="4">
          <tpl fld="7" item="1176"/>
          <tpl fld="6" item="1"/>
          <tpl hier="236" item="0"/>
          <tpl fld="1" item="0"/>
        </tpls>
      </n>
      <n v="1" in="1">
        <tpls c="4">
          <tpl fld="7" item="1269"/>
          <tpl fld="6" item="1"/>
          <tpl hier="236" item="0"/>
          <tpl fld="4" item="5"/>
        </tpls>
      </n>
      <n v="2" in="1">
        <tpls c="4">
          <tpl fld="7" item="1250"/>
          <tpl fld="6" item="1"/>
          <tpl hier="236" item="0"/>
          <tpl fld="4" item="6"/>
        </tpls>
      </n>
      <m>
        <tpls c="4">
          <tpl fld="7" item="1072"/>
          <tpl fld="6" item="2"/>
          <tpl hier="236" item="0"/>
          <tpl fld="4" item="5"/>
        </tpls>
      </m>
      <m>
        <tpls c="4">
          <tpl fld="7" item="1044"/>
          <tpl fld="6" item="2"/>
          <tpl hier="236" item="0"/>
          <tpl fld="4" item="6"/>
        </tpls>
      </m>
      <n v="1" in="1">
        <tpls c="4">
          <tpl fld="7" item="1157"/>
          <tpl fld="6" item="1"/>
          <tpl hier="236" item="0"/>
          <tpl fld="4" item="5"/>
        </tpls>
      </n>
      <m>
        <tpls c="4">
          <tpl fld="7" item="1257"/>
          <tpl fld="6" item="2"/>
          <tpl hier="236" item="0"/>
          <tpl fld="4" item="6"/>
        </tpls>
      </m>
      <n v="1" in="1">
        <tpls c="4">
          <tpl fld="7" item="1067"/>
          <tpl fld="6" item="1"/>
          <tpl hier="236" item="0"/>
          <tpl fld="1" item="0"/>
        </tpls>
      </n>
      <m>
        <tpls c="4">
          <tpl fld="7" item="1175"/>
          <tpl fld="6" item="1"/>
          <tpl hier="236" item="0"/>
          <tpl fld="4" item="5"/>
        </tpls>
      </m>
      <m>
        <tpls c="4">
          <tpl fld="7" item="974"/>
          <tpl fld="6" item="2"/>
          <tpl hier="236" item="0"/>
          <tpl fld="4" item="6"/>
        </tpls>
      </m>
      <m>
        <tpls c="4">
          <tpl fld="7" item="1068"/>
          <tpl fld="6" item="1"/>
          <tpl hier="236" item="0"/>
          <tpl fld="4" item="5"/>
        </tpls>
      </m>
      <m>
        <tpls c="4">
          <tpl fld="7" item="1140"/>
          <tpl fld="6" item="1"/>
          <tpl hier="236" item="0"/>
          <tpl fld="4" item="6"/>
        </tpls>
      </m>
      <m>
        <tpls c="4">
          <tpl fld="7" item="964"/>
          <tpl fld="6" item="1"/>
          <tpl hier="236" item="0"/>
          <tpl fld="4" item="6"/>
        </tpls>
      </m>
      <n v="15" in="1">
        <tpls c="4">
          <tpl fld="7" item="972"/>
          <tpl fld="6" item="1"/>
          <tpl hier="236" item="0"/>
          <tpl fld="4" item="6"/>
        </tpls>
      </n>
      <m>
        <tpls c="5">
          <tpl fld="11" item="0"/>
          <tpl fld="6" item="2"/>
          <tpl hier="236" item="0"/>
          <tpl fld="4" item="7"/>
          <tpl fld="10" item="6"/>
        </tpls>
      </m>
      <n v="15.277702702702705" in="2">
        <tpls c="6">
          <tpl fld="11" item="0"/>
          <tpl fld="5" item="3"/>
          <tpl fld="6" item="2"/>
          <tpl hier="236" item="0"/>
          <tpl fld="4" item="1"/>
          <tpl fld="9" item="4"/>
        </tpls>
      </n>
      <m>
        <tpls c="6">
          <tpl fld="11" item="0"/>
          <tpl fld="5" item="0"/>
          <tpl fld="6" item="2"/>
          <tpl hier="236" item="0"/>
          <tpl fld="4" item="3"/>
          <tpl fld="10" item="6"/>
        </tpls>
      </m>
      <m>
        <tpls c="6">
          <tpl fld="11" item="0"/>
          <tpl fld="5" item="4"/>
          <tpl fld="6" item="2"/>
          <tpl hier="236" item="0"/>
          <tpl fld="4" item="4"/>
          <tpl fld="10" item="1"/>
        </tpls>
      </m>
      <m>
        <tpls c="4">
          <tpl fld="7" item="974"/>
          <tpl fld="6" item="1"/>
          <tpl hier="236" item="0"/>
          <tpl fld="1" item="0"/>
        </tpls>
      </m>
      <m>
        <tpls c="4">
          <tpl fld="7" item="1201"/>
          <tpl fld="6" item="2"/>
          <tpl hier="236" item="0"/>
          <tpl fld="4" item="6"/>
        </tpls>
      </m>
      <n v="0" in="1">
        <tpls c="4">
          <tpl fld="7" item="1253"/>
          <tpl fld="6" item="1"/>
          <tpl hier="236" item="0"/>
          <tpl fld="1" item="0"/>
        </tpls>
      </n>
      <m>
        <tpls c="4">
          <tpl fld="7" item="1050"/>
          <tpl fld="6" item="1"/>
          <tpl hier="236" item="0"/>
          <tpl fld="4" item="5"/>
        </tpls>
      </m>
      <m>
        <tpls c="4">
          <tpl fld="7" item="1182"/>
          <tpl fld="6" item="2"/>
          <tpl hier="236" item="0"/>
          <tpl fld="4" item="6"/>
        </tpls>
      </m>
      <n v="11" in="1">
        <tpls c="4">
          <tpl fld="7" item="1056"/>
          <tpl fld="6" item="1"/>
          <tpl hier="236" item="0"/>
          <tpl fld="1" item="0"/>
        </tpls>
      </n>
      <m>
        <tpls c="4">
          <tpl fld="7" item="1079"/>
          <tpl fld="6" item="2"/>
          <tpl hier="236" item="0"/>
          <tpl fld="4" item="6"/>
        </tpls>
      </m>
      <n v="34" in="1">
        <tpls c="4">
          <tpl fld="7" item="951"/>
          <tpl fld="6" item="1"/>
          <tpl hier="236" item="0"/>
          <tpl fld="1" item="0"/>
        </tpls>
      </n>
      <m>
        <tpls c="4">
          <tpl fld="7" item="973"/>
          <tpl fld="6" item="2"/>
          <tpl hier="236" item="0"/>
          <tpl fld="4" item="6"/>
        </tpls>
      </m>
      <n v="19" in="1">
        <tpls c="4">
          <tpl fld="7" item="926"/>
          <tpl fld="6" item="1"/>
          <tpl hier="236" item="0"/>
          <tpl fld="1" item="0"/>
        </tpls>
      </n>
      <m>
        <tpls c="4">
          <tpl fld="7" item="1150"/>
          <tpl fld="6" item="1"/>
          <tpl hier="236" item="0"/>
          <tpl fld="4" item="6"/>
        </tpls>
      </m>
      <m>
        <tpls c="4">
          <tpl fld="7" item="969"/>
          <tpl fld="6" item="1"/>
          <tpl hier="236" item="0"/>
          <tpl fld="4" item="6"/>
        </tpls>
      </m>
      <n v="7.1" in="2">
        <tpls c="5">
          <tpl fld="11" item="0"/>
          <tpl fld="6" item="2"/>
          <tpl hier="236" item="0"/>
          <tpl fld="4" item="3"/>
          <tpl fld="10" item="5"/>
        </tpls>
      </n>
      <n v="106.59628378378379" in="2">
        <tpls c="5">
          <tpl fld="11" item="0"/>
          <tpl fld="5" item="4"/>
          <tpl fld="6" item="2"/>
          <tpl hier="236" item="0"/>
          <tpl fld="1" item="0"/>
        </tpls>
      </n>
      <n v="1" in="2">
        <tpls c="6">
          <tpl fld="11" item="0"/>
          <tpl fld="5" item="2"/>
          <tpl fld="6" item="2"/>
          <tpl hier="236" item="0"/>
          <tpl fld="4" item="4"/>
          <tpl fld="10" item="5"/>
        </tpls>
      </n>
      <n v="0" in="1">
        <tpls c="6">
          <tpl fld="11" item="0"/>
          <tpl fld="5" item="4"/>
          <tpl fld="6" item="1"/>
          <tpl hier="236" item="0"/>
          <tpl fld="4" item="3"/>
          <tpl fld="10" item="8"/>
        </tpls>
      </n>
      <m>
        <tpls c="4">
          <tpl fld="7" item="1250"/>
          <tpl fld="6" item="1"/>
          <tpl hier="236" item="0"/>
          <tpl fld="4" item="5"/>
        </tpls>
      </m>
      <m>
        <tpls c="4">
          <tpl fld="7" item="1235"/>
          <tpl fld="6" item="2"/>
          <tpl hier="236" item="0"/>
          <tpl fld="4" item="6"/>
        </tpls>
      </m>
      <n v="3" in="1">
        <tpls c="4">
          <tpl fld="7" item="1042"/>
          <tpl fld="6" item="1"/>
          <tpl hier="236" item="0"/>
          <tpl fld="4" item="6"/>
        </tpls>
      </n>
      <n v="3" in="1">
        <tpls c="4">
          <tpl fld="7" item="949"/>
          <tpl fld="6" item="1"/>
          <tpl hier="236" item="0"/>
          <tpl fld="4" item="6"/>
        </tpls>
      </n>
      <n v="40" in="1">
        <tpls c="6">
          <tpl fld="11" item="0"/>
          <tpl fld="2" item="4"/>
          <tpl fld="6" item="1"/>
          <tpl hier="236" item="0"/>
          <tpl fld="4" item="4"/>
          <tpl fld="10" item="6"/>
        </tpls>
      </n>
      <n v="2" in="2">
        <tpls c="6">
          <tpl fld="11" item="0"/>
          <tpl fld="5" item="2"/>
          <tpl fld="6" item="2"/>
          <tpl hier="236" item="0"/>
          <tpl fld="4" item="4"/>
          <tpl fld="10" item="3"/>
        </tpls>
      </n>
      <n v="5.6" in="2">
        <tpls c="6">
          <tpl fld="11" item="0"/>
          <tpl fld="5" item="3"/>
          <tpl fld="6" item="2"/>
          <tpl hier="236" item="0"/>
          <tpl fld="4" item="4"/>
          <tpl fld="10" item="8"/>
        </tpls>
      </n>
      <n v="6" in="1">
        <tpls c="6">
          <tpl fld="11" item="0"/>
          <tpl fld="5" item="3"/>
          <tpl fld="6" item="1"/>
          <tpl hier="236" item="0"/>
          <tpl fld="4" item="1"/>
          <tpl fld="9" item="0"/>
        </tpls>
      </n>
      <n v="2.1698113207547168E-2" in="0">
        <tpls c="5">
          <tpl fld="11" item="0"/>
          <tpl fld="2" item="0"/>
          <tpl fld="6" item="0"/>
          <tpl hier="236" item="0"/>
          <tpl fld="4" item="7"/>
        </tpls>
      </n>
      <n v="1" in="1">
        <tpls c="4">
          <tpl fld="7" item="1202"/>
          <tpl fld="6" item="1"/>
          <tpl hier="236" item="0"/>
          <tpl fld="1" item="0"/>
        </tpls>
      </n>
      <n v="1" in="1">
        <tpls c="4">
          <tpl fld="7" item="1155"/>
          <tpl fld="6" item="1"/>
          <tpl hier="236" item="0"/>
          <tpl fld="4" item="5"/>
        </tpls>
      </n>
      <m>
        <tpls c="4">
          <tpl fld="7" item="954"/>
          <tpl fld="6" item="1"/>
          <tpl hier="236" item="0"/>
          <tpl fld="1" item="0"/>
        </tpls>
      </m>
      <m>
        <tpls c="4">
          <tpl fld="7" item="1184"/>
          <tpl fld="6" item="2"/>
          <tpl hier="236" item="0"/>
          <tpl fld="4" item="6"/>
        </tpls>
      </m>
      <n v="1" in="1">
        <tpls c="4">
          <tpl fld="7" item="1230"/>
          <tpl fld="6" item="1"/>
          <tpl hier="236" item="0"/>
          <tpl fld="4" item="5"/>
        </tpls>
      </n>
      <m>
        <tpls c="4">
          <tpl fld="7" item="1180"/>
          <tpl fld="6" item="1"/>
          <tpl hier="236" item="0"/>
          <tpl fld="4" item="5"/>
        </tpls>
      </m>
      <n v="62" in="1">
        <tpls c="4">
          <tpl fld="7" item="1155"/>
          <tpl fld="6" item="1"/>
          <tpl hier="236" item="0"/>
          <tpl fld="1" item="0"/>
        </tpls>
      </n>
      <m>
        <tpls c="4">
          <tpl fld="7" item="1134"/>
          <tpl fld="6" item="1"/>
          <tpl hier="236" item="0"/>
          <tpl fld="4" item="6"/>
        </tpls>
      </m>
      <m>
        <tpls c="4">
          <tpl fld="7" item="1228"/>
          <tpl fld="6" item="1"/>
          <tpl hier="236" item="0"/>
          <tpl fld="4" item="6"/>
        </tpls>
      </m>
      <n v="2" in="1">
        <tpls c="4">
          <tpl fld="7" item="1268"/>
          <tpl fld="6" item="1"/>
          <tpl hier="236" item="0"/>
          <tpl fld="4" item="6"/>
        </tpls>
      </n>
      <m>
        <tpls c="4">
          <tpl fld="7" item="1176"/>
          <tpl fld="6" item="1"/>
          <tpl hier="236" item="0"/>
          <tpl fld="4" item="6"/>
        </tpls>
      </m>
      <n v="18.998918918918921" in="2">
        <tpls c="5">
          <tpl fld="11" item="0"/>
          <tpl fld="6" item="2"/>
          <tpl hier="236" item="0"/>
          <tpl fld="4" item="3"/>
          <tpl fld="10" item="7"/>
        </tpls>
      </n>
      <n v="2" in="2">
        <tpls c="6">
          <tpl fld="11" item="0"/>
          <tpl fld="5" item="2"/>
          <tpl fld="6" item="2"/>
          <tpl hier="236" item="0"/>
          <tpl fld="4" item="6"/>
          <tpl fld="10" item="6"/>
        </tpls>
      </n>
      <m>
        <tpls c="4">
          <tpl fld="7" item="1030"/>
          <tpl fld="6" item="2"/>
          <tpl hier="236" item="0"/>
          <tpl fld="1" item="0"/>
        </tpls>
      </m>
      <m>
        <tpls c="4">
          <tpl fld="7" item="1061"/>
          <tpl fld="6" item="2"/>
          <tpl hier="236" item="0"/>
          <tpl fld="1" item="0"/>
        </tpls>
      </m>
      <m>
        <tpls c="4">
          <tpl fld="7" item="1133"/>
          <tpl fld="6" item="2"/>
          <tpl hier="236" item="0"/>
          <tpl fld="1" item="0"/>
        </tpls>
      </m>
      <n v="0.7" in="2">
        <tpls c="4">
          <tpl fld="7" item="1164"/>
          <tpl fld="6" item="2"/>
          <tpl hier="236" item="0"/>
          <tpl fld="1" item="0"/>
        </tpls>
      </n>
      <m>
        <tpls c="4">
          <tpl fld="7" item="1134"/>
          <tpl fld="6" item="2"/>
          <tpl hier="236" item="0"/>
          <tpl fld="4" item="5"/>
        </tpls>
      </m>
      <m>
        <tpls c="4">
          <tpl fld="7" item="1184"/>
          <tpl fld="6" item="2"/>
          <tpl hier="236" item="0"/>
          <tpl fld="1" item="0"/>
        </tpls>
      </m>
      <m>
        <tpls c="5">
          <tpl fld="11" item="0"/>
          <tpl fld="5" item="4"/>
          <tpl fld="6" item="0"/>
          <tpl hier="236" item="0"/>
          <tpl fld="4" item="7"/>
        </tpls>
      </m>
      <n v="0.88297297297297306" in="2">
        <tpls c="4">
          <tpl fld="7" item="874"/>
          <tpl fld="6" item="2"/>
          <tpl hier="236" item="0"/>
          <tpl fld="1" item="0"/>
        </tpls>
      </n>
      <n v="1.0473187745915017E-2" in="0">
        <tpls c="5">
          <tpl fld="11" item="0"/>
          <tpl fld="2" item="1"/>
          <tpl fld="6" item="0"/>
          <tpl hier="236" item="0"/>
          <tpl fld="4" item="7"/>
        </tpls>
      </n>
      <n v="1" in="2">
        <tpls c="4">
          <tpl fld="7" item="1032"/>
          <tpl fld="6" item="2"/>
          <tpl hier="236" item="0"/>
          <tpl fld="1" item="0"/>
        </tpls>
      </n>
      <n v="0.13929383354473607" in="0">
        <tpls c="5">
          <tpl fld="11" item="0"/>
          <tpl fld="2" item="2"/>
          <tpl fld="6" item="0"/>
          <tpl hier="236" item="0"/>
          <tpl fld="4" item="0"/>
        </tpls>
      </n>
      <m>
        <tpls c="4">
          <tpl fld="7" item="1136"/>
          <tpl fld="6" item="2"/>
          <tpl hier="236" item="0"/>
          <tpl fld="4" item="5"/>
        </tpls>
      </m>
      <n v="2.3541864562382924E-2" in="0">
        <tpls c="5">
          <tpl fld="11" item="0"/>
          <tpl fld="2" item="1"/>
          <tpl fld="6" item="0"/>
          <tpl hier="236" item="0"/>
          <tpl fld="4" item="4"/>
        </tpls>
      </n>
      <n v="33" in="1">
        <tpls c="4">
          <tpl fld="7" item="927"/>
          <tpl fld="6" item="1"/>
          <tpl hier="236" item="0"/>
          <tpl fld="1" item="0"/>
        </tpls>
      </n>
      <m>
        <tpls c="4">
          <tpl fld="7" item="875"/>
          <tpl fld="6" item="2"/>
          <tpl hier="236" item="0"/>
          <tpl fld="1" item="0"/>
        </tpls>
      </m>
      <n v="2.8345465165914047E-2" in="0">
        <tpls c="5">
          <tpl fld="11" item="0"/>
          <tpl fld="5" item="3"/>
          <tpl fld="6" item="0"/>
          <tpl hier="236" item="0"/>
          <tpl fld="4" item="1"/>
        </tpls>
      </n>
      <m>
        <tpls c="4">
          <tpl fld="7" item="929"/>
          <tpl fld="6" item="2"/>
          <tpl hier="236" item="0"/>
          <tpl fld="1" item="0"/>
        </tpls>
      </m>
      <n v="1.1813328927578507E-2" in="0">
        <tpls c="5">
          <tpl fld="11" item="0"/>
          <tpl fld="5" item="3"/>
          <tpl fld="6" item="0"/>
          <tpl hier="236" item="0"/>
          <tpl fld="4" item="4"/>
        </tpls>
      </n>
      <m>
        <tpls c="4">
          <tpl fld="7" item="1137"/>
          <tpl fld="6" item="2"/>
          <tpl hier="236" item="0"/>
          <tpl fld="4" item="5"/>
        </tpls>
      </m>
      <m>
        <tpls c="4">
          <tpl fld="7" item="1134"/>
          <tpl fld="6" item="2"/>
          <tpl hier="236" item="0"/>
          <tpl fld="4" item="6"/>
        </tpls>
      </m>
      <n v="653.25418918918933" in="2">
        <tpls c="3">
          <tpl fld="6" item="2"/>
          <tpl hier="236" item="0"/>
          <tpl fld="4" item="1"/>
        </tpls>
      </n>
      <n v="4.1970541970541973E-2" in="0">
        <tpls c="5">
          <tpl fld="11" item="0"/>
          <tpl fld="2" item="2"/>
          <tpl fld="6" item="0"/>
          <tpl hier="236" item="0"/>
          <tpl fld="4" item="5"/>
        </tpls>
      </n>
      <m>
        <tpls c="4">
          <tpl fld="7" item="873"/>
          <tpl fld="6" item="2"/>
          <tpl hier="236" item="0"/>
          <tpl fld="4" item="6"/>
        </tpls>
      </m>
      <n v="9.3342117401851901E-2" in="0">
        <tpls c="5">
          <tpl fld="11" item="0"/>
          <tpl fld="6" item="0"/>
          <tpl fld="8" item="1"/>
          <tpl hier="236" item="0"/>
          <tpl fld="4" item="1"/>
        </tpls>
      </n>
      <n v="1.945996250677072E-2" in="0">
        <tpls c="5">
          <tpl fld="11" item="0"/>
          <tpl fld="6" item="0"/>
          <tpl fld="8" item="1"/>
          <tpl hier="236" item="0"/>
          <tpl fld="1" item="0"/>
        </tpls>
      </n>
      <n v="4.1854224914569742E-2" in="0">
        <tpls c="5">
          <tpl fld="3" item="1"/>
          <tpl fld="11" item="0"/>
          <tpl fld="6" item="0"/>
          <tpl hier="236" item="0"/>
          <tpl fld="4" item="0"/>
        </tpls>
      </n>
      <n v="0.11693716978256451" in="0">
        <tpls c="4">
          <tpl fld="11" item="0"/>
          <tpl fld="6" item="0"/>
          <tpl hier="236" item="0"/>
          <tpl fld="4" item="0"/>
        </tpls>
      </n>
      <m>
        <tpls c="4">
          <tpl fld="7" item="1168"/>
          <tpl fld="6" item="2"/>
          <tpl hier="236" item="0"/>
          <tpl fld="4" item="5"/>
        </tpls>
      </m>
      <m>
        <tpls c="4">
          <tpl fld="7" item="1178"/>
          <tpl fld="6" item="2"/>
          <tpl hier="236" item="0"/>
          <tpl fld="4" item="5"/>
        </tpls>
      </m>
      <m>
        <tpls c="4">
          <tpl fld="7" item="1250"/>
          <tpl fld="6" item="2"/>
          <tpl hier="236" item="0"/>
          <tpl fld="4" item="6"/>
        </tpls>
      </m>
      <m>
        <tpls c="4">
          <tpl fld="7" item="1040"/>
          <tpl fld="6" item="1"/>
          <tpl hier="236" item="0"/>
          <tpl fld="4" item="5"/>
        </tpls>
      </m>
      <m>
        <tpls c="4">
          <tpl fld="7" item="943"/>
          <tpl fld="6" item="1"/>
          <tpl hier="236" item="0"/>
          <tpl fld="1" item="0"/>
        </tpls>
      </m>
      <m>
        <tpls c="4">
          <tpl fld="7" item="1043"/>
          <tpl fld="6" item="2"/>
          <tpl hier="236" item="0"/>
          <tpl fld="4" item="5"/>
        </tpls>
      </m>
      <m>
        <tpls c="4">
          <tpl fld="7" item="1207"/>
          <tpl fld="6" item="2"/>
          <tpl hier="236" item="0"/>
          <tpl fld="1" item="0"/>
        </tpls>
      </m>
      <n v="8.8491602596532729E-3" in="0">
        <tpls c="5">
          <tpl fld="3" item="1"/>
          <tpl fld="11" item="0"/>
          <tpl fld="6" item="0"/>
          <tpl hier="236" item="0"/>
          <tpl fld="4" item="4"/>
        </tpls>
      </n>
      <m>
        <tpls c="5">
          <tpl fld="11" item="0"/>
          <tpl fld="2" item="4"/>
          <tpl fld="6" item="0"/>
          <tpl hier="236" item="0"/>
          <tpl fld="4" item="2"/>
        </tpls>
      </m>
      <n v="0.4027027027027027" in="2">
        <tpls c="4">
          <tpl fld="7" item="1155"/>
          <tpl fld="6" item="2"/>
          <tpl hier="236" item="0"/>
          <tpl fld="1" item="0"/>
        </tpls>
      </n>
      <m>
        <tpls c="4">
          <tpl fld="7" item="1266"/>
          <tpl fld="6" item="2"/>
          <tpl hier="236" item="0"/>
          <tpl fld="4" item="5"/>
        </tpls>
      </m>
      <m>
        <tpls c="4">
          <tpl fld="7" item="1060"/>
          <tpl fld="6" item="2"/>
          <tpl hier="236" item="0"/>
          <tpl fld="4" item="5"/>
        </tpls>
      </m>
      <m>
        <tpls c="4">
          <tpl fld="7" item="940"/>
          <tpl fld="6" item="2"/>
          <tpl hier="236" item="0"/>
          <tpl fld="4" item="6"/>
        </tpls>
      </m>
      <m>
        <tpls c="4">
          <tpl fld="7" item="1225"/>
          <tpl fld="6" item="2"/>
          <tpl hier="236" item="0"/>
          <tpl fld="4" item="5"/>
        </tpls>
      </m>
      <m>
        <tpls c="4">
          <tpl fld="7" item="964"/>
          <tpl fld="6" item="2"/>
          <tpl hier="236" item="0"/>
          <tpl fld="4" item="5"/>
        </tpls>
      </m>
      <m>
        <tpls c="4">
          <tpl fld="7" item="1182"/>
          <tpl fld="6" item="2"/>
          <tpl hier="236" item="0"/>
          <tpl fld="1" item="0"/>
        </tpls>
      </m>
      <n v="2" in="1">
        <tpls c="4">
          <tpl fld="7" item="930"/>
          <tpl fld="6" item="1"/>
          <tpl hier="236" item="0"/>
          <tpl fld="1" item="0"/>
        </tpls>
      </n>
      <n v="7" in="1">
        <tpls c="4">
          <tpl fld="7" item="938"/>
          <tpl fld="6" item="1"/>
          <tpl hier="236" item="0"/>
          <tpl fld="1" item="0"/>
        </tpls>
      </n>
      <m>
        <tpls c="4">
          <tpl fld="7" item="1228"/>
          <tpl fld="6" item="2"/>
          <tpl hier="236" item="0"/>
          <tpl fld="4" item="6"/>
        </tpls>
      </m>
      <m>
        <tpls c="4">
          <tpl fld="7" item="1045"/>
          <tpl fld="6" item="2"/>
          <tpl hier="236" item="0"/>
          <tpl fld="4" item="5"/>
        </tpls>
      </m>
      <m>
        <tpls c="4">
          <tpl fld="7" item="1070"/>
          <tpl fld="6" item="2"/>
          <tpl hier="236" item="0"/>
          <tpl fld="1" item="0"/>
        </tpls>
      </m>
      <m>
        <tpls c="4">
          <tpl fld="7" item="1262"/>
          <tpl fld="6" item="1"/>
          <tpl hier="236" item="0"/>
          <tpl fld="4" item="5"/>
        </tpls>
      </m>
      <m>
        <tpls c="4">
          <tpl fld="7" item="930"/>
          <tpl fld="6" item="1"/>
          <tpl hier="236" item="0"/>
          <tpl fld="4" item="5"/>
        </tpls>
      </m>
      <m>
        <tpls c="4">
          <tpl fld="7" item="1142"/>
          <tpl fld="6" item="2"/>
          <tpl hier="236" item="0"/>
          <tpl fld="4" item="6"/>
        </tpls>
      </m>
      <n v="1" in="1">
        <tpls c="4">
          <tpl fld="7" item="1227"/>
          <tpl fld="6" item="1"/>
          <tpl hier="236" item="0"/>
          <tpl fld="1" item="0"/>
        </tpls>
      </n>
      <m>
        <tpls c="4">
          <tpl fld="7" item="946"/>
          <tpl fld="6" item="1"/>
          <tpl hier="236" item="0"/>
          <tpl fld="4" item="5"/>
        </tpls>
      </m>
      <m>
        <tpls c="4">
          <tpl fld="7" item="1158"/>
          <tpl fld="6" item="2"/>
          <tpl hier="236" item="0"/>
          <tpl fld="4" item="6"/>
        </tpls>
      </m>
      <m>
        <tpls c="4">
          <tpl fld="7" item="1231"/>
          <tpl fld="6" item="1"/>
          <tpl hier="236" item="0"/>
          <tpl fld="1" item="0"/>
        </tpls>
      </m>
      <m>
        <tpls c="4">
          <tpl fld="7" item="1063"/>
          <tpl fld="6" item="2"/>
          <tpl hier="236" item="0"/>
          <tpl fld="4" item="5"/>
        </tpls>
      </m>
      <m>
        <tpls c="4">
          <tpl fld="7" item="1226"/>
          <tpl fld="6" item="1"/>
          <tpl hier="236" item="0"/>
          <tpl fld="4" item="5"/>
        </tpls>
      </m>
      <n v="41" in="1">
        <tpls c="4">
          <tpl fld="7" item="1156"/>
          <tpl fld="6" item="1"/>
          <tpl hier="236" item="0"/>
          <tpl fld="1" item="0"/>
        </tpls>
      </n>
      <m>
        <tpls c="4">
          <tpl fld="7" item="1163"/>
          <tpl fld="6" item="1"/>
          <tpl hier="236" item="0"/>
          <tpl fld="4" item="5"/>
        </tpls>
      </m>
      <m>
        <tpls c="4">
          <tpl fld="7" item="1169"/>
          <tpl fld="6" item="2"/>
          <tpl hier="236" item="0"/>
          <tpl fld="4" item="6"/>
        </tpls>
      </m>
      <n v="4" in="1">
        <tpls c="4">
          <tpl fld="7" item="1208"/>
          <tpl fld="6" item="1"/>
          <tpl hier="236" item="0"/>
          <tpl fld="1" item="0"/>
        </tpls>
      </n>
      <n v="3.3901183993605435E-2" in="0">
        <tpls c="5">
          <tpl fld="3" item="3"/>
          <tpl fld="11" item="0"/>
          <tpl fld="6" item="0"/>
          <tpl hier="236" item="0"/>
          <tpl fld="4" item="6"/>
        </tpls>
      </n>
      <m>
        <tpls c="4">
          <tpl fld="7" item="926"/>
          <tpl fld="6" item="2"/>
          <tpl hier="236" item="0"/>
          <tpl fld="4" item="5"/>
        </tpls>
      </m>
      <m>
        <tpls c="4">
          <tpl fld="7" item="1235"/>
          <tpl fld="6" item="2"/>
          <tpl hier="236" item="0"/>
          <tpl fld="1" item="0"/>
        </tpls>
      </m>
      <n v="6" in="1">
        <tpls c="4">
          <tpl fld="7" item="1250"/>
          <tpl fld="6" item="1"/>
          <tpl hier="236" item="0"/>
          <tpl fld="1" item="0"/>
        </tpls>
      </n>
      <n v="1" in="1">
        <tpls c="4">
          <tpl fld="7" item="937"/>
          <tpl fld="6" item="1"/>
          <tpl hier="236" item="0"/>
          <tpl fld="4" item="5"/>
        </tpls>
      </n>
      <m>
        <tpls c="4">
          <tpl fld="7" item="944"/>
          <tpl fld="6" item="1"/>
          <tpl hier="236" item="0"/>
          <tpl fld="4" item="5"/>
        </tpls>
      </m>
      <m>
        <tpls c="4">
          <tpl fld="7" item="951"/>
          <tpl fld="6" item="1"/>
          <tpl hier="236" item="0"/>
          <tpl fld="4" item="5"/>
        </tpls>
      </m>
      <m>
        <tpls c="4">
          <tpl fld="7" item="1165"/>
          <tpl fld="6" item="2"/>
          <tpl hier="236" item="0"/>
          <tpl fld="4" item="6"/>
        </tpls>
      </m>
      <m>
        <tpls c="4">
          <tpl fld="7" item="875"/>
          <tpl fld="6" item="1"/>
          <tpl hier="236" item="0"/>
          <tpl fld="4" item="5"/>
        </tpls>
      </m>
      <n v="25" in="1">
        <tpls c="4">
          <tpl fld="7" item="949"/>
          <tpl fld="6" item="1"/>
          <tpl hier="236" item="0"/>
          <tpl fld="1" item="0"/>
        </tpls>
      </n>
      <n v="7" in="1">
        <tpls c="4">
          <tpl fld="7" item="1268"/>
          <tpl fld="6" item="1"/>
          <tpl hier="236" item="0"/>
          <tpl fld="1" item="0"/>
        </tpls>
      </n>
      <n v="6" in="1">
        <tpls c="4">
          <tpl fld="7" item="1259"/>
          <tpl fld="6" item="1"/>
          <tpl hier="236" item="0"/>
          <tpl fld="1" item="0"/>
        </tpls>
      </n>
      <n v="42" in="1">
        <tpls c="4">
          <tpl fld="7" item="1209"/>
          <tpl fld="6" item="1"/>
          <tpl hier="236" item="0"/>
          <tpl fld="1" item="0"/>
        </tpls>
      </n>
      <m>
        <tpls c="4">
          <tpl fld="7" item="1199"/>
          <tpl fld="6" item="2"/>
          <tpl hier="236" item="0"/>
          <tpl fld="4" item="5"/>
        </tpls>
      </m>
      <m>
        <tpls c="4">
          <tpl fld="7" item="1137"/>
          <tpl fld="6" item="1"/>
          <tpl hier="236" item="0"/>
          <tpl fld="1" item="0"/>
        </tpls>
      </m>
      <m>
        <tpls c="4">
          <tpl fld="7" item="1051"/>
          <tpl fld="6" item="1"/>
          <tpl hier="236" item="0"/>
          <tpl fld="4" item="5"/>
        </tpls>
      </m>
      <n v="2" in="1">
        <tpls c="4">
          <tpl fld="7" item="1161"/>
          <tpl fld="6" item="1"/>
          <tpl hier="236" item="0"/>
          <tpl fld="1" item="0"/>
        </tpls>
      </n>
      <m>
        <tpls c="4">
          <tpl fld="7" item="1232"/>
          <tpl fld="6" item="1"/>
          <tpl hier="236" item="0"/>
          <tpl fld="4" item="5"/>
        </tpls>
      </m>
      <m>
        <tpls c="4">
          <tpl fld="7" item="1070"/>
          <tpl fld="6" item="2"/>
          <tpl hier="236" item="0"/>
          <tpl fld="4" item="6"/>
        </tpls>
      </m>
      <n v="25" in="1">
        <tpls c="4">
          <tpl fld="7" item="1178"/>
          <tpl fld="6" item="1"/>
          <tpl hier="236" item="0"/>
          <tpl fld="1" item="0"/>
        </tpls>
      </n>
      <n v="6" in="1">
        <tpls c="4">
          <tpl fld="7" item="978"/>
          <tpl fld="6" item="1"/>
          <tpl hier="236" item="0"/>
          <tpl fld="4" item="6"/>
        </tpls>
      </n>
      <n v="0.1246474358974359" in="0">
        <tpls c="5">
          <tpl fld="3" item="2"/>
          <tpl fld="11" item="0"/>
          <tpl fld="6" item="0"/>
          <tpl hier="236" item="0"/>
          <tpl fld="4" item="5"/>
        </tpls>
      </n>
      <n v="2" in="1">
        <tpls c="4">
          <tpl fld="7" item="873"/>
          <tpl fld="6" item="1"/>
          <tpl hier="236" item="0"/>
          <tpl fld="4" item="5"/>
        </tpls>
      </n>
      <m>
        <tpls c="4">
          <tpl fld="7" item="1050"/>
          <tpl fld="6" item="2"/>
          <tpl hier="236" item="0"/>
          <tpl fld="4" item="6"/>
        </tpls>
      </m>
      <n v="1" in="1">
        <tpls c="4">
          <tpl fld="7" item="1057"/>
          <tpl fld="6" item="1"/>
          <tpl hier="236" item="0"/>
          <tpl fld="1" item="0"/>
        </tpls>
      </n>
      <m>
        <tpls c="4">
          <tpl fld="7" item="960"/>
          <tpl fld="6" item="2"/>
          <tpl hier="236" item="0"/>
          <tpl fld="4" item="6"/>
        </tpls>
      </m>
      <m>
        <tpls c="4">
          <tpl fld="7" item="1069"/>
          <tpl fld="6" item="1"/>
          <tpl hier="236" item="0"/>
          <tpl fld="1" item="0"/>
        </tpls>
      </m>
      <m>
        <tpls c="4">
          <tpl fld="7" item="1177"/>
          <tpl fld="6" item="1"/>
          <tpl hier="236" item="0"/>
          <tpl fld="4" item="5"/>
        </tpls>
      </m>
      <n v="1.1009979868933911E-2" in="0">
        <tpls c="5">
          <tpl fld="3" item="0"/>
          <tpl fld="11" item="0"/>
          <tpl fld="6" item="0"/>
          <tpl hier="236" item="0"/>
          <tpl fld="4" item="4"/>
        </tpls>
      </n>
      <n v="179.49250000000001" in="2">
        <tpls c="3">
          <tpl fld="6" item="2"/>
          <tpl hier="236" item="0"/>
          <tpl fld="4" item="3"/>
        </tpls>
      </n>
      <n v="2.9411764705882353E-2" in="0">
        <tpls c="5">
          <tpl fld="3" item="0"/>
          <tpl fld="11" item="0"/>
          <tpl fld="6" item="0"/>
          <tpl hier="236" item="0"/>
          <tpl fld="4" item="6"/>
        </tpls>
      </n>
      <n v="0" in="1">
        <tpls c="4">
          <tpl fld="7" item="927"/>
          <tpl fld="6" item="1"/>
          <tpl hier="236" item="0"/>
          <tpl fld="4" item="5"/>
        </tpls>
      </n>
      <n v="60599" in="1">
        <tpls c="4">
          <tpl fld="11" item="0"/>
          <tpl fld="6" item="1"/>
          <tpl hier="236" item="0"/>
          <tpl fld="1" item="0"/>
        </tpls>
      </n>
      <m>
        <tpls c="4">
          <tpl fld="7" item="1269"/>
          <tpl fld="6" item="2"/>
          <tpl hier="236" item="0"/>
          <tpl fld="1" item="0"/>
        </tpls>
      </m>
      <m>
        <tpls c="4">
          <tpl fld="7" item="1137"/>
          <tpl fld="6" item="2"/>
          <tpl hier="236" item="0"/>
          <tpl fld="4" item="6"/>
        </tpls>
      </m>
      <m>
        <tpls c="4">
          <tpl fld="7" item="1144"/>
          <tpl fld="6" item="2"/>
          <tpl hier="236" item="0"/>
          <tpl fld="4" item="6"/>
        </tpls>
      </m>
      <m>
        <tpls c="4">
          <tpl fld="7" item="1151"/>
          <tpl fld="6" item="2"/>
          <tpl hier="236" item="0"/>
          <tpl fld="4" item="6"/>
        </tpls>
      </m>
      <n v="0" in="1">
        <tpls c="4">
          <tpl fld="7" item="1204"/>
          <tpl fld="6" item="1"/>
          <tpl hier="236" item="0"/>
          <tpl fld="1" item="0"/>
        </tpls>
      </n>
      <n v="2.7047146401985109E-2" in="0">
        <tpls c="5">
          <tpl fld="11" item="0"/>
          <tpl fld="5" item="3"/>
          <tpl fld="6" item="0"/>
          <tpl hier="236" item="0"/>
          <tpl fld="4" item="5"/>
        </tpls>
      </n>
      <m>
        <tpls c="4">
          <tpl fld="7" item="1034"/>
          <tpl fld="6" item="2"/>
          <tpl hier="236" item="0"/>
          <tpl fld="4" item="6"/>
        </tpls>
      </m>
      <m>
        <tpls c="4">
          <tpl fld="7" item="950"/>
          <tpl fld="6" item="2"/>
          <tpl hier="236" item="0"/>
          <tpl fld="4" item="6"/>
        </tpls>
      </m>
      <m>
        <tpls c="4">
          <tpl fld="7" item="959"/>
          <tpl fld="6" item="1"/>
          <tpl hier="236" item="0"/>
          <tpl fld="4" item="5"/>
        </tpls>
      </m>
      <m>
        <tpls c="4">
          <tpl fld="7" item="966"/>
          <tpl fld="6" item="1"/>
          <tpl hier="236" item="0"/>
          <tpl fld="4" item="5"/>
        </tpls>
      </m>
      <n v="1" in="1">
        <tpls c="4">
          <tpl fld="7" item="972"/>
          <tpl fld="6" item="1"/>
          <tpl hier="236" item="0"/>
          <tpl fld="4" item="5"/>
        </tpls>
      </n>
      <m>
        <tpls c="4">
          <tpl fld="7" item="1201"/>
          <tpl fld="6" item="2"/>
          <tpl hier="236" item="0"/>
          <tpl fld="4" item="5"/>
        </tpls>
      </m>
      <m>
        <tpls c="4">
          <tpl fld="7" item="1199"/>
          <tpl fld="6" item="1"/>
          <tpl hier="236" item="0"/>
          <tpl fld="4" item="5"/>
        </tpls>
      </m>
      <m>
        <tpls c="4">
          <tpl fld="7" item="1203"/>
          <tpl fld="6" item="1"/>
          <tpl hier="236" item="0"/>
          <tpl fld="4" item="5"/>
        </tpls>
      </m>
      <m>
        <tpls c="4">
          <tpl fld="7" item="955"/>
          <tpl fld="6" item="2"/>
          <tpl hier="236" item="0"/>
          <tpl fld="4" item="6"/>
        </tpls>
      </m>
      <m>
        <tpls c="4">
          <tpl fld="7" item="1065"/>
          <tpl fld="6" item="2"/>
          <tpl hier="236" item="0"/>
          <tpl fld="4" item="6"/>
        </tpls>
      </m>
      <n v="1" in="1">
        <tpls c="4">
          <tpl fld="7" item="1173"/>
          <tpl fld="6" item="1"/>
          <tpl hier="236" item="0"/>
          <tpl fld="1" item="0"/>
        </tpls>
      </n>
      <n v="1" in="1">
        <tpls c="4">
          <tpl fld="7" item="1209"/>
          <tpl fld="6" item="1"/>
          <tpl hier="236" item="0"/>
          <tpl fld="4" item="5"/>
        </tpls>
      </n>
      <n v="1" in="1">
        <tpls c="4">
          <tpl fld="7" item="1030"/>
          <tpl fld="6" item="1"/>
          <tpl hier="236" item="0"/>
          <tpl fld="4" item="6"/>
        </tpls>
      </n>
      <n v="0.3" in="2">
        <tpls c="4">
          <tpl fld="7" item="872"/>
          <tpl fld="6" item="2"/>
          <tpl hier="236" item="0"/>
          <tpl fld="4" item="5"/>
        </tpls>
      </n>
      <m>
        <tpls c="4">
          <tpl fld="7" item="1135"/>
          <tpl fld="6" item="2"/>
          <tpl hier="236" item="0"/>
          <tpl fld="4" item="6"/>
        </tpls>
      </m>
      <m>
        <tpls c="4">
          <tpl fld="7" item="1153"/>
          <tpl fld="6" item="1"/>
          <tpl hier="236" item="0"/>
          <tpl fld="4" item="5"/>
        </tpls>
      </m>
      <m>
        <tpls c="4">
          <tpl fld="7" item="1256"/>
          <tpl fld="6" item="2"/>
          <tpl hier="236" item="0"/>
          <tpl fld="4" item="6"/>
        </tpls>
      </m>
      <m>
        <tpls c="4">
          <tpl fld="7" item="1064"/>
          <tpl fld="6" item="1"/>
          <tpl hier="236" item="0"/>
          <tpl fld="1" item="0"/>
        </tpls>
      </m>
      <n v="1" in="1">
        <tpls c="4">
          <tpl fld="7" item="1172"/>
          <tpl fld="6" item="1"/>
          <tpl hier="236" item="0"/>
          <tpl fld="4" item="5"/>
        </tpls>
      </n>
      <m>
        <tpls c="4">
          <tpl fld="7" item="971"/>
          <tpl fld="6" item="2"/>
          <tpl hier="236" item="0"/>
          <tpl fld="4" item="6"/>
        </tpls>
      </m>
      <m>
        <tpls c="4">
          <tpl fld="7" item="1149"/>
          <tpl fld="6" item="2"/>
          <tpl hier="236" item="0"/>
          <tpl fld="1" item="0"/>
        </tpls>
      </m>
      <m>
        <tpls c="4">
          <tpl fld="7" item="936"/>
          <tpl fld="6" item="2"/>
          <tpl hier="236" item="0"/>
          <tpl fld="4" item="6"/>
        </tpls>
      </m>
      <m>
        <tpls c="4">
          <tpl fld="7" item="1179"/>
          <tpl fld="6" item="2"/>
          <tpl hier="236" item="0"/>
          <tpl fld="4" item="5"/>
        </tpls>
      </m>
      <m>
        <tpls c="4">
          <tpl fld="7" item="1202"/>
          <tpl fld="6" item="2"/>
          <tpl hier="236" item="0"/>
          <tpl fld="4" item="6"/>
        </tpls>
      </m>
      <m>
        <tpls c="4">
          <tpl fld="7" item="929"/>
          <tpl fld="6" item="1"/>
          <tpl hier="236" item="0"/>
          <tpl fld="4" item="5"/>
        </tpls>
      </m>
      <m>
        <tpls c="4">
          <tpl fld="7" item="936"/>
          <tpl fld="6" item="1"/>
          <tpl hier="236" item="0"/>
          <tpl fld="4" item="5"/>
        </tpls>
      </m>
      <m>
        <tpls c="4">
          <tpl fld="7" item="943"/>
          <tpl fld="6" item="1"/>
          <tpl hier="236" item="0"/>
          <tpl fld="4" item="5"/>
        </tpls>
      </m>
      <m>
        <tpls c="4">
          <tpl fld="7" item="1157"/>
          <tpl fld="6" item="2"/>
          <tpl hier="236" item="0"/>
          <tpl fld="4" item="6"/>
        </tpls>
      </m>
      <m>
        <tpls c="4">
          <tpl fld="7" item="1164"/>
          <tpl fld="6" item="2"/>
          <tpl hier="236" item="0"/>
          <tpl fld="4" item="6"/>
        </tpls>
      </m>
      <m>
        <tpls c="4">
          <tpl fld="7" item="1261"/>
          <tpl fld="6" item="2"/>
          <tpl hier="236" item="0"/>
          <tpl fld="1" item="0"/>
        </tpls>
      </m>
      <n v="1" in="2">
        <tpls c="4">
          <tpl fld="7" item="1052"/>
          <tpl fld="6" item="2"/>
          <tpl hier="236" item="0"/>
          <tpl fld="4" item="6"/>
        </tpls>
      </n>
      <n v="6" in="1">
        <tpls c="4">
          <tpl fld="7" item="1164"/>
          <tpl fld="6" item="1"/>
          <tpl hier="236" item="0"/>
          <tpl fld="1" item="0"/>
        </tpls>
      </n>
      <m>
        <tpls c="4">
          <tpl fld="7" item="1233"/>
          <tpl fld="6" item="1"/>
          <tpl hier="236" item="0"/>
          <tpl fld="1" item="0"/>
        </tpls>
      </m>
      <m>
        <tpls c="4">
          <tpl fld="7" item="971"/>
          <tpl fld="6" item="1"/>
          <tpl hier="236" item="0"/>
          <tpl fld="4" item="5"/>
        </tpls>
      </m>
      <n v="2" in="1">
        <tpls c="4">
          <tpl fld="7" item="977"/>
          <tpl fld="6" item="1"/>
          <tpl hier="236" item="0"/>
          <tpl fld="1" item="0"/>
        </tpls>
      </n>
      <m>
        <tpls c="4">
          <tpl fld="7" item="874"/>
          <tpl fld="6" item="1"/>
          <tpl hier="236" item="0"/>
          <tpl fld="4" item="5"/>
        </tpls>
      </m>
      <n v="13" in="1">
        <tpls c="4">
          <tpl fld="7" item="1153"/>
          <tpl fld="6" item="1"/>
          <tpl hier="236" item="0"/>
          <tpl fld="1" item="0"/>
        </tpls>
      </n>
      <m>
        <tpls c="4">
          <tpl fld="7" item="1160"/>
          <tpl fld="6" item="1"/>
          <tpl hier="236" item="0"/>
          <tpl fld="4" item="5"/>
        </tpls>
      </m>
      <m>
        <tpls c="4">
          <tpl fld="7" item="1064"/>
          <tpl fld="6" item="2"/>
          <tpl hier="236" item="0"/>
          <tpl fld="4" item="6"/>
        </tpls>
      </m>
      <m>
        <tpls c="4">
          <tpl fld="7" item="1172"/>
          <tpl fld="6" item="1"/>
          <tpl hier="236" item="0"/>
          <tpl fld="1" item="0"/>
        </tpls>
      </m>
      <m>
        <tpls c="4">
          <tpl fld="7" item="1080"/>
          <tpl fld="6" item="1"/>
          <tpl hier="236" item="0"/>
          <tpl fld="4" item="5"/>
        </tpls>
      </m>
      <n v="59.148648648648646" in="2">
        <tpls c="3">
          <tpl fld="6" item="2"/>
          <tpl hier="236" item="0"/>
          <tpl fld="4" item="7"/>
        </tpls>
      </n>
      <m>
        <tpls c="4">
          <tpl fld="7" item="1081"/>
          <tpl fld="6" item="2"/>
          <tpl hier="236" item="0"/>
          <tpl fld="4" item="6"/>
        </tpls>
      </m>
      <m>
        <tpls c="4">
          <tpl fld="7" item="1049"/>
          <tpl fld="6" item="2"/>
          <tpl hier="236" item="0"/>
          <tpl fld="4" item="6"/>
        </tpls>
      </m>
      <n v="1" in="1">
        <tpls c="4">
          <tpl fld="7" item="1056"/>
          <tpl fld="6" item="1"/>
          <tpl hier="236" item="0"/>
          <tpl fld="4" item="5"/>
        </tpls>
      </n>
      <n v="7" in="1">
        <tpls c="4">
          <tpl fld="7" item="1063"/>
          <tpl fld="6" item="1"/>
          <tpl hier="236" item="0"/>
          <tpl fld="1" item="0"/>
        </tpls>
      </n>
      <m>
        <tpls c="4">
          <tpl fld="7" item="1171"/>
          <tpl fld="6" item="1"/>
          <tpl hier="236" item="0"/>
          <tpl fld="4" item="5"/>
        </tpls>
      </m>
      <m>
        <tpls c="4">
          <tpl fld="7" item="970"/>
          <tpl fld="6" item="2"/>
          <tpl hier="236" item="0"/>
          <tpl fld="4" item="6"/>
        </tpls>
      </m>
      <n v="11" in="1">
        <tpls c="4">
          <tpl fld="7" item="1079"/>
          <tpl fld="6" item="1"/>
          <tpl hier="236" item="0"/>
          <tpl fld="1" item="0"/>
        </tpls>
      </n>
      <m>
        <tpls c="4">
          <tpl fld="7" item="1151"/>
          <tpl fld="6" item="1"/>
          <tpl hier="236" item="0"/>
          <tpl fld="1" item="0"/>
        </tpls>
      </m>
      <m>
        <tpls c="4">
          <tpl fld="7" item="1260"/>
          <tpl fld="6" item="2"/>
          <tpl hier="236" item="0"/>
          <tpl fld="4" item="6"/>
        </tpls>
      </m>
      <n v="6" in="1">
        <tpls c="4">
          <tpl fld="7" item="1274"/>
          <tpl fld="6" item="1"/>
          <tpl hier="236" item="0"/>
          <tpl fld="4" item="6"/>
        </tpls>
      </n>
      <m>
        <tpls c="4">
          <tpl fld="7" item="1164"/>
          <tpl fld="6" item="1"/>
          <tpl hier="236" item="0"/>
          <tpl fld="4" item="6"/>
        </tpls>
      </m>
      <m>
        <tpls c="4">
          <tpl fld="7" item="966"/>
          <tpl fld="6" item="1"/>
          <tpl hier="236" item="0"/>
          <tpl fld="4" item="6"/>
        </tpls>
      </m>
      <m>
        <tpls c="4">
          <tpl fld="7" item="974"/>
          <tpl fld="6" item="1"/>
          <tpl hier="236" item="0"/>
          <tpl fld="4" item="6"/>
        </tpls>
      </m>
      <n v="184" in="1">
        <tpls c="6">
          <tpl fld="11" item="0"/>
          <tpl fld="2" item="4"/>
          <tpl fld="6" item="1"/>
          <tpl hier="236" item="0"/>
          <tpl fld="4" item="7"/>
          <tpl fld="10" item="8"/>
        </tpls>
      </n>
      <n v="456" in="1">
        <tpls c="6">
          <tpl fld="11" item="0"/>
          <tpl fld="5" item="4"/>
          <tpl fld="6" item="1"/>
          <tpl hier="236" item="0"/>
          <tpl fld="4" item="6"/>
          <tpl fld="10" item="7"/>
        </tpls>
      </n>
      <n v="16" in="1">
        <tpls c="6">
          <tpl fld="11" item="0"/>
          <tpl fld="5" item="2"/>
          <tpl fld="6" item="1"/>
          <tpl hier="236" item="0"/>
          <tpl fld="4" item="1"/>
          <tpl fld="9" item="3"/>
        </tpls>
      </n>
      <n v="0" in="1">
        <tpls c="6">
          <tpl fld="11" item="0"/>
          <tpl fld="5" item="3"/>
          <tpl fld="6" item="1"/>
          <tpl hier="236" item="0"/>
          <tpl fld="4" item="3"/>
          <tpl fld="10" item="8"/>
        </tpls>
      </n>
      <n v="189" in="1">
        <tpls c="6">
          <tpl fld="11" item="0"/>
          <tpl fld="5" item="1"/>
          <tpl fld="6" item="1"/>
          <tpl hier="236" item="0"/>
          <tpl fld="4" item="6"/>
          <tpl fld="10" item="0"/>
        </tpls>
      </n>
      <n v="1" in="1">
        <tpls c="4">
          <tpl fld="7" item="1257"/>
          <tpl fld="6" item="1"/>
          <tpl hier="236" item="0"/>
          <tpl fld="4" item="5"/>
        </tpls>
      </n>
      <n v="1.6974261527671307E-2" in="0">
        <tpls c="5">
          <tpl fld="11" item="0"/>
          <tpl fld="2" item="4"/>
          <tpl fld="6" item="0"/>
          <tpl hier="236" item="0"/>
          <tpl fld="4" item="3"/>
        </tpls>
      </n>
      <m>
        <tpls c="4">
          <tpl fld="7" item="1208"/>
          <tpl fld="6" item="2"/>
          <tpl hier="236" item="0"/>
          <tpl fld="1" item="0"/>
        </tpls>
      </m>
      <m>
        <tpls c="4">
          <tpl fld="7" item="949"/>
          <tpl fld="6" item="1"/>
          <tpl hier="236" item="0"/>
          <tpl fld="4" item="5"/>
        </tpls>
      </m>
      <m>
        <tpls c="4">
          <tpl fld="7" item="1205"/>
          <tpl fld="6" item="2"/>
          <tpl hier="236" item="0"/>
          <tpl fld="4" item="6"/>
        </tpls>
      </m>
      <m>
        <tpls c="4">
          <tpl fld="7" item="1063"/>
          <tpl fld="6" item="2"/>
          <tpl hier="236" item="0"/>
          <tpl fld="4" item="6"/>
        </tpls>
      </m>
      <n v="5" in="1">
        <tpls c="4">
          <tpl fld="7" item="1034"/>
          <tpl fld="6" item="1"/>
          <tpl hier="236" item="0"/>
          <tpl fld="4" item="6"/>
        </tpls>
      </n>
      <m>
        <tpls c="4">
          <tpl fld="7" item="1062"/>
          <tpl fld="6" item="2"/>
          <tpl hier="236" item="0"/>
          <tpl fld="4" item="6"/>
        </tpls>
      </m>
      <m>
        <tpls c="4">
          <tpl fld="7" item="1182"/>
          <tpl fld="6" item="1"/>
          <tpl hier="236" item="0"/>
          <tpl fld="4" item="5"/>
        </tpls>
      </m>
      <n v="1" in="1">
        <tpls c="4">
          <tpl fld="7" item="1162"/>
          <tpl fld="6" item="1"/>
          <tpl hier="236" item="0"/>
          <tpl fld="4" item="5"/>
        </tpls>
      </n>
      <m>
        <tpls c="4">
          <tpl fld="7" item="1225"/>
          <tpl fld="6" item="1"/>
          <tpl hier="236" item="0"/>
          <tpl fld="4" item="6"/>
        </tpls>
      </m>
      <n v="12" in="1">
        <tpls c="4">
          <tpl fld="7" item="1154"/>
          <tpl fld="6" item="1"/>
          <tpl hier="236" item="0"/>
          <tpl fld="4" item="6"/>
        </tpls>
      </n>
      <m>
        <tpls c="4">
          <tpl fld="7" item="961"/>
          <tpl fld="6" item="1"/>
          <tpl hier="236" item="0"/>
          <tpl fld="4" item="6"/>
        </tpls>
      </m>
      <n v="9" in="1">
        <tpls c="4">
          <tpl fld="7" item="1178"/>
          <tpl fld="6" item="1"/>
          <tpl hier="236" item="0"/>
          <tpl fld="4" item="6"/>
        </tpls>
      </n>
      <m>
        <tpls c="6">
          <tpl fld="3" item="0"/>
          <tpl fld="11" item="0"/>
          <tpl fld="6" item="2"/>
          <tpl hier="236" item="0"/>
          <tpl fld="4" item="6"/>
          <tpl fld="10" item="5"/>
        </tpls>
      </m>
      <n v="0" in="1">
        <tpls c="6">
          <tpl fld="11" item="0"/>
          <tpl fld="5" item="3"/>
          <tpl fld="6" item="1"/>
          <tpl hier="236" item="0"/>
          <tpl fld="4" item="7"/>
          <tpl fld="10" item="3"/>
        </tpls>
      </n>
      <n v="16.967567567567567" in="2">
        <tpls c="6">
          <tpl fld="11" item="0"/>
          <tpl fld="5" item="5"/>
          <tpl fld="6" item="2"/>
          <tpl hier="236" item="0"/>
          <tpl fld="4" item="4"/>
          <tpl fld="10" item="2"/>
        </tpls>
      </n>
      <n v="159" in="1">
        <tpls c="6">
          <tpl fld="11" item="0"/>
          <tpl fld="5" item="4"/>
          <tpl fld="6" item="1"/>
          <tpl hier="236" item="0"/>
          <tpl fld="4" item="4"/>
          <tpl fld="10" item="3"/>
        </tpls>
      </n>
      <n v="0" in="1">
        <tpls c="6">
          <tpl fld="11" item="0"/>
          <tpl fld="5" item="4"/>
          <tpl fld="6" item="1"/>
          <tpl hier="236" item="0"/>
          <tpl fld="4" item="7"/>
          <tpl fld="10" item="3"/>
        </tpls>
      </n>
      <m>
        <tpls c="4">
          <tpl fld="7" item="949"/>
          <tpl fld="6" item="2"/>
          <tpl hier="236" item="0"/>
          <tpl fld="4" item="6"/>
        </tpls>
      </m>
      <n v="19" in="1">
        <tpls c="4">
          <tpl fld="7" item="928"/>
          <tpl fld="6" item="1"/>
          <tpl hier="236" item="0"/>
          <tpl fld="4" item="6"/>
        </tpls>
      </n>
      <m>
        <tpls c="4">
          <tpl fld="7" item="941"/>
          <tpl fld="6" item="1"/>
          <tpl hier="236" item="0"/>
          <tpl fld="4" item="6"/>
        </tpls>
      </m>
      <n v="76.617162162162145" in="2">
        <tpls c="4">
          <tpl fld="11" item="0"/>
          <tpl fld="6" item="2"/>
          <tpl hier="236" item="0"/>
          <tpl fld="4" item="5"/>
        </tpls>
      </n>
      <n v="355" in="1">
        <tpls c="6">
          <tpl fld="11" item="0"/>
          <tpl fld="2" item="4"/>
          <tpl fld="6" item="1"/>
          <tpl hier="236" item="0"/>
          <tpl fld="4" item="6"/>
          <tpl fld="10" item="8"/>
        </tpls>
      </n>
      <n v="29.451351351351352" in="2">
        <tpls c="6">
          <tpl fld="11" item="0"/>
          <tpl fld="5" item="5"/>
          <tpl fld="6" item="2"/>
          <tpl hier="236" item="0"/>
          <tpl fld="4" item="3"/>
          <tpl fld="10" item="4"/>
        </tpls>
      </n>
      <n v="19" in="1">
        <tpls c="6">
          <tpl fld="11" item="0"/>
          <tpl fld="5" item="0"/>
          <tpl fld="6" item="1"/>
          <tpl hier="236" item="0"/>
          <tpl fld="4" item="6"/>
          <tpl fld="10" item="6"/>
        </tpls>
      </n>
      <n v="0.5" in="2">
        <tpls c="4">
          <tpl fld="7" item="1157"/>
          <tpl fld="6" item="2"/>
          <tpl hier="236" item="0"/>
          <tpl fld="1" item="0"/>
        </tpls>
      </n>
      <m>
        <tpls c="4">
          <tpl fld="7" item="1209"/>
          <tpl fld="6" item="2"/>
          <tpl hier="236" item="0"/>
          <tpl fld="1" item="0"/>
        </tpls>
      </m>
      <m>
        <tpls c="4">
          <tpl fld="7" item="958"/>
          <tpl fld="6" item="2"/>
          <tpl hier="236" item="0"/>
          <tpl fld="4" item="6"/>
        </tpls>
      </m>
      <n v="2.2231150399992173E-2" in="0">
        <tpls c="5">
          <tpl fld="11" item="0"/>
          <tpl fld="2" item="1"/>
          <tpl fld="6" item="0"/>
          <tpl hier="236" item="0"/>
          <tpl fld="1" item="0"/>
        </tpls>
      </n>
      <n v="6" in="1">
        <tpls c="4">
          <tpl fld="7" item="1167"/>
          <tpl fld="6" item="1"/>
          <tpl hier="236" item="0"/>
          <tpl fld="1" item="0"/>
        </tpls>
      </n>
      <m>
        <tpls c="4">
          <tpl fld="7" item="1166"/>
          <tpl fld="6" item="1"/>
          <tpl hier="236" item="0"/>
          <tpl fld="4" item="5"/>
        </tpls>
      </m>
      <m>
        <tpls c="4">
          <tpl fld="7" item="976"/>
          <tpl fld="6" item="2"/>
          <tpl hier="236" item="0"/>
          <tpl fld="4" item="6"/>
        </tpls>
      </m>
      <n v="1" in="1">
        <tpls c="4">
          <tpl fld="7" item="1061"/>
          <tpl fld="6" item="1"/>
          <tpl hier="236" item="0"/>
          <tpl fld="4" item="5"/>
        </tpls>
      </n>
      <m>
        <tpls c="4">
          <tpl fld="7" item="1168"/>
          <tpl fld="6" item="1"/>
          <tpl hier="236" item="0"/>
          <tpl fld="4" item="6"/>
        </tpls>
      </m>
      <m>
        <tpls c="4">
          <tpl fld="7" item="1179"/>
          <tpl fld="6" item="1"/>
          <tpl hier="236" item="0"/>
          <tpl fld="4" item="6"/>
        </tpls>
      </m>
      <m>
        <tpls c="4">
          <tpl fld="7" item="1281"/>
          <tpl fld="6" item="2"/>
          <tpl hier="236" item="0"/>
          <tpl fld="1" item="0"/>
        </tpls>
      </m>
      <n v="2" in="2">
        <tpls c="6">
          <tpl fld="11" item="0"/>
          <tpl fld="2" item="3"/>
          <tpl fld="6" item="2"/>
          <tpl hier="236" item="0"/>
          <tpl fld="4" item="7"/>
          <tpl fld="10" item="2"/>
        </tpls>
      </n>
      <n v="391" in="1">
        <tpls c="5">
          <tpl fld="11" item="0"/>
          <tpl fld="5" item="0"/>
          <tpl fld="6" item="1"/>
          <tpl hier="236" item="0"/>
          <tpl fld="4" item="5"/>
        </tpls>
      </n>
      <n v="2.0909431891679833E-2" in="0">
        <tpls c="5">
          <tpl fld="11" item="0"/>
          <tpl fld="5" item="4"/>
          <tpl fld="6" item="0"/>
          <tpl hier="236" item="0"/>
          <tpl fld="1" item="0"/>
        </tpls>
      </n>
      <m>
        <tpls c="4">
          <tpl fld="7" item="1037"/>
          <tpl fld="6" item="2"/>
          <tpl hier="236" item="0"/>
          <tpl fld="1" item="0"/>
        </tpls>
      </m>
      <n v="9.4875346260387804E-3" in="0">
        <tpls c="5">
          <tpl fld="11" item="0"/>
          <tpl fld="2" item="4"/>
          <tpl fld="6" item="0"/>
          <tpl hier="236" item="0"/>
          <tpl fld="4" item="7"/>
        </tpls>
      </n>
      <m>
        <tpls c="4">
          <tpl fld="7" item="1140"/>
          <tpl fld="6" item="2"/>
          <tpl hier="236" item="0"/>
          <tpl fld="1" item="0"/>
        </tpls>
      </m>
      <n v="0.10804438748579764" in="0">
        <tpls c="5">
          <tpl fld="11" item="0"/>
          <tpl fld="6" item="0"/>
          <tpl hier="208" item="4294967295"/>
          <tpl hier="236" item="0"/>
          <tpl fld="4" item="1"/>
        </tpls>
      </n>
      <n v="0.3" in="2">
        <tpls c="4">
          <tpl fld="7" item="935"/>
          <tpl fld="6" item="2"/>
          <tpl hier="236" item="0"/>
          <tpl fld="4" item="5"/>
        </tpls>
      </n>
      <m>
        <tpls c="4">
          <tpl fld="7" item="1135"/>
          <tpl fld="6" item="2"/>
          <tpl hier="236" item="0"/>
          <tpl fld="4" item="5"/>
        </tpls>
      </m>
      <m>
        <tpls c="4">
          <tpl fld="7" item="930"/>
          <tpl fld="6" item="2"/>
          <tpl hier="236" item="0"/>
          <tpl fld="4" item="6"/>
        </tpls>
      </m>
      <m>
        <tpls c="5">
          <tpl fld="3" item="0"/>
          <tpl fld="11" item="0"/>
          <tpl fld="6" item="0"/>
          <tpl hier="236" item="0"/>
          <tpl fld="4" item="0"/>
        </tpls>
      </m>
      <m>
        <tpls c="4">
          <tpl fld="7" item="1200"/>
          <tpl fld="6" item="2"/>
          <tpl hier="236" item="0"/>
          <tpl fld="1" item="0"/>
        </tpls>
      </m>
      <n v="3.1254531343037649E-2" in="0">
        <tpls c="5">
          <tpl fld="11" item="0"/>
          <tpl fld="6" item="0"/>
          <tpl hier="208" item="4294967295"/>
          <tpl hier="236" item="0"/>
          <tpl fld="4" item="6"/>
        </tpls>
      </n>
      <m>
        <tpls c="4">
          <tpl fld="7" item="936"/>
          <tpl fld="6" item="2"/>
          <tpl hier="236" item="0"/>
          <tpl fld="1" item="0"/>
        </tpls>
      </m>
      <n v="3.27502958674942E-2" in="0">
        <tpls c="5">
          <tpl fld="11" item="0"/>
          <tpl fld="2" item="1"/>
          <tpl fld="6" item="0"/>
          <tpl hier="236" item="0"/>
          <tpl fld="4" item="6"/>
        </tpls>
      </n>
      <m>
        <tpls c="4">
          <tpl fld="7" item="1144"/>
          <tpl fld="6" item="2"/>
          <tpl hier="236" item="0"/>
          <tpl fld="4" item="5"/>
        </tpls>
      </m>
      <m>
        <tpls c="4">
          <tpl fld="7" item="1042"/>
          <tpl fld="6" item="2"/>
          <tpl hier="236" item="0"/>
          <tpl fld="4" item="5"/>
        </tpls>
      </m>
      <m>
        <tpls c="4">
          <tpl fld="7" item="1138"/>
          <tpl fld="6" item="1"/>
          <tpl hier="236" item="0"/>
          <tpl fld="4" item="5"/>
        </tpls>
      </m>
      <n v="1.3113128287551141E-2" in="0">
        <tpls c="5">
          <tpl fld="11" item="0"/>
          <tpl fld="6" item="0"/>
          <tpl hier="208" item="4294967295"/>
          <tpl hier="236" item="0"/>
          <tpl fld="4" item="3"/>
        </tpls>
      </n>
      <m>
        <tpls c="4">
          <tpl fld="7" item="1226"/>
          <tpl fld="6" item="2"/>
          <tpl hier="236" item="0"/>
          <tpl fld="1" item="0"/>
        </tpls>
      </m>
      <n v="612.67304054054068" in="2">
        <tpls c="3">
          <tpl fld="6" item="2"/>
          <tpl hier="236" item="0"/>
          <tpl fld="4" item="4"/>
        </tpls>
      </n>
      <n v="0.44999999999999996" in="2">
        <tpls c="4">
          <tpl fld="7" item="937"/>
          <tpl fld="6" item="2"/>
          <tpl hier="236" item="0"/>
          <tpl fld="1" item="0"/>
        </tpls>
      </n>
      <n v="0.12773826458036985" in="0">
        <tpls c="5">
          <tpl fld="11" item="0"/>
          <tpl fld="2" item="0"/>
          <tpl fld="6" item="0"/>
          <tpl hier="236" item="0"/>
          <tpl fld="4" item="0"/>
        </tpls>
      </n>
      <m>
        <tpls c="4">
          <tpl fld="7" item="1145"/>
          <tpl fld="6" item="2"/>
          <tpl hier="236" item="0"/>
          <tpl fld="4" item="5"/>
        </tpls>
      </m>
      <m>
        <tpls c="4">
          <tpl fld="7" item="1046"/>
          <tpl fld="6" item="2"/>
          <tpl hier="236" item="0"/>
          <tpl fld="4" item="5"/>
        </tpls>
      </m>
      <m>
        <tpls c="4">
          <tpl fld="7" item="1036"/>
          <tpl fld="6" item="1"/>
          <tpl hier="236" item="0"/>
          <tpl fld="1" item="0"/>
        </tpls>
      </m>
      <m>
        <tpls c="4">
          <tpl fld="7" item="1040"/>
          <tpl fld="6" item="2"/>
          <tpl hier="236" item="0"/>
          <tpl fld="1" item="0"/>
        </tpls>
      </m>
      <m>
        <tpls c="4">
          <tpl fld="7" item="938"/>
          <tpl fld="6" item="2"/>
          <tpl hier="236" item="0"/>
          <tpl fld="4" item="5"/>
        </tpls>
      </m>
      <m>
        <tpls c="4">
          <tpl fld="7" item="1228"/>
          <tpl fld="6" item="2"/>
          <tpl hier="236" item="0"/>
          <tpl fld="4" item="5"/>
        </tpls>
      </m>
      <n v="7" in="1">
        <tpls c="4">
          <tpl fld="7" item="932"/>
          <tpl fld="6" item="1"/>
          <tpl hier="236" item="0"/>
          <tpl fld="1" item="0"/>
        </tpls>
      </n>
      <m>
        <tpls c="4">
          <tpl fld="7" item="1057"/>
          <tpl fld="6" item="2"/>
          <tpl hier="236" item="0"/>
          <tpl fld="4" item="5"/>
        </tpls>
      </m>
      <m>
        <tpls c="4">
          <tpl fld="7" item="1058"/>
          <tpl fld="6" item="2"/>
          <tpl hier="236" item="0"/>
          <tpl fld="1" item="0"/>
        </tpls>
      </m>
      <m>
        <tpls c="4">
          <tpl fld="7" item="956"/>
          <tpl fld="6" item="2"/>
          <tpl hier="236" item="0"/>
          <tpl fld="4" item="5"/>
        </tpls>
      </m>
      <m>
        <tpls c="4">
          <tpl fld="7" item="1273"/>
          <tpl fld="6" item="2"/>
          <tpl hier="236" item="0"/>
          <tpl fld="4" item="5"/>
        </tpls>
      </m>
      <m>
        <tpls c="4">
          <tpl fld="7" item="1170"/>
          <tpl fld="6" item="2"/>
          <tpl hier="236" item="0"/>
          <tpl fld="4" item="5"/>
        </tpls>
      </m>
      <m>
        <tpls c="4">
          <tpl fld="7" item="1183"/>
          <tpl fld="6" item="1"/>
          <tpl hier="236" item="0"/>
          <tpl fld="4" item="5"/>
        </tpls>
      </m>
      <m>
        <tpls c="4">
          <tpl fld="7" item="931"/>
          <tpl fld="6" item="1"/>
          <tpl hier="236" item="0"/>
          <tpl fld="1" item="0"/>
        </tpls>
      </m>
      <m>
        <tpls c="4">
          <tpl fld="7" item="1252"/>
          <tpl fld="6" item="2"/>
          <tpl hier="236" item="0"/>
          <tpl fld="4" item="6"/>
        </tpls>
      </m>
      <n v="1.464884959308751E-2" in="0">
        <tpls c="5">
          <tpl fld="11" item="0"/>
          <tpl fld="2" item="4"/>
          <tpl fld="6" item="0"/>
          <tpl hier="236" item="0"/>
          <tpl fld="4" item="6"/>
        </tpls>
      </n>
      <m>
        <tpls c="4">
          <tpl fld="7" item="1051"/>
          <tpl fld="6" item="2"/>
          <tpl hier="236" item="0"/>
          <tpl fld="4" item="5"/>
        </tpls>
      </m>
      <m>
        <tpls c="4">
          <tpl fld="7" item="1259"/>
          <tpl fld="6" item="2"/>
          <tpl hier="236" item="0"/>
          <tpl fld="1" item="0"/>
        </tpls>
      </m>
      <m>
        <tpls c="4">
          <tpl fld="7" item="1044"/>
          <tpl fld="6" item="2"/>
          <tpl hier="236" item="0"/>
          <tpl fld="1" item="0"/>
        </tpls>
      </m>
      <n v="1.0315746803016782E-2" in="0">
        <tpls c="5">
          <tpl fld="11" item="0"/>
          <tpl fld="5" item="3"/>
          <tpl fld="6" item="0"/>
          <tpl hier="236" item="0"/>
          <tpl fld="1" item="0"/>
        </tpls>
      </n>
      <m>
        <tpls c="4">
          <tpl fld="7" item="1163"/>
          <tpl fld="6" item="2"/>
          <tpl hier="236" item="0"/>
          <tpl fld="1" item="0"/>
        </tpls>
      </m>
      <m>
        <tpls c="4">
          <tpl fld="7" item="942"/>
          <tpl fld="6" item="2"/>
          <tpl hier="236" item="0"/>
          <tpl fld="4" item="5"/>
        </tpls>
      </m>
      <m>
        <tpls c="4">
          <tpl fld="7" item="966"/>
          <tpl fld="6" item="2"/>
          <tpl hier="236" item="0"/>
          <tpl fld="1" item="0"/>
        </tpls>
      </m>
      <n v="1" in="1">
        <tpls c="4">
          <tpl fld="7" item="1049"/>
          <tpl fld="6" item="1"/>
          <tpl hier="236" item="0"/>
          <tpl fld="1" item="0"/>
        </tpls>
      </n>
      <m>
        <tpls c="4">
          <tpl fld="7" item="1229"/>
          <tpl fld="6" item="2"/>
          <tpl hier="236" item="0"/>
          <tpl fld="4" item="5"/>
        </tpls>
      </m>
      <m>
        <tpls c="4">
          <tpl fld="7" item="966"/>
          <tpl fld="6" item="2"/>
          <tpl hier="236" item="0"/>
          <tpl fld="4" item="5"/>
        </tpls>
      </m>
      <m>
        <tpls c="4">
          <tpl fld="7" item="1184"/>
          <tpl fld="6" item="1"/>
          <tpl hier="236" item="0"/>
          <tpl fld="4" item="5"/>
        </tpls>
      </m>
      <m>
        <tpls c="4">
          <tpl fld="7" item="1225"/>
          <tpl fld="6" item="2"/>
          <tpl hier="236" item="0"/>
          <tpl fld="4" item="6"/>
        </tpls>
      </m>
      <m>
        <tpls c="4">
          <tpl fld="7" item="1043"/>
          <tpl fld="6" item="1"/>
          <tpl hier="236" item="0"/>
          <tpl fld="4" item="5"/>
        </tpls>
      </m>
      <n v="0.10208333333333335" in="0">
        <tpls c="5">
          <tpl fld="3" item="3"/>
          <tpl fld="11" item="0"/>
          <tpl fld="6" item="0"/>
          <tpl hier="236" item="0"/>
          <tpl fld="4" item="5"/>
        </tpls>
      </n>
      <m>
        <tpls c="4">
          <tpl fld="7" item="1061"/>
          <tpl fld="6" item="2"/>
          <tpl hier="236" item="0"/>
          <tpl fld="4" item="5"/>
        </tpls>
      </m>
      <m>
        <tpls c="4">
          <tpl fld="7" item="1072"/>
          <tpl fld="6" item="2"/>
          <tpl hier="236" item="0"/>
          <tpl fld="1" item="0"/>
        </tpls>
      </m>
      <m>
        <tpls c="4">
          <tpl fld="7" item="1266"/>
          <tpl fld="6" item="1"/>
          <tpl hier="236" item="0"/>
          <tpl fld="4" item="5"/>
        </tpls>
      </m>
      <m>
        <tpls c="4">
          <tpl fld="7" item="1138"/>
          <tpl fld="6" item="2"/>
          <tpl hier="236" item="0"/>
          <tpl fld="4" item="6"/>
        </tpls>
      </m>
      <n v="4" in="1">
        <tpls c="4">
          <tpl fld="7" item="1226"/>
          <tpl fld="6" item="1"/>
          <tpl hier="236" item="0"/>
          <tpl fld="1" item="0"/>
        </tpls>
      </n>
      <m>
        <tpls c="4">
          <tpl fld="7" item="942"/>
          <tpl fld="6" item="1"/>
          <tpl hier="236" item="0"/>
          <tpl fld="4" item="5"/>
        </tpls>
      </m>
      <n v="1" in="2">
        <tpls c="4">
          <tpl fld="7" item="1154"/>
          <tpl fld="6" item="2"/>
          <tpl hier="236" item="0"/>
          <tpl fld="4" item="6"/>
        </tpls>
      </n>
      <n v="1" in="1">
        <tpls c="4">
          <tpl fld="7" item="1230"/>
          <tpl fld="6" item="1"/>
          <tpl hier="236" item="0"/>
          <tpl fld="1" item="0"/>
        </tpls>
      </n>
      <m>
        <tpls c="4">
          <tpl fld="7" item="958"/>
          <tpl fld="6" item="1"/>
          <tpl hier="236" item="0"/>
          <tpl fld="4" item="5"/>
        </tpls>
      </m>
      <m>
        <tpls c="4">
          <tpl fld="7" item="1071"/>
          <tpl fld="6" item="2"/>
          <tpl hier="236" item="0"/>
          <tpl fld="4" item="5"/>
        </tpls>
      </m>
      <m>
        <tpls c="4">
          <tpl fld="7" item="1046"/>
          <tpl fld="6" item="2"/>
          <tpl hier="236" item="0"/>
          <tpl fld="4" item="6"/>
        </tpls>
      </m>
      <n v="37" in="1">
        <tpls c="4">
          <tpl fld="7" item="1055"/>
          <tpl fld="6" item="1"/>
          <tpl hier="236" item="0"/>
          <tpl fld="1" item="0"/>
        </tpls>
      </n>
      <m>
        <tpls c="4">
          <tpl fld="7" item="1062"/>
          <tpl fld="6" item="1"/>
          <tpl hier="236" item="0"/>
          <tpl fld="4" item="5"/>
        </tpls>
      </m>
      <m>
        <tpls c="4">
          <tpl fld="7" item="1207"/>
          <tpl fld="6" item="1"/>
          <tpl hier="236" item="0"/>
          <tpl fld="1" item="0"/>
        </tpls>
      </m>
      <m>
        <tpls c="4">
          <tpl fld="7" item="927"/>
          <tpl fld="6" item="2"/>
          <tpl hier="236" item="0"/>
          <tpl fld="1" item="0"/>
        </tpls>
      </m>
      <m>
        <tpls c="4">
          <tpl fld="7" item="1032"/>
          <tpl fld="6" item="2"/>
          <tpl hier="236" item="0"/>
          <tpl fld="4" item="5"/>
        </tpls>
      </m>
      <m>
        <tpls c="4">
          <tpl fld="7" item="1279"/>
          <tpl fld="6" item="2"/>
          <tpl hier="236" item="0"/>
          <tpl fld="4" item="5"/>
        </tpls>
      </m>
      <m>
        <tpls c="4">
          <tpl fld="7" item="1034"/>
          <tpl fld="6" item="1"/>
          <tpl hier="236" item="0"/>
          <tpl fld="4" item="5"/>
        </tpls>
      </m>
      <m>
        <tpls c="4">
          <tpl fld="7" item="1047"/>
          <tpl fld="6" item="2"/>
          <tpl hier="236" item="0"/>
          <tpl fld="4" item="5"/>
        </tpls>
      </m>
      <m>
        <tpls c="4">
          <tpl fld="7" item="1236"/>
          <tpl fld="6" item="1"/>
          <tpl hier="236" item="0"/>
          <tpl fld="4" item="5"/>
        </tpls>
      </m>
      <n v="1" in="1">
        <tpls c="4">
          <tpl fld="7" item="1199"/>
          <tpl fld="6" item="1"/>
          <tpl hier="236" item="0"/>
          <tpl fld="1" item="0"/>
        </tpls>
      </n>
      <m>
        <tpls c="4">
          <tpl fld="7" item="1254"/>
          <tpl fld="6" item="1"/>
          <tpl hier="236" item="0"/>
          <tpl fld="1" item="0"/>
        </tpls>
      </m>
      <n v="1" in="1">
        <tpls c="4">
          <tpl fld="7" item="953"/>
          <tpl fld="6" item="1"/>
          <tpl hier="236" item="0"/>
          <tpl fld="4" item="5"/>
        </tpls>
      </n>
      <n v="4" in="1">
        <tpls c="4">
          <tpl fld="7" item="1142"/>
          <tpl fld="6" item="1"/>
          <tpl hier="236" item="0"/>
          <tpl fld="1" item="0"/>
        </tpls>
      </n>
      <m>
        <tpls c="4">
          <tpl fld="7" item="1204"/>
          <tpl fld="6" item="2"/>
          <tpl hier="236" item="0"/>
          <tpl fld="4" item="6"/>
        </tpls>
      </m>
      <m>
        <tpls c="4">
          <tpl fld="7" item="1167"/>
          <tpl fld="6" item="2"/>
          <tpl hier="236" item="0"/>
          <tpl fld="4" item="6"/>
        </tpls>
      </m>
      <m>
        <tpls c="4">
          <tpl fld="7" item="1174"/>
          <tpl fld="6" item="2"/>
          <tpl hier="236" item="0"/>
          <tpl fld="4" item="6"/>
        </tpls>
      </m>
      <n v="3" in="1">
        <tpls c="4">
          <tpl fld="7" item="973"/>
          <tpl fld="6" item="1"/>
          <tpl hier="236" item="0"/>
          <tpl fld="4" item="5"/>
        </tpls>
      </n>
      <m>
        <tpls c="3">
          <tpl fld="7" item="928"/>
          <tpl fld="6" item="3"/>
          <tpl hier="236" item="0"/>
        </tpls>
      </m>
      <m>
        <tpls c="4">
          <tpl fld="7" item="1206"/>
          <tpl fld="6" item="2"/>
          <tpl hier="236" item="0"/>
          <tpl fld="4" item="5"/>
        </tpls>
      </m>
      <m>
        <tpls c="4">
          <tpl fld="7" item="1200"/>
          <tpl fld="6" item="1"/>
          <tpl hier="236" item="0"/>
          <tpl fld="4" item="5"/>
        </tpls>
      </m>
      <m>
        <tpls c="4">
          <tpl fld="7" item="1053"/>
          <tpl fld="6" item="2"/>
          <tpl hier="236" item="0"/>
          <tpl fld="4" item="6"/>
        </tpls>
      </m>
      <n v="4" in="1">
        <tpls c="4">
          <tpl fld="7" item="1060"/>
          <tpl fld="6" item="1"/>
          <tpl hier="236" item="0"/>
          <tpl fld="1" item="0"/>
        </tpls>
      </n>
      <m>
        <tpls c="4">
          <tpl fld="7" item="1066"/>
          <tpl fld="6" item="2"/>
          <tpl hier="236" item="0"/>
          <tpl fld="4" item="6"/>
        </tpls>
      </m>
      <n v="1" in="1">
        <tpls c="4">
          <tpl fld="7" item="1174"/>
          <tpl fld="6" item="1"/>
          <tpl hier="236" item="0"/>
          <tpl fld="1" item="0"/>
        </tpls>
      </n>
      <n v="1" in="1">
        <tpls c="4">
          <tpl fld="7" item="1235"/>
          <tpl fld="6" item="1"/>
          <tpl hier="236" item="0"/>
          <tpl fld="4" item="5"/>
        </tpls>
      </n>
      <n v="12" in="1">
        <tpls c="4">
          <tpl fld="7" item="873"/>
          <tpl fld="6" item="1"/>
          <tpl hier="236" item="0"/>
          <tpl fld="4" item="6"/>
        </tpls>
      </n>
      <m>
        <tpls c="4">
          <tpl fld="7" item="1255"/>
          <tpl fld="6" item="2"/>
          <tpl hier="236" item="0"/>
          <tpl fld="4" item="5"/>
        </tpls>
      </m>
      <m>
        <tpls c="4">
          <tpl fld="7" item="1036"/>
          <tpl fld="6" item="2"/>
          <tpl hier="236" item="0"/>
          <tpl fld="4" item="6"/>
        </tpls>
      </m>
      <m>
        <tpls c="4">
          <tpl fld="7" item="948"/>
          <tpl fld="6" item="2"/>
          <tpl hier="236" item="0"/>
          <tpl fld="4" item="6"/>
        </tpls>
      </m>
      <n v="12" in="1">
        <tpls c="4">
          <tpl fld="7" item="955"/>
          <tpl fld="6" item="1"/>
          <tpl hier="236" item="0"/>
          <tpl fld="1" item="0"/>
        </tpls>
      </n>
      <n v="3" in="1">
        <tpls c="4">
          <tpl fld="7" item="1065"/>
          <tpl fld="6" item="1"/>
          <tpl hier="236" item="0"/>
          <tpl fld="1" item="0"/>
        </tpls>
      </n>
      <m>
        <tpls c="4">
          <tpl fld="7" item="1173"/>
          <tpl fld="6" item="1"/>
          <tpl hier="236" item="0"/>
          <tpl fld="4" item="5"/>
        </tpls>
      </m>
      <m>
        <tpls c="4">
          <tpl fld="7" item="972"/>
          <tpl fld="6" item="2"/>
          <tpl hier="236" item="0"/>
          <tpl fld="4" item="6"/>
        </tpls>
      </m>
      <m>
        <tpls c="4">
          <tpl fld="7" item="1038"/>
          <tpl fld="6" item="2"/>
          <tpl hier="236" item="0"/>
          <tpl fld="1" item="0"/>
        </tpls>
      </m>
      <m>
        <tpls c="4">
          <tpl fld="7" item="936"/>
          <tpl fld="6" item="2"/>
          <tpl hier="236" item="0"/>
          <tpl fld="4" item="5"/>
        </tpls>
      </m>
      <m>
        <tpls c="4">
          <tpl fld="7" item="1267"/>
          <tpl fld="6" item="2"/>
          <tpl hier="236" item="0"/>
          <tpl fld="4" item="5"/>
        </tpls>
      </m>
      <m>
        <tpls c="4">
          <tpl fld="7" item="1199"/>
          <tpl fld="6" item="2"/>
          <tpl hier="236" item="0"/>
          <tpl fld="4" item="6"/>
        </tpls>
      </m>
      <m>
        <tpls c="4">
          <tpl fld="7" item="1055"/>
          <tpl fld="6" item="2"/>
          <tpl hier="236" item="0"/>
          <tpl fld="4" item="5"/>
        </tpls>
      </m>
      <m>
        <tpls c="4">
          <tpl fld="7" item="926"/>
          <tpl fld="6" item="1"/>
          <tpl hier="236" item="0"/>
          <tpl fld="4" item="5"/>
        </tpls>
      </m>
      <m>
        <tpls c="4">
          <tpl fld="7" item="932"/>
          <tpl fld="6" item="1"/>
          <tpl hier="236" item="0"/>
          <tpl fld="4" item="5"/>
        </tpls>
      </m>
      <m>
        <tpls c="4">
          <tpl fld="7" item="939"/>
          <tpl fld="6" item="1"/>
          <tpl hier="236" item="0"/>
          <tpl fld="4" item="5"/>
        </tpls>
      </m>
      <m>
        <tpls c="4">
          <tpl fld="7" item="1153"/>
          <tpl fld="6" item="2"/>
          <tpl hier="236" item="0"/>
          <tpl fld="4" item="6"/>
        </tpls>
      </m>
      <m>
        <tpls c="4">
          <tpl fld="7" item="1160"/>
          <tpl fld="6" item="2"/>
          <tpl hier="236" item="0"/>
          <tpl fld="4" item="6"/>
        </tpls>
      </m>
      <n v="1.4700998492429373E-2" in="0">
        <tpls c="5">
          <tpl fld="3" item="1"/>
          <tpl fld="11" item="0"/>
          <tpl fld="6" item="0"/>
          <tpl hier="236" item="0"/>
          <tpl fld="4" item="6"/>
        </tpls>
      </n>
      <m>
        <tpls c="4">
          <tpl fld="7" item="1042"/>
          <tpl fld="6" item="2"/>
          <tpl hier="236" item="0"/>
          <tpl fld="4" item="6"/>
        </tpls>
      </m>
      <m>
        <tpls c="4">
          <tpl fld="7" item="1056"/>
          <tpl fld="6" item="2"/>
          <tpl hier="236" item="0"/>
          <tpl fld="4" item="6"/>
        </tpls>
      </m>
      <n v="5" in="1">
        <tpls c="4">
          <tpl fld="7" item="1232"/>
          <tpl fld="6" item="1"/>
          <tpl hier="236" item="0"/>
          <tpl fld="1" item="0"/>
        </tpls>
      </n>
      <m>
        <tpls c="4">
          <tpl fld="7" item="968"/>
          <tpl fld="6" item="1"/>
          <tpl hier="236" item="0"/>
          <tpl fld="4" item="5"/>
        </tpls>
      </m>
      <m>
        <tpls c="4">
          <tpl fld="7" item="1180"/>
          <tpl fld="6" item="2"/>
          <tpl hier="236" item="0"/>
          <tpl fld="4" item="6"/>
        </tpls>
      </m>
      <m>
        <tpls c="3">
          <tpl fld="7" item="1032"/>
          <tpl fld="6" item="3"/>
          <tpl hier="236" item="0"/>
        </tpls>
      </m>
      <m>
        <tpls c="4">
          <tpl fld="7" item="1258"/>
          <tpl fld="6" item="2"/>
          <tpl hier="236" item="0"/>
          <tpl fld="4" item="5"/>
        </tpls>
      </m>
      <m>
        <tpls c="4">
          <tpl fld="7" item="1041"/>
          <tpl fld="6" item="2"/>
          <tpl hier="236" item="0"/>
          <tpl fld="4" item="6"/>
        </tpls>
      </m>
      <n v="3" in="1">
        <tpls c="4">
          <tpl fld="7" item="1156"/>
          <tpl fld="6" item="1"/>
          <tpl hier="236" item="0"/>
          <tpl fld="4" item="5"/>
        </tpls>
      </n>
      <m>
        <tpls c="4">
          <tpl fld="7" item="1231"/>
          <tpl fld="6" item="2"/>
          <tpl hier="236" item="0"/>
          <tpl fld="4" item="6"/>
        </tpls>
      </m>
      <n v="2" in="1">
        <tpls c="4">
          <tpl fld="7" item="1169"/>
          <tpl fld="6" item="1"/>
          <tpl hier="236" item="0"/>
          <tpl fld="1" item="0"/>
        </tpls>
      </n>
      <m>
        <tpls c="4">
          <tpl fld="7" item="1208"/>
          <tpl fld="6" item="1"/>
          <tpl hier="236" item="0"/>
          <tpl fld="4" item="5"/>
        </tpls>
      </m>
      <m>
        <tpls c="4">
          <tpl fld="7" item="1077"/>
          <tpl fld="6" item="2"/>
          <tpl hier="236" item="0"/>
          <tpl fld="4" item="6"/>
        </tpls>
      </m>
      <m>
        <tpls c="4">
          <tpl fld="7" item="1198"/>
          <tpl fld="6" item="1"/>
          <tpl hier="236" item="0"/>
          <tpl fld="4" item="6"/>
        </tpls>
      </m>
      <m>
        <tpls c="4">
          <tpl fld="7" item="1257"/>
          <tpl fld="6" item="2"/>
          <tpl hier="236" item="0"/>
          <tpl fld="4" item="5"/>
        </tpls>
      </m>
      <n v="0" in="1">
        <tpls c="4">
          <tpl fld="7" item="1140"/>
          <tpl fld="6" item="1"/>
          <tpl hier="236" item="0"/>
          <tpl fld="1" item="0"/>
        </tpls>
      </n>
      <m>
        <tpls c="4">
          <tpl fld="7" item="1052"/>
          <tpl fld="6" item="1"/>
          <tpl hier="236" item="0"/>
          <tpl fld="4" item="5"/>
        </tpls>
      </m>
      <n v="16" in="1">
        <tpls c="4">
          <tpl fld="7" item="1162"/>
          <tpl fld="6" item="1"/>
          <tpl hier="236" item="0"/>
          <tpl fld="1" item="0"/>
        </tpls>
      </n>
      <m>
        <tpls c="4">
          <tpl fld="7" item="1168"/>
          <tpl fld="6" item="1"/>
          <tpl hier="236" item="0"/>
          <tpl fld="4" item="5"/>
        </tpls>
      </m>
      <m>
        <tpls c="4">
          <tpl fld="7" item="967"/>
          <tpl fld="6" item="2"/>
          <tpl hier="236" item="0"/>
          <tpl fld="4" item="6"/>
        </tpls>
      </m>
      <n v="1.3475857487500431E-2" in="0">
        <tpls c="5">
          <tpl fld="3" item="3"/>
          <tpl fld="11" item="0"/>
          <tpl fld="6" item="0"/>
          <tpl hier="236" item="0"/>
          <tpl fld="1" item="0"/>
        </tpls>
      </n>
      <n v="2.0477645945143723E-2" in="0">
        <tpls c="5">
          <tpl fld="11" item="0"/>
          <tpl fld="5" item="4"/>
          <tpl fld="6" item="0"/>
          <tpl hier="236" item="0"/>
          <tpl fld="4" item="4"/>
        </tpls>
      </n>
      <m>
        <tpls c="4">
          <tpl fld="7" item="874"/>
          <tpl fld="6" item="2"/>
          <tpl hier="236" item="0"/>
          <tpl fld="4" item="6"/>
        </tpls>
      </m>
      <m>
        <tpls c="4">
          <tpl fld="7" item="1198"/>
          <tpl fld="6" item="2"/>
          <tpl hier="236" item="0"/>
          <tpl fld="4" item="5"/>
        </tpls>
      </m>
      <m>
        <tpls c="4">
          <tpl fld="7" item="977"/>
          <tpl fld="6" item="2"/>
          <tpl hier="236" item="0"/>
          <tpl fld="4" item="5"/>
        </tpls>
      </m>
      <m>
        <tpls c="4">
          <tpl fld="7" item="1273"/>
          <tpl fld="6" item="1"/>
          <tpl hier="236" item="0"/>
          <tpl fld="1" item="0"/>
        </tpls>
      </m>
      <m>
        <tpls c="4">
          <tpl fld="7" item="1252"/>
          <tpl fld="6" item="1"/>
          <tpl hier="236" item="0"/>
          <tpl fld="1" item="0"/>
        </tpls>
      </m>
      <m>
        <tpls c="4">
          <tpl fld="7" item="945"/>
          <tpl fld="6" item="1"/>
          <tpl hier="236" item="0"/>
          <tpl fld="4" item="5"/>
        </tpls>
      </m>
      <n v="1" in="1">
        <tpls c="4">
          <tpl fld="7" item="952"/>
          <tpl fld="6" item="1"/>
          <tpl hier="236" item="0"/>
          <tpl fld="4" item="5"/>
        </tpls>
      </n>
      <m>
        <tpls c="5">
          <tpl fld="11" item="0"/>
          <tpl fld="5" item="3"/>
          <tpl fld="6" item="0"/>
          <tpl hier="236" item="0"/>
          <tpl fld="4" item="3"/>
        </tpls>
      </m>
      <n v="2" in="1">
        <tpls c="4">
          <tpl fld="7" item="1225"/>
          <tpl fld="6" item="1"/>
          <tpl hier="236" item="0"/>
          <tpl fld="4" item="5"/>
        </tpls>
      </n>
      <n v="0" in="1">
        <tpls c="4">
          <tpl fld="7" item="1054"/>
          <tpl fld="6" item="1"/>
          <tpl hier="236" item="0"/>
          <tpl fld="4" item="5"/>
        </tpls>
      </n>
      <m>
        <tpls c="4">
          <tpl fld="7" item="1166"/>
          <tpl fld="6" item="2"/>
          <tpl hier="236" item="0"/>
          <tpl fld="4" item="6"/>
        </tpls>
      </m>
      <n v="1" in="1">
        <tpls c="4">
          <tpl fld="7" item="1281"/>
          <tpl fld="6" item="1"/>
          <tpl hier="236" item="0"/>
          <tpl fld="1" item="0"/>
        </tpls>
      </n>
      <m>
        <tpls c="4">
          <tpl fld="7" item="1179"/>
          <tpl fld="6" item="2"/>
          <tpl hier="236" item="0"/>
          <tpl fld="4" item="6"/>
        </tpls>
      </m>
      <m>
        <tpls c="3">
          <tpl fld="7" item="1031"/>
          <tpl fld="6" item="3"/>
          <tpl hier="236" item="0"/>
        </tpls>
      </m>
      <m>
        <tpls c="4">
          <tpl fld="7" item="1203"/>
          <tpl fld="6" item="2"/>
          <tpl hier="236" item="0"/>
          <tpl fld="4" item="5"/>
        </tpls>
      </m>
      <m>
        <tpls c="4">
          <tpl fld="7" item="1037"/>
          <tpl fld="6" item="2"/>
          <tpl hier="236" item="0"/>
          <tpl fld="4" item="6"/>
        </tpls>
      </m>
      <n v="14" in="1">
        <tpls c="4">
          <tpl fld="7" item="1052"/>
          <tpl fld="6" item="1"/>
          <tpl hier="236" item="0"/>
          <tpl fld="1" item="0"/>
        </tpls>
      </n>
      <n v="3" in="1">
        <tpls c="4">
          <tpl fld="7" item="1059"/>
          <tpl fld="6" item="1"/>
          <tpl hier="236" item="0"/>
          <tpl fld="4" item="5"/>
        </tpls>
      </n>
      <n v="1" in="1">
        <tpls c="4">
          <tpl fld="7" item="1168"/>
          <tpl fld="6" item="1"/>
          <tpl hier="236" item="0"/>
          <tpl fld="1" item="0"/>
        </tpls>
      </n>
      <m>
        <tpls c="4">
          <tpl fld="7" item="1281"/>
          <tpl fld="6" item="1"/>
          <tpl hier="236" item="0"/>
          <tpl fld="4" item="5"/>
        </tpls>
      </m>
      <m>
        <tpls c="4">
          <tpl fld="7" item="1076"/>
          <tpl fld="6" item="2"/>
          <tpl hier="236" item="0"/>
          <tpl fld="4" item="6"/>
        </tpls>
      </m>
      <n v="17" in="1">
        <tpls c="4">
          <tpl fld="7" item="872"/>
          <tpl fld="6" item="1"/>
          <tpl hier="236" item="0"/>
          <tpl fld="4" item="6"/>
        </tpls>
      </n>
      <m>
        <tpls c="4">
          <tpl fld="7" item="1251"/>
          <tpl fld="6" item="2"/>
          <tpl hier="236" item="0"/>
          <tpl fld="4" item="5"/>
        </tpls>
      </m>
      <n v="3" in="1">
        <tpls c="4">
          <tpl fld="7" item="1136"/>
          <tpl fld="6" item="1"/>
          <tpl hier="236" item="0"/>
          <tpl fld="1" item="0"/>
        </tpls>
      </n>
      <n v="2" in="1">
        <tpls c="4">
          <tpl fld="7" item="947"/>
          <tpl fld="6" item="1"/>
          <tpl hier="236" item="0"/>
          <tpl fld="1" item="0"/>
        </tpls>
      </n>
      <m>
        <tpls c="4">
          <tpl fld="7" item="1058"/>
          <tpl fld="6" item="2"/>
          <tpl hier="236" item="0"/>
          <tpl fld="4" item="6"/>
        </tpls>
      </m>
      <n v="1" in="1">
        <tpls c="4">
          <tpl fld="7" item="1167"/>
          <tpl fld="6" item="1"/>
          <tpl hier="236" item="0"/>
          <tpl fld="4" item="5"/>
        </tpls>
      </n>
      <m>
        <tpls c="4">
          <tpl fld="7" item="966"/>
          <tpl fld="6" item="2"/>
          <tpl hier="236" item="0"/>
          <tpl fld="4" item="6"/>
        </tpls>
      </m>
      <n v="30" in="1">
        <tpls c="4">
          <tpl fld="7" item="1075"/>
          <tpl fld="6" item="1"/>
          <tpl hier="236" item="0"/>
          <tpl fld="1" item="0"/>
        </tpls>
      </n>
      <m>
        <tpls c="4">
          <tpl fld="7" item="1262"/>
          <tpl fld="6" item="1"/>
          <tpl hier="236" item="0"/>
          <tpl fld="1" item="0"/>
        </tpls>
      </m>
      <m>
        <tpls c="3">
          <tpl fld="7" item="1225"/>
          <tpl fld="6" item="3"/>
          <tpl hier="236" item="0"/>
        </tpls>
      </m>
      <m>
        <tpls c="3">
          <tpl fld="7" item="1227"/>
          <tpl fld="6" item="3"/>
          <tpl hier="236" item="0"/>
        </tpls>
      </m>
      <m>
        <tpls c="3">
          <tpl fld="7" item="1229"/>
          <tpl fld="6" item="3"/>
          <tpl hier="236" item="0"/>
        </tpls>
      </m>
      <m>
        <tpls c="3">
          <tpl fld="7" item="1231"/>
          <tpl fld="6" item="3"/>
          <tpl hier="236" item="0"/>
        </tpls>
      </m>
      <n v="11" in="1">
        <tpls c="4">
          <tpl fld="7" item="952"/>
          <tpl fld="6" item="1"/>
          <tpl hier="236" item="0"/>
          <tpl fld="1" item="0"/>
        </tpls>
      </n>
      <n v="7" in="1">
        <tpls c="4">
          <tpl fld="7" item="975"/>
          <tpl fld="6" item="1"/>
          <tpl hier="236" item="0"/>
          <tpl fld="1" item="0"/>
        </tpls>
      </n>
      <n v="9" in="1">
        <tpls c="4">
          <tpl fld="7" item="1156"/>
          <tpl fld="6" item="1"/>
          <tpl hier="236" item="0"/>
          <tpl fld="4" item="6"/>
        </tpls>
      </n>
      <m>
        <tpls c="4">
          <tpl fld="7" item="960"/>
          <tpl fld="6" item="1"/>
          <tpl hier="236" item="0"/>
          <tpl fld="4" item="6"/>
        </tpls>
      </m>
      <n v="2" in="1">
        <tpls c="4">
          <tpl fld="7" item="968"/>
          <tpl fld="6" item="1"/>
          <tpl hier="236" item="0"/>
          <tpl fld="4" item="6"/>
        </tpls>
      </n>
      <m>
        <tpls c="4">
          <tpl fld="7" item="976"/>
          <tpl fld="6" item="1"/>
          <tpl hier="236" item="0"/>
          <tpl fld="4" item="6"/>
        </tpls>
      </m>
      <n v="3" in="1">
        <tpls c="5">
          <tpl fld="3" item="0"/>
          <tpl fld="11" item="0"/>
          <tpl fld="6" item="1"/>
          <tpl hier="236" item="0"/>
          <tpl fld="4" item="0"/>
        </tpls>
      </n>
      <m>
        <tpls c="6">
          <tpl fld="11" item="0"/>
          <tpl fld="5" item="3"/>
          <tpl fld="6" item="2"/>
          <tpl hier="236" item="0"/>
          <tpl fld="4" item="3"/>
          <tpl fld="10" item="4"/>
        </tpls>
      </m>
      <n v="182" in="1">
        <tpls c="6">
          <tpl fld="11" item="0"/>
          <tpl fld="5" item="4"/>
          <tpl fld="6" item="1"/>
          <tpl hier="236" item="0"/>
          <tpl fld="4" item="1"/>
          <tpl fld="9" item="2"/>
        </tpls>
      </n>
      <n v="7.1" in="2">
        <tpls c="6">
          <tpl fld="11" item="0"/>
          <tpl fld="5" item="5"/>
          <tpl fld="6" item="2"/>
          <tpl hier="236" item="0"/>
          <tpl fld="4" item="3"/>
          <tpl fld="10" item="5"/>
        </tpls>
      </n>
      <n v="126" in="1">
        <tpls c="6">
          <tpl fld="11" item="0"/>
          <tpl fld="5" item="0"/>
          <tpl fld="6" item="1"/>
          <tpl hier="236" item="0"/>
          <tpl fld="4" item="4"/>
          <tpl fld="10" item="4"/>
        </tpls>
      </n>
      <m>
        <tpls c="6">
          <tpl fld="11" item="0"/>
          <tpl fld="5" item="1"/>
          <tpl fld="6" item="1"/>
          <tpl hier="236" item="0"/>
          <tpl fld="4" item="7"/>
          <tpl fld="10" item="6"/>
        </tpls>
      </m>
      <m>
        <tpls c="4">
          <tpl fld="7" item="1281"/>
          <tpl fld="6" item="2"/>
          <tpl hier="236" item="0"/>
          <tpl fld="4" item="5"/>
        </tpls>
      </m>
      <m>
        <tpls c="4">
          <tpl fld="7" item="1067"/>
          <tpl fld="6" item="1"/>
          <tpl hier="236" item="0"/>
          <tpl fld="4" item="5"/>
        </tpls>
      </m>
      <m>
        <tpls c="4">
          <tpl fld="7" item="968"/>
          <tpl fld="6" item="2"/>
          <tpl hier="236" item="0"/>
          <tpl fld="1" item="0"/>
        </tpls>
      </m>
      <n v="26" in="1">
        <tpls c="4">
          <tpl fld="7" item="874"/>
          <tpl fld="6" item="1"/>
          <tpl hier="236" item="0"/>
          <tpl fld="1" item="0"/>
        </tpls>
      </n>
      <n v="5" in="1">
        <tpls c="4">
          <tpl fld="7" item="956"/>
          <tpl fld="6" item="1"/>
          <tpl hier="236" item="0"/>
          <tpl fld="4" item="5"/>
        </tpls>
      </n>
      <m>
        <tpls c="4">
          <tpl fld="7" item="1170"/>
          <tpl fld="6" item="2"/>
          <tpl hier="236" item="0"/>
          <tpl fld="4" item="6"/>
        </tpls>
      </m>
      <m>
        <tpls c="4">
          <tpl fld="7" item="975"/>
          <tpl fld="6" item="2"/>
          <tpl hier="236" item="0"/>
          <tpl fld="1" item="0"/>
        </tpls>
      </m>
      <n v="1" in="1">
        <tpls c="4">
          <tpl fld="7" item="1171"/>
          <tpl fld="6" item="1"/>
          <tpl hier="236" item="0"/>
          <tpl fld="1" item="0"/>
        </tpls>
      </n>
      <m>
        <tpls c="4">
          <tpl fld="7" item="1074"/>
          <tpl fld="6" item="2"/>
          <tpl hier="236" item="0"/>
          <tpl fld="4" item="5"/>
        </tpls>
      </m>
      <m>
        <tpls c="4">
          <tpl fld="7" item="1170"/>
          <tpl fld="6" item="1"/>
          <tpl hier="236" item="0"/>
          <tpl fld="4" item="5"/>
        </tpls>
      </m>
      <m>
        <tpls c="3">
          <tpl fld="7" item="872"/>
          <tpl fld="6" item="3"/>
          <tpl hier="236" item="0"/>
        </tpls>
      </m>
      <m>
        <tpls c="3">
          <tpl fld="7" item="1040"/>
          <tpl fld="6" item="3"/>
          <tpl hier="236" item="0"/>
        </tpls>
      </m>
      <m>
        <tpls c="3">
          <tpl fld="7" item="1051"/>
          <tpl fld="6" item="3"/>
          <tpl hier="236" item="0"/>
        </tpls>
      </m>
      <m>
        <tpls c="3">
          <tpl fld="7" item="1257"/>
          <tpl fld="6" item="3"/>
          <tpl hier="236" item="0"/>
        </tpls>
      </m>
      <n v="6" in="1">
        <tpls c="4">
          <tpl fld="7" item="963"/>
          <tpl fld="6" item="1"/>
          <tpl hier="236" item="0"/>
          <tpl fld="1" item="0"/>
        </tpls>
      </n>
      <m>
        <tpls c="4">
          <tpl fld="7" item="1226"/>
          <tpl fld="6" item="1"/>
          <tpl hier="236" item="0"/>
          <tpl fld="4" item="6"/>
        </tpls>
      </m>
      <n v="8" in="1">
        <tpls c="4">
          <tpl fld="7" item="1280"/>
          <tpl fld="6" item="1"/>
          <tpl hier="236" item="0"/>
          <tpl fld="4" item="6"/>
        </tpls>
      </n>
      <n v="2" in="1">
        <tpls c="4">
          <tpl fld="7" item="1170"/>
          <tpl fld="6" item="1"/>
          <tpl hier="236" item="0"/>
          <tpl fld="4" item="6"/>
        </tpls>
      </n>
      <n v="4" in="1">
        <tpls c="4">
          <tpl fld="7" item="1181"/>
          <tpl fld="6" item="1"/>
          <tpl hier="236" item="0"/>
          <tpl fld="4" item="6"/>
        </tpls>
      </n>
      <n v="5.15" in="2">
        <tpls c="5">
          <tpl fld="11" item="0"/>
          <tpl fld="2" item="0"/>
          <tpl fld="6" item="2"/>
          <tpl hier="236" item="0"/>
          <tpl fld="4" item="2"/>
        </tpls>
      </n>
      <m>
        <tpls c="6">
          <tpl fld="11" item="0"/>
          <tpl fld="5" item="3"/>
          <tpl fld="6" item="2"/>
          <tpl hier="236" item="0"/>
          <tpl fld="4" item="7"/>
          <tpl fld="10" item="0"/>
        </tpls>
      </m>
      <n v="8.0500000000000007" in="2">
        <tpls c="6">
          <tpl fld="11" item="0"/>
          <tpl fld="5" item="5"/>
          <tpl fld="6" item="2"/>
          <tpl hier="236" item="0"/>
          <tpl fld="4" item="6"/>
          <tpl fld="10" item="4"/>
        </tpls>
      </n>
      <n v="31" in="1">
        <tpls c="6">
          <tpl fld="11" item="0"/>
          <tpl fld="5" item="4"/>
          <tpl fld="6" item="1"/>
          <tpl hier="236" item="0"/>
          <tpl fld="4" item="6"/>
          <tpl fld="10" item="5"/>
        </tpls>
      </n>
      <m>
        <tpls c="6">
          <tpl fld="11" item="0"/>
          <tpl fld="5" item="4"/>
          <tpl fld="6" item="2"/>
          <tpl hier="236" item="0"/>
          <tpl fld="4" item="3"/>
          <tpl fld="10" item="5"/>
        </tpls>
      </m>
      <m>
        <tpls c="4">
          <tpl fld="7" item="1063"/>
          <tpl fld="6" item="1"/>
          <tpl hier="236" item="0"/>
          <tpl fld="4" item="5"/>
        </tpls>
      </m>
      <n v="2" in="1">
        <tpls c="4">
          <tpl fld="7" item="933"/>
          <tpl fld="6" item="1"/>
          <tpl hier="236" item="0"/>
          <tpl fld="4" item="6"/>
        </tpls>
      </n>
      <m>
        <tpls c="3">
          <tpl fld="7" item="1150"/>
          <tpl fld="6" item="3"/>
          <tpl hier="236" item="0"/>
        </tpls>
      </m>
      <m>
        <tpls c="4">
          <tpl fld="7" item="1058"/>
          <tpl fld="6" item="1"/>
          <tpl hier="236" item="0"/>
          <tpl fld="4" item="6"/>
        </tpls>
      </m>
      <m>
        <tpls c="3">
          <tpl fld="7" item="1170"/>
          <tpl fld="6" item="3"/>
          <tpl hier="236" item="0"/>
        </tpls>
      </m>
      <m>
        <tpls c="3">
          <tpl fld="7" item="1178"/>
          <tpl fld="6" item="3"/>
          <tpl hier="236" item="0"/>
        </tpls>
      </m>
      <n v="29.451351351351352" in="2">
        <tpls c="5">
          <tpl fld="11" item="0"/>
          <tpl fld="6" item="2"/>
          <tpl hier="236" item="0"/>
          <tpl fld="4" item="3"/>
          <tpl fld="10" item="4"/>
        </tpls>
      </n>
      <n v="27" in="1">
        <tpls c="6">
          <tpl fld="11" item="0"/>
          <tpl fld="5" item="1"/>
          <tpl fld="6" item="1"/>
          <tpl hier="236" item="0"/>
          <tpl fld="4" item="6"/>
          <tpl fld="10" item="4"/>
        </tpls>
      </n>
      <m>
        <tpls c="4">
          <tpl fld="7" item="1045"/>
          <tpl fld="6" item="1"/>
          <tpl hier="236" item="0"/>
          <tpl fld="1" item="0"/>
        </tpls>
      </m>
      <m>
        <tpls c="4">
          <tpl fld="7" item="1136"/>
          <tpl fld="6" item="2"/>
          <tpl hier="236" item="0"/>
          <tpl fld="4" item="6"/>
        </tpls>
      </m>
      <n v="3" in="1">
        <tpls c="4">
          <tpl fld="7" item="1257"/>
          <tpl fld="6" item="1"/>
          <tpl hier="236" item="0"/>
          <tpl fld="1" item="0"/>
        </tpls>
      </n>
      <m>
        <tpls c="4">
          <tpl fld="7" item="1172"/>
          <tpl fld="6" item="2"/>
          <tpl hier="236" item="0"/>
          <tpl fld="4" item="6"/>
        </tpls>
      </m>
      <m>
        <tpls c="4">
          <tpl fld="7" item="1033"/>
          <tpl fld="6" item="2"/>
          <tpl hier="236" item="0"/>
          <tpl fld="4" item="6"/>
        </tpls>
      </m>
      <m>
        <tpls c="4">
          <tpl fld="7" item="1259"/>
          <tpl fld="6" item="1"/>
          <tpl hier="236" item="0"/>
          <tpl fld="4" item="5"/>
        </tpls>
      </m>
      <n v="2" in="1">
        <tpls c="4">
          <tpl fld="7" item="1133"/>
          <tpl fld="6" item="1"/>
          <tpl hier="236" item="0"/>
          <tpl fld="1" item="0"/>
        </tpls>
      </n>
      <m>
        <tpls c="4">
          <tpl fld="7" item="965"/>
          <tpl fld="6" item="2"/>
          <tpl hier="236" item="0"/>
          <tpl fld="4" item="6"/>
        </tpls>
      </m>
      <m>
        <tpls c="3">
          <tpl fld="7" item="927"/>
          <tpl fld="6" item="3"/>
          <tpl hier="236" item="0"/>
        </tpls>
      </m>
      <m>
        <tpls c="3">
          <tpl fld="7" item="1041"/>
          <tpl fld="6" item="3"/>
          <tpl hier="236" item="0"/>
        </tpls>
      </m>
      <m>
        <tpls c="3">
          <tpl fld="7" item="1203"/>
          <tpl fld="6" item="3"/>
          <tpl hier="236" item="0"/>
        </tpls>
      </m>
      <m>
        <tpls c="3">
          <tpl fld="7" item="1062"/>
          <tpl fld="6" item="3"/>
          <tpl hier="236" item="0"/>
        </tpls>
      </m>
      <m>
        <tpls c="4">
          <tpl fld="7" item="1259"/>
          <tpl fld="6" item="2"/>
          <tpl hier="236" item="0"/>
          <tpl fld="4" item="6"/>
        </tpls>
      </m>
      <m>
        <tpls c="4">
          <tpl fld="7" item="1144"/>
          <tpl fld="6" item="1"/>
          <tpl hier="236" item="0"/>
          <tpl fld="4" item="6"/>
        </tpls>
      </m>
      <n v="1" in="1">
        <tpls c="4">
          <tpl fld="7" item="1158"/>
          <tpl fld="6" item="1"/>
          <tpl hier="236" item="0"/>
          <tpl fld="4" item="6"/>
        </tpls>
      </n>
      <n v="0" in="1">
        <tpls c="4">
          <tpl fld="7" item="1171"/>
          <tpl fld="6" item="1"/>
          <tpl hier="236" item="0"/>
          <tpl fld="4" item="6"/>
        </tpls>
      </n>
      <n v="1" in="1">
        <tpls c="4">
          <tpl fld="7" item="975"/>
          <tpl fld="6" item="1"/>
          <tpl hier="236" item="0"/>
          <tpl fld="4" item="6"/>
        </tpls>
      </n>
      <n v="130" in="1">
        <tpls c="6">
          <tpl fld="11" item="0"/>
          <tpl fld="2" item="4"/>
          <tpl fld="6" item="1"/>
          <tpl hier="236" item="0"/>
          <tpl fld="4" item="3"/>
          <tpl fld="10" item="4"/>
        </tpls>
      </n>
      <n v="5.3" in="2">
        <tpls c="6">
          <tpl fld="11" item="0"/>
          <tpl fld="5" item="4"/>
          <tpl fld="6" item="2"/>
          <tpl hier="236" item="0"/>
          <tpl fld="4" item="4"/>
          <tpl fld="10" item="8"/>
        </tpls>
      </n>
      <n v="1" in="2">
        <tpls c="6">
          <tpl fld="11" item="0"/>
          <tpl fld="5" item="4"/>
          <tpl fld="6" item="2"/>
          <tpl hier="236" item="0"/>
          <tpl fld="4" item="6"/>
          <tpl fld="10" item="5"/>
        </tpls>
      </n>
      <m>
        <tpls c="4">
          <tpl fld="7" item="1232"/>
          <tpl fld="6" item="2"/>
          <tpl hier="236" item="0"/>
          <tpl fld="4" item="6"/>
        </tpls>
      </m>
      <m>
        <tpls c="3">
          <tpl fld="7" item="1140"/>
          <tpl fld="6" item="3"/>
          <tpl hier="236" item="0"/>
        </tpls>
      </m>
      <m>
        <tpls c="4">
          <tpl fld="7" item="1048"/>
          <tpl fld="6" item="1"/>
          <tpl hier="236" item="0"/>
          <tpl fld="4" item="6"/>
        </tpls>
      </m>
      <n v="7" in="1">
        <tpls c="4">
          <tpl fld="7" item="955"/>
          <tpl fld="6" item="1"/>
          <tpl hier="236" item="0"/>
          <tpl fld="4" item="6"/>
        </tpls>
      </n>
      <m>
        <tpls c="3">
          <tpl fld="7" item="964"/>
          <tpl fld="6" item="3"/>
          <tpl hier="236" item="0"/>
        </tpls>
      </m>
      <m>
        <tpls c="3">
          <tpl fld="7" item="972"/>
          <tpl fld="6" item="3"/>
          <tpl hier="236" item="0"/>
        </tpls>
      </m>
      <n v="18.250000000000004" in="2">
        <tpls c="5">
          <tpl fld="11" item="0"/>
          <tpl fld="6" item="2"/>
          <tpl hier="236" item="0"/>
          <tpl fld="4" item="7"/>
          <tpl fld="10" item="8"/>
        </tpls>
      </n>
      <n v="97" in="1">
        <tpls c="6">
          <tpl fld="11" item="0"/>
          <tpl fld="2" item="2"/>
          <tpl fld="6" item="1"/>
          <tpl hier="236" item="0"/>
          <tpl fld="4" item="3"/>
          <tpl fld="10" item="5"/>
        </tpls>
      </n>
      <n v="16" in="1">
        <tpls c="6">
          <tpl fld="11" item="0"/>
          <tpl fld="5" item="1"/>
          <tpl fld="6" item="1"/>
          <tpl hier="236" item="0"/>
          <tpl fld="4" item="1"/>
          <tpl fld="9" item="0"/>
        </tpls>
      </n>
      <m>
        <tpls c="4">
          <tpl fld="7" item="873"/>
          <tpl fld="6" item="2"/>
          <tpl hier="236" item="0"/>
          <tpl fld="4" item="5"/>
        </tpls>
      </m>
      <m>
        <tpls c="4">
          <tpl fld="7" item="931"/>
          <tpl fld="6" item="1"/>
          <tpl hier="236" item="0"/>
          <tpl fld="4" item="5"/>
        </tpls>
      </m>
      <n v="0.15844950213371267" in="0">
        <tpls c="5">
          <tpl fld="11" item="0"/>
          <tpl fld="2" item="0"/>
          <tpl fld="6" item="0"/>
          <tpl hier="236" item="0"/>
          <tpl fld="4" item="5"/>
        </tpls>
      </n>
      <m>
        <tpls c="4">
          <tpl fld="7" item="967"/>
          <tpl fld="6" item="1"/>
          <tpl hier="236" item="0"/>
          <tpl fld="4" item="5"/>
        </tpls>
      </m>
      <n v="8" in="1">
        <tpls c="4">
          <tpl fld="7" item="1141"/>
          <tpl fld="6" item="1"/>
          <tpl hier="236" item="0"/>
          <tpl fld="1" item="0"/>
        </tpls>
      </n>
      <m>
        <tpls c="4">
          <tpl fld="7" item="1071"/>
          <tpl fld="6" item="2"/>
          <tpl hier="236" item="0"/>
          <tpl fld="4" item="6"/>
        </tpls>
      </m>
      <m>
        <tpls c="4">
          <tpl fld="7" item="1273"/>
          <tpl fld="6" item="1"/>
          <tpl hier="236" item="0"/>
          <tpl fld="4" item="5"/>
        </tpls>
      </m>
      <m>
        <tpls c="4">
          <tpl fld="7" item="1070"/>
          <tpl fld="6" item="1"/>
          <tpl hier="236" item="0"/>
          <tpl fld="1" item="0"/>
        </tpls>
      </m>
      <m>
        <tpls c="3">
          <tpl fld="7" item="1198"/>
          <tpl fld="6" item="3"/>
          <tpl hier="236" item="0"/>
        </tpls>
      </m>
      <m>
        <tpls c="3">
          <tpl fld="7" item="1252"/>
          <tpl fld="6" item="3"/>
          <tpl hier="236" item="0"/>
        </tpls>
      </m>
      <m>
        <tpls c="3">
          <tpl fld="7" item="1052"/>
          <tpl fld="6" item="3"/>
          <tpl hier="236" item="0"/>
        </tpls>
      </m>
      <m>
        <tpls c="3">
          <tpl fld="7" item="1063"/>
          <tpl fld="6" item="3"/>
          <tpl hier="236" item="0"/>
        </tpls>
      </m>
      <n v="1" in="1">
        <tpls c="4">
          <tpl fld="7" item="967"/>
          <tpl fld="6" item="1"/>
          <tpl hier="236" item="0"/>
          <tpl fld="1" item="0"/>
        </tpls>
      </n>
      <m>
        <tpls c="3">
          <tpl fld="7" item="938"/>
          <tpl fld="6" item="3"/>
          <tpl hier="236" item="0"/>
        </tpls>
      </m>
      <m>
        <tpls c="4">
          <tpl fld="7" item="1230"/>
          <tpl fld="6" item="1"/>
          <tpl hier="236" item="0"/>
          <tpl fld="4" item="6"/>
        </tpls>
      </m>
      <m>
        <tpls c="4">
          <tpl fld="7" item="965"/>
          <tpl fld="6" item="1"/>
          <tpl hier="236" item="0"/>
          <tpl fld="4" item="6"/>
        </tpls>
      </m>
      <n v="3" in="1">
        <tpls c="4">
          <tpl fld="7" item="1182"/>
          <tpl fld="6" item="1"/>
          <tpl hier="236" item="0"/>
          <tpl fld="4" item="6"/>
        </tpls>
      </n>
      <m>
        <tpls c="6">
          <tpl fld="11" item="0"/>
          <tpl fld="5" item="2"/>
          <tpl fld="6" item="2"/>
          <tpl hier="236" item="0"/>
          <tpl fld="4" item="7"/>
          <tpl fld="10" item="0"/>
        </tpls>
      </m>
      <n v="1310" in="1">
        <tpls c="6">
          <tpl fld="11" item="0"/>
          <tpl fld="5" item="0"/>
          <tpl fld="6" item="1"/>
          <tpl hier="236" item="0"/>
          <tpl fld="4" item="6"/>
          <tpl fld="10" item="8"/>
        </tpls>
      </n>
      <m>
        <tpls c="4">
          <tpl fld="7" item="962"/>
          <tpl fld="6" item="1"/>
          <tpl hier="236" item="0"/>
          <tpl fld="1" item="0"/>
        </tpls>
      </m>
      <m>
        <tpls c="4">
          <tpl fld="7" item="1038"/>
          <tpl fld="6" item="1"/>
          <tpl hier="236" item="0"/>
          <tpl fld="4" item="6"/>
        </tpls>
      </m>
      <n v="0" in="1">
        <tpls c="4">
          <tpl fld="7" item="945"/>
          <tpl fld="6" item="1"/>
          <tpl hier="236" item="0"/>
          <tpl fld="4" item="6"/>
        </tpls>
      </n>
      <m>
        <tpls c="3">
          <tpl fld="7" item="1162"/>
          <tpl fld="6" item="3"/>
          <tpl hier="236" item="0"/>
        </tpls>
      </m>
      <m>
        <tpls c="3">
          <tpl fld="7" item="1171"/>
          <tpl fld="6" item="3"/>
          <tpl hier="236" item="0"/>
        </tpls>
      </m>
      <m>
        <tpls c="3">
          <tpl fld="7" item="1179"/>
          <tpl fld="6" item="3"/>
          <tpl hier="236" item="0"/>
        </tpls>
      </m>
      <n v="2.75" in="2">
        <tpls c="6">
          <tpl fld="11" item="0"/>
          <tpl fld="6" item="2"/>
          <tpl fld="8" item="0"/>
          <tpl hier="236" item="0"/>
          <tpl fld="4" item="3"/>
          <tpl fld="10" item="2"/>
        </tpls>
      </n>
      <n v="84" in="1">
        <tpls c="6">
          <tpl fld="11" item="0"/>
          <tpl fld="2" item="0"/>
          <tpl fld="6" item="1"/>
          <tpl hier="236" item="0"/>
          <tpl fld="4" item="7"/>
          <tpl fld="10" item="2"/>
        </tpls>
      </n>
      <n v="8.15" in="2">
        <tpls c="6">
          <tpl fld="11" item="0"/>
          <tpl fld="5" item="3"/>
          <tpl fld="6" item="2"/>
          <tpl hier="236" item="0"/>
          <tpl fld="4" item="1"/>
          <tpl fld="9" item="2"/>
        </tpls>
      </n>
      <m>
        <tpls c="6">
          <tpl fld="11" item="0"/>
          <tpl fld="5" item="3"/>
          <tpl fld="6" item="2"/>
          <tpl hier="236" item="0"/>
          <tpl fld="4" item="4"/>
          <tpl fld="10" item="4"/>
        </tpls>
      </m>
      <n v="247" in="1">
        <tpls c="6">
          <tpl fld="11" item="0"/>
          <tpl fld="5" item="5"/>
          <tpl fld="6" item="1"/>
          <tpl hier="236" item="0"/>
          <tpl fld="4" item="7"/>
          <tpl fld="10" item="0"/>
        </tpls>
      </n>
      <m>
        <tpls c="4">
          <tpl fld="7" item="1232"/>
          <tpl fld="6" item="2"/>
          <tpl hier="236" item="0"/>
          <tpl fld="4" item="5"/>
        </tpls>
      </m>
      <m>
        <tpls c="4">
          <tpl fld="7" item="1066"/>
          <tpl fld="6" item="1"/>
          <tpl hier="236" item="0"/>
          <tpl fld="4" item="5"/>
        </tpls>
      </m>
      <m>
        <tpls c="3">
          <tpl fld="7" item="933"/>
          <tpl fld="6" item="3"/>
          <tpl hier="236" item="0"/>
        </tpls>
      </m>
      <m>
        <tpls c="4">
          <tpl fld="7" item="1202"/>
          <tpl fld="6" item="1"/>
          <tpl hier="236" item="0"/>
          <tpl fld="4" item="6"/>
        </tpls>
      </m>
      <m>
        <tpls c="4">
          <tpl fld="7" item="1161"/>
          <tpl fld="6" item="1"/>
          <tpl hier="236" item="0"/>
          <tpl fld="4" item="6"/>
        </tpls>
      </m>
      <m>
        <tpls c="4">
          <tpl fld="7" item="1207"/>
          <tpl fld="6" item="1"/>
          <tpl hier="236" item="0"/>
          <tpl fld="4" item="6"/>
        </tpls>
      </m>
      <n v="5" in="1">
        <tpls c="4">
          <tpl fld="7" item="1209"/>
          <tpl fld="6" item="1"/>
          <tpl hier="236" item="0"/>
          <tpl fld="4" item="6"/>
        </tpls>
      </n>
      <n v="2.8" in="2">
        <tpls c="5">
          <tpl fld="11" item="0"/>
          <tpl fld="6" item="2"/>
          <tpl hier="236" item="0"/>
          <tpl fld="4" item="7"/>
          <tpl fld="10" item="7"/>
        </tpls>
      </n>
      <n v="208" in="1">
        <tpls c="6">
          <tpl fld="11" item="0"/>
          <tpl fld="2" item="4"/>
          <tpl fld="6" item="1"/>
          <tpl hier="236" item="0"/>
          <tpl fld="4" item="7"/>
          <tpl fld="10" item="3"/>
        </tpls>
      </n>
      <n v="7.212162162162163" in="2">
        <tpls c="6">
          <tpl fld="11" item="0"/>
          <tpl fld="5" item="2"/>
          <tpl fld="6" item="2"/>
          <tpl hier="236" item="0"/>
          <tpl fld="4" item="6"/>
          <tpl fld="10" item="8"/>
        </tpls>
      </n>
      <n v="149" in="1">
        <tpls c="6">
          <tpl fld="11" item="0"/>
          <tpl fld="5" item="4"/>
          <tpl fld="6" item="1"/>
          <tpl hier="236" item="0"/>
          <tpl fld="4" item="4"/>
          <tpl fld="10" item="2"/>
        </tpls>
      </n>
      <m>
        <tpls c="4">
          <tpl fld="7" item="1148"/>
          <tpl fld="6" item="2"/>
          <tpl hier="236" item="0"/>
          <tpl fld="1" item="0"/>
        </tpls>
      </m>
      <n v="2" in="1">
        <tpls c="4">
          <tpl fld="7" item="1039"/>
          <tpl fld="6" item="1"/>
          <tpl hier="236" item="0"/>
          <tpl fld="1" item="0"/>
        </tpls>
      </n>
      <m>
        <tpls c="4">
          <tpl fld="7" item="944"/>
          <tpl fld="6" item="2"/>
          <tpl hier="236" item="0"/>
          <tpl fld="1" item="0"/>
        </tpls>
      </m>
      <m>
        <tpls c="4">
          <tpl fld="7" item="937"/>
          <tpl fld="6" item="2"/>
          <tpl hier="236" item="0"/>
          <tpl fld="4" item="6"/>
        </tpls>
      </m>
      <m>
        <tpls c="4">
          <tpl fld="7" item="945"/>
          <tpl fld="6" item="2"/>
          <tpl hier="236" item="0"/>
          <tpl fld="1" item="0"/>
        </tpls>
      </m>
      <m>
        <tpls c="4">
          <tpl fld="7" item="1144"/>
          <tpl fld="6" item="1"/>
          <tpl hier="236" item="0"/>
          <tpl fld="4" item="5"/>
        </tpls>
      </m>
      <m>
        <tpls c="4">
          <tpl fld="7" item="1041"/>
          <tpl fld="6" item="1"/>
          <tpl hier="236" item="0"/>
          <tpl fld="4" item="5"/>
        </tpls>
      </m>
      <m>
        <tpls c="4">
          <tpl fld="7" item="1274"/>
          <tpl fld="6" item="2"/>
          <tpl hier="236" item="0"/>
          <tpl fld="4" item="5"/>
        </tpls>
      </m>
      <m>
        <tpls c="4">
          <tpl fld="7" item="1044"/>
          <tpl fld="6" item="1"/>
          <tpl hier="236" item="0"/>
          <tpl fld="4" item="5"/>
        </tpls>
      </m>
      <n v="1" in="2">
        <tpls c="4">
          <tpl fld="7" item="1052"/>
          <tpl fld="6" item="2"/>
          <tpl hier="236" item="0"/>
          <tpl fld="1" item="0"/>
        </tpls>
      </n>
      <m>
        <tpls c="4">
          <tpl fld="7" item="1079"/>
          <tpl fld="6" item="2"/>
          <tpl hier="236" item="0"/>
          <tpl fld="4" item="5"/>
        </tpls>
      </m>
      <n v="1" in="1">
        <tpls c="4">
          <tpl fld="7" item="1198"/>
          <tpl fld="6" item="1"/>
          <tpl hier="236" item="0"/>
          <tpl fld="4" item="5"/>
        </tpls>
      </n>
      <m>
        <tpls c="4">
          <tpl fld="7" item="1064"/>
          <tpl fld="6" item="2"/>
          <tpl hier="236" item="0"/>
          <tpl fld="1" item="0"/>
        </tpls>
      </m>
      <m>
        <tpls c="4">
          <tpl fld="7" item="938"/>
          <tpl fld="6" item="1"/>
          <tpl hier="236" item="0"/>
          <tpl fld="4" item="5"/>
        </tpls>
      </m>
      <n v="3" in="1">
        <tpls c="4">
          <tpl fld="7" item="1206"/>
          <tpl fld="6" item="1"/>
          <tpl hier="236" item="0"/>
          <tpl fld="1" item="0"/>
        </tpls>
      </n>
      <m>
        <tpls c="4">
          <tpl fld="7" item="1167"/>
          <tpl fld="6" item="2"/>
          <tpl hier="236" item="0"/>
          <tpl fld="4" item="5"/>
        </tpls>
      </m>
      <m>
        <tpls c="4">
          <tpl fld="7" item="1140"/>
          <tpl fld="6" item="2"/>
          <tpl hier="236" item="0"/>
          <tpl fld="4" item="6"/>
        </tpls>
      </m>
      <m>
        <tpls c="4">
          <tpl fld="7" item="1256"/>
          <tpl fld="6" item="2"/>
          <tpl hier="236" item="0"/>
          <tpl fld="4" item="5"/>
        </tpls>
      </m>
      <m>
        <tpls c="4">
          <tpl fld="7" item="969"/>
          <tpl fld="6" item="1"/>
          <tpl hier="236" item="0"/>
          <tpl fld="4" item="5"/>
        </tpls>
      </m>
      <m>
        <tpls c="4">
          <tpl fld="7" item="1045"/>
          <tpl fld="6" item="2"/>
          <tpl hier="236" item="0"/>
          <tpl fld="4" item="6"/>
        </tpls>
      </m>
      <m>
        <tpls c="4">
          <tpl fld="7" item="1234"/>
          <tpl fld="6" item="1"/>
          <tpl hier="236" item="0"/>
          <tpl fld="4" item="5"/>
        </tpls>
      </m>
      <m>
        <tpls c="4">
          <tpl fld="7" item="1144"/>
          <tpl fld="6" item="1"/>
          <tpl hier="236" item="0"/>
          <tpl fld="1" item="0"/>
        </tpls>
      </m>
      <m>
        <tpls c="4">
          <tpl fld="7" item="968"/>
          <tpl fld="6" item="2"/>
          <tpl hier="236" item="0"/>
          <tpl fld="4" item="6"/>
        </tpls>
      </m>
      <m>
        <tpls c="4">
          <tpl fld="7" item="1169"/>
          <tpl fld="6" item="2"/>
          <tpl hier="236" item="0"/>
          <tpl fld="4" item="5"/>
        </tpls>
      </m>
      <n v="7" in="1">
        <tpls c="4">
          <tpl fld="7" item="1251"/>
          <tpl fld="6" item="1"/>
          <tpl hier="236" item="0"/>
          <tpl fld="1" item="0"/>
        </tpls>
      </n>
      <m>
        <tpls c="4">
          <tpl fld="7" item="1065"/>
          <tpl fld="6" item="2"/>
          <tpl hier="236" item="0"/>
          <tpl fld="4" item="5"/>
        </tpls>
      </m>
      <m>
        <tpls c="4">
          <tpl fld="7" item="1176"/>
          <tpl fld="6" item="2"/>
          <tpl hier="236" item="0"/>
          <tpl fld="4" item="6"/>
        </tpls>
      </m>
      <n v="0" in="1">
        <tpls c="4">
          <tpl fld="7" item="1149"/>
          <tpl fld="6" item="1"/>
          <tpl hier="236" item="0"/>
          <tpl fld="1" item="0"/>
        </tpls>
      </n>
      <m>
        <tpls c="4">
          <tpl fld="7" item="1073"/>
          <tpl fld="6" item="2"/>
          <tpl hier="236" item="0"/>
          <tpl fld="4" item="6"/>
        </tpls>
      </m>
      <n v="2" in="1">
        <tpls c="4">
          <tpl fld="7" item="1072"/>
          <tpl fld="6" item="1"/>
          <tpl hier="236" item="0"/>
          <tpl fld="1" item="0"/>
        </tpls>
      </n>
      <n v="10" in="1">
        <tpls c="4">
          <tpl fld="7" item="933"/>
          <tpl fld="6" item="1"/>
          <tpl hier="236" item="0"/>
          <tpl fld="1" item="0"/>
        </tpls>
      </n>
      <n v="4" in="1">
        <tpls c="4">
          <tpl fld="7" item="1201"/>
          <tpl fld="6" item="1"/>
          <tpl hier="236" item="0"/>
          <tpl fld="1" item="0"/>
        </tpls>
      </n>
      <m>
        <tpls c="4">
          <tpl fld="7" item="1146"/>
          <tpl fld="6" item="1"/>
          <tpl hier="236" item="0"/>
          <tpl fld="1" item="0"/>
        </tpls>
      </m>
      <n v="50" in="1">
        <tpls c="4">
          <tpl fld="7" item="1261"/>
          <tpl fld="6" item="1"/>
          <tpl hier="236" item="0"/>
          <tpl fld="1" item="0"/>
        </tpls>
      </n>
      <n v="0" in="1">
        <tpls c="4">
          <tpl fld="7" item="950"/>
          <tpl fld="6" item="1"/>
          <tpl hier="236" item="0"/>
          <tpl fld="1" item="0"/>
        </tpls>
      </n>
      <n v="35" in="1">
        <tpls c="4">
          <tpl fld="7" item="1180"/>
          <tpl fld="6" item="1"/>
          <tpl hier="236" item="0"/>
          <tpl fld="1" item="0"/>
        </tpls>
      </n>
      <n v="1" in="1">
        <tpls c="4">
          <tpl fld="7" item="1229"/>
          <tpl fld="6" item="1"/>
          <tpl hier="236" item="0"/>
          <tpl fld="4" item="5"/>
        </tpls>
      </n>
      <m>
        <tpls c="4">
          <tpl fld="7" item="1179"/>
          <tpl fld="6" item="1"/>
          <tpl hier="236" item="0"/>
          <tpl fld="4" item="5"/>
        </tpls>
      </m>
      <m>
        <tpls c="3">
          <tpl fld="7" item="1280"/>
          <tpl fld="6" item="3"/>
          <tpl hier="236" item="0"/>
        </tpls>
      </m>
      <m>
        <tpls c="4">
          <tpl fld="7" item="1148"/>
          <tpl fld="6" item="1"/>
          <tpl hier="236" item="0"/>
          <tpl fld="4" item="6"/>
        </tpls>
      </m>
      <n v="387" in="1">
        <tpls c="5">
          <tpl fld="11" item="0"/>
          <tpl fld="6" item="1"/>
          <tpl fld="8" item="1"/>
          <tpl hier="236" item="0"/>
          <tpl fld="4" item="2"/>
        </tpls>
      </n>
      <n v="189" in="1">
        <tpls c="6">
          <tpl fld="11" item="0"/>
          <tpl fld="5" item="3"/>
          <tpl fld="6" item="1"/>
          <tpl hier="236" item="0"/>
          <tpl fld="4" item="6"/>
          <tpl fld="10" item="4"/>
        </tpls>
      </n>
      <m>
        <tpls c="4">
          <tpl fld="7" item="1234"/>
          <tpl fld="6" item="2"/>
          <tpl hier="236" item="0"/>
          <tpl fld="4" item="6"/>
        </tpls>
      </m>
      <m>
        <tpls c="4">
          <tpl fld="7" item="970"/>
          <tpl fld="6" item="1"/>
          <tpl hier="236" item="0"/>
          <tpl fld="4" item="5"/>
        </tpls>
      </m>
      <m>
        <tpls c="4">
          <tpl fld="7" item="969"/>
          <tpl fld="6" item="2"/>
          <tpl hier="236" item="0"/>
          <tpl fld="4" item="6"/>
        </tpls>
      </m>
      <m>
        <tpls c="4">
          <tpl fld="7" item="1233"/>
          <tpl fld="6" item="2"/>
          <tpl hier="236" item="0"/>
          <tpl fld="4" item="5"/>
        </tpls>
      </m>
      <m>
        <tpls c="4">
          <tpl fld="7" item="1173"/>
          <tpl fld="6" item="1"/>
          <tpl hier="236" item="0"/>
          <tpl fld="4" item="6"/>
        </tpls>
      </m>
      <m>
        <tpls c="6">
          <tpl fld="11" item="0"/>
          <tpl fld="5" item="4"/>
          <tpl fld="6" item="1"/>
          <tpl hier="236" item="0"/>
          <tpl fld="4" item="3"/>
          <tpl fld="10" item="1"/>
        </tpls>
      </m>
      <m>
        <tpls c="3">
          <tpl fld="7" item="1142"/>
          <tpl fld="6" item="3"/>
          <tpl hier="236" item="0"/>
        </tpls>
      </m>
      <m>
        <tpls c="3">
          <tpl fld="7" item="1180"/>
          <tpl fld="6" item="3"/>
          <tpl hier="236" item="0"/>
        </tpls>
      </m>
      <m>
        <tpls c="6">
          <tpl fld="11" item="0"/>
          <tpl fld="5" item="3"/>
          <tpl fld="6" item="2"/>
          <tpl hier="236" item="0"/>
          <tpl fld="4" item="3"/>
          <tpl fld="10" item="1"/>
        </tpls>
      </m>
      <m>
        <tpls c="4">
          <tpl fld="7" item="1178"/>
          <tpl fld="6" item="2"/>
          <tpl hier="236" item="0"/>
          <tpl fld="4" item="6"/>
        </tpls>
      </m>
      <n v="8" in="1">
        <tpls c="4">
          <tpl fld="7" item="1074"/>
          <tpl fld="6" item="1"/>
          <tpl hier="236" item="0"/>
          <tpl fld="1" item="0"/>
        </tpls>
      </n>
      <n v="38" in="1">
        <tpls c="4">
          <tpl fld="7" item="1224"/>
          <tpl fld="6" item="1"/>
          <tpl hier="236" item="0"/>
          <tpl fld="1" item="0"/>
        </tpls>
      </n>
      <n v="0" in="1">
        <tpls c="4">
          <tpl fld="7" item="967"/>
          <tpl fld="6" item="1"/>
          <tpl hier="236" item="0"/>
          <tpl fld="4" item="6"/>
        </tpls>
      </n>
      <m>
        <tpls c="6">
          <tpl fld="11" item="0"/>
          <tpl fld="5" item="4"/>
          <tpl fld="6" item="2"/>
          <tpl hier="236" item="0"/>
          <tpl fld="4" item="3"/>
          <tpl fld="10" item="1"/>
        </tpls>
      </m>
      <m>
        <tpls c="6">
          <tpl fld="11" item="0"/>
          <tpl fld="5" item="2"/>
          <tpl fld="6" item="1"/>
          <tpl hier="236" item="0"/>
          <tpl fld="4" item="3"/>
          <tpl fld="10" item="4"/>
        </tpls>
      </m>
      <m>
        <tpls c="6">
          <tpl fld="11" item="0"/>
          <tpl fld="5" item="1"/>
          <tpl fld="6" item="1"/>
          <tpl hier="236" item="0"/>
          <tpl fld="4" item="7"/>
          <tpl fld="10" item="0"/>
        </tpls>
      </m>
      <n v="6" in="1">
        <tpls c="4">
          <tpl fld="7" item="1159"/>
          <tpl fld="6" item="1"/>
          <tpl hier="236" item="0"/>
          <tpl fld="1" item="0"/>
        </tpls>
      </n>
      <n v="1" in="1">
        <tpls c="4">
          <tpl fld="7" item="1040"/>
          <tpl fld="6" item="1"/>
          <tpl hier="236" item="0"/>
          <tpl fld="4" item="6"/>
        </tpls>
      </n>
      <m>
        <tpls c="3">
          <tpl fld="7" item="1156"/>
          <tpl fld="6" item="3"/>
          <tpl hier="236" item="0"/>
        </tpls>
      </m>
      <m>
        <tpls c="3">
          <tpl fld="7" item="962"/>
          <tpl fld="6" item="3"/>
          <tpl hier="236" item="0"/>
        </tpls>
      </m>
      <m>
        <tpls c="3">
          <tpl fld="7" item="974"/>
          <tpl fld="6" item="3"/>
          <tpl hier="236" item="0"/>
        </tpls>
      </m>
      <n v="62" in="1">
        <tpls c="6">
          <tpl fld="11" item="0"/>
          <tpl fld="2" item="3"/>
          <tpl fld="6" item="1"/>
          <tpl hier="236" item="0"/>
          <tpl fld="4" item="7"/>
          <tpl fld="10" item="2"/>
        </tpls>
      </n>
      <n v="18.250000000000004" in="2">
        <tpls c="6">
          <tpl fld="11" item="0"/>
          <tpl fld="5" item="5"/>
          <tpl fld="6" item="2"/>
          <tpl hier="236" item="0"/>
          <tpl fld="4" item="7"/>
          <tpl fld="10" item="8"/>
        </tpls>
      </n>
      <n v="0" in="1">
        <tpls c="6">
          <tpl fld="11" item="0"/>
          <tpl fld="5" item="0"/>
          <tpl fld="6" item="1"/>
          <tpl hier="236" item="0"/>
          <tpl fld="4" item="3"/>
          <tpl fld="10" item="1"/>
        </tpls>
      </n>
      <m>
        <tpls c="4">
          <tpl fld="7" item="1039"/>
          <tpl fld="6" item="2"/>
          <tpl hier="236" item="0"/>
          <tpl fld="4" item="5"/>
        </tpls>
      </m>
      <m>
        <tpls c="4">
          <tpl fld="7" item="1159"/>
          <tpl fld="6" item="2"/>
          <tpl hier="236" item="0"/>
          <tpl fld="4" item="6"/>
        </tpls>
      </m>
      <n v="77" in="1">
        <tpls c="4">
          <tpl fld="7" item="1235"/>
          <tpl fld="6" item="1"/>
          <tpl hier="236" item="0"/>
          <tpl fld="1" item="0"/>
        </tpls>
      </n>
      <n v="1" in="1">
        <tpls c="4">
          <tpl fld="7" item="1205"/>
          <tpl fld="6" item="1"/>
          <tpl hier="236" item="0"/>
          <tpl fld="4" item="5"/>
        </tpls>
      </n>
      <m>
        <tpls c="4">
          <tpl fld="7" item="1253"/>
          <tpl fld="6" item="2"/>
          <tpl hier="236" item="0"/>
          <tpl fld="4" item="5"/>
        </tpls>
      </m>
      <n v="3" in="1">
        <tpls c="4">
          <tpl fld="7" item="1178"/>
          <tpl fld="6" item="1"/>
          <tpl hier="236" item="0"/>
          <tpl fld="4" item="5"/>
        </tpls>
      </n>
      <m>
        <tpls c="3">
          <tpl fld="7" item="1036"/>
          <tpl fld="6" item="3"/>
          <tpl hier="236" item="0"/>
        </tpls>
      </m>
      <m>
        <tpls c="3">
          <tpl fld="7" item="1254"/>
          <tpl fld="6" item="3"/>
          <tpl hier="236" item="0"/>
        </tpls>
      </m>
      <m>
        <tpls c="4">
          <tpl fld="7" item="1251"/>
          <tpl fld="6" item="1"/>
          <tpl hier="236" item="0"/>
          <tpl fld="4" item="5"/>
        </tpls>
      </m>
      <m>
        <tpls c="4">
          <tpl fld="7" item="931"/>
          <tpl fld="6" item="1"/>
          <tpl hier="236" item="0"/>
          <tpl fld="4" item="6"/>
        </tpls>
      </m>
      <n v="5" in="1">
        <tpls c="4">
          <tpl fld="7" item="1229"/>
          <tpl fld="6" item="1"/>
          <tpl hier="236" item="0"/>
          <tpl fld="4" item="6"/>
        </tpls>
      </n>
      <n v="1" in="1">
        <tpls c="4">
          <tpl fld="7" item="1174"/>
          <tpl fld="6" item="1"/>
          <tpl hier="236" item="0"/>
          <tpl fld="4" item="6"/>
        </tpls>
      </n>
      <n v="1" in="2">
        <tpls c="5">
          <tpl fld="11" item="0"/>
          <tpl fld="6" item="2"/>
          <tpl hier="236" item="0"/>
          <tpl fld="4" item="7"/>
          <tpl fld="10" item="1"/>
        </tpls>
      </n>
      <n v="3.6594594594594598" in="2">
        <tpls c="5">
          <tpl fld="11" item="0"/>
          <tpl fld="5" item="4"/>
          <tpl fld="6" item="2"/>
          <tpl hier="236" item="0"/>
          <tpl fld="4" item="0"/>
        </tpls>
      </n>
      <n v="0" in="1">
        <tpls c="6">
          <tpl fld="11" item="0"/>
          <tpl fld="5" item="3"/>
          <tpl fld="6" item="1"/>
          <tpl hier="236" item="0"/>
          <tpl fld="4" item="7"/>
          <tpl fld="10" item="0"/>
        </tpls>
      </n>
      <n v="3" in="1">
        <tpls c="4">
          <tpl fld="7" item="1058"/>
          <tpl fld="6" item="1"/>
          <tpl hier="236" item="0"/>
          <tpl fld="1" item="0"/>
        </tpls>
      </n>
      <n v="1" in="1">
        <tpls c="4">
          <tpl fld="7" item="937"/>
          <tpl fld="6" item="1"/>
          <tpl hier="236" item="0"/>
          <tpl fld="4" item="6"/>
        </tpls>
      </n>
      <n v="11" in="1">
        <tpls c="4">
          <tpl fld="7" item="1054"/>
          <tpl fld="6" item="1"/>
          <tpl hier="236" item="0"/>
          <tpl fld="4" item="6"/>
        </tpls>
      </n>
      <m>
        <tpls c="3">
          <tpl fld="7" item="1169"/>
          <tpl fld="6" item="3"/>
          <tpl hier="236" item="0"/>
        </tpls>
      </m>
      <m>
        <tpls c="3">
          <tpl fld="7" item="1181"/>
          <tpl fld="6" item="3"/>
          <tpl hier="236" item="0"/>
        </tpls>
      </m>
      <n v="205" in="1">
        <tpls c="6">
          <tpl fld="11" item="0"/>
          <tpl fld="2" item="4"/>
          <tpl fld="6" item="1"/>
          <tpl hier="236" item="0"/>
          <tpl fld="4" item="1"/>
          <tpl fld="9" item="4"/>
        </tpls>
      </n>
      <n v="128.98195945945946" in="2">
        <tpls c="5">
          <tpl fld="11" item="0"/>
          <tpl fld="5" item="2"/>
          <tpl fld="6" item="2"/>
          <tpl hier="236" item="0"/>
          <tpl fld="1" item="0"/>
        </tpls>
      </n>
      <n v="0" in="1">
        <tpls c="6">
          <tpl fld="11" item="0"/>
          <tpl fld="5" item="3"/>
          <tpl fld="6" item="1"/>
          <tpl hier="236" item="0"/>
          <tpl fld="4" item="3"/>
          <tpl fld="10" item="4"/>
        </tpls>
      </n>
      <m>
        <tpls c="6">
          <tpl fld="11" item="0"/>
          <tpl fld="5" item="0"/>
          <tpl fld="6" item="1"/>
          <tpl hier="236" item="0"/>
          <tpl fld="4" item="3"/>
          <tpl fld="10" item="6"/>
        </tpls>
      </m>
      <m>
        <tpls c="4">
          <tpl fld="7" item="1208"/>
          <tpl fld="6" item="2"/>
          <tpl hier="236" item="0"/>
          <tpl fld="4" item="6"/>
        </tpls>
      </m>
      <m>
        <tpls c="4">
          <tpl fld="7" item="1145"/>
          <tpl fld="6" item="1"/>
          <tpl hier="236" item="0"/>
          <tpl fld="4" item="6"/>
        </tpls>
      </m>
      <n v="0" in="1">
        <tpls c="4">
          <tpl fld="7" item="1204"/>
          <tpl fld="6" item="1"/>
          <tpl hier="236" item="0"/>
          <tpl fld="4" item="6"/>
        </tpls>
      </n>
      <n v="2" in="1">
        <tpls c="4">
          <tpl fld="7" item="1259"/>
          <tpl fld="6" item="1"/>
          <tpl hier="236" item="0"/>
          <tpl fld="4" item="6"/>
        </tpls>
      </n>
      <m>
        <tpls c="4">
          <tpl fld="7" item="1210"/>
          <tpl fld="6" item="1"/>
          <tpl hier="236" item="0"/>
          <tpl fld="4" item="6"/>
        </tpls>
      </m>
      <n v="76" in="1">
        <tpls c="5">
          <tpl fld="11" item="0"/>
          <tpl fld="2" item="0"/>
          <tpl fld="6" item="1"/>
          <tpl hier="236" item="0"/>
          <tpl fld="4" item="0"/>
        </tpls>
      </n>
      <n v="81.845135135135152" in="2">
        <tpls c="5">
          <tpl fld="11" item="0"/>
          <tpl fld="5" item="3"/>
          <tpl fld="6" item="2"/>
          <tpl hier="236" item="0"/>
          <tpl fld="1" item="0"/>
        </tpls>
      </n>
      <m>
        <tpls c="6">
          <tpl fld="11" item="0"/>
          <tpl fld="5" item="2"/>
          <tpl fld="6" item="2"/>
          <tpl hier="236" item="0"/>
          <tpl fld="4" item="3"/>
          <tpl fld="10" item="5"/>
        </tpls>
      </m>
      <n v="54" in="1">
        <tpls c="6">
          <tpl fld="11" item="0"/>
          <tpl fld="5" item="4"/>
          <tpl fld="6" item="1"/>
          <tpl hier="236" item="0"/>
          <tpl fld="4" item="4"/>
          <tpl fld="10" item="4"/>
        </tpls>
      </n>
      <m>
        <tpls c="6">
          <tpl fld="11" item="0"/>
          <tpl fld="5" item="2"/>
          <tpl fld="6" item="2"/>
          <tpl hier="236" item="0"/>
          <tpl fld="4" item="7"/>
          <tpl fld="10" item="6"/>
        </tpls>
      </m>
      <m>
        <tpls c="6">
          <tpl fld="11" item="0"/>
          <tpl fld="5" item="2"/>
          <tpl fld="6" item="2"/>
          <tpl hier="236" item="0"/>
          <tpl fld="4" item="3"/>
          <tpl fld="10" item="7"/>
        </tpls>
      </m>
      <n v="735" in="1">
        <tpls c="6">
          <tpl fld="11" item="0"/>
          <tpl fld="5" item="3"/>
          <tpl fld="6" item="1"/>
          <tpl hier="236" item="0"/>
          <tpl fld="4" item="4"/>
          <tpl fld="10" item="7"/>
        </tpls>
      </n>
      <n v="8.6999999999999993" in="2">
        <tpls c="6">
          <tpl fld="11" item="0"/>
          <tpl fld="5" item="4"/>
          <tpl fld="6" item="2"/>
          <tpl hier="236" item="0"/>
          <tpl fld="4" item="4"/>
          <tpl fld="10" item="6"/>
        </tpls>
      </n>
      <m>
        <tpls c="4">
          <tpl fld="7" item="1043"/>
          <tpl fld="6" item="1"/>
          <tpl hier="236" item="0"/>
          <tpl fld="4" item="6"/>
        </tpls>
      </m>
      <m>
        <tpls c="4">
          <tpl fld="7" item="952"/>
          <tpl fld="6" item="2"/>
          <tpl hier="236" item="0"/>
          <tpl fld="4" item="5"/>
        </tpls>
      </m>
      <m>
        <tpls c="4">
          <tpl fld="7" item="1259"/>
          <tpl fld="6" item="2"/>
          <tpl hier="236" item="0"/>
          <tpl fld="4" item="5"/>
        </tpls>
      </m>
      <m>
        <tpls c="3">
          <tpl fld="7" item="1030"/>
          <tpl fld="6" item="3"/>
          <tpl hier="236" item="0"/>
        </tpls>
      </m>
      <m>
        <tpls c="4">
          <tpl fld="7" item="1258"/>
          <tpl fld="6" item="2"/>
          <tpl hier="236" item="0"/>
          <tpl fld="4" item="6"/>
        </tpls>
      </m>
      <n v="6" in="1">
        <tpls c="4">
          <tpl fld="7" item="1180"/>
          <tpl fld="6" item="1"/>
          <tpl hier="236" item="0"/>
          <tpl fld="4" item="6"/>
        </tpls>
      </n>
      <n v="7" in="1">
        <tpls c="6">
          <tpl fld="11" item="0"/>
          <tpl fld="5" item="2"/>
          <tpl fld="6" item="1"/>
          <tpl hier="236" item="0"/>
          <tpl fld="4" item="4"/>
          <tpl fld="10" item="4"/>
        </tpls>
      </n>
      <m>
        <tpls c="4">
          <tpl fld="7" item="943"/>
          <tpl fld="6" item="1"/>
          <tpl hier="236" item="0"/>
          <tpl fld="4" item="6"/>
        </tpls>
      </m>
      <n v="16.248648648648651" in="2">
        <tpls c="5">
          <tpl fld="11" item="0"/>
          <tpl fld="6" item="2"/>
          <tpl hier="236" item="0"/>
          <tpl fld="4" item="7"/>
          <tpl fld="10" item="3"/>
        </tpls>
      </n>
      <n v="864" in="1">
        <tpls c="6">
          <tpl fld="11" item="0"/>
          <tpl fld="5" item="1"/>
          <tpl fld="6" item="1"/>
          <tpl hier="236" item="0"/>
          <tpl fld="4" item="1"/>
          <tpl fld="9" item="4"/>
        </tpls>
      </n>
      <n v="0" in="1">
        <tpls c="6">
          <tpl fld="11" item="0"/>
          <tpl fld="5" item="0"/>
          <tpl fld="6" item="1"/>
          <tpl hier="236" item="0"/>
          <tpl fld="4" item="3"/>
          <tpl fld="10" item="8"/>
        </tpls>
      </n>
      <m>
        <tpls c="4">
          <tpl fld="7" item="1035"/>
          <tpl fld="6" item="2"/>
          <tpl hier="236" item="0"/>
          <tpl fld="4" item="6"/>
        </tpls>
      </m>
      <m>
        <tpls c="4">
          <tpl fld="7" item="1078"/>
          <tpl fld="6" item="1"/>
          <tpl hier="236" item="0"/>
          <tpl fld="4" item="5"/>
        </tpls>
      </m>
      <n v="0" in="1">
        <tpls c="4">
          <tpl fld="7" item="1149"/>
          <tpl fld="6" item="1"/>
          <tpl hier="236" item="0"/>
          <tpl fld="4" item="6"/>
        </tpls>
      </n>
      <m>
        <tpls c="4">
          <tpl fld="7" item="1163"/>
          <tpl fld="6" item="1"/>
          <tpl hier="236" item="0"/>
          <tpl fld="4" item="6"/>
        </tpls>
      </m>
      <n v="1" in="1">
        <tpls c="4">
          <tpl fld="7" item="1072"/>
          <tpl fld="6" item="1"/>
          <tpl hier="236" item="0"/>
          <tpl fld="4" item="6"/>
        </tpls>
      </n>
      <n v="29.736486486486488" in="2">
        <tpls c="5">
          <tpl fld="11" item="0"/>
          <tpl fld="6" item="2"/>
          <tpl hier="236" item="0"/>
          <tpl fld="4" item="6"/>
          <tpl fld="10" item="4"/>
        </tpls>
      </n>
      <n v="116.46027027027026" in="2">
        <tpls c="5">
          <tpl fld="11" item="0"/>
          <tpl fld="2" item="0"/>
          <tpl fld="6" item="2"/>
          <tpl hier="236" item="0"/>
          <tpl fld="1" item="0"/>
        </tpls>
      </n>
      <n v="32" in="1">
        <tpls c="5">
          <tpl fld="11" item="0"/>
          <tpl fld="5" item="3"/>
          <tpl fld="6" item="1"/>
          <tpl hier="236" item="0"/>
          <tpl fld="4" item="2"/>
        </tpls>
      </n>
      <m>
        <tpls c="6">
          <tpl fld="11" item="0"/>
          <tpl fld="5" item="2"/>
          <tpl fld="6" item="1"/>
          <tpl hier="236" item="0"/>
          <tpl fld="4" item="3"/>
          <tpl fld="10" item="7"/>
        </tpls>
      </m>
      <n v="0" in="1">
        <tpls c="6">
          <tpl fld="11" item="0"/>
          <tpl fld="5" item="2"/>
          <tpl fld="6" item="1"/>
          <tpl hier="236" item="0"/>
          <tpl fld="4" item="3"/>
          <tpl fld="10" item="5"/>
        </tpls>
      </n>
      <n v="25" in="1">
        <tpls c="6">
          <tpl fld="11" item="0"/>
          <tpl fld="5" item="5"/>
          <tpl fld="6" item="1"/>
          <tpl hier="236" item="0"/>
          <tpl fld="4" item="7"/>
          <tpl fld="10" item="5"/>
        </tpls>
      </n>
      <m>
        <tpls c="4">
          <tpl fld="7" item="1281"/>
          <tpl fld="6" item="2"/>
          <tpl hier="236" item="0"/>
          <tpl fld="4" item="6"/>
        </tpls>
      </m>
      <m>
        <tpls c="3">
          <tpl fld="7" item="1080"/>
          <tpl fld="6" item="3"/>
          <tpl hier="236" item="0"/>
        </tpls>
      </m>
      <n v="80" in="1">
        <tpls c="6">
          <tpl fld="11" item="0"/>
          <tpl fld="5" item="3"/>
          <tpl fld="6" item="1"/>
          <tpl hier="236" item="0"/>
          <tpl fld="4" item="6"/>
          <tpl fld="10" item="5"/>
        </tpls>
      </n>
      <n v="0" in="1">
        <tpls c="6">
          <tpl fld="11" item="0"/>
          <tpl fld="5" item="0"/>
          <tpl fld="6" item="1"/>
          <tpl hier="236" item="0"/>
          <tpl fld="4" item="3"/>
          <tpl fld="10" item="2"/>
        </tpls>
      </n>
      <n v="304" in="1">
        <tpls c="6">
          <tpl fld="11" item="0"/>
          <tpl fld="5" item="4"/>
          <tpl fld="6" item="1"/>
          <tpl hier="236" item="0"/>
          <tpl fld="4" item="4"/>
          <tpl fld="10" item="6"/>
        </tpls>
      </n>
      <m>
        <tpls c="6">
          <tpl fld="11" item="0"/>
          <tpl fld="5" item="0"/>
          <tpl fld="6" item="2"/>
          <tpl hier="236" item="0"/>
          <tpl fld="4" item="4"/>
          <tpl fld="10" item="1"/>
        </tpls>
      </m>
      <n v="54" in="1">
        <tpls c="6">
          <tpl fld="11" item="0"/>
          <tpl fld="2" item="3"/>
          <tpl fld="6" item="1"/>
          <tpl hier="236" item="0"/>
          <tpl fld="4" item="1"/>
          <tpl fld="9" item="3"/>
        </tpls>
      </n>
      <n v="82" in="1">
        <tpls c="6">
          <tpl fld="11" item="0"/>
          <tpl fld="2" item="3"/>
          <tpl fld="6" item="1"/>
          <tpl hier="236" item="0"/>
          <tpl fld="4" item="4"/>
          <tpl fld="10" item="4"/>
        </tpls>
      </n>
      <n v="834" in="1">
        <tpls c="6">
          <tpl fld="11" item="0"/>
          <tpl fld="2" item="3"/>
          <tpl fld="6" item="1"/>
          <tpl hier="236" item="0"/>
          <tpl fld="4" item="6"/>
          <tpl fld="10" item="8"/>
        </tpls>
      </n>
      <n v="724" in="1">
        <tpls c="6">
          <tpl fld="11" item="0"/>
          <tpl fld="2" item="3"/>
          <tpl fld="6" item="1"/>
          <tpl hier="236" item="0"/>
          <tpl fld="4" item="3"/>
          <tpl fld="10" item="7"/>
        </tpls>
      </n>
      <n v="4" in="1">
        <tpls c="6">
          <tpl fld="11" item="0"/>
          <tpl fld="2" item="3"/>
          <tpl fld="6" item="1"/>
          <tpl hier="236" item="0"/>
          <tpl fld="4" item="7"/>
          <tpl fld="10" item="1"/>
        </tpls>
      </n>
      <n v="70" in="1">
        <tpls c="6">
          <tpl fld="11" item="0"/>
          <tpl fld="2" item="2"/>
          <tpl fld="6" item="1"/>
          <tpl hier="236" item="0"/>
          <tpl fld="4" item="6"/>
          <tpl fld="10" item="1"/>
        </tpls>
      </n>
      <n v="0" in="1">
        <tpls c="6">
          <tpl fld="3" item="4"/>
          <tpl fld="11" item="0"/>
          <tpl fld="6" item="1"/>
          <tpl hier="236" item="0"/>
          <tpl fld="4" item="3"/>
          <tpl fld="10" item="1"/>
        </tpls>
      </n>
      <m>
        <tpls c="4">
          <tpl fld="7" item="957"/>
          <tpl fld="6" item="2"/>
          <tpl hier="236" item="0"/>
          <tpl fld="4" item="6"/>
        </tpls>
      </m>
      <m>
        <tpls c="3">
          <tpl fld="7" item="1275"/>
          <tpl fld="6" item="3"/>
          <tpl hier="236" item="0"/>
        </tpls>
      </m>
      <n v="2" in="1">
        <tpls c="6">
          <tpl fld="11" item="0"/>
          <tpl fld="2" item="4"/>
          <tpl fld="6" item="1"/>
          <tpl hier="236" item="0"/>
          <tpl fld="4" item="7"/>
          <tpl fld="10" item="5"/>
        </tpls>
      </n>
      <m>
        <tpls c="6">
          <tpl fld="11" item="0"/>
          <tpl fld="5" item="5"/>
          <tpl fld="6" item="1"/>
          <tpl hier="236" item="0"/>
          <tpl fld="4" item="3"/>
          <tpl fld="10" item="6"/>
        </tpls>
      </m>
      <n v="30" in="1">
        <tpls c="6">
          <tpl fld="11" item="0"/>
          <tpl fld="5" item="4"/>
          <tpl fld="6" item="1"/>
          <tpl hier="236" item="0"/>
          <tpl fld="4" item="6"/>
          <tpl fld="10" item="1"/>
        </tpls>
      </n>
      <m>
        <tpls c="6">
          <tpl fld="11" item="0"/>
          <tpl fld="5" item="4"/>
          <tpl fld="6" item="2"/>
          <tpl hier="236" item="0"/>
          <tpl fld="4" item="7"/>
          <tpl fld="10" item="6"/>
        </tpls>
      </m>
      <n v="7.2364864864864868" in="2">
        <tpls c="6">
          <tpl fld="11" item="0"/>
          <tpl fld="2" item="4"/>
          <tpl fld="6" item="2"/>
          <tpl hier="236" item="0"/>
          <tpl fld="4" item="4"/>
          <tpl fld="10" item="0"/>
        </tpls>
      </n>
      <n v="4" in="2">
        <tpls c="6">
          <tpl fld="11" item="0"/>
          <tpl fld="2" item="4"/>
          <tpl fld="6" item="2"/>
          <tpl hier="236" item="0"/>
          <tpl fld="4" item="6"/>
          <tpl fld="10" item="4"/>
        </tpls>
      </n>
      <m>
        <tpls c="4">
          <tpl fld="7" item="1234"/>
          <tpl fld="6" item="1"/>
          <tpl hier="236" item="0"/>
          <tpl fld="1" item="0"/>
        </tpls>
      </m>
      <m>
        <tpls c="4">
          <tpl fld="7" item="1174"/>
          <tpl fld="6" item="1"/>
          <tpl hier="236" item="0"/>
          <tpl fld="4" item="5"/>
        </tpls>
      </m>
      <m>
        <tpls c="4">
          <tpl fld="7" item="1204"/>
          <tpl fld="6" item="2"/>
          <tpl hier="236" item="0"/>
          <tpl fld="4" item="5"/>
        </tpls>
      </m>
      <m>
        <tpls c="4">
          <tpl fld="7" item="1172"/>
          <tpl fld="6" item="1"/>
          <tpl hier="236" item="0"/>
          <tpl fld="4" item="6"/>
        </tpls>
      </m>
      <m>
        <tpls c="6">
          <tpl fld="11" item="0"/>
          <tpl fld="5" item="2"/>
          <tpl fld="6" item="2"/>
          <tpl hier="236" item="0"/>
          <tpl fld="4" item="3"/>
          <tpl fld="10" item="1"/>
        </tpls>
      </m>
      <m>
        <tpls c="4">
          <tpl fld="7" item="935"/>
          <tpl fld="6" item="1"/>
          <tpl hier="236" item="0"/>
          <tpl fld="4" item="6"/>
        </tpls>
      </m>
      <m>
        <tpls c="3">
          <tpl fld="7" item="973"/>
          <tpl fld="6" item="3"/>
          <tpl hier="236" item="0"/>
        </tpls>
      </m>
      <n v="0" in="1">
        <tpls c="6">
          <tpl fld="11" item="0"/>
          <tpl fld="5" item="1"/>
          <tpl fld="6" item="1"/>
          <tpl hier="236" item="0"/>
          <tpl fld="4" item="3"/>
          <tpl fld="10" item="5"/>
        </tpls>
      </n>
      <n v="0" in="1">
        <tpls c="6">
          <tpl fld="11" item="0"/>
          <tpl fld="5" item="1"/>
          <tpl fld="6" item="1"/>
          <tpl hier="236" item="0"/>
          <tpl fld="4" item="3"/>
          <tpl fld="10" item="7"/>
        </tpls>
      </n>
      <m>
        <tpls c="4">
          <tpl fld="7" item="1200"/>
          <tpl fld="6" item="2"/>
          <tpl hier="236" item="0"/>
          <tpl fld="4" item="5"/>
        </tpls>
      </m>
      <m>
        <tpls c="4">
          <tpl fld="7" item="969"/>
          <tpl fld="6" item="1"/>
          <tpl hier="236" item="0"/>
          <tpl fld="1" item="0"/>
        </tpls>
      </m>
      <n v="0" in="1">
        <tpls c="4">
          <tpl fld="7" item="1201"/>
          <tpl fld="6" item="1"/>
          <tpl hier="236" item="0"/>
          <tpl fld="4" item="6"/>
        </tpls>
      </n>
      <n v="2" in="1">
        <tpls c="4">
          <tpl fld="7" item="1256"/>
          <tpl fld="6" item="1"/>
          <tpl hier="236" item="0"/>
          <tpl fld="4" item="6"/>
        </tpls>
      </n>
      <m>
        <tpls c="4">
          <tpl fld="7" item="1070"/>
          <tpl fld="6" item="1"/>
          <tpl hier="236" item="0"/>
          <tpl fld="4" item="6"/>
        </tpls>
      </m>
      <n v="3" in="1">
        <tpls c="4">
          <tpl fld="7" item="1236"/>
          <tpl fld="6" item="1"/>
          <tpl hier="236" item="0"/>
          <tpl fld="4" item="6"/>
        </tpls>
      </n>
      <m>
        <tpls c="6">
          <tpl fld="11" item="0"/>
          <tpl fld="2" item="4"/>
          <tpl fld="6" item="1"/>
          <tpl hier="236" item="0"/>
          <tpl fld="4" item="3"/>
          <tpl fld="10" item="6"/>
        </tpls>
      </m>
      <n v="10.67837837837838" in="2">
        <tpls c="5">
          <tpl fld="11" item="0"/>
          <tpl fld="5" item="5"/>
          <tpl fld="6" item="2"/>
          <tpl hier="236" item="0"/>
          <tpl fld="4" item="2"/>
        </tpls>
      </n>
      <n v="3.8" in="2">
        <tpls c="6">
          <tpl fld="11" item="0"/>
          <tpl fld="5" item="5"/>
          <tpl fld="6" item="2"/>
          <tpl hier="236" item="0"/>
          <tpl fld="4" item="3"/>
          <tpl fld="10" item="1"/>
        </tpls>
      </n>
      <n v="1233" in="1">
        <tpls c="6">
          <tpl fld="11" item="0"/>
          <tpl fld="5" item="5"/>
          <tpl fld="6" item="1"/>
          <tpl hier="236" item="0"/>
          <tpl fld="4" item="6"/>
          <tpl fld="10" item="8"/>
        </tpls>
      </n>
      <n v="5" in="2">
        <tpls c="6">
          <tpl fld="11" item="0"/>
          <tpl fld="5" item="5"/>
          <tpl fld="6" item="2"/>
          <tpl hier="236" item="0"/>
          <tpl fld="4" item="6"/>
          <tpl fld="10" item="0"/>
        </tpls>
      </n>
      <m>
        <tpls c="6">
          <tpl fld="11" item="0"/>
          <tpl fld="5" item="1"/>
          <tpl fld="6" item="2"/>
          <tpl hier="236" item="0"/>
          <tpl fld="4" item="3"/>
          <tpl fld="10" item="3"/>
        </tpls>
      </m>
      <n v="2" in="1">
        <tpls c="4">
          <tpl fld="7" item="1139"/>
          <tpl fld="6" item="1"/>
          <tpl hier="236" item="0"/>
          <tpl fld="1" item="0"/>
        </tpls>
      </n>
      <m>
        <tpls c="3">
          <tpl fld="7" item="1074"/>
          <tpl fld="6" item="3"/>
          <tpl hier="236" item="0"/>
        </tpls>
      </m>
      <n v="8.4716216216216207" in="2">
        <tpls c="5">
          <tpl fld="11" item="0"/>
          <tpl fld="5" item="0"/>
          <tpl fld="6" item="2"/>
          <tpl hier="236" item="0"/>
          <tpl fld="4" item="5"/>
        </tpls>
      </n>
      <n v="109" in="1">
        <tpls c="6">
          <tpl fld="11" item="0"/>
          <tpl fld="5" item="1"/>
          <tpl fld="6" item="1"/>
          <tpl hier="236" item="0"/>
          <tpl fld="4" item="6"/>
          <tpl fld="10" item="2"/>
        </tpls>
      </n>
      <n v="6.2858108108108102" in="2">
        <tpls c="5">
          <tpl fld="11" item="0"/>
          <tpl fld="5" item="1"/>
          <tpl fld="6" item="2"/>
          <tpl hier="236" item="0"/>
          <tpl fld="4" item="2"/>
        </tpls>
      </n>
      <m>
        <tpls c="6">
          <tpl fld="11" item="0"/>
          <tpl fld="5" item="3"/>
          <tpl fld="6" item="2"/>
          <tpl hier="236" item="0"/>
          <tpl fld="4" item="7"/>
          <tpl fld="10" item="2"/>
        </tpls>
      </m>
      <n v="11.674594594594595" in="2">
        <tpls c="6">
          <tpl fld="11" item="0"/>
          <tpl fld="2" item="0"/>
          <tpl fld="6" item="2"/>
          <tpl hier="236" item="0"/>
          <tpl fld="4" item="1"/>
          <tpl fld="9" item="1"/>
        </tpls>
      </n>
      <n v="4.7067567567567572" in="2">
        <tpls c="6">
          <tpl fld="11" item="0"/>
          <tpl fld="2" item="0"/>
          <tpl fld="6" item="2"/>
          <tpl hier="236" item="0"/>
          <tpl fld="4" item="4"/>
          <tpl fld="10" item="7"/>
        </tpls>
      </n>
      <n v="0.5" in="2">
        <tpls c="6">
          <tpl fld="11" item="0"/>
          <tpl fld="2" item="0"/>
          <tpl fld="6" item="2"/>
          <tpl hier="236" item="0"/>
          <tpl fld="4" item="6"/>
          <tpl fld="10" item="1"/>
        </tpls>
      </n>
      <m>
        <tpls c="6">
          <tpl fld="11" item="0"/>
          <tpl fld="2" item="0"/>
          <tpl fld="6" item="2"/>
          <tpl hier="236" item="0"/>
          <tpl fld="4" item="3"/>
          <tpl fld="10" item="3"/>
        </tpls>
      </m>
      <m>
        <tpls c="6">
          <tpl fld="11" item="0"/>
          <tpl fld="2" item="0"/>
          <tpl fld="6" item="2"/>
          <tpl hier="236" item="0"/>
          <tpl fld="4" item="7"/>
          <tpl fld="10" item="5"/>
        </tpls>
      </m>
      <m>
        <tpls c="6">
          <tpl fld="11" item="0"/>
          <tpl fld="2" item="2"/>
          <tpl fld="6" item="2"/>
          <tpl hier="236" item="0"/>
          <tpl fld="4" item="7"/>
          <tpl fld="10" item="7"/>
        </tpls>
      </m>
      <m>
        <tpls c="6">
          <tpl fld="3" item="0"/>
          <tpl fld="11" item="0"/>
          <tpl fld="6" item="2"/>
          <tpl hier="236" item="0"/>
          <tpl fld="4" item="1"/>
          <tpl fld="9" item="1"/>
        </tpls>
      </m>
      <m>
        <tpls c="4">
          <tpl fld="7" item="1275"/>
          <tpl fld="6" item="2"/>
          <tpl hier="236" item="0"/>
          <tpl fld="4" item="5"/>
        </tpls>
      </m>
      <n v="1" in="1">
        <tpls c="4">
          <tpl fld="7" item="956"/>
          <tpl fld="6" item="1"/>
          <tpl hier="236" item="0"/>
          <tpl fld="4" item="6"/>
        </tpls>
      </n>
      <n v="57" in="1">
        <tpls c="5">
          <tpl fld="11" item="0"/>
          <tpl fld="2" item="4"/>
          <tpl fld="6" item="1"/>
          <tpl hier="236" item="0"/>
          <tpl fld="4" item="0"/>
        </tpls>
      </n>
      <n v="4.45" in="2">
        <tpls c="6">
          <tpl fld="11" item="0"/>
          <tpl fld="5" item="3"/>
          <tpl fld="6" item="2"/>
          <tpl hier="236" item="0"/>
          <tpl fld="4" item="4"/>
          <tpl fld="10" item="3"/>
        </tpls>
      </n>
      <n v="488" in="1">
        <tpls c="6">
          <tpl fld="11" item="0"/>
          <tpl fld="5" item="3"/>
          <tpl fld="6" item="1"/>
          <tpl hier="236" item="0"/>
          <tpl fld="4" item="6"/>
          <tpl fld="10" item="2"/>
        </tpls>
      </n>
      <n v="32.301351351351357" in="2">
        <tpls c="6">
          <tpl fld="11" item="0"/>
          <tpl fld="5" item="1"/>
          <tpl fld="6" item="2"/>
          <tpl hier="236" item="0"/>
          <tpl fld="4" item="1"/>
          <tpl fld="9" item="2"/>
        </tpls>
      </n>
      <m>
        <tpls c="6">
          <tpl fld="11" item="0"/>
          <tpl fld="5" item="0"/>
          <tpl fld="6" item="2"/>
          <tpl hier="236" item="0"/>
          <tpl fld="4" item="7"/>
          <tpl fld="10" item="2"/>
        </tpls>
      </m>
      <n v="20" in="1">
        <tpls c="6">
          <tpl fld="11" item="0"/>
          <tpl fld="2" item="0"/>
          <tpl fld="6" item="1"/>
          <tpl hier="236" item="0"/>
          <tpl fld="4" item="1"/>
          <tpl fld="9" item="2"/>
        </tpls>
      </n>
      <n v="141" in="1">
        <tpls c="6">
          <tpl fld="11" item="0"/>
          <tpl fld="2" item="0"/>
          <tpl fld="6" item="1"/>
          <tpl hier="236" item="0"/>
          <tpl fld="4" item="6"/>
          <tpl fld="10" item="7"/>
        </tpls>
      </n>
      <m>
        <tpls c="4">
          <tpl fld="7" item="974"/>
          <tpl fld="6" item="1"/>
          <tpl hier="236" item="0"/>
          <tpl fld="4" item="5"/>
        </tpls>
      </m>
      <n v="1" in="1">
        <tpls c="4">
          <tpl fld="7" item="1076"/>
          <tpl fld="6" item="1"/>
          <tpl hier="236" item="0"/>
          <tpl fld="1" item="0"/>
        </tpls>
      </n>
      <m>
        <tpls c="4">
          <tpl fld="7" item="1043"/>
          <tpl fld="6" item="2"/>
          <tpl hier="236" item="0"/>
          <tpl fld="4" item="6"/>
        </tpls>
      </m>
      <m>
        <tpls c="4">
          <tpl fld="7" item="1175"/>
          <tpl fld="6" item="1"/>
          <tpl hier="236" item="0"/>
          <tpl fld="4" item="6"/>
        </tpls>
      </m>
      <n v="10.177972972972972" in="2">
        <tpls c="5">
          <tpl fld="11" item="0"/>
          <tpl fld="5" item="2"/>
          <tpl fld="6" item="2"/>
          <tpl hier="236" item="0"/>
          <tpl fld="4" item="5"/>
        </tpls>
      </n>
      <m>
        <tpls c="3">
          <tpl fld="7" item="1144"/>
          <tpl fld="6" item="3"/>
          <tpl hier="236" item="0"/>
        </tpls>
      </m>
      <m>
        <tpls c="3">
          <tpl fld="7" item="975"/>
          <tpl fld="6" item="3"/>
          <tpl hier="236" item="0"/>
        </tpls>
      </m>
      <n v="136" in="1">
        <tpls c="6">
          <tpl fld="11" item="0"/>
          <tpl fld="5" item="3"/>
          <tpl fld="6" item="1"/>
          <tpl hier="236" item="0"/>
          <tpl fld="4" item="6"/>
          <tpl fld="10" item="3"/>
        </tpls>
      </n>
      <m>
        <tpls c="6">
          <tpl fld="11" item="0"/>
          <tpl fld="5" item="0"/>
          <tpl fld="6" item="2"/>
          <tpl hier="236" item="0"/>
          <tpl fld="4" item="3"/>
          <tpl fld="10" item="7"/>
        </tpls>
      </m>
      <m>
        <tpls c="4">
          <tpl fld="7" item="1234"/>
          <tpl fld="6" item="2"/>
          <tpl hier="236" item="0"/>
          <tpl fld="4" item="5"/>
        </tpls>
      </m>
      <n v="2" in="1">
        <tpls c="4">
          <tpl fld="7" item="1074"/>
          <tpl fld="6" item="1"/>
          <tpl hier="236" item="0"/>
          <tpl fld="4" item="5"/>
        </tpls>
      </n>
      <m>
        <tpls c="4">
          <tpl fld="7" item="1147"/>
          <tpl fld="6" item="1"/>
          <tpl hier="236" item="0"/>
          <tpl fld="4" item="6"/>
        </tpls>
      </m>
      <m>
        <tpls c="3">
          <tpl fld="7" item="955"/>
          <tpl fld="6" item="3"/>
          <tpl hier="236" item="0"/>
        </tpls>
      </m>
      <n v="1" in="1">
        <tpls c="4">
          <tpl fld="7" item="1281"/>
          <tpl fld="6" item="1"/>
          <tpl hier="236" item="0"/>
          <tpl fld="4" item="6"/>
        </tpls>
      </n>
      <m>
        <tpls c="4">
          <tpl fld="7" item="1081"/>
          <tpl fld="6" item="1"/>
          <tpl hier="236" item="0"/>
          <tpl fld="4" item="6"/>
        </tpls>
      </m>
      <m>
        <tpls c="6">
          <tpl fld="11" item="0"/>
          <tpl fld="2" item="1"/>
          <tpl fld="6" item="2"/>
          <tpl hier="236" item="0"/>
          <tpl fld="4" item="7"/>
          <tpl fld="10" item="4"/>
        </tpls>
      </m>
      <n v="2" in="2">
        <tpls c="6">
          <tpl fld="11" item="0"/>
          <tpl fld="5" item="2"/>
          <tpl fld="6" item="2"/>
          <tpl hier="236" item="0"/>
          <tpl fld="4" item="1"/>
          <tpl fld="9" item="0"/>
        </tpls>
      </n>
      <n v="0" in="1">
        <tpls c="6">
          <tpl fld="11" item="0"/>
          <tpl fld="5" item="4"/>
          <tpl fld="6" item="1"/>
          <tpl hier="236" item="0"/>
          <tpl fld="4" item="3"/>
          <tpl fld="10" item="4"/>
        </tpls>
      </n>
      <m>
        <tpls c="6">
          <tpl fld="11" item="0"/>
          <tpl fld="5" item="3"/>
          <tpl fld="6" item="1"/>
          <tpl hier="236" item="0"/>
          <tpl fld="4" item="3"/>
          <tpl fld="10" item="6"/>
        </tpls>
      </m>
      <n v="12.007094594594594" in="2">
        <tpls c="6">
          <tpl fld="11" item="0"/>
          <tpl fld="5" item="4"/>
          <tpl fld="6" item="2"/>
          <tpl hier="236" item="0"/>
          <tpl fld="4" item="6"/>
          <tpl fld="10" item="0"/>
        </tpls>
      </n>
      <n v="0" in="1">
        <tpls c="6">
          <tpl fld="11" item="0"/>
          <tpl fld="5" item="3"/>
          <tpl fld="6" item="1"/>
          <tpl hier="236" item="0"/>
          <tpl fld="4" item="3"/>
          <tpl fld="10" item="3"/>
        </tpls>
      </n>
      <m>
        <tpls c="4">
          <tpl fld="7" item="1059"/>
          <tpl fld="6" item="2"/>
          <tpl hier="236" item="0"/>
          <tpl fld="4" item="6"/>
        </tpls>
      </m>
      <m>
        <tpls c="3">
          <tpl fld="7" item="1076"/>
          <tpl fld="6" item="3"/>
          <tpl hier="236" item="0"/>
        </tpls>
      </m>
      <n v="0.98648648648648651" in="2">
        <tpls c="6">
          <tpl fld="11" item="0"/>
          <tpl fld="5" item="0"/>
          <tpl fld="6" item="2"/>
          <tpl hier="236" item="0"/>
          <tpl fld="4" item="1"/>
          <tpl fld="9" item="3"/>
        </tpls>
      </n>
      <n v="103" in="1">
        <tpls c="6">
          <tpl fld="11" item="0"/>
          <tpl fld="5" item="2"/>
          <tpl fld="6" item="1"/>
          <tpl hier="236" item="0"/>
          <tpl fld="4" item="6"/>
          <tpl fld="10" item="2"/>
        </tpls>
      </n>
      <n v="18.697297297297297" in="2">
        <tpls c="6">
          <tpl fld="11" item="0"/>
          <tpl fld="5" item="1"/>
          <tpl fld="6" item="2"/>
          <tpl hier="236" item="0"/>
          <tpl fld="4" item="4"/>
          <tpl fld="10" item="8"/>
        </tpls>
      </n>
      <m>
        <tpls c="6">
          <tpl fld="11" item="0"/>
          <tpl fld="5" item="4"/>
          <tpl fld="6" item="2"/>
          <tpl hier="236" item="0"/>
          <tpl fld="4" item="7"/>
          <tpl fld="10" item="2"/>
        </tpls>
      </m>
      <n v="77" in="1">
        <tpls c="6">
          <tpl fld="11" item="0"/>
          <tpl fld="2" item="3"/>
          <tpl fld="6" item="1"/>
          <tpl hier="236" item="0"/>
          <tpl fld="4" item="1"/>
          <tpl fld="9" item="2"/>
        </tpls>
      </n>
      <n v="674" in="1">
        <tpls c="6">
          <tpl fld="11" item="0"/>
          <tpl fld="2" item="3"/>
          <tpl fld="6" item="1"/>
          <tpl hier="236" item="0"/>
          <tpl fld="4" item="6"/>
          <tpl fld="10" item="7"/>
        </tpls>
      </n>
      <n v="73" in="1">
        <tpls c="6">
          <tpl fld="11" item="0"/>
          <tpl fld="2" item="3"/>
          <tpl fld="6" item="1"/>
          <tpl hier="236" item="0"/>
          <tpl fld="4" item="7"/>
          <tpl fld="10" item="3"/>
        </tpls>
      </n>
      <n v="1" in="2">
        <tpls c="6">
          <tpl fld="11" item="0"/>
          <tpl fld="2" item="1"/>
          <tpl fld="6" item="2"/>
          <tpl hier="236" item="0"/>
          <tpl fld="4" item="7"/>
          <tpl fld="10" item="7"/>
        </tpls>
      </n>
      <n v="363" in="1">
        <tpls c="6">
          <tpl fld="3" item="4"/>
          <tpl fld="11" item="0"/>
          <tpl fld="6" item="1"/>
          <tpl hier="236" item="0"/>
          <tpl fld="4" item="1"/>
          <tpl fld="9" item="2"/>
        </tpls>
      </n>
      <n v="427" in="1">
        <tpls c="6">
          <tpl fld="3" item="1"/>
          <tpl fld="11" item="0"/>
          <tpl fld="6" item="1"/>
          <tpl hier="236" item="0"/>
          <tpl fld="4" item="3"/>
          <tpl fld="10" item="5"/>
        </tpls>
      </n>
      <m>
        <tpls c="4">
          <tpl fld="7" item="1252"/>
          <tpl fld="6" item="1"/>
          <tpl hier="236" item="0"/>
          <tpl fld="4" item="5"/>
        </tpls>
      </m>
      <m>
        <tpls c="3">
          <tpl fld="7" item="1165"/>
          <tpl fld="6" item="3"/>
          <tpl hier="236" item="0"/>
        </tpls>
      </m>
      <n v="21" in="1">
        <tpls c="6">
          <tpl fld="11" item="0"/>
          <tpl fld="2" item="4"/>
          <tpl fld="6" item="1"/>
          <tpl hier="236" item="0"/>
          <tpl fld="4" item="1"/>
          <tpl fld="9" item="3"/>
        </tpls>
      </n>
      <n v="0.55000000000000004" in="2">
        <tpls c="6">
          <tpl fld="11" item="0"/>
          <tpl fld="5" item="0"/>
          <tpl fld="6" item="2"/>
          <tpl hier="236" item="0"/>
          <tpl fld="4" item="4"/>
          <tpl fld="10" item="4"/>
        </tpls>
      </n>
      <m>
        <tpls c="6">
          <tpl fld="11" item="0"/>
          <tpl fld="5" item="2"/>
          <tpl fld="6" item="1"/>
          <tpl hier="236" item="0"/>
          <tpl fld="4" item="3"/>
          <tpl fld="10" item="2"/>
        </tpls>
      </m>
      <n v="152" in="1">
        <tpls c="6">
          <tpl fld="11" item="0"/>
          <tpl fld="5" item="0"/>
          <tpl fld="6" item="1"/>
          <tpl hier="236" item="0"/>
          <tpl fld="4" item="4"/>
          <tpl fld="10" item="6"/>
        </tpls>
      </n>
      <m>
        <tpls c="6">
          <tpl fld="11" item="0"/>
          <tpl fld="5" item="0"/>
          <tpl fld="6" item="2"/>
          <tpl hier="236" item="0"/>
          <tpl fld="4" item="7"/>
          <tpl fld="10" item="3"/>
        </tpls>
      </m>
      <m>
        <tpls c="6">
          <tpl fld="11" item="0"/>
          <tpl fld="2" item="4"/>
          <tpl fld="6" item="2"/>
          <tpl hier="236" item="0"/>
          <tpl fld="4" item="1"/>
          <tpl fld="9" item="3"/>
        </tpls>
      </m>
      <m>
        <tpls c="6">
          <tpl fld="11" item="0"/>
          <tpl fld="2" item="4"/>
          <tpl fld="6" item="2"/>
          <tpl hier="236" item="0"/>
          <tpl fld="4" item="4"/>
          <tpl fld="10" item="4"/>
        </tpls>
      </m>
      <n v="3.2" in="2">
        <tpls c="6">
          <tpl fld="11" item="0"/>
          <tpl fld="2" item="4"/>
          <tpl fld="6" item="2"/>
          <tpl hier="236" item="0"/>
          <tpl fld="4" item="6"/>
          <tpl fld="10" item="8"/>
        </tpls>
      </n>
      <n v="4.2040540540540547" in="2">
        <tpls c="6">
          <tpl fld="11" item="0"/>
          <tpl fld="2" item="4"/>
          <tpl fld="6" item="2"/>
          <tpl hier="236" item="0"/>
          <tpl fld="4" item="3"/>
          <tpl fld="10" item="7"/>
        </tpls>
      </n>
      <m>
        <tpls c="6">
          <tpl fld="11" item="0"/>
          <tpl fld="2" item="4"/>
          <tpl fld="6" item="2"/>
          <tpl hier="236" item="0"/>
          <tpl fld="4" item="7"/>
          <tpl fld="10" item="1"/>
        </tpls>
      </m>
      <n v="0" in="1">
        <tpls c="6">
          <tpl fld="3" item="4"/>
          <tpl fld="11" item="0"/>
          <tpl fld="6" item="1"/>
          <tpl hier="236" item="0"/>
          <tpl fld="4" item="3"/>
          <tpl fld="10" item="0"/>
        </tpls>
      </n>
      <n v="2" in="2">
        <tpls c="6">
          <tpl fld="11" item="0"/>
          <tpl fld="2" item="4"/>
          <tpl fld="6" item="2"/>
          <tpl hier="236" item="0"/>
          <tpl fld="4" item="4"/>
          <tpl fld="10" item="2"/>
        </tpls>
      </n>
      <n v="9.9037184052302829E-2" in="0">
        <tpls c="5">
          <tpl fld="3" item="2"/>
          <tpl fld="11" item="0"/>
          <tpl fld="6" item="0"/>
          <tpl hier="236" item="0"/>
          <tpl fld="4" item="6"/>
        </tpls>
      </n>
      <n v="1.0714285714285716E-2" in="0">
        <tpls c="5">
          <tpl fld="3" item="3"/>
          <tpl fld="11" item="0"/>
          <tpl fld="6" item="0"/>
          <tpl hier="236" item="0"/>
          <tpl fld="4" item="7"/>
        </tpls>
      </n>
      <n v="8.6018229565598056E-2" in="0">
        <tpls c="5">
          <tpl fld="3" item="2"/>
          <tpl fld="11" item="0"/>
          <tpl fld="6" item="0"/>
          <tpl hier="236" item="0"/>
          <tpl fld="1" item="0"/>
        </tpls>
      </n>
      <n v="3.2967032967032968E-2" in="0">
        <tpls c="5">
          <tpl fld="11" item="0"/>
          <tpl fld="5" item="0"/>
          <tpl fld="6" item="0"/>
          <tpl hier="236" item="0"/>
          <tpl fld="4" item="0"/>
        </tpls>
      </n>
      <m>
        <tpls c="5">
          <tpl fld="11" item="0"/>
          <tpl fld="5" item="2"/>
          <tpl fld="6" item="0"/>
          <tpl hier="236" item="0"/>
          <tpl fld="4" item="7"/>
        </tpls>
      </m>
      <n v="0.22502484101748807" in="0">
        <tpls c="5">
          <tpl fld="3" item="2"/>
          <tpl fld="11" item="0"/>
          <tpl fld="6" item="0"/>
          <tpl hier="236" item="0"/>
          <tpl fld="4" item="0"/>
        </tpls>
      </n>
      <m>
        <tpls c="4">
          <tpl fld="7" item="1069"/>
          <tpl fld="6" item="2"/>
          <tpl hier="236" item="0"/>
          <tpl fld="1" item="0"/>
        </tpls>
      </m>
      <m>
        <tpls c="4">
          <tpl fld="7" item="1174"/>
          <tpl fld="6" item="2"/>
          <tpl hier="236" item="0"/>
          <tpl fld="4" item="5"/>
        </tpls>
      </m>
      <n v="8.8504112808460628E-2" in="0">
        <tpls c="5">
          <tpl fld="11" item="0"/>
          <tpl fld="5" item="2"/>
          <tpl fld="6" item="0"/>
          <tpl hier="236" item="0"/>
          <tpl fld="4" item="5"/>
        </tpls>
      </n>
      <n v="2.8905176362803483E-2" in="0">
        <tpls c="5">
          <tpl fld="3" item="1"/>
          <tpl fld="11" item="0"/>
          <tpl fld="6" item="0"/>
          <tpl hier="236" item="0"/>
          <tpl fld="4" item="2"/>
        </tpls>
      </n>
      <n v="6.3828032087307321E-2" in="0">
        <tpls c="5">
          <tpl fld="11" item="0"/>
          <tpl fld="5" item="2"/>
          <tpl fld="6" item="0"/>
          <tpl hier="236" item="0"/>
          <tpl fld="4" item="4"/>
        </tpls>
      </n>
      <m>
        <tpls c="4">
          <tpl fld="7" item="934"/>
          <tpl fld="6" item="1"/>
          <tpl hier="236" item="0"/>
          <tpl fld="1" item="0"/>
        </tpls>
      </m>
      <m>
        <tpls c="4">
          <tpl fld="7" item="1074"/>
          <tpl fld="6" item="2"/>
          <tpl hier="236" item="0"/>
          <tpl fld="1" item="0"/>
        </tpls>
      </m>
      <m>
        <tpls c="4">
          <tpl fld="7" item="1150"/>
          <tpl fld="6" item="2"/>
          <tpl hier="236" item="0"/>
          <tpl fld="4" item="6"/>
        </tpls>
      </m>
      <m>
        <tpls c="4">
          <tpl fld="7" item="927"/>
          <tpl fld="6" item="2"/>
          <tpl hier="236" item="0"/>
          <tpl fld="4" item="6"/>
        </tpls>
      </m>
      <m>
        <tpls c="4">
          <tpl fld="7" item="965"/>
          <tpl fld="6" item="1"/>
          <tpl hier="236" item="0"/>
          <tpl fld="4" item="5"/>
        </tpls>
      </m>
      <m>
        <tpls c="4">
          <tpl fld="7" item="1200"/>
          <tpl fld="6" item="2"/>
          <tpl hier="236" item="0"/>
          <tpl fld="4" item="6"/>
        </tpls>
      </m>
      <m>
        <tpls c="4">
          <tpl fld="7" item="1147"/>
          <tpl fld="6" item="2"/>
          <tpl hier="236" item="0"/>
          <tpl fld="4" item="6"/>
        </tpls>
      </m>
      <n v="2" in="1">
        <tpls c="4">
          <tpl fld="7" item="1150"/>
          <tpl fld="6" item="1"/>
          <tpl hier="236" item="0"/>
          <tpl fld="1" item="0"/>
        </tpls>
      </n>
      <m>
        <tpls c="4">
          <tpl fld="7" item="1181"/>
          <tpl fld="6" item="2"/>
          <tpl hier="236" item="0"/>
          <tpl fld="4" item="6"/>
        </tpls>
      </m>
      <m>
        <tpls c="4">
          <tpl fld="7" item="951"/>
          <tpl fld="6" item="2"/>
          <tpl hier="236" item="0"/>
          <tpl fld="4" item="6"/>
        </tpls>
      </m>
      <m>
        <tpls c="4">
          <tpl fld="7" item="1078"/>
          <tpl fld="6" item="2"/>
          <tpl hier="236" item="0"/>
          <tpl fld="4" item="6"/>
        </tpls>
      </m>
      <m>
        <tpls c="4">
          <tpl fld="7" item="1255"/>
          <tpl fld="6" item="2"/>
          <tpl hier="236" item="0"/>
          <tpl fld="4" item="6"/>
        </tpls>
      </m>
      <n v="41" in="1">
        <tpls c="4">
          <tpl fld="7" item="1077"/>
          <tpl fld="6" item="1"/>
          <tpl hier="236" item="0"/>
          <tpl fld="1" item="0"/>
        </tpls>
      </n>
      <n v="6" in="1">
        <tpls c="4">
          <tpl fld="7" item="937"/>
          <tpl fld="6" item="1"/>
          <tpl hier="236" item="0"/>
          <tpl fld="1" item="0"/>
        </tpls>
      </n>
      <n v="1" in="1">
        <tpls c="4">
          <tpl fld="7" item="941"/>
          <tpl fld="6" item="1"/>
          <tpl hier="236" item="0"/>
          <tpl fld="4" item="5"/>
        </tpls>
      </n>
      <m>
        <tpls c="4">
          <tpl fld="7" item="1228"/>
          <tpl fld="6" item="1"/>
          <tpl hier="236" item="0"/>
          <tpl fld="4" item="5"/>
        </tpls>
      </m>
      <n v="7" in="1">
        <tpls c="4">
          <tpl fld="7" item="1269"/>
          <tpl fld="6" item="1"/>
          <tpl hier="236" item="0"/>
          <tpl fld="1" item="0"/>
        </tpls>
      </n>
      <n v="3" in="1">
        <tpls c="4">
          <tpl fld="7" item="1055"/>
          <tpl fld="6" item="1"/>
          <tpl hier="236" item="0"/>
          <tpl fld="4" item="5"/>
        </tpls>
      </n>
      <n v="16" in="1">
        <tpls c="4">
          <tpl fld="7" item="1181"/>
          <tpl fld="6" item="1"/>
          <tpl hier="236" item="0"/>
          <tpl fld="1" item="0"/>
        </tpls>
      </n>
      <m>
        <tpls c="4">
          <tpl fld="7" item="1054"/>
          <tpl fld="6" item="2"/>
          <tpl hier="236" item="0"/>
          <tpl fld="4" item="6"/>
        </tpls>
      </m>
      <m>
        <tpls c="4">
          <tpl fld="7" item="1046"/>
          <tpl fld="6" item="2"/>
          <tpl hier="236" item="0"/>
          <tpl fld="1" item="0"/>
        </tpls>
      </m>
      <m>
        <tpls c="4">
          <tpl fld="7" item="1268"/>
          <tpl fld="6" item="2"/>
          <tpl hier="236" item="0"/>
          <tpl fld="1" item="0"/>
        </tpls>
      </m>
      <n v="10" in="1">
        <tpls c="4">
          <tpl fld="7" item="1274"/>
          <tpl fld="6" item="1"/>
          <tpl hier="236" item="0"/>
          <tpl fld="1" item="0"/>
        </tpls>
      </n>
      <n v="1" in="1">
        <tpls c="4">
          <tpl fld="7" item="1159"/>
          <tpl fld="6" item="1"/>
          <tpl hier="236" item="0"/>
          <tpl fld="4" item="5"/>
        </tpls>
      </n>
      <m>
        <tpls c="3">
          <tpl fld="7" item="1224"/>
          <tpl fld="6" item="3"/>
          <tpl hier="236" item="0"/>
        </tpls>
      </m>
      <m>
        <tpls c="4">
          <tpl fld="7" item="1061"/>
          <tpl fld="6" item="2"/>
          <tpl hier="236" item="0"/>
          <tpl fld="4" item="6"/>
        </tpls>
      </m>
      <n v="9" in="1">
        <tpls c="4">
          <tpl fld="7" item="874"/>
          <tpl fld="6" item="1"/>
          <tpl hier="236" item="0"/>
          <tpl fld="4" item="6"/>
        </tpls>
      </n>
      <m>
        <tpls c="4">
          <tpl fld="7" item="956"/>
          <tpl fld="6" item="2"/>
          <tpl hier="236" item="0"/>
          <tpl fld="4" item="6"/>
        </tpls>
      </m>
      <m>
        <tpls c="3">
          <tpl fld="7" item="873"/>
          <tpl fld="6" item="3"/>
          <tpl hier="236" item="0"/>
        </tpls>
      </m>
      <m>
        <tpls c="3">
          <tpl fld="7" item="1268"/>
          <tpl fld="6" item="3"/>
          <tpl hier="236" item="0"/>
        </tpls>
      </m>
      <m>
        <tpls c="3">
          <tpl fld="7" item="952"/>
          <tpl fld="6" item="3"/>
          <tpl hier="236" item="0"/>
        </tpls>
      </m>
      <n v="1" in="2">
        <tpls c="5">
          <tpl fld="11" item="0"/>
          <tpl fld="2" item="4"/>
          <tpl fld="6" item="2"/>
          <tpl hier="236" item="0"/>
          <tpl fld="4" item="5"/>
        </tpls>
      </n>
      <n v="145" in="1">
        <tpls c="6">
          <tpl fld="11" item="0"/>
          <tpl fld="5" item="5"/>
          <tpl fld="6" item="1"/>
          <tpl hier="236" item="0"/>
          <tpl fld="4" item="6"/>
          <tpl fld="10" item="5"/>
        </tpls>
      </n>
      <m>
        <tpls c="4">
          <tpl fld="7" item="1173"/>
          <tpl fld="6" item="2"/>
          <tpl hier="236" item="0"/>
          <tpl fld="4" item="5"/>
        </tpls>
      </m>
      <n v="0" in="1">
        <tpls c="4">
          <tpl fld="7" item="945"/>
          <tpl fld="6" item="1"/>
          <tpl hier="236" item="0"/>
          <tpl fld="1" item="0"/>
        </tpls>
      </n>
      <m>
        <tpls c="3">
          <tpl fld="7" item="1135"/>
          <tpl fld="6" item="3"/>
          <tpl hier="236" item="0"/>
        </tpls>
      </m>
      <n v="51" in="1">
        <tpls c="4">
          <tpl fld="7" item="971"/>
          <tpl fld="6" item="1"/>
          <tpl hier="236" item="0"/>
          <tpl fld="1" item="0"/>
        </tpls>
      </n>
      <m>
        <tpls c="4">
          <tpl fld="7" item="977"/>
          <tpl fld="6" item="1"/>
          <tpl hier="236" item="0"/>
          <tpl fld="4" item="6"/>
        </tpls>
      </m>
      <m>
        <tpls c="6">
          <tpl fld="11" item="0"/>
          <tpl fld="5" item="1"/>
          <tpl fld="6" item="1"/>
          <tpl hier="236" item="0"/>
          <tpl fld="4" item="3"/>
          <tpl fld="10" item="6"/>
        </tpls>
      </m>
      <m>
        <tpls c="4">
          <tpl fld="7" item="1050"/>
          <tpl fld="6" item="1"/>
          <tpl hier="236" item="0"/>
          <tpl fld="4" item="6"/>
        </tpls>
      </m>
      <m>
        <tpls c="6">
          <tpl fld="3" item="0"/>
          <tpl fld="11" item="0"/>
          <tpl fld="6" item="2"/>
          <tpl hier="236" item="0"/>
          <tpl fld="4" item="6"/>
          <tpl fld="10" item="1"/>
        </tpls>
      </m>
      <m>
        <tpls c="4">
          <tpl fld="7" item="1236"/>
          <tpl fld="6" item="2"/>
          <tpl hier="236" item="0"/>
          <tpl fld="1" item="0"/>
        </tpls>
      </m>
      <m>
        <tpls c="4">
          <tpl fld="7" item="947"/>
          <tpl fld="6" item="2"/>
          <tpl hier="236" item="0"/>
          <tpl fld="4" item="6"/>
        </tpls>
      </m>
      <m>
        <tpls c="3">
          <tpl fld="7" item="1033"/>
          <tpl fld="6" item="3"/>
          <tpl hier="236" item="0"/>
        </tpls>
      </m>
      <m>
        <tpls c="4">
          <tpl fld="7" item="1076"/>
          <tpl fld="6" item="1"/>
          <tpl hier="236" item="0"/>
          <tpl fld="4" item="5"/>
        </tpls>
      </m>
      <n v="45.34587837837838" in="2">
        <tpls c="5">
          <tpl fld="11" item="0"/>
          <tpl fld="6" item="2"/>
          <tpl fld="8" item="1"/>
          <tpl hier="236" item="0"/>
          <tpl fld="4" item="5"/>
        </tpls>
      </n>
      <m>
        <tpls c="6">
          <tpl fld="11" item="0"/>
          <tpl fld="5" item="5"/>
          <tpl fld="6" item="2"/>
          <tpl hier="236" item="0"/>
          <tpl fld="4" item="1"/>
          <tpl fld="9" item="0"/>
        </tpls>
      </m>
      <n v="47.183851351351343" in="2">
        <tpls c="6">
          <tpl fld="11" item="0"/>
          <tpl fld="5" item="4"/>
          <tpl fld="6" item="2"/>
          <tpl hier="236" item="0"/>
          <tpl fld="4" item="1"/>
          <tpl fld="9" item="4"/>
        </tpls>
      </n>
      <n v="2.8" in="2">
        <tpls c="6">
          <tpl fld="11" item="0"/>
          <tpl fld="5" item="5"/>
          <tpl fld="6" item="2"/>
          <tpl hier="236" item="0"/>
          <tpl fld="4" item="7"/>
          <tpl fld="10" item="7"/>
        </tpls>
      </n>
      <m>
        <tpls c="4">
          <tpl fld="7" item="1071"/>
          <tpl fld="6" item="1"/>
          <tpl hier="236" item="0"/>
          <tpl fld="4" item="5"/>
        </tpls>
      </m>
      <n v="1" in="1">
        <tpls c="4">
          <tpl fld="7" item="939"/>
          <tpl fld="6" item="1"/>
          <tpl hier="236" item="0"/>
          <tpl fld="4" item="6"/>
        </tpls>
      </n>
      <n v="1" in="1">
        <tpls c="4">
          <tpl fld="7" item="1056"/>
          <tpl fld="6" item="1"/>
          <tpl hier="236" item="0"/>
          <tpl fld="4" item="6"/>
        </tpls>
      </n>
      <m>
        <tpls c="3">
          <tpl fld="7" item="966"/>
          <tpl fld="6" item="3"/>
          <tpl hier="236" item="0"/>
        </tpls>
      </m>
      <m>
        <tpls c="3">
          <tpl fld="7" item="976"/>
          <tpl fld="6" item="3"/>
          <tpl hier="236" item="0"/>
        </tpls>
      </m>
      <n v="13" in="1">
        <tpls c="6">
          <tpl fld="11" item="0"/>
          <tpl fld="2" item="4"/>
          <tpl fld="6" item="1"/>
          <tpl hier="236" item="0"/>
          <tpl fld="4" item="7"/>
          <tpl fld="10" item="0"/>
        </tpls>
      </n>
      <n v="0.3" in="2">
        <tpls c="6">
          <tpl fld="11" item="0"/>
          <tpl fld="5" item="3"/>
          <tpl fld="6" item="2"/>
          <tpl hier="236" item="0"/>
          <tpl fld="4" item="4"/>
          <tpl fld="10" item="5"/>
        </tpls>
      </n>
      <n v="2.2549887810213214E-2" in="0">
        <tpls c="5">
          <tpl fld="11" item="0"/>
          <tpl fld="2" item="2"/>
          <tpl fld="6" item="0"/>
          <tpl hier="236" item="0"/>
          <tpl fld="1" item="0"/>
        </tpls>
      </n>
      <m>
        <tpls c="4">
          <tpl fld="7" item="978"/>
          <tpl fld="6" item="2"/>
          <tpl hier="236" item="0"/>
          <tpl fld="1" item="0"/>
        </tpls>
      </m>
      <m>
        <tpls c="4">
          <tpl fld="7" item="1038"/>
          <tpl fld="6" item="2"/>
          <tpl hier="236" item="0"/>
          <tpl fld="4" item="6"/>
        </tpls>
      </m>
      <m>
        <tpls c="3">
          <tpl fld="7" item="1134"/>
          <tpl fld="6" item="3"/>
          <tpl hier="236" item="0"/>
        </tpls>
      </m>
      <m>
        <tpls c="4">
          <tpl fld="7" item="1258"/>
          <tpl fld="6" item="1"/>
          <tpl hier="236" item="0"/>
          <tpl fld="4" item="5"/>
        </tpls>
      </m>
      <n v="29" in="1">
        <tpls c="4">
          <tpl fld="7" item="1154"/>
          <tpl fld="6" item="1"/>
          <tpl hier="236" item="0"/>
          <tpl fld="1" item="0"/>
        </tpls>
      </n>
      <n v="1" in="1">
        <tpls c="4">
          <tpl fld="7" item="1078"/>
          <tpl fld="6" item="1"/>
          <tpl hier="236" item="0"/>
          <tpl fld="1" item="0"/>
        </tpls>
      </n>
      <m>
        <tpls c="3">
          <tpl fld="7" item="1039"/>
          <tpl fld="6" item="3"/>
          <tpl hier="236" item="0"/>
        </tpls>
      </m>
      <m>
        <tpls c="3">
          <tpl fld="7" item="1055"/>
          <tpl fld="6" item="3"/>
          <tpl hier="236" item="0"/>
        </tpls>
      </m>
      <n v="39" in="1">
        <tpls c="4">
          <tpl fld="7" item="1054"/>
          <tpl fld="6" item="1"/>
          <tpl hier="236" item="0"/>
          <tpl fld="1" item="0"/>
        </tpls>
      </n>
      <m>
        <tpls c="4">
          <tpl fld="7" item="1279"/>
          <tpl fld="6" item="1"/>
          <tpl hier="236" item="0"/>
          <tpl fld="4" item="6"/>
        </tpls>
      </m>
      <m>
        <tpls c="3">
          <tpl fld="7" item="956"/>
          <tpl fld="6" item="3"/>
          <tpl hier="236" item="0"/>
        </tpls>
      </m>
      <n v="8" in="1">
        <tpls c="4">
          <tpl fld="7" item="1177"/>
          <tpl fld="6" item="1"/>
          <tpl hier="236" item="0"/>
          <tpl fld="4" item="6"/>
        </tpls>
      </n>
      <n v="4.25" in="2">
        <tpls c="6">
          <tpl fld="11" item="0"/>
          <tpl fld="5" item="2"/>
          <tpl fld="6" item="2"/>
          <tpl hier="236" item="0"/>
          <tpl fld="4" item="1"/>
          <tpl fld="9" item="2"/>
        </tpls>
      </n>
      <n v="564" in="1">
        <tpls c="6">
          <tpl fld="11" item="0"/>
          <tpl fld="5" item="5"/>
          <tpl fld="6" item="1"/>
          <tpl hier="236" item="0"/>
          <tpl fld="4" item="1"/>
          <tpl fld="9" item="4"/>
        </tpls>
      </n>
      <n v="5" in="1">
        <tpls c="4">
          <tpl fld="7" item="970"/>
          <tpl fld="6" item="1"/>
          <tpl hier="236" item="0"/>
          <tpl fld="1" item="0"/>
        </tpls>
      </n>
      <m>
        <tpls c="3">
          <tpl fld="7" item="1146"/>
          <tpl fld="6" item="3"/>
          <tpl hier="236" item="0"/>
        </tpls>
      </m>
      <n v="1" in="1">
        <tpls c="4">
          <tpl fld="7" item="953"/>
          <tpl fld="6" item="1"/>
          <tpl hier="236" item="0"/>
          <tpl fld="4" item="6"/>
        </tpls>
      </n>
      <m>
        <tpls c="3">
          <tpl fld="7" item="1173"/>
          <tpl fld="6" item="3"/>
          <tpl hier="236" item="0"/>
        </tpls>
      </m>
      <m>
        <tpls c="3">
          <tpl fld="7" item="1183"/>
          <tpl fld="6" item="3"/>
          <tpl hier="236" item="0"/>
        </tpls>
      </m>
      <n v="3.55" in="2">
        <tpls c="6">
          <tpl fld="11" item="0"/>
          <tpl fld="2" item="4"/>
          <tpl fld="6" item="2"/>
          <tpl hier="236" item="0"/>
          <tpl fld="4" item="7"/>
          <tpl fld="10" item="8"/>
        </tpls>
      </n>
      <n v="193" in="1">
        <tpls c="6">
          <tpl fld="11" item="0"/>
          <tpl fld="5" item="0"/>
          <tpl fld="6" item="1"/>
          <tpl hier="236" item="0"/>
          <tpl fld="4" item="4"/>
          <tpl fld="10" item="5"/>
        </tpls>
      </n>
      <n v="31.871621621621621" in="2">
        <tpls c="5">
          <tpl fld="11" item="0"/>
          <tpl fld="5" item="1"/>
          <tpl fld="6" item="2"/>
          <tpl hier="236" item="0"/>
          <tpl fld="4" item="5"/>
        </tpls>
      </n>
      <m>
        <tpls c="6">
          <tpl fld="11" item="0"/>
          <tpl fld="5" item="4"/>
          <tpl fld="6" item="2"/>
          <tpl hier="236" item="0"/>
          <tpl fld="4" item="3"/>
          <tpl fld="10" item="8"/>
        </tpls>
      </m>
      <n v="7" in="1">
        <tpls c="4">
          <tpl fld="7" item="1143"/>
          <tpl fld="6" item="1"/>
          <tpl hier="236" item="0"/>
          <tpl fld="1" item="0"/>
        </tpls>
      </n>
      <n v="63" in="1">
        <tpls c="4">
          <tpl fld="7" item="973"/>
          <tpl fld="6" item="1"/>
          <tpl hier="236" item="0"/>
          <tpl fld="1" item="0"/>
        </tpls>
      </n>
      <m>
        <tpls c="3">
          <tpl fld="7" item="941"/>
          <tpl fld="6" item="3"/>
          <tpl hier="236" item="0"/>
        </tpls>
      </m>
      <m>
        <tpls c="3">
          <tpl fld="7" item="957"/>
          <tpl fld="6" item="3"/>
          <tpl hier="236" item="0"/>
        </tpls>
      </m>
      <n v="1" in="1">
        <tpls c="4">
          <tpl fld="7" item="1208"/>
          <tpl fld="6" item="1"/>
          <tpl hier="236" item="0"/>
          <tpl fld="4" item="6"/>
        </tpls>
      </n>
      <n v="1033" in="1">
        <tpls c="5">
          <tpl fld="11" item="0"/>
          <tpl fld="6" item="1"/>
          <tpl fld="8" item="1"/>
          <tpl hier="236" item="0"/>
          <tpl fld="4" item="5"/>
        </tpls>
      </n>
      <n v="112" in="1">
        <tpls c="6">
          <tpl fld="11" item="0"/>
          <tpl fld="2" item="4"/>
          <tpl fld="6" item="1"/>
          <tpl hier="236" item="0"/>
          <tpl fld="4" item="6"/>
          <tpl fld="10" item="0"/>
        </tpls>
      </n>
      <n v="4.2" in="2">
        <tpls c="6">
          <tpl fld="11" item="0"/>
          <tpl fld="5" item="5"/>
          <tpl fld="6" item="2"/>
          <tpl hier="236" item="0"/>
          <tpl fld="4" item="1"/>
          <tpl fld="9" item="2"/>
        </tpls>
      </n>
      <n v="1156" in="1">
        <tpls c="6">
          <tpl fld="11" item="0"/>
          <tpl fld="5" item="5"/>
          <tpl fld="6" item="1"/>
          <tpl hier="236" item="0"/>
          <tpl fld="4" item="3"/>
          <tpl fld="10" item="4"/>
        </tpls>
      </n>
      <n v="15" in="1">
        <tpls c="6">
          <tpl fld="11" item="0"/>
          <tpl fld="5" item="2"/>
          <tpl fld="6" item="1"/>
          <tpl hier="236" item="0"/>
          <tpl fld="4" item="6"/>
          <tpl fld="10" item="5"/>
        </tpls>
      </n>
      <n v="0" in="1">
        <tpls c="6">
          <tpl fld="11" item="0"/>
          <tpl fld="5" item="4"/>
          <tpl fld="6" item="1"/>
          <tpl hier="236" item="0"/>
          <tpl fld="4" item="7"/>
          <tpl fld="10" item="7"/>
        </tpls>
      </n>
      <n v="162" in="1">
        <tpls c="6">
          <tpl fld="11" item="0"/>
          <tpl fld="5" item="2"/>
          <tpl fld="6" item="1"/>
          <tpl hier="236" item="0"/>
          <tpl fld="4" item="6"/>
          <tpl fld="10" item="7"/>
        </tpls>
      </n>
      <n v="0" in="1">
        <tpls c="6">
          <tpl fld="11" item="0"/>
          <tpl fld="5" item="4"/>
          <tpl fld="6" item="1"/>
          <tpl hier="236" item="0"/>
          <tpl fld="4" item="7"/>
          <tpl fld="10" item="5"/>
        </tpls>
      </n>
      <n v="18.998918918918921" in="2">
        <tpls c="6">
          <tpl fld="11" item="0"/>
          <tpl fld="5" item="5"/>
          <tpl fld="6" item="2"/>
          <tpl hier="236" item="0"/>
          <tpl fld="4" item="3"/>
          <tpl fld="10" item="7"/>
        </tpls>
      </n>
      <n v="0" in="1">
        <tpls c="4">
          <tpl fld="7" item="950"/>
          <tpl fld="6" item="1"/>
          <tpl hier="236" item="0"/>
          <tpl fld="4" item="6"/>
        </tpls>
      </n>
      <n v="35" in="1">
        <tpls c="4">
          <tpl fld="7" item="872"/>
          <tpl fld="6" item="1"/>
          <tpl hier="236" item="0"/>
          <tpl fld="1" item="0"/>
        </tpls>
      </n>
      <m>
        <tpls c="4">
          <tpl fld="7" item="1067"/>
          <tpl fld="6" item="2"/>
          <tpl hier="236" item="0"/>
          <tpl fld="4" item="6"/>
        </tpls>
      </m>
      <m>
        <tpls c="3">
          <tpl fld="7" item="1200"/>
          <tpl fld="6" item="3"/>
          <tpl hier="236" item="0"/>
        </tpls>
      </m>
      <m>
        <tpls c="4">
          <tpl fld="7" item="1142"/>
          <tpl fld="6" item="1"/>
          <tpl hier="236" item="0"/>
          <tpl fld="4" item="6"/>
        </tpls>
      </m>
      <n v="351" in="1">
        <tpls c="6">
          <tpl fld="11" item="0"/>
          <tpl fld="2" item="4"/>
          <tpl fld="6" item="1"/>
          <tpl hier="236" item="0"/>
          <tpl fld="4" item="4"/>
          <tpl fld="10" item="7"/>
        </tpls>
      </n>
      <n v="6.3500000000000005" in="2">
        <tpls c="5">
          <tpl fld="11" item="0"/>
          <tpl fld="5" item="5"/>
          <tpl fld="6" item="2"/>
          <tpl hier="236" item="0"/>
          <tpl fld="4" item="0"/>
        </tpls>
      </n>
      <m>
        <tpls c="3">
          <tpl fld="7" item="1160"/>
          <tpl fld="6" item="3"/>
          <tpl hier="236" item="0"/>
        </tpls>
      </m>
      <n v="7.0500000000000007" in="2">
        <tpls c="6">
          <tpl fld="11" item="0"/>
          <tpl fld="2" item="1"/>
          <tpl fld="6" item="2"/>
          <tpl hier="236" item="0"/>
          <tpl fld="4" item="7"/>
          <tpl fld="10" item="2"/>
        </tpls>
      </n>
      <n v="62" in="1">
        <tpls c="6">
          <tpl fld="11" item="0"/>
          <tpl fld="5" item="1"/>
          <tpl fld="6" item="1"/>
          <tpl hier="236" item="0"/>
          <tpl fld="4" item="4"/>
          <tpl fld="10" item="3"/>
        </tpls>
      </n>
      <n v="0" in="1">
        <tpls c="6">
          <tpl fld="11" item="0"/>
          <tpl fld="5" item="0"/>
          <tpl fld="6" item="1"/>
          <tpl hier="236" item="0"/>
          <tpl fld="4" item="7"/>
          <tpl fld="10" item="3"/>
        </tpls>
      </n>
      <m>
        <tpls c="4">
          <tpl fld="7" item="1055"/>
          <tpl fld="6" item="2"/>
          <tpl hier="236" item="0"/>
          <tpl fld="4" item="6"/>
        </tpls>
      </m>
      <n v="2" in="1">
        <tpls c="4">
          <tpl fld="7" item="1138"/>
          <tpl fld="6" item="1"/>
          <tpl hier="236" item="0"/>
          <tpl fld="4" item="6"/>
        </tpls>
      </n>
      <m>
        <tpls c="4">
          <tpl fld="7" item="1254"/>
          <tpl fld="6" item="1"/>
          <tpl hier="236" item="0"/>
          <tpl fld="4" item="6"/>
        </tpls>
      </m>
      <m>
        <tpls c="4">
          <tpl fld="7" item="1064"/>
          <tpl fld="6" item="1"/>
          <tpl hier="236" item="0"/>
          <tpl fld="4" item="6"/>
        </tpls>
      </m>
      <n v="35" in="1">
        <tpls c="4">
          <tpl fld="7" item="1285"/>
          <tpl fld="6" item="1"/>
          <tpl hier="236" item="0"/>
          <tpl fld="4" item="6"/>
        </tpls>
      </n>
      <n v="8.75" in="2">
        <tpls c="6">
          <tpl fld="11" item="0"/>
          <tpl fld="6" item="2"/>
          <tpl fld="8" item="0"/>
          <tpl hier="236" item="0"/>
          <tpl fld="4" item="7"/>
          <tpl fld="10" item="3"/>
        </tpls>
      </n>
      <n v="0" in="1">
        <tpls c="6">
          <tpl fld="11" item="0"/>
          <tpl fld="5" item="3"/>
          <tpl fld="6" item="1"/>
          <tpl hier="236" item="0"/>
          <tpl fld="4" item="3"/>
          <tpl fld="10" item="1"/>
        </tpls>
      </n>
      <n v="34.400000000000006" in="2">
        <tpls c="6">
          <tpl fld="11" item="0"/>
          <tpl fld="5" item="5"/>
          <tpl fld="6" item="2"/>
          <tpl hier="236" item="0"/>
          <tpl fld="4" item="4"/>
          <tpl fld="10" item="8"/>
        </tpls>
      </n>
      <n v="40" in="1">
        <tpls c="6">
          <tpl fld="11" item="0"/>
          <tpl fld="5" item="4"/>
          <tpl fld="6" item="1"/>
          <tpl hier="236" item="0"/>
          <tpl fld="4" item="1"/>
          <tpl fld="9" item="3"/>
        </tpls>
      </n>
      <m>
        <tpls c="6">
          <tpl fld="11" item="0"/>
          <tpl fld="5" item="0"/>
          <tpl fld="6" item="2"/>
          <tpl hier="236" item="0"/>
          <tpl fld="4" item="7"/>
          <tpl fld="10" item="6"/>
        </tpls>
      </m>
      <n v="7.6999999999999993" in="2">
        <tpls c="6">
          <tpl fld="11" item="0"/>
          <tpl fld="5" item="5"/>
          <tpl fld="6" item="2"/>
          <tpl hier="236" item="0"/>
          <tpl fld="4" item="6"/>
          <tpl fld="10" item="2"/>
        </tpls>
      </n>
      <n v="122.91702702702703" in="2">
        <tpls c="6">
          <tpl fld="11" item="0"/>
          <tpl fld="5" item="1"/>
          <tpl fld="6" item="2"/>
          <tpl hier="236" item="0"/>
          <tpl fld="4" item="4"/>
          <tpl fld="10" item="0"/>
        </tpls>
      </n>
      <m>
        <tpls c="4">
          <tpl fld="7" item="942"/>
          <tpl fld="6" item="1"/>
          <tpl hier="236" item="0"/>
          <tpl fld="4" item="6"/>
        </tpls>
      </m>
      <n v="1" in="2">
        <tpls c="6">
          <tpl fld="11" item="0"/>
          <tpl fld="2" item="0"/>
          <tpl fld="6" item="2"/>
          <tpl hier="236" item="0"/>
          <tpl fld="4" item="7"/>
          <tpl fld="10" item="2"/>
        </tpls>
      </n>
      <n v="0" in="1">
        <tpls c="6">
          <tpl fld="11" item="0"/>
          <tpl fld="5" item="0"/>
          <tpl fld="6" item="1"/>
          <tpl hier="236" item="0"/>
          <tpl fld="4" item="7"/>
          <tpl fld="10" item="7"/>
        </tpls>
      </n>
      <n v="7.7435810810810821" in="2">
        <tpls c="6">
          <tpl fld="11" item="0"/>
          <tpl fld="5" item="0"/>
          <tpl fld="6" item="2"/>
          <tpl hier="236" item="0"/>
          <tpl fld="4" item="4"/>
          <tpl fld="10" item="7"/>
        </tpls>
      </n>
      <m>
        <tpls c="6">
          <tpl fld="11" item="0"/>
          <tpl fld="5" item="5"/>
          <tpl fld="6" item="2"/>
          <tpl hier="236" item="0"/>
          <tpl fld="4" item="7"/>
          <tpl fld="10" item="6"/>
        </tpls>
      </m>
      <n v="1.75" in="2">
        <tpls c="6">
          <tpl fld="11" item="0"/>
          <tpl fld="5" item="0"/>
          <tpl fld="6" item="2"/>
          <tpl hier="236" item="0"/>
          <tpl fld="4" item="6"/>
          <tpl fld="10" item="6"/>
        </tpls>
      </n>
      <n v="73" in="1">
        <tpls c="6">
          <tpl fld="11" item="0"/>
          <tpl fld="2" item="3"/>
          <tpl fld="6" item="1"/>
          <tpl hier="236" item="0"/>
          <tpl fld="4" item="4"/>
          <tpl fld="10" item="6"/>
        </tpls>
      </n>
      <n v="437" in="1">
        <tpls c="6">
          <tpl fld="11" item="0"/>
          <tpl fld="2" item="3"/>
          <tpl fld="6" item="1"/>
          <tpl hier="236" item="0"/>
          <tpl fld="4" item="6"/>
          <tpl fld="10" item="0"/>
        </tpls>
      </n>
      <n v="607" in="1">
        <tpls c="6">
          <tpl fld="11" item="0"/>
          <tpl fld="2" item="3"/>
          <tpl fld="6" item="1"/>
          <tpl hier="236" item="0"/>
          <tpl fld="4" item="6"/>
          <tpl fld="10" item="2"/>
        </tpls>
      </n>
      <n v="369" in="1">
        <tpls c="6">
          <tpl fld="11" item="0"/>
          <tpl fld="2" item="3"/>
          <tpl fld="6" item="1"/>
          <tpl hier="236" item="0"/>
          <tpl fld="4" item="3"/>
          <tpl fld="10" item="4"/>
        </tpls>
      </n>
      <n v="0.64999999999999991" in="2">
        <tpls c="6">
          <tpl fld="11" item="0"/>
          <tpl fld="2" item="0"/>
          <tpl fld="6" item="2"/>
          <tpl hier="236" item="0"/>
          <tpl fld="4" item="7"/>
          <tpl fld="10" item="4"/>
        </tpls>
      </n>
      <n v="101" in="1">
        <tpls c="6">
          <tpl fld="11" item="0"/>
          <tpl fld="2" item="2"/>
          <tpl fld="6" item="1"/>
          <tpl hier="236" item="0"/>
          <tpl fld="4" item="3"/>
          <tpl fld="10" item="0"/>
        </tpls>
      </n>
      <n v="2288" in="1">
        <tpls c="6">
          <tpl fld="3" item="4"/>
          <tpl fld="11" item="0"/>
          <tpl fld="6" item="1"/>
          <tpl hier="236" item="0"/>
          <tpl fld="4" item="4"/>
          <tpl fld="10" item="8"/>
        </tpls>
      </n>
      <m>
        <tpls c="6">
          <tpl fld="3" item="1"/>
          <tpl fld="11" item="0"/>
          <tpl fld="6" item="1"/>
          <tpl hier="236" item="0"/>
          <tpl fld="4" item="7"/>
          <tpl fld="10" item="6"/>
        </tpls>
      </m>
      <n v="892" in="1">
        <tpls c="6">
          <tpl fld="3" item="4"/>
          <tpl fld="11" item="0"/>
          <tpl fld="6" item="1"/>
          <tpl hier="236" item="0"/>
          <tpl fld="4" item="4"/>
          <tpl fld="10" item="3"/>
        </tpls>
      </n>
      <n v="1" in="1">
        <tpls c="4">
          <tpl fld="7" item="1199"/>
          <tpl fld="6" item="1"/>
          <tpl hier="236" item="0"/>
          <tpl fld="4" item="6"/>
        </tpls>
      </n>
      <m>
        <tpls c="3">
          <tpl fld="7" item="1285"/>
          <tpl fld="6" item="3"/>
          <tpl hier="236" item="0"/>
        </tpls>
      </m>
      <n v="145" in="1">
        <tpls c="5">
          <tpl fld="11" item="0"/>
          <tpl fld="5" item="3"/>
          <tpl fld="6" item="1"/>
          <tpl hier="236" item="0"/>
          <tpl fld="4" item="0"/>
        </tpls>
      </n>
      <n v="1" in="2">
        <tpls c="5">
          <tpl fld="11" item="0"/>
          <tpl fld="5" item="4"/>
          <tpl fld="6" item="2"/>
          <tpl hier="236" item="0"/>
          <tpl fld="4" item="2"/>
        </tpls>
      </n>
      <m>
        <tpls c="6">
          <tpl fld="11" item="0"/>
          <tpl fld="5" item="1"/>
          <tpl fld="6" item="1"/>
          <tpl hier="236" item="0"/>
          <tpl fld="4" item="3"/>
          <tpl fld="10" item="3"/>
        </tpls>
      </m>
      <n v="287" in="1">
        <tpls c="6">
          <tpl fld="11" item="0"/>
          <tpl fld="5" item="5"/>
          <tpl fld="6" item="1"/>
          <tpl hier="236" item="0"/>
          <tpl fld="4" item="6"/>
          <tpl fld="10" item="3"/>
        </tpls>
      </n>
      <n v="89.006418918918925" in="2">
        <tpls c="5">
          <tpl fld="11" item="0"/>
          <tpl fld="5" item="0"/>
          <tpl fld="6" item="2"/>
          <tpl hier="236" item="0"/>
          <tpl fld="1" item="0"/>
        </tpls>
      </n>
      <m>
        <tpls c="6">
          <tpl fld="11" item="0"/>
          <tpl fld="2" item="4"/>
          <tpl fld="6" item="2"/>
          <tpl hier="236" item="0"/>
          <tpl fld="4" item="4"/>
          <tpl fld="10" item="5"/>
        </tpls>
      </m>
      <m>
        <tpls c="6">
          <tpl fld="11" item="0"/>
          <tpl fld="2" item="4"/>
          <tpl fld="6" item="2"/>
          <tpl hier="236" item="0"/>
          <tpl fld="4" item="6"/>
          <tpl fld="10" item="6"/>
        </tpls>
      </m>
      <m>
        <tpls c="4">
          <tpl fld="7" item="1165"/>
          <tpl fld="6" item="2"/>
          <tpl hier="236" item="0"/>
          <tpl fld="1" item="0"/>
        </tpls>
      </m>
      <n v="1" in="1">
        <tpls c="4">
          <tpl fld="7" item="1201"/>
          <tpl fld="6" item="1"/>
          <tpl hier="236" item="0"/>
          <tpl fld="4" item="5"/>
        </tpls>
      </n>
      <m>
        <tpls c="3">
          <tpl fld="7" item="874"/>
          <tpl fld="6" item="3"/>
          <tpl hier="236" item="0"/>
        </tpls>
      </m>
      <m>
        <tpls c="4">
          <tpl fld="7" item="1072"/>
          <tpl fld="6" item="1"/>
          <tpl hier="236" item="0"/>
          <tpl fld="4" item="5"/>
        </tpls>
      </m>
      <n v="1" in="1">
        <tpls c="4">
          <tpl fld="7" item="1183"/>
          <tpl fld="6" item="1"/>
          <tpl hier="236" item="0"/>
          <tpl fld="4" item="6"/>
        </tpls>
      </n>
      <n v="130" in="1">
        <tpls c="6">
          <tpl fld="11" item="0"/>
          <tpl fld="5" item="2"/>
          <tpl fld="6" item="1"/>
          <tpl hier="236" item="0"/>
          <tpl fld="4" item="6"/>
          <tpl fld="10" item="8"/>
        </tpls>
      </n>
      <m>
        <tpls c="3">
          <tpl fld="7" item="1152"/>
          <tpl fld="6" item="3"/>
          <tpl hier="236" item="0"/>
        </tpls>
      </m>
      <m>
        <tpls c="6">
          <tpl fld="3" item="4"/>
          <tpl fld="11" item="0"/>
          <tpl fld="6" item="2"/>
          <tpl hier="236" item="0"/>
          <tpl fld="4" item="7"/>
          <tpl fld="10" item="1"/>
        </tpls>
      </m>
      <n v="1.7" in="2">
        <tpls c="6">
          <tpl fld="11" item="0"/>
          <tpl fld="5" item="0"/>
          <tpl fld="6" item="2"/>
          <tpl hier="236" item="0"/>
          <tpl fld="4" item="1"/>
          <tpl fld="9" item="4"/>
        </tpls>
      </n>
      <m>
        <tpls c="6">
          <tpl fld="11" item="0"/>
          <tpl fld="5" item="4"/>
          <tpl fld="6" item="2"/>
          <tpl hier="236" item="0"/>
          <tpl fld="4" item="7"/>
          <tpl fld="10" item="0"/>
        </tpls>
      </m>
      <m>
        <tpls c="4">
          <tpl fld="7" item="1253"/>
          <tpl fld="6" item="1"/>
          <tpl hier="236" item="0"/>
          <tpl fld="4" item="5"/>
        </tpls>
      </m>
      <m>
        <tpls c="4">
          <tpl fld="7" item="1210"/>
          <tpl fld="6" item="2"/>
          <tpl hier="236" item="0"/>
          <tpl fld="4" item="6"/>
        </tpls>
      </m>
      <m>
        <tpls c="3">
          <tpl fld="7" item="943"/>
          <tpl fld="6" item="3"/>
          <tpl hier="236" item="0"/>
        </tpls>
      </m>
      <m>
        <tpls c="4">
          <tpl fld="7" item="1257"/>
          <tpl fld="6" item="1"/>
          <tpl hier="236" item="0"/>
          <tpl fld="4" item="6"/>
        </tpls>
      </m>
      <m>
        <tpls c="4">
          <tpl fld="7" item="1234"/>
          <tpl fld="6" item="1"/>
          <tpl hier="236" item="0"/>
          <tpl fld="4" item="6"/>
        </tpls>
      </m>
      <n v="454" in="1">
        <tpls c="6">
          <tpl fld="11" item="0"/>
          <tpl fld="2" item="4"/>
          <tpl fld="6" item="1"/>
          <tpl hier="236" item="0"/>
          <tpl fld="4" item="3"/>
          <tpl fld="10" item="2"/>
        </tpls>
      </n>
      <n v="1632" in="1">
        <tpls c="6">
          <tpl fld="11" item="0"/>
          <tpl fld="5" item="4"/>
          <tpl fld="6" item="1"/>
          <tpl hier="236" item="0"/>
          <tpl fld="4" item="4"/>
          <tpl fld="10" item="0"/>
        </tpls>
      </n>
      <n v="105" in="1">
        <tpls c="5">
          <tpl fld="11" item="0"/>
          <tpl fld="5" item="1"/>
          <tpl fld="6" item="1"/>
          <tpl hier="236" item="0"/>
          <tpl fld="4" item="5"/>
        </tpls>
      </n>
      <n v="60.381081081081078" in="2">
        <tpls c="6">
          <tpl fld="11" item="0"/>
          <tpl fld="5" item="5"/>
          <tpl fld="6" item="2"/>
          <tpl hier="236" item="0"/>
          <tpl fld="4" item="3"/>
          <tpl fld="10" item="8"/>
        </tpls>
      </n>
      <m>
        <tpls c="6">
          <tpl fld="11" item="0"/>
          <tpl fld="5" item="2"/>
          <tpl fld="6" item="2"/>
          <tpl hier="236" item="0"/>
          <tpl fld="4" item="3"/>
          <tpl fld="10" item="4"/>
        </tpls>
      </m>
      <m>
        <tpls c="6">
          <tpl fld="11" item="0"/>
          <tpl fld="5" item="1"/>
          <tpl fld="6" item="1"/>
          <tpl hier="236" item="0"/>
          <tpl fld="4" item="7"/>
          <tpl fld="10" item="8"/>
        </tpls>
      </m>
      <m>
        <tpls c="4">
          <tpl fld="7" item="1137"/>
          <tpl fld="6" item="1"/>
          <tpl hier="236" item="0"/>
          <tpl fld="4" item="6"/>
        </tpls>
      </m>
      <n v="0.64999999999999991" in="2">
        <tpls c="5">
          <tpl fld="11" item="0"/>
          <tpl fld="6" item="2"/>
          <tpl hier="236" item="0"/>
          <tpl fld="4" item="7"/>
          <tpl fld="10" item="4"/>
        </tpls>
      </n>
      <m>
        <tpls c="6">
          <tpl fld="11" item="0"/>
          <tpl fld="5" item="4"/>
          <tpl fld="6" item="2"/>
          <tpl hier="236" item="0"/>
          <tpl fld="4" item="3"/>
          <tpl fld="10" item="6"/>
        </tpls>
      </m>
      <n v="11" in="1">
        <tpls c="6">
          <tpl fld="11" item="0"/>
          <tpl fld="5" item="1"/>
          <tpl fld="6" item="1"/>
          <tpl hier="236" item="0"/>
          <tpl fld="4" item="6"/>
          <tpl fld="10" item="1"/>
        </tpls>
      </n>
      <n v="483" in="1">
        <tpls c="6">
          <tpl fld="11" item="0"/>
          <tpl fld="5" item="3"/>
          <tpl fld="6" item="1"/>
          <tpl hier="236" item="0"/>
          <tpl fld="4" item="4"/>
          <tpl fld="10" item="6"/>
        </tpls>
      </n>
      <n v="0.44999999999999996" in="2">
        <tpls c="6">
          <tpl fld="11" item="0"/>
          <tpl fld="5" item="0"/>
          <tpl fld="6" item="2"/>
          <tpl hier="236" item="0"/>
          <tpl fld="4" item="4"/>
          <tpl fld="10" item="2"/>
        </tpls>
      </n>
      <n v="1.75" in="2">
        <tpls c="6">
          <tpl fld="11" item="0"/>
          <tpl fld="2" item="0"/>
          <tpl fld="6" item="2"/>
          <tpl hier="236" item="0"/>
          <tpl fld="4" item="1"/>
          <tpl fld="9" item="3"/>
        </tpls>
      </n>
      <m>
        <tpls c="6">
          <tpl fld="11" item="0"/>
          <tpl fld="2" item="0"/>
          <tpl fld="6" item="2"/>
          <tpl hier="236" item="0"/>
          <tpl fld="4" item="4"/>
          <tpl fld="10" item="4"/>
        </tpls>
      </m>
      <n v="6.5121621621621619" in="2">
        <tpls c="6">
          <tpl fld="11" item="0"/>
          <tpl fld="2" item="0"/>
          <tpl fld="6" item="2"/>
          <tpl hier="236" item="0"/>
          <tpl fld="4" item="6"/>
          <tpl fld="10" item="8"/>
        </tpls>
      </n>
      <n v="0.65" in="2">
        <tpls c="6">
          <tpl fld="11" item="0"/>
          <tpl fld="2" item="0"/>
          <tpl fld="6" item="2"/>
          <tpl hier="236" item="0"/>
          <tpl fld="4" item="3"/>
          <tpl fld="10" item="7"/>
        </tpls>
      </n>
      <n v="1" in="2">
        <tpls c="6">
          <tpl fld="11" item="0"/>
          <tpl fld="2" item="0"/>
          <tpl fld="6" item="2"/>
          <tpl hier="236" item="0"/>
          <tpl fld="4" item="7"/>
          <tpl fld="10" item="1"/>
        </tpls>
      </n>
      <n v="181" in="1">
        <tpls c="6">
          <tpl fld="11" item="0"/>
          <tpl fld="2" item="2"/>
          <tpl fld="6" item="1"/>
          <tpl hier="236" item="0"/>
          <tpl fld="4" item="1"/>
          <tpl fld="9" item="1"/>
        </tpls>
      </n>
      <n v="1403" in="1">
        <tpls c="6">
          <tpl fld="3" item="1"/>
          <tpl fld="11" item="0"/>
          <tpl fld="6" item="1"/>
          <tpl hier="236" item="0"/>
          <tpl fld="4" item="3"/>
          <tpl fld="10" item="8"/>
        </tpls>
      </n>
      <n v="359" in="1">
        <tpls c="6">
          <tpl fld="3" item="2"/>
          <tpl fld="11" item="0"/>
          <tpl fld="6" item="1"/>
          <tpl hier="236" item="0"/>
          <tpl fld="4" item="4"/>
          <tpl fld="10" item="6"/>
        </tpls>
      </n>
      <m>
        <tpls c="4">
          <tpl fld="7" item="1275"/>
          <tpl fld="6" item="2"/>
          <tpl hier="236" item="0"/>
          <tpl fld="4" item="6"/>
        </tpls>
      </m>
      <m>
        <tpls c="3">
          <tpl fld="7" item="1233"/>
          <tpl fld="6" item="3"/>
          <tpl hier="236" item="0"/>
        </tpls>
      </m>
      <n v="809" in="1">
        <tpls c="6">
          <tpl fld="11" item="0"/>
          <tpl fld="5" item="3"/>
          <tpl fld="6" item="1"/>
          <tpl hier="236" item="0"/>
          <tpl fld="4" item="6"/>
          <tpl fld="10" item="7"/>
        </tpls>
      </n>
      <m>
        <tpls c="6">
          <tpl fld="11" item="0"/>
          <tpl fld="5" item="1"/>
          <tpl fld="6" item="1"/>
          <tpl hier="236" item="0"/>
          <tpl fld="4" item="3"/>
          <tpl fld="10" item="8"/>
        </tpls>
      </m>
      <n v="8" in="1">
        <tpls c="6">
          <tpl fld="11" item="0"/>
          <tpl fld="5" item="5"/>
          <tpl fld="6" item="1"/>
          <tpl hier="236" item="0"/>
          <tpl fld="4" item="6"/>
          <tpl fld="10" item="1"/>
        </tpls>
      </n>
      <n v="1073" in="1">
        <tpls c="6">
          <tpl fld="11" item="0"/>
          <tpl fld="5" item="5"/>
          <tpl fld="6" item="1"/>
          <tpl hier="236" item="0"/>
          <tpl fld="4" item="7"/>
          <tpl fld="10" item="3"/>
        </tpls>
      </n>
      <n v="1" in="2">
        <tpls c="6">
          <tpl fld="11" item="0"/>
          <tpl fld="5" item="0"/>
          <tpl fld="6" item="2"/>
          <tpl hier="236" item="0"/>
          <tpl fld="4" item="6"/>
          <tpl fld="10" item="3"/>
        </tpls>
      </n>
      <n v="820" in="1">
        <tpls c="6">
          <tpl fld="11" item="0"/>
          <tpl fld="2" item="0"/>
          <tpl fld="6" item="1"/>
          <tpl hier="236" item="0"/>
          <tpl fld="4" item="4"/>
          <tpl fld="10" item="0"/>
        </tpls>
      </n>
      <n v="240" in="1">
        <tpls c="6">
          <tpl fld="11" item="0"/>
          <tpl fld="2" item="0"/>
          <tpl fld="6" item="1"/>
          <tpl hier="236" item="0"/>
          <tpl fld="4" item="4"/>
          <tpl fld="10" item="2"/>
        </tpls>
      </n>
      <m>
        <tpls c="4">
          <tpl fld="7" item="1038"/>
          <tpl fld="6" item="1"/>
          <tpl hier="236" item="0"/>
          <tpl fld="4" item="5"/>
        </tpls>
      </m>
      <n v="38" in="1">
        <tpls c="4">
          <tpl fld="7" item="1157"/>
          <tpl fld="6" item="1"/>
          <tpl hier="236" item="0"/>
          <tpl fld="1" item="0"/>
        </tpls>
      </n>
      <m>
        <tpls c="3">
          <tpl fld="7" item="1034"/>
          <tpl fld="6" item="3"/>
          <tpl hier="236" item="0"/>
        </tpls>
      </m>
      <n v="4" in="1">
        <tpls c="4">
          <tpl fld="7" item="1236"/>
          <tpl fld="6" item="1"/>
          <tpl hier="236" item="0"/>
          <tpl fld="1" item="0"/>
        </tpls>
      </n>
      <n v="29.117567567567566" in="2">
        <tpls c="5">
          <tpl fld="11" item="0"/>
          <tpl fld="6" item="2"/>
          <tpl hier="236" item="0"/>
          <tpl fld="4" item="4"/>
          <tpl fld="10" item="2"/>
        </tpls>
      </n>
      <n v="2808" in="1">
        <tpls c="6">
          <tpl fld="11" item="0"/>
          <tpl fld="5" item="5"/>
          <tpl fld="6" item="1"/>
          <tpl hier="236" item="0"/>
          <tpl fld="4" item="3"/>
          <tpl fld="10" item="7"/>
        </tpls>
      </n>
      <n v="10" in="1">
        <tpls c="4">
          <tpl fld="7" item="1052"/>
          <tpl fld="6" item="1"/>
          <tpl hier="236" item="0"/>
          <tpl fld="4" item="6"/>
        </tpls>
      </n>
      <n v="8" in="1">
        <tpls c="6">
          <tpl fld="11" item="0"/>
          <tpl fld="2" item="4"/>
          <tpl fld="6" item="1"/>
          <tpl hier="236" item="0"/>
          <tpl fld="4" item="7"/>
          <tpl fld="10" item="4"/>
        </tpls>
      </n>
      <n v="1" in="2">
        <tpls c="6">
          <tpl fld="11" item="0"/>
          <tpl fld="5" item="3"/>
          <tpl fld="6" item="2"/>
          <tpl hier="236" item="0"/>
          <tpl fld="4" item="1"/>
          <tpl fld="9" item="3"/>
        </tpls>
      </n>
      <m>
        <tpls c="6">
          <tpl fld="11" item="0"/>
          <tpl fld="5" item="4"/>
          <tpl fld="6" item="1"/>
          <tpl hier="236" item="0"/>
          <tpl fld="4" item="7"/>
          <tpl fld="10" item="6"/>
        </tpls>
      </m>
      <m>
        <tpls c="4">
          <tpl fld="7" item="1254"/>
          <tpl fld="6" item="1"/>
          <tpl hier="236" item="0"/>
          <tpl fld="4" item="5"/>
        </tpls>
      </m>
      <n v="10" in="1">
        <tpls c="4">
          <tpl fld="7" item="1266"/>
          <tpl fld="6" item="1"/>
          <tpl hier="236" item="0"/>
          <tpl fld="4" item="6"/>
        </tpls>
      </n>
      <m>
        <tpls c="4">
          <tpl fld="7" item="1151"/>
          <tpl fld="6" item="1"/>
          <tpl hier="236" item="0"/>
          <tpl fld="4" item="6"/>
        </tpls>
      </m>
      <m>
        <tpls c="4">
          <tpl fld="7" item="1165"/>
          <tpl fld="6" item="1"/>
          <tpl hier="236" item="0"/>
          <tpl fld="4" item="6"/>
        </tpls>
      </m>
      <n v="5" in="1">
        <tpls c="4">
          <tpl fld="7" item="1073"/>
          <tpl fld="6" item="1"/>
          <tpl hier="236" item="0"/>
          <tpl fld="4" item="6"/>
        </tpls>
      </n>
      <n v="5.75" in="2">
        <tpls c="5">
          <tpl fld="11" item="0"/>
          <tpl fld="6" item="2"/>
          <tpl hier="236" item="0"/>
          <tpl fld="4" item="7"/>
          <tpl fld="10" item="0"/>
        </tpls>
      </n>
      <n v="126" in="1">
        <tpls c="5">
          <tpl fld="11" item="0"/>
          <tpl fld="2" item="3"/>
          <tpl fld="6" item="1"/>
          <tpl hier="236" item="0"/>
          <tpl fld="4" item="0"/>
        </tpls>
      </n>
      <n v="0.75" in="2">
        <tpls c="6">
          <tpl fld="11" item="0"/>
          <tpl fld="5" item="5"/>
          <tpl fld="6" item="2"/>
          <tpl hier="236" item="0"/>
          <tpl fld="4" item="4"/>
          <tpl fld="10" item="5"/>
        </tpls>
      </n>
      <n v="154" in="1">
        <tpls c="6">
          <tpl fld="11" item="0"/>
          <tpl fld="5" item="0"/>
          <tpl fld="6" item="1"/>
          <tpl hier="236" item="0"/>
          <tpl fld="4" item="1"/>
          <tpl fld="9" item="4"/>
        </tpls>
      </n>
      <n v="0" in="1">
        <tpls c="6">
          <tpl fld="11" item="0"/>
          <tpl fld="5" item="4"/>
          <tpl fld="6" item="1"/>
          <tpl hier="236" item="0"/>
          <tpl fld="4" item="7"/>
          <tpl fld="10" item="0"/>
        </tpls>
      </n>
      <n v="7" in="1">
        <tpls c="6">
          <tpl fld="11" item="0"/>
          <tpl fld="5" item="2"/>
          <tpl fld="6" item="1"/>
          <tpl hier="236" item="0"/>
          <tpl fld="4" item="4"/>
          <tpl fld="10" item="1"/>
        </tpls>
      </n>
      <n v="89.323851351351351" in="2">
        <tpls c="5">
          <tpl fld="11" item="0"/>
          <tpl fld="5" item="1"/>
          <tpl fld="6" item="2"/>
          <tpl hier="236" item="0"/>
          <tpl fld="4" item="0"/>
        </tpls>
      </n>
      <m>
        <tpls c="4">
          <tpl fld="7" item="934"/>
          <tpl fld="6" item="1"/>
          <tpl hier="236" item="0"/>
          <tpl fld="4" item="6"/>
        </tpls>
      </m>
      <m>
        <tpls c="6">
          <tpl fld="3" item="0"/>
          <tpl fld="11" item="0"/>
          <tpl fld="6" item="2"/>
          <tpl hier="236" item="0"/>
          <tpl fld="4" item="6"/>
          <tpl fld="10" item="0"/>
        </tpls>
      </m>
      <m>
        <tpls c="6">
          <tpl fld="11" item="0"/>
          <tpl fld="5" item="1"/>
          <tpl fld="6" item="2"/>
          <tpl hier="236" item="0"/>
          <tpl fld="4" item="3"/>
          <tpl fld="10" item="8"/>
        </tpls>
      </m>
      <n v="9" in="1">
        <tpls c="6">
          <tpl fld="11" item="0"/>
          <tpl fld="5" item="2"/>
          <tpl fld="6" item="1"/>
          <tpl hier="236" item="0"/>
          <tpl fld="4" item="6"/>
          <tpl fld="10" item="1"/>
        </tpls>
      </n>
      <n v="0" in="1">
        <tpls c="6">
          <tpl fld="11" item="0"/>
          <tpl fld="5" item="0"/>
          <tpl fld="6" item="1"/>
          <tpl hier="236" item="0"/>
          <tpl fld="4" item="7"/>
          <tpl fld="10" item="0"/>
        </tpls>
      </n>
      <n v="706" in="1">
        <tpls c="6">
          <tpl fld="11" item="0"/>
          <tpl fld="2" item="3"/>
          <tpl fld="6" item="1"/>
          <tpl hier="236" item="0"/>
          <tpl fld="4" item="4"/>
          <tpl fld="10" item="0"/>
        </tpls>
      </n>
      <n v="265" in="1">
        <tpls c="6">
          <tpl fld="11" item="0"/>
          <tpl fld="2" item="3"/>
          <tpl fld="6" item="1"/>
          <tpl hier="236" item="0"/>
          <tpl fld="4" item="4"/>
          <tpl fld="10" item="2"/>
        </tpls>
      </n>
      <n v="332" in="1">
        <tpls c="6">
          <tpl fld="11" item="0"/>
          <tpl fld="2" item="3"/>
          <tpl fld="6" item="1"/>
          <tpl hier="236" item="0"/>
          <tpl fld="4" item="6"/>
          <tpl fld="10" item="4"/>
        </tpls>
      </n>
      <n v="930" in="1">
        <tpls c="6">
          <tpl fld="11" item="0"/>
          <tpl fld="2" item="3"/>
          <tpl fld="6" item="1"/>
          <tpl hier="236" item="0"/>
          <tpl fld="4" item="3"/>
          <tpl fld="10" item="8"/>
        </tpls>
      </n>
      <n v="104" in="1">
        <tpls c="6">
          <tpl fld="11" item="0"/>
          <tpl fld="2" item="0"/>
          <tpl fld="6" item="1"/>
          <tpl hier="236" item="0"/>
          <tpl fld="4" item="7"/>
          <tpl fld="10" item="8"/>
        </tpls>
      </n>
      <n v="42" in="1">
        <tpls c="6">
          <tpl fld="11" item="0"/>
          <tpl fld="2" item="2"/>
          <tpl fld="6" item="1"/>
          <tpl hier="236" item="0"/>
          <tpl fld="4" item="4"/>
          <tpl fld="10" item="1"/>
        </tpls>
      </n>
      <n v="112" in="1">
        <tpls c="6">
          <tpl fld="3" item="1"/>
          <tpl fld="11" item="0"/>
          <tpl fld="6" item="1"/>
          <tpl hier="236" item="0"/>
          <tpl fld="4" item="4"/>
          <tpl fld="10" item="1"/>
        </tpls>
      </n>
      <n v="5" in="1">
        <tpls c="4">
          <tpl fld="7" item="968"/>
          <tpl fld="6" item="1"/>
          <tpl hier="236" item="0"/>
          <tpl fld="1" item="0"/>
        </tpls>
      </n>
      <m>
        <tpls c="3">
          <tpl fld="7" item="1281"/>
          <tpl fld="6" item="3"/>
          <tpl hier="236" item="0"/>
        </tpls>
      </m>
      <m>
        <tpls c="6">
          <tpl fld="11" item="0"/>
          <tpl fld="5" item="4"/>
          <tpl fld="6" item="2"/>
          <tpl hier="236" item="0"/>
          <tpl fld="4" item="3"/>
          <tpl fld="10" item="4"/>
        </tpls>
      </m>
      <m>
        <tpls c="6">
          <tpl fld="11" item="0"/>
          <tpl fld="5" item="0"/>
          <tpl fld="6" item="1"/>
          <tpl hier="236" item="0"/>
          <tpl fld="4" item="7"/>
          <tpl fld="10" item="6"/>
        </tpls>
      </m>
      <n v="167" in="1">
        <tpls c="6">
          <tpl fld="11" item="0"/>
          <tpl fld="5" item="1"/>
          <tpl fld="6" item="1"/>
          <tpl hier="236" item="0"/>
          <tpl fld="4" item="4"/>
          <tpl fld="10" item="7"/>
        </tpls>
      </n>
      <n v="1.2932432432432432" in="2">
        <tpls c="6">
          <tpl fld="11" item="0"/>
          <tpl fld="5" item="5"/>
          <tpl fld="6" item="2"/>
          <tpl hier="236" item="0"/>
          <tpl fld="4" item="1"/>
          <tpl fld="9" item="3"/>
        </tpls>
      </n>
      <m>
        <tpls c="6">
          <tpl fld="11" item="0"/>
          <tpl fld="5" item="0"/>
          <tpl fld="6" item="2"/>
          <tpl hier="236" item="0"/>
          <tpl fld="4" item="3"/>
          <tpl fld="10" item="1"/>
        </tpls>
      </m>
      <n v="3" in="2">
        <tpls c="6">
          <tpl fld="11" item="0"/>
          <tpl fld="2" item="4"/>
          <tpl fld="6" item="2"/>
          <tpl hier="236" item="0"/>
          <tpl fld="4" item="4"/>
          <tpl fld="10" item="6"/>
        </tpls>
      </n>
      <n v="3.25" in="2">
        <tpls c="6">
          <tpl fld="11" item="0"/>
          <tpl fld="2" item="4"/>
          <tpl fld="6" item="2"/>
          <tpl hier="236" item="0"/>
          <tpl fld="4" item="6"/>
          <tpl fld="10" item="0"/>
        </tpls>
      </n>
      <n v="1.75" in="2">
        <tpls c="6">
          <tpl fld="11" item="0"/>
          <tpl fld="2" item="4"/>
          <tpl fld="6" item="2"/>
          <tpl hier="236" item="0"/>
          <tpl fld="4" item="6"/>
          <tpl fld="10" item="2"/>
        </tpls>
      </n>
      <n v="1.9500000000000002" in="2">
        <tpls c="6">
          <tpl fld="11" item="0"/>
          <tpl fld="2" item="4"/>
          <tpl fld="6" item="2"/>
          <tpl hier="236" item="0"/>
          <tpl fld="4" item="3"/>
          <tpl fld="10" item="4"/>
        </tpls>
      </n>
      <n v="375" in="1">
        <tpls c="6">
          <tpl fld="11" item="0"/>
          <tpl fld="2" item="4"/>
          <tpl fld="6" item="1"/>
          <tpl hier="236" item="0"/>
          <tpl fld="4" item="4"/>
          <tpl fld="10" item="3"/>
        </tpls>
      </n>
      <m>
        <tpls c="4">
          <tpl fld="7" item="1045"/>
          <tpl fld="6" item="2"/>
          <tpl hier="236" item="0"/>
          <tpl fld="1" item="0"/>
        </tpls>
      </m>
      <m>
        <tpls c="4">
          <tpl fld="7" item="943"/>
          <tpl fld="6" item="2"/>
          <tpl hier="236" item="0"/>
          <tpl fld="4" item="5"/>
        </tpls>
      </m>
      <m>
        <tpls c="4">
          <tpl fld="7" item="1202"/>
          <tpl fld="6" item="2"/>
          <tpl hier="236" item="0"/>
          <tpl fld="1" item="0"/>
        </tpls>
      </m>
      <m>
        <tpls c="4">
          <tpl fld="7" item="1152"/>
          <tpl fld="6" item="2"/>
          <tpl hier="236" item="0"/>
          <tpl fld="4" item="5"/>
        </tpls>
      </m>
      <m>
        <tpls c="4">
          <tpl fld="7" item="1228"/>
          <tpl fld="6" item="2"/>
          <tpl hier="236" item="0"/>
          <tpl fld="1" item="0"/>
        </tpls>
      </m>
      <m>
        <tpls c="4">
          <tpl fld="7" item="1153"/>
          <tpl fld="6" item="2"/>
          <tpl hier="236" item="0"/>
          <tpl fld="4" item="5"/>
        </tpls>
      </m>
      <m>
        <tpls c="4">
          <tpl fld="7" item="1044"/>
          <tpl fld="6" item="2"/>
          <tpl hier="236" item="0"/>
          <tpl fld="4" item="5"/>
        </tpls>
      </m>
      <n v="4.109840733590734E-2" in="0">
        <tpls c="5">
          <tpl fld="11" item="0"/>
          <tpl fld="6" item="0"/>
          <tpl fld="8" item="0"/>
          <tpl hier="236" item="0"/>
          <tpl fld="4" item="6"/>
        </tpls>
      </n>
      <m>
        <tpls c="4">
          <tpl fld="7" item="872"/>
          <tpl fld="6" item="2"/>
          <tpl hier="236" item="0"/>
          <tpl fld="4" item="6"/>
        </tpls>
      </m>
      <m>
        <tpls c="4">
          <tpl fld="7" item="1059"/>
          <tpl fld="6" item="2"/>
          <tpl hier="236" item="0"/>
          <tpl fld="4" item="5"/>
        </tpls>
      </m>
      <n v="0.25" in="0">
        <tpls c="5">
          <tpl fld="3" item="0"/>
          <tpl fld="11" item="0"/>
          <tpl fld="6" item="0"/>
          <tpl hier="236" item="0"/>
          <tpl fld="4" item="2"/>
        </tpls>
      </n>
      <m>
        <tpls c="4">
          <tpl fld="7" item="1231"/>
          <tpl fld="6" item="2"/>
          <tpl hier="236" item="0"/>
          <tpl fld="4" item="5"/>
        </tpls>
      </m>
      <m>
        <tpls c="4">
          <tpl fld="7" item="1227"/>
          <tpl fld="6" item="2"/>
          <tpl hier="236" item="0"/>
          <tpl fld="4" item="6"/>
        </tpls>
      </m>
      <m>
        <tpls c="4">
          <tpl fld="7" item="928"/>
          <tpl fld="6" item="2"/>
          <tpl hier="236" item="0"/>
          <tpl fld="4" item="6"/>
        </tpls>
      </m>
      <n v="24" in="1">
        <tpls c="4">
          <tpl fld="7" item="1229"/>
          <tpl fld="6" item="1"/>
          <tpl hier="236" item="0"/>
          <tpl fld="1" item="0"/>
        </tpls>
      </n>
      <m>
        <tpls c="4">
          <tpl fld="7" item="946"/>
          <tpl fld="6" item="2"/>
          <tpl hier="236" item="0"/>
          <tpl fld="4" item="6"/>
        </tpls>
      </m>
      <m>
        <tpls c="4">
          <tpl fld="7" item="1062"/>
          <tpl fld="6" item="2"/>
          <tpl hier="236" item="0"/>
          <tpl fld="1" item="0"/>
        </tpls>
      </m>
      <m>
        <tpls c="4">
          <tpl fld="7" item="1275"/>
          <tpl fld="6" item="2"/>
          <tpl hier="236" item="0"/>
          <tpl fld="1" item="0"/>
        </tpls>
      </m>
      <n v="28" in="1">
        <tpls c="4">
          <tpl fld="7" item="1203"/>
          <tpl fld="6" item="1"/>
          <tpl hier="236" item="0"/>
          <tpl fld="1" item="0"/>
        </tpls>
      </n>
      <m>
        <tpls c="4">
          <tpl fld="7" item="954"/>
          <tpl fld="6" item="2"/>
          <tpl hier="236" item="0"/>
          <tpl fld="4" item="6"/>
        </tpls>
      </m>
      <m>
        <tpls c="3">
          <tpl fld="7" item="1136"/>
          <tpl fld="6" item="3"/>
          <tpl hier="236" item="0"/>
        </tpls>
      </m>
      <n v="7" in="1">
        <tpls c="4">
          <tpl fld="7" item="958"/>
          <tpl fld="6" item="1"/>
          <tpl hier="236" item="0"/>
          <tpl fld="1" item="0"/>
        </tpls>
      </n>
      <m>
        <tpls c="4">
          <tpl fld="7" item="875"/>
          <tpl fld="6" item="1"/>
          <tpl hier="236" item="0"/>
          <tpl fld="4" item="6"/>
        </tpls>
      </m>
      <m>
        <tpls c="4">
          <tpl fld="7" item="1231"/>
          <tpl fld="6" item="1"/>
          <tpl hier="236" item="0"/>
          <tpl fld="4" item="5"/>
        </tpls>
      </m>
      <n v="0.36608135799734159" in="0">
        <tpls c="5">
          <tpl fld="11" item="0"/>
          <tpl fld="5" item="1"/>
          <tpl fld="6" item="0"/>
          <tpl hier="236" item="0"/>
          <tpl fld="4" item="0"/>
        </tpls>
      </n>
      <m>
        <tpls c="4">
          <tpl fld="7" item="1233"/>
          <tpl fld="6" item="2"/>
          <tpl hier="236" item="0"/>
          <tpl fld="1" item="0"/>
        </tpls>
      </m>
      <m>
        <tpls c="4">
          <tpl fld="7" item="948"/>
          <tpl fld="6" item="1"/>
          <tpl hier="236" item="0"/>
          <tpl fld="4" item="5"/>
        </tpls>
      </m>
      <n v="1" in="1">
        <tpls c="4">
          <tpl fld="7" item="1058"/>
          <tpl fld="6" item="1"/>
          <tpl hier="236" item="0"/>
          <tpl fld="4" item="5"/>
        </tpls>
      </n>
      <m>
        <tpls c="3">
          <tpl fld="7" item="930"/>
          <tpl fld="6" item="3"/>
          <tpl hier="236" item="0"/>
        </tpls>
      </m>
      <m>
        <tpls c="4">
          <tpl fld="7" item="1165"/>
          <tpl fld="6" item="1"/>
          <tpl hier="236" item="0"/>
          <tpl fld="1" item="0"/>
        </tpls>
      </m>
      <n v="2" in="1">
        <tpls c="4">
          <tpl fld="7" item="1033"/>
          <tpl fld="6" item="1"/>
          <tpl hier="236" item="0"/>
          <tpl fld="4" item="6"/>
        </tpls>
      </n>
      <n v="10" in="1">
        <tpls c="4">
          <tpl fld="7" item="1061"/>
          <tpl fld="6" item="1"/>
          <tpl hier="236" item="0"/>
          <tpl fld="1" item="0"/>
        </tpls>
      </n>
      <m>
        <tpls c="4">
          <tpl fld="7" item="944"/>
          <tpl fld="6" item="2"/>
          <tpl hier="236" item="0"/>
          <tpl fld="4" item="5"/>
        </tpls>
      </m>
      <m>
        <tpls c="4">
          <tpl fld="7" item="1133"/>
          <tpl fld="6" item="2"/>
          <tpl hier="236" item="0"/>
          <tpl fld="4" item="6"/>
        </tpls>
      </m>
      <n v="2" in="1">
        <tpls c="4">
          <tpl fld="7" item="1256"/>
          <tpl fld="6" item="1"/>
          <tpl hier="236" item="0"/>
          <tpl fld="1" item="0"/>
        </tpls>
      </n>
      <m>
        <tpls c="4">
          <tpl fld="7" item="1168"/>
          <tpl fld="6" item="2"/>
          <tpl hier="236" item="0"/>
          <tpl fld="4" item="6"/>
        </tpls>
      </m>
      <m>
        <tpls c="4">
          <tpl fld="7" item="1207"/>
          <tpl fld="6" item="2"/>
          <tpl hier="236" item="0"/>
          <tpl fld="4" item="5"/>
        </tpls>
      </m>
      <m>
        <tpls c="4">
          <tpl fld="7" item="1275"/>
          <tpl fld="6" item="1"/>
          <tpl hier="236" item="0"/>
          <tpl fld="4" item="5"/>
        </tpls>
      </m>
      <m>
        <tpls c="4">
          <tpl fld="7" item="1064"/>
          <tpl fld="6" item="2"/>
          <tpl hier="236" item="0"/>
          <tpl fld="4" item="5"/>
        </tpls>
      </m>
      <m>
        <tpls c="4">
          <tpl fld="7" item="962"/>
          <tpl fld="6" item="2"/>
          <tpl hier="236" item="0"/>
          <tpl fld="4" item="6"/>
        </tpls>
      </m>
      <m>
        <tpls c="3">
          <tpl fld="7" item="1279"/>
          <tpl fld="6" item="3"/>
          <tpl hier="236" item="0"/>
        </tpls>
      </m>
      <n v="4" in="1">
        <tpls c="4">
          <tpl fld="7" item="959"/>
          <tpl fld="6" item="1"/>
          <tpl hier="236" item="0"/>
          <tpl fld="1" item="0"/>
        </tpls>
      </n>
      <m>
        <tpls c="4">
          <tpl fld="7" item="962"/>
          <tpl fld="6" item="1"/>
          <tpl hier="236" item="0"/>
          <tpl fld="4" item="6"/>
        </tpls>
      </m>
      <n v="5" in="2">
        <tpls c="6">
          <tpl fld="11" item="0"/>
          <tpl fld="5" item="3"/>
          <tpl fld="6" item="2"/>
          <tpl hier="236" item="0"/>
          <tpl fld="4" item="6"/>
          <tpl fld="10" item="0"/>
        </tpls>
      </n>
      <n v="4" in="1">
        <tpls c="4">
          <tpl fld="7" item="1279"/>
          <tpl fld="6" item="1"/>
          <tpl hier="236" item="0"/>
          <tpl fld="1" item="0"/>
        </tpls>
      </n>
      <m>
        <tpls c="4">
          <tpl fld="7" item="1260"/>
          <tpl fld="6" item="1"/>
          <tpl hier="236" item="0"/>
          <tpl fld="4" item="5"/>
        </tpls>
      </m>
      <m>
        <tpls c="3">
          <tpl fld="7" item="1043"/>
          <tpl fld="6" item="3"/>
          <tpl hier="236" item="0"/>
        </tpls>
      </m>
      <m>
        <tpls c="3">
          <tpl fld="7" item="940"/>
          <tpl fld="6" item="3"/>
          <tpl hier="236" item="0"/>
        </tpls>
      </m>
      <n v="384" in="1">
        <tpls c="6">
          <tpl fld="11" item="0"/>
          <tpl fld="2" item="4"/>
          <tpl fld="6" item="1"/>
          <tpl hier="236" item="0"/>
          <tpl fld="4" item="3"/>
          <tpl fld="10" item="7"/>
        </tpls>
      </n>
      <n v="0.16093750000000001" in="0">
        <tpls c="5">
          <tpl fld="11" item="0"/>
          <tpl fld="2" item="0"/>
          <tpl fld="6" item="0"/>
          <tpl hier="236" item="0"/>
          <tpl fld="4" item="2"/>
        </tpls>
      </n>
      <n v="2" in="1">
        <tpls c="4">
          <tpl fld="7" item="957"/>
          <tpl fld="6" item="1"/>
          <tpl hier="236" item="0"/>
          <tpl fld="4" item="6"/>
        </tpls>
      </n>
      <n v="1204" in="1">
        <tpls c="6">
          <tpl fld="11" item="0"/>
          <tpl fld="5" item="3"/>
          <tpl fld="6" item="1"/>
          <tpl hier="236" item="0"/>
          <tpl fld="4" item="4"/>
          <tpl fld="10" item="8"/>
        </tpls>
      </n>
      <m>
        <tpls c="4">
          <tpl fld="7" item="1143"/>
          <tpl fld="6" item="2"/>
          <tpl hier="236" item="0"/>
          <tpl fld="4" item="6"/>
        </tpls>
      </m>
      <m>
        <tpls c="4">
          <tpl fld="7" item="1075"/>
          <tpl fld="6" item="2"/>
          <tpl hier="236" item="0"/>
          <tpl fld="4" item="6"/>
        </tpls>
      </m>
      <m>
        <tpls c="3">
          <tpl fld="7" item="1201"/>
          <tpl fld="6" item="3"/>
          <tpl hier="236" item="0"/>
        </tpls>
      </m>
      <m>
        <tpls c="4">
          <tpl fld="7" item="1227"/>
          <tpl fld="6" item="1"/>
          <tpl hier="236" item="0"/>
          <tpl fld="4" item="6"/>
        </tpls>
      </m>
      <n v="55.472229729729726" in="2">
        <tpls c="5">
          <tpl fld="11" item="0"/>
          <tpl fld="2" item="1"/>
          <tpl fld="6" item="2"/>
          <tpl hier="236" item="0"/>
          <tpl fld="4" item="0"/>
        </tpls>
      </n>
      <n v="68" in="1">
        <tpls c="6">
          <tpl fld="11" item="0"/>
          <tpl fld="5" item="4"/>
          <tpl fld="6" item="1"/>
          <tpl hier="236" item="0"/>
          <tpl fld="4" item="4"/>
          <tpl fld="10" item="5"/>
        </tpls>
      </n>
      <n v="5.0999999999999996" in="2">
        <tpls c="6">
          <tpl fld="11" item="0"/>
          <tpl fld="5" item="4"/>
          <tpl fld="6" item="2"/>
          <tpl hier="236" item="0"/>
          <tpl fld="4" item="4"/>
          <tpl fld="10" item="3"/>
        </tpls>
      </n>
      <m>
        <tpls c="4">
          <tpl fld="7" item="874"/>
          <tpl fld="6" item="2"/>
          <tpl hier="236" item="0"/>
          <tpl fld="4" item="5"/>
        </tpls>
      </m>
      <n v="4" in="1">
        <tpls c="4">
          <tpl fld="7" item="1079"/>
          <tpl fld="6" item="1"/>
          <tpl hier="236" item="0"/>
          <tpl fld="4" item="5"/>
        </tpls>
      </n>
      <m>
        <tpls c="3">
          <tpl fld="7" item="1148"/>
          <tpl fld="6" item="3"/>
          <tpl hier="236" item="0"/>
        </tpls>
      </m>
      <m>
        <tpls c="3">
          <tpl fld="7" item="1164"/>
          <tpl fld="6" item="3"/>
          <tpl hier="236" item="0"/>
        </tpls>
      </m>
      <m>
        <tpls c="3">
          <tpl fld="7" item="968"/>
          <tpl fld="6" item="3"/>
          <tpl hier="236" item="0"/>
        </tpls>
      </m>
      <n v="83.519121621621608" in="2">
        <tpls c="5">
          <tpl fld="11" item="0"/>
          <tpl fld="6" item="2"/>
          <tpl hier="236" item="0"/>
          <tpl fld="4" item="6"/>
          <tpl fld="10" item="7"/>
        </tpls>
      </n>
      <m>
        <tpls c="6">
          <tpl fld="11" item="0"/>
          <tpl fld="5" item="4"/>
          <tpl fld="6" item="1"/>
          <tpl hier="236" item="0"/>
          <tpl fld="4" item="3"/>
          <tpl fld="10" item="6"/>
        </tpls>
      </m>
      <n v="1175" in="1">
        <tpls c="6">
          <tpl fld="11" item="0"/>
          <tpl fld="5" item="0"/>
          <tpl fld="6" item="1"/>
          <tpl hier="236" item="0"/>
          <tpl fld="4" item="4"/>
          <tpl fld="10" item="8"/>
        </tpls>
      </n>
      <n v="1.6606280193236716E-2" in="0">
        <tpls c="5">
          <tpl fld="3" item="0"/>
          <tpl fld="11" item="0"/>
          <tpl fld="6" item="0"/>
          <tpl hier="236" item="0"/>
          <tpl fld="4" item="7"/>
        </tpls>
      </n>
      <m>
        <tpls c="4">
          <tpl fld="7" item="1145"/>
          <tpl fld="6" item="2"/>
          <tpl hier="236" item="0"/>
          <tpl fld="4" item="6"/>
        </tpls>
      </m>
      <m>
        <tpls c="4">
          <tpl fld="7" item="1280"/>
          <tpl fld="6" item="1"/>
          <tpl hier="236" item="0"/>
          <tpl fld="4" item="5"/>
        </tpls>
      </m>
      <m>
        <tpls c="4">
          <tpl fld="7" item="1205"/>
          <tpl fld="6" item="2"/>
          <tpl hier="236" item="0"/>
          <tpl fld="4" item="5"/>
        </tpls>
      </m>
      <m>
        <tpls c="4">
          <tpl fld="7" item="1179"/>
          <tpl fld="6" item="1"/>
          <tpl hier="236" item="0"/>
          <tpl fld="1" item="0"/>
        </tpls>
      </m>
      <m>
        <tpls c="4">
          <tpl fld="7" item="1161"/>
          <tpl fld="6" item="1"/>
          <tpl hier="236" item="0"/>
          <tpl fld="4" item="5"/>
        </tpls>
      </m>
      <n v="3" in="1">
        <tpls c="4">
          <tpl fld="7" item="1183"/>
          <tpl fld="6" item="1"/>
          <tpl hier="236" item="0"/>
          <tpl fld="1" item="0"/>
        </tpls>
      </n>
      <m>
        <tpls c="3">
          <tpl fld="7" item="1044"/>
          <tpl fld="6" item="3"/>
          <tpl hier="236" item="0"/>
        </tpls>
      </m>
      <m>
        <tpls c="3">
          <tpl fld="7" item="1256"/>
          <tpl fld="6" item="3"/>
          <tpl hier="236" item="0"/>
        </tpls>
      </m>
      <m>
        <tpls c="4">
          <tpl fld="7" item="1064"/>
          <tpl fld="6" item="1"/>
          <tpl hier="236" item="0"/>
          <tpl fld="4" item="5"/>
        </tpls>
      </m>
      <m>
        <tpls c="3">
          <tpl fld="7" item="942"/>
          <tpl fld="6" item="3"/>
          <tpl hier="236" item="0"/>
        </tpls>
      </m>
      <m>
        <tpls c="4">
          <tpl fld="7" item="1166"/>
          <tpl fld="6" item="1"/>
          <tpl hier="236" item="0"/>
          <tpl fld="4" item="6"/>
        </tpls>
      </m>
      <n v="13" in="1">
        <tpls c="4">
          <tpl fld="7" item="973"/>
          <tpl fld="6" item="1"/>
          <tpl hier="236" item="0"/>
          <tpl fld="4" item="6"/>
        </tpls>
      </n>
      <n v="39" in="1">
        <tpls c="6">
          <tpl fld="11" item="0"/>
          <tpl fld="2" item="4"/>
          <tpl fld="6" item="1"/>
          <tpl hier="236" item="0"/>
          <tpl fld="4" item="4"/>
          <tpl fld="10" item="5"/>
        </tpls>
      </n>
      <n v="6.9499999999999993" in="2">
        <tpls c="6">
          <tpl fld="11" item="0"/>
          <tpl fld="5" item="2"/>
          <tpl fld="6" item="2"/>
          <tpl hier="236" item="0"/>
          <tpl fld="4" item="4"/>
          <tpl fld="10" item="8"/>
        </tpls>
      </n>
      <n v="1979" in="1">
        <tpls c="6">
          <tpl fld="11" item="0"/>
          <tpl fld="5" item="5"/>
          <tpl fld="6" item="1"/>
          <tpl hier="236" item="0"/>
          <tpl fld="4" item="4"/>
          <tpl fld="10" item="3"/>
        </tpls>
      </n>
      <m>
        <tpls c="4">
          <tpl fld="7" item="1268"/>
          <tpl fld="6" item="2"/>
          <tpl hier="236" item="0"/>
          <tpl fld="4" item="5"/>
        </tpls>
      </m>
      <n v="2" in="1">
        <tpls c="4">
          <tpl fld="7" item="978"/>
          <tpl fld="6" item="1"/>
          <tpl hier="236" item="0"/>
          <tpl fld="4" item="5"/>
        </tpls>
      </n>
      <m>
        <tpls c="4">
          <tpl fld="7" item="1046"/>
          <tpl fld="6" item="1"/>
          <tpl hier="236" item="0"/>
          <tpl fld="4" item="6"/>
        </tpls>
      </m>
      <m>
        <tpls c="4">
          <tpl fld="7" item="1062"/>
          <tpl fld="6" item="1"/>
          <tpl hier="236" item="0"/>
          <tpl fld="4" item="6"/>
        </tpls>
      </m>
      <m>
        <tpls c="3">
          <tpl fld="7" item="1175"/>
          <tpl fld="6" item="3"/>
          <tpl hier="236" item="0"/>
        </tpls>
      </m>
      <n v="3.8" in="2">
        <tpls c="5">
          <tpl fld="11" item="0"/>
          <tpl fld="6" item="2"/>
          <tpl hier="236" item="0"/>
          <tpl fld="4" item="3"/>
          <tpl fld="10" item="1"/>
        </tpls>
      </n>
      <n v="5098" in="1">
        <tpls c="5">
          <tpl fld="11" item="0"/>
          <tpl fld="5" item="4"/>
          <tpl fld="6" item="1"/>
          <tpl hier="236" item="0"/>
          <tpl fld="1" item="0"/>
        </tpls>
      </n>
      <n v="47" in="1">
        <tpls c="6">
          <tpl fld="11" item="0"/>
          <tpl fld="5" item="1"/>
          <tpl fld="6" item="1"/>
          <tpl hier="236" item="0"/>
          <tpl fld="4" item="4"/>
          <tpl fld="10" item="2"/>
        </tpls>
      </n>
      <n v="1" in="2">
        <tpls c="6">
          <tpl fld="11" item="0"/>
          <tpl fld="5" item="1"/>
          <tpl fld="6" item="2"/>
          <tpl hier="236" item="0"/>
          <tpl fld="4" item="1"/>
          <tpl fld="9" item="3"/>
        </tpls>
      </n>
      <m>
        <tpls c="6">
          <tpl fld="11" item="0"/>
          <tpl fld="5" item="1"/>
          <tpl fld="6" item="1"/>
          <tpl hier="236" item="0"/>
          <tpl fld="4" item="7"/>
          <tpl fld="10" item="7"/>
        </tpls>
      </m>
      <n v="1" in="1">
        <tpls c="4">
          <tpl fld="7" item="1053"/>
          <tpl fld="6" item="1"/>
          <tpl hier="236" item="0"/>
          <tpl fld="4" item="5"/>
        </tpls>
      </n>
      <n v="12" in="1">
        <tpls c="4">
          <tpl fld="7" item="1032"/>
          <tpl fld="6" item="1"/>
          <tpl hier="236" item="0"/>
          <tpl fld="4" item="6"/>
        </tpls>
      </n>
      <n v="12" in="1">
        <tpls c="4">
          <tpl fld="7" item="1153"/>
          <tpl fld="6" item="1"/>
          <tpl hier="236" item="0"/>
          <tpl fld="4" item="6"/>
        </tpls>
      </n>
      <m>
        <tpls c="4">
          <tpl fld="7" item="1206"/>
          <tpl fld="6" item="1"/>
          <tpl hier="236" item="0"/>
          <tpl fld="4" item="6"/>
        </tpls>
      </m>
      <n v="0" in="1">
        <tpls c="4">
          <tpl fld="7" item="1260"/>
          <tpl fld="6" item="1"/>
          <tpl hier="236" item="0"/>
          <tpl fld="4" item="6"/>
        </tpls>
      </n>
      <n v="113" in="1">
        <tpls c="6">
          <tpl fld="11" item="0"/>
          <tpl fld="5" item="3"/>
          <tpl fld="6" item="1"/>
          <tpl hier="236" item="0"/>
          <tpl fld="4" item="6"/>
          <tpl fld="10" item="6"/>
        </tpls>
      </n>
      <n v="1.9" in="2">
        <tpls c="6">
          <tpl fld="11" item="0"/>
          <tpl fld="5" item="2"/>
          <tpl fld="6" item="2"/>
          <tpl hier="236" item="0"/>
          <tpl fld="4" item="4"/>
          <tpl fld="10" item="1"/>
        </tpls>
      </n>
      <n v="6.2527027027027025" in="2">
        <tpls c="5">
          <tpl fld="11" item="0"/>
          <tpl fld="5" item="4"/>
          <tpl fld="6" item="2"/>
          <tpl hier="236" item="0"/>
          <tpl fld="4" item="5"/>
        </tpls>
      </n>
      <m>
        <tpls c="6">
          <tpl fld="11" item="0"/>
          <tpl fld="5" item="1"/>
          <tpl fld="6" item="2"/>
          <tpl hier="236" item="0"/>
          <tpl fld="4" item="3"/>
          <tpl fld="10" item="6"/>
        </tpls>
      </m>
      <n v="2.2999999999999998" in="2">
        <tpls c="6">
          <tpl fld="11" item="0"/>
          <tpl fld="5" item="4"/>
          <tpl fld="6" item="2"/>
          <tpl hier="236" item="0"/>
          <tpl fld="4" item="6"/>
          <tpl fld="10" item="3"/>
        </tpls>
      </n>
      <n v="735" in="1">
        <tpls c="6">
          <tpl fld="11" item="0"/>
          <tpl fld="5" item="5"/>
          <tpl fld="6" item="1"/>
          <tpl hier="236" item="0"/>
          <tpl fld="4" item="6"/>
          <tpl fld="10" item="2"/>
        </tpls>
      </n>
      <m>
        <tpls c="6">
          <tpl fld="11" item="0"/>
          <tpl fld="5" item="0"/>
          <tpl fld="6" item="2"/>
          <tpl hier="236" item="0"/>
          <tpl fld="4" item="7"/>
          <tpl fld="10" item="8"/>
        </tpls>
      </m>
      <m>
        <tpls c="4">
          <tpl fld="7" item="948"/>
          <tpl fld="6" item="1"/>
          <tpl hier="236" item="0"/>
          <tpl fld="1" item="0"/>
        </tpls>
      </m>
      <m>
        <tpls c="3">
          <tpl fld="7" item="1064"/>
          <tpl fld="6" item="3"/>
          <tpl hier="236" item="0"/>
        </tpls>
      </m>
      <m>
        <tpls c="4">
          <tpl fld="7" item="1161"/>
          <tpl fld="6" item="2"/>
          <tpl hier="236" item="0"/>
          <tpl fld="4" item="6"/>
        </tpls>
      </m>
      <m>
        <tpls c="4">
          <tpl fld="7" item="1066"/>
          <tpl fld="6" item="2"/>
          <tpl hier="236" item="0"/>
          <tpl fld="4" item="5"/>
        </tpls>
      </m>
      <m>
        <tpls c="3">
          <tpl fld="7" item="1050"/>
          <tpl fld="6" item="3"/>
          <tpl hier="236" item="0"/>
        </tpls>
      </m>
      <m>
        <tpls c="3">
          <tpl fld="7" item="950"/>
          <tpl fld="6" item="3"/>
          <tpl hier="236" item="0"/>
        </tpls>
      </m>
      <n v="5.3" in="2">
        <tpls c="6">
          <tpl fld="11" item="0"/>
          <tpl fld="5" item="3"/>
          <tpl fld="6" item="2"/>
          <tpl hier="236" item="0"/>
          <tpl fld="4" item="6"/>
          <tpl fld="10" item="2"/>
        </tpls>
      </n>
      <n v="6" in="1">
        <tpls c="4">
          <tpl fld="7" item="956"/>
          <tpl fld="6" item="1"/>
          <tpl hier="236" item="0"/>
          <tpl fld="1" item="0"/>
        </tpls>
      </n>
      <m>
        <tpls c="3">
          <tpl fld="7" item="963"/>
          <tpl fld="6" item="3"/>
          <tpl hier="236" item="0"/>
        </tpls>
      </m>
      <n v="0.5" in="2">
        <tpls c="5">
          <tpl fld="11" item="0"/>
          <tpl fld="5" item="3"/>
          <tpl fld="6" item="2"/>
          <tpl hier="236" item="0"/>
          <tpl fld="4" item="2"/>
        </tpls>
      </n>
      <n v="11" in="1">
        <tpls c="6">
          <tpl fld="11" item="0"/>
          <tpl fld="5" item="1"/>
          <tpl fld="6" item="1"/>
          <tpl hier="236" item="0"/>
          <tpl fld="4" item="6"/>
          <tpl fld="10" item="5"/>
        </tpls>
      </n>
      <n v="39.389189189189189" in="2">
        <tpls c="6">
          <tpl fld="11" item="0"/>
          <tpl fld="5" item="4"/>
          <tpl fld="6" item="2"/>
          <tpl hier="236" item="0"/>
          <tpl fld="4" item="4"/>
          <tpl fld="10" item="0"/>
        </tpls>
      </n>
      <m>
        <tpls c="4">
          <tpl fld="7" item="1206"/>
          <tpl fld="6" item="2"/>
          <tpl hier="236" item="0"/>
          <tpl fld="4" item="6"/>
        </tpls>
      </m>
      <m>
        <tpls c="3">
          <tpl fld="7" item="935"/>
          <tpl fld="6" item="3"/>
          <tpl hier="236" item="0"/>
        </tpls>
      </m>
      <n v="1" in="1">
        <tpls c="4">
          <tpl fld="7" item="1255"/>
          <tpl fld="6" item="1"/>
          <tpl hier="236" item="0"/>
          <tpl fld="4" item="6"/>
        </tpls>
      </n>
      <n v="1" in="1">
        <tpls c="4">
          <tpl fld="7" item="1275"/>
          <tpl fld="6" item="1"/>
          <tpl hier="236" item="0"/>
          <tpl fld="4" item="6"/>
        </tpls>
      </n>
      <n v="17" in="1">
        <tpls c="4">
          <tpl fld="7" item="1077"/>
          <tpl fld="6" item="1"/>
          <tpl hier="236" item="0"/>
          <tpl fld="4" item="6"/>
        </tpls>
      </n>
      <n v="163" in="1">
        <tpls c="6">
          <tpl fld="11" item="0"/>
          <tpl fld="2" item="4"/>
          <tpl fld="6" item="1"/>
          <tpl hier="236" item="0"/>
          <tpl fld="4" item="7"/>
          <tpl fld="10" item="2"/>
        </tpls>
      </n>
      <m>
        <tpls c="6">
          <tpl fld="11" item="0"/>
          <tpl fld="5" item="4"/>
          <tpl fld="6" item="2"/>
          <tpl hier="236" item="0"/>
          <tpl fld="4" item="7"/>
          <tpl fld="10" item="3"/>
        </tpls>
      </m>
      <n v="53" in="1">
        <tpls c="6">
          <tpl fld="11" item="0"/>
          <tpl fld="5" item="4"/>
          <tpl fld="6" item="1"/>
          <tpl hier="236" item="0"/>
          <tpl fld="4" item="6"/>
          <tpl fld="10" item="3"/>
        </tpls>
      </n>
      <n v="1" in="2">
        <tpls c="6">
          <tpl fld="11" item="0"/>
          <tpl fld="5" item="4"/>
          <tpl fld="6" item="2"/>
          <tpl hier="236" item="0"/>
          <tpl fld="4" item="4"/>
          <tpl fld="10" item="4"/>
        </tpls>
      </n>
      <n v="17.237837837837837" in="2">
        <tpls c="5">
          <tpl fld="11" item="0"/>
          <tpl fld="5" item="2"/>
          <tpl fld="6" item="2"/>
          <tpl hier="236" item="0"/>
          <tpl fld="4" item="0"/>
        </tpls>
      </n>
      <m>
        <tpls c="6">
          <tpl fld="11" item="0"/>
          <tpl fld="5" item="2"/>
          <tpl fld="6" item="2"/>
          <tpl hier="236" item="0"/>
          <tpl fld="4" item="6"/>
          <tpl fld="10" item="1"/>
        </tpls>
      </m>
      <n v="44" in="1">
        <tpls c="6">
          <tpl fld="11" item="0"/>
          <tpl fld="5" item="5"/>
          <tpl fld="6" item="1"/>
          <tpl hier="236" item="0"/>
          <tpl fld="4" item="4"/>
          <tpl fld="10" item="6"/>
        </tpls>
      </n>
      <n v="2" in="1">
        <tpls c="4">
          <tpl fld="7" item="1059"/>
          <tpl fld="6" item="1"/>
          <tpl hier="236" item="0"/>
          <tpl fld="4" item="6"/>
        </tpls>
      </n>
      <m>
        <tpls c="6">
          <tpl fld="11" item="0"/>
          <tpl fld="5" item="3"/>
          <tpl fld="6" item="2"/>
          <tpl hier="236" item="0"/>
          <tpl fld="4" item="4"/>
          <tpl fld="10" item="1"/>
        </tpls>
      </m>
      <m>
        <tpls c="6">
          <tpl fld="11" item="0"/>
          <tpl fld="5" item="2"/>
          <tpl fld="6" item="1"/>
          <tpl hier="236" item="0"/>
          <tpl fld="4" item="7"/>
          <tpl fld="10" item="7"/>
        </tpls>
      </m>
      <m>
        <tpls c="6">
          <tpl fld="11" item="0"/>
          <tpl fld="5" item="1"/>
          <tpl fld="6" item="2"/>
          <tpl hier="236" item="0"/>
          <tpl fld="4" item="7"/>
          <tpl fld="10" item="5"/>
        </tpls>
      </m>
      <n v="10" in="1">
        <tpls c="6">
          <tpl fld="11" item="0"/>
          <tpl fld="5" item="5"/>
          <tpl fld="6" item="1"/>
          <tpl hier="236" item="0"/>
          <tpl fld="4" item="6"/>
          <tpl fld="10" item="6"/>
        </tpls>
      </n>
      <n v="360" in="1">
        <tpls c="6">
          <tpl fld="11" item="0"/>
          <tpl fld="2" item="3"/>
          <tpl fld="6" item="1"/>
          <tpl hier="236" item="0"/>
          <tpl fld="4" item="1"/>
          <tpl fld="9" item="4"/>
        </tpls>
      </n>
      <n v="303" in="1">
        <tpls c="6">
          <tpl fld="11" item="0"/>
          <tpl fld="2" item="3"/>
          <tpl fld="6" item="1"/>
          <tpl hier="236" item="0"/>
          <tpl fld="4" item="4"/>
          <tpl fld="10" item="3"/>
        </tpls>
      </n>
      <n v="37" in="1">
        <tpls c="6">
          <tpl fld="11" item="0"/>
          <tpl fld="2" item="3"/>
          <tpl fld="6" item="1"/>
          <tpl hier="236" item="0"/>
          <tpl fld="4" item="6"/>
          <tpl fld="10" item="5"/>
        </tpls>
      </n>
      <m>
        <tpls c="6">
          <tpl fld="11" item="0"/>
          <tpl fld="2" item="3"/>
          <tpl fld="6" item="1"/>
          <tpl hier="236" item="0"/>
          <tpl fld="4" item="3"/>
          <tpl fld="10" item="6"/>
        </tpls>
      </m>
      <n v="23" in="1">
        <tpls c="6">
          <tpl fld="11" item="0"/>
          <tpl fld="2" item="3"/>
          <tpl fld="6" item="1"/>
          <tpl hier="236" item="0"/>
          <tpl fld="4" item="7"/>
          <tpl fld="10" item="0"/>
        </tpls>
      </n>
      <n v="225.60554054054052" in="2">
        <tpls c="5">
          <tpl fld="11" item="0"/>
          <tpl fld="2" item="3"/>
          <tpl fld="6" item="2"/>
          <tpl hier="236" item="0"/>
          <tpl fld="1" item="0"/>
        </tpls>
      </n>
      <n v="230" in="1">
        <tpls c="6">
          <tpl fld="11" item="0"/>
          <tpl fld="2" item="2"/>
          <tpl fld="6" item="1"/>
          <tpl hier="236" item="0"/>
          <tpl fld="4" item="4"/>
          <tpl fld="10" item="3"/>
        </tpls>
      </n>
      <n v="342" in="1">
        <tpls c="6">
          <tpl fld="3" item="1"/>
          <tpl fld="11" item="0"/>
          <tpl fld="6" item="1"/>
          <tpl hier="236" item="0"/>
          <tpl fld="4" item="6"/>
          <tpl fld="10" item="3"/>
        </tpls>
      </n>
      <n v="0.7" in="2">
        <tpls c="6">
          <tpl fld="3" item="1"/>
          <tpl fld="11" item="0"/>
          <tpl fld="6" item="2"/>
          <tpl hier="236" item="0"/>
          <tpl fld="4" item="1"/>
          <tpl fld="9" item="0"/>
        </tpls>
      </n>
      <n v="4" in="1">
        <tpls c="6">
          <tpl fld="3" item="0"/>
          <tpl fld="11" item="0"/>
          <tpl fld="6" item="1"/>
          <tpl hier="236" item="0"/>
          <tpl fld="4" item="4"/>
          <tpl fld="10" item="4"/>
        </tpls>
      </n>
      <m>
        <tpls c="3">
          <tpl fld="7" item="1149"/>
          <tpl fld="6" item="3"/>
          <tpl hier="236" item="0"/>
        </tpls>
      </m>
      <n v="80.193243243243245" in="2">
        <tpls c="5">
          <tpl fld="11" item="0"/>
          <tpl fld="6" item="2"/>
          <tpl hier="236" item="0"/>
          <tpl fld="4" item="4"/>
          <tpl fld="10" item="8"/>
        </tpls>
      </n>
      <n v="19" in="1">
        <tpls c="6">
          <tpl fld="11" item="0"/>
          <tpl fld="5" item="1"/>
          <tpl fld="6" item="1"/>
          <tpl hier="236" item="0"/>
          <tpl fld="4" item="6"/>
          <tpl fld="10" item="6"/>
        </tpls>
      </n>
      <n v="37" in="1">
        <tpls c="6">
          <tpl fld="11" item="0"/>
          <tpl fld="5" item="2"/>
          <tpl fld="6" item="1"/>
          <tpl hier="236" item="0"/>
          <tpl fld="4" item="4"/>
          <tpl fld="10" item="2"/>
        </tpls>
      </n>
      <m>
        <tpls c="6">
          <tpl fld="11" item="0"/>
          <tpl fld="5" item="2"/>
          <tpl fld="6" item="2"/>
          <tpl hier="236" item="0"/>
          <tpl fld="4" item="7"/>
          <tpl fld="10" item="8"/>
        </tpls>
      </m>
      <n v="0" in="1">
        <tpls c="6">
          <tpl fld="11" item="0"/>
          <tpl fld="5" item="0"/>
          <tpl fld="6" item="1"/>
          <tpl hier="236" item="0"/>
          <tpl fld="4" item="7"/>
          <tpl fld="10" item="1"/>
        </tpls>
      </n>
      <m>
        <tpls c="6">
          <tpl fld="11" item="0"/>
          <tpl fld="2" item="4"/>
          <tpl fld="6" item="2"/>
          <tpl hier="236" item="0"/>
          <tpl fld="4" item="1"/>
          <tpl fld="9" item="0"/>
        </tpls>
      </m>
      <m>
        <tpls c="6">
          <tpl fld="11" item="0"/>
          <tpl fld="2" item="4"/>
          <tpl fld="6" item="2"/>
          <tpl hier="236" item="0"/>
          <tpl fld="4" item="4"/>
          <tpl fld="10" item="1"/>
        </tpls>
      </m>
      <n v="1.4027027027027026" in="2">
        <tpls c="6">
          <tpl fld="11" item="0"/>
          <tpl fld="2" item="4"/>
          <tpl fld="6" item="2"/>
          <tpl hier="236" item="0"/>
          <tpl fld="4" item="6"/>
          <tpl fld="10" item="3"/>
        </tpls>
      </n>
      <n v="3" in="1">
        <tpls c="4">
          <tpl fld="7" item="933"/>
          <tpl fld="6" item="1"/>
          <tpl hier="236" item="0"/>
          <tpl fld="4" item="5"/>
        </tpls>
      </n>
      <n v="1" in="1">
        <tpls c="4">
          <tpl fld="7" item="1175"/>
          <tpl fld="6" item="1"/>
          <tpl hier="236" item="0"/>
          <tpl fld="1" item="0"/>
        </tpls>
      </n>
      <m>
        <tpls c="3">
          <tpl fld="7" item="1042"/>
          <tpl fld="6" item="3"/>
          <tpl hier="236" item="0"/>
        </tpls>
      </m>
      <m>
        <tpls c="4">
          <tpl fld="7" item="1146"/>
          <tpl fld="6" item="1"/>
          <tpl hier="236" item="0"/>
          <tpl fld="4" item="6"/>
        </tpls>
      </m>
      <n v="355" in="1">
        <tpls c="6">
          <tpl fld="11" item="0"/>
          <tpl fld="2" item="4"/>
          <tpl fld="6" item="1"/>
          <tpl hier="236" item="0"/>
          <tpl fld="4" item="6"/>
          <tpl fld="10" item="7"/>
        </tpls>
      </n>
      <m>
        <tpls c="4">
          <tpl fld="7" item="1060"/>
          <tpl fld="6" item="1"/>
          <tpl hier="236" item="0"/>
          <tpl fld="4" item="6"/>
        </tpls>
      </m>
      <n v="10.899999999999999" in="2">
        <tpls c="5">
          <tpl fld="11" item="0"/>
          <tpl fld="5" item="3"/>
          <tpl fld="6" item="2"/>
          <tpl hier="236" item="0"/>
          <tpl fld="4" item="5"/>
        </tpls>
      </n>
      <n v="5.7459459459459454" in="2">
        <tpls c="6">
          <tpl fld="11" item="0"/>
          <tpl fld="5" item="0"/>
          <tpl fld="6" item="2"/>
          <tpl hier="236" item="0"/>
          <tpl fld="4" item="4"/>
          <tpl fld="10" item="3"/>
        </tpls>
      </n>
      <m>
        <tpls c="4">
          <tpl fld="7" item="953"/>
          <tpl fld="6" item="2"/>
          <tpl hier="236" item="0"/>
          <tpl fld="4" item="6"/>
        </tpls>
      </m>
      <n v="1" in="1">
        <tpls c="4">
          <tpl fld="7" item="1139"/>
          <tpl fld="6" item="1"/>
          <tpl hier="236" item="0"/>
          <tpl fld="4" item="6"/>
        </tpls>
      </n>
      <m>
        <tpls c="3">
          <tpl fld="7" item="947"/>
          <tpl fld="6" item="3"/>
          <tpl hier="236" item="0"/>
        </tpls>
      </m>
      <n v="1" in="1">
        <tpls c="4">
          <tpl fld="7" item="1232"/>
          <tpl fld="6" item="1"/>
          <tpl hier="236" item="0"/>
          <tpl fld="4" item="6"/>
        </tpls>
      </n>
      <n v="3" in="1">
        <tpls c="4">
          <tpl fld="7" item="1075"/>
          <tpl fld="6" item="1"/>
          <tpl hier="236" item="0"/>
          <tpl fld="4" item="6"/>
        </tpls>
      </n>
      <m>
        <tpls c="6">
          <tpl fld="3" item="0"/>
          <tpl fld="11" item="0"/>
          <tpl fld="6" item="2"/>
          <tpl hier="236" item="0"/>
          <tpl fld="4" item="4"/>
          <tpl fld="10" item="4"/>
        </tpls>
      </m>
      <n v="403" in="1">
        <tpls c="5">
          <tpl fld="11" item="0"/>
          <tpl fld="5" item="3"/>
          <tpl fld="6" item="1"/>
          <tpl hier="236" item="0"/>
          <tpl fld="4" item="5"/>
        </tpls>
      </n>
      <n v="1" in="2">
        <tpls c="6">
          <tpl fld="11" item="0"/>
          <tpl fld="5" item="2"/>
          <tpl fld="6" item="2"/>
          <tpl hier="236" item="0"/>
          <tpl fld="4" item="4"/>
          <tpl fld="10" item="2"/>
        </tpls>
      </n>
      <n v="153" in="1">
        <tpls c="6">
          <tpl fld="11" item="0"/>
          <tpl fld="5" item="5"/>
          <tpl fld="6" item="1"/>
          <tpl hier="236" item="0"/>
          <tpl fld="4" item="1"/>
          <tpl fld="9" item="3"/>
        </tpls>
      </n>
      <n v="16.248648648648651" in="2">
        <tpls c="6">
          <tpl fld="11" item="0"/>
          <tpl fld="5" item="5"/>
          <tpl fld="6" item="2"/>
          <tpl hier="236" item="0"/>
          <tpl fld="4" item="7"/>
          <tpl fld="10" item="3"/>
        </tpls>
      </n>
      <n v="5.45" in="2">
        <tpls c="6">
          <tpl fld="11" item="0"/>
          <tpl fld="5" item="4"/>
          <tpl fld="6" item="2"/>
          <tpl hier="236" item="0"/>
          <tpl fld="4" item="6"/>
          <tpl fld="10" item="2"/>
        </tpls>
      </n>
      <n v="8.535405405405406" in="2">
        <tpls c="6">
          <tpl fld="11" item="0"/>
          <tpl fld="5" item="1"/>
          <tpl fld="6" item="2"/>
          <tpl hier="236" item="0"/>
          <tpl fld="4" item="4"/>
          <tpl fld="10" item="5"/>
        </tpls>
      </n>
      <m>
        <tpls c="3">
          <tpl fld="7" item="1151"/>
          <tpl fld="6" item="3"/>
          <tpl hier="236" item="0"/>
        </tpls>
      </m>
      <n v="1.75" in="2">
        <tpls c="6">
          <tpl fld="11" item="0"/>
          <tpl fld="5" item="5"/>
          <tpl fld="6" item="2"/>
          <tpl hier="236" item="0"/>
          <tpl fld="4" item="7"/>
          <tpl fld="10" item="5"/>
        </tpls>
      </n>
      <n v="1.5499999999999998" in="2">
        <tpls c="6">
          <tpl fld="11" item="0"/>
          <tpl fld="5" item="4"/>
          <tpl fld="6" item="2"/>
          <tpl hier="236" item="0"/>
          <tpl fld="4" item="4"/>
          <tpl fld="10" item="2"/>
        </tpls>
      </n>
      <m>
        <tpls c="6">
          <tpl fld="11" item="0"/>
          <tpl fld="5" item="2"/>
          <tpl fld="6" item="2"/>
          <tpl hier="236" item="0"/>
          <tpl fld="4" item="3"/>
          <tpl fld="10" item="3"/>
        </tpls>
      </m>
      <n v="371" in="1">
        <tpls c="6">
          <tpl fld="11" item="0"/>
          <tpl fld="5" item="5"/>
          <tpl fld="6" item="1"/>
          <tpl hier="236" item="0"/>
          <tpl fld="4" item="6"/>
          <tpl fld="10" item="4"/>
        </tpls>
      </n>
      <n v="8314" in="1">
        <tpls c="5">
          <tpl fld="11" item="0"/>
          <tpl fld="5" item="0"/>
          <tpl fld="6" item="1"/>
          <tpl hier="236" item="0"/>
          <tpl fld="1" item="0"/>
        </tpls>
      </n>
      <n v="26.548986486486488" in="2">
        <tpls c="6">
          <tpl fld="11" item="0"/>
          <tpl fld="2" item="0"/>
          <tpl fld="6" item="2"/>
          <tpl hier="236" item="0"/>
          <tpl fld="4" item="4"/>
          <tpl fld="10" item="6"/>
        </tpls>
      </n>
      <n v="3.0270270270270272" in="2">
        <tpls c="6">
          <tpl fld="11" item="0"/>
          <tpl fld="2" item="0"/>
          <tpl fld="6" item="2"/>
          <tpl hier="236" item="0"/>
          <tpl fld="4" item="6"/>
          <tpl fld="10" item="0"/>
        </tpls>
      </n>
      <n v="1.85" in="2">
        <tpls c="6">
          <tpl fld="11" item="0"/>
          <tpl fld="2" item="0"/>
          <tpl fld="6" item="2"/>
          <tpl hier="236" item="0"/>
          <tpl fld="4" item="6"/>
          <tpl fld="10" item="2"/>
        </tpls>
      </n>
      <n v="1.75" in="2">
        <tpls c="6">
          <tpl fld="11" item="0"/>
          <tpl fld="2" item="0"/>
          <tpl fld="6" item="2"/>
          <tpl hier="236" item="0"/>
          <tpl fld="4" item="3"/>
          <tpl fld="10" item="4"/>
        </tpls>
      </n>
      <n v="38.58439189189189" in="2">
        <tpls c="5">
          <tpl fld="11" item="0"/>
          <tpl fld="2" item="2"/>
          <tpl fld="6" item="2"/>
          <tpl hier="236" item="0"/>
          <tpl fld="4" item="0"/>
        </tpls>
      </n>
      <n v="120" in="1">
        <tpls c="6">
          <tpl fld="11" item="0"/>
          <tpl fld="2" item="2"/>
          <tpl fld="6" item="1"/>
          <tpl hier="236" item="0"/>
          <tpl fld="4" item="4"/>
          <tpl fld="10" item="5"/>
        </tpls>
      </n>
      <n v="901" in="1">
        <tpls c="6">
          <tpl fld="3" item="1"/>
          <tpl fld="11" item="0"/>
          <tpl fld="6" item="1"/>
          <tpl hier="236" item="0"/>
          <tpl fld="4" item="4"/>
          <tpl fld="10" item="2"/>
        </tpls>
      </n>
      <n v="2" in="2">
        <tpls c="6">
          <tpl fld="3" item="1"/>
          <tpl fld="11" item="0"/>
          <tpl fld="6" item="2"/>
          <tpl hier="236" item="0"/>
          <tpl fld="4" item="7"/>
          <tpl fld="10" item="8"/>
        </tpls>
      </n>
      <n v="2" in="2">
        <tpls c="6">
          <tpl fld="3" item="0"/>
          <tpl fld="11" item="0"/>
          <tpl fld="6" item="2"/>
          <tpl hier="236" item="0"/>
          <tpl fld="4" item="4"/>
          <tpl fld="10" item="7"/>
        </tpls>
      </n>
      <m>
        <tpls c="3">
          <tpl fld="7" item="1141"/>
          <tpl fld="6" item="3"/>
          <tpl hier="236" item="0"/>
        </tpls>
      </m>
      <m>
        <tpls c="3">
          <tpl fld="7" item="1235"/>
          <tpl fld="6" item="3"/>
          <tpl hier="236" item="0"/>
        </tpls>
      </m>
      <n v="39" in="1">
        <tpls c="5">
          <tpl fld="11" item="0"/>
          <tpl fld="5" item="1"/>
          <tpl fld="6" item="1"/>
          <tpl hier="236" item="0"/>
          <tpl fld="4" item="2"/>
        </tpls>
      </n>
      <n v="331" in="1">
        <tpls c="6">
          <tpl fld="11" item="0"/>
          <tpl fld="5" item="0"/>
          <tpl fld="6" item="1"/>
          <tpl hier="236" item="0"/>
          <tpl fld="4" item="6"/>
          <tpl fld="10" item="0"/>
        </tpls>
      </n>
      <m>
        <tpls c="6">
          <tpl fld="11" item="0"/>
          <tpl fld="5" item="0"/>
          <tpl fld="6" item="2"/>
          <tpl hier="236" item="0"/>
          <tpl fld="4" item="3"/>
          <tpl fld="10" item="3"/>
        </tpls>
      </m>
      <n v="255" in="1">
        <tpls c="5">
          <tpl fld="11" item="0"/>
          <tpl fld="5" item="5"/>
          <tpl fld="6" item="1"/>
          <tpl hier="236" item="0"/>
          <tpl fld="4" item="5"/>
        </tpls>
      </n>
      <n v="270.26040540540538" in="2">
        <tpls c="5">
          <tpl fld="11" item="0"/>
          <tpl fld="2" item="2"/>
          <tpl fld="6" item="2"/>
          <tpl hier="236" item="0"/>
          <tpl fld="1" item="0"/>
        </tpls>
      </n>
      <n v="102" in="1">
        <tpls c="6">
          <tpl fld="11" item="0"/>
          <tpl fld="2" item="0"/>
          <tpl fld="6" item="1"/>
          <tpl hier="236" item="0"/>
          <tpl fld="4" item="4"/>
          <tpl fld="10" item="5"/>
        </tpls>
      </n>
      <n v="7" in="1">
        <tpls c="6">
          <tpl fld="11" item="0"/>
          <tpl fld="2" item="0"/>
          <tpl fld="6" item="1"/>
          <tpl hier="236" item="0"/>
          <tpl fld="4" item="6"/>
          <tpl fld="10" item="6"/>
        </tpls>
      </n>
      <n v="1" in="1">
        <tpls c="4">
          <tpl fld="7" item="940"/>
          <tpl fld="6" item="1"/>
          <tpl hier="236" item="0"/>
          <tpl fld="4" item="5"/>
        </tpls>
      </n>
      <n v="1" in="1">
        <tpls c="4">
          <tpl fld="7" item="1261"/>
          <tpl fld="6" item="1"/>
          <tpl hier="236" item="0"/>
          <tpl fld="4" item="5"/>
        </tpls>
      </n>
      <m>
        <tpls c="3">
          <tpl fld="7" item="1045"/>
          <tpl fld="6" item="3"/>
          <tpl hier="236" item="0"/>
        </tpls>
      </m>
      <m>
        <tpls c="4">
          <tpl fld="7" item="1267"/>
          <tpl fld="6" item="1"/>
          <tpl hier="236" item="0"/>
          <tpl fld="4" item="6"/>
        </tpls>
      </m>
      <n v="46" in="1">
        <tpls c="6">
          <tpl fld="11" item="0"/>
          <tpl fld="2" item="4"/>
          <tpl fld="6" item="1"/>
          <tpl hier="236" item="0"/>
          <tpl fld="4" item="3"/>
          <tpl fld="10" item="0"/>
        </tpls>
      </n>
      <m>
        <tpls c="4">
          <tpl fld="7" item="1081"/>
          <tpl fld="6" item="2"/>
          <tpl hier="236" item="0"/>
          <tpl fld="4" item="5"/>
        </tpls>
      </m>
      <m>
        <tpls c="4">
          <tpl fld="7" item="959"/>
          <tpl fld="6" item="1"/>
          <tpl hier="236" item="0"/>
          <tpl fld="4" item="6"/>
        </tpls>
      </m>
      <n v="1" in="2">
        <tpls c="6">
          <tpl fld="11" item="0"/>
          <tpl fld="5" item="1"/>
          <tpl fld="6" item="2"/>
          <tpl hier="236" item="0"/>
          <tpl fld="4" item="4"/>
          <tpl fld="10" item="4"/>
        </tpls>
      </n>
      <m>
        <tpls c="4">
          <tpl fld="7" item="1283"/>
          <tpl fld="6" item="2"/>
          <tpl hier="236" item="0"/>
          <tpl fld="4" item="6"/>
        </tpls>
      </m>
      <m>
        <tpls c="4">
          <tpl fld="7" item="1251"/>
          <tpl fld="6" item="1"/>
          <tpl hier="236" item="0"/>
          <tpl fld="4" item="6"/>
        </tpls>
      </m>
      <n v="9" in="1">
        <tpls c="4">
          <tpl fld="7" item="1203"/>
          <tpl fld="6" item="1"/>
          <tpl hier="236" item="0"/>
          <tpl fld="4" item="6"/>
        </tpls>
      </n>
      <m>
        <tpls c="4">
          <tpl fld="7" item="1065"/>
          <tpl fld="6" item="1"/>
          <tpl hier="236" item="0"/>
          <tpl fld="4" item="6"/>
        </tpls>
      </m>
      <n v="1" in="1">
        <tpls c="4">
          <tpl fld="7" item="1076"/>
          <tpl fld="6" item="1"/>
          <tpl hier="236" item="0"/>
          <tpl fld="4" item="6"/>
        </tpls>
      </n>
      <n v="41.614864864864863" in="2">
        <tpls c="6">
          <tpl fld="3" item="2"/>
          <tpl fld="11" item="0"/>
          <tpl fld="6" item="2"/>
          <tpl hier="236" item="0"/>
          <tpl fld="4" item="6"/>
          <tpl fld="10" item="8"/>
        </tpls>
      </n>
      <n v="5.15" in="2">
        <tpls c="6">
          <tpl fld="11" item="0"/>
          <tpl fld="5" item="4"/>
          <tpl fld="6" item="2"/>
          <tpl hier="236" item="0"/>
          <tpl fld="4" item="6"/>
          <tpl fld="10" item="7"/>
        </tpls>
      </n>
      <m>
        <tpls c="6">
          <tpl fld="11" item="0"/>
          <tpl fld="5" item="5"/>
          <tpl fld="6" item="2"/>
          <tpl hier="236" item="0"/>
          <tpl fld="4" item="6"/>
          <tpl fld="10" item="6"/>
        </tpls>
      </m>
      <n v="595" in="1">
        <tpls c="6">
          <tpl fld="11" item="0"/>
          <tpl fld="5" item="0"/>
          <tpl fld="6" item="1"/>
          <tpl hier="236" item="0"/>
          <tpl fld="4" item="4"/>
          <tpl fld="10" item="3"/>
        </tpls>
      </n>
      <m>
        <tpls c="6">
          <tpl fld="11" item="0"/>
          <tpl fld="5" item="2"/>
          <tpl fld="6" item="2"/>
          <tpl hier="236" item="0"/>
          <tpl fld="4" item="7"/>
          <tpl fld="10" item="7"/>
        </tpls>
      </m>
      <n v="45.788851351351354" in="2">
        <tpls c="6">
          <tpl fld="11" item="0"/>
          <tpl fld="5" item="5"/>
          <tpl fld="6" item="2"/>
          <tpl hier="236" item="0"/>
          <tpl fld="4" item="3"/>
          <tpl fld="10" item="2"/>
        </tpls>
      </n>
      <n v="482.942837837838" in="2">
        <tpls c="5">
          <tpl fld="11" item="0"/>
          <tpl fld="5" item="1"/>
          <tpl fld="6" item="2"/>
          <tpl hier="236" item="0"/>
          <tpl fld="1" item="0"/>
        </tpls>
      </n>
      <n v="1" in="1">
        <tpls c="4">
          <tpl fld="7" item="1051"/>
          <tpl fld="6" item="1"/>
          <tpl hier="236" item="0"/>
          <tpl fld="4" item="6"/>
        </tpls>
      </n>
      <n v="412.46945945945942" in="2">
        <tpls c="5">
          <tpl fld="11" item="0"/>
          <tpl fld="5" item="5"/>
          <tpl fld="6" item="2"/>
          <tpl hier="236" item="0"/>
          <tpl fld="1" item="0"/>
        </tpls>
      </n>
      <m>
        <tpls c="6">
          <tpl fld="11" item="0"/>
          <tpl fld="5" item="4"/>
          <tpl fld="6" item="2"/>
          <tpl hier="236" item="0"/>
          <tpl fld="4" item="3"/>
          <tpl fld="10" item="3"/>
        </tpls>
      </m>
      <n v="2238" in="1">
        <tpls c="6">
          <tpl fld="11" item="0"/>
          <tpl fld="5" item="5"/>
          <tpl fld="6" item="1"/>
          <tpl hier="236" item="0"/>
          <tpl fld="4" item="4"/>
          <tpl fld="10" item="0"/>
        </tpls>
      </n>
      <n v="76.269594594594594" in="2">
        <tpls c="5">
          <tpl fld="11" item="0"/>
          <tpl fld="2" item="4"/>
          <tpl fld="6" item="2"/>
          <tpl hier="236" item="0"/>
          <tpl fld="1" item="0"/>
        </tpls>
      </n>
      <n v="61" in="1">
        <tpls c="6">
          <tpl fld="11" item="0"/>
          <tpl fld="2" item="3"/>
          <tpl fld="6" item="1"/>
          <tpl hier="236" item="0"/>
          <tpl fld="4" item="4"/>
          <tpl fld="10" item="5"/>
        </tpls>
      </n>
      <n v="91" in="1">
        <tpls c="6">
          <tpl fld="11" item="0"/>
          <tpl fld="2" item="3"/>
          <tpl fld="6" item="1"/>
          <tpl hier="236" item="0"/>
          <tpl fld="4" item="6"/>
          <tpl fld="10" item="6"/>
        </tpls>
      </n>
      <n v="135" in="1">
        <tpls c="6">
          <tpl fld="11" item="0"/>
          <tpl fld="2" item="3"/>
          <tpl fld="6" item="1"/>
          <tpl hier="236" item="0"/>
          <tpl fld="4" item="3"/>
          <tpl fld="10" item="0"/>
        </tpls>
      </n>
      <n v="990" in="1">
        <tpls c="6">
          <tpl fld="11" item="0"/>
          <tpl fld="2" item="3"/>
          <tpl fld="6" item="1"/>
          <tpl hier="236" item="0"/>
          <tpl fld="4" item="3"/>
          <tpl fld="10" item="2"/>
        </tpls>
      </n>
      <n v="95" in="1">
        <tpls c="6">
          <tpl fld="11" item="0"/>
          <tpl fld="2" item="4"/>
          <tpl fld="6" item="1"/>
          <tpl hier="236" item="0"/>
          <tpl fld="4" item="6"/>
          <tpl fld="10" item="4"/>
        </tpls>
      </n>
      <n v="218" in="1">
        <tpls c="6">
          <tpl fld="11" item="0"/>
          <tpl fld="2" item="2"/>
          <tpl fld="6" item="1"/>
          <tpl hier="236" item="0"/>
          <tpl fld="4" item="6"/>
          <tpl fld="10" item="4"/>
        </tpls>
      </n>
      <n v="347" in="1">
        <tpls c="6">
          <tpl fld="3" item="0"/>
          <tpl fld="11" item="0"/>
          <tpl fld="6" item="1"/>
          <tpl hier="236" item="0"/>
          <tpl fld="4" item="4"/>
          <tpl fld="10" item="7"/>
        </tpls>
      </n>
      <m>
        <tpls c="4">
          <tpl fld="7" item="1041"/>
          <tpl fld="6" item="1"/>
          <tpl hier="236" item="0"/>
          <tpl fld="4" item="6"/>
        </tpls>
      </m>
      <m>
        <tpls c="3">
          <tpl fld="7" item="1269"/>
          <tpl fld="6" item="3"/>
          <tpl hier="236" item="0"/>
        </tpls>
      </m>
      <n v="25.043783783783784" in="2">
        <tpls c="6">
          <tpl fld="11" item="0"/>
          <tpl fld="5" item="3"/>
          <tpl fld="6" item="2"/>
          <tpl hier="236" item="0"/>
          <tpl fld="4" item="4"/>
          <tpl fld="10" item="0"/>
        </tpls>
      </n>
      <n v="188" in="1">
        <tpls c="6">
          <tpl fld="11" item="0"/>
          <tpl fld="5" item="2"/>
          <tpl fld="6" item="1"/>
          <tpl hier="236" item="0"/>
          <tpl fld="4" item="6"/>
          <tpl fld="10" item="0"/>
        </tpls>
      </n>
      <m>
        <tpls c="6">
          <tpl fld="11" item="0"/>
          <tpl fld="5" item="2"/>
          <tpl fld="6" item="2"/>
          <tpl hier="236" item="0"/>
          <tpl fld="4" item="7"/>
          <tpl fld="10" item="5"/>
        </tpls>
      </m>
      <n v="254" in="1">
        <tpls c="6">
          <tpl fld="11" item="0"/>
          <tpl fld="5" item="5"/>
          <tpl fld="6" item="1"/>
          <tpl hier="236" item="0"/>
          <tpl fld="4" item="3"/>
          <tpl fld="10" item="1"/>
        </tpls>
      </n>
      <n v="19.826351351351352" in="2">
        <tpls c="6">
          <tpl fld="11" item="0"/>
          <tpl fld="2" item="4"/>
          <tpl fld="6" item="2"/>
          <tpl hier="236" item="0"/>
          <tpl fld="4" item="1"/>
          <tpl fld="9" item="4"/>
        </tpls>
      </n>
      <n v="2.8040540540540539" in="2">
        <tpls c="6">
          <tpl fld="11" item="0"/>
          <tpl fld="2" item="4"/>
          <tpl fld="6" item="2"/>
          <tpl hier="236" item="0"/>
          <tpl fld="4" item="4"/>
          <tpl fld="10" item="3"/>
        </tpls>
      </n>
      <n v="2" in="2">
        <tpls c="6">
          <tpl fld="11" item="0"/>
          <tpl fld="2" item="4"/>
          <tpl fld="6" item="2"/>
          <tpl hier="236" item="0"/>
          <tpl fld="4" item="6"/>
          <tpl fld="10" item="5"/>
        </tpls>
      </n>
      <m>
        <tpls c="6">
          <tpl fld="11" item="0"/>
          <tpl fld="2" item="4"/>
          <tpl fld="6" item="2"/>
          <tpl hier="236" item="0"/>
          <tpl fld="4" item="3"/>
          <tpl fld="10" item="6"/>
        </tpls>
      </m>
      <m>
        <tpls c="6">
          <tpl fld="11" item="0"/>
          <tpl fld="2" item="4"/>
          <tpl fld="6" item="2"/>
          <tpl hier="236" item="0"/>
          <tpl fld="4" item="7"/>
          <tpl fld="10" item="0"/>
        </tpls>
      </m>
      <n v="2" in="1">
        <tpls c="6">
          <tpl fld="11" item="0"/>
          <tpl fld="2" item="4"/>
          <tpl fld="6" item="1"/>
          <tpl hier="236" item="0"/>
          <tpl fld="4" item="1"/>
          <tpl fld="9" item="0"/>
        </tpls>
      </n>
      <n v="1211" in="1">
        <tpls c="6">
          <tpl fld="11" item="0"/>
          <tpl fld="2" item="2"/>
          <tpl fld="6" item="1"/>
          <tpl hier="236" item="0"/>
          <tpl fld="4" item="6"/>
          <tpl fld="10" item="8"/>
        </tpls>
      </n>
      <n v="5" in="1">
        <tpls c="6">
          <tpl fld="3" item="1"/>
          <tpl fld="11" item="0"/>
          <tpl fld="6" item="1"/>
          <tpl hier="236" item="0"/>
          <tpl fld="4" item="1"/>
          <tpl fld="9" item="0"/>
        </tpls>
      </n>
      <n v="0.55000000000000004" in="2">
        <tpls c="6">
          <tpl fld="3" item="4"/>
          <tpl fld="11" item="0"/>
          <tpl fld="6" item="2"/>
          <tpl hier="236" item="0"/>
          <tpl fld="4" item="4"/>
          <tpl fld="10" item="4"/>
        </tpls>
      </n>
      <n v="1" in="1">
        <tpls c="4">
          <tpl fld="7" item="1039"/>
          <tpl fld="6" item="1"/>
          <tpl hier="236" item="0"/>
          <tpl fld="4" item="6"/>
        </tpls>
      </n>
      <m>
        <tpls c="3">
          <tpl fld="7" item="1077"/>
          <tpl fld="6" item="3"/>
          <tpl hier="236" item="0"/>
        </tpls>
      </m>
      <m>
        <tpls c="6">
          <tpl fld="11" item="0"/>
          <tpl fld="5" item="1"/>
          <tpl fld="6" item="1"/>
          <tpl hier="236" item="0"/>
          <tpl fld="4" item="3"/>
          <tpl fld="10" item="1"/>
        </tpls>
      </m>
      <n v="10" in="1">
        <tpls c="6">
          <tpl fld="11" item="0"/>
          <tpl fld="5" item="2"/>
          <tpl fld="6" item="1"/>
          <tpl hier="236" item="0"/>
          <tpl fld="4" item="6"/>
          <tpl fld="10" item="6"/>
        </tpls>
      </n>
      <m>
        <tpls c="6">
          <tpl fld="11" item="0"/>
          <tpl fld="5" item="1"/>
          <tpl fld="6" item="2"/>
          <tpl hier="236" item="0"/>
          <tpl fld="4" item="7"/>
          <tpl fld="10" item="6"/>
        </tpls>
      </m>
      <m>
        <tpls c="6">
          <tpl fld="11" item="0"/>
          <tpl fld="5" item="2"/>
          <tpl fld="6" item="1"/>
          <tpl hier="236" item="0"/>
          <tpl fld="4" item="7"/>
          <tpl fld="10" item="1"/>
        </tpls>
      </m>
      <n v="24.405405405405407" in="2">
        <tpls c="6">
          <tpl fld="11" item="0"/>
          <tpl fld="2" item="2"/>
          <tpl fld="6" item="2"/>
          <tpl hier="236" item="0"/>
          <tpl fld="4" item="1"/>
          <tpl fld="9" item="1"/>
        </tpls>
      </n>
      <n v="13.869256756756757" in="2">
        <tpls c="6">
          <tpl fld="11" item="0"/>
          <tpl fld="2" item="2"/>
          <tpl fld="6" item="2"/>
          <tpl hier="236" item="0"/>
          <tpl fld="4" item="4"/>
          <tpl fld="10" item="7"/>
        </tpls>
      </n>
      <n v="1" in="2">
        <tpls c="6">
          <tpl fld="11" item="0"/>
          <tpl fld="2" item="2"/>
          <tpl fld="6" item="2"/>
          <tpl hier="236" item="0"/>
          <tpl fld="4" item="6"/>
          <tpl fld="10" item="1"/>
        </tpls>
      </n>
      <n v="2.25" in="2">
        <tpls c="6">
          <tpl fld="11" item="0"/>
          <tpl fld="2" item="2"/>
          <tpl fld="6" item="2"/>
          <tpl hier="236" item="0"/>
          <tpl fld="4" item="3"/>
          <tpl fld="10" item="3"/>
        </tpls>
      </n>
      <m>
        <tpls c="6">
          <tpl fld="11" item="0"/>
          <tpl fld="2" item="2"/>
          <tpl fld="6" item="2"/>
          <tpl hier="236" item="0"/>
          <tpl fld="4" item="7"/>
          <tpl fld="10" item="5"/>
        </tpls>
      </m>
      <m>
        <tpls c="4">
          <tpl fld="7" item="975"/>
          <tpl fld="6" item="2"/>
          <tpl hier="236" item="0"/>
          <tpl fld="4" item="6"/>
        </tpls>
      </m>
      <m>
        <tpls c="4">
          <tpl fld="7" item="1044"/>
          <tpl fld="6" item="1"/>
          <tpl hier="236" item="0"/>
          <tpl fld="4" item="6"/>
        </tpls>
      </m>
      <n v="2" in="1">
        <tpls c="4">
          <tpl fld="7" item="872"/>
          <tpl fld="6" item="1"/>
          <tpl hier="236" item="0"/>
          <tpl fld="4" item="5"/>
        </tpls>
      </n>
      <n v="1" in="1">
        <tpls c="4">
          <tpl fld="7" item="1071"/>
          <tpl fld="6" item="1"/>
          <tpl hier="236" item="0"/>
          <tpl fld="4" item="6"/>
        </tpls>
      </n>
      <n v="231" in="1">
        <tpls c="6">
          <tpl fld="11" item="0"/>
          <tpl fld="5" item="3"/>
          <tpl fld="6" item="1"/>
          <tpl hier="236" item="0"/>
          <tpl fld="4" item="4"/>
          <tpl fld="10" item="2"/>
        </tpls>
      </n>
      <m>
        <tpls c="4">
          <tpl fld="7" item="1065"/>
          <tpl fld="6" item="1"/>
          <tpl hier="236" item="0"/>
          <tpl fld="4" item="5"/>
        </tpls>
      </m>
      <n v="16.69864864864865" in="2">
        <tpls c="6">
          <tpl fld="11" item="0"/>
          <tpl fld="5" item="3"/>
          <tpl fld="6" item="2"/>
          <tpl hier="236" item="0"/>
          <tpl fld="4" item="4"/>
          <tpl fld="10" item="6"/>
        </tpls>
      </n>
      <n v="5.8200675675675679" in="2">
        <tpls c="6">
          <tpl fld="11" item="0"/>
          <tpl fld="2" item="0"/>
          <tpl fld="6" item="2"/>
          <tpl hier="236" item="0"/>
          <tpl fld="4" item="6"/>
          <tpl fld="10" item="7"/>
        </tpls>
      </n>
      <n v="1111" in="1">
        <tpls c="6">
          <tpl fld="3" item="1"/>
          <tpl fld="11" item="0"/>
          <tpl fld="6" item="1"/>
          <tpl hier="236" item="0"/>
          <tpl fld="4" item="4"/>
          <tpl fld="10" item="0"/>
        </tpls>
      </n>
      <m>
        <tpls c="3">
          <tpl fld="7" item="1232"/>
          <tpl fld="6" item="3"/>
          <tpl hier="236" item="0"/>
        </tpls>
      </m>
      <n v="45.455405405405408" in="2">
        <tpls c="6">
          <tpl fld="11" item="0"/>
          <tpl fld="5" item="1"/>
          <tpl fld="6" item="2"/>
          <tpl hier="236" item="0"/>
          <tpl fld="4" item="4"/>
          <tpl fld="10" item="6"/>
        </tpls>
      </n>
      <n v="161" in="1">
        <tpls c="6">
          <tpl fld="11" item="0"/>
          <tpl fld="2" item="0"/>
          <tpl fld="6" item="1"/>
          <tpl hier="236" item="0"/>
          <tpl fld="4" item="6"/>
          <tpl fld="10" item="8"/>
        </tpls>
      </n>
      <n v="133" in="1">
        <tpls c="6">
          <tpl fld="11" item="0"/>
          <tpl fld="2" item="0"/>
          <tpl fld="6" item="1"/>
          <tpl hier="236" item="0"/>
          <tpl fld="4" item="3"/>
          <tpl fld="10" item="2"/>
        </tpls>
      </n>
      <n v="132" in="1">
        <tpls c="6">
          <tpl fld="11" item="0"/>
          <tpl fld="2" item="2"/>
          <tpl fld="6" item="1"/>
          <tpl hier="236" item="0"/>
          <tpl fld="4" item="7"/>
          <tpl fld="10" item="7"/>
        </tpls>
      </n>
      <n v="255" in="1">
        <tpls c="6">
          <tpl fld="3" item="4"/>
          <tpl fld="11" item="0"/>
          <tpl fld="6" item="1"/>
          <tpl hier="236" item="0"/>
          <tpl fld="4" item="6"/>
          <tpl fld="10" item="5"/>
        </tpls>
      </n>
      <m>
        <tpls c="3">
          <tpl fld="7" item="1065"/>
          <tpl fld="6" item="3"/>
          <tpl hier="236" item="0"/>
        </tpls>
      </m>
      <n v="384" in="1">
        <tpls c="6">
          <tpl fld="11" item="0"/>
          <tpl fld="5" item="0"/>
          <tpl fld="6" item="1"/>
          <tpl hier="236" item="0"/>
          <tpl fld="4" item="6"/>
          <tpl fld="10" item="4"/>
        </tpls>
      </n>
      <n v="25" in="1">
        <tpls c="6">
          <tpl fld="11" item="0"/>
          <tpl fld="5" item="0"/>
          <tpl fld="6" item="1"/>
          <tpl hier="236" item="0"/>
          <tpl fld="4" item="6"/>
          <tpl fld="10" item="1"/>
        </tpls>
      </n>
      <n v="1848" in="1">
        <tpls c="6">
          <tpl fld="11" item="0"/>
          <tpl fld="5" item="5"/>
          <tpl fld="6" item="1"/>
          <tpl hier="236" item="0"/>
          <tpl fld="4" item="4"/>
          <tpl fld="10" item="2"/>
        </tpls>
      </n>
      <n v="5.25" in="2">
        <tpls c="6">
          <tpl fld="11" item="0"/>
          <tpl fld="2" item="1"/>
          <tpl fld="6" item="2"/>
          <tpl hier="236" item="0"/>
          <tpl fld="4" item="1"/>
          <tpl fld="9" item="0"/>
        </tpls>
      </n>
      <n v="2.95" in="2">
        <tpls c="6">
          <tpl fld="11" item="0"/>
          <tpl fld="2" item="1"/>
          <tpl fld="6" item="2"/>
          <tpl hier="236" item="0"/>
          <tpl fld="4" item="4"/>
          <tpl fld="10" item="4"/>
        </tpls>
      </n>
      <n v="3" in="2">
        <tpls c="6">
          <tpl fld="11" item="0"/>
          <tpl fld="2" item="2"/>
          <tpl fld="6" item="2"/>
          <tpl hier="236" item="0"/>
          <tpl fld="4" item="3"/>
          <tpl fld="10" item="0"/>
        </tpls>
      </n>
      <m>
        <tpls c="6">
          <tpl fld="11" item="0"/>
          <tpl fld="2" item="1"/>
          <tpl fld="6" item="2"/>
          <tpl hier="236" item="0"/>
          <tpl fld="4" item="7"/>
          <tpl fld="10" item="6"/>
        </tpls>
      </m>
      <n v="143" in="1">
        <tpls c="6">
          <tpl fld="11" item="0"/>
          <tpl fld="2" item="4"/>
          <tpl fld="6" item="1"/>
          <tpl hier="236" item="0"/>
          <tpl fld="4" item="7"/>
          <tpl fld="10" item="7"/>
        </tpls>
      </n>
      <n v="203.81756756756752" in="2">
        <tpls c="5">
          <tpl fld="3" item="1"/>
          <tpl fld="11" item="0"/>
          <tpl fld="6" item="2"/>
          <tpl hier="236" item="0"/>
          <tpl fld="1" item="0"/>
        </tpls>
      </n>
      <n v="127" in="1">
        <tpls c="6">
          <tpl fld="3" item="1"/>
          <tpl fld="11" item="0"/>
          <tpl fld="6" item="1"/>
          <tpl hier="236" item="0"/>
          <tpl fld="4" item="3"/>
          <tpl fld="10" item="0"/>
        </tpls>
      </n>
      <n v="118" in="1">
        <tpls c="6">
          <tpl fld="3" item="1"/>
          <tpl fld="11" item="0"/>
          <tpl fld="6" item="1"/>
          <tpl hier="236" item="0"/>
          <tpl fld="4" item="1"/>
          <tpl fld="9" item="1"/>
        </tpls>
      </n>
      <n v="44" in="1">
        <tpls c="6">
          <tpl fld="3" item="1"/>
          <tpl fld="11" item="0"/>
          <tpl fld="6" item="1"/>
          <tpl hier="236" item="0"/>
          <tpl fld="4" item="7"/>
          <tpl fld="10" item="0"/>
        </tpls>
      </n>
      <n v="1" in="1">
        <tpls c="6">
          <tpl fld="3" item="4"/>
          <tpl fld="11" item="0"/>
          <tpl fld="6" item="1"/>
          <tpl hier="236" item="0"/>
          <tpl fld="4" item="7"/>
          <tpl fld="10" item="7"/>
        </tpls>
      </n>
      <m>
        <tpls c="6">
          <tpl fld="11" item="0"/>
          <tpl fld="5" item="3"/>
          <tpl fld="6" item="2"/>
          <tpl hier="236" item="0"/>
          <tpl fld="4" item="3"/>
          <tpl fld="10" item="6"/>
        </tpls>
      </m>
      <n v="1" in="2">
        <tpls c="6">
          <tpl fld="11" item="0"/>
          <tpl fld="2" item="3"/>
          <tpl fld="6" item="2"/>
          <tpl hier="236" item="0"/>
          <tpl fld="4" item="1"/>
          <tpl fld="9" item="3"/>
        </tpls>
      </n>
      <m>
        <tpls c="6">
          <tpl fld="11" item="0"/>
          <tpl fld="2" item="3"/>
          <tpl fld="6" item="2"/>
          <tpl hier="236" item="0"/>
          <tpl fld="4" item="7"/>
          <tpl fld="10" item="1"/>
        </tpls>
      </m>
      <n v="29.998648648648651" in="2">
        <tpls c="6">
          <tpl fld="3" item="4"/>
          <tpl fld="11" item="0"/>
          <tpl fld="6" item="2"/>
          <tpl hier="236" item="0"/>
          <tpl fld="4" item="4"/>
          <tpl fld="10" item="6"/>
        </tpls>
      </n>
      <m>
        <tpls c="6">
          <tpl fld="3" item="4"/>
          <tpl fld="11" item="0"/>
          <tpl fld="6" item="2"/>
          <tpl hier="236" item="0"/>
          <tpl fld="4" item="7"/>
          <tpl fld="10" item="5"/>
        </tpls>
      </m>
      <m>
        <tpls c="6">
          <tpl fld="3" item="0"/>
          <tpl fld="11" item="0"/>
          <tpl fld="6" item="2"/>
          <tpl hier="236" item="0"/>
          <tpl fld="4" item="4"/>
          <tpl fld="10" item="5"/>
        </tpls>
      </m>
      <m>
        <tpls c="4">
          <tpl fld="7" item="963"/>
          <tpl fld="6" item="2"/>
          <tpl hier="236" item="0"/>
          <tpl fld="4" item="5"/>
        </tpls>
      </m>
      <m>
        <tpls c="4">
          <tpl fld="7" item="950"/>
          <tpl fld="6" item="2"/>
          <tpl hier="236" item="0"/>
          <tpl fld="4" item="5"/>
        </tpls>
      </m>
      <m>
        <tpls c="4">
          <tpl fld="7" item="954"/>
          <tpl fld="6" item="1"/>
          <tpl hier="236" item="0"/>
          <tpl fld="4" item="5"/>
        </tpls>
      </m>
      <n v="1" in="1">
        <tpls c="4">
          <tpl fld="7" item="1283"/>
          <tpl fld="6" item="1"/>
          <tpl hier="236" item="0"/>
          <tpl fld="1" item="0"/>
        </tpls>
      </n>
      <m>
        <tpls c="4">
          <tpl fld="7" item="1068"/>
          <tpl fld="6" item="2"/>
          <tpl hier="236" item="0"/>
          <tpl fld="4" item="5"/>
        </tpls>
      </m>
      <n v="1" in="1">
        <tpls c="4">
          <tpl fld="7" item="955"/>
          <tpl fld="6" item="1"/>
          <tpl hier="236" item="0"/>
          <tpl fld="4" item="5"/>
        </tpls>
      </n>
      <m>
        <tpls c="4">
          <tpl fld="7" item="1070"/>
          <tpl fld="6" item="2"/>
          <tpl hier="236" item="0"/>
          <tpl fld="4" item="5"/>
        </tpls>
      </m>
      <m>
        <tpls c="4">
          <tpl fld="7" item="1252"/>
          <tpl fld="6" item="2"/>
          <tpl hier="236" item="0"/>
          <tpl fld="4" item="5"/>
        </tpls>
      </m>
      <n v="3" in="1">
        <tpls c="4">
          <tpl fld="7" item="1279"/>
          <tpl fld="6" item="1"/>
          <tpl hier="236" item="0"/>
          <tpl fld="4" item="5"/>
        </tpls>
      </n>
      <n v="1" in="1">
        <tpls c="4">
          <tpl fld="7" item="970"/>
          <tpl fld="6" item="1"/>
          <tpl hier="236" item="0"/>
          <tpl fld="4" item="6"/>
        </tpls>
      </n>
      <n v="3" in="1">
        <tpls c="4">
          <tpl fld="7" item="1148"/>
          <tpl fld="6" item="1"/>
          <tpl hier="236" item="0"/>
          <tpl fld="1" item="0"/>
        </tpls>
      </n>
      <n v="1" in="1">
        <tpls c="4">
          <tpl fld="7" item="966"/>
          <tpl fld="6" item="1"/>
          <tpl hier="236" item="0"/>
          <tpl fld="1" item="0"/>
        </tpls>
      </n>
      <m>
        <tpls c="4">
          <tpl fld="7" item="1254"/>
          <tpl fld="6" item="2"/>
          <tpl hier="236" item="0"/>
          <tpl fld="4" item="6"/>
        </tpls>
      </m>
      <n v="37" in="1">
        <tpls c="6">
          <tpl fld="11" item="0"/>
          <tpl fld="5" item="4"/>
          <tpl fld="6" item="1"/>
          <tpl hier="236" item="0"/>
          <tpl fld="4" item="6"/>
          <tpl fld="10" item="6"/>
        </tpls>
      </n>
      <n v="1" in="1">
        <tpls c="4">
          <tpl fld="7" item="947"/>
          <tpl fld="6" item="1"/>
          <tpl hier="236" item="0"/>
          <tpl fld="4" item="6"/>
        </tpls>
      </n>
      <m>
        <tpls c="6">
          <tpl fld="11" item="0"/>
          <tpl fld="5" item="2"/>
          <tpl fld="6" item="2"/>
          <tpl hier="236" item="0"/>
          <tpl fld="4" item="3"/>
          <tpl fld="10" item="6"/>
        </tpls>
      </m>
      <m>
        <tpls c="4">
          <tpl fld="7" item="960"/>
          <tpl fld="6" item="1"/>
          <tpl hier="236" item="0"/>
          <tpl fld="4" item="5"/>
        </tpls>
      </m>
      <m>
        <tpls c="3">
          <tpl fld="7" item="1250"/>
          <tpl fld="6" item="3"/>
          <tpl hier="236" item="0"/>
        </tpls>
      </m>
      <n v="1" in="1">
        <tpls c="4">
          <tpl fld="7" item="1152"/>
          <tpl fld="6" item="1"/>
          <tpl hier="236" item="0"/>
          <tpl fld="4" item="6"/>
        </tpls>
      </n>
      <n v="3" in="2">
        <tpls c="6">
          <tpl fld="11" item="0"/>
          <tpl fld="5" item="5"/>
          <tpl fld="6" item="2"/>
          <tpl hier="236" item="0"/>
          <tpl fld="4" item="6"/>
          <tpl fld="10" item="3"/>
        </tpls>
      </n>
      <m>
        <tpls c="3">
          <tpl fld="7" item="1154"/>
          <tpl fld="6" item="3"/>
          <tpl hier="236" item="0"/>
        </tpls>
      </m>
      <n v="9.1499999999999986" in="2">
        <tpls c="6">
          <tpl fld="11" item="0"/>
          <tpl fld="5" item="1"/>
          <tpl fld="6" item="2"/>
          <tpl hier="236" item="0"/>
          <tpl fld="4" item="4"/>
          <tpl fld="10" item="2"/>
        </tpls>
      </n>
      <m>
        <tpls c="4">
          <tpl fld="7" item="1163"/>
          <tpl fld="6" item="1"/>
          <tpl hier="236" item="0"/>
          <tpl fld="1" item="0"/>
        </tpls>
      </m>
      <n v="19" in="1">
        <tpls c="4">
          <tpl fld="7" item="1261"/>
          <tpl fld="6" item="1"/>
          <tpl hier="236" item="0"/>
          <tpl fld="4" item="6"/>
        </tpls>
      </n>
      <n v="1.05" in="2">
        <tpls c="6">
          <tpl fld="11" item="0"/>
          <tpl fld="5" item="4"/>
          <tpl fld="6" item="2"/>
          <tpl hier="236" item="0"/>
          <tpl fld="4" item="1"/>
          <tpl fld="9" item="3"/>
        </tpls>
      </n>
      <m>
        <tpls c="6">
          <tpl fld="11" item="0"/>
          <tpl fld="5" item="1"/>
          <tpl fld="6" item="2"/>
          <tpl hier="236" item="0"/>
          <tpl fld="4" item="3"/>
          <tpl fld="10" item="0"/>
        </tpls>
      </m>
      <n v="4" in="1">
        <tpls c="4">
          <tpl fld="7" item="1066"/>
          <tpl fld="6" item="1"/>
          <tpl hier="236" item="0"/>
          <tpl fld="1" item="0"/>
        </tpls>
      </n>
      <m>
        <tpls c="4">
          <tpl fld="7" item="1036"/>
          <tpl fld="6" item="1"/>
          <tpl hier="236" item="0"/>
          <tpl fld="4" item="6"/>
        </tpls>
      </m>
      <n v="0.17956081081081079" in="0">
        <tpls c="5">
          <tpl fld="11" item="0"/>
          <tpl fld="5" item="2"/>
          <tpl fld="6" item="0"/>
          <tpl hier="236" item="0"/>
          <tpl fld="4" item="0"/>
        </tpls>
      </n>
      <m>
        <tpls c="4">
          <tpl fld="7" item="1069"/>
          <tpl fld="6" item="1"/>
          <tpl hier="236" item="0"/>
          <tpl fld="4" item="6"/>
        </tpls>
      </m>
      <n v="0" in="1">
        <tpls c="6">
          <tpl fld="11" item="0"/>
          <tpl fld="5" item="4"/>
          <tpl fld="6" item="1"/>
          <tpl hier="236" item="0"/>
          <tpl fld="4" item="3"/>
          <tpl fld="10" item="5"/>
        </tpls>
      </n>
      <m>
        <tpls c="4">
          <tpl fld="7" item="1202"/>
          <tpl fld="6" item="2"/>
          <tpl hier="236" item="0"/>
          <tpl fld="4" item="5"/>
        </tpls>
      </m>
      <m>
        <tpls c="6">
          <tpl fld="11" item="0"/>
          <tpl fld="5" item="1"/>
          <tpl fld="6" item="2"/>
          <tpl hier="236" item="0"/>
          <tpl fld="4" item="7"/>
          <tpl fld="10" item="3"/>
        </tpls>
      </m>
      <n v="27" in="1">
        <tpls c="6">
          <tpl fld="11" item="0"/>
          <tpl fld="2" item="3"/>
          <tpl fld="6" item="1"/>
          <tpl hier="236" item="0"/>
          <tpl fld="4" item="6"/>
          <tpl fld="10" item="1"/>
        </tpls>
      </n>
      <n v="3723" in="1">
        <tpls c="5">
          <tpl fld="3" item="0"/>
          <tpl fld="11" item="0"/>
          <tpl fld="6" item="1"/>
          <tpl hier="236" item="0"/>
          <tpl fld="1" item="0"/>
        </tpls>
      </n>
      <m>
        <tpls c="4">
          <tpl fld="7" item="1057"/>
          <tpl fld="6" item="1"/>
          <tpl hier="236" item="0"/>
          <tpl fld="4" item="6"/>
        </tpls>
      </m>
      <m>
        <tpls c="6">
          <tpl fld="11" item="0"/>
          <tpl fld="5" item="1"/>
          <tpl fld="6" item="2"/>
          <tpl hier="236" item="0"/>
          <tpl fld="4" item="3"/>
          <tpl fld="10" item="1"/>
        </tpls>
      </m>
      <n v="4.0999999999999996" in="2">
        <tpls c="6">
          <tpl fld="11" item="0"/>
          <tpl fld="2" item="4"/>
          <tpl fld="6" item="2"/>
          <tpl hier="236" item="0"/>
          <tpl fld="4" item="6"/>
          <tpl fld="10" item="7"/>
        </tpls>
      </n>
      <m>
        <tpls c="4">
          <tpl fld="7" item="1160"/>
          <tpl fld="6" item="1"/>
          <tpl hier="236" item="0"/>
          <tpl fld="4" item="6"/>
        </tpls>
      </m>
      <n v="63" in="1">
        <tpls c="6">
          <tpl fld="11" item="0"/>
          <tpl fld="5" item="0"/>
          <tpl fld="6" item="1"/>
          <tpl hier="236" item="0"/>
          <tpl fld="4" item="1"/>
          <tpl fld="9" item="2"/>
        </tpls>
      </n>
      <m>
        <tpls c="4">
          <tpl fld="7" item="1143"/>
          <tpl fld="6" item="1"/>
          <tpl hier="236" item="0"/>
          <tpl fld="4" item="6"/>
        </tpls>
      </m>
      <n v="50" in="1">
        <tpls c="5">
          <tpl fld="11" item="0"/>
          <tpl fld="2" item="3"/>
          <tpl fld="6" item="1"/>
          <tpl hier="236" item="0"/>
          <tpl fld="4" item="2"/>
        </tpls>
      </n>
      <n v="141" in="1">
        <tpls c="5">
          <tpl fld="11" item="0"/>
          <tpl fld="5" item="4"/>
          <tpl fld="6" item="1"/>
          <tpl hier="236" item="0"/>
          <tpl fld="4" item="0"/>
        </tpls>
      </n>
      <n v="245" in="1">
        <tpls c="6">
          <tpl fld="11" item="0"/>
          <tpl fld="5" item="0"/>
          <tpl fld="6" item="1"/>
          <tpl hier="236" item="0"/>
          <tpl fld="4" item="4"/>
          <tpl fld="10" item="2"/>
        </tpls>
      </n>
      <n v="48.978581081081082" in="2">
        <tpls c="6">
          <tpl fld="11" item="0"/>
          <tpl fld="2" item="0"/>
          <tpl fld="6" item="2"/>
          <tpl hier="236" item="0"/>
          <tpl fld="4" item="1"/>
          <tpl fld="9" item="4"/>
        </tpls>
      </n>
      <n v="4.75" in="2">
        <tpls c="6">
          <tpl fld="11" item="0"/>
          <tpl fld="2" item="0"/>
          <tpl fld="6" item="2"/>
          <tpl hier="236" item="0"/>
          <tpl fld="4" item="7"/>
          <tpl fld="10" item="0"/>
        </tpls>
      </n>
      <n v="132.30527027027023" in="2">
        <tpls c="6">
          <tpl fld="3" item="4"/>
          <tpl fld="11" item="0"/>
          <tpl fld="6" item="2"/>
          <tpl hier="236" item="0"/>
          <tpl fld="4" item="1"/>
          <tpl fld="9" item="4"/>
        </tpls>
      </n>
      <n v="1" in="2">
        <tpls c="6">
          <tpl fld="11" item="0"/>
          <tpl fld="5" item="3"/>
          <tpl fld="6" item="2"/>
          <tpl hier="236" item="0"/>
          <tpl fld="4" item="6"/>
          <tpl fld="10" item="4"/>
        </tpls>
      </n>
      <n v="10" in="1">
        <tpls c="6">
          <tpl fld="11" item="0"/>
          <tpl fld="2" item="0"/>
          <tpl fld="6" item="1"/>
          <tpl hier="236" item="0"/>
          <tpl fld="4" item="1"/>
          <tpl fld="9" item="0"/>
        </tpls>
      </n>
      <n v="46" in="1">
        <tpls c="4">
          <tpl fld="7" item="1053"/>
          <tpl fld="6" item="1"/>
          <tpl hier="236" item="0"/>
          <tpl fld="1" item="0"/>
        </tpls>
      </n>
      <m>
        <tpls c="4">
          <tpl fld="7" item="1075"/>
          <tpl fld="6" item="1"/>
          <tpl hier="236" item="0"/>
          <tpl fld="4" item="5"/>
        </tpls>
      </m>
      <n v="162" in="1">
        <tpls c="6">
          <tpl fld="11" item="0"/>
          <tpl fld="5" item="4"/>
          <tpl fld="6" item="1"/>
          <tpl hier="236" item="0"/>
          <tpl fld="4" item="1"/>
          <tpl fld="9" item="1"/>
        </tpls>
      </n>
      <n v="1" in="1">
        <tpls c="4">
          <tpl fld="7" item="1068"/>
          <tpl fld="6" item="1"/>
          <tpl hier="236" item="0"/>
          <tpl fld="4" item="6"/>
        </tpls>
      </n>
      <n v="63" in="1">
        <tpls c="6">
          <tpl fld="11" item="0"/>
          <tpl fld="5" item="4"/>
          <tpl fld="6" item="1"/>
          <tpl hier="236" item="0"/>
          <tpl fld="4" item="6"/>
          <tpl fld="10" item="4"/>
        </tpls>
      </n>
      <n v="4.9006756756756751" in="2">
        <tpls c="6">
          <tpl fld="11" item="0"/>
          <tpl fld="5" item="5"/>
          <tpl fld="6" item="2"/>
          <tpl hier="236" item="0"/>
          <tpl fld="4" item="6"/>
          <tpl fld="10" item="5"/>
        </tpls>
      </n>
      <m>
        <tpls c="6">
          <tpl fld="11" item="0"/>
          <tpl fld="5" item="1"/>
          <tpl fld="6" item="2"/>
          <tpl hier="236" item="0"/>
          <tpl fld="4" item="7"/>
          <tpl fld="10" item="8"/>
        </tpls>
      </m>
      <n v="213" in="1">
        <tpls c="6">
          <tpl fld="11" item="0"/>
          <tpl fld="2" item="3"/>
          <tpl fld="6" item="1"/>
          <tpl hier="236" item="0"/>
          <tpl fld="4" item="6"/>
          <tpl fld="10" item="3"/>
        </tpls>
      </n>
      <m>
        <tpls c="4">
          <tpl fld="7" item="948"/>
          <tpl fld="6" item="1"/>
          <tpl hier="236" item="0"/>
          <tpl fld="4" item="6"/>
        </tpls>
      </m>
      <m>
        <tpls c="6">
          <tpl fld="11" item="0"/>
          <tpl fld="5" item="1"/>
          <tpl fld="6" item="2"/>
          <tpl hier="236" item="0"/>
          <tpl fld="4" item="7"/>
          <tpl fld="10" item="7"/>
        </tpls>
      </m>
      <m>
        <tpls c="6">
          <tpl fld="11" item="0"/>
          <tpl fld="2" item="4"/>
          <tpl fld="6" item="2"/>
          <tpl hier="236" item="0"/>
          <tpl fld="4" item="6"/>
          <tpl fld="10" item="1"/>
        </tpls>
      </m>
      <n v="10.743243243243244" in="2">
        <tpls c="5">
          <tpl fld="11" item="0"/>
          <tpl fld="2" item="3"/>
          <tpl fld="6" item="2"/>
          <tpl hier="236" item="0"/>
          <tpl fld="4" item="5"/>
        </tpls>
      </n>
      <n v="178" in="1">
        <tpls c="6">
          <tpl fld="3" item="0"/>
          <tpl fld="11" item="0"/>
          <tpl fld="6" item="1"/>
          <tpl hier="236" item="0"/>
          <tpl fld="4" item="4"/>
          <tpl fld="10" item="0"/>
        </tpls>
      </n>
      <n v="4.9000000000000004" in="2">
        <tpls c="6">
          <tpl fld="3" item="4"/>
          <tpl fld="11" item="0"/>
          <tpl fld="6" item="2"/>
          <tpl hier="236" item="0"/>
          <tpl fld="4" item="6"/>
          <tpl fld="10" item="5"/>
        </tpls>
      </n>
      <m>
        <tpls c="3">
          <tpl fld="7" item="1163"/>
          <tpl fld="6" item="3"/>
          <tpl hier="236" item="0"/>
        </tpls>
      </m>
      <n v="802" in="1">
        <tpls c="6">
          <tpl fld="11" item="0"/>
          <tpl fld="5" item="0"/>
          <tpl fld="6" item="1"/>
          <tpl hier="236" item="0"/>
          <tpl fld="4" item="4"/>
          <tpl fld="10" item="0"/>
        </tpls>
      </n>
      <m>
        <tpls c="6">
          <tpl fld="11" item="0"/>
          <tpl fld="5" item="3"/>
          <tpl fld="6" item="2"/>
          <tpl hier="236" item="0"/>
          <tpl fld="4" item="3"/>
          <tpl fld="10" item="2"/>
        </tpls>
      </m>
      <n v="342" in="1">
        <tpls c="5">
          <tpl fld="11" item="0"/>
          <tpl fld="5" item="5"/>
          <tpl fld="6" item="1"/>
          <tpl hier="236" item="0"/>
          <tpl fld="4" item="0"/>
        </tpls>
      </n>
      <n v="72.760878378378379" in="2">
        <tpls c="6">
          <tpl fld="11" item="0"/>
          <tpl fld="2" item="2"/>
          <tpl fld="6" item="2"/>
          <tpl hier="236" item="0"/>
          <tpl fld="4" item="1"/>
          <tpl fld="9" item="4"/>
        </tpls>
      </n>
      <n v="2.5499999999999998" in="2">
        <tpls c="6">
          <tpl fld="11" item="0"/>
          <tpl fld="2" item="2"/>
          <tpl fld="6" item="2"/>
          <tpl hier="236" item="0"/>
          <tpl fld="4" item="4"/>
          <tpl fld="10" item="4"/>
        </tpls>
      </n>
      <n v="24.244459459459456" in="2">
        <tpls c="6">
          <tpl fld="11" item="0"/>
          <tpl fld="2" item="2"/>
          <tpl fld="6" item="2"/>
          <tpl hier="236" item="0"/>
          <tpl fld="4" item="6"/>
          <tpl fld="10" item="2"/>
        </tpls>
      </n>
      <m>
        <tpls c="6">
          <tpl fld="11" item="0"/>
          <tpl fld="2" item="2"/>
          <tpl fld="6" item="2"/>
          <tpl hier="236" item="0"/>
          <tpl fld="4" item="7"/>
          <tpl fld="10" item="0"/>
        </tpls>
      </m>
      <m>
        <tpls c="4">
          <tpl fld="7" item="1256"/>
          <tpl fld="6" item="1"/>
          <tpl hier="236" item="0"/>
          <tpl fld="4" item="5"/>
        </tpls>
      </m>
      <n v="8.9432432432432432" in="2">
        <tpls c="5">
          <tpl fld="11" item="0"/>
          <tpl fld="5" item="5"/>
          <tpl fld="6" item="2"/>
          <tpl hier="236" item="0"/>
          <tpl fld="4" item="5"/>
        </tpls>
      </n>
      <n v="0" in="1">
        <tpls c="4">
          <tpl fld="7" item="1205"/>
          <tpl fld="6" item="1"/>
          <tpl hier="236" item="0"/>
          <tpl fld="4" item="6"/>
        </tpls>
      </n>
      <n v="0" in="1">
        <tpls c="6">
          <tpl fld="11" item="0"/>
          <tpl fld="5" item="0"/>
          <tpl fld="6" item="1"/>
          <tpl hier="236" item="0"/>
          <tpl fld="4" item="3"/>
          <tpl fld="10" item="7"/>
        </tpls>
      </n>
      <n v="7" in="1">
        <tpls c="6">
          <tpl fld="11" item="0"/>
          <tpl fld="5" item="1"/>
          <tpl fld="6" item="1"/>
          <tpl hier="236" item="0"/>
          <tpl fld="4" item="4"/>
          <tpl fld="10" item="4"/>
        </tpls>
      </n>
      <n v="12.91554054054054" in="2">
        <tpls c="6">
          <tpl fld="11" item="0"/>
          <tpl fld="2" item="0"/>
          <tpl fld="6" item="2"/>
          <tpl hier="236" item="0"/>
          <tpl fld="4" item="4"/>
          <tpl fld="10" item="8"/>
        </tpls>
      </n>
      <n v="168" in="1">
        <tpls c="6">
          <tpl fld="11" item="0"/>
          <tpl fld="5" item="1"/>
          <tpl fld="6" item="1"/>
          <tpl hier="236" item="0"/>
          <tpl fld="4" item="6"/>
          <tpl fld="10" item="8"/>
        </tpls>
      </n>
      <n v="136" in="1">
        <tpls c="6">
          <tpl fld="11" item="0"/>
          <tpl fld="2" item="0"/>
          <tpl fld="6" item="1"/>
          <tpl hier="236" item="0"/>
          <tpl fld="4" item="4"/>
          <tpl fld="10" item="4"/>
        </tpls>
      </n>
      <n v="7" in="1">
        <tpls c="6">
          <tpl fld="11" item="0"/>
          <tpl fld="2" item="0"/>
          <tpl fld="6" item="1"/>
          <tpl hier="236" item="0"/>
          <tpl fld="4" item="7"/>
          <tpl fld="10" item="5"/>
        </tpls>
      </n>
      <n v="16" in="1">
        <tpls c="6">
          <tpl fld="11" item="0"/>
          <tpl fld="2" item="2"/>
          <tpl fld="6" item="1"/>
          <tpl hier="236" item="0"/>
          <tpl fld="4" item="7"/>
          <tpl fld="10" item="1"/>
        </tpls>
      </n>
      <n v="525" in="1">
        <tpls c="6">
          <tpl fld="3" item="0"/>
          <tpl fld="11" item="0"/>
          <tpl fld="6" item="1"/>
          <tpl hier="236" item="0"/>
          <tpl fld="4" item="3"/>
          <tpl fld="10" item="8"/>
        </tpls>
      </n>
      <m>
        <tpls c="4">
          <tpl fld="7" item="1268"/>
          <tpl fld="6" item="2"/>
          <tpl hier="236" item="0"/>
          <tpl fld="4" item="6"/>
        </tpls>
      </m>
      <n v="9" in="1">
        <tpls c="6">
          <tpl fld="11" item="0"/>
          <tpl fld="5" item="2"/>
          <tpl fld="6" item="1"/>
          <tpl hier="236" item="0"/>
          <tpl fld="4" item="6"/>
          <tpl fld="10" item="3"/>
        </tpls>
      </n>
      <m>
        <tpls c="6">
          <tpl fld="11" item="0"/>
          <tpl fld="5" item="4"/>
          <tpl fld="6" item="1"/>
          <tpl hier="236" item="0"/>
          <tpl fld="4" item="7"/>
          <tpl fld="10" item="1"/>
        </tpls>
      </m>
      <n v="2.3854054054054057" in="2">
        <tpls c="6">
          <tpl fld="11" item="0"/>
          <tpl fld="2" item="2"/>
          <tpl fld="6" item="2"/>
          <tpl hier="236" item="0"/>
          <tpl fld="4" item="4"/>
          <tpl fld="10" item="5"/>
        </tpls>
      </n>
      <n v="39.597297297297295" in="2">
        <tpls c="6">
          <tpl fld="11" item="0"/>
          <tpl fld="2" item="1"/>
          <tpl fld="6" item="2"/>
          <tpl hier="236" item="0"/>
          <tpl fld="4" item="6"/>
          <tpl fld="10" item="8"/>
        </tpls>
      </n>
      <m>
        <tpls c="6">
          <tpl fld="11" item="0"/>
          <tpl fld="2" item="1"/>
          <tpl fld="6" item="2"/>
          <tpl hier="236" item="0"/>
          <tpl fld="4" item="7"/>
          <tpl fld="10" item="1"/>
        </tpls>
      </m>
      <n v="46" in="1">
        <tpls c="6">
          <tpl fld="11" item="0"/>
          <tpl fld="2" item="2"/>
          <tpl fld="6" item="1"/>
          <tpl hier="236" item="0"/>
          <tpl fld="4" item="6"/>
          <tpl fld="10" item="6"/>
        </tpls>
      </n>
      <n v="281" in="1">
        <tpls c="6">
          <tpl fld="3" item="4"/>
          <tpl fld="11" item="0"/>
          <tpl fld="6" item="1"/>
          <tpl hier="236" item="0"/>
          <tpl fld="4" item="6"/>
          <tpl fld="10" item="3"/>
        </tpls>
      </n>
      <m>
        <tpls c="6">
          <tpl fld="3" item="0"/>
          <tpl fld="11" item="0"/>
          <tpl fld="6" item="2"/>
          <tpl hier="236" item="0"/>
          <tpl fld="4" item="4"/>
          <tpl fld="10" item="6"/>
        </tpls>
      </m>
      <m>
        <tpls c="6">
          <tpl fld="3" item="4"/>
          <tpl fld="11" item="0"/>
          <tpl fld="6" item="1"/>
          <tpl hier="236" item="0"/>
          <tpl fld="4" item="3"/>
          <tpl fld="10" item="6"/>
        </tpls>
      </m>
      <n v="8.4567567567567554" in="2">
        <tpls c="6">
          <tpl fld="3" item="4"/>
          <tpl fld="11" item="0"/>
          <tpl fld="6" item="2"/>
          <tpl hier="236" item="0"/>
          <tpl fld="4" item="6"/>
          <tpl fld="10" item="4"/>
        </tpls>
      </n>
      <m>
        <tpls c="6">
          <tpl fld="11" item="0"/>
          <tpl fld="5" item="5"/>
          <tpl fld="6" item="2"/>
          <tpl hier="236" item="0"/>
          <tpl fld="4" item="6"/>
          <tpl fld="10" item="1"/>
        </tpls>
      </m>
      <n v="23.052702702702703" in="2">
        <tpls c="6">
          <tpl fld="11" item="0"/>
          <tpl fld="2" item="3"/>
          <tpl fld="6" item="2"/>
          <tpl hier="236" item="0"/>
          <tpl fld="4" item="6"/>
          <tpl fld="10" item="8"/>
        </tpls>
      </n>
      <n v="1" in="1">
        <tpls c="6">
          <tpl fld="3" item="2"/>
          <tpl fld="11" item="0"/>
          <tpl fld="6" item="1"/>
          <tpl hier="236" item="0"/>
          <tpl fld="4" item="3"/>
          <tpl fld="10" item="8"/>
        </tpls>
      </n>
      <m>
        <tpls c="6">
          <tpl fld="3" item="4"/>
          <tpl fld="11" item="0"/>
          <tpl fld="6" item="2"/>
          <tpl hier="236" item="0"/>
          <tpl fld="4" item="7"/>
          <tpl fld="10" item="2"/>
        </tpls>
      </m>
      <n v="69.094189189189194" in="2">
        <tpls c="6">
          <tpl fld="11" item="0"/>
          <tpl fld="6" item="2"/>
          <tpl fld="8" item="0"/>
          <tpl hier="236" item="0"/>
          <tpl fld="4" item="1"/>
          <tpl fld="9" item="1"/>
        </tpls>
      </n>
      <n v="437" in="1">
        <tpls c="6">
          <tpl fld="11" item="0"/>
          <tpl fld="6" item="1"/>
          <tpl fld="8" item="0"/>
          <tpl hier="236" item="0"/>
          <tpl fld="4" item="6"/>
          <tpl fld="10" item="0"/>
        </tpls>
      </n>
      <n v="355" in="1">
        <tpls c="6">
          <tpl fld="11" item="0"/>
          <tpl fld="6" item="1"/>
          <tpl fld="8" item="0"/>
          <tpl hier="236" item="0"/>
          <tpl fld="4" item="3"/>
          <tpl fld="10" item="3"/>
        </tpls>
      </n>
      <n v="0.3" in="2">
        <tpls c="6">
          <tpl fld="11" item="0"/>
          <tpl fld="6" item="2"/>
          <tpl fld="8" item="0"/>
          <tpl hier="236" item="0"/>
          <tpl fld="4" item="7"/>
          <tpl fld="10" item="7"/>
        </tpls>
      </n>
      <m>
        <tpls c="4">
          <tpl fld="7" item="218"/>
          <tpl fld="6" item="1"/>
          <tpl hier="236" item="0"/>
          <tpl fld="4" item="4"/>
        </tpls>
      </m>
      <m>
        <tpls c="4">
          <tpl fld="7" item="221"/>
          <tpl fld="6" item="2"/>
          <tpl hier="236" item="0"/>
          <tpl fld="4" item="6"/>
        </tpls>
      </m>
      <m>
        <tpls c="4">
          <tpl fld="7" item="8"/>
          <tpl fld="6" item="1"/>
          <tpl hier="236" item="0"/>
          <tpl fld="1" item="0"/>
        </tpls>
      </m>
      <m>
        <tpls c="4">
          <tpl fld="7" item="229"/>
          <tpl fld="6" item="1"/>
          <tpl hier="236" item="0"/>
          <tpl fld="4" item="4"/>
        </tpls>
      </m>
      <m>
        <tpls c="4">
          <tpl fld="7" item="471"/>
          <tpl fld="6" item="2"/>
          <tpl hier="236" item="0"/>
          <tpl fld="4" item="1"/>
        </tpls>
      </m>
      <m>
        <tpls c="3">
          <tpl fld="7" item="1207"/>
          <tpl fld="6" item="3"/>
          <tpl hier="236" item="0"/>
        </tpls>
      </m>
      <n v="132" in="1">
        <tpls c="6">
          <tpl fld="11" item="0"/>
          <tpl fld="5" item="5"/>
          <tpl fld="6" item="1"/>
          <tpl hier="236" item="0"/>
          <tpl fld="4" item="4"/>
          <tpl fld="10" item="1"/>
        </tpls>
      </n>
      <n v="179" in="1">
        <tpls c="6">
          <tpl fld="11" item="0"/>
          <tpl fld="2" item="1"/>
          <tpl fld="6" item="1"/>
          <tpl hier="236" item="0"/>
          <tpl fld="4" item="3"/>
          <tpl fld="10" item="0"/>
        </tpls>
      </n>
      <n v="3.15" in="2">
        <tpls c="6">
          <tpl fld="3" item="4"/>
          <tpl fld="11" item="0"/>
          <tpl fld="6" item="2"/>
          <tpl hier="236" item="0"/>
          <tpl fld="4" item="4"/>
          <tpl fld="10" item="5"/>
        </tpls>
      </n>
      <n v="15.2" in="2">
        <tpls c="6">
          <tpl fld="3" item="1"/>
          <tpl fld="11" item="0"/>
          <tpl fld="6" item="2"/>
          <tpl hier="236" item="0"/>
          <tpl fld="4" item="3"/>
          <tpl fld="10" item="8"/>
        </tpls>
      </n>
      <n v="771" in="1">
        <tpls c="5">
          <tpl fld="11" item="0"/>
          <tpl fld="6" item="1"/>
          <tpl hier="236" item="0"/>
          <tpl fld="4" item="1"/>
          <tpl fld="9" item="2"/>
        </tpls>
      </n>
      <n v="109" in="1">
        <tpls c="6">
          <tpl fld="11" item="0"/>
          <tpl fld="6" item="1"/>
          <tpl fld="8" item="0"/>
          <tpl hier="236" item="0"/>
          <tpl fld="4" item="6"/>
          <tpl fld="10" item="6"/>
        </tpls>
      </n>
      <n v="254" in="1">
        <tpls c="5">
          <tpl fld="11" item="0"/>
          <tpl fld="6" item="1"/>
          <tpl hier="236" item="0"/>
          <tpl fld="4" item="3"/>
          <tpl fld="10" item="1"/>
        </tpls>
      </n>
      <n v="798" in="1">
        <tpls c="6">
          <tpl fld="11" item="0"/>
          <tpl fld="5" item="0"/>
          <tpl fld="6" item="1"/>
          <tpl hier="236" item="0"/>
          <tpl fld="4" item="4"/>
          <tpl fld="10" item="7"/>
        </tpls>
      </n>
      <n v="3.6500000000000004" in="2">
        <tpls c="6">
          <tpl fld="11" item="0"/>
          <tpl fld="2" item="3"/>
          <tpl fld="6" item="2"/>
          <tpl hier="236" item="0"/>
          <tpl fld="4" item="4"/>
          <tpl fld="10" item="2"/>
        </tpls>
      </n>
      <n v="99" in="1">
        <tpls c="6">
          <tpl fld="11" item="0"/>
          <tpl fld="2" item="2"/>
          <tpl fld="6" item="1"/>
          <tpl hier="236" item="0"/>
          <tpl fld="4" item="7"/>
          <tpl fld="10" item="2"/>
        </tpls>
      </n>
      <n v="307" in="1">
        <tpls c="6">
          <tpl fld="3" item="1"/>
          <tpl fld="11" item="0"/>
          <tpl fld="6" item="1"/>
          <tpl hier="236" item="0"/>
          <tpl fld="4" item="7"/>
          <tpl fld="10" item="2"/>
        </tpls>
      </n>
      <n v="9.6999999999999993" in="2">
        <tpls c="6">
          <tpl fld="3" item="2"/>
          <tpl fld="11" item="0"/>
          <tpl fld="6" item="2"/>
          <tpl hier="236" item="0"/>
          <tpl fld="4" item="4"/>
          <tpl fld="10" item="2"/>
        </tpls>
      </n>
      <m>
        <tpls c="4">
          <tpl fld="7" item="1164"/>
          <tpl fld="6" item="1"/>
          <tpl hier="236" item="0"/>
          <tpl fld="4" item="5"/>
        </tpls>
      </m>
      <m>
        <tpls c="6">
          <tpl fld="11" item="0"/>
          <tpl fld="5" item="2"/>
          <tpl fld="6" item="2"/>
          <tpl hier="236" item="0"/>
          <tpl fld="4" item="7"/>
          <tpl fld="10" item="3"/>
        </tpls>
      </m>
      <m>
        <tpls c="6">
          <tpl fld="11" item="0"/>
          <tpl fld="5" item="3"/>
          <tpl fld="6" item="2"/>
          <tpl hier="236" item="0"/>
          <tpl fld="4" item="7"/>
          <tpl fld="10" item="3"/>
        </tpls>
      </m>
      <m>
        <tpls c="3">
          <tpl fld="7" item="959"/>
          <tpl fld="6" item="3"/>
          <tpl hier="236" item="0"/>
        </tpls>
      </m>
      <n v="27" in="1">
        <tpls c="6">
          <tpl fld="11" item="0"/>
          <tpl fld="5" item="4"/>
          <tpl fld="6" item="1"/>
          <tpl hier="236" item="0"/>
          <tpl fld="4" item="4"/>
          <tpl fld="10" item="1"/>
        </tpls>
      </n>
      <n v="7" in="2">
        <tpls c="6">
          <tpl fld="11" item="0"/>
          <tpl fld="5" item="1"/>
          <tpl fld="6" item="2"/>
          <tpl hier="236" item="0"/>
          <tpl fld="4" item="6"/>
          <tpl fld="10" item="3"/>
        </tpls>
      </n>
      <n v="14.756756756756756" in="2">
        <tpls c="6">
          <tpl fld="11" item="0"/>
          <tpl fld="5" item="5"/>
          <tpl fld="6" item="2"/>
          <tpl hier="236" item="0"/>
          <tpl fld="4" item="4"/>
          <tpl fld="10" item="7"/>
        </tpls>
      </n>
      <n v="3" in="2">
        <tpls c="6">
          <tpl fld="11" item="0"/>
          <tpl fld="2" item="0"/>
          <tpl fld="6" item="2"/>
          <tpl hier="236" item="0"/>
          <tpl fld="4" item="4"/>
          <tpl fld="10" item="2"/>
        </tpls>
      </n>
      <n v="113" in="1">
        <tpls c="6">
          <tpl fld="11" item="0"/>
          <tpl fld="2" item="2"/>
          <tpl fld="6" item="1"/>
          <tpl hier="236" item="0"/>
          <tpl fld="4" item="7"/>
          <tpl fld="10" item="8"/>
        </tpls>
      </n>
      <n v="3" in="1">
        <tpls c="4">
          <tpl fld="7" item="1077"/>
          <tpl fld="6" item="1"/>
          <tpl hier="236" item="0"/>
          <tpl fld="4" item="5"/>
        </tpls>
      </n>
      <n v="141" in="1">
        <tpls c="6">
          <tpl fld="11" item="0"/>
          <tpl fld="5" item="2"/>
          <tpl fld="6" item="1"/>
          <tpl hier="236" item="0"/>
          <tpl fld="4" item="4"/>
          <tpl fld="10" item="7"/>
        </tpls>
      </n>
      <n v="68" in="1">
        <tpls c="6">
          <tpl fld="11" item="0"/>
          <tpl fld="2" item="0"/>
          <tpl fld="6" item="1"/>
          <tpl hier="236" item="0"/>
          <tpl fld="4" item="6"/>
          <tpl fld="10" item="0"/>
        </tpls>
      </n>
      <n v="213" in="1">
        <tpls c="6">
          <tpl fld="11" item="0"/>
          <tpl fld="2" item="0"/>
          <tpl fld="6" item="1"/>
          <tpl hier="236" item="0"/>
          <tpl fld="4" item="3"/>
          <tpl fld="10" item="8"/>
        </tpls>
      </n>
      <n v="1.1675675675675676" in="2">
        <tpls c="5">
          <tpl fld="11" item="0"/>
          <tpl fld="2" item="3"/>
          <tpl fld="6" item="2"/>
          <tpl hier="236" item="0"/>
          <tpl fld="4" item="2"/>
        </tpls>
      </n>
      <n v="269" in="1">
        <tpls c="6">
          <tpl fld="3" item="2"/>
          <tpl fld="11" item="0"/>
          <tpl fld="6" item="1"/>
          <tpl hier="236" item="0"/>
          <tpl fld="4" item="1"/>
          <tpl fld="9" item="2"/>
        </tpls>
      </n>
      <n v="1" in="1">
        <tpls c="6">
          <tpl fld="3" item="2"/>
          <tpl fld="11" item="0"/>
          <tpl fld="6" item="1"/>
          <tpl hier="236" item="0"/>
          <tpl fld="4" item="3"/>
          <tpl fld="10" item="2"/>
        </tpls>
      </n>
      <n v="302" in="1">
        <tpls c="6">
          <tpl fld="3" item="4"/>
          <tpl fld="11" item="0"/>
          <tpl fld="6" item="1"/>
          <tpl hier="236" item="0"/>
          <tpl fld="4" item="4"/>
          <tpl fld="10" item="4"/>
        </tpls>
      </n>
      <n v="10" in="1">
        <tpls c="4">
          <tpl fld="7" item="1055"/>
          <tpl fld="6" item="1"/>
          <tpl hier="236" item="0"/>
          <tpl fld="4" item="6"/>
        </tpls>
      </n>
      <m>
        <tpls c="6">
          <tpl fld="11" item="0"/>
          <tpl fld="5" item="3"/>
          <tpl fld="6" item="2"/>
          <tpl hier="236" item="0"/>
          <tpl fld="4" item="1"/>
          <tpl fld="9" item="0"/>
        </tpls>
      </m>
      <n v="679" in="1">
        <tpls c="6">
          <tpl fld="11" item="0"/>
          <tpl fld="5" item="0"/>
          <tpl fld="6" item="1"/>
          <tpl hier="236" item="0"/>
          <tpl fld="4" item="6"/>
          <tpl fld="10" item="2"/>
        </tpls>
      </n>
      <m>
        <tpls c="6">
          <tpl fld="11" item="0"/>
          <tpl fld="5" item="3"/>
          <tpl fld="6" item="1"/>
          <tpl hier="236" item="0"/>
          <tpl fld="4" item="7"/>
          <tpl fld="10" item="6"/>
        </tpls>
      </m>
      <n v="27585" in="1">
        <tpls c="5">
          <tpl fld="11" item="0"/>
          <tpl fld="2" item="1"/>
          <tpl fld="6" item="1"/>
          <tpl hier="236" item="0"/>
          <tpl fld="1" item="0"/>
        </tpls>
      </n>
      <n v="39.052364864864863" in="2">
        <tpls c="6">
          <tpl fld="11" item="0"/>
          <tpl fld="2" item="1"/>
          <tpl fld="6" item="2"/>
          <tpl hier="236" item="0"/>
          <tpl fld="4" item="4"/>
          <tpl fld="10" item="7"/>
        </tpls>
      </n>
      <n v="5.95" in="2">
        <tpls c="6">
          <tpl fld="11" item="0"/>
          <tpl fld="2" item="2"/>
          <tpl fld="6" item="2"/>
          <tpl hier="236" item="0"/>
          <tpl fld="4" item="6"/>
          <tpl fld="10" item="4"/>
        </tpls>
      </n>
      <n v="8.4158783783783786" in="2">
        <tpls c="6">
          <tpl fld="11" item="0"/>
          <tpl fld="2" item="1"/>
          <tpl fld="6" item="2"/>
          <tpl hier="236" item="0"/>
          <tpl fld="4" item="3"/>
          <tpl fld="10" item="2"/>
        </tpls>
      </n>
      <n v="360" in="1">
        <tpls c="5">
          <tpl fld="11" item="0"/>
          <tpl fld="2" item="1"/>
          <tpl fld="6" item="1"/>
          <tpl hier="236" item="0"/>
          <tpl fld="4" item="2"/>
        </tpls>
      </n>
      <n v="1029" in="1">
        <tpls c="6">
          <tpl fld="3" item="1"/>
          <tpl fld="11" item="0"/>
          <tpl fld="6" item="1"/>
          <tpl hier="236" item="0"/>
          <tpl fld="4" item="6"/>
          <tpl fld="10" item="7"/>
        </tpls>
      </n>
      <n v="1742" in="1">
        <tpls c="6">
          <tpl fld="3" item="2"/>
          <tpl fld="11" item="0"/>
          <tpl fld="6" item="1"/>
          <tpl hier="236" item="0"/>
          <tpl fld="4" item="1"/>
          <tpl fld="9" item="4"/>
        </tpls>
      </n>
      <n v="574" in="1">
        <tpls c="6">
          <tpl fld="3" item="2"/>
          <tpl fld="11" item="0"/>
          <tpl fld="6" item="1"/>
          <tpl hier="236" item="0"/>
          <tpl fld="4" item="6"/>
          <tpl fld="10" item="0"/>
        </tpls>
      </n>
      <n v="1.45" in="2">
        <tpls c="6">
          <tpl fld="3" item="4"/>
          <tpl fld="11" item="0"/>
          <tpl fld="6" item="2"/>
          <tpl hier="236" item="0"/>
          <tpl fld="4" item="4"/>
          <tpl fld="10" item="2"/>
        </tpls>
      </n>
      <n v="223" in="1">
        <tpls c="6">
          <tpl fld="11" item="0"/>
          <tpl fld="5" item="3"/>
          <tpl fld="6" item="1"/>
          <tpl hier="236" item="0"/>
          <tpl fld="4" item="1"/>
          <tpl fld="9" item="2"/>
        </tpls>
      </n>
      <m>
        <tpls c="6">
          <tpl fld="11" item="0"/>
          <tpl fld="5" item="0"/>
          <tpl fld="6" item="2"/>
          <tpl hier="236" item="0"/>
          <tpl fld="4" item="1"/>
          <tpl fld="9" item="2"/>
        </tpls>
      </m>
      <n v="9.3729729729729723" in="2">
        <tpls c="6">
          <tpl fld="11" item="0"/>
          <tpl fld="2" item="3"/>
          <tpl fld="6" item="2"/>
          <tpl hier="236" item="0"/>
          <tpl fld="4" item="3"/>
          <tpl fld="10" item="4"/>
        </tpls>
      </n>
      <m>
        <tpls c="6">
          <tpl fld="3" item="4"/>
          <tpl fld="11" item="0"/>
          <tpl fld="6" item="2"/>
          <tpl hier="236" item="0"/>
          <tpl fld="4" item="3"/>
          <tpl fld="10" item="4"/>
        </tpls>
      </m>
      <m>
        <tpls c="6">
          <tpl fld="3" item="0"/>
          <tpl fld="11" item="0"/>
          <tpl fld="6" item="2"/>
          <tpl hier="236" item="0"/>
          <tpl fld="4" item="7"/>
          <tpl fld="10" item="6"/>
        </tpls>
      </m>
      <n v="0.95" in="2">
        <tpls c="6">
          <tpl fld="3" item="1"/>
          <tpl fld="11" item="0"/>
          <tpl fld="6" item="2"/>
          <tpl hier="236" item="0"/>
          <tpl fld="4" item="4"/>
          <tpl fld="10" item="4"/>
        </tpls>
      </n>
      <n v="4924" in="1">
        <tpls c="6">
          <tpl fld="11" item="0"/>
          <tpl fld="6" item="1"/>
          <tpl fld="8" item="1"/>
          <tpl hier="236" item="0"/>
          <tpl fld="4" item="4"/>
          <tpl fld="10" item="0"/>
        </tpls>
      </n>
      <n v="33" in="1">
        <tpls c="6">
          <tpl fld="11" item="0"/>
          <tpl fld="6" item="1"/>
          <tpl fld="8" item="0"/>
          <tpl hier="236" item="0"/>
          <tpl fld="4" item="6"/>
          <tpl fld="10" item="1"/>
        </tpls>
      </n>
      <n v="228" in="1">
        <tpls c="6">
          <tpl fld="11" item="0"/>
          <tpl fld="6" item="1"/>
          <tpl fld="8" item="0"/>
          <tpl hier="236" item="0"/>
          <tpl fld="4" item="3"/>
          <tpl fld="10" item="2"/>
        </tpls>
      </n>
      <n v="4.6500000000000004" in="2">
        <tpls c="6">
          <tpl fld="11" item="0"/>
          <tpl fld="6" item="2"/>
          <tpl fld="8" item="0"/>
          <tpl hier="236" item="0"/>
          <tpl fld="4" item="4"/>
          <tpl fld="10" item="5"/>
        </tpls>
      </n>
      <m>
        <tpls c="4">
          <tpl fld="7" item="219"/>
          <tpl fld="6" item="1"/>
          <tpl hier="236" item="0"/>
          <tpl fld="4" item="4"/>
        </tpls>
      </m>
      <m>
        <tpls c="4">
          <tpl fld="7" item="222"/>
          <tpl fld="6" item="2"/>
          <tpl hier="236" item="0"/>
          <tpl fld="4" item="6"/>
        </tpls>
      </m>
      <m>
        <tpls c="4">
          <tpl fld="7" item="9"/>
          <tpl fld="6" item="1"/>
          <tpl hier="236" item="0"/>
          <tpl fld="1" item="0"/>
        </tpls>
      </m>
      <m>
        <tpls c="4">
          <tpl fld="7" item="123"/>
          <tpl fld="6" item="1"/>
          <tpl hier="236" item="0"/>
          <tpl fld="4" item="4"/>
        </tpls>
      </m>
      <m>
        <tpls c="4">
          <tpl fld="7" item="23"/>
          <tpl fld="6" item="2"/>
          <tpl hier="236" item="0"/>
          <tpl fld="4" item="1"/>
        </tpls>
      </m>
      <n v="215" in="1">
        <tpls c="6">
          <tpl fld="11" item="0"/>
          <tpl fld="5" item="0"/>
          <tpl fld="6" item="1"/>
          <tpl hier="236" item="0"/>
          <tpl fld="4" item="6"/>
          <tpl fld="10" item="3"/>
        </tpls>
      </n>
      <n v="44" in="1">
        <tpls c="6">
          <tpl fld="11" item="0"/>
          <tpl fld="2" item="1"/>
          <tpl fld="6" item="1"/>
          <tpl hier="236" item="0"/>
          <tpl fld="4" item="1"/>
          <tpl fld="9" item="0"/>
        </tpls>
      </n>
      <m>
        <tpls c="6">
          <tpl fld="11" item="0"/>
          <tpl fld="2" item="1"/>
          <tpl fld="6" item="1"/>
          <tpl hier="236" item="0"/>
          <tpl fld="4" item="7"/>
          <tpl fld="10" item="6"/>
        </tpls>
      </m>
      <n v="306" in="1">
        <tpls c="6">
          <tpl fld="3" item="1"/>
          <tpl fld="11" item="0"/>
          <tpl fld="6" item="1"/>
          <tpl hier="236" item="0"/>
          <tpl fld="4" item="1"/>
          <tpl fld="9" item="4"/>
        </tpls>
      </n>
      <n v="2" in="2">
        <tpls c="6">
          <tpl fld="3" item="0"/>
          <tpl fld="11" item="0"/>
          <tpl fld="6" item="2"/>
          <tpl hier="236" item="0"/>
          <tpl fld="4" item="7"/>
          <tpl fld="10" item="0"/>
        </tpls>
      </n>
      <m>
        <tpls c="6">
          <tpl fld="3" item="0"/>
          <tpl fld="11" item="0"/>
          <tpl fld="6" item="2"/>
          <tpl hier="236" item="0"/>
          <tpl fld="4" item="6"/>
          <tpl fld="10" item="4"/>
        </tpls>
      </m>
      <n v="5.8599999999999994" in="2">
        <tpls c="6">
          <tpl fld="3" item="1"/>
          <tpl fld="11" item="0"/>
          <tpl fld="6" item="2"/>
          <tpl hier="236" item="0"/>
          <tpl fld="4" item="1"/>
          <tpl fld="9" item="1"/>
        </tpls>
      </n>
      <n v="82.454054054054055" in="2">
        <tpls c="5">
          <tpl fld="11" item="0"/>
          <tpl fld="6" item="2"/>
          <tpl hier="236" item="0"/>
          <tpl fld="4" item="4"/>
          <tpl fld="10" item="6"/>
        </tpls>
      </n>
      <n v="874" in="1">
        <tpls c="6">
          <tpl fld="11" item="0"/>
          <tpl fld="6" item="1"/>
          <tpl fld="8" item="0"/>
          <tpl hier="236" item="0"/>
          <tpl fld="4" item="6"/>
          <tpl fld="10" item="7"/>
        </tpls>
      </n>
      <m>
        <tpls c="3">
          <tpl fld="7" item="1259"/>
          <tpl fld="6" item="3"/>
          <tpl hier="236" item="0"/>
        </tpls>
      </m>
      <n v="10" in="1">
        <tpls c="6">
          <tpl fld="11" item="0"/>
          <tpl fld="5" item="5"/>
          <tpl fld="6" item="1"/>
          <tpl hier="236" item="0"/>
          <tpl fld="4" item="1"/>
          <tpl fld="9" item="0"/>
        </tpls>
      </n>
      <n v="1" in="2">
        <tpls c="6">
          <tpl fld="11" item="0"/>
          <tpl fld="2" item="3"/>
          <tpl fld="6" item="2"/>
          <tpl hier="236" item="0"/>
          <tpl fld="4" item="3"/>
          <tpl fld="10" item="0"/>
        </tpls>
      </n>
      <n v="60.381081081081078" in="2">
        <tpls c="5">
          <tpl fld="11" item="0"/>
          <tpl fld="6" item="2"/>
          <tpl hier="236" item="0"/>
          <tpl fld="4" item="3"/>
          <tpl fld="10" item="8"/>
        </tpls>
      </n>
      <m>
        <tpls c="4">
          <tpl fld="7" item="1168"/>
          <tpl fld="6" item="2"/>
          <tpl hier="236" item="0"/>
          <tpl fld="1" item="0"/>
        </tpls>
      </m>
      <n v="0.25" in="2">
        <tpls c="4">
          <tpl fld="7" item="972"/>
          <tpl fld="6" item="2"/>
          <tpl hier="236" item="0"/>
          <tpl fld="1" item="0"/>
        </tpls>
      </n>
      <m>
        <tpls c="4">
          <tpl fld="7" item="968"/>
          <tpl fld="6" item="2"/>
          <tpl hier="236" item="0"/>
          <tpl fld="4" item="5"/>
        </tpls>
      </m>
      <n v="1" in="1">
        <tpls c="4">
          <tpl fld="7" item="953"/>
          <tpl fld="6" item="1"/>
          <tpl hier="236" item="0"/>
          <tpl fld="1" item="0"/>
        </tpls>
      </n>
      <m>
        <tpls c="4">
          <tpl fld="7" item="962"/>
          <tpl fld="6" item="1"/>
          <tpl hier="236" item="0"/>
          <tpl fld="4" item="5"/>
        </tpls>
      </m>
      <m>
        <tpls c="4">
          <tpl fld="7" item="1169"/>
          <tpl fld="6" item="1"/>
          <tpl hier="236" item="0"/>
          <tpl fld="4" item="5"/>
        </tpls>
      </m>
      <n v="8" in="1">
        <tpls c="4">
          <tpl fld="7" item="1275"/>
          <tpl fld="6" item="1"/>
          <tpl hier="236" item="0"/>
          <tpl fld="1" item="0"/>
        </tpls>
      </n>
      <m>
        <tpls c="4">
          <tpl fld="7" item="963"/>
          <tpl fld="6" item="2"/>
          <tpl hier="236" item="0"/>
          <tpl fld="4" item="6"/>
        </tpls>
      </m>
      <m>
        <tpls c="4">
          <tpl fld="7" item="1175"/>
          <tpl fld="6" item="2"/>
          <tpl hier="236" item="0"/>
          <tpl fld="4" item="6"/>
        </tpls>
      </m>
      <n v="1" in="1">
        <tpls c="4">
          <tpl fld="7" item="1071"/>
          <tpl fld="6" item="1"/>
          <tpl hier="236" item="0"/>
          <tpl fld="1" item="0"/>
        </tpls>
      </n>
      <n v="0.44999999999999996" in="2">
        <tpls c="6">
          <tpl fld="11" item="0"/>
          <tpl fld="5" item="5"/>
          <tpl fld="6" item="2"/>
          <tpl hier="236" item="0"/>
          <tpl fld="4" item="4"/>
          <tpl fld="10" item="1"/>
        </tpls>
      </n>
      <m>
        <tpls c="3">
          <tpl fld="7" item="1255"/>
          <tpl fld="6" item="3"/>
          <tpl hier="236" item="0"/>
        </tpls>
      </m>
      <m>
        <tpls c="3">
          <tpl fld="7" item="1172"/>
          <tpl fld="6" item="3"/>
          <tpl hier="236" item="0"/>
        </tpls>
      </m>
      <m>
        <tpls c="3">
          <tpl fld="7" item="1054"/>
          <tpl fld="6" item="3"/>
          <tpl hier="236" item="0"/>
        </tpls>
      </m>
      <m>
        <tpls c="6">
          <tpl fld="11" item="0"/>
          <tpl fld="5" item="3"/>
          <tpl fld="6" item="2"/>
          <tpl hier="236" item="0"/>
          <tpl fld="4" item="3"/>
          <tpl fld="10" item="7"/>
        </tpls>
      </m>
      <m>
        <tpls c="3">
          <tpl fld="7" item="960"/>
          <tpl fld="6" item="3"/>
          <tpl hier="236" item="0"/>
        </tpls>
      </m>
      <n v="17" in="1">
        <tpls c="6">
          <tpl fld="11" item="0"/>
          <tpl fld="5" item="1"/>
          <tpl fld="6" item="1"/>
          <tpl hier="236" item="0"/>
          <tpl fld="4" item="6"/>
          <tpl fld="10" item="3"/>
        </tpls>
      </n>
      <m>
        <tpls c="4">
          <tpl fld="7" item="1229"/>
          <tpl fld="6" item="2"/>
          <tpl hier="236" item="0"/>
          <tpl fld="4" item="6"/>
        </tpls>
      </m>
      <m>
        <tpls c="3">
          <tpl fld="7" item="1047"/>
          <tpl fld="6" item="3"/>
          <tpl hier="236" item="0"/>
        </tpls>
      </m>
      <n v="0" in="1">
        <tpls c="4">
          <tpl fld="7" item="1169"/>
          <tpl fld="6" item="1"/>
          <tpl hier="236" item="0"/>
          <tpl fld="4" item="6"/>
        </tpls>
      </n>
      <m>
        <tpls c="6">
          <tpl fld="11" item="0"/>
          <tpl fld="5" item="4"/>
          <tpl fld="6" item="2"/>
          <tpl hier="236" item="0"/>
          <tpl fld="4" item="3"/>
          <tpl fld="10" item="7"/>
        </tpls>
      </m>
      <m>
        <tpls c="3">
          <tpl fld="7" item="1167"/>
          <tpl fld="6" item="3"/>
          <tpl hier="236" item="0"/>
        </tpls>
      </m>
      <n v="5.1000000000000005" in="2">
        <tpls c="6">
          <tpl fld="11" item="0"/>
          <tpl fld="5" item="3"/>
          <tpl fld="6" item="2"/>
          <tpl hier="236" item="0"/>
          <tpl fld="4" item="6"/>
          <tpl fld="10" item="7"/>
        </tpls>
      </n>
      <m>
        <tpls c="4">
          <tpl fld="7" item="1200"/>
          <tpl fld="6" item="1"/>
          <tpl hier="236" item="0"/>
          <tpl fld="4" item="6"/>
        </tpls>
      </m>
      <n v="0" in="1">
        <tpls c="6">
          <tpl fld="3" item="2"/>
          <tpl fld="11" item="0"/>
          <tpl fld="6" item="1"/>
          <tpl hier="236" item="0"/>
          <tpl fld="4" item="7"/>
          <tpl fld="10" item="4"/>
        </tpls>
      </n>
      <n v="4296" in="1">
        <tpls c="6">
          <tpl fld="11" item="0"/>
          <tpl fld="5" item="5"/>
          <tpl fld="6" item="1"/>
          <tpl hier="236" item="0"/>
          <tpl fld="4" item="3"/>
          <tpl fld="10" item="8"/>
        </tpls>
      </n>
      <n v="48" in="1">
        <tpls c="4">
          <tpl fld="7" item="972"/>
          <tpl fld="6" item="1"/>
          <tpl hier="236" item="0"/>
          <tpl fld="1" item="0"/>
        </tpls>
      </n>
      <m>
        <tpls c="3">
          <tpl fld="7" item="1061"/>
          <tpl fld="6" item="3"/>
          <tpl hier="236" item="0"/>
        </tpls>
      </m>
      <m>
        <tpls c="3">
          <tpl fld="7" item="971"/>
          <tpl fld="6" item="3"/>
          <tpl hier="236" item="0"/>
        </tpls>
      </m>
      <m>
        <tpls c="4">
          <tpl fld="7" item="1070"/>
          <tpl fld="6" item="1"/>
          <tpl hier="236" item="0"/>
          <tpl fld="4" item="5"/>
        </tpls>
      </m>
      <m>
        <tpls c="4">
          <tpl fld="7" item="1080"/>
          <tpl fld="6" item="1"/>
          <tpl hier="236" item="0"/>
          <tpl fld="4" item="6"/>
        </tpls>
      </m>
      <n v="7.25" in="2">
        <tpls c="6">
          <tpl fld="11" item="0"/>
          <tpl fld="5" item="4"/>
          <tpl fld="6" item="2"/>
          <tpl hier="236" item="0"/>
          <tpl fld="4" item="6"/>
          <tpl fld="10" item="8"/>
        </tpls>
      </n>
      <m>
        <tpls c="3">
          <tpl fld="7" item="1070"/>
          <tpl fld="6" item="3"/>
          <tpl hier="236" item="0"/>
        </tpls>
      </m>
      <n v="48" in="1">
        <tpls c="6">
          <tpl fld="11" item="0"/>
          <tpl fld="5" item="5"/>
          <tpl fld="6" item="1"/>
          <tpl hier="236" item="0"/>
          <tpl fld="4" item="7"/>
          <tpl fld="10" item="1"/>
        </tpls>
      </n>
      <n v="242" in="1">
        <tpls c="6">
          <tpl fld="11" item="0"/>
          <tpl fld="2" item="3"/>
          <tpl fld="6" item="1"/>
          <tpl hier="236" item="0"/>
          <tpl fld="4" item="3"/>
          <tpl fld="10" item="3"/>
        </tpls>
      </n>
      <n v="49" in="1">
        <tpls c="6">
          <tpl fld="11" item="0"/>
          <tpl fld="2" item="4"/>
          <tpl fld="6" item="1"/>
          <tpl hier="236" item="0"/>
          <tpl fld="4" item="3"/>
          <tpl fld="10" item="3"/>
        </tpls>
      </n>
      <m>
        <tpls c="6">
          <tpl fld="11" item="0"/>
          <tpl fld="5" item="1"/>
          <tpl fld="6" item="1"/>
          <tpl hier="236" item="0"/>
          <tpl fld="4" item="7"/>
          <tpl fld="10" item="2"/>
        </tpls>
      </m>
      <m>
        <tpls c="4">
          <tpl fld="7" item="1254"/>
          <tpl fld="6" item="2"/>
          <tpl hier="236" item="0"/>
          <tpl fld="4" item="5"/>
        </tpls>
      </m>
      <m>
        <tpls c="6">
          <tpl fld="11" item="0"/>
          <tpl fld="5" item="1"/>
          <tpl fld="6" item="2"/>
          <tpl hier="236" item="0"/>
          <tpl fld="4" item="3"/>
          <tpl fld="10" item="5"/>
        </tpls>
      </m>
      <n v="6.85" in="2">
        <tpls c="6">
          <tpl fld="11" item="0"/>
          <tpl fld="5" item="3"/>
          <tpl fld="6" item="2"/>
          <tpl hier="236" item="0"/>
          <tpl fld="4" item="6"/>
          <tpl fld="10" item="8"/>
        </tpls>
      </n>
      <n v="4" in="1">
        <tpls c="4">
          <tpl fld="7" item="1157"/>
          <tpl fld="6" item="1"/>
          <tpl hier="236" item="0"/>
          <tpl fld="4" item="6"/>
        </tpls>
      </n>
      <n v="1" in="2">
        <tpls c="6">
          <tpl fld="11" item="0"/>
          <tpl fld="5" item="2"/>
          <tpl fld="6" item="2"/>
          <tpl hier="236" item="0"/>
          <tpl fld="4" item="1"/>
          <tpl fld="9" item="3"/>
        </tpls>
      </n>
      <n v="74" in="1">
        <tpls c="6">
          <tpl fld="11" item="0"/>
          <tpl fld="5" item="3"/>
          <tpl fld="6" item="1"/>
          <tpl hier="236" item="0"/>
          <tpl fld="4" item="6"/>
          <tpl fld="10" item="1"/>
        </tpls>
      </n>
      <m>
        <tpls c="6">
          <tpl fld="11" item="0"/>
          <tpl fld="5" item="2"/>
          <tpl fld="6" item="2"/>
          <tpl hier="236" item="0"/>
          <tpl fld="4" item="3"/>
          <tpl fld="10" item="8"/>
        </tpls>
      </m>
      <n v="3" in="2">
        <tpls c="6">
          <tpl fld="11" item="0"/>
          <tpl fld="2" item="0"/>
          <tpl fld="6" item="2"/>
          <tpl hier="236" item="0"/>
          <tpl fld="4" item="4"/>
          <tpl fld="10" item="3"/>
        </tpls>
      </n>
      <n v="592" in="1">
        <tpls c="6">
          <tpl fld="11" item="0"/>
          <tpl fld="2" item="1"/>
          <tpl fld="6" item="1"/>
          <tpl hier="236" item="0"/>
          <tpl fld="4" item="7"/>
          <tpl fld="10" item="2"/>
        </tpls>
      </n>
      <n v="68.512162162162156" in="2">
        <tpls c="6">
          <tpl fld="3" item="2"/>
          <tpl fld="11" item="0"/>
          <tpl fld="6" item="2"/>
          <tpl hier="236" item="0"/>
          <tpl fld="4" item="6"/>
          <tpl fld="10" item="0"/>
        </tpls>
      </n>
      <n v="29" in="1">
        <tpls c="6">
          <tpl fld="11" item="0"/>
          <tpl fld="5" item="2"/>
          <tpl fld="6" item="1"/>
          <tpl hier="236" item="0"/>
          <tpl fld="4" item="6"/>
          <tpl fld="10" item="4"/>
        </tpls>
      </n>
      <n v="69" in="1">
        <tpls c="6">
          <tpl fld="11" item="0"/>
          <tpl fld="2" item="0"/>
          <tpl fld="6" item="1"/>
          <tpl hier="236" item="0"/>
          <tpl fld="4" item="4"/>
          <tpl fld="10" item="1"/>
        </tpls>
      </n>
      <m>
        <tpls c="3">
          <tpl fld="7" item="1204"/>
          <tpl fld="6" item="3"/>
          <tpl hier="236" item="0"/>
        </tpls>
      </m>
      <m>
        <tpls c="3">
          <tpl fld="7" item="967"/>
          <tpl fld="6" item="3"/>
          <tpl hier="236" item="0"/>
        </tpls>
      </m>
      <m>
        <tpls c="4">
          <tpl fld="7" item="1207"/>
          <tpl fld="6" item="2"/>
          <tpl hier="236" item="0"/>
          <tpl fld="4" item="6"/>
        </tpls>
      </m>
      <n v="1" in="1">
        <tpls c="4">
          <tpl fld="7" item="1269"/>
          <tpl fld="6" item="1"/>
          <tpl hier="236" item="0"/>
          <tpl fld="4" item="6"/>
        </tpls>
      </n>
      <n v="226" in="1">
        <tpls c="6">
          <tpl fld="11" item="0"/>
          <tpl fld="5" item="0"/>
          <tpl fld="6" item="1"/>
          <tpl hier="236" item="0"/>
          <tpl fld="4" item="6"/>
          <tpl fld="10" item="5"/>
        </tpls>
      </n>
      <m>
        <tpls c="3">
          <tpl fld="7" item="1066"/>
          <tpl fld="6" item="3"/>
          <tpl hier="236" item="0"/>
        </tpls>
      </m>
      <m>
        <tpls c="6">
          <tpl fld="11" item="0"/>
          <tpl fld="5" item="3"/>
          <tpl fld="6" item="2"/>
          <tpl hier="236" item="0"/>
          <tpl fld="4" item="7"/>
          <tpl fld="10" item="1"/>
        </tpls>
      </m>
      <n v="66" in="1">
        <tpls c="6">
          <tpl fld="11" item="0"/>
          <tpl fld="2" item="3"/>
          <tpl fld="6" item="1"/>
          <tpl hier="236" item="0"/>
          <tpl fld="4" item="3"/>
          <tpl fld="10" item="5"/>
        </tpls>
      </n>
      <n v="1691" in="1">
        <tpls c="6">
          <tpl fld="3" item="4"/>
          <tpl fld="11" item="0"/>
          <tpl fld="6" item="1"/>
          <tpl hier="236" item="0"/>
          <tpl fld="4" item="6"/>
          <tpl fld="10" item="7"/>
        </tpls>
      </n>
      <n v="428" in="1">
        <tpls c="5">
          <tpl fld="3" item="4"/>
          <tpl fld="11" item="0"/>
          <tpl fld="6" item="1"/>
          <tpl hier="236" item="0"/>
          <tpl fld="4" item="0"/>
        </tpls>
      </n>
      <m>
        <tpls c="6">
          <tpl fld="11" item="0"/>
          <tpl fld="5" item="0"/>
          <tpl fld="6" item="2"/>
          <tpl hier="236" item="0"/>
          <tpl fld="4" item="7"/>
          <tpl fld="10" item="1"/>
        </tpls>
      </m>
      <m>
        <tpls c="6">
          <tpl fld="11" item="0"/>
          <tpl fld="2" item="4"/>
          <tpl fld="6" item="2"/>
          <tpl hier="236" item="0"/>
          <tpl fld="4" item="3"/>
          <tpl fld="10" item="3"/>
        </tpls>
      </m>
      <n v="188" in="1">
        <tpls c="6">
          <tpl fld="11" item="0"/>
          <tpl fld="2" item="2"/>
          <tpl fld="6" item="1"/>
          <tpl hier="236" item="0"/>
          <tpl fld="4" item="3"/>
          <tpl fld="10" item="4"/>
        </tpls>
      </n>
      <n v="518" in="1">
        <tpls c="6">
          <tpl fld="3" item="2"/>
          <tpl fld="11" item="0"/>
          <tpl fld="6" item="1"/>
          <tpl hier="236" item="0"/>
          <tpl fld="4" item="4"/>
          <tpl fld="10" item="8"/>
        </tpls>
      </n>
      <m>
        <tpls c="4">
          <tpl fld="7" item="1047"/>
          <tpl fld="6" item="2"/>
          <tpl hier="236" item="0"/>
          <tpl fld="4" item="6"/>
        </tpls>
      </m>
      <m>
        <tpls c="3">
          <tpl fld="7" item="1069"/>
          <tpl fld="6" item="3"/>
          <tpl hier="236" item="0"/>
        </tpls>
      </m>
      <n v="0.4" in="2">
        <tpls c="6">
          <tpl fld="11" item="0"/>
          <tpl fld="5" item="3"/>
          <tpl fld="6" item="2"/>
          <tpl hier="236" item="0"/>
          <tpl fld="4" item="6"/>
          <tpl fld="10" item="5"/>
        </tpls>
      </n>
      <n v="461" in="1">
        <tpls c="6">
          <tpl fld="11" item="0"/>
          <tpl fld="5" item="4"/>
          <tpl fld="6" item="1"/>
          <tpl hier="236" item="0"/>
          <tpl fld="4" item="4"/>
          <tpl fld="10" item="7"/>
        </tpls>
      </n>
      <n v="501" in="1">
        <tpls c="6">
          <tpl fld="11" item="0"/>
          <tpl fld="5" item="5"/>
          <tpl fld="6" item="1"/>
          <tpl hier="236" item="0"/>
          <tpl fld="4" item="3"/>
          <tpl fld="10" item="0"/>
        </tpls>
      </n>
      <n v="2.5932432432432435" in="2">
        <tpls c="6">
          <tpl fld="11" item="0"/>
          <tpl fld="2" item="2"/>
          <tpl fld="6" item="2"/>
          <tpl hier="236" item="0"/>
          <tpl fld="4" item="1"/>
          <tpl fld="9" item="3"/>
        </tpls>
      </n>
      <n v="29.362972972972976" in="2">
        <tpls c="6">
          <tpl fld="11" item="0"/>
          <tpl fld="2" item="2"/>
          <tpl fld="6" item="2"/>
          <tpl hier="236" item="0"/>
          <tpl fld="4" item="6"/>
          <tpl fld="10" item="0"/>
        </tpls>
      </n>
      <m>
        <tpls c="6">
          <tpl fld="11" item="0"/>
          <tpl fld="2" item="2"/>
          <tpl fld="6" item="2"/>
          <tpl hier="236" item="0"/>
          <tpl fld="4" item="3"/>
          <tpl fld="10" item="6"/>
        </tpls>
      </m>
      <m>
        <tpls c="6">
          <tpl fld="11" item="0"/>
          <tpl fld="2" item="2"/>
          <tpl fld="6" item="2"/>
          <tpl hier="236" item="0"/>
          <tpl fld="4" item="7"/>
          <tpl fld="10" item="1"/>
        </tpls>
      </m>
      <n v="18" in="1">
        <tpls c="4">
          <tpl fld="7" item="971"/>
          <tpl fld="6" item="1"/>
          <tpl hier="236" item="0"/>
          <tpl fld="4" item="6"/>
        </tpls>
      </n>
      <m>
        <tpls c="6">
          <tpl fld="11" item="0"/>
          <tpl fld="5" item="3"/>
          <tpl fld="6" item="2"/>
          <tpl hier="236" item="0"/>
          <tpl fld="4" item="3"/>
          <tpl fld="10" item="8"/>
        </tpls>
      </m>
      <n v="47951" in="1">
        <tpls c="5">
          <tpl fld="11" item="0"/>
          <tpl fld="6" item="1"/>
          <tpl fld="8" item="1"/>
          <tpl hier="236" item="0"/>
          <tpl fld="1" item="0"/>
        </tpls>
      </n>
      <n v="254" in="1">
        <tpls c="6">
          <tpl fld="11" item="0"/>
          <tpl fld="5" item="5"/>
          <tpl fld="6" item="1"/>
          <tpl hier="236" item="0"/>
          <tpl fld="4" item="6"/>
          <tpl fld="10" item="0"/>
        </tpls>
      </n>
      <n v="0" in="1">
        <tpls c="6">
          <tpl fld="11" item="0"/>
          <tpl fld="5" item="3"/>
          <tpl fld="6" item="1"/>
          <tpl hier="236" item="0"/>
          <tpl fld="4" item="3"/>
          <tpl fld="10" item="2"/>
        </tpls>
      </n>
      <n v="147" in="1">
        <tpls c="6">
          <tpl fld="3" item="1"/>
          <tpl fld="11" item="0"/>
          <tpl fld="6" item="1"/>
          <tpl hier="236" item="0"/>
          <tpl fld="4" item="1"/>
          <tpl fld="9" item="3"/>
        </tpls>
      </n>
      <m>
        <tpls c="6">
          <tpl fld="11" item="0"/>
          <tpl fld="5" item="3"/>
          <tpl fld="6" item="2"/>
          <tpl hier="236" item="0"/>
          <tpl fld="4" item="6"/>
          <tpl fld="10" item="1"/>
        </tpls>
      </m>
      <n v="29" in="1">
        <tpls c="6">
          <tpl fld="11" item="0"/>
          <tpl fld="2" item="0"/>
          <tpl fld="6" item="1"/>
          <tpl hier="236" item="0"/>
          <tpl fld="4" item="3"/>
          <tpl fld="10" item="0"/>
        </tpls>
      </n>
      <n v="1" in="2">
        <tpls c="6">
          <tpl fld="11" item="0"/>
          <tpl fld="2" item="2"/>
          <tpl fld="6" item="2"/>
          <tpl hier="236" item="0"/>
          <tpl fld="4" item="7"/>
          <tpl fld="10" item="8"/>
        </tpls>
      </n>
      <n v="531.16256756756798" in="2">
        <tpls c="5">
          <tpl fld="3" item="2"/>
          <tpl fld="11" item="0"/>
          <tpl fld="6" item="2"/>
          <tpl hier="236" item="0"/>
          <tpl fld="1" item="0"/>
        </tpls>
      </n>
      <n v="250" in="1">
        <tpls c="6">
          <tpl fld="3" item="2"/>
          <tpl fld="11" item="0"/>
          <tpl fld="6" item="1"/>
          <tpl hier="236" item="0"/>
          <tpl fld="4" item="1"/>
          <tpl fld="9" item="1"/>
        </tpls>
      </n>
      <m>
        <tpls c="3">
          <tpl fld="7" item="1139"/>
          <tpl fld="6" item="3"/>
          <tpl hier="236" item="0"/>
        </tpls>
      </m>
      <m>
        <tpls c="6">
          <tpl fld="11" item="0"/>
          <tpl fld="5" item="2"/>
          <tpl fld="6" item="1"/>
          <tpl hier="236" item="0"/>
          <tpl fld="4" item="3"/>
          <tpl fld="10" item="8"/>
        </tpls>
      </m>
      <n v="0" in="1">
        <tpls c="6">
          <tpl fld="11" item="0"/>
          <tpl fld="5" item="0"/>
          <tpl fld="6" item="1"/>
          <tpl hier="236" item="0"/>
          <tpl fld="4" item="3"/>
          <tpl fld="10" item="3"/>
        </tpls>
      </n>
      <m>
        <tpls c="6">
          <tpl fld="11" item="0"/>
          <tpl fld="5" item="0"/>
          <tpl fld="6" item="2"/>
          <tpl hier="236" item="0"/>
          <tpl fld="4" item="7"/>
          <tpl fld="10" item="7"/>
        </tpls>
      </m>
      <m>
        <tpls c="6">
          <tpl fld="11" item="0"/>
          <tpl fld="2" item="1"/>
          <tpl fld="6" item="2"/>
          <tpl hier="236" item="0"/>
          <tpl fld="4" item="4"/>
          <tpl fld="10" item="1"/>
        </tpls>
      </m>
      <n v="5.55" in="2">
        <tpls c="6">
          <tpl fld="11" item="0"/>
          <tpl fld="2" item="1"/>
          <tpl fld="6" item="2"/>
          <tpl hier="236" item="0"/>
          <tpl fld="4" item="3"/>
          <tpl fld="10" item="5"/>
        </tpls>
      </n>
      <n v="1.65" in="2">
        <tpls c="6">
          <tpl fld="11" item="0"/>
          <tpl fld="2" item="2"/>
          <tpl fld="6" item="2"/>
          <tpl hier="236" item="0"/>
          <tpl fld="4" item="7"/>
          <tpl fld="10" item="2"/>
        </tpls>
      </n>
      <n v="632" in="1">
        <tpls c="6">
          <tpl fld="11" item="0"/>
          <tpl fld="2" item="2"/>
          <tpl fld="6" item="1"/>
          <tpl hier="236" item="0"/>
          <tpl fld="4" item="1"/>
          <tpl fld="9" item="4"/>
        </tpls>
      </n>
      <n v="907" in="1">
        <tpls c="6">
          <tpl fld="3" item="1"/>
          <tpl fld="11" item="0"/>
          <tpl fld="6" item="1"/>
          <tpl hier="236" item="0"/>
          <tpl fld="4" item="3"/>
          <tpl fld="10" item="7"/>
        </tpls>
      </n>
      <m>
        <tpls c="4">
          <tpl fld="7" item="1050"/>
          <tpl fld="6" item="1"/>
          <tpl hier="236" item="0"/>
          <tpl fld="1" item="0"/>
        </tpls>
      </m>
      <n v="76" in="1">
        <tpls c="6">
          <tpl fld="11" item="0"/>
          <tpl fld="5" item="2"/>
          <tpl fld="6" item="1"/>
          <tpl hier="236" item="0"/>
          <tpl fld="4" item="4"/>
          <tpl fld="10" item="6"/>
        </tpls>
      </n>
      <n v="1.55" in="2">
        <tpls c="6">
          <tpl fld="11" item="0"/>
          <tpl fld="2" item="3"/>
          <tpl fld="6" item="2"/>
          <tpl hier="236" item="0"/>
          <tpl fld="4" item="3"/>
          <tpl fld="10" item="7"/>
        </tpls>
      </n>
      <n v="0" in="1">
        <tpls c="6">
          <tpl fld="3" item="0"/>
          <tpl fld="11" item="0"/>
          <tpl fld="6" item="1"/>
          <tpl hier="236" item="0"/>
          <tpl fld="4" item="6"/>
          <tpl fld="10" item="1"/>
        </tpls>
      </n>
      <n v="29.088918918918917" in="2">
        <tpls c="6">
          <tpl fld="3" item="4"/>
          <tpl fld="11" item="0"/>
          <tpl fld="6" item="2"/>
          <tpl hier="236" item="0"/>
          <tpl fld="4" item="6"/>
          <tpl fld="10" item="7"/>
        </tpls>
      </n>
      <n v="19.001351351351349" in="2">
        <tpls c="6">
          <tpl fld="3" item="1"/>
          <tpl fld="11" item="0"/>
          <tpl fld="6" item="2"/>
          <tpl hier="236" item="0"/>
          <tpl fld="4" item="6"/>
          <tpl fld="10" item="8"/>
        </tpls>
      </n>
      <n v="2299" in="1">
        <tpls c="6">
          <tpl fld="11" item="0"/>
          <tpl fld="6" item="1"/>
          <tpl fld="8" item="0"/>
          <tpl hier="236" item="0"/>
          <tpl fld="4" item="4"/>
          <tpl fld="10" item="0"/>
        </tpls>
      </n>
      <n v="406" in="1">
        <tpls c="6">
          <tpl fld="11" item="0"/>
          <tpl fld="6" item="1"/>
          <tpl fld="8" item="0"/>
          <tpl hier="236" item="0"/>
          <tpl fld="4" item="6"/>
          <tpl fld="10" item="3"/>
        </tpls>
      </n>
      <n v="258" in="1">
        <tpls c="6">
          <tpl fld="11" item="0"/>
          <tpl fld="6" item="1"/>
          <tpl fld="8" item="0"/>
          <tpl hier="236" item="0"/>
          <tpl fld="4" item="3"/>
          <tpl fld="10" item="4"/>
        </tpls>
      </n>
      <n v="42.126013513513513" in="2">
        <tpls c="6">
          <tpl fld="11" item="0"/>
          <tpl fld="6" item="2"/>
          <tpl fld="8" item="0"/>
          <tpl hier="236" item="0"/>
          <tpl fld="4" item="6"/>
          <tpl fld="10" item="0"/>
        </tpls>
      </n>
      <m>
        <tpls c="4">
          <tpl fld="7" item="396"/>
          <tpl fld="6" item="2"/>
          <tpl hier="236" item="0"/>
          <tpl fld="4" item="1"/>
        </tpls>
      </m>
      <m>
        <tpls c="4">
          <tpl fld="7" item="222"/>
          <tpl fld="6" item="1"/>
          <tpl hier="236" item="0"/>
          <tpl fld="4" item="4"/>
        </tpls>
      </m>
      <m>
        <tpls c="4">
          <tpl fld="7" item="225"/>
          <tpl fld="6" item="2"/>
          <tpl hier="236" item="0"/>
          <tpl fld="4" item="6"/>
        </tpls>
      </m>
      <m>
        <tpls c="4">
          <tpl fld="7" item="231"/>
          <tpl fld="6" item="1"/>
          <tpl hier="236" item="0"/>
          <tpl fld="4" item="4"/>
        </tpls>
      </m>
      <m>
        <tpls c="4">
          <tpl fld="7" item="401"/>
          <tpl fld="6" item="2"/>
          <tpl hier="236" item="0"/>
          <tpl fld="4" item="1"/>
        </tpls>
      </m>
      <n v="1" in="2">
        <tpls c="6">
          <tpl fld="11" item="0"/>
          <tpl fld="5" item="4"/>
          <tpl fld="6" item="2"/>
          <tpl hier="236" item="0"/>
          <tpl fld="4" item="6"/>
          <tpl fld="10" item="6"/>
        </tpls>
      </n>
      <n v="2" in="2">
        <tpls c="5">
          <tpl fld="11" item="0"/>
          <tpl fld="2" item="2"/>
          <tpl fld="6" item="2"/>
          <tpl hier="236" item="0"/>
          <tpl fld="4" item="2"/>
        </tpls>
      </n>
      <n v="1031" in="1">
        <tpls c="6">
          <tpl fld="11" item="0"/>
          <tpl fld="2" item="1"/>
          <tpl fld="6" item="1"/>
          <tpl hier="236" item="0"/>
          <tpl fld="4" item="3"/>
          <tpl fld="10" item="2"/>
        </tpls>
      </n>
      <n v="232" in="1">
        <tpls c="6">
          <tpl fld="3" item="0"/>
          <tpl fld="11" item="0"/>
          <tpl fld="6" item="1"/>
          <tpl hier="236" item="0"/>
          <tpl fld="4" item="7"/>
          <tpl fld="10" item="8"/>
        </tpls>
      </n>
      <n v="0" in="1">
        <tpls c="6">
          <tpl fld="3" item="2"/>
          <tpl fld="11" item="0"/>
          <tpl fld="6" item="1"/>
          <tpl hier="236" item="0"/>
          <tpl fld="4" item="3"/>
          <tpl fld="10" item="4"/>
        </tpls>
      </n>
      <n v="10.6" in="2">
        <tpls c="6">
          <tpl fld="3" item="0"/>
          <tpl fld="11" item="0"/>
          <tpl fld="6" item="2"/>
          <tpl hier="236" item="0"/>
          <tpl fld="4" item="3"/>
          <tpl fld="10" item="8"/>
        </tpls>
      </n>
      <n v="11.66081081081081" in="2">
        <tpls c="6">
          <tpl fld="3" item="1"/>
          <tpl fld="11" item="0"/>
          <tpl fld="6" item="2"/>
          <tpl hier="236" item="0"/>
          <tpl fld="4" item="4"/>
          <tpl fld="10" item="7"/>
        </tpls>
      </n>
      <n v="32.222972972972975" in="2">
        <tpls c="6">
          <tpl fld="11" item="0"/>
          <tpl fld="6" item="2"/>
          <tpl fld="8" item="1"/>
          <tpl hier="236" item="0"/>
          <tpl fld="4" item="4"/>
          <tpl fld="10" item="6"/>
        </tpls>
      </n>
      <n v="158" in="1">
        <tpls c="5">
          <tpl fld="11" item="0"/>
          <tpl fld="6" item="1"/>
          <tpl hier="236" item="0"/>
          <tpl fld="4" item="6"/>
          <tpl fld="10" item="1"/>
        </tpls>
      </n>
      <n v="3" in="1">
        <tpls c="4">
          <tpl fld="7" item="1061"/>
          <tpl fld="6" item="1"/>
          <tpl hier="236" item="0"/>
          <tpl fld="4" item="6"/>
        </tpls>
      </n>
      <m>
        <tpls c="6">
          <tpl fld="11" item="0"/>
          <tpl fld="5" item="5"/>
          <tpl fld="6" item="1"/>
          <tpl hier="236" item="0"/>
          <tpl fld="4" item="7"/>
          <tpl fld="10" item="6"/>
        </tpls>
      </m>
      <n v="5.8094594594594593" in="2">
        <tpls c="6">
          <tpl fld="11" item="0"/>
          <tpl fld="2" item="3"/>
          <tpl fld="6" item="2"/>
          <tpl hier="236" item="0"/>
          <tpl fld="4" item="6"/>
          <tpl fld="10" item="4"/>
        </tpls>
      </n>
      <m>
        <tpls c="6">
          <tpl fld="3" item="1"/>
          <tpl fld="11" item="0"/>
          <tpl fld="6" item="1"/>
          <tpl hier="236" item="0"/>
          <tpl fld="4" item="3"/>
          <tpl fld="10" item="6"/>
        </tpls>
      </m>
      <n v="3.75" in="2">
        <tpls c="6">
          <tpl fld="3" item="4"/>
          <tpl fld="11" item="0"/>
          <tpl fld="6" item="2"/>
          <tpl hier="236" item="0"/>
          <tpl fld="4" item="6"/>
          <tpl fld="10" item="6"/>
        </tpls>
      </n>
      <n v="421" in="1">
        <tpls c="6">
          <tpl fld="3" item="1"/>
          <tpl fld="11" item="0"/>
          <tpl fld="6" item="1"/>
          <tpl hier="236" item="0"/>
          <tpl fld="4" item="7"/>
          <tpl fld="10" item="3"/>
        </tpls>
      </n>
      <m>
        <tpls c="3">
          <tpl fld="7" item="1037"/>
          <tpl fld="6" item="3"/>
          <tpl hier="236" item="0"/>
        </tpls>
      </m>
      <n v="9" in="1">
        <tpls c="4">
          <tpl fld="7" item="951"/>
          <tpl fld="6" item="1"/>
          <tpl hier="236" item="0"/>
          <tpl fld="4" item="6"/>
        </tpls>
      </n>
      <n v="1" in="1">
        <tpls c="4">
          <tpl fld="7" item="1154"/>
          <tpl fld="6" item="1"/>
          <tpl hier="236" item="0"/>
          <tpl fld="4" item="5"/>
        </tpls>
      </n>
      <n v="4" in="1">
        <tpls c="4">
          <tpl fld="7" item="1074"/>
          <tpl fld="6" item="1"/>
          <tpl hier="236" item="0"/>
          <tpl fld="4" item="6"/>
        </tpls>
      </n>
      <n v="700" in="1">
        <tpls c="6">
          <tpl fld="11" item="0"/>
          <tpl fld="5" item="2"/>
          <tpl fld="6" item="1"/>
          <tpl hier="236" item="0"/>
          <tpl fld="4" item="1"/>
          <tpl fld="9" item="4"/>
        </tpls>
      </n>
      <m>
        <tpls c="3">
          <tpl fld="7" item="1143"/>
          <tpl fld="6" item="3"/>
          <tpl hier="236" item="0"/>
        </tpls>
      </m>
      <n v="16.418918918918919" in="2">
        <tpls c="6">
          <tpl fld="11" item="0"/>
          <tpl fld="5" item="5"/>
          <tpl fld="6" item="2"/>
          <tpl hier="236" item="0"/>
          <tpl fld="4" item="6"/>
          <tpl fld="10" item="8"/>
        </tpls>
      </n>
      <m>
        <tpls c="6">
          <tpl fld="11" item="0"/>
          <tpl fld="2" item="0"/>
          <tpl fld="6" item="2"/>
          <tpl hier="236" item="0"/>
          <tpl fld="4" item="6"/>
          <tpl fld="10" item="4"/>
        </tpls>
      </m>
      <m>
        <tpls c="3">
          <tpl fld="7" item="1234"/>
          <tpl fld="6" item="3"/>
          <tpl hier="236" item="0"/>
        </tpls>
      </m>
      <m>
        <tpls c="6">
          <tpl fld="11" item="0"/>
          <tpl fld="5" item="5"/>
          <tpl fld="6" item="2"/>
          <tpl hier="236" item="0"/>
          <tpl fld="4" item="3"/>
          <tpl fld="10" item="6"/>
        </tpls>
      </m>
      <n v="19" in="1">
        <tpls c="6">
          <tpl fld="11" item="0"/>
          <tpl fld="2" item="0"/>
          <tpl fld="6" item="1"/>
          <tpl hier="236" item="0"/>
          <tpl fld="4" item="6"/>
          <tpl fld="10" item="4"/>
        </tpls>
      </n>
      <n v="57" in="1">
        <tpls c="6">
          <tpl fld="11" item="0"/>
          <tpl fld="2" item="0"/>
          <tpl fld="6" item="1"/>
          <tpl hier="236" item="0"/>
          <tpl fld="4" item="7"/>
          <tpl fld="10" item="0"/>
        </tpls>
      </n>
      <n v="799" in="1">
        <tpls c="6">
          <tpl fld="11" item="0"/>
          <tpl fld="2" item="1"/>
          <tpl fld="6" item="1"/>
          <tpl hier="236" item="0"/>
          <tpl fld="4" item="7"/>
          <tpl fld="10" item="7"/>
        </tpls>
      </n>
      <n v="1" in="1">
        <tpls c="6">
          <tpl fld="3" item="0"/>
          <tpl fld="11" item="0"/>
          <tpl fld="6" item="1"/>
          <tpl hier="236" item="0"/>
          <tpl fld="4" item="4"/>
          <tpl fld="10" item="1"/>
        </tpls>
      </n>
      <m>
        <tpls c="6">
          <tpl fld="3" item="0"/>
          <tpl fld="11" item="0"/>
          <tpl fld="6" item="2"/>
          <tpl hier="236" item="0"/>
          <tpl fld="4" item="1"/>
          <tpl fld="9" item="0"/>
        </tpls>
      </m>
      <n v="1.1720142602495544E-2" in="0">
        <tpls c="5">
          <tpl fld="11" item="0"/>
          <tpl fld="6" item="0"/>
          <tpl fld="8" item="0"/>
          <tpl hier="236" item="0"/>
          <tpl fld="4" item="7"/>
        </tpls>
      </n>
      <m>
        <tpls c="3">
          <tpl fld="7" item="1067"/>
          <tpl fld="6" item="3"/>
          <tpl hier="236" item="0"/>
        </tpls>
      </m>
      <n v="7934" in="1">
        <tpls c="5">
          <tpl fld="11" item="0"/>
          <tpl fld="5" item="3"/>
          <tpl fld="6" item="1"/>
          <tpl hier="236" item="0"/>
          <tpl fld="1" item="0"/>
        </tpls>
      </n>
      <n v="0.5" in="2">
        <tpls c="6">
          <tpl fld="11" item="0"/>
          <tpl fld="5" item="4"/>
          <tpl fld="6" item="2"/>
          <tpl hier="236" item="0"/>
          <tpl fld="4" item="6"/>
          <tpl fld="10" item="1"/>
        </tpls>
      </n>
      <n v="503" in="1">
        <tpls c="6">
          <tpl fld="11" item="0"/>
          <tpl fld="5" item="5"/>
          <tpl fld="6" item="1"/>
          <tpl hier="236" item="0"/>
          <tpl fld="4" item="3"/>
          <tpl fld="10" item="5"/>
        </tpls>
      </n>
      <n v="63.218040540540542" in="2">
        <tpls c="6">
          <tpl fld="11" item="0"/>
          <tpl fld="2" item="1"/>
          <tpl fld="6" item="2"/>
          <tpl hier="236" item="0"/>
          <tpl fld="4" item="1"/>
          <tpl fld="9" item="1"/>
        </tpls>
      </n>
      <n v="7.15" in="2">
        <tpls c="6">
          <tpl fld="11" item="0"/>
          <tpl fld="2" item="2"/>
          <tpl fld="6" item="2"/>
          <tpl hier="236" item="0"/>
          <tpl fld="4" item="4"/>
          <tpl fld="10" item="2"/>
        </tpls>
      </n>
      <n v="3.8" in="2">
        <tpls c="6">
          <tpl fld="11" item="0"/>
          <tpl fld="2" item="1"/>
          <tpl fld="6" item="2"/>
          <tpl hier="236" item="0"/>
          <tpl fld="4" item="3"/>
          <tpl fld="10" item="0"/>
        </tpls>
      </n>
      <m>
        <tpls c="6">
          <tpl fld="11" item="0"/>
          <tpl fld="2" item="1"/>
          <tpl fld="6" item="2"/>
          <tpl hier="236" item="0"/>
          <tpl fld="4" item="7"/>
          <tpl fld="10" item="5"/>
        </tpls>
      </m>
      <n v="75" in="1">
        <tpls c="6">
          <tpl fld="11" item="0"/>
          <tpl fld="2" item="3"/>
          <tpl fld="6" item="1"/>
          <tpl hier="236" item="0"/>
          <tpl fld="4" item="7"/>
          <tpl fld="10" item="7"/>
        </tpls>
      </n>
      <n v="106" in="1">
        <tpls c="6">
          <tpl fld="3" item="1"/>
          <tpl fld="11" item="0"/>
          <tpl fld="6" item="1"/>
          <tpl hier="236" item="0"/>
          <tpl fld="4" item="1"/>
          <tpl fld="9" item="2"/>
        </tpls>
      </n>
      <n v="44" in="1">
        <tpls c="6">
          <tpl fld="3" item="2"/>
          <tpl fld="11" item="0"/>
          <tpl fld="6" item="1"/>
          <tpl hier="236" item="0"/>
          <tpl fld="4" item="6"/>
          <tpl fld="10" item="1"/>
        </tpls>
      </n>
      <n v="391" in="1">
        <tpls c="6">
          <tpl fld="3" item="1"/>
          <tpl fld="11" item="0"/>
          <tpl fld="6" item="1"/>
          <tpl hier="236" item="0"/>
          <tpl fld="4" item="7"/>
          <tpl fld="10" item="7"/>
        </tpls>
      </n>
      <n v="91" in="1">
        <tpls c="5">
          <tpl fld="11" item="0"/>
          <tpl fld="5" item="0"/>
          <tpl fld="6" item="1"/>
          <tpl hier="236" item="0"/>
          <tpl fld="4" item="0"/>
        </tpls>
      </n>
      <m>
        <tpls c="6">
          <tpl fld="11" item="0"/>
          <tpl fld="2" item="3"/>
          <tpl fld="6" item="2"/>
          <tpl hier="236" item="0"/>
          <tpl fld="4" item="4"/>
          <tpl fld="10" item="6"/>
        </tpls>
      </m>
      <n v="5.4" in="2">
        <tpls c="5">
          <tpl fld="11" item="0"/>
          <tpl fld="2" item="4"/>
          <tpl fld="6" item="2"/>
          <tpl hier="236" item="0"/>
          <tpl fld="4" item="0"/>
        </tpls>
      </n>
      <n v="30.670945945945949" in="2">
        <tpls c="6">
          <tpl fld="3" item="2"/>
          <tpl fld="11" item="0"/>
          <tpl fld="6" item="2"/>
          <tpl hier="236" item="0"/>
          <tpl fld="4" item="4"/>
          <tpl fld="10" item="7"/>
        </tpls>
      </n>
      <n v="5.6" in="2">
        <tpls c="6">
          <tpl fld="3" item="0"/>
          <tpl fld="11" item="0"/>
          <tpl fld="6" item="2"/>
          <tpl hier="236" item="0"/>
          <tpl fld="4" item="7"/>
          <tpl fld="10" item="8"/>
        </tpls>
      </n>
      <n v="11.75" in="2">
        <tpls c="6">
          <tpl fld="3" item="1"/>
          <tpl fld="11" item="0"/>
          <tpl fld="6" item="2"/>
          <tpl hier="236" item="0"/>
          <tpl fld="4" item="4"/>
          <tpl fld="10" item="8"/>
        </tpls>
      </n>
      <m>
        <tpls c="4">
          <tpl fld="7" item="959"/>
          <tpl fld="6" item="2"/>
          <tpl hier="236" item="0"/>
          <tpl fld="1" item="0"/>
        </tpls>
      </m>
      <m>
        <tpls c="4">
          <tpl fld="7" item="1169"/>
          <tpl fld="6" item="2"/>
          <tpl hier="236" item="0"/>
          <tpl fld="1" item="0"/>
        </tpls>
      </m>
      <n v="4.1689251926020736E-2" in="0">
        <tpls c="5">
          <tpl fld="11" item="0"/>
          <tpl fld="2" item="1"/>
          <tpl fld="6" item="0"/>
          <tpl hier="236" item="0"/>
          <tpl fld="4" item="5"/>
        </tpls>
      </n>
      <n v="6" in="1">
        <tpls c="4">
          <tpl fld="7" item="1225"/>
          <tpl fld="6" item="1"/>
          <tpl hier="236" item="0"/>
          <tpl fld="1" item="0"/>
        </tpls>
      </n>
      <m>
        <tpls c="4">
          <tpl fld="7" item="1031"/>
          <tpl fld="6" item="2"/>
          <tpl hier="236" item="0"/>
          <tpl fld="4" item="6"/>
        </tpls>
      </m>
      <n v="3" in="1">
        <tpls c="4">
          <tpl fld="7" item="1170"/>
          <tpl fld="6" item="1"/>
          <tpl hier="236" item="0"/>
          <tpl fld="1" item="0"/>
        </tpls>
      </n>
      <n v="53" in="1">
        <tpls c="4">
          <tpl fld="7" item="873"/>
          <tpl fld="6" item="1"/>
          <tpl hier="236" item="0"/>
          <tpl fld="1" item="0"/>
        </tpls>
      </n>
      <m>
        <tpls c="4">
          <tpl fld="7" item="1207"/>
          <tpl fld="6" item="1"/>
          <tpl hier="236" item="0"/>
          <tpl fld="4" item="5"/>
        </tpls>
      </m>
      <m>
        <tpls c="4">
          <tpl fld="7" item="1139"/>
          <tpl fld="6" item="2"/>
          <tpl hier="236" item="0"/>
          <tpl fld="4" item="6"/>
        </tpls>
      </m>
      <m>
        <tpls c="4">
          <tpl fld="7" item="1072"/>
          <tpl fld="6" item="2"/>
          <tpl hier="236" item="0"/>
          <tpl fld="4" item="6"/>
        </tpls>
      </m>
      <n v="0" in="1">
        <tpls c="4">
          <tpl fld="7" item="929"/>
          <tpl fld="6" item="1"/>
          <tpl hier="236" item="0"/>
          <tpl fld="4" item="6"/>
        </tpls>
      </n>
      <m>
        <tpls c="4">
          <tpl fld="7" item="1069"/>
          <tpl fld="6" item="2"/>
          <tpl hier="236" item="0"/>
          <tpl fld="4" item="5"/>
        </tpls>
      </m>
      <n v="37" in="1">
        <tpls c="5">
          <tpl fld="11" item="0"/>
          <tpl fld="5" item="4"/>
          <tpl fld="6" item="1"/>
          <tpl hier="236" item="0"/>
          <tpl fld="4" item="2"/>
        </tpls>
      </n>
      <n v="48" in="1">
        <tpls c="4">
          <tpl fld="7" item="928"/>
          <tpl fld="6" item="1"/>
          <tpl hier="236" item="0"/>
          <tpl fld="1" item="0"/>
        </tpls>
      </n>
      <n v="183" in="1">
        <tpls c="6">
          <tpl fld="11" item="0"/>
          <tpl fld="5" item="3"/>
          <tpl fld="6" item="1"/>
          <tpl hier="236" item="0"/>
          <tpl fld="4" item="4"/>
          <tpl fld="10" item="5"/>
        </tpls>
      </n>
      <n v="2" in="1">
        <tpls c="4">
          <tpl fld="7" item="1136"/>
          <tpl fld="6" item="1"/>
          <tpl hier="236" item="0"/>
          <tpl fld="4" item="6"/>
        </tpls>
      </n>
      <m>
        <tpls c="6">
          <tpl fld="3" item="2"/>
          <tpl fld="11" item="0"/>
          <tpl fld="6" item="2"/>
          <tpl hier="236" item="0"/>
          <tpl fld="4" item="7"/>
          <tpl fld="10" item="0"/>
        </tpls>
      </m>
      <m>
        <tpls c="4">
          <tpl fld="7" item="1152"/>
          <tpl fld="6" item="2"/>
          <tpl hier="236" item="0"/>
          <tpl fld="4" item="6"/>
        </tpls>
      </m>
      <m>
        <tpls c="4">
          <tpl fld="7" item="961"/>
          <tpl fld="6" item="2"/>
          <tpl hier="236" item="0"/>
          <tpl fld="4" item="6"/>
        </tpls>
      </m>
      <m>
        <tpls c="4">
          <tpl fld="7" item="1261"/>
          <tpl fld="6" item="2"/>
          <tpl hier="236" item="0"/>
          <tpl fld="4" item="6"/>
        </tpls>
      </m>
      <n v="0" in="1">
        <tpls c="6">
          <tpl fld="11" item="0"/>
          <tpl fld="5" item="3"/>
          <tpl fld="6" item="1"/>
          <tpl hier="236" item="0"/>
          <tpl fld="4" item="3"/>
          <tpl fld="10" item="0"/>
        </tpls>
      </n>
      <n v="1" in="1">
        <tpls c="4">
          <tpl fld="7" item="1035"/>
          <tpl fld="6" item="1"/>
          <tpl hier="236" item="0"/>
          <tpl fld="4" item="6"/>
        </tpls>
      </n>
      <n v="1" in="2">
        <tpls c="6">
          <tpl fld="3" item="4"/>
          <tpl fld="11" item="0"/>
          <tpl fld="6" item="2"/>
          <tpl hier="236" item="0"/>
          <tpl fld="4" item="7"/>
          <tpl fld="10" item="8"/>
        </tpls>
      </n>
      <n v="2.95" in="2">
        <tpls c="6">
          <tpl fld="11" item="0"/>
          <tpl fld="5" item="4"/>
          <tpl fld="6" item="2"/>
          <tpl hier="236" item="0"/>
          <tpl fld="4" item="6"/>
          <tpl fld="10" item="4"/>
        </tpls>
      </n>
      <m>
        <tpls c="4">
          <tpl fld="7" item="1258"/>
          <tpl fld="6" item="1"/>
          <tpl hier="236" item="0"/>
          <tpl fld="4" item="6"/>
        </tpls>
      </m>
      <n v="6.9479729729729724" in="2">
        <tpls c="6">
          <tpl fld="11" item="0"/>
          <tpl fld="5" item="5"/>
          <tpl fld="6" item="2"/>
          <tpl hier="236" item="0"/>
          <tpl fld="4" item="6"/>
          <tpl fld="10" item="7"/>
        </tpls>
      </n>
      <n v="1" in="2">
        <tpls c="6">
          <tpl fld="11" item="0"/>
          <tpl fld="5" item="1"/>
          <tpl fld="6" item="2"/>
          <tpl hier="236" item="0"/>
          <tpl fld="4" item="6"/>
          <tpl fld="10" item="1"/>
        </tpls>
      </n>
      <m>
        <tpls c="4">
          <tpl fld="7" item="1258"/>
          <tpl fld="6" item="1"/>
          <tpl hier="236" item="0"/>
          <tpl fld="1" item="0"/>
        </tpls>
      </m>
      <n v="11.543108108108109" in="2">
        <tpls c="6">
          <tpl fld="11" item="0"/>
          <tpl fld="5" item="2"/>
          <tpl fld="6" item="2"/>
          <tpl hier="236" item="0"/>
          <tpl fld="4" item="6"/>
          <tpl fld="10" item="7"/>
        </tpls>
      </n>
      <m>
        <tpls c="6">
          <tpl fld="11" item="0"/>
          <tpl fld="5" item="2"/>
          <tpl fld="6" item="1"/>
          <tpl hier="236" item="0"/>
          <tpl fld="4" item="3"/>
          <tpl fld="10" item="6"/>
        </tpls>
      </m>
      <m>
        <tpls c="3">
          <tpl fld="7" item="953"/>
          <tpl fld="6" item="3"/>
          <tpl hier="236" item="0"/>
        </tpls>
      </m>
      <m>
        <tpls c="6">
          <tpl fld="11" item="0"/>
          <tpl fld="5" item="1"/>
          <tpl fld="6" item="2"/>
          <tpl hier="236" item="0"/>
          <tpl fld="4" item="7"/>
          <tpl fld="10" item="4"/>
        </tpls>
      </m>
      <n v="5.25" in="2">
        <tpls c="6">
          <tpl fld="11" item="0"/>
          <tpl fld="5" item="5"/>
          <tpl fld="6" item="2"/>
          <tpl hier="236" item="0"/>
          <tpl fld="4" item="3"/>
          <tpl fld="10" item="3"/>
        </tpls>
      </n>
      <n v="22" in="1">
        <tpls c="6">
          <tpl fld="11" item="0"/>
          <tpl fld="5" item="2"/>
          <tpl fld="6" item="1"/>
          <tpl hier="236" item="0"/>
          <tpl fld="4" item="4"/>
          <tpl fld="10" item="5"/>
        </tpls>
      </n>
      <n v="412" in="1">
        <tpls c="6">
          <tpl fld="11" item="0"/>
          <tpl fld="2" item="3"/>
          <tpl fld="6" item="1"/>
          <tpl hier="236" item="0"/>
          <tpl fld="4" item="4"/>
          <tpl fld="10" item="7"/>
        </tpls>
      </n>
      <n v="189" in="1">
        <tpls c="5">
          <tpl fld="11" item="0"/>
          <tpl fld="2" item="2"/>
          <tpl fld="6" item="1"/>
          <tpl hier="236" item="0"/>
          <tpl fld="4" item="5"/>
        </tpls>
      </n>
      <n v="1" in="1">
        <tpls c="6">
          <tpl fld="3" item="0"/>
          <tpl fld="11" item="0"/>
          <tpl fld="6" item="1"/>
          <tpl hier="236" item="0"/>
          <tpl fld="4" item="6"/>
          <tpl fld="10" item="5"/>
        </tpls>
      </n>
      <n v="257" in="1">
        <tpls c="6">
          <tpl fld="11" item="0"/>
          <tpl fld="5" item="4"/>
          <tpl fld="6" item="1"/>
          <tpl hier="236" item="0"/>
          <tpl fld="4" item="6"/>
          <tpl fld="10" item="2"/>
        </tpls>
      </n>
      <n v="2.1" in="2">
        <tpls c="6">
          <tpl fld="11" item="0"/>
          <tpl fld="2" item="4"/>
          <tpl fld="6" item="2"/>
          <tpl hier="236" item="0"/>
          <tpl fld="4" item="4"/>
          <tpl fld="10" item="8"/>
        </tpls>
      </n>
      <m>
        <tpls c="3">
          <tpl fld="7" item="1053"/>
          <tpl fld="6" item="3"/>
          <tpl hier="236" item="0"/>
        </tpls>
      </m>
      <m>
        <tpls c="3">
          <tpl fld="7" item="965"/>
          <tpl fld="6" item="3"/>
          <tpl hier="236" item="0"/>
        </tpls>
      </m>
      <n v="1" in="1">
        <tpls c="4">
          <tpl fld="7" item="961"/>
          <tpl fld="6" item="1"/>
          <tpl hier="236" item="0"/>
          <tpl fld="1" item="0"/>
        </tpls>
      </n>
      <n v="1" in="1">
        <tpls c="4">
          <tpl fld="7" item="1078"/>
          <tpl fld="6" item="1"/>
          <tpl hier="236" item="0"/>
          <tpl fld="4" item="6"/>
        </tpls>
      </n>
      <n v="344" in="1">
        <tpls c="6">
          <tpl fld="11" item="0"/>
          <tpl fld="5" item="5"/>
          <tpl fld="6" item="1"/>
          <tpl hier="236" item="0"/>
          <tpl fld="4" item="4"/>
          <tpl fld="10" item="4"/>
        </tpls>
      </n>
      <m>
        <tpls c="4">
          <tpl fld="7" item="958"/>
          <tpl fld="6" item="1"/>
          <tpl hier="236" item="0"/>
          <tpl fld="4" item="6"/>
        </tpls>
      </m>
      <n v="35535" in="1">
        <tpls c="5">
          <tpl fld="11" item="0"/>
          <tpl fld="5" item="5"/>
          <tpl fld="6" item="1"/>
          <tpl hier="236" item="0"/>
          <tpl fld="1" item="0"/>
        </tpls>
      </n>
      <m>
        <tpls c="6">
          <tpl fld="11" item="0"/>
          <tpl fld="2" item="0"/>
          <tpl fld="6" item="2"/>
          <tpl hier="236" item="0"/>
          <tpl fld="4" item="3"/>
          <tpl fld="10" item="6"/>
        </tpls>
      </m>
      <n v="1.75" in="2">
        <tpls c="5">
          <tpl fld="11" item="0"/>
          <tpl fld="6" item="2"/>
          <tpl hier="236" item="0"/>
          <tpl fld="4" item="7"/>
          <tpl fld="10" item="5"/>
        </tpls>
      </n>
      <m>
        <tpls c="6">
          <tpl fld="11" item="0"/>
          <tpl fld="5" item="1"/>
          <tpl fld="6" item="1"/>
          <tpl hier="236" item="0"/>
          <tpl fld="4" item="7"/>
          <tpl fld="10" item="1"/>
        </tpls>
      </m>
      <m>
        <tpls c="4">
          <tpl fld="7" item="1227"/>
          <tpl fld="6" item="1"/>
          <tpl hier="236" item="0"/>
          <tpl fld="4" item="5"/>
        </tpls>
      </m>
      <n v="30.440472972972977" in="2">
        <tpls c="6">
          <tpl fld="11" item="0"/>
          <tpl fld="5" item="5"/>
          <tpl fld="6" item="2"/>
          <tpl hier="236" item="0"/>
          <tpl fld="4" item="4"/>
          <tpl fld="10" item="0"/>
        </tpls>
      </n>
      <n v="53.247635135135141" in="2">
        <tpls c="6">
          <tpl fld="11" item="0"/>
          <tpl fld="5" item="1"/>
          <tpl fld="6" item="2"/>
          <tpl hier="236" item="0"/>
          <tpl fld="4" item="6"/>
          <tpl fld="10" item="8"/>
        </tpls>
      </n>
      <m>
        <tpls c="3">
          <tpl fld="7" item="951"/>
          <tpl fld="6" item="3"/>
          <tpl hier="236" item="0"/>
        </tpls>
      </m>
      <n v="3.95" in="2">
        <tpls c="6">
          <tpl fld="11" item="0"/>
          <tpl fld="5" item="5"/>
          <tpl fld="6" item="2"/>
          <tpl hier="236" item="0"/>
          <tpl fld="4" item="4"/>
          <tpl fld="10" item="4"/>
        </tpls>
      </n>
      <n v="6.1766891891891893" in="2">
        <tpls c="6">
          <tpl fld="11" item="0"/>
          <tpl fld="5" item="2"/>
          <tpl fld="6" item="2"/>
          <tpl hier="236" item="0"/>
          <tpl fld="4" item="4"/>
          <tpl fld="10" item="7"/>
        </tpls>
      </n>
      <n v="115" in="1">
        <tpls c="5">
          <tpl fld="11" item="0"/>
          <tpl fld="5" item="2"/>
          <tpl fld="6" item="1"/>
          <tpl hier="236" item="0"/>
          <tpl fld="4" item="5"/>
        </tpls>
      </n>
      <n v="25" in="1">
        <tpls c="6">
          <tpl fld="11" item="0"/>
          <tpl fld="2" item="3"/>
          <tpl fld="6" item="1"/>
          <tpl hier="236" item="0"/>
          <tpl fld="4" item="4"/>
          <tpl fld="10" item="1"/>
        </tpls>
      </n>
      <n v="7.9324324324324325" in="2">
        <tpls c="5">
          <tpl fld="11" item="0"/>
          <tpl fld="2" item="2"/>
          <tpl fld="6" item="2"/>
          <tpl hier="236" item="0"/>
          <tpl fld="4" item="5"/>
        </tpls>
      </n>
      <n v="5" in="1">
        <tpls c="6">
          <tpl fld="3" item="0"/>
          <tpl fld="11" item="0"/>
          <tpl fld="6" item="1"/>
          <tpl hier="236" item="0"/>
          <tpl fld="4" item="6"/>
          <tpl fld="10" item="0"/>
        </tpls>
      </n>
      <m>
        <tpls c="6">
          <tpl fld="11" item="0"/>
          <tpl fld="5" item="2"/>
          <tpl fld="6" item="1"/>
          <tpl hier="236" item="0"/>
          <tpl fld="4" item="3"/>
          <tpl fld="10" item="0"/>
        </tpls>
      </m>
      <n v="4.4499999999999993" in="2">
        <tpls c="6">
          <tpl fld="11" item="0"/>
          <tpl fld="2" item="4"/>
          <tpl fld="6" item="2"/>
          <tpl hier="236" item="0"/>
          <tpl fld="4" item="4"/>
          <tpl fld="10" item="7"/>
        </tpls>
      </n>
      <n v="10" in="1">
        <tpls c="6">
          <tpl fld="11" item="0"/>
          <tpl fld="2" item="3"/>
          <tpl fld="6" item="1"/>
          <tpl hier="236" item="0"/>
          <tpl fld="4" item="7"/>
          <tpl fld="10" item="4"/>
        </tpls>
      </n>
      <m>
        <tpls c="6">
          <tpl fld="3" item="2"/>
          <tpl fld="11" item="0"/>
          <tpl fld="6" item="1"/>
          <tpl hier="236" item="0"/>
          <tpl fld="4" item="3"/>
          <tpl fld="10" item="1"/>
        </tpls>
      </m>
      <n v="205" in="1">
        <tpls c="6">
          <tpl fld="3" item="2"/>
          <tpl fld="11" item="0"/>
          <tpl fld="6" item="1"/>
          <tpl hier="236" item="0"/>
          <tpl fld="4" item="4"/>
          <tpl fld="10" item="3"/>
        </tpls>
      </n>
      <m>
        <tpls c="4">
          <tpl fld="7" item="946"/>
          <tpl fld="6" item="1"/>
          <tpl hier="236" item="0"/>
          <tpl fld="4" item="6"/>
        </tpls>
      </m>
      <n v="6" in="1">
        <tpls c="6">
          <tpl fld="11" item="0"/>
          <tpl fld="2" item="4"/>
          <tpl fld="6" item="1"/>
          <tpl hier="236" item="0"/>
          <tpl fld="4" item="6"/>
          <tpl fld="10" item="1"/>
        </tpls>
      </n>
      <n v="362" in="1">
        <tpls c="6">
          <tpl fld="11" item="0"/>
          <tpl fld="5" item="3"/>
          <tpl fld="6" item="1"/>
          <tpl hier="236" item="0"/>
          <tpl fld="4" item="6"/>
          <tpl fld="10" item="0"/>
        </tpls>
      </n>
      <n v="7.3999999999999986" in="2">
        <tpls c="6">
          <tpl fld="11" item="0"/>
          <tpl fld="5" item="2"/>
          <tpl fld="6" item="2"/>
          <tpl hier="236" item="0"/>
          <tpl fld="4" item="4"/>
          <tpl fld="10" item="6"/>
        </tpls>
      </n>
      <m>
        <tpls c="6">
          <tpl fld="11" item="0"/>
          <tpl fld="5" item="0"/>
          <tpl fld="6" item="2"/>
          <tpl hier="236" item="0"/>
          <tpl fld="4" item="3"/>
          <tpl fld="10" item="0"/>
        </tpls>
      </m>
      <n v="6.2459459459459454" in="2">
        <tpls c="6">
          <tpl fld="11" item="0"/>
          <tpl fld="2" item="2"/>
          <tpl fld="6" item="2"/>
          <tpl hier="236" item="0"/>
          <tpl fld="4" item="4"/>
          <tpl fld="10" item="3"/>
        </tpls>
      </n>
      <n v="31.607094594594596" in="2">
        <tpls c="6">
          <tpl fld="11" item="0"/>
          <tpl fld="2" item="2"/>
          <tpl fld="6" item="2"/>
          <tpl hier="236" item="0"/>
          <tpl fld="4" item="6"/>
          <tpl fld="10" item="8"/>
        </tpls>
      </n>
      <n v="7.2797297297297305" in="2">
        <tpls c="6">
          <tpl fld="11" item="0"/>
          <tpl fld="2" item="2"/>
          <tpl fld="6" item="2"/>
          <tpl hier="236" item="0"/>
          <tpl fld="4" item="3"/>
          <tpl fld="10" item="4"/>
        </tpls>
      </n>
      <m>
        <tpls c="3">
          <tpl fld="7" item="929"/>
          <tpl fld="6" item="3"/>
          <tpl hier="236" item="0"/>
        </tpls>
      </m>
      <m>
        <tpls c="3">
          <tpl fld="7" item="977"/>
          <tpl fld="6" item="3"/>
          <tpl hier="236" item="0"/>
        </tpls>
      </m>
      <m>
        <tpls c="4">
          <tpl fld="7" item="1253"/>
          <tpl fld="6" item="1"/>
          <tpl hier="236" item="0"/>
          <tpl fld="4" item="6"/>
        </tpls>
      </m>
      <n v="34" in="1">
        <tpls c="6">
          <tpl fld="11" item="0"/>
          <tpl fld="5" item="4"/>
          <tpl fld="6" item="1"/>
          <tpl hier="236" item="0"/>
          <tpl fld="4" item="1"/>
          <tpl fld="9" item="0"/>
        </tpls>
      </n>
      <m>
        <tpls c="3">
          <tpl fld="7" item="1078"/>
          <tpl fld="6" item="3"/>
          <tpl hier="236" item="0"/>
        </tpls>
      </m>
      <m>
        <tpls c="6">
          <tpl fld="11" item="0"/>
          <tpl fld="2" item="0"/>
          <tpl fld="6" item="2"/>
          <tpl hier="236" item="0"/>
          <tpl fld="4" item="1"/>
          <tpl fld="9" item="2"/>
        </tpls>
      </m>
      <n v="7" in="1">
        <tpls c="6">
          <tpl fld="11" item="0"/>
          <tpl fld="2" item="2"/>
          <tpl fld="6" item="1"/>
          <tpl hier="236" item="0"/>
          <tpl fld="4" item="7"/>
          <tpl fld="10" item="5"/>
        </tpls>
      </n>
      <n v="15.256418918918918" in="2">
        <tpls c="5">
          <tpl fld="11" item="0"/>
          <tpl fld="2" item="3"/>
          <tpl fld="6" item="2"/>
          <tpl hier="236" item="0"/>
          <tpl fld="4" item="0"/>
        </tpls>
      </n>
      <n v="106" in="1">
        <tpls c="6">
          <tpl fld="11" item="0"/>
          <tpl fld="2" item="0"/>
          <tpl fld="6" item="1"/>
          <tpl hier="236" item="0"/>
          <tpl fld="4" item="1"/>
          <tpl fld="9" item="3"/>
        </tpls>
      </n>
      <n v="15.7" in="2">
        <tpls c="6">
          <tpl fld="11" item="0"/>
          <tpl fld="2" item="4"/>
          <tpl fld="6" item="2"/>
          <tpl hier="236" item="0"/>
          <tpl fld="4" item="3"/>
          <tpl fld="10" item="8"/>
        </tpls>
      </n>
      <n v="11" in="1">
        <tpls c="6">
          <tpl fld="11" item="0"/>
          <tpl fld="2" item="2"/>
          <tpl fld="6" item="1"/>
          <tpl hier="236" item="0"/>
          <tpl fld="4" item="7"/>
          <tpl fld="10" item="4"/>
        </tpls>
      </n>
      <m>
        <tpls c="6">
          <tpl fld="3" item="2"/>
          <tpl fld="11" item="0"/>
          <tpl fld="6" item="1"/>
          <tpl hier="236" item="0"/>
          <tpl fld="4" item="3"/>
          <tpl fld="10" item="0"/>
        </tpls>
      </m>
      <n v="1571" in="1">
        <tpls c="6">
          <tpl fld="3" item="4"/>
          <tpl fld="11" item="0"/>
          <tpl fld="6" item="1"/>
          <tpl hier="236" item="0"/>
          <tpl fld="4" item="4"/>
          <tpl fld="10" item="7"/>
        </tpls>
      </n>
      <m>
        <tpls c="3">
          <tpl fld="7" item="1075"/>
          <tpl fld="6" item="3"/>
          <tpl hier="236" item="0"/>
        </tpls>
      </m>
      <n v="5.6" in="2">
        <tpls c="6">
          <tpl fld="11" item="0"/>
          <tpl fld="5" item="5"/>
          <tpl fld="6" item="2"/>
          <tpl hier="236" item="0"/>
          <tpl fld="4" item="1"/>
          <tpl fld="9" item="1"/>
        </tpls>
      </n>
      <n v="3.2" in="2">
        <tpls c="6">
          <tpl fld="11" item="0"/>
          <tpl fld="5" item="0"/>
          <tpl fld="6" item="2"/>
          <tpl hier="236" item="0"/>
          <tpl fld="4" item="4"/>
          <tpl fld="10" item="6"/>
        </tpls>
      </n>
      <n v="0.98648648648648651" in="2">
        <tpls c="6">
          <tpl fld="11" item="0"/>
          <tpl fld="2" item="1"/>
          <tpl fld="6" item="2"/>
          <tpl hier="236" item="0"/>
          <tpl fld="4" item="1"/>
          <tpl fld="9" item="3"/>
        </tpls>
      </n>
      <n v="7.1" in="2">
        <tpls c="6">
          <tpl fld="11" item="0"/>
          <tpl fld="2" item="1"/>
          <tpl fld="6" item="2"/>
          <tpl hier="236" item="0"/>
          <tpl fld="4" item="6"/>
          <tpl fld="10" item="3"/>
        </tpls>
      </n>
      <n v="14.850000000000001" in="2">
        <tpls c="6">
          <tpl fld="11" item="0"/>
          <tpl fld="2" item="2"/>
          <tpl fld="6" item="2"/>
          <tpl hier="236" item="0"/>
          <tpl fld="4" item="3"/>
          <tpl fld="10" item="2"/>
        </tpls>
      </n>
      <n v="646" in="1">
        <tpls c="6">
          <tpl fld="11" item="0"/>
          <tpl fld="2" item="2"/>
          <tpl fld="6" item="1"/>
          <tpl hier="236" item="0"/>
          <tpl fld="4" item="4"/>
          <tpl fld="10" item="7"/>
        </tpls>
      </n>
      <n v="43" in="1">
        <tpls c="6">
          <tpl fld="3" item="4"/>
          <tpl fld="11" item="0"/>
          <tpl fld="6" item="1"/>
          <tpl hier="236" item="0"/>
          <tpl fld="4" item="1"/>
          <tpl fld="9" item="0"/>
        </tpls>
      </n>
      <n v="2.6" in="2">
        <tpls c="6">
          <tpl fld="3" item="1"/>
          <tpl fld="11" item="0"/>
          <tpl fld="6" item="2"/>
          <tpl hier="236" item="0"/>
          <tpl fld="4" item="7"/>
          <tpl fld="10" item="2"/>
        </tpls>
      </n>
      <n v="32" in="1">
        <tpls c="6">
          <tpl fld="11" item="0"/>
          <tpl fld="2" item="4"/>
          <tpl fld="6" item="1"/>
          <tpl hier="236" item="0"/>
          <tpl fld="4" item="3"/>
          <tpl fld="10" item="1"/>
        </tpls>
      </n>
      <n v="1" in="2">
        <tpls c="6">
          <tpl fld="11" item="0"/>
          <tpl fld="2" item="3"/>
          <tpl fld="6" item="2"/>
          <tpl hier="236" item="0"/>
          <tpl fld="4" item="4"/>
          <tpl fld="10" item="4"/>
        </tpls>
      </n>
      <n v="19" in="1">
        <tpls c="6">
          <tpl fld="3" item="0"/>
          <tpl fld="11" item="0"/>
          <tpl fld="6" item="1"/>
          <tpl hier="236" item="0"/>
          <tpl fld="4" item="4"/>
          <tpl fld="10" item="5"/>
        </tpls>
      </n>
      <n v="435" in="1">
        <tpls c="6">
          <tpl fld="3" item="0"/>
          <tpl fld="11" item="0"/>
          <tpl fld="6" item="1"/>
          <tpl hier="236" item="0"/>
          <tpl fld="4" item="3"/>
          <tpl fld="10" item="7"/>
        </tpls>
      </n>
      <n v="7.85" in="2">
        <tpls c="6">
          <tpl fld="3" item="2"/>
          <tpl fld="11" item="0"/>
          <tpl fld="6" item="2"/>
          <tpl hier="236" item="0"/>
          <tpl fld="4" item="6"/>
          <tpl fld="10" item="3"/>
        </tpls>
      </n>
      <n v="68.827702702702709" in="2">
        <tpls c="6">
          <tpl fld="11" item="0"/>
          <tpl fld="6" item="2"/>
          <tpl fld="8" item="1"/>
          <tpl hier="236" item="0"/>
          <tpl fld="4" item="4"/>
          <tpl fld="10" item="8"/>
        </tpls>
      </n>
      <n v="72" in="1">
        <tpls c="6">
          <tpl fld="11" item="0"/>
          <tpl fld="6" item="1"/>
          <tpl fld="8" item="0"/>
          <tpl hier="236" item="0"/>
          <tpl fld="4" item="3"/>
          <tpl fld="10" item="0"/>
        </tpls>
      </n>
      <n v="102" in="1">
        <tpls c="6">
          <tpl fld="11" item="0"/>
          <tpl fld="6" item="1"/>
          <tpl fld="8" item="0"/>
          <tpl hier="236" item="0"/>
          <tpl fld="4" item="7"/>
          <tpl fld="10" item="8"/>
        </tpls>
      </n>
      <m>
        <tpls c="4">
          <tpl fld="7" item="217"/>
          <tpl fld="6" item="2"/>
          <tpl hier="236" item="0"/>
          <tpl fld="4" item="6"/>
        </tpls>
      </m>
      <m>
        <tpls c="4">
          <tpl fld="7" item="4"/>
          <tpl fld="6" item="1"/>
          <tpl hier="236" item="0"/>
          <tpl fld="1" item="0"/>
        </tpls>
      </m>
      <m>
        <tpls c="4">
          <tpl fld="7" item="115"/>
          <tpl fld="6" item="1"/>
          <tpl hier="236" item="0"/>
          <tpl fld="4" item="5"/>
        </tpls>
      </m>
      <m>
        <tpls c="4">
          <tpl fld="7" item="227"/>
          <tpl fld="6" item="1"/>
          <tpl hier="236" item="0"/>
          <tpl fld="4" item="4"/>
        </tpls>
      </m>
      <m>
        <tpls c="4">
          <tpl fld="7" item="400"/>
          <tpl fld="6" item="2"/>
          <tpl hier="236" item="0"/>
          <tpl fld="4" item="1"/>
        </tpls>
      </m>
      <m>
        <tpls c="4">
          <tpl fld="7" item="976"/>
          <tpl fld="6" item="1"/>
          <tpl hier="236" item="0"/>
          <tpl fld="1" item="0"/>
        </tpls>
      </m>
      <n v="0" in="1">
        <tpls c="6">
          <tpl fld="11" item="0"/>
          <tpl fld="5" item="4"/>
          <tpl fld="6" item="1"/>
          <tpl hier="236" item="0"/>
          <tpl fld="4" item="3"/>
          <tpl fld="10" item="3"/>
        </tpls>
      </n>
      <n v="51" in="1">
        <tpls c="6">
          <tpl fld="11" item="0"/>
          <tpl fld="2" item="1"/>
          <tpl fld="6" item="1"/>
          <tpl hier="236" item="0"/>
          <tpl fld="4" item="6"/>
          <tpl fld="10" item="6"/>
        </tpls>
      </n>
      <n v="1249" in="1">
        <tpls c="6">
          <tpl fld="11" item="0"/>
          <tpl fld="2" item="2"/>
          <tpl fld="6" item="1"/>
          <tpl hier="236" item="0"/>
          <tpl fld="4" item="3"/>
          <tpl fld="10" item="8"/>
        </tpls>
      </n>
      <n v="1536" in="1">
        <tpls c="6">
          <tpl fld="3" item="1"/>
          <tpl fld="11" item="0"/>
          <tpl fld="6" item="1"/>
          <tpl hier="236" item="0"/>
          <tpl fld="4" item="6"/>
          <tpl fld="10" item="8"/>
        </tpls>
      </n>
      <n v="23.328378378378378" in="2">
        <tpls c="5">
          <tpl fld="3" item="4"/>
          <tpl fld="11" item="0"/>
          <tpl fld="6" item="2"/>
          <tpl hier="236" item="0"/>
          <tpl fld="4" item="0"/>
        </tpls>
      </n>
      <n v="8.535405405405406" in="2">
        <tpls c="6">
          <tpl fld="3" item="2"/>
          <tpl fld="11" item="0"/>
          <tpl fld="6" item="2"/>
          <tpl hier="236" item="0"/>
          <tpl fld="4" item="4"/>
          <tpl fld="10" item="5"/>
        </tpls>
      </n>
      <n v="471.15885135135142" in="2">
        <tpls c="5">
          <tpl fld="11" item="0"/>
          <tpl fld="6" item="2"/>
          <tpl hier="236" item="0"/>
          <tpl fld="4" item="1"/>
          <tpl fld="9" item="4"/>
        </tpls>
      </n>
      <n v="3.8499999999999996" in="2">
        <tpls c="6">
          <tpl fld="11" item="0"/>
          <tpl fld="6" item="2"/>
          <tpl fld="8" item="1"/>
          <tpl hier="236" item="0"/>
          <tpl fld="4" item="4"/>
          <tpl fld="10" item="4"/>
        </tpls>
      </n>
      <m>
        <tpls c="6">
          <tpl fld="11" item="0"/>
          <tpl fld="6" item="1"/>
          <tpl fld="8" item="0"/>
          <tpl hier="236" item="0"/>
          <tpl fld="4" item="3"/>
          <tpl fld="10" item="6"/>
        </tpls>
      </m>
      <m>
        <tpls c="6">
          <tpl fld="11" item="0"/>
          <tpl fld="5" item="2"/>
          <tpl fld="6" item="1"/>
          <tpl hier="236" item="0"/>
          <tpl fld="4" item="7"/>
          <tpl fld="10" item="0"/>
        </tpls>
      </m>
      <n v="34.263445945945946" in="2">
        <tpls c="6">
          <tpl fld="11" item="0"/>
          <tpl fld="2" item="3"/>
          <tpl fld="6" item="2"/>
          <tpl hier="236" item="0"/>
          <tpl fld="4" item="4"/>
          <tpl fld="10" item="0"/>
        </tpls>
      </n>
      <n v="1.05" in="2">
        <tpls c="6">
          <tpl fld="11" item="0"/>
          <tpl fld="2" item="0"/>
          <tpl fld="6" item="2"/>
          <tpl hier="236" item="0"/>
          <tpl fld="4" item="7"/>
          <tpl fld="10" item="8"/>
        </tpls>
      </n>
      <n v="3.75" in="2">
        <tpls c="6">
          <tpl fld="3" item="0"/>
          <tpl fld="11" item="0"/>
          <tpl fld="6" item="2"/>
          <tpl hier="236" item="0"/>
          <tpl fld="4" item="4"/>
          <tpl fld="10" item="3"/>
        </tpls>
      </n>
      <n v="14" in="1">
        <tpls c="6">
          <tpl fld="3" item="0"/>
          <tpl fld="11" item="0"/>
          <tpl fld="6" item="1"/>
          <tpl hier="236" item="0"/>
          <tpl fld="4" item="7"/>
          <tpl fld="10" item="5"/>
        </tpls>
      </n>
      <m>
        <tpls c="6">
          <tpl fld="3" item="0"/>
          <tpl fld="11" item="0"/>
          <tpl fld="6" item="2"/>
          <tpl hier="236" item="0"/>
          <tpl fld="4" item="1"/>
          <tpl fld="9" item="2"/>
        </tpls>
      </m>
      <m>
        <tpls c="4">
          <tpl fld="7" item="1232"/>
          <tpl fld="6" item="2"/>
          <tpl hier="236" item="0"/>
          <tpl fld="1" item="0"/>
        </tpls>
      </m>
      <n v="124.42114864864864" in="2">
        <tpls c="4">
          <tpl fld="11" item="0"/>
          <tpl fld="6" item="2"/>
          <tpl hier="236" item="0"/>
          <tpl fld="4" item="0"/>
        </tpls>
      </n>
      <n v="133" in="1">
        <tpls c="6">
          <tpl fld="11" item="0"/>
          <tpl fld="5" item="3"/>
          <tpl fld="6" item="1"/>
          <tpl hier="236" item="0"/>
          <tpl fld="4" item="1"/>
          <tpl fld="9" item="3"/>
        </tpls>
      </n>
      <m>
        <tpls c="3">
          <tpl fld="7" item="945"/>
          <tpl fld="6" item="3"/>
          <tpl hier="236" item="0"/>
        </tpls>
      </m>
      <n v="980" in="1">
        <tpls c="6">
          <tpl fld="11" item="0"/>
          <tpl fld="5" item="4"/>
          <tpl fld="6" item="1"/>
          <tpl hier="236" item="0"/>
          <tpl fld="4" item="1"/>
          <tpl fld="9" item="4"/>
        </tpls>
      </n>
      <n v="59" in="1">
        <tpls c="6">
          <tpl fld="11" item="0"/>
          <tpl fld="5" item="2"/>
          <tpl fld="6" item="1"/>
          <tpl hier="236" item="0"/>
          <tpl fld="4" item="1"/>
          <tpl fld="9" item="2"/>
        </tpls>
      </n>
      <m>
        <tpls c="6">
          <tpl fld="11" item="0"/>
          <tpl fld="5" item="3"/>
          <tpl fld="6" item="2"/>
          <tpl hier="236" item="0"/>
          <tpl fld="4" item="7"/>
          <tpl fld="10" item="6"/>
        </tpls>
      </m>
      <n v="29.329729729729731" in="2">
        <tpls c="6">
          <tpl fld="11" item="0"/>
          <tpl fld="2" item="0"/>
          <tpl fld="6" item="2"/>
          <tpl hier="236" item="0"/>
          <tpl fld="4" item="4"/>
          <tpl fld="10" item="0"/>
        </tpls>
      </n>
      <m>
        <tpls c="6">
          <tpl fld="11" item="0"/>
          <tpl fld="2" item="4"/>
          <tpl fld="6" item="2"/>
          <tpl hier="236" item="0"/>
          <tpl fld="4" item="7"/>
          <tpl fld="10" item="4"/>
        </tpls>
      </m>
      <n v="11.195945945945946" in="2">
        <tpls c="6">
          <tpl fld="3" item="4"/>
          <tpl fld="11" item="0"/>
          <tpl fld="6" item="2"/>
          <tpl hier="236" item="0"/>
          <tpl fld="4" item="4"/>
          <tpl fld="10" item="3"/>
        </tpls>
      </n>
      <m>
        <tpls c="6">
          <tpl fld="11" item="0"/>
          <tpl fld="5" item="1"/>
          <tpl fld="6" item="1"/>
          <tpl hier="236" item="0"/>
          <tpl fld="4" item="7"/>
          <tpl fld="10" item="4"/>
        </tpls>
      </m>
      <n v="247" in="1">
        <tpls c="6">
          <tpl fld="11" item="0"/>
          <tpl fld="2" item="0"/>
          <tpl fld="6" item="1"/>
          <tpl hier="236" item="0"/>
          <tpl fld="4" item="4"/>
          <tpl fld="10" item="6"/>
        </tpls>
      </n>
      <m>
        <tpls c="6">
          <tpl fld="11" item="0"/>
          <tpl fld="2" item="4"/>
          <tpl fld="6" item="2"/>
          <tpl hier="236" item="0"/>
          <tpl fld="4" item="3"/>
          <tpl fld="10" item="1"/>
        </tpls>
      </m>
      <n v="11.649999999999999" in="2">
        <tpls c="6">
          <tpl fld="11" item="0"/>
          <tpl fld="2" item="1"/>
          <tpl fld="6" item="2"/>
          <tpl hier="236" item="0"/>
          <tpl fld="4" item="7"/>
          <tpl fld="10" item="8"/>
        </tpls>
      </n>
      <n v="133" in="1">
        <tpls c="6">
          <tpl fld="11" item="0"/>
          <tpl fld="2" item="2"/>
          <tpl fld="6" item="1"/>
          <tpl hier="236" item="0"/>
          <tpl fld="4" item="1"/>
          <tpl fld="9" item="3"/>
        </tpls>
      </n>
      <n v="2" in="1">
        <tpls c="4">
          <tpl fld="7" item="938"/>
          <tpl fld="6" item="1"/>
          <tpl hier="236" item="0"/>
          <tpl fld="4" item="6"/>
        </tpls>
      </n>
      <n v="42" in="1">
        <tpls c="6">
          <tpl fld="11" item="0"/>
          <tpl fld="2" item="4"/>
          <tpl fld="6" item="1"/>
          <tpl hier="236" item="0"/>
          <tpl fld="4" item="1"/>
          <tpl fld="9" item="1"/>
        </tpls>
      </n>
      <n v="433" in="1">
        <tpls c="6">
          <tpl fld="11" item="0"/>
          <tpl fld="5" item="4"/>
          <tpl fld="6" item="1"/>
          <tpl hier="236" item="0"/>
          <tpl fld="4" item="6"/>
          <tpl fld="10" item="0"/>
        </tpls>
      </n>
      <n v="10.127027027027026" in="2">
        <tpls c="6">
          <tpl fld="11" item="0"/>
          <tpl fld="5" item="1"/>
          <tpl fld="6" item="2"/>
          <tpl hier="236" item="0"/>
          <tpl fld="4" item="6"/>
          <tpl fld="10" item="4"/>
        </tpls>
      </n>
      <m>
        <tpls c="6">
          <tpl fld="11" item="0"/>
          <tpl fld="5" item="0"/>
          <tpl fld="6" item="2"/>
          <tpl hier="236" item="0"/>
          <tpl fld="4" item="3"/>
          <tpl fld="10" item="2"/>
        </tpls>
      </m>
      <n v="11" in="2">
        <tpls c="6">
          <tpl fld="11" item="0"/>
          <tpl fld="2" item="1"/>
          <tpl fld="6" item="2"/>
          <tpl hier="236" item="0"/>
          <tpl fld="4" item="4"/>
          <tpl fld="10" item="5"/>
        </tpls>
      </n>
      <m>
        <tpls c="6">
          <tpl fld="11" item="0"/>
          <tpl fld="2" item="1"/>
          <tpl fld="6" item="2"/>
          <tpl hier="236" item="0"/>
          <tpl fld="4" item="6"/>
          <tpl fld="10" item="1"/>
        </tpls>
      </m>
      <n v="13.22972972972973" in="2">
        <tpls c="6">
          <tpl fld="11" item="0"/>
          <tpl fld="2" item="2"/>
          <tpl fld="6" item="2"/>
          <tpl hier="236" item="0"/>
          <tpl fld="4" item="3"/>
          <tpl fld="10" item="8"/>
        </tpls>
      </n>
      <n v="491" in="1">
        <tpls c="6">
          <tpl fld="11" item="0"/>
          <tpl fld="2" item="4"/>
          <tpl fld="6" item="1"/>
          <tpl hier="236" item="0"/>
          <tpl fld="4" item="3"/>
          <tpl fld="10" item="8"/>
        </tpls>
      </n>
      <m>
        <tpls c="6">
          <tpl fld="11" item="0"/>
          <tpl fld="2" item="2"/>
          <tpl fld="6" item="1"/>
          <tpl hier="236" item="0"/>
          <tpl fld="4" item="7"/>
          <tpl fld="10" item="6"/>
        </tpls>
      </m>
      <n v="468" in="1">
        <tpls c="6">
          <tpl fld="3" item="4"/>
          <tpl fld="11" item="0"/>
          <tpl fld="6" item="1"/>
          <tpl hier="236" item="0"/>
          <tpl fld="4" item="4"/>
          <tpl fld="10" item="2"/>
        </tpls>
      </n>
      <n v="457" in="1">
        <tpls c="6">
          <tpl fld="3" item="1"/>
          <tpl fld="11" item="0"/>
          <tpl fld="6" item="1"/>
          <tpl hier="236" item="0"/>
          <tpl fld="4" item="7"/>
          <tpl fld="10" item="8"/>
        </tpls>
      </n>
      <n v="500" in="1">
        <tpls c="6">
          <tpl fld="3" item="2"/>
          <tpl fld="11" item="0"/>
          <tpl fld="6" item="1"/>
          <tpl hier="236" item="0"/>
          <tpl fld="4" item="4"/>
          <tpl fld="10" item="7"/>
        </tpls>
      </n>
      <m>
        <tpls c="6">
          <tpl fld="3" item="0"/>
          <tpl fld="11" item="0"/>
          <tpl fld="6" item="2"/>
          <tpl hier="236" item="0"/>
          <tpl fld="4" item="3"/>
          <tpl fld="10" item="3"/>
        </tpls>
      </m>
      <n v="408" in="1">
        <tpls c="5">
          <tpl fld="3" item="2"/>
          <tpl fld="11" item="0"/>
          <tpl fld="6" item="1"/>
          <tpl hier="236" item="0"/>
          <tpl fld="4" item="0"/>
        </tpls>
      </n>
      <m>
        <tpls c="3">
          <tpl fld="7" item="1258"/>
          <tpl fld="6" item="3"/>
          <tpl hier="236" item="0"/>
        </tpls>
      </m>
      <n v="24.892567567567568" in="2">
        <tpls c="6">
          <tpl fld="11" item="0"/>
          <tpl fld="5" item="5"/>
          <tpl fld="6" item="2"/>
          <tpl hier="236" item="0"/>
          <tpl fld="4" item="1"/>
          <tpl fld="9" item="4"/>
        </tpls>
      </n>
      <n v="23.01081081081081" in="2">
        <tpls c="6">
          <tpl fld="11" item="0"/>
          <tpl fld="2" item="3"/>
          <tpl fld="6" item="2"/>
          <tpl hier="236" item="0"/>
          <tpl fld="4" item="6"/>
          <tpl fld="10" item="2"/>
        </tpls>
      </n>
      <n v="156" in="1">
        <tpls c="6">
          <tpl fld="3" item="2"/>
          <tpl fld="11" item="0"/>
          <tpl fld="6" item="1"/>
          <tpl hier="236" item="0"/>
          <tpl fld="4" item="4"/>
          <tpl fld="10" item="2"/>
        </tpls>
      </n>
      <m>
        <tpls c="6">
          <tpl fld="3" item="4"/>
          <tpl fld="11" item="0"/>
          <tpl fld="6" item="2"/>
          <tpl hier="236" item="0"/>
          <tpl fld="4" item="4"/>
          <tpl fld="10" item="1"/>
        </tpls>
      </m>
      <n v="291" in="1">
        <tpls c="6">
          <tpl fld="11" item="0"/>
          <tpl fld="6" item="1"/>
          <tpl fld="8" item="0"/>
          <tpl hier="236" item="0"/>
          <tpl fld="4" item="1"/>
          <tpl fld="9" item="2"/>
        </tpls>
      </n>
      <n v="5.75" in="2">
        <tpls c="6">
          <tpl fld="11" item="0"/>
          <tpl fld="6" item="2"/>
          <tpl fld="8" item="1"/>
          <tpl hier="236" item="0"/>
          <tpl fld="4" item="6"/>
          <tpl fld="10" item="6"/>
        </tpls>
      </n>
      <n v="32" in="1">
        <tpls c="6">
          <tpl fld="11" item="0"/>
          <tpl fld="6" item="1"/>
          <tpl fld="8" item="0"/>
          <tpl hier="236" item="0"/>
          <tpl fld="4" item="3"/>
          <tpl fld="10" item="1"/>
        </tpls>
      </n>
      <n v="1" in="2">
        <tpls c="6">
          <tpl fld="11" item="0"/>
          <tpl fld="6" item="2"/>
          <tpl fld="8" item="0"/>
          <tpl hier="236" item="0"/>
          <tpl fld="4" item="7"/>
          <tpl fld="10" item="2"/>
        </tpls>
      </n>
      <m>
        <tpls c="4">
          <tpl fld="7" item="218"/>
          <tpl fld="6" item="2"/>
          <tpl hier="236" item="0"/>
          <tpl fld="4" item="6"/>
        </tpls>
      </m>
      <m>
        <tpls c="4">
          <tpl fld="7" item="5"/>
          <tpl fld="6" item="1"/>
          <tpl hier="236" item="0"/>
          <tpl fld="1" item="0"/>
        </tpls>
      </m>
      <m>
        <tpls c="4">
          <tpl fld="7" item="116"/>
          <tpl fld="6" item="1"/>
          <tpl hier="236" item="0"/>
          <tpl fld="4" item="5"/>
        </tpls>
      </m>
      <m>
        <tpls c="4">
          <tpl fld="7" item="121"/>
          <tpl fld="6" item="1"/>
          <tpl hier="236" item="0"/>
          <tpl fld="4" item="4"/>
        </tpls>
      </m>
      <m>
        <tpls c="4">
          <tpl fld="7" item="21"/>
          <tpl fld="6" item="2"/>
          <tpl hier="236" item="0"/>
          <tpl fld="4" item="1"/>
        </tpls>
      </m>
      <m>
        <tpls c="3">
          <tpl fld="7" item="1209"/>
          <tpl fld="6" item="3"/>
          <tpl hier="236" item="0"/>
        </tpls>
      </m>
      <n v="1" in="2">
        <tpls c="6">
          <tpl fld="11" item="0"/>
          <tpl fld="5" item="5"/>
          <tpl fld="6" item="2"/>
          <tpl hier="236" item="0"/>
          <tpl fld="4" item="7"/>
          <tpl fld="10" item="1"/>
        </tpls>
      </n>
      <n v="251" in="1">
        <tpls c="6">
          <tpl fld="11" item="0"/>
          <tpl fld="2" item="1"/>
          <tpl fld="6" item="1"/>
          <tpl hier="236" item="0"/>
          <tpl fld="4" item="3"/>
          <tpl fld="10" item="5"/>
        </tpls>
      </n>
      <n v="8" in="1">
        <tpls c="6">
          <tpl fld="3" item="0"/>
          <tpl fld="11" item="0"/>
          <tpl fld="6" item="1"/>
          <tpl hier="236" item="0"/>
          <tpl fld="4" item="6"/>
          <tpl fld="10" item="7"/>
        </tpls>
      </n>
      <n v="314" in="1">
        <tpls c="6">
          <tpl fld="3" item="1"/>
          <tpl fld="11" item="0"/>
          <tpl fld="6" item="1"/>
          <tpl hier="236" item="0"/>
          <tpl fld="4" item="3"/>
          <tpl fld="10" item="3"/>
        </tpls>
      </n>
      <n v="1" in="2">
        <tpls c="6">
          <tpl fld="3" item="1"/>
          <tpl fld="11" item="0"/>
          <tpl fld="6" item="2"/>
          <tpl hier="236" item="0"/>
          <tpl fld="4" item="7"/>
          <tpl fld="10" item="7"/>
        </tpls>
      </n>
      <n v="0.75" in="2">
        <tpls c="6">
          <tpl fld="3" item="1"/>
          <tpl fld="11" item="0"/>
          <tpl fld="6" item="2"/>
          <tpl hier="236" item="0"/>
          <tpl fld="4" item="7"/>
          <tpl fld="10" item="5"/>
        </tpls>
      </n>
      <n v="5.3297297297297295" in="2">
        <tpls c="6">
          <tpl fld="11" item="0"/>
          <tpl fld="6" item="2"/>
          <tpl fld="8" item="1"/>
          <tpl hier="236" item="0"/>
          <tpl fld="4" item="1"/>
          <tpl fld="9" item="3"/>
        </tpls>
      </n>
      <n v="12.802702702702703" in="2">
        <tpls c="6">
          <tpl fld="11" item="0"/>
          <tpl fld="6" item="2"/>
          <tpl fld="8" item="1"/>
          <tpl hier="236" item="0"/>
          <tpl fld="4" item="6"/>
          <tpl fld="10" item="5"/>
        </tpls>
      </n>
      <m>
        <tpls c="4">
          <tpl fld="7" item="960"/>
          <tpl fld="6" item="1"/>
          <tpl hier="236" item="0"/>
          <tpl fld="1" item="0"/>
        </tpls>
      </m>
      <n v="542" in="1">
        <tpls c="6">
          <tpl fld="11" item="0"/>
          <tpl fld="5" item="5"/>
          <tpl fld="6" item="1"/>
          <tpl hier="236" item="0"/>
          <tpl fld="4" item="3"/>
          <tpl fld="10" item="3"/>
        </tpls>
      </n>
      <n v="3" in="2">
        <tpls c="6">
          <tpl fld="11" item="0"/>
          <tpl fld="2" item="3"/>
          <tpl fld="6" item="2"/>
          <tpl hier="236" item="0"/>
          <tpl fld="4" item="6"/>
          <tpl fld="10" item="6"/>
        </tpls>
      </n>
      <n v="832" in="1">
        <tpls c="6">
          <tpl fld="11" item="0"/>
          <tpl fld="2" item="2"/>
          <tpl fld="6" item="1"/>
          <tpl hier="236" item="0"/>
          <tpl fld="4" item="3"/>
          <tpl fld="10" item="7"/>
        </tpls>
      </n>
      <n v="12" in="1">
        <tpls c="6">
          <tpl fld="3" item="0"/>
          <tpl fld="11" item="0"/>
          <tpl fld="6" item="1"/>
          <tpl hier="236" item="0"/>
          <tpl fld="4" item="6"/>
          <tpl fld="10" item="8"/>
        </tpls>
      </n>
      <n v="156.02243243243242" in="2">
        <tpls c="6">
          <tpl fld="3" item="2"/>
          <tpl fld="11" item="0"/>
          <tpl fld="6" item="2"/>
          <tpl hier="236" item="0"/>
          <tpl fld="4" item="4"/>
          <tpl fld="10" item="0"/>
        </tpls>
      </n>
      <n v="3" in="1">
        <tpls c="4">
          <tpl fld="7" item="1135"/>
          <tpl fld="6" item="1"/>
          <tpl hier="236" item="0"/>
          <tpl fld="4" item="6"/>
        </tpls>
      </n>
      <m>
        <tpls c="4">
          <tpl fld="7" item="1051"/>
          <tpl fld="6" item="2"/>
          <tpl hier="236" item="0"/>
          <tpl fld="4" item="6"/>
        </tpls>
      </m>
      <n v="244" in="1">
        <tpls c="5">
          <tpl fld="11" item="0"/>
          <tpl fld="5" item="1"/>
          <tpl fld="6" item="1"/>
          <tpl hier="236" item="0"/>
          <tpl fld="4" item="0"/>
        </tpls>
      </n>
      <n v="1" in="1">
        <tpls c="4">
          <tpl fld="7" item="1066"/>
          <tpl fld="6" item="1"/>
          <tpl hier="236" item="0"/>
          <tpl fld="4" item="6"/>
        </tpls>
      </n>
      <n v="1.35" in="2">
        <tpls c="6">
          <tpl fld="11" item="0"/>
          <tpl fld="5" item="2"/>
          <tpl fld="6" item="2"/>
          <tpl hier="236" item="0"/>
          <tpl fld="4" item="6"/>
          <tpl fld="10" item="3"/>
        </tpls>
      </n>
      <n v="1" in="2">
        <tpls c="6">
          <tpl fld="11" item="0"/>
          <tpl fld="5" item="5"/>
          <tpl fld="6" item="2"/>
          <tpl hier="236" item="0"/>
          <tpl fld="4" item="4"/>
          <tpl fld="10" item="6"/>
        </tpls>
      </n>
      <m>
        <tpls c="6">
          <tpl fld="11" item="0"/>
          <tpl fld="5" item="3"/>
          <tpl fld="6" item="2"/>
          <tpl hier="236" item="0"/>
          <tpl fld="4" item="7"/>
          <tpl fld="10" item="5"/>
        </tpls>
      </m>
      <n v="1" in="2">
        <tpls c="6">
          <tpl fld="11" item="0"/>
          <tpl fld="2" item="0"/>
          <tpl fld="6" item="2"/>
          <tpl hier="236" item="0"/>
          <tpl fld="4" item="6"/>
          <tpl fld="10" item="6"/>
        </tpls>
      </n>
      <m>
        <tpls c="6">
          <tpl fld="11" item="0"/>
          <tpl fld="2" item="2"/>
          <tpl fld="6" item="1"/>
          <tpl hier="236" item="0"/>
          <tpl fld="4" item="3"/>
          <tpl fld="10" item="6"/>
        </tpls>
      </m>
      <n v="3" in="1">
        <tpls c="4">
          <tpl fld="7" item="940"/>
          <tpl fld="6" item="1"/>
          <tpl hier="236" item="0"/>
          <tpl fld="4" item="6"/>
        </tpls>
      </n>
      <m>
        <tpls c="6">
          <tpl fld="11" item="0"/>
          <tpl fld="5" item="0"/>
          <tpl fld="6" item="2"/>
          <tpl hier="236" item="0"/>
          <tpl fld="4" item="7"/>
          <tpl fld="10" item="5"/>
        </tpls>
      </m>
      <n v="16" in="1">
        <tpls c="6">
          <tpl fld="11" item="0"/>
          <tpl fld="2" item="0"/>
          <tpl fld="6" item="1"/>
          <tpl hier="236" item="0"/>
          <tpl fld="4" item="6"/>
          <tpl fld="10" item="5"/>
        </tpls>
      </n>
      <n v="22" in="1">
        <tpls c="6">
          <tpl fld="11" item="0"/>
          <tpl fld="2" item="0"/>
          <tpl fld="6" item="1"/>
          <tpl hier="236" item="0"/>
          <tpl fld="4" item="3"/>
          <tpl fld="10" item="4"/>
        </tpls>
      </n>
      <n v="55" in="1">
        <tpls c="6">
          <tpl fld="11" item="0"/>
          <tpl fld="2" item="1"/>
          <tpl fld="6" item="1"/>
          <tpl hier="236" item="0"/>
          <tpl fld="4" item="7"/>
          <tpl fld="10" item="4"/>
        </tpls>
      </n>
      <m>
        <tpls c="6">
          <tpl fld="3" item="0"/>
          <tpl fld="11" item="0"/>
          <tpl fld="6" item="1"/>
          <tpl hier="236" item="0"/>
          <tpl fld="4" item="7"/>
          <tpl fld="10" item="6"/>
        </tpls>
      </m>
      <n v="24.846081081081081" in="2">
        <tpls c="6">
          <tpl fld="3" item="4"/>
          <tpl fld="11" item="0"/>
          <tpl fld="6" item="2"/>
          <tpl hier="236" item="0"/>
          <tpl fld="4" item="6"/>
          <tpl fld="10" item="0"/>
        </tpls>
      </n>
      <m>
        <tpls c="4">
          <tpl fld="7" item="954"/>
          <tpl fld="6" item="1"/>
          <tpl hier="236" item="0"/>
          <tpl fld="4" item="6"/>
        </tpls>
      </m>
      <n v="160" in="1">
        <tpls c="6">
          <tpl fld="11" item="0"/>
          <tpl fld="5" item="1"/>
          <tpl fld="6" item="1"/>
          <tpl hier="236" item="0"/>
          <tpl fld="4" item="4"/>
          <tpl fld="10" item="8"/>
        </tpls>
      </n>
      <n v="39.345810810810811" in="2">
        <tpls c="6">
          <tpl fld="11" item="0"/>
          <tpl fld="5" item="1"/>
          <tpl fld="6" item="2"/>
          <tpl hier="236" item="0"/>
          <tpl fld="4" item="6"/>
          <tpl fld="10" item="2"/>
        </tpls>
      </n>
      <n v="3628" in="1">
        <tpls c="6">
          <tpl fld="11" item="0"/>
          <tpl fld="5" item="5"/>
          <tpl fld="6" item="1"/>
          <tpl hier="236" item="0"/>
          <tpl fld="4" item="3"/>
          <tpl fld="10" item="2"/>
        </tpls>
      </n>
      <n v="286.91810810810802" in="2">
        <tpls c="6">
          <tpl fld="11" item="0"/>
          <tpl fld="2" item="1"/>
          <tpl fld="6" item="2"/>
          <tpl hier="236" item="0"/>
          <tpl fld="4" item="1"/>
          <tpl fld="9" item="4"/>
        </tpls>
      </n>
      <n v="13.281756756756755" in="2">
        <tpls c="6">
          <tpl fld="11" item="0"/>
          <tpl fld="2" item="2"/>
          <tpl fld="6" item="2"/>
          <tpl hier="236" item="0"/>
          <tpl fld="4" item="4"/>
          <tpl fld="10" item="8"/>
        </tpls>
      </n>
      <n v="13.977027027027026" in="2">
        <tpls c="6">
          <tpl fld="11" item="0"/>
          <tpl fld="2" item="1"/>
          <tpl fld="6" item="2"/>
          <tpl hier="236" item="0"/>
          <tpl fld="4" item="6"/>
          <tpl fld="10" item="4"/>
        </tpls>
      </n>
      <n v="1" in="2">
        <tpls c="6">
          <tpl fld="11" item="0"/>
          <tpl fld="2" item="1"/>
          <tpl fld="6" item="2"/>
          <tpl hier="236" item="0"/>
          <tpl fld="4" item="7"/>
          <tpl fld="10" item="0"/>
        </tpls>
      </n>
      <n v="102" in="1">
        <tpls c="5">
          <tpl fld="11" item="0"/>
          <tpl fld="2" item="3"/>
          <tpl fld="6" item="1"/>
          <tpl hier="236" item="0"/>
          <tpl fld="4" item="5"/>
        </tpls>
      </n>
      <n v="118" in="1">
        <tpls c="5">
          <tpl fld="3" item="1"/>
          <tpl fld="11" item="0"/>
          <tpl fld="6" item="1"/>
          <tpl hier="236" item="0"/>
          <tpl fld="4" item="2"/>
        </tpls>
      </n>
      <n v="16.536486486486485" in="2">
        <tpls c="6">
          <tpl fld="3" item="1"/>
          <tpl fld="11" item="0"/>
          <tpl fld="6" item="2"/>
          <tpl hier="236" item="0"/>
          <tpl fld="4" item="1"/>
          <tpl fld="9" item="4"/>
        </tpls>
      </n>
      <n v="538" in="1">
        <tpls c="6">
          <tpl fld="3" item="1"/>
          <tpl fld="11" item="0"/>
          <tpl fld="6" item="1"/>
          <tpl hier="236" item="0"/>
          <tpl fld="4" item="3"/>
          <tpl fld="10" item="4"/>
        </tpls>
      </n>
      <n v="73.91" in="2">
        <tpls c="6">
          <tpl fld="3" item="4"/>
          <tpl fld="11" item="0"/>
          <tpl fld="6" item="2"/>
          <tpl hier="236" item="0"/>
          <tpl fld="4" item="4"/>
          <tpl fld="10" item="0"/>
        </tpls>
      </n>
      <m>
        <tpls c="6">
          <tpl fld="11" item="0"/>
          <tpl fld="5" item="3"/>
          <tpl fld="6" item="2"/>
          <tpl hier="236" item="0"/>
          <tpl fld="4" item="4"/>
          <tpl fld="10" item="2"/>
        </tpls>
      </m>
      <n v="41.174932432432435" in="2">
        <tpls c="6">
          <tpl fld="11" item="0"/>
          <tpl fld="2" item="3"/>
          <tpl fld="6" item="2"/>
          <tpl hier="236" item="0"/>
          <tpl fld="4" item="1"/>
          <tpl fld="9" item="4"/>
        </tpls>
      </n>
      <m>
        <tpls c="6">
          <tpl fld="11" item="0"/>
          <tpl fld="2" item="3"/>
          <tpl fld="6" item="2"/>
          <tpl hier="236" item="0"/>
          <tpl fld="4" item="7"/>
          <tpl fld="10" item="0"/>
        </tpls>
      </m>
      <n v="3.9222972972972974" in="2">
        <tpls c="6">
          <tpl fld="3" item="0"/>
          <tpl fld="11" item="0"/>
          <tpl fld="6" item="2"/>
          <tpl hier="236" item="0"/>
          <tpl fld="4" item="3"/>
          <tpl fld="10" item="0"/>
        </tpls>
      </n>
      <m>
        <tpls c="6">
          <tpl fld="3" item="1"/>
          <tpl fld="11" item="0"/>
          <tpl fld="6" item="2"/>
          <tpl hier="236" item="0"/>
          <tpl fld="4" item="1"/>
          <tpl fld="9" item="3"/>
        </tpls>
      </m>
      <n v="50.231081081081086" in="2">
        <tpls c="6">
          <tpl fld="11" item="0"/>
          <tpl fld="6" item="2"/>
          <tpl fld="8" item="0"/>
          <tpl hier="236" item="0"/>
          <tpl fld="4" item="4"/>
          <tpl fld="10" item="6"/>
        </tpls>
      </n>
      <n v="59.230202702702698" in="2">
        <tpls c="6">
          <tpl fld="11" item="0"/>
          <tpl fld="6" item="2"/>
          <tpl fld="8" item="1"/>
          <tpl hier="236" item="0"/>
          <tpl fld="4" item="6"/>
          <tpl fld="10" item="7"/>
        </tpls>
      </n>
      <n v="48" in="1">
        <tpls c="6">
          <tpl fld="11" item="0"/>
          <tpl fld="6" item="1"/>
          <tpl fld="8" item="0"/>
          <tpl hier="236" item="0"/>
          <tpl fld="4" item="7"/>
          <tpl fld="10" item="0"/>
        </tpls>
      </n>
      <m>
        <tpls c="4">
          <tpl fld="7" item="216"/>
          <tpl fld="6" item="1"/>
          <tpl hier="236" item="0"/>
          <tpl fld="4" item="4"/>
        </tpls>
      </m>
      <m>
        <tpls c="4">
          <tpl fld="7" item="219"/>
          <tpl fld="6" item="2"/>
          <tpl hier="236" item="0"/>
          <tpl fld="4" item="6"/>
        </tpls>
      </m>
      <m>
        <tpls c="4">
          <tpl fld="7" item="6"/>
          <tpl fld="6" item="1"/>
          <tpl hier="236" item="0"/>
          <tpl fld="1" item="0"/>
        </tpls>
      </m>
      <m>
        <tpls c="4">
          <tpl fld="7" item="117"/>
          <tpl fld="6" item="1"/>
          <tpl hier="236" item="0"/>
          <tpl fld="4" item="5"/>
        </tpls>
      </m>
      <m>
        <tpls c="4">
          <tpl fld="7" item="589"/>
          <tpl fld="6" item="2"/>
          <tpl hier="236" item="0"/>
          <tpl fld="4" item="1"/>
        </tpls>
      </m>
      <m>
        <tpls c="4">
          <tpl fld="7" item="751"/>
          <tpl fld="6" item="2"/>
          <tpl hier="236" item="0"/>
          <tpl fld="4" item="1"/>
        </tpls>
      </m>
      <n v="10" in="1">
        <tpls c="6">
          <tpl fld="11" item="0"/>
          <tpl fld="5" item="1"/>
          <tpl fld="6" item="1"/>
          <tpl hier="236" item="0"/>
          <tpl fld="4" item="1"/>
          <tpl fld="9" item="3"/>
        </tpls>
      </n>
      <n v="444" in="1">
        <tpls c="6">
          <tpl fld="11" item="0"/>
          <tpl fld="2" item="1"/>
          <tpl fld="6" item="1"/>
          <tpl hier="236" item="0"/>
          <tpl fld="4" item="1"/>
          <tpl fld="9" item="2"/>
        </tpls>
      </n>
      <n v="697" in="1">
        <tpls c="6">
          <tpl fld="11" item="0"/>
          <tpl fld="2" item="1"/>
          <tpl fld="6" item="1"/>
          <tpl hier="236" item="0"/>
          <tpl fld="4" item="7"/>
          <tpl fld="10" item="3"/>
        </tpls>
      </n>
      <n v="4" in="1">
        <tpls c="6">
          <tpl fld="3" item="4"/>
          <tpl fld="11" item="0"/>
          <tpl fld="6" item="1"/>
          <tpl hier="236" item="0"/>
          <tpl fld="4" item="7"/>
          <tpl fld="10" item="0"/>
        </tpls>
      </n>
      <n v="1.0499999999999998" in="2">
        <tpls c="6">
          <tpl fld="3" item="0"/>
          <tpl fld="11" item="0"/>
          <tpl fld="6" item="2"/>
          <tpl hier="236" item="0"/>
          <tpl fld="4" item="4"/>
          <tpl fld="10" item="2"/>
        </tpls>
      </n>
      <n v="4.75" in="2">
        <tpls c="6">
          <tpl fld="3" item="1"/>
          <tpl fld="11" item="0"/>
          <tpl fld="6" item="2"/>
          <tpl hier="236" item="0"/>
          <tpl fld="4" item="6"/>
          <tpl fld="10" item="3"/>
        </tpls>
      </n>
      <n v="701" in="1">
        <tpls c="5">
          <tpl fld="11" item="0"/>
          <tpl fld="6" item="1"/>
          <tpl hier="236" item="0"/>
          <tpl fld="4" item="4"/>
          <tpl fld="10" item="5"/>
        </tpls>
      </n>
      <n v="96.93682432432432" in="2">
        <tpls c="6">
          <tpl fld="11" item="0"/>
          <tpl fld="6" item="2"/>
          <tpl fld="8" item="1"/>
          <tpl hier="236" item="0"/>
          <tpl fld="4" item="6"/>
          <tpl fld="10" item="8"/>
        </tpls>
      </n>
      <m>
        <tpls c="3">
          <tpl fld="7" item="1261"/>
          <tpl fld="6" item="3"/>
          <tpl hier="236" item="0"/>
        </tpls>
      </m>
      <m>
        <tpls c="6">
          <tpl fld="11" item="0"/>
          <tpl fld="5" item="1"/>
          <tpl fld="6" item="2"/>
          <tpl hier="236" item="0"/>
          <tpl fld="4" item="7"/>
          <tpl fld="10" item="1"/>
        </tpls>
      </m>
      <n v="1.55" in="2">
        <tpls c="6">
          <tpl fld="11" item="0"/>
          <tpl fld="2" item="3"/>
          <tpl fld="6" item="2"/>
          <tpl hier="236" item="0"/>
          <tpl fld="4" item="3"/>
          <tpl fld="10" item="5"/>
        </tpls>
      </n>
      <n v="90" in="1">
        <tpls c="6">
          <tpl fld="3" item="2"/>
          <tpl fld="11" item="0"/>
          <tpl fld="6" item="1"/>
          <tpl hier="236" item="0"/>
          <tpl fld="4" item="6"/>
          <tpl fld="10" item="4"/>
        </tpls>
      </n>
      <n v="0" in="1">
        <tpls c="6">
          <tpl fld="3" item="4"/>
          <tpl fld="11" item="0"/>
          <tpl fld="6" item="1"/>
          <tpl hier="236" item="0"/>
          <tpl fld="4" item="3"/>
          <tpl fld="10" item="3"/>
        </tpls>
      </n>
      <m>
        <tpls c="4">
          <tpl fld="7" item="1030"/>
          <tpl fld="6" item="2"/>
          <tpl hier="236" item="0"/>
          <tpl fld="4" item="5"/>
        </tpls>
      </m>
      <m>
        <tpls c="4">
          <tpl fld="7" item="1260"/>
          <tpl fld="6" item="2"/>
          <tpl hier="236" item="0"/>
          <tpl fld="4" item="5"/>
        </tpls>
      </m>
      <n v="2" in="1">
        <tpls c="4">
          <tpl fld="7" item="1147"/>
          <tpl fld="6" item="1"/>
          <tpl hier="236" item="0"/>
          <tpl fld="1" item="0"/>
        </tpls>
      </n>
      <m>
        <tpls c="4">
          <tpl fld="7" item="1039"/>
          <tpl fld="6" item="2"/>
          <tpl hier="236" item="0"/>
          <tpl fld="4" item="6"/>
        </tpls>
      </m>
      <m>
        <tpls c="3">
          <tpl fld="7" item="1060"/>
          <tpl fld="6" item="3"/>
          <tpl hier="236" item="0"/>
        </tpls>
      </m>
      <n v="7.3108108108108105" in="2">
        <tpls c="6">
          <tpl fld="11" item="0"/>
          <tpl fld="5" item="0"/>
          <tpl fld="6" item="2"/>
          <tpl hier="236" item="0"/>
          <tpl fld="4" item="6"/>
          <tpl fld="10" item="5"/>
        </tpls>
      </n>
      <m>
        <tpls c="3">
          <tpl fld="7" item="1072"/>
          <tpl fld="6" item="3"/>
          <tpl hier="236" item="0"/>
        </tpls>
      </m>
      <n v="12" in="1">
        <tpls c="6">
          <tpl fld="11" item="0"/>
          <tpl fld="2" item="4"/>
          <tpl fld="6" item="1"/>
          <tpl hier="236" item="0"/>
          <tpl fld="4" item="6"/>
          <tpl fld="10" item="6"/>
        </tpls>
      </n>
      <n v="4" in="1">
        <tpls c="6">
          <tpl fld="11" item="0"/>
          <tpl fld="2" item="3"/>
          <tpl fld="6" item="1"/>
          <tpl hier="236" item="0"/>
          <tpl fld="4" item="7"/>
          <tpl fld="10" item="5"/>
        </tpls>
      </n>
      <m>
        <tpls c="4">
          <tpl fld="7" item="1040"/>
          <tpl fld="6" item="2"/>
          <tpl hier="236" item="0"/>
          <tpl fld="4" item="6"/>
        </tpls>
      </m>
      <n v="2.6" in="2">
        <tpls c="6">
          <tpl fld="11" item="0"/>
          <tpl fld="5" item="2"/>
          <tpl fld="6" item="2"/>
          <tpl hier="236" item="0"/>
          <tpl fld="4" item="6"/>
          <tpl fld="10" item="4"/>
        </tpls>
      </n>
      <n v="86" in="1">
        <tpls c="5">
          <tpl fld="11" item="0"/>
          <tpl fld="2" item="2"/>
          <tpl fld="6" item="1"/>
          <tpl hier="236" item="0"/>
          <tpl fld="4" item="2"/>
        </tpls>
      </n>
      <m>
        <tpls c="4">
          <tpl fld="7" item="1231"/>
          <tpl fld="6" item="1"/>
          <tpl hier="236" item="0"/>
          <tpl fld="4" item="6"/>
        </tpls>
      </m>
      <n v="1.9500000000000002" in="2">
        <tpls c="6">
          <tpl fld="11" item="0"/>
          <tpl fld="5" item="4"/>
          <tpl fld="6" item="2"/>
          <tpl hier="236" item="0"/>
          <tpl fld="4" item="1"/>
          <tpl fld="9" item="0"/>
        </tpls>
      </n>
      <n v="11" in="1">
        <tpls c="6">
          <tpl fld="3" item="0"/>
          <tpl fld="11" item="0"/>
          <tpl fld="6" item="1"/>
          <tpl hier="236" item="0"/>
          <tpl fld="4" item="1"/>
          <tpl fld="9" item="4"/>
        </tpls>
      </n>
      <n v="66" in="1">
        <tpls c="6">
          <tpl fld="11" item="0"/>
          <tpl fld="2" item="2"/>
          <tpl fld="6" item="1"/>
          <tpl hier="236" item="0"/>
          <tpl fld="4" item="7"/>
          <tpl fld="10" item="3"/>
        </tpls>
      </n>
      <n v="8.7222972972972972" in="2">
        <tpls c="5">
          <tpl fld="11" item="0"/>
          <tpl fld="6" item="2"/>
          <tpl hier="236" item="0"/>
          <tpl fld="4" item="3"/>
          <tpl fld="10" item="0"/>
        </tpls>
      </n>
      <n v="14.921621621621622" in="2">
        <tpls c="6">
          <tpl fld="11" item="0"/>
          <tpl fld="2" item="2"/>
          <tpl fld="6" item="2"/>
          <tpl hier="236" item="0"/>
          <tpl fld="4" item="4"/>
          <tpl fld="10" item="6"/>
        </tpls>
      </n>
      <n v="137" in="1">
        <tpls c="6">
          <tpl fld="11" item="0"/>
          <tpl fld="5" item="0"/>
          <tpl fld="6" item="1"/>
          <tpl hier="236" item="0"/>
          <tpl fld="4" item="1"/>
          <tpl fld="9" item="3"/>
        </tpls>
      </n>
      <n v="1018" in="1">
        <tpls c="6">
          <tpl fld="11" item="0"/>
          <tpl fld="5" item="5"/>
          <tpl fld="6" item="1"/>
          <tpl hier="236" item="0"/>
          <tpl fld="4" item="7"/>
          <tpl fld="10" item="2"/>
        </tpls>
      </n>
      <n v="27" in="1">
        <tpls c="6">
          <tpl fld="11" item="0"/>
          <tpl fld="2" item="0"/>
          <tpl fld="6" item="1"/>
          <tpl hier="236" item="0"/>
          <tpl fld="4" item="3"/>
          <tpl fld="10" item="3"/>
        </tpls>
      </n>
      <m>
        <tpls c="3">
          <tpl fld="7" item="1155"/>
          <tpl fld="6" item="3"/>
          <tpl hier="236" item="0"/>
        </tpls>
      </m>
      <n v="6.2820945945945947" in="2">
        <tpls c="6">
          <tpl fld="11" item="0"/>
          <tpl fld="2" item="2"/>
          <tpl fld="6" item="2"/>
          <tpl hier="236" item="0"/>
          <tpl fld="4" item="6"/>
          <tpl fld="10" item="6"/>
        </tpls>
      </n>
      <m>
        <tpls c="6">
          <tpl fld="3" item="4"/>
          <tpl fld="11" item="0"/>
          <tpl fld="6" item="1"/>
          <tpl hier="236" item="0"/>
          <tpl fld="4" item="7"/>
          <tpl fld="10" item="6"/>
        </tpls>
      </m>
      <m>
        <tpls c="6">
          <tpl fld="11" item="0"/>
          <tpl fld="5" item="0"/>
          <tpl fld="6" item="2"/>
          <tpl hier="236" item="0"/>
          <tpl fld="4" item="3"/>
          <tpl fld="10" item="8"/>
        </tpls>
      </m>
      <m>
        <tpls c="6">
          <tpl fld="3" item="1"/>
          <tpl fld="11" item="0"/>
          <tpl fld="6" item="2"/>
          <tpl hier="236" item="0"/>
          <tpl fld="4" item="7"/>
          <tpl fld="10" item="6"/>
        </tpls>
      </m>
      <m>
        <tpls c="4">
          <tpl fld="7" item="0"/>
          <tpl fld="6" item="1"/>
          <tpl hier="236" item="0"/>
          <tpl fld="1" item="0"/>
        </tpls>
      </m>
      <m>
        <tpls c="4">
          <tpl fld="7" item="470"/>
          <tpl fld="6" item="2"/>
          <tpl hier="236" item="0"/>
          <tpl fld="4" item="1"/>
        </tpls>
      </m>
      <n v="71" in="1">
        <tpls c="6">
          <tpl fld="11" item="0"/>
          <tpl fld="2" item="4"/>
          <tpl fld="6" item="1"/>
          <tpl hier="236" item="0"/>
          <tpl fld="4" item="3"/>
          <tpl fld="10" item="5"/>
        </tpls>
      </n>
      <n v="2.75" in="2">
        <tpls c="6">
          <tpl fld="3" item="1"/>
          <tpl fld="11" item="0"/>
          <tpl fld="6" item="2"/>
          <tpl hier="236" item="0"/>
          <tpl fld="4" item="4"/>
          <tpl fld="10" item="5"/>
        </tpls>
      </n>
      <m>
        <tpls c="5">
          <tpl fld="11" item="0"/>
          <tpl fld="5" item="0"/>
          <tpl fld="6" item="2"/>
          <tpl hier="236" item="0"/>
          <tpl fld="4" item="2"/>
        </tpls>
      </m>
      <n v="557" in="1">
        <tpls c="6">
          <tpl fld="3" item="3"/>
          <tpl fld="11" item="0"/>
          <tpl fld="6" item="1"/>
          <tpl hier="236" item="0"/>
          <tpl fld="4" item="7"/>
          <tpl fld="10" item="2"/>
        </tpls>
      </n>
      <m>
        <tpls c="4">
          <tpl fld="7" item="930"/>
          <tpl fld="6" item="1"/>
          <tpl hier="236" item="0"/>
          <tpl fld="4" item="6"/>
        </tpls>
      </m>
      <n v="0" in="1">
        <tpls c="6">
          <tpl fld="11" item="0"/>
          <tpl fld="5" item="0"/>
          <tpl fld="6" item="1"/>
          <tpl hier="236" item="0"/>
          <tpl fld="4" item="3"/>
          <tpl fld="10" item="4"/>
        </tpls>
      </n>
      <n v="9.2459459459459463" in="2">
        <tpls c="6">
          <tpl fld="11" item="0"/>
          <tpl fld="5" item="0"/>
          <tpl fld="6" item="2"/>
          <tpl hier="236" item="0"/>
          <tpl fld="4" item="4"/>
          <tpl fld="10" item="8"/>
        </tpls>
      </n>
      <n v="0" in="1">
        <tpls c="6">
          <tpl fld="3" item="0"/>
          <tpl fld="11" item="0"/>
          <tpl fld="6" item="1"/>
          <tpl hier="236" item="0"/>
          <tpl fld="4" item="6"/>
          <tpl fld="10" item="3"/>
        </tpls>
      </n>
      <m>
        <tpls c="6">
          <tpl fld="11" item="0"/>
          <tpl fld="5" item="1"/>
          <tpl fld="6" item="2"/>
          <tpl hier="236" item="0"/>
          <tpl fld="4" item="3"/>
          <tpl fld="10" item="7"/>
        </tpls>
      </m>
      <n v="2.9" in="2">
        <tpls c="6">
          <tpl fld="11" item="0"/>
          <tpl fld="2" item="1"/>
          <tpl fld="6" item="2"/>
          <tpl hier="236" item="0"/>
          <tpl fld="4" item="6"/>
          <tpl fld="10" item="6"/>
        </tpls>
      </n>
      <m>
        <tpls c="6">
          <tpl fld="3" item="3"/>
          <tpl fld="11" item="0"/>
          <tpl fld="6" item="2"/>
          <tpl hier="236" item="0"/>
          <tpl fld="4" item="4"/>
          <tpl fld="10" item="1"/>
        </tpls>
      </m>
      <m>
        <tpls c="6">
          <tpl fld="3" item="4"/>
          <tpl fld="11" item="0"/>
          <tpl fld="6" item="2"/>
          <tpl hier="236" item="0"/>
          <tpl fld="4" item="7"/>
          <tpl fld="10" item="4"/>
        </tpls>
      </m>
      <n v="913" in="1">
        <tpls c="6">
          <tpl fld="11" item="0"/>
          <tpl fld="2" item="2"/>
          <tpl fld="6" item="1"/>
          <tpl hier="236" item="0"/>
          <tpl fld="4" item="4"/>
          <tpl fld="10" item="8"/>
        </tpls>
      </n>
      <n v="255.2931081081081" in="2">
        <tpls c="6">
          <tpl fld="11" item="0"/>
          <tpl fld="6" item="2"/>
          <tpl fld="8" item="0"/>
          <tpl hier="236" item="0"/>
          <tpl fld="4" item="1"/>
          <tpl fld="9" item="4"/>
        </tpls>
      </n>
      <m>
        <tpls c="6">
          <tpl fld="11" item="0"/>
          <tpl fld="6" item="2"/>
          <tpl fld="8" item="0"/>
          <tpl hier="236" item="0"/>
          <tpl fld="4" item="3"/>
          <tpl fld="10" item="6"/>
        </tpls>
      </m>
      <m>
        <tpls c="4">
          <tpl fld="7" item="1"/>
          <tpl fld="6" item="1"/>
          <tpl hier="236" item="0"/>
          <tpl fld="1" item="0"/>
        </tpls>
      </m>
      <m>
        <tpls c="4">
          <tpl fld="7" item="750"/>
          <tpl fld="6" item="2"/>
          <tpl hier="236" item="0"/>
          <tpl fld="4" item="1"/>
        </tpls>
      </m>
      <m>
        <tpls c="4">
          <tpl fld="7" item="19"/>
          <tpl fld="6" item="2"/>
          <tpl hier="236" item="0"/>
          <tpl fld="4" item="1"/>
        </tpls>
      </m>
      <n v="0" in="1">
        <tpls c="6">
          <tpl fld="11" item="0"/>
          <tpl fld="5" item="0"/>
          <tpl fld="6" item="1"/>
          <tpl hier="236" item="0"/>
          <tpl fld="4" item="7"/>
          <tpl fld="10" item="8"/>
        </tpls>
      </n>
      <n v="11.95" in="2">
        <tpls c="5">
          <tpl fld="3" item="4"/>
          <tpl fld="11" item="0"/>
          <tpl fld="6" item="2"/>
          <tpl hier="236" item="0"/>
          <tpl fld="4" item="2"/>
        </tpls>
      </n>
      <n v="7.2826351351351351" in="2">
        <tpls c="5">
          <tpl fld="3" item="1"/>
          <tpl fld="11" item="0"/>
          <tpl fld="6" item="2"/>
          <tpl hier="236" item="0"/>
          <tpl fld="4" item="0"/>
        </tpls>
      </n>
      <n v="80" in="1">
        <tpls c="5">
          <tpl fld="11" item="0"/>
          <tpl fld="6" item="1"/>
          <tpl hier="236" item="0"/>
          <tpl fld="4" item="1"/>
          <tpl fld="9" item="0"/>
        </tpls>
      </n>
      <n v="0.85000000000000009" in="2">
        <tpls c="6">
          <tpl fld="11" item="0"/>
          <tpl fld="6" item="2"/>
          <tpl fld="8" item="1"/>
          <tpl hier="236" item="0"/>
          <tpl fld="4" item="3"/>
          <tpl fld="10" item="5"/>
        </tpls>
      </n>
      <n v="0.3" in="2">
        <tpls c="6">
          <tpl fld="11" item="0"/>
          <tpl fld="2" item="3"/>
          <tpl fld="6" item="2"/>
          <tpl hier="236" item="0"/>
          <tpl fld="4" item="4"/>
          <tpl fld="10" item="5"/>
        </tpls>
      </n>
      <n v="3.8499999999999996" in="2">
        <tpls c="6">
          <tpl fld="3" item="4"/>
          <tpl fld="11" item="0"/>
          <tpl fld="6" item="2"/>
          <tpl hier="236" item="0"/>
          <tpl fld="4" item="1"/>
          <tpl fld="9" item="0"/>
        </tpls>
      </n>
      <m>
        <tpls c="6">
          <tpl fld="3" item="2"/>
          <tpl fld="11" item="0"/>
          <tpl fld="6" item="2"/>
          <tpl hier="236" item="0"/>
          <tpl fld="4" item="7"/>
          <tpl fld="10" item="1"/>
        </tpls>
      </m>
      <n v="0.8" in="2">
        <tpls c="6">
          <tpl fld="3" item="1"/>
          <tpl fld="11" item="0"/>
          <tpl fld="6" item="2"/>
          <tpl hier="236" item="0"/>
          <tpl fld="4" item="3"/>
          <tpl fld="10" item="1"/>
        </tpls>
      </n>
      <m>
        <tpls c="3">
          <tpl fld="7" item="946"/>
          <tpl fld="6" item="3"/>
          <tpl hier="236" item="0"/>
        </tpls>
      </m>
      <n v="174" in="1">
        <tpls c="6">
          <tpl fld="11" item="0"/>
          <tpl fld="5" item="3"/>
          <tpl fld="6" item="1"/>
          <tpl hier="236" item="0"/>
          <tpl fld="4" item="4"/>
          <tpl fld="10" item="4"/>
        </tpls>
      </n>
      <n v="29" in="1">
        <tpls c="4">
          <tpl fld="7" item="1235"/>
          <tpl fld="6" item="1"/>
          <tpl hier="236" item="0"/>
          <tpl fld="4" item="6"/>
        </tpls>
      </n>
      <n v="0.64999999999999991" in="2">
        <tpls c="6">
          <tpl fld="11" item="0"/>
          <tpl fld="5" item="5"/>
          <tpl fld="6" item="2"/>
          <tpl hier="236" item="0"/>
          <tpl fld="4" item="7"/>
          <tpl fld="10" item="4"/>
        </tpls>
      </n>
      <n v="3.4" in="2">
        <tpls c="6">
          <tpl fld="11" item="0"/>
          <tpl fld="5" item="0"/>
          <tpl fld="6" item="2"/>
          <tpl hier="236" item="0"/>
          <tpl fld="4" item="6"/>
          <tpl fld="10" item="0"/>
        </tpls>
      </n>
      <m>
        <tpls c="6">
          <tpl fld="11" item="0"/>
          <tpl fld="2" item="0"/>
          <tpl fld="6" item="2"/>
          <tpl hier="236" item="0"/>
          <tpl fld="4" item="3"/>
          <tpl fld="10" item="0"/>
        </tpls>
      </m>
      <n v="31" in="1">
        <tpls c="6">
          <tpl fld="3" item="2"/>
          <tpl fld="11" item="0"/>
          <tpl fld="6" item="1"/>
          <tpl hier="236" item="0"/>
          <tpl fld="4" item="1"/>
          <tpl fld="9" item="0"/>
        </tpls>
      </n>
      <m>
        <tpls c="6">
          <tpl fld="11" item="0"/>
          <tpl fld="5" item="2"/>
          <tpl fld="6" item="1"/>
          <tpl hier="236" item="0"/>
          <tpl fld="4" item="7"/>
          <tpl fld="10" item="6"/>
        </tpls>
      </m>
      <n v="87" in="1">
        <tpls c="6">
          <tpl fld="11" item="0"/>
          <tpl fld="2" item="0"/>
          <tpl fld="6" item="1"/>
          <tpl hier="236" item="0"/>
          <tpl fld="4" item="6"/>
          <tpl fld="10" item="2"/>
        </tpls>
      </n>
      <n v="17" in="1">
        <tpls c="6">
          <tpl fld="11" item="0"/>
          <tpl fld="2" item="0"/>
          <tpl fld="6" item="1"/>
          <tpl hier="236" item="0"/>
          <tpl fld="4" item="7"/>
          <tpl fld="10" item="3"/>
        </tpls>
      </n>
      <n v="26.484797297297302" in="2">
        <tpls c="5">
          <tpl fld="3" item="4"/>
          <tpl fld="11" item="0"/>
          <tpl fld="6" item="2"/>
          <tpl hier="236" item="0"/>
          <tpl fld="4" item="5"/>
        </tpls>
      </n>
      <n v="4.2364864864864868" in="2">
        <tpls c="6">
          <tpl fld="3" item="3"/>
          <tpl fld="11" item="0"/>
          <tpl fld="6" item="2"/>
          <tpl hier="236" item="0"/>
          <tpl fld="4" item="1"/>
          <tpl fld="9" item="4"/>
        </tpls>
      </n>
      <m>
        <tpls c="4">
          <tpl fld="7" item="1269"/>
          <tpl fld="6" item="2"/>
          <tpl hier="236" item="0"/>
          <tpl fld="4" item="6"/>
        </tpls>
      </m>
      <n v="1" in="1">
        <tpls c="6">
          <tpl fld="11" item="0"/>
          <tpl fld="2" item="4"/>
          <tpl fld="6" item="1"/>
          <tpl hier="236" item="0"/>
          <tpl fld="4" item="7"/>
          <tpl fld="10" item="1"/>
        </tpls>
      </n>
      <n v="3.95" in="2">
        <tpls c="6">
          <tpl fld="11" item="0"/>
          <tpl fld="5" item="3"/>
          <tpl fld="6" item="2"/>
          <tpl hier="236" item="0"/>
          <tpl fld="4" item="4"/>
          <tpl fld="10" item="7"/>
        </tpls>
      </n>
      <n v="0" in="1">
        <tpls c="6">
          <tpl fld="11" item="0"/>
          <tpl fld="5" item="4"/>
          <tpl fld="6" item="1"/>
          <tpl hier="236" item="0"/>
          <tpl fld="4" item="7"/>
          <tpl fld="10" item="2"/>
        </tpls>
      </n>
      <n v="39.053918918918917" in="2">
        <tpls c="6">
          <tpl fld="11" item="0"/>
          <tpl fld="2" item="1"/>
          <tpl fld="6" item="2"/>
          <tpl hier="236" item="0"/>
          <tpl fld="4" item="4"/>
          <tpl fld="10" item="3"/>
        </tpls>
      </n>
      <m>
        <tpls c="6">
          <tpl fld="11" item="0"/>
          <tpl fld="2" item="1"/>
          <tpl fld="6" item="2"/>
          <tpl hier="236" item="0"/>
          <tpl fld="4" item="3"/>
          <tpl fld="10" item="6"/>
        </tpls>
      </m>
      <n v="1" in="2">
        <tpls c="6">
          <tpl fld="11" item="0"/>
          <tpl fld="2" item="3"/>
          <tpl fld="6" item="2"/>
          <tpl hier="236" item="0"/>
          <tpl fld="4" item="7"/>
          <tpl fld="10" item="8"/>
        </tpls>
      </n>
      <n v="47" in="1">
        <tpls c="6">
          <tpl fld="11" item="0"/>
          <tpl fld="2" item="2"/>
          <tpl fld="6" item="1"/>
          <tpl hier="236" item="0"/>
          <tpl fld="4" item="7"/>
          <tpl fld="10" item="0"/>
        </tpls>
      </n>
      <n v="0" in="1">
        <tpls c="6">
          <tpl fld="3" item="4"/>
          <tpl fld="11" item="0"/>
          <tpl fld="6" item="1"/>
          <tpl hier="236" item="0"/>
          <tpl fld="4" item="3"/>
          <tpl fld="10" item="5"/>
        </tpls>
      </n>
      <n v="22.262027027027024" in="2">
        <tpls c="6">
          <tpl fld="3" item="2"/>
          <tpl fld="11" item="0"/>
          <tpl fld="6" item="2"/>
          <tpl hier="236" item="0"/>
          <tpl fld="4" item="4"/>
          <tpl fld="10" item="3"/>
        </tpls>
      </n>
      <n v="7" in="1">
        <tpls c="6">
          <tpl fld="3" item="0"/>
          <tpl fld="11" item="0"/>
          <tpl fld="6" item="1"/>
          <tpl hier="236" item="0"/>
          <tpl fld="4" item="3"/>
          <tpl fld="10" item="3"/>
        </tpls>
      </n>
      <n v="3" in="1">
        <tpls c="6">
          <tpl fld="3" item="4"/>
          <tpl fld="11" item="0"/>
          <tpl fld="6" item="1"/>
          <tpl hier="236" item="0"/>
          <tpl fld="4" item="7"/>
          <tpl fld="10" item="2"/>
        </tpls>
      </n>
      <n v="0" in="1">
        <tpls c="6">
          <tpl fld="11" item="0"/>
          <tpl fld="5" item="3"/>
          <tpl fld="6" item="1"/>
          <tpl hier="236" item="0"/>
          <tpl fld="4" item="7"/>
          <tpl fld="10" item="5"/>
        </tpls>
      </n>
      <m>
        <tpls c="6">
          <tpl fld="11" item="0"/>
          <tpl fld="2" item="3"/>
          <tpl fld="6" item="2"/>
          <tpl hier="236" item="0"/>
          <tpl fld="4" item="3"/>
          <tpl fld="10" item="6"/>
        </tpls>
      </m>
      <n v="3.95" in="2">
        <tpls c="6">
          <tpl fld="3" item="3"/>
          <tpl fld="11" item="0"/>
          <tpl fld="6" item="2"/>
          <tpl hier="236" item="0"/>
          <tpl fld="4" item="6"/>
          <tpl fld="10" item="0"/>
        </tpls>
      </n>
      <n v="91.810135135135127" in="2">
        <tpls c="5">
          <tpl fld="3" item="2"/>
          <tpl fld="11" item="0"/>
          <tpl fld="6" item="2"/>
          <tpl hier="236" item="0"/>
          <tpl fld="4" item="0"/>
        </tpls>
      </n>
      <n v="1" in="2">
        <tpls c="6">
          <tpl fld="3" item="1"/>
          <tpl fld="11" item="0"/>
          <tpl fld="6" item="2"/>
          <tpl hier="236" item="0"/>
          <tpl fld="4" item="3"/>
          <tpl fld="10" item="0"/>
        </tpls>
      </n>
      <n v="213" in="1">
        <tpls c="5">
          <tpl fld="11" item="0"/>
          <tpl fld="6" item="1"/>
          <tpl hier="236" item="0"/>
          <tpl fld="4" item="4"/>
          <tpl fld="10" item="1"/>
        </tpls>
      </n>
      <m>
        <tpls c="6">
          <tpl fld="11" item="0"/>
          <tpl fld="6" item="1"/>
          <tpl fld="8" item="1"/>
          <tpl hier="236" item="0"/>
          <tpl fld="4" item="3"/>
          <tpl fld="10" item="6"/>
        </tpls>
      </m>
      <n v="0.75" in="2">
        <tpls c="6">
          <tpl fld="11" item="0"/>
          <tpl fld="6" item="2"/>
          <tpl fld="8" item="0"/>
          <tpl hier="236" item="0"/>
          <tpl fld="4" item="7"/>
          <tpl fld="10" item="0"/>
        </tpls>
      </n>
      <m>
        <tpls c="4">
          <tpl fld="7" item="220"/>
          <tpl fld="6" item="1"/>
          <tpl hier="236" item="0"/>
          <tpl fld="4" item="4"/>
        </tpls>
      </m>
      <m>
        <tpls c="4">
          <tpl fld="7" item="224"/>
          <tpl fld="6" item="1"/>
          <tpl hier="236" item="0"/>
          <tpl fld="4" item="4"/>
        </tpls>
      </m>
      <m>
        <tpls c="4">
          <tpl fld="7" item="230"/>
          <tpl fld="6" item="1"/>
          <tpl hier="236" item="0"/>
          <tpl fld="4" item="4"/>
        </tpls>
      </m>
      <m>
        <tpls c="4">
          <tpl fld="7" item="331"/>
          <tpl fld="6" item="2"/>
          <tpl hier="236" item="0"/>
          <tpl fld="4" item="1"/>
        </tpls>
      </m>
      <n v="8.4320945945945951" in="2">
        <tpls c="6">
          <tpl fld="11" item="0"/>
          <tpl fld="5" item="1"/>
          <tpl fld="6" item="2"/>
          <tpl hier="236" item="0"/>
          <tpl fld="4" item="6"/>
          <tpl fld="10" item="6"/>
        </tpls>
      </n>
      <n v="50" in="1">
        <tpls c="6">
          <tpl fld="11" item="0"/>
          <tpl fld="2" item="1"/>
          <tpl fld="6" item="1"/>
          <tpl hier="236" item="0"/>
          <tpl fld="4" item="3"/>
          <tpl fld="10" item="1"/>
        </tpls>
      </n>
      <n v="0.5" in="2">
        <tpls c="6">
          <tpl fld="3" item="2"/>
          <tpl fld="11" item="0"/>
          <tpl fld="6" item="2"/>
          <tpl hier="236" item="0"/>
          <tpl fld="4" item="6"/>
          <tpl fld="10" item="1"/>
        </tpls>
      </n>
      <m>
        <tpls c="6">
          <tpl fld="3" item="4"/>
          <tpl fld="11" item="0"/>
          <tpl fld="6" item="2"/>
          <tpl hier="236" item="0"/>
          <tpl fld="4" item="3"/>
          <tpl fld="10" item="1"/>
        </tpls>
      </m>
      <n v="2.25" in="2">
        <tpls c="6">
          <tpl fld="3" item="1"/>
          <tpl fld="11" item="0"/>
          <tpl fld="6" item="2"/>
          <tpl hier="236" item="0"/>
          <tpl fld="4" item="3"/>
          <tpl fld="10" item="3"/>
        </tpls>
      </n>
      <n v="4582" in="1">
        <tpls c="5">
          <tpl fld="11" item="0"/>
          <tpl fld="6" item="1"/>
          <tpl hier="236" item="0"/>
          <tpl fld="4" item="4"/>
          <tpl fld="10" item="7"/>
        </tpls>
      </n>
      <n v="154" in="1">
        <tpls c="6">
          <tpl fld="11" item="0"/>
          <tpl fld="6" item="1"/>
          <tpl fld="8" item="1"/>
          <tpl hier="236" item="0"/>
          <tpl fld="4" item="3"/>
          <tpl fld="10" item="5"/>
        </tpls>
      </n>
      <n v="0" in="1">
        <tpls c="6">
          <tpl fld="11" item="0"/>
          <tpl fld="5" item="3"/>
          <tpl fld="6" item="1"/>
          <tpl hier="236" item="0"/>
          <tpl fld="4" item="7"/>
          <tpl fld="10" item="8"/>
        </tpls>
      </n>
      <m>
        <tpls c="6">
          <tpl fld="11" item="0"/>
          <tpl fld="2" item="3"/>
          <tpl fld="6" item="2"/>
          <tpl hier="236" item="0"/>
          <tpl fld="4" item="7"/>
          <tpl fld="10" item="6"/>
        </tpls>
      </m>
      <m>
        <tpls c="6">
          <tpl fld="3" item="3"/>
          <tpl fld="11" item="0"/>
          <tpl fld="6" item="2"/>
          <tpl hier="236" item="0"/>
          <tpl fld="4" item="6"/>
          <tpl fld="10" item="5"/>
        </tpls>
      </m>
      <n v="10" in="1">
        <tpls c="6">
          <tpl fld="3" item="4"/>
          <tpl fld="11" item="0"/>
          <tpl fld="6" item="1"/>
          <tpl hier="236" item="0"/>
          <tpl fld="4" item="7"/>
          <tpl fld="10" item="8"/>
        </tpls>
      </n>
      <n v="29.1675" in="2">
        <tpls c="5">
          <tpl fld="3" item="2"/>
          <tpl fld="11" item="0"/>
          <tpl fld="6" item="2"/>
          <tpl hier="236" item="0"/>
          <tpl fld="4" item="5"/>
        </tpls>
      </n>
      <n v="4.25" in="2">
        <tpls c="6">
          <tpl fld="11" item="0"/>
          <tpl fld="6" item="2"/>
          <tpl fld="8" item="0"/>
          <tpl hier="236" item="0"/>
          <tpl fld="4" item="1"/>
          <tpl fld="9" item="0"/>
        </tpls>
      </n>
      <n v="27.717567567567567" in="2">
        <tpls c="6">
          <tpl fld="11" item="0"/>
          <tpl fld="6" item="2"/>
          <tpl fld="8" item="1"/>
          <tpl hier="236" item="0"/>
          <tpl fld="4" item="4"/>
          <tpl fld="10" item="2"/>
        </tpls>
      </n>
      <n v="349" in="1">
        <tpls c="6">
          <tpl fld="11" item="0"/>
          <tpl fld="6" item="1"/>
          <tpl fld="8" item="0"/>
          <tpl hier="236" item="0"/>
          <tpl fld="4" item="3"/>
          <tpl fld="10" item="5"/>
        </tpls>
      </n>
      <n v="950" in="1">
        <tpls c="6">
          <tpl fld="11" item="0"/>
          <tpl fld="6" item="1"/>
          <tpl fld="8" item="1"/>
          <tpl hier="236" item="0"/>
          <tpl fld="4" item="7"/>
          <tpl fld="10" item="2"/>
        </tpls>
      </n>
      <m>
        <tpls c="4">
          <tpl fld="7" item="109"/>
          <tpl fld="6" item="2"/>
          <tpl hier="236" item="0"/>
          <tpl fld="4" item="6"/>
        </tpls>
      </m>
      <m>
        <tpls c="4">
          <tpl fld="7" item="467"/>
          <tpl fld="6" item="1"/>
          <tpl hier="236" item="0"/>
          <tpl fld="1" item="0"/>
        </tpls>
      </m>
      <m>
        <tpls c="4">
          <tpl fld="7" item="224"/>
          <tpl fld="6" item="1"/>
          <tpl hier="236" item="0"/>
          <tpl fld="4" item="5"/>
        </tpls>
      </m>
      <m>
        <tpls c="4">
          <tpl fld="7" item="12"/>
          <tpl fld="6" item="1"/>
          <tpl hier="236" item="0"/>
          <tpl fld="4" item="4"/>
        </tpls>
      </m>
      <m>
        <tpls c="4">
          <tpl fld="7" item="236"/>
          <tpl fld="6" item="2"/>
          <tpl hier="236" item="0"/>
          <tpl fld="4" item="1"/>
        </tpls>
      </m>
      <n v="38" in="1">
        <tpls c="6">
          <tpl fld="11" item="0"/>
          <tpl fld="5" item="1"/>
          <tpl fld="6" item="1"/>
          <tpl hier="236" item="0"/>
          <tpl fld="4" item="4"/>
          <tpl fld="10" item="5"/>
        </tpls>
      </n>
      <n v="0" in="1">
        <tpls c="6">
          <tpl fld="3" item="4"/>
          <tpl fld="11" item="0"/>
          <tpl fld="6" item="1"/>
          <tpl hier="236" item="0"/>
          <tpl fld="4" item="3"/>
          <tpl fld="10" item="4"/>
        </tpls>
      </n>
      <n v="125" in="1">
        <tpls c="6">
          <tpl fld="11" item="0"/>
          <tpl fld="6" item="1"/>
          <tpl fld="8" item="1"/>
          <tpl hier="236" item="0"/>
          <tpl fld="4" item="6"/>
          <tpl fld="10" item="1"/>
        </tpls>
      </n>
      <m>
        <tpls c="4">
          <tpl fld="7" item="217"/>
          <tpl fld="6" item="1"/>
          <tpl hier="236" item="0"/>
          <tpl fld="1" item="0"/>
        </tpls>
      </m>
      <m>
        <tpls c="4">
          <tpl fld="7" item="115"/>
          <tpl fld="6" item="2"/>
          <tpl hier="236" item="0"/>
          <tpl fld="4" item="1"/>
        </tpls>
      </m>
      <m>
        <tpls c="4">
          <tpl fld="7" item="400"/>
          <tpl fld="6" item="1"/>
          <tpl hier="236" item="0"/>
          <tpl fld="4" item="4"/>
        </tpls>
      </m>
      <m>
        <tpls c="4">
          <tpl fld="7" item="1252"/>
          <tpl fld="6" item="1"/>
          <tpl hier="236" item="0"/>
          <tpl fld="4" item="6"/>
        </tpls>
      </m>
      <n v="1" in="2">
        <tpls c="6">
          <tpl fld="11" item="0"/>
          <tpl fld="2" item="0"/>
          <tpl fld="6" item="2"/>
          <tpl hier="236" item="0"/>
          <tpl fld="4" item="1"/>
          <tpl fld="9" item="0"/>
        </tpls>
      </n>
      <n v="42" in="1">
        <tpls c="6">
          <tpl fld="11" item="0"/>
          <tpl fld="2" item="0"/>
          <tpl fld="6" item="1"/>
          <tpl hier="236" item="0"/>
          <tpl fld="4" item="1"/>
          <tpl fld="9" item="1"/>
        </tpls>
      </n>
      <n v="114" in="1">
        <tpls c="6">
          <tpl fld="3" item="3"/>
          <tpl fld="11" item="0"/>
          <tpl fld="6" item="1"/>
          <tpl hier="236" item="0"/>
          <tpl fld="4" item="6"/>
          <tpl fld="10" item="7"/>
        </tpls>
      </n>
      <n v="4.8499999999999996" in="2">
        <tpls c="5">
          <tpl fld="11" item="0"/>
          <tpl fld="5" item="3"/>
          <tpl fld="6" item="2"/>
          <tpl hier="236" item="0"/>
          <tpl fld="4" item="0"/>
        </tpls>
      </n>
      <n v="2" in="2">
        <tpls c="6">
          <tpl fld="11" item="0"/>
          <tpl fld="2" item="2"/>
          <tpl fld="6" item="2"/>
          <tpl hier="236" item="0"/>
          <tpl fld="4" item="6"/>
          <tpl fld="10" item="3"/>
        </tpls>
      </n>
      <n v="2260" in="1">
        <tpls c="6">
          <tpl fld="3" item="1"/>
          <tpl fld="11" item="0"/>
          <tpl fld="6" item="1"/>
          <tpl hier="236" item="0"/>
          <tpl fld="4" item="4"/>
          <tpl fld="10" item="8"/>
        </tpls>
      </n>
      <n v="5.9499999999999993" in="2">
        <tpls c="6">
          <tpl fld="3" item="3"/>
          <tpl fld="11" item="0"/>
          <tpl fld="6" item="2"/>
          <tpl hier="236" item="0"/>
          <tpl fld="4" item="7"/>
          <tpl fld="10" item="2"/>
        </tpls>
      </n>
      <n v="64.996216216216226" in="2">
        <tpls c="5">
          <tpl fld="3" item="0"/>
          <tpl fld="11" item="0"/>
          <tpl fld="6" item="2"/>
          <tpl hier="236" item="0"/>
          <tpl fld="1" item="0"/>
        </tpls>
      </n>
      <n v="19" in="1">
        <tpls c="6">
          <tpl fld="11" item="0"/>
          <tpl fld="6" item="1"/>
          <tpl fld="8" item="1"/>
          <tpl hier="236" item="0"/>
          <tpl fld="4" item="1"/>
          <tpl fld="9" item="0"/>
        </tpls>
      </n>
      <m>
        <tpls c="4">
          <tpl fld="7" item="325"/>
          <tpl fld="6" item="2"/>
          <tpl hier="236" item="0"/>
          <tpl fld="4" item="1"/>
        </tpls>
      </m>
      <m>
        <tpls c="4">
          <tpl fld="7" item="20"/>
          <tpl fld="6" item="2"/>
          <tpl hier="236" item="0"/>
          <tpl fld="4" item="1"/>
        </tpls>
      </m>
      <n v="35" in="1">
        <tpls c="6">
          <tpl fld="3" item="2"/>
          <tpl fld="11" item="0"/>
          <tpl fld="6" item="1"/>
          <tpl hier="236" item="0"/>
          <tpl fld="4" item="4"/>
          <tpl fld="10" item="1"/>
        </tpls>
      </n>
      <n v="114.56425675675675" in="2">
        <tpls c="5">
          <tpl fld="11" item="0"/>
          <tpl fld="6" item="2"/>
          <tpl hier="236" item="0"/>
          <tpl fld="4" item="1"/>
          <tpl fld="9" item="1"/>
        </tpls>
      </n>
      <n v="7.8000000000000007" in="2">
        <tpls c="6">
          <tpl fld="11" item="0"/>
          <tpl fld="2" item="3"/>
          <tpl fld="6" item="2"/>
          <tpl hier="236" item="0"/>
          <tpl fld="4" item="4"/>
          <tpl fld="10" item="8"/>
        </tpls>
      </n>
      <n v="10" in="2">
        <tpls c="6">
          <tpl fld="3" item="2"/>
          <tpl fld="11" item="0"/>
          <tpl fld="6" item="2"/>
          <tpl hier="236" item="0"/>
          <tpl fld="4" item="6"/>
          <tpl fld="10" item="4"/>
        </tpls>
      </n>
      <n v="3240" in="1">
        <tpls c="5">
          <tpl fld="11" item="0"/>
          <tpl fld="6" item="1"/>
          <tpl hier="236" item="0"/>
          <tpl fld="4" item="4"/>
          <tpl fld="10" item="3"/>
        </tpls>
      </n>
      <m>
        <tpls c="5">
          <tpl fld="11" item="0"/>
          <tpl fld="6" item="1"/>
          <tpl hier="236" item="0"/>
          <tpl fld="4" item="3"/>
          <tpl fld="10" item="6"/>
        </tpls>
      </m>
      <n v="10.650675675675675" in="2">
        <tpls c="6">
          <tpl fld="11" item="0"/>
          <tpl fld="6" item="2"/>
          <tpl fld="8" item="0"/>
          <tpl hier="236" item="0"/>
          <tpl fld="4" item="6"/>
          <tpl fld="10" item="5"/>
        </tpls>
      </n>
      <m>
        <tpls c="4">
          <tpl fld="7" item="111"/>
          <tpl fld="6" item="2"/>
          <tpl hier="236" item="0"/>
          <tpl fld="4" item="6"/>
        </tpls>
      </m>
      <m>
        <tpls c="4">
          <tpl fld="7" item="750"/>
          <tpl fld="6" item="1"/>
          <tpl hier="236" item="0"/>
          <tpl fld="1" item="0"/>
        </tpls>
      </m>
      <m>
        <tpls c="4">
          <tpl fld="7" item="399"/>
          <tpl fld="6" item="1"/>
          <tpl hier="236" item="0"/>
          <tpl fld="4" item="4"/>
        </tpls>
      </m>
      <m>
        <tpls c="4">
          <tpl fld="7" item="241"/>
          <tpl fld="6" item="2"/>
          <tpl hier="236" item="0"/>
          <tpl fld="4" item="1"/>
        </tpls>
      </m>
      <m>
        <tpls c="6">
          <tpl fld="3" item="4"/>
          <tpl fld="11" item="0"/>
          <tpl fld="6" item="2"/>
          <tpl hier="236" item="0"/>
          <tpl fld="4" item="3"/>
          <tpl fld="10" item="3"/>
        </tpls>
      </m>
      <n v="5" in="2">
        <tpls c="6">
          <tpl fld="11" item="0"/>
          <tpl fld="6" item="2"/>
          <tpl fld="8" item="1"/>
          <tpl hier="236" item="0"/>
          <tpl fld="4" item="7"/>
          <tpl fld="10" item="0"/>
        </tpls>
      </n>
      <m>
        <tpls c="4">
          <tpl fld="7" item="221"/>
          <tpl fld="6" item="1"/>
          <tpl hier="236" item="0"/>
          <tpl fld="1" item="0"/>
        </tpls>
      </m>
      <m>
        <tpls c="4">
          <tpl fld="7" item="329"/>
          <tpl fld="6" item="1"/>
          <tpl hier="236" item="0"/>
          <tpl fld="4" item="4"/>
        </tpls>
      </m>
      <m>
        <tpls c="4">
          <tpl fld="7" item="136"/>
          <tpl fld="6" item="2"/>
          <tpl hier="236" item="0"/>
          <tpl fld="4" item="1"/>
        </tpls>
      </m>
      <m>
        <tpls c="4">
          <tpl fld="7" item="590"/>
          <tpl fld="6" item="1"/>
          <tpl hier="236" item="0"/>
          <tpl fld="4" item="4"/>
        </tpls>
      </m>
      <m>
        <tpls c="4">
          <tpl fld="7" item="404"/>
          <tpl fld="6" item="2"/>
          <tpl hier="236" item="0"/>
          <tpl fld="4" item="4"/>
        </tpls>
      </m>
      <m>
        <tpls c="4">
          <tpl fld="7" item="254"/>
          <tpl fld="6" item="1"/>
          <tpl hier="236" item="0"/>
          <tpl fld="4" item="6"/>
        </tpls>
      </m>
      <m>
        <tpls c="3">
          <tpl fld="7" item="41"/>
          <tpl fld="6" item="3"/>
          <tpl hier="236" item="0"/>
        </tpls>
      </m>
      <m>
        <tpls c="3">
          <tpl fld="7" item="1185"/>
          <tpl fld="6" item="3"/>
          <tpl hier="236" item="0"/>
        </tpls>
      </m>
      <m>
        <tpls c="3">
          <tpl fld="7" item="336"/>
          <tpl fld="6" item="3"/>
          <tpl hier="236" item="0"/>
        </tpls>
      </m>
      <m>
        <tpls c="3">
          <tpl fld="7" item="591"/>
          <tpl fld="6" item="3"/>
          <tpl hier="236" item="0"/>
        </tpls>
      </m>
      <m>
        <tpls c="3">
          <tpl fld="7" item="337"/>
          <tpl fld="6" item="3"/>
          <tpl hier="236" item="0"/>
        </tpls>
      </m>
      <m>
        <tpls c="3">
          <tpl fld="7" item="671"/>
          <tpl fld="6" item="3"/>
          <tpl hier="236" item="0"/>
        </tpls>
      </m>
      <m>
        <tpls c="3">
          <tpl fld="7" item="338"/>
          <tpl fld="6" item="3"/>
          <tpl hier="236" item="0"/>
        </tpls>
      </m>
      <m>
        <tpls c="3">
          <tpl fld="7" item="753"/>
          <tpl fld="6" item="3"/>
          <tpl hier="236" item="0"/>
        </tpls>
      </m>
      <m>
        <tpls c="3">
          <tpl fld="7" item="339"/>
          <tpl fld="6" item="3"/>
          <tpl hier="236" item="0"/>
        </tpls>
      </m>
      <m>
        <tpls c="4">
          <tpl fld="7" item="280"/>
          <tpl fld="6" item="1"/>
          <tpl hier="236" item="0"/>
          <tpl fld="4" item="6"/>
        </tpls>
      </m>
      <m>
        <tpls c="3">
          <tpl fld="7" item="67"/>
          <tpl fld="6" item="3"/>
          <tpl hier="236" item="0"/>
        </tpls>
      </m>
      <m>
        <tpls c="4">
          <tpl fld="7" item="178"/>
          <tpl fld="6" item="2"/>
          <tpl hier="236" item="0"/>
          <tpl fld="4" item="1"/>
        </tpls>
      </m>
      <m>
        <tpls c="4">
          <tpl fld="7" item="343"/>
          <tpl fld="6" item="1"/>
          <tpl hier="236" item="0"/>
          <tpl fld="4" item="4"/>
        </tpls>
      </m>
      <m>
        <tpls c="4">
          <tpl fld="7" item="485"/>
          <tpl fld="6" item="2"/>
          <tpl hier="236" item="0"/>
          <tpl fld="4" item="4"/>
        </tpls>
      </m>
      <m>
        <tpls c="4">
          <tpl fld="7" item="296"/>
          <tpl fld="6" item="1"/>
          <tpl hier="236" item="0"/>
          <tpl fld="4" item="6"/>
        </tpls>
      </m>
      <m>
        <tpls c="3">
          <tpl fld="7" item="83"/>
          <tpl fld="6" item="3"/>
          <tpl hier="236" item="0"/>
        </tpls>
      </m>
      <m>
        <tpls c="4">
          <tpl fld="7" item="86"/>
          <tpl fld="6" item="1"/>
          <tpl hier="236" item="0"/>
          <tpl fld="4" item="4"/>
        </tpls>
      </m>
      <m>
        <tpls c="4">
          <tpl fld="7" item="89"/>
          <tpl fld="6" item="2"/>
          <tpl hier="236" item="0"/>
          <tpl fld="4" item="4"/>
        </tpls>
      </m>
      <m>
        <tpls c="4">
          <tpl fld="7" item="200"/>
          <tpl fld="6" item="1"/>
          <tpl hier="236" item="0"/>
          <tpl fld="4" item="6"/>
        </tpls>
      </m>
      <m>
        <tpls c="3">
          <tpl fld="7" item="594"/>
          <tpl fld="6" item="3"/>
          <tpl hier="236" item="0"/>
        </tpls>
      </m>
      <m>
        <tpls c="4">
          <tpl fld="7" item="315"/>
          <tpl fld="6" item="2"/>
          <tpl hier="236" item="0"/>
          <tpl fld="4" item="1"/>
        </tpls>
      </m>
      <n v="204" in="1">
        <tpls c="6">
          <tpl fld="3" item="1"/>
          <tpl fld="11" item="0"/>
          <tpl fld="6" item="1"/>
          <tpl hier="236" item="0"/>
          <tpl fld="4" item="6"/>
          <tpl fld="10" item="5"/>
        </tpls>
      </n>
      <n v="41.544256756756752" in="2">
        <tpls c="6">
          <tpl fld="11" item="0"/>
          <tpl fld="6" item="2"/>
          <tpl fld="8" item="1"/>
          <tpl hier="236" item="0"/>
          <tpl fld="4" item="4"/>
          <tpl fld="10" item="7"/>
        </tpls>
      </n>
      <m>
        <tpls c="4">
          <tpl fld="7" item="216"/>
          <tpl fld="6" item="2"/>
          <tpl hier="236" item="0"/>
          <tpl fld="4" item="1"/>
        </tpls>
      </m>
      <m>
        <tpls c="4">
          <tpl fld="7" item="6"/>
          <tpl fld="6" item="2"/>
          <tpl hier="236" item="0"/>
          <tpl fld="4" item="6"/>
        </tpls>
      </m>
      <m>
        <tpls c="4">
          <tpl fld="7" item="232"/>
          <tpl fld="6" item="1"/>
          <tpl hier="236" item="0"/>
          <tpl fld="4" item="4"/>
        </tpls>
      </m>
      <m>
        <tpls c="4">
          <tpl fld="7" item="1082"/>
          <tpl fld="6" item="2"/>
          <tpl hier="236" item="0"/>
          <tpl fld="4" item="1"/>
        </tpls>
      </m>
      <m>
        <tpls c="4">
          <tpl fld="7" item="247"/>
          <tpl fld="6" item="1"/>
          <tpl hier="236" item="0"/>
          <tpl fld="4" item="4"/>
        </tpls>
      </m>
      <m>
        <tpls c="4">
          <tpl fld="7" item="250"/>
          <tpl fld="6" item="2"/>
          <tpl hier="236" item="0"/>
          <tpl fld="4" item="4"/>
        </tpls>
      </m>
      <m>
        <tpls c="4">
          <tpl fld="7" item="37"/>
          <tpl fld="6" item="1"/>
          <tpl hier="236" item="0"/>
          <tpl fld="4" item="6"/>
        </tpls>
      </m>
      <m>
        <tpls c="3">
          <tpl fld="7" item="148"/>
          <tpl fld="6" item="3"/>
          <tpl hier="236" item="0"/>
        </tpls>
      </m>
      <m>
        <tpls c="4">
          <tpl fld="7" item="43"/>
          <tpl fld="6" item="1"/>
          <tpl hier="236" item="0"/>
          <tpl fld="4" item="6"/>
        </tpls>
      </m>
      <m>
        <tpls c="4">
          <tpl fld="7" item="45"/>
          <tpl fld="6" item="1"/>
          <tpl hier="236" item="0"/>
          <tpl fld="4" item="6"/>
        </tpls>
      </m>
      <n v="515" in="1">
        <tpls c="6">
          <tpl fld="11" item="0"/>
          <tpl fld="5" item="4"/>
          <tpl fld="6" item="1"/>
          <tpl hier="236" item="0"/>
          <tpl fld="4" item="4"/>
          <tpl fld="10" item="8"/>
        </tpls>
      </n>
      <n v="29.851351351351351" in="2">
        <tpls c="6">
          <tpl fld="11" item="0"/>
          <tpl fld="5" item="1"/>
          <tpl fld="6" item="2"/>
          <tpl hier="236" item="0"/>
          <tpl fld="4" item="4"/>
          <tpl fld="10" item="7"/>
        </tpls>
      </n>
      <n v="10.841891891891891" in="2">
        <tpls c="6">
          <tpl fld="3" item="2"/>
          <tpl fld="11" item="0"/>
          <tpl fld="6" item="2"/>
          <tpl hier="236" item="0"/>
          <tpl fld="4" item="6"/>
          <tpl fld="10" item="5"/>
        </tpls>
      </n>
      <m>
        <tpls c="6">
          <tpl fld="11" item="0"/>
          <tpl fld="2" item="4"/>
          <tpl fld="6" item="1"/>
          <tpl hier="236" item="0"/>
          <tpl fld="4" item="7"/>
          <tpl fld="10" item="6"/>
        </tpls>
      </m>
      <m>
        <tpls c="4">
          <tpl fld="7" item="1047"/>
          <tpl fld="6" item="1"/>
          <tpl hier="236" item="0"/>
          <tpl fld="4" item="6"/>
        </tpls>
      </m>
      <n v="2.95" in="2">
        <tpls c="6">
          <tpl fld="11" item="0"/>
          <tpl fld="5" item="0"/>
          <tpl fld="6" item="2"/>
          <tpl hier="236" item="0"/>
          <tpl fld="4" item="4"/>
          <tpl fld="10" item="5"/>
        </tpls>
      </n>
      <n v="5682" in="1">
        <tpls c="5">
          <tpl fld="11" item="0"/>
          <tpl fld="2" item="4"/>
          <tpl fld="6" item="1"/>
          <tpl hier="236" item="0"/>
          <tpl fld="1" item="0"/>
        </tpls>
      </n>
      <n v="35" in="1">
        <tpls c="6">
          <tpl fld="3" item="2"/>
          <tpl fld="11" item="0"/>
          <tpl fld="6" item="1"/>
          <tpl hier="236" item="0"/>
          <tpl fld="4" item="4"/>
          <tpl fld="10" item="4"/>
        </tpls>
      </n>
      <n v="12.7" in="2">
        <tpls c="6">
          <tpl fld="11" item="0"/>
          <tpl fld="5" item="5"/>
          <tpl fld="6" item="2"/>
          <tpl hier="236" item="0"/>
          <tpl fld="4" item="7"/>
          <tpl fld="10" item="2"/>
        </tpls>
      </n>
      <m>
        <tpls c="6">
          <tpl fld="3" item="4"/>
          <tpl fld="11" item="0"/>
          <tpl fld="6" item="2"/>
          <tpl hier="236" item="0"/>
          <tpl fld="4" item="7"/>
          <tpl fld="10" item="7"/>
        </tpls>
      </m>
      <n v="130" in="1">
        <tpls c="6">
          <tpl fld="11" item="0"/>
          <tpl fld="6" item="1"/>
          <tpl fld="8" item="0"/>
          <tpl hier="236" item="0"/>
          <tpl fld="4" item="3"/>
          <tpl fld="10" item="8"/>
        </tpls>
      </n>
      <m>
        <tpls c="4">
          <tpl fld="7" item="225"/>
          <tpl fld="6" item="1"/>
          <tpl hier="236" item="0"/>
          <tpl fld="4" item="4"/>
        </tpls>
      </m>
      <n v="7.85" in="2">
        <tpls c="6">
          <tpl fld="11" item="0"/>
          <tpl fld="5" item="0"/>
          <tpl fld="6" item="2"/>
          <tpl hier="236" item="0"/>
          <tpl fld="4" item="4"/>
          <tpl fld="10" item="0"/>
        </tpls>
      </n>
      <n v="0.64999999999999991" in="2">
        <tpls c="6">
          <tpl fld="3" item="3"/>
          <tpl fld="11" item="0"/>
          <tpl fld="6" item="2"/>
          <tpl hier="236" item="0"/>
          <tpl fld="4" item="7"/>
          <tpl fld="10" item="4"/>
        </tpls>
      </n>
      <m>
        <tpls c="3">
          <tpl fld="7" item="1153"/>
          <tpl fld="6" item="3"/>
          <tpl hier="236" item="0"/>
        </tpls>
      </m>
      <m>
        <tpls c="6">
          <tpl fld="3" item="3"/>
          <tpl fld="11" item="0"/>
          <tpl fld="6" item="2"/>
          <tpl hier="236" item="0"/>
          <tpl fld="4" item="3"/>
          <tpl fld="10" item="6"/>
        </tpls>
      </m>
      <n v="441" in="1">
        <tpls c="6">
          <tpl fld="11" item="0"/>
          <tpl fld="6" item="1"/>
          <tpl fld="8" item="0"/>
          <tpl hier="236" item="0"/>
          <tpl fld="4" item="1"/>
          <tpl fld="9" item="1"/>
        </tpls>
      </n>
      <n v="311" in="1">
        <tpls c="6">
          <tpl fld="11" item="0"/>
          <tpl fld="6" item="1"/>
          <tpl fld="8" item="1"/>
          <tpl hier="236" item="0"/>
          <tpl fld="4" item="6"/>
          <tpl fld="10" item="3"/>
        </tpls>
      </n>
      <n v="537" in="1">
        <tpls c="6">
          <tpl fld="11" item="0"/>
          <tpl fld="6" item="1"/>
          <tpl fld="8" item="1"/>
          <tpl hier="236" item="0"/>
          <tpl fld="4" item="7"/>
          <tpl fld="10" item="3"/>
        </tpls>
      </n>
      <m>
        <tpls c="4">
          <tpl fld="7" item="325"/>
          <tpl fld="6" item="1"/>
          <tpl hier="236" item="0"/>
          <tpl fld="1" item="0"/>
        </tpls>
      </m>
      <m>
        <tpls c="4">
          <tpl fld="7" item="222"/>
          <tpl fld="6" item="1"/>
          <tpl hier="236" item="0"/>
          <tpl fld="4" item="5"/>
        </tpls>
      </m>
      <m>
        <tpls c="4">
          <tpl fld="7" item="10"/>
          <tpl fld="6" item="2"/>
          <tpl hier="236" item="0"/>
          <tpl fld="4" item="1"/>
        </tpls>
      </m>
      <m>
        <tpls c="4">
          <tpl fld="7" item="128"/>
          <tpl fld="6" item="2"/>
          <tpl hier="236" item="0"/>
          <tpl fld="4" item="1"/>
        </tpls>
      </m>
      <n v="325" in="1">
        <tpls c="6">
          <tpl fld="11" item="0"/>
          <tpl fld="2" item="1"/>
          <tpl fld="6" item="1"/>
          <tpl hier="236" item="0"/>
          <tpl fld="4" item="6"/>
          <tpl fld="10" item="5"/>
        </tpls>
      </n>
      <n v="53.201351351351349" in="2">
        <tpls c="5">
          <tpl fld="11" item="0"/>
          <tpl fld="6" item="2"/>
          <tpl hier="236" item="0"/>
          <tpl fld="4" item="1"/>
          <tpl fld="9" item="2"/>
        </tpls>
      </n>
      <m>
        <tpls c="4">
          <tpl fld="7" item="109"/>
          <tpl fld="6" item="2"/>
          <tpl hier="236" item="0"/>
          <tpl fld="4" item="1"/>
        </tpls>
      </m>
      <m>
        <tpls c="4">
          <tpl fld="7" item="327"/>
          <tpl fld="6" item="2"/>
          <tpl hier="236" item="0"/>
          <tpl fld="4" item="6"/>
        </tpls>
      </m>
      <m>
        <tpls c="4">
          <tpl fld="7" item="243"/>
          <tpl fld="6" item="2"/>
          <tpl hier="236" item="0"/>
          <tpl fld="4" item="6"/>
        </tpls>
      </m>
      <m>
        <tpls c="3">
          <tpl fld="7" item="30"/>
          <tpl fld="6" item="3"/>
          <tpl hier="236" item="0"/>
        </tpls>
      </m>
      <m>
        <tpls c="4">
          <tpl fld="7" item="141"/>
          <tpl fld="6" item="2"/>
          <tpl hier="236" item="0"/>
          <tpl fld="4" item="1"/>
        </tpls>
      </m>
      <m>
        <tpls c="4">
          <tpl fld="7" item="475"/>
          <tpl fld="6" item="1"/>
          <tpl hier="236" item="0"/>
          <tpl fld="4" item="4"/>
        </tpls>
      </m>
      <m>
        <tpls c="4">
          <tpl fld="7" item="752"/>
          <tpl fld="6" item="2"/>
          <tpl hier="236" item="0"/>
          <tpl fld="4" item="4"/>
        </tpls>
      </m>
      <m>
        <tpls c="4">
          <tpl fld="7" item="406"/>
          <tpl fld="6" item="1"/>
          <tpl hier="236" item="0"/>
          <tpl fld="1" item="0"/>
        </tpls>
      </m>
      <m>
        <tpls c="4">
          <tpl fld="7" item="477"/>
          <tpl fld="6" item="1"/>
          <tpl hier="236" item="0"/>
          <tpl fld="1" item="0"/>
        </tpls>
      </m>
      <m>
        <tpls c="4">
          <tpl fld="7" item="407"/>
          <tpl fld="6" item="1"/>
          <tpl hier="236" item="0"/>
          <tpl fld="1" item="0"/>
        </tpls>
      </m>
      <m>
        <tpls c="4">
          <tpl fld="7" item="478"/>
          <tpl fld="6" item="1"/>
          <tpl hier="236" item="0"/>
          <tpl fld="1" item="0"/>
        </tpls>
      </m>
      <m>
        <tpls c="4">
          <tpl fld="7" item="408"/>
          <tpl fld="6" item="1"/>
          <tpl hier="236" item="0"/>
          <tpl fld="1" item="0"/>
        </tpls>
      </m>
      <m>
        <tpls c="4">
          <tpl fld="7" item="479"/>
          <tpl fld="6" item="1"/>
          <tpl hier="236" item="0"/>
          <tpl fld="1" item="0"/>
        </tpls>
      </m>
      <m>
        <tpls c="4">
          <tpl fld="7" item="409"/>
          <tpl fld="6" item="1"/>
          <tpl hier="236" item="0"/>
          <tpl fld="1" item="0"/>
        </tpls>
      </m>
      <m>
        <tpls c="4">
          <tpl fld="7" item="480"/>
          <tpl fld="6" item="1"/>
          <tpl hier="236" item="0"/>
          <tpl fld="1" item="0"/>
        </tpls>
      </m>
      <m>
        <tpls c="4">
          <tpl fld="7" item="481"/>
          <tpl fld="6" item="2"/>
          <tpl hier="236" item="0"/>
          <tpl fld="4" item="1"/>
        </tpls>
      </m>
      <m>
        <tpls c="4">
          <tpl fld="7" item="341"/>
          <tpl fld="6" item="2"/>
          <tpl hier="236" item="0"/>
          <tpl fld="4" item="4"/>
        </tpls>
      </m>
      <m>
        <tpls c="4">
          <tpl fld="7" item="285"/>
          <tpl fld="6" item="1"/>
          <tpl hier="236" item="0"/>
          <tpl fld="4" item="6"/>
        </tpls>
      </m>
      <m>
        <tpls c="3">
          <tpl fld="7" item="72"/>
          <tpl fld="6" item="3"/>
          <tpl hier="236" item="0"/>
        </tpls>
      </m>
      <m>
        <tpls c="4">
          <tpl fld="7" item="183"/>
          <tpl fld="6" item="2"/>
          <tpl hier="236" item="0"/>
          <tpl fld="4" item="1"/>
        </tpls>
      </m>
      <m>
        <tpls c="4">
          <tpl fld="7" item="415"/>
          <tpl fld="6" item="1"/>
          <tpl hier="236" item="0"/>
          <tpl fld="4" item="4"/>
        </tpls>
      </m>
      <m>
        <tpls c="4">
          <tpl fld="7" item="345"/>
          <tpl fld="6" item="2"/>
          <tpl hier="236" item="0"/>
          <tpl fld="4" item="4"/>
        </tpls>
      </m>
      <m>
        <tpls c="3">
          <tpl fld="7" item="487"/>
          <tpl fld="6" item="3"/>
          <tpl hier="236" item="0"/>
        </tpls>
      </m>
      <m>
        <tpls c="4">
          <tpl fld="7" item="304"/>
          <tpl fld="6" item="2"/>
          <tpl hier="236" item="0"/>
          <tpl fld="4" item="1"/>
        </tpls>
      </m>
      <m>
        <tpls c="4">
          <tpl fld="7" item="91"/>
          <tpl fld="6" item="1"/>
          <tpl hier="236" item="0"/>
          <tpl fld="4" item="4"/>
        </tpls>
      </m>
      <m>
        <tpls c="4">
          <tpl fld="7" item="94"/>
          <tpl fld="6" item="2"/>
          <tpl hier="236" item="0"/>
          <tpl fld="4" item="4"/>
        </tpls>
      </m>
      <m>
        <tpls c="4">
          <tpl fld="7" item="205"/>
          <tpl fld="6" item="1"/>
          <tpl hier="236" item="0"/>
          <tpl fld="4" item="6"/>
        </tpls>
      </m>
      <n v="34" in="1">
        <tpls c="6">
          <tpl fld="11" item="0"/>
          <tpl fld="2" item="1"/>
          <tpl fld="6" item="1"/>
          <tpl hier="236" item="0"/>
          <tpl fld="4" item="6"/>
          <tpl fld="10" item="1"/>
        </tpls>
      </n>
      <n v="2" in="1">
        <tpls c="6">
          <tpl fld="3" item="4"/>
          <tpl fld="11" item="0"/>
          <tpl fld="6" item="1"/>
          <tpl hier="236" item="0"/>
          <tpl fld="4" item="7"/>
          <tpl fld="10" item="3"/>
        </tpls>
      </n>
      <n v="25" in="1">
        <tpls c="5">
          <tpl fld="11" item="0"/>
          <tpl fld="6" item="1"/>
          <tpl hier="236" item="0"/>
          <tpl fld="4" item="7"/>
          <tpl fld="10" item="5"/>
        </tpls>
      </n>
      <m>
        <tpls c="4">
          <tpl fld="7" item="111"/>
          <tpl fld="6" item="1"/>
          <tpl hier="236" item="0"/>
          <tpl fld="1" item="0"/>
        </tpls>
      </m>
      <m>
        <tpls c="4">
          <tpl fld="7" item="226"/>
          <tpl fld="6" item="2"/>
          <tpl hier="236" item="0"/>
          <tpl fld="4" item="1"/>
        </tpls>
      </m>
      <m>
        <tpls c="4">
          <tpl fld="7" item="241"/>
          <tpl fld="6" item="1"/>
          <tpl hier="236" item="0"/>
          <tpl fld="4" item="4"/>
        </tpls>
      </m>
      <m>
        <tpls c="3">
          <tpl fld="7" item="137"/>
          <tpl fld="6" item="3"/>
          <tpl hier="236" item="0"/>
        </tpls>
      </m>
      <m>
        <tpls c="4">
          <tpl fld="7" item="474"/>
          <tpl fld="6" item="2"/>
          <tpl hier="236" item="0"/>
          <tpl fld="4" item="1"/>
        </tpls>
      </m>
      <m>
        <tpls c="4">
          <tpl fld="7" item="252"/>
          <tpl fld="6" item="1"/>
          <tpl hier="236" item="0"/>
          <tpl fld="4" item="4"/>
        </tpls>
      </m>
      <m>
        <tpls c="4">
          <tpl fld="7" item="255"/>
          <tpl fld="6" item="2"/>
          <tpl hier="236" item="0"/>
          <tpl fld="4" item="4"/>
        </tpls>
      </m>
      <m>
        <tpls c="4">
          <tpl fld="7" item="42"/>
          <tpl fld="6" item="2"/>
          <tpl hier="236" item="0"/>
          <tpl fld="4" item="4"/>
        </tpls>
      </m>
      <m>
        <tpls c="4">
          <tpl fld="7" item="44"/>
          <tpl fld="6" item="2"/>
          <tpl hier="236" item="0"/>
          <tpl fld="4" item="6"/>
        </tpls>
      </m>
      <n v="19.8" in="2">
        <tpls c="6">
          <tpl fld="11" item="0"/>
          <tpl fld="5" item="2"/>
          <tpl fld="6" item="2"/>
          <tpl hier="236" item="0"/>
          <tpl fld="4" item="6"/>
          <tpl fld="10" item="0"/>
        </tpls>
      </n>
      <n v="1379" in="1">
        <tpls c="6">
          <tpl fld="11" item="0"/>
          <tpl fld="5" item="5"/>
          <tpl fld="6" item="1"/>
          <tpl hier="236" item="0"/>
          <tpl fld="4" item="7"/>
          <tpl fld="10" item="8"/>
        </tpls>
      </n>
      <m>
        <tpls c="6">
          <tpl fld="11" item="0"/>
          <tpl fld="5" item="1"/>
          <tpl fld="6" item="2"/>
          <tpl hier="236" item="0"/>
          <tpl fld="4" item="4"/>
          <tpl fld="10" item="1"/>
        </tpls>
      </m>
      <n v="84" in="1">
        <tpls c="6">
          <tpl fld="3" item="2"/>
          <tpl fld="11" item="0"/>
          <tpl fld="6" item="1"/>
          <tpl hier="236" item="0"/>
          <tpl fld="4" item="4"/>
          <tpl fld="10" item="5"/>
        </tpls>
      </n>
      <n v="2.1527027027027028" in="2">
        <tpls c="6">
          <tpl fld="11" item="0"/>
          <tpl fld="5" item="3"/>
          <tpl fld="6" item="2"/>
          <tpl hier="236" item="0"/>
          <tpl fld="4" item="6"/>
          <tpl fld="10" item="3"/>
        </tpls>
      </n>
      <n v="44.09594594594595" in="2">
        <tpls c="6">
          <tpl fld="11" item="0"/>
          <tpl fld="2" item="1"/>
          <tpl fld="6" item="2"/>
          <tpl hier="236" item="0"/>
          <tpl fld="4" item="4"/>
          <tpl fld="10" item="8"/>
        </tpls>
      </n>
      <n v="6175" in="1">
        <tpls c="5">
          <tpl fld="3" item="2"/>
          <tpl fld="11" item="0"/>
          <tpl fld="6" item="1"/>
          <tpl hier="236" item="0"/>
          <tpl fld="1" item="0"/>
        </tpls>
      </n>
      <n v="3" in="2">
        <tpls c="6">
          <tpl fld="3" item="3"/>
          <tpl fld="11" item="0"/>
          <tpl fld="6" item="2"/>
          <tpl hier="236" item="0"/>
          <tpl fld="4" item="7"/>
          <tpl fld="10" item="0"/>
        </tpls>
      </n>
      <n v="1.75" in="2">
        <tpls c="6">
          <tpl fld="11" item="0"/>
          <tpl fld="2" item="3"/>
          <tpl fld="6" item="2"/>
          <tpl hier="236" item="0"/>
          <tpl fld="4" item="7"/>
          <tpl fld="10" item="5"/>
        </tpls>
      </n>
      <n v="11.447972972972973" in="2">
        <tpls c="6">
          <tpl fld="3" item="1"/>
          <tpl fld="11" item="0"/>
          <tpl fld="6" item="2"/>
          <tpl hier="236" item="0"/>
          <tpl fld="4" item="6"/>
          <tpl fld="10" item="7"/>
        </tpls>
      </n>
      <m>
        <tpls c="4">
          <tpl fld="7" item="216"/>
          <tpl fld="6" item="2"/>
          <tpl hier="236" item="0"/>
          <tpl fld="4" item="6"/>
        </tpls>
      </m>
      <m>
        <tpls c="4">
          <tpl fld="7" item="16"/>
          <tpl fld="6" item="2"/>
          <tpl hier="236" item="0"/>
          <tpl fld="4" item="1"/>
        </tpls>
      </m>
      <n v="67" in="1">
        <tpls c="6">
          <tpl fld="11" item="0"/>
          <tpl fld="2" item="3"/>
          <tpl fld="6" item="1"/>
          <tpl hier="236" item="0"/>
          <tpl fld="4" item="7"/>
          <tpl fld="10" item="8"/>
        </tpls>
      </n>
      <n v="8.4" in="2">
        <tpls c="6">
          <tpl fld="3" item="1"/>
          <tpl fld="11" item="0"/>
          <tpl fld="6" item="2"/>
          <tpl hier="236" item="0"/>
          <tpl fld="4" item="3"/>
          <tpl fld="10" item="2"/>
        </tpls>
      </n>
      <n v="0" in="1">
        <tpls c="6">
          <tpl fld="11" item="0"/>
          <tpl fld="5" item="3"/>
          <tpl fld="6" item="1"/>
          <tpl hier="236" item="0"/>
          <tpl fld="4" item="7"/>
          <tpl fld="10" item="2"/>
        </tpls>
      </n>
      <n v="0" in="1">
        <tpls c="6">
          <tpl fld="3" item="2"/>
          <tpl fld="11" item="0"/>
          <tpl fld="6" item="1"/>
          <tpl hier="236" item="0"/>
          <tpl fld="4" item="7"/>
          <tpl fld="10" item="7"/>
        </tpls>
      </n>
      <n v="645" in="1">
        <tpls c="6">
          <tpl fld="11" item="0"/>
          <tpl fld="6" item="1"/>
          <tpl fld="8" item="0"/>
          <tpl hier="236" item="0"/>
          <tpl fld="4" item="4"/>
          <tpl fld="10" item="6"/>
        </tpls>
      </n>
      <n v="6.7222972972972972" in="2">
        <tpls c="6">
          <tpl fld="11" item="0"/>
          <tpl fld="6" item="2"/>
          <tpl fld="8" item="1"/>
          <tpl hier="236" item="0"/>
          <tpl fld="4" item="3"/>
          <tpl fld="10" item="0"/>
        </tpls>
      </n>
      <n v="1.3" in="2">
        <tpls c="6">
          <tpl fld="11" item="0"/>
          <tpl fld="6" item="2"/>
          <tpl fld="8" item="0"/>
          <tpl hier="236" item="0"/>
          <tpl fld="4" item="3"/>
          <tpl fld="10" item="8"/>
        </tpls>
      </n>
      <m>
        <tpls c="4">
          <tpl fld="7" item="219"/>
          <tpl fld="6" item="1"/>
          <tpl hier="236" item="0"/>
          <tpl fld="4" item="5"/>
        </tpls>
      </m>
      <m>
        <tpls c="4">
          <tpl fld="7" item="115"/>
          <tpl fld="6" item="1"/>
          <tpl hier="236" item="0"/>
          <tpl fld="4" item="4"/>
        </tpls>
      </m>
      <m>
        <tpls c="4">
          <tpl fld="7" item="13"/>
          <tpl fld="6" item="1"/>
          <tpl hier="236" item="0"/>
          <tpl fld="4" item="4"/>
        </tpls>
      </m>
      <m>
        <tpls c="4">
          <tpl fld="7" item="131"/>
          <tpl fld="6" item="2"/>
          <tpl hier="236" item="0"/>
          <tpl fld="4" item="1"/>
        </tpls>
      </m>
      <n v="330" in="1">
        <tpls c="6">
          <tpl fld="3" item="1"/>
          <tpl fld="11" item="0"/>
          <tpl fld="6" item="1"/>
          <tpl hier="236" item="0"/>
          <tpl fld="4" item="4"/>
          <tpl fld="10" item="4"/>
        </tpls>
      </n>
      <m>
        <tpls c="5">
          <tpl fld="11" item="0"/>
          <tpl fld="6" item="2"/>
          <tpl hier="236" item="0"/>
          <tpl fld="4" item="3"/>
          <tpl fld="10" item="6"/>
        </tpls>
      </m>
      <m>
        <tpls c="4">
          <tpl fld="7" item="668"/>
          <tpl fld="6" item="2"/>
          <tpl hier="236" item="0"/>
          <tpl fld="4" item="6"/>
        </tpls>
      </m>
      <m>
        <tpls c="4">
          <tpl fld="7" item="589"/>
          <tpl fld="6" item="2"/>
          <tpl hier="236" item="0"/>
          <tpl fld="4" item="4"/>
        </tpls>
      </m>
      <m>
        <tpls c="4">
          <tpl fld="7" item="244"/>
          <tpl fld="6" item="1"/>
          <tpl hier="236" item="0"/>
          <tpl fld="4" item="6"/>
        </tpls>
      </m>
      <m>
        <tpls c="3">
          <tpl fld="7" item="31"/>
          <tpl fld="6" item="3"/>
          <tpl hier="236" item="0"/>
        </tpls>
      </m>
      <m>
        <tpls c="4">
          <tpl fld="7" item="142"/>
          <tpl fld="6" item="2"/>
          <tpl hier="236" item="0"/>
          <tpl fld="4" item="1"/>
        </tpls>
      </m>
      <m>
        <tpls c="4">
          <tpl fld="7" item="334"/>
          <tpl fld="6" item="1"/>
          <tpl hier="236" item="0"/>
          <tpl fld="4" item="4"/>
        </tpls>
      </m>
      <m>
        <tpls c="4">
          <tpl fld="7" item="476"/>
          <tpl fld="6" item="2"/>
          <tpl hier="236" item="0"/>
          <tpl fld="4" item="4"/>
        </tpls>
      </m>
      <m>
        <tpls c="3">
          <tpl fld="7" item="151"/>
          <tpl fld="6" item="3"/>
          <tpl hier="236" item="0"/>
        </tpls>
      </m>
      <m>
        <tpls c="3">
          <tpl fld="7" item="153"/>
          <tpl fld="6" item="3"/>
          <tpl hier="236" item="0"/>
        </tpls>
      </m>
      <m>
        <tpls c="3">
          <tpl fld="7" item="155"/>
          <tpl fld="6" item="3"/>
          <tpl hier="236" item="0"/>
        </tpls>
      </m>
      <m>
        <tpls c="3">
          <tpl fld="7" item="157"/>
          <tpl fld="6" item="3"/>
          <tpl hier="236" item="0"/>
        </tpls>
      </m>
      <m>
        <tpls c="3">
          <tpl fld="7" item="159"/>
          <tpl fld="6" item="3"/>
          <tpl hier="236" item="0"/>
        </tpls>
      </m>
      <m>
        <tpls c="3">
          <tpl fld="7" item="161"/>
          <tpl fld="6" item="3"/>
          <tpl hier="236" item="0"/>
        </tpls>
      </m>
      <m>
        <tpls c="3">
          <tpl fld="7" item="163"/>
          <tpl fld="6" item="3"/>
          <tpl hier="236" item="0"/>
        </tpls>
      </m>
      <m>
        <tpls c="3">
          <tpl fld="7" item="165"/>
          <tpl fld="6" item="3"/>
          <tpl hier="236" item="0"/>
        </tpls>
      </m>
      <m>
        <tpls c="4">
          <tpl fld="7" item="63"/>
          <tpl fld="6" item="2"/>
          <tpl hier="236" item="0"/>
          <tpl fld="4" item="1"/>
        </tpls>
      </m>
      <m>
        <tpls c="4">
          <tpl fld="7" item="412"/>
          <tpl fld="6" item="2"/>
          <tpl hier="236" item="0"/>
          <tpl fld="4" item="4"/>
        </tpls>
      </m>
      <m>
        <tpls c="4">
          <tpl fld="7" item="286"/>
          <tpl fld="6" item="1"/>
          <tpl hier="236" item="0"/>
          <tpl fld="4" item="6"/>
        </tpls>
      </m>
      <m>
        <tpls c="3">
          <tpl fld="7" item="73"/>
          <tpl fld="6" item="3"/>
          <tpl hier="236" item="0"/>
        </tpls>
      </m>
      <m>
        <tpls c="4">
          <tpl fld="7" item="184"/>
          <tpl fld="6" item="2"/>
          <tpl hier="236" item="0"/>
          <tpl fld="4" item="1"/>
        </tpls>
      </m>
      <m>
        <tpls c="4">
          <tpl fld="7" item="593"/>
          <tpl fld="6" item="1"/>
          <tpl hier="236" item="0"/>
          <tpl fld="4" item="4"/>
        </tpls>
      </m>
      <m>
        <tpls c="4">
          <tpl fld="7" item="416"/>
          <tpl fld="6" item="2"/>
          <tpl hier="236" item="0"/>
          <tpl fld="4" item="4"/>
        </tpls>
      </m>
      <m>
        <tpls c="3">
          <tpl fld="7" item="346"/>
          <tpl fld="6" item="3"/>
          <tpl hier="236" item="0"/>
        </tpls>
      </m>
      <m>
        <tpls c="4">
          <tpl fld="7" item="305"/>
          <tpl fld="6" item="2"/>
          <tpl hier="236" item="0"/>
          <tpl fld="4" item="1"/>
        </tpls>
      </m>
      <m>
        <tpls c="4">
          <tpl fld="7" item="92"/>
          <tpl fld="6" item="1"/>
          <tpl hier="236" item="0"/>
          <tpl fld="4" item="4"/>
        </tpls>
      </m>
      <m>
        <tpls c="4">
          <tpl fld="7" item="95"/>
          <tpl fld="6" item="2"/>
          <tpl hier="236" item="0"/>
          <tpl fld="4" item="4"/>
        </tpls>
      </m>
      <m>
        <tpls c="4">
          <tpl fld="7" item="206"/>
          <tpl fld="6" item="1"/>
          <tpl hier="236" item="0"/>
          <tpl fld="4" item="6"/>
        </tpls>
      </m>
      <n v="36" in="1">
        <tpls c="6">
          <tpl fld="3" item="3"/>
          <tpl fld="11" item="0"/>
          <tpl fld="6" item="1"/>
          <tpl hier="236" item="0"/>
          <tpl fld="4" item="6"/>
          <tpl fld="10" item="4"/>
        </tpls>
      </n>
      <n v="489" in="1">
        <tpls c="5">
          <tpl fld="11" item="0"/>
          <tpl fld="6" item="1"/>
          <tpl hier="236" item="0"/>
          <tpl fld="4" item="1"/>
          <tpl fld="9" item="3"/>
        </tpls>
      </n>
      <n v="5.5297297297297305" in="2">
        <tpls c="6">
          <tpl fld="11" item="0"/>
          <tpl fld="6" item="2"/>
          <tpl fld="8" item="0"/>
          <tpl hier="236" item="0"/>
          <tpl fld="4" item="3"/>
          <tpl fld="10" item="4"/>
        </tpls>
      </n>
      <m>
        <tpls c="4">
          <tpl fld="7" item="113"/>
          <tpl fld="6" item="1"/>
          <tpl hier="236" item="0"/>
          <tpl fld="1" item="0"/>
        </tpls>
      </m>
      <m>
        <tpls c="4">
          <tpl fld="7" item="230"/>
          <tpl fld="6" item="2"/>
          <tpl hier="236" item="0"/>
          <tpl fld="4" item="1"/>
        </tpls>
      </m>
      <m>
        <tpls c="4">
          <tpl fld="7" item="27"/>
          <tpl fld="6" item="1"/>
          <tpl hier="236" item="0"/>
          <tpl fld="4" item="6"/>
        </tpls>
      </m>
      <m>
        <tpls c="3">
          <tpl fld="7" item="138"/>
          <tpl fld="6" item="3"/>
          <tpl hier="236" item="0"/>
        </tpls>
      </m>
      <m>
        <tpls c="4">
          <tpl fld="7" item="333"/>
          <tpl fld="6" item="2"/>
          <tpl hier="236" item="0"/>
          <tpl fld="4" item="1"/>
        </tpls>
      </m>
      <m>
        <tpls c="4">
          <tpl fld="7" item="253"/>
          <tpl fld="6" item="1"/>
          <tpl hier="236" item="0"/>
          <tpl fld="4" item="4"/>
        </tpls>
      </m>
      <m>
        <tpls c="4">
          <tpl fld="7" item="256"/>
          <tpl fld="6" item="2"/>
          <tpl hier="236" item="0"/>
          <tpl fld="4" item="4"/>
        </tpls>
      </m>
      <m>
        <tpls c="4">
          <tpl fld="7" item="259"/>
          <tpl fld="6" item="1"/>
          <tpl hier="236" item="0"/>
          <tpl fld="4" item="6"/>
        </tpls>
      </m>
      <m>
        <tpls c="4">
          <tpl fld="7" item="261"/>
          <tpl fld="6" item="1"/>
          <tpl hier="236" item="0"/>
          <tpl fld="4" item="6"/>
        </tpls>
      </m>
      <m>
        <tpls c="4">
          <tpl fld="7" item="263"/>
          <tpl fld="6" item="1"/>
          <tpl hier="236" item="0"/>
          <tpl fld="4" item="6"/>
        </tpls>
      </m>
      <m>
        <tpls c="4">
          <tpl fld="7" item="265"/>
          <tpl fld="6" item="1"/>
          <tpl hier="236" item="0"/>
          <tpl fld="4" item="6"/>
        </tpls>
      </m>
      <m>
        <tpls c="4">
          <tpl fld="7" item="267"/>
          <tpl fld="6" item="1"/>
          <tpl hier="236" item="0"/>
          <tpl fld="4" item="6"/>
        </tpls>
      </m>
      <m>
        <tpls c="4">
          <tpl fld="7" item="269"/>
          <tpl fld="6" item="1"/>
          <tpl hier="236" item="0"/>
          <tpl fld="4" item="6"/>
        </tpls>
      </m>
      <m>
        <tpls c="4">
          <tpl fld="7" item="271"/>
          <tpl fld="6" item="1"/>
          <tpl hier="236" item="0"/>
          <tpl fld="4" item="6"/>
        </tpls>
      </m>
      <m>
        <tpls c="4">
          <tpl fld="7" item="273"/>
          <tpl fld="6" item="1"/>
          <tpl hier="236" item="0"/>
          <tpl fld="4" item="6"/>
        </tpls>
      </m>
      <n v="1" in="1">
        <tpls c="4">
          <tpl fld="7" item="169"/>
          <tpl fld="6" item="1"/>
          <tpl hier="236" item="0"/>
          <tpl fld="4" item="4"/>
        </tpls>
      </n>
      <m>
        <tpls c="4">
          <tpl fld="7" item="282"/>
          <tpl fld="6" item="2"/>
          <tpl hier="236" item="0"/>
          <tpl fld="4" item="4"/>
        </tpls>
      </m>
      <m>
        <tpls c="4">
          <tpl fld="7" item="69"/>
          <tpl fld="6" item="1"/>
          <tpl hier="236" item="0"/>
          <tpl fld="4" item="6"/>
        </tpls>
      </m>
      <m>
        <tpls c="3">
          <tpl fld="7" item="180"/>
          <tpl fld="6" item="3"/>
          <tpl hier="236" item="0"/>
        </tpls>
      </m>
      <m>
        <tpls c="4">
          <tpl fld="7" item="980"/>
          <tpl fld="6" item="2"/>
          <tpl hier="236" item="0"/>
          <tpl fld="4" item="1"/>
        </tpls>
      </m>
      <m>
        <tpls c="4">
          <tpl fld="7" item="295"/>
          <tpl fld="6" item="1"/>
          <tpl hier="236" item="0"/>
          <tpl fld="4" item="4"/>
        </tpls>
      </m>
      <m>
        <tpls c="4">
          <tpl fld="7" item="298"/>
          <tpl fld="6" item="2"/>
          <tpl hier="236" item="0"/>
          <tpl fld="4" item="4"/>
        </tpls>
      </m>
      <m>
        <tpls c="3">
          <tpl fld="7" item="301"/>
          <tpl fld="6" item="3"/>
          <tpl hier="236" item="0"/>
        </tpls>
      </m>
      <n v="0" in="1">
        <tpls c="6">
          <tpl fld="11" item="0"/>
          <tpl fld="5" item="0"/>
          <tpl fld="6" item="1"/>
          <tpl hier="236" item="0"/>
          <tpl fld="4" item="7"/>
          <tpl fld="10" item="2"/>
        </tpls>
      </n>
      <n v="2745" in="1">
        <tpls c="6">
          <tpl fld="3" item="4"/>
          <tpl fld="11" item="0"/>
          <tpl fld="6" item="1"/>
          <tpl hier="236" item="0"/>
          <tpl fld="4" item="4"/>
          <tpl fld="10" item="0"/>
        </tpls>
      </n>
      <m>
        <tpls c="4">
          <tpl fld="7" item="217"/>
          <tpl fld="6" item="1"/>
          <tpl hier="236" item="0"/>
          <tpl fld="4" item="4"/>
        </tpls>
      </m>
      <n v="7.0189189189189189" in="2">
        <tpls c="6">
          <tpl fld="11" item="0"/>
          <tpl fld="2" item="3"/>
          <tpl fld="6" item="2"/>
          <tpl hier="236" item="0"/>
          <tpl fld="4" item="1"/>
          <tpl fld="9" item="2"/>
        </tpls>
      </n>
      <n v="1" in="2">
        <tpls c="6">
          <tpl fld="11" item="0"/>
          <tpl fld="6" item="2"/>
          <tpl fld="8" item="0"/>
          <tpl hier="236" item="0"/>
          <tpl fld="4" item="7"/>
          <tpl fld="10" item="1"/>
        </tpls>
      </n>
      <m>
        <tpls c="4">
          <tpl fld="7" item="132"/>
          <tpl fld="6" item="2"/>
          <tpl hier="236" item="0"/>
          <tpl fld="4" item="1"/>
        </tpls>
      </m>
      <m>
        <tpls c="4">
          <tpl fld="7" item="470"/>
          <tpl fld="6" item="1"/>
          <tpl hier="236" item="0"/>
          <tpl fld="4" item="4"/>
        </tpls>
      </m>
      <m>
        <tpls c="4">
          <tpl fld="7" item="334"/>
          <tpl fld="6" item="2"/>
          <tpl hier="236" item="0"/>
          <tpl fld="4" item="4"/>
        </tpls>
      </m>
      <m>
        <tpls c="4">
          <tpl fld="7" item="155"/>
          <tpl fld="6" item="1"/>
          <tpl hier="236" item="0"/>
          <tpl fld="1" item="0"/>
        </tpls>
      </m>
      <m>
        <tpls c="4">
          <tpl fld="7" item="163"/>
          <tpl fld="6" item="1"/>
          <tpl hier="236" item="0"/>
          <tpl fld="1" item="0"/>
        </tpls>
      </m>
      <m>
        <tpls c="3">
          <tpl fld="7" item="70"/>
          <tpl fld="6" item="3"/>
          <tpl hier="236" item="0"/>
        </tpls>
      </m>
      <m>
        <tpls c="4">
          <tpl fld="7" item="299"/>
          <tpl fld="6" item="1"/>
          <tpl hier="236" item="0"/>
          <tpl fld="4" item="6"/>
        </tpls>
      </m>
      <m>
        <tpls c="4">
          <tpl fld="7" item="203"/>
          <tpl fld="6" item="1"/>
          <tpl hier="236" item="0"/>
          <tpl fld="4" item="6"/>
        </tpls>
      </m>
      <n v="2.65" in="2">
        <tpls c="6">
          <tpl fld="11" item="0"/>
          <tpl fld="6" item="2"/>
          <tpl fld="8" item="0"/>
          <tpl hier="236" item="0"/>
          <tpl fld="4" item="4"/>
          <tpl fld="10" item="4"/>
        </tpls>
      </n>
      <m>
        <tpls c="4">
          <tpl fld="7" item="403"/>
          <tpl fld="6" item="2"/>
          <tpl hier="236" item="0"/>
          <tpl fld="4" item="1"/>
        </tpls>
      </m>
      <m>
        <tpls c="4">
          <tpl fld="7" item="259"/>
          <tpl fld="6" item="2"/>
          <tpl hier="236" item="0"/>
          <tpl fld="4" item="6"/>
        </tpls>
      </m>
      <m>
        <tpls c="4">
          <tpl fld="7" item="155"/>
          <tpl fld="6" item="2"/>
          <tpl hier="236" item="0"/>
          <tpl fld="4" item="6"/>
        </tpls>
      </m>
      <m>
        <tpls c="4">
          <tpl fld="7" item="50"/>
          <tpl fld="6" item="1"/>
          <tpl hier="236" item="0"/>
          <tpl fld="4" item="6"/>
        </tpls>
      </m>
      <m>
        <tpls c="4">
          <tpl fld="7" item="479"/>
          <tpl fld="6" item="2"/>
          <tpl hier="236" item="0"/>
          <tpl fld="4" item="6"/>
        </tpls>
      </m>
      <m>
        <tpls c="4">
          <tpl fld="7" item="163"/>
          <tpl fld="6" item="2"/>
          <tpl hier="236" item="0"/>
          <tpl fld="4" item="6"/>
        </tpls>
      </m>
      <m>
        <tpls c="4">
          <tpl fld="7" item="166"/>
          <tpl fld="6" item="1"/>
          <tpl hier="236" item="0"/>
          <tpl fld="4" item="4"/>
        </tpls>
      </m>
      <m>
        <tpls c="4">
          <tpl fld="7" item="282"/>
          <tpl fld="6" item="1"/>
          <tpl hier="236" item="0"/>
          <tpl fld="4" item="4"/>
        </tpls>
      </m>
      <m>
        <tpls c="4">
          <tpl fld="7" item="70"/>
          <tpl fld="6" item="1"/>
          <tpl hier="236" item="0"/>
          <tpl fld="4" item="6"/>
        </tpls>
      </m>
      <m>
        <tpls c="3">
          <tpl fld="7" item="182"/>
          <tpl fld="6" item="3"/>
          <tpl hier="236" item="0"/>
        </tpls>
      </m>
      <m>
        <tpls c="4">
          <tpl fld="7" item="415"/>
          <tpl fld="6" item="2"/>
          <tpl hier="236" item="0"/>
          <tpl fld="4" item="1"/>
        </tpls>
      </m>
      <m>
        <tpls c="4">
          <tpl fld="7" item="299"/>
          <tpl fld="6" item="2"/>
          <tpl hier="236" item="0"/>
          <tpl fld="4" item="4"/>
        </tpls>
      </m>
      <m>
        <tpls c="4">
          <tpl fld="7" item="417"/>
          <tpl fld="6" item="1"/>
          <tpl hier="236" item="0"/>
          <tpl fld="4" item="6"/>
        </tpls>
      </m>
      <m>
        <tpls c="3">
          <tpl fld="7" item="306"/>
          <tpl fld="6" item="3"/>
          <tpl hier="236" item="0"/>
        </tpls>
      </m>
      <m>
        <tpls c="4">
          <tpl fld="7" item="93"/>
          <tpl fld="6" item="2"/>
          <tpl hier="236" item="0"/>
          <tpl fld="4" item="1"/>
        </tpls>
      </m>
      <m>
        <tpls c="4">
          <tpl fld="7" item="204"/>
          <tpl fld="6" item="1"/>
          <tpl hier="236" item="0"/>
          <tpl fld="4" item="4"/>
        </tpls>
      </m>
      <m>
        <tpls c="6">
          <tpl fld="11" item="0"/>
          <tpl fld="5" item="1"/>
          <tpl fld="6" item="1"/>
          <tpl hier="236" item="0"/>
          <tpl fld="4" item="3"/>
          <tpl fld="10" item="2"/>
        </tpls>
      </m>
      <n v="10" in="1">
        <tpls c="6">
          <tpl fld="3" item="0"/>
          <tpl fld="11" item="0"/>
          <tpl fld="6" item="1"/>
          <tpl hier="236" item="0"/>
          <tpl fld="4" item="7"/>
          <tpl fld="10" item="4"/>
        </tpls>
      </n>
      <n v="2" in="2">
        <tpls c="6">
          <tpl fld="11" item="0"/>
          <tpl fld="6" item="2"/>
          <tpl fld="8" item="0"/>
          <tpl hier="236" item="0"/>
          <tpl fld="4" item="3"/>
          <tpl fld="10" item="0"/>
        </tpls>
      </n>
      <m>
        <tpls c="4">
          <tpl fld="7" item="325"/>
          <tpl fld="6" item="1"/>
          <tpl hier="236" item="0"/>
          <tpl fld="4" item="4"/>
        </tpls>
      </m>
      <m>
        <tpls c="4">
          <tpl fld="7" item="224"/>
          <tpl fld="6" item="1"/>
          <tpl hier="236" item="0"/>
          <tpl fld="1" item="0"/>
        </tpls>
      </m>
      <m>
        <tpls c="4">
          <tpl fld="7" item="20"/>
          <tpl fld="6" item="1"/>
          <tpl hier="236" item="0"/>
          <tpl fld="4" item="4"/>
        </tpls>
      </m>
      <m>
        <tpls c="4">
          <tpl fld="7" item="136"/>
          <tpl fld="6" item="1"/>
          <tpl hier="236" item="0"/>
          <tpl fld="4" item="6"/>
        </tpls>
      </m>
      <m>
        <tpls c="3">
          <tpl fld="7" item="590"/>
          <tpl fld="6" item="3"/>
          <tpl hier="236" item="0"/>
        </tpls>
      </m>
      <m>
        <tpls c="4">
          <tpl fld="7" item="251"/>
          <tpl fld="6" item="2"/>
          <tpl hier="236" item="0"/>
          <tpl fld="4" item="1"/>
        </tpls>
      </m>
      <m>
        <tpls c="4">
          <tpl fld="7" item="38"/>
          <tpl fld="6" item="1"/>
          <tpl hier="236" item="0"/>
          <tpl fld="4" item="4"/>
        </tpls>
      </m>
      <m>
        <tpls c="4">
          <tpl fld="7" item="41"/>
          <tpl fld="6" item="2"/>
          <tpl hier="236" item="0"/>
          <tpl fld="4" item="4"/>
        </tpls>
      </m>
      <m>
        <tpls c="4">
          <tpl fld="7" item="1185"/>
          <tpl fld="6" item="2"/>
          <tpl hier="236" item="0"/>
          <tpl fld="4" item="4"/>
        </tpls>
      </m>
      <m>
        <tpls c="4">
          <tpl fld="7" item="336"/>
          <tpl fld="6" item="2"/>
          <tpl hier="236" item="0"/>
          <tpl fld="4" item="4"/>
        </tpls>
      </m>
      <m>
        <tpls c="4">
          <tpl fld="7" item="591"/>
          <tpl fld="6" item="2"/>
          <tpl hier="236" item="0"/>
          <tpl fld="4" item="4"/>
        </tpls>
      </m>
      <m>
        <tpls c="4">
          <tpl fld="7" item="337"/>
          <tpl fld="6" item="2"/>
          <tpl hier="236" item="0"/>
          <tpl fld="4" item="4"/>
        </tpls>
      </m>
      <m>
        <tpls c="4">
          <tpl fld="7" item="671"/>
          <tpl fld="6" item="2"/>
          <tpl hier="236" item="0"/>
          <tpl fld="4" item="4"/>
        </tpls>
      </m>
      <m>
        <tpls c="4">
          <tpl fld="7" item="338"/>
          <tpl fld="6" item="2"/>
          <tpl hier="236" item="0"/>
          <tpl fld="4" item="4"/>
        </tpls>
      </m>
      <m>
        <tpls c="4">
          <tpl fld="7" item="753"/>
          <tpl fld="6" item="2"/>
          <tpl hier="236" item="0"/>
          <tpl fld="4" item="4"/>
        </tpls>
      </m>
      <m>
        <tpls c="4">
          <tpl fld="7" item="339"/>
          <tpl fld="6" item="2"/>
          <tpl hier="236" item="0"/>
          <tpl fld="4" item="4"/>
        </tpls>
      </m>
      <m>
        <tpls c="4">
          <tpl fld="7" item="64"/>
          <tpl fld="6" item="1"/>
          <tpl hier="236" item="0"/>
          <tpl fld="4" item="4"/>
        </tpls>
      </m>
      <m>
        <tpls c="4">
          <tpl fld="7" item="67"/>
          <tpl fld="6" item="2"/>
          <tpl hier="236" item="0"/>
          <tpl fld="4" item="4"/>
        </tpls>
      </m>
      <m>
        <tpls c="4">
          <tpl fld="7" item="178"/>
          <tpl fld="6" item="1"/>
          <tpl hier="236" item="0"/>
          <tpl fld="4" item="6"/>
        </tpls>
      </m>
      <m>
        <tpls c="3">
          <tpl fld="7" item="343"/>
          <tpl fld="6" item="3"/>
          <tpl hier="236" item="0"/>
        </tpls>
      </m>
      <m>
        <tpls c="4">
          <tpl fld="7" item="293"/>
          <tpl fld="6" item="2"/>
          <tpl hier="236" item="0"/>
          <tpl fld="4" item="1"/>
        </tpls>
      </m>
      <m>
        <tpls c="4">
          <tpl fld="7" item="80"/>
          <tpl fld="6" item="1"/>
          <tpl hier="236" item="0"/>
          <tpl fld="4" item="4"/>
        </tpls>
      </m>
      <m>
        <tpls c="4">
          <tpl fld="7" item="83"/>
          <tpl fld="6" item="2"/>
          <tpl hier="236" item="0"/>
          <tpl fld="4" item="4"/>
        </tpls>
      </m>
      <m>
        <tpls c="3">
          <tpl fld="7" item="86"/>
          <tpl fld="6" item="3"/>
          <tpl hier="236" item="0"/>
        </tpls>
      </m>
      <m>
        <tpls c="4">
          <tpl fld="7" item="197"/>
          <tpl fld="6" item="2"/>
          <tpl hier="236" item="0"/>
          <tpl fld="4" item="1"/>
        </tpls>
      </m>
      <m>
        <tpls c="4">
          <tpl fld="7" item="489"/>
          <tpl fld="6" item="1"/>
          <tpl hier="236" item="0"/>
          <tpl fld="4" item="4"/>
        </tpls>
      </m>
      <m>
        <tpls c="4">
          <tpl fld="7" item="594"/>
          <tpl fld="6" item="2"/>
          <tpl hier="236" item="0"/>
          <tpl fld="4" item="4"/>
        </tpls>
      </m>
      <m>
        <tpls c="4">
          <tpl fld="7" item="315"/>
          <tpl fld="6" item="1"/>
          <tpl hier="236" item="0"/>
          <tpl fld="4" item="6"/>
        </tpls>
      </m>
      <m>
        <tpls c="3">
          <tpl fld="7" item="102"/>
          <tpl fld="6" item="3"/>
          <tpl hier="236" item="0"/>
        </tpls>
      </m>
      <n v="1" in="2">
        <tpls c="6">
          <tpl fld="3" item="0"/>
          <tpl fld="11" item="0"/>
          <tpl fld="6" item="2"/>
          <tpl hier="236" item="0"/>
          <tpl fld="4" item="6"/>
          <tpl fld="10" item="8"/>
        </tpls>
      </n>
      <m>
        <tpls c="4">
          <tpl fld="7" item="124"/>
          <tpl fld="6" item="1"/>
          <tpl hier="236" item="0"/>
          <tpl fld="4" item="4"/>
        </tpls>
      </m>
      <m>
        <tpls c="4">
          <tpl fld="7" item="145"/>
          <tpl fld="6" item="1"/>
          <tpl hier="236" item="0"/>
          <tpl fld="4" item="4"/>
        </tpls>
      </m>
      <m>
        <tpls c="4">
          <tpl fld="7" item="47"/>
          <tpl fld="6" item="1"/>
          <tpl hier="236" item="0"/>
          <tpl fld="4" item="5"/>
        </tpls>
      </m>
      <m>
        <tpls c="4">
          <tpl fld="7" item="55"/>
          <tpl fld="6" item="1"/>
          <tpl hier="236" item="0"/>
          <tpl fld="4" item="5"/>
        </tpls>
      </m>
      <m>
        <tpls c="4">
          <tpl fld="7" item="342"/>
          <tpl fld="6" item="1"/>
          <tpl hier="236" item="0"/>
          <tpl fld="4" item="6"/>
        </tpls>
      </m>
      <m>
        <tpls c="4">
          <tpl fld="7" item="190"/>
          <tpl fld="6" item="2"/>
          <tpl hier="236" item="0"/>
          <tpl fld="4" item="4"/>
        </tpls>
      </m>
      <m>
        <tpls c="4">
          <tpl fld="7" item="311"/>
          <tpl fld="6" item="2"/>
          <tpl hier="236" item="0"/>
          <tpl fld="4" item="4"/>
        </tpls>
      </m>
      <m>
        <tpls c="3">
          <tpl fld="7" item="318"/>
          <tpl fld="6" item="3"/>
          <tpl hier="236" item="0"/>
        </tpls>
      </m>
      <m>
        <tpls c="4">
          <tpl fld="7" item="351"/>
          <tpl fld="6" item="1"/>
          <tpl hier="236" item="0"/>
          <tpl fld="4" item="4"/>
        </tpls>
      </m>
      <n v="0" in="1">
        <tpls c="4">
          <tpl fld="7" item="595"/>
          <tpl fld="6" item="1"/>
          <tpl hier="236" item="0"/>
          <tpl fld="4" item="4"/>
        </tpls>
      </n>
      <m>
        <tpls c="4">
          <tpl fld="7" item="877"/>
          <tpl fld="6" item="2"/>
          <tpl hier="236" item="0"/>
          <tpl fld="4" item="4"/>
        </tpls>
      </m>
      <m>
        <tpls c="4">
          <tpl fld="7" item="500"/>
          <tpl fld="6" item="1"/>
          <tpl hier="236" item="0"/>
          <tpl fld="4" item="6"/>
        </tpls>
      </m>
      <n v="1" in="3">
        <tpls c="3">
          <tpl fld="7" item="362"/>
          <tpl fld="6" item="3"/>
          <tpl hier="236" item="0"/>
        </tpls>
      </n>
      <m>
        <tpls c="4">
          <tpl fld="7" item="436"/>
          <tpl fld="6" item="2"/>
          <tpl hier="236" item="0"/>
          <tpl fld="4" item="1"/>
        </tpls>
      </m>
      <n v="1" in="1">
        <tpls c="4">
          <tpl fld="7" item="599"/>
          <tpl fld="6" item="1"/>
          <tpl hier="236" item="0"/>
          <tpl fld="4" item="4"/>
        </tpls>
      </n>
      <n v="3" in="2">
        <tpls c="4">
          <tpl fld="7" item="878"/>
          <tpl fld="6" item="2"/>
          <tpl hier="236" item="0"/>
          <tpl fld="4" item="4"/>
        </tpls>
      </n>
      <m>
        <tpls c="4">
          <tpl fld="7" item="516"/>
          <tpl fld="6" item="1"/>
          <tpl hier="236" item="0"/>
          <tpl fld="4" item="6"/>
        </tpls>
      </m>
      <n v="1" in="3">
        <tpls c="3">
          <tpl fld="7" item="378"/>
          <tpl fld="6" item="3"/>
          <tpl hier="236" item="0"/>
        </tpls>
      </n>
      <m>
        <tpls c="4">
          <tpl fld="7" item="452"/>
          <tpl fld="6" item="2"/>
          <tpl hier="236" item="0"/>
          <tpl fld="4" item="1"/>
        </tpls>
      </m>
      <n v="4" in="1">
        <tpls c="4">
          <tpl fld="7" item="603"/>
          <tpl fld="6" item="1"/>
          <tpl hier="236" item="0"/>
          <tpl fld="4" item="4"/>
        </tpls>
      </n>
      <m>
        <tpls c="3">
          <tpl fld="7" item="387"/>
          <tpl fld="6" item="3"/>
          <tpl hier="236" item="0"/>
        </tpls>
      </m>
      <m>
        <tpls c="4">
          <tpl fld="7" item="604"/>
          <tpl fld="6" item="1"/>
          <tpl hier="236" item="0"/>
          <tpl fld="4" item="4"/>
        </tpls>
      </m>
      <m>
        <tpls c="4">
          <tpl fld="7" item="531"/>
          <tpl fld="6" item="2"/>
          <tpl hier="236" item="0"/>
          <tpl fld="4" item="5"/>
        </tpls>
      </m>
      <m>
        <tpls c="4">
          <tpl fld="7" item="462"/>
          <tpl fld="6" item="2"/>
          <tpl hier="236" item="0"/>
          <tpl fld="4" item="6"/>
        </tpls>
      </m>
      <n v="1" in="1">
        <tpls c="4">
          <tpl fld="7" item="534"/>
          <tpl fld="6" item="1"/>
          <tpl hier="236" item="0"/>
          <tpl fld="4" item="5"/>
        </tpls>
      </n>
      <m>
        <tpls c="4">
          <tpl fld="7" item="465"/>
          <tpl fld="6" item="1"/>
          <tpl hier="236" item="0"/>
          <tpl fld="4" item="6"/>
        </tpls>
      </m>
      <m>
        <tpls c="4">
          <tpl fld="7" item="537"/>
          <tpl fld="6" item="2"/>
          <tpl hier="236" item="0"/>
          <tpl fld="4" item="1"/>
        </tpls>
      </m>
      <n v="1.2" in="2">
        <tpls c="4">
          <tpl fld="7" item="607"/>
          <tpl fld="6" item="2"/>
          <tpl hier="236" item="0"/>
          <tpl fld="1" item="0"/>
        </tpls>
      </n>
      <n v="16" in="1">
        <tpls c="4">
          <tpl fld="7" item="688"/>
          <tpl fld="6" item="1"/>
          <tpl hier="236" item="0"/>
          <tpl fld="4" item="1"/>
        </tpls>
      </n>
      <n v="25" in="1">
        <tpls c="4">
          <tpl fld="7" item="689"/>
          <tpl fld="6" item="1"/>
          <tpl hier="236" item="0"/>
          <tpl fld="1" item="0"/>
        </tpls>
      </n>
      <n v="1" in="2">
        <tpls c="4">
          <tpl fld="7" item="772"/>
          <tpl fld="6" item="2"/>
          <tpl hier="236" item="0"/>
          <tpl fld="4" item="4"/>
        </tpls>
      </n>
      <n v="25.597972972972972" in="2">
        <tpls c="6">
          <tpl fld="3" item="4"/>
          <tpl fld="11" item="0"/>
          <tpl fld="6" item="2"/>
          <tpl hier="236" item="0"/>
          <tpl fld="4" item="4"/>
          <tpl fld="10" item="8"/>
        </tpls>
      </n>
      <m>
        <tpls c="4">
          <tpl fld="7" item="129"/>
          <tpl fld="6" item="1"/>
          <tpl hier="236" item="0"/>
          <tpl fld="4" item="4"/>
        </tpls>
      </m>
      <m>
        <tpls c="4">
          <tpl fld="7" item="146"/>
          <tpl fld="6" item="1"/>
          <tpl hier="236" item="0"/>
          <tpl fld="4" item="4"/>
        </tpls>
      </m>
      <m>
        <tpls c="4">
          <tpl fld="7" item="264"/>
          <tpl fld="6" item="2"/>
          <tpl hier="236" item="0"/>
          <tpl fld="4" item="1"/>
        </tpls>
      </m>
      <m>
        <tpls c="4">
          <tpl fld="7" item="272"/>
          <tpl fld="6" item="2"/>
          <tpl hier="236" item="0"/>
          <tpl fld="4" item="1"/>
        </tpls>
      </m>
      <m>
        <tpls c="4">
          <tpl fld="7" item="413"/>
          <tpl fld="6" item="1"/>
          <tpl hier="236" item="0"/>
          <tpl fld="4" item="6"/>
        </tpls>
      </m>
      <m>
        <tpls c="4">
          <tpl fld="7" item="191"/>
          <tpl fld="6" item="2"/>
          <tpl hier="236" item="0"/>
          <tpl fld="4" item="4"/>
        </tpls>
      </m>
      <m>
        <tpls c="4">
          <tpl fld="7" item="312"/>
          <tpl fld="6" item="2"/>
          <tpl hier="236" item="0"/>
          <tpl fld="4" item="4"/>
        </tpls>
      </m>
      <m>
        <tpls c="4">
          <tpl fld="7" item="102"/>
          <tpl fld="6" item="2"/>
          <tpl hier="236" item="0"/>
          <tpl fld="4" item="4"/>
        </tpls>
      </m>
      <m>
        <tpls c="4">
          <tpl fld="7" item="322"/>
          <tpl fld="6" item="2"/>
          <tpl hier="236" item="0"/>
          <tpl fld="4" item="1"/>
        </tpls>
      </m>
      <m>
        <tpls c="4">
          <tpl fld="7" item="494"/>
          <tpl fld="6" item="1"/>
          <tpl hier="236" item="0"/>
          <tpl fld="4" item="4"/>
        </tpls>
      </m>
      <m>
        <tpls c="4">
          <tpl fld="7" item="497"/>
          <tpl fld="6" item="2"/>
          <tpl hier="236" item="0"/>
          <tpl fld="4" item="4"/>
        </tpls>
      </m>
      <m>
        <tpls c="4">
          <tpl fld="7" item="359"/>
          <tpl fld="6" item="1"/>
          <tpl hier="236" item="0"/>
          <tpl fld="4" item="6"/>
        </tpls>
      </m>
      <n v="1" in="3">
        <tpls c="3">
          <tpl fld="7" item="433"/>
          <tpl fld="6" item="3"/>
          <tpl hier="236" item="0"/>
        </tpls>
      </n>
      <n v="0.75608108108108107" in="2">
        <tpls c="4">
          <tpl fld="7" item="678"/>
          <tpl fld="6" item="2"/>
          <tpl hier="236" item="0"/>
          <tpl fld="4" item="1"/>
        </tpls>
      </n>
      <n v="2" in="1">
        <tpls c="4">
          <tpl fld="7" item="510"/>
          <tpl fld="6" item="1"/>
          <tpl hier="236" item="0"/>
          <tpl fld="4" item="4"/>
        </tpls>
      </n>
      <n v="0.3" in="2">
        <tpls c="4">
          <tpl fld="7" item="513"/>
          <tpl fld="6" item="2"/>
          <tpl hier="236" item="0"/>
          <tpl fld="4" item="4"/>
        </tpls>
      </n>
      <n v="15" in="1">
        <tpls c="4">
          <tpl fld="7" item="375"/>
          <tpl fld="6" item="1"/>
          <tpl hier="236" item="0"/>
          <tpl fld="4" item="6"/>
        </tpls>
      </n>
      <n v="1" in="3">
        <tpls c="3">
          <tpl fld="7" item="449"/>
          <tpl fld="6" item="3"/>
          <tpl hier="236" item="0"/>
        </tpls>
      </n>
      <m>
        <tpls c="4">
          <tpl fld="7" item="682"/>
          <tpl fld="6" item="2"/>
          <tpl hier="236" item="0"/>
          <tpl fld="4" item="1"/>
        </tpls>
      </m>
      <n v="9" in="1">
        <tpls c="4">
          <tpl fld="7" item="526"/>
          <tpl fld="6" item="1"/>
          <tpl hier="236" item="0"/>
          <tpl fld="4" item="4"/>
        </tpls>
      </n>
      <m>
        <tpls c="4">
          <tpl fld="7" item="387"/>
          <tpl fld="6" item="2"/>
          <tpl hier="236" item="0"/>
          <tpl fld="4" item="6"/>
        </tpls>
      </m>
      <m>
        <tpls c="4">
          <tpl fld="7" item="604"/>
          <tpl fld="6" item="1"/>
          <tpl hier="236" item="0"/>
          <tpl fld="4" item="5"/>
        </tpls>
      </m>
      <n v="0" in="1">
        <tpls c="4">
          <tpl fld="7" item="390"/>
          <tpl fld="6" item="1"/>
          <tpl hier="236" item="0"/>
          <tpl fld="4" item="6"/>
        </tpls>
      </n>
      <m>
        <tpls c="4">
          <tpl fld="7" item="983"/>
          <tpl fld="6" item="2"/>
          <tpl hier="236" item="0"/>
          <tpl fld="4" item="1"/>
        </tpls>
      </m>
      <m>
        <tpls c="4">
          <tpl fld="7" item="534"/>
          <tpl fld="6" item="2"/>
          <tpl hier="236" item="0"/>
          <tpl fld="1" item="0"/>
        </tpls>
      </m>
      <m>
        <tpls c="6">
          <tpl fld="11" item="0"/>
          <tpl fld="2" item="0"/>
          <tpl fld="6" item="2"/>
          <tpl hier="236" item="0"/>
          <tpl fld="4" item="3"/>
          <tpl fld="10" item="5"/>
        </tpls>
      </m>
      <m>
        <tpls c="6">
          <tpl fld="11" item="0"/>
          <tpl fld="2" item="2"/>
          <tpl fld="6" item="2"/>
          <tpl hier="236" item="0"/>
          <tpl fld="4" item="3"/>
          <tpl fld="10" item="5"/>
        </tpls>
      </m>
      <n v="1397" in="1">
        <tpls c="6">
          <tpl fld="11" item="0"/>
          <tpl fld="6" item="1"/>
          <tpl fld="8" item="0"/>
          <tpl hier="236" item="0"/>
          <tpl fld="4" item="4"/>
          <tpl fld="10" item="7"/>
        </tpls>
      </n>
      <n v="542" in="1">
        <tpls c="6">
          <tpl fld="11" item="0"/>
          <tpl fld="6" item="1"/>
          <tpl fld="8" item="0"/>
          <tpl hier="236" item="0"/>
          <tpl fld="4" item="4"/>
          <tpl fld="10" item="8"/>
        </tpls>
      </n>
      <n v="222" in="1">
        <tpls c="6">
          <tpl fld="11" item="0"/>
          <tpl fld="6" item="1"/>
          <tpl fld="8" item="1"/>
          <tpl hier="236" item="0"/>
          <tpl fld="4" item="3"/>
          <tpl fld="10" item="1"/>
        </tpls>
      </n>
      <m>
        <tpls c="4">
          <tpl fld="7" item="124"/>
          <tpl fld="6" item="2"/>
          <tpl hier="236" item="0"/>
          <tpl fld="4" item="1"/>
        </tpls>
      </m>
      <m>
        <tpls c="4">
          <tpl fld="7" item="397"/>
          <tpl fld="6" item="1"/>
          <tpl hier="236" item="0"/>
          <tpl fld="4" item="4"/>
        </tpls>
      </m>
      <m>
        <tpls c="4">
          <tpl fld="7" item="143"/>
          <tpl fld="6" item="2"/>
          <tpl hier="236" item="0"/>
          <tpl fld="4" item="1"/>
        </tpls>
      </m>
      <m>
        <tpls c="4">
          <tpl fld="7" item="262"/>
          <tpl fld="6" item="1"/>
          <tpl hier="236" item="0"/>
          <tpl fld="1" item="0"/>
        </tpls>
      </m>
      <m>
        <tpls c="4">
          <tpl fld="7" item="270"/>
          <tpl fld="6" item="1"/>
          <tpl hier="236" item="0"/>
          <tpl fld="1" item="0"/>
        </tpls>
      </m>
      <m>
        <tpls c="4">
          <tpl fld="7" item="672"/>
          <tpl fld="6" item="2"/>
          <tpl hier="236" item="0"/>
          <tpl fld="4" item="4"/>
        </tpls>
      </m>
      <m>
        <tpls c="4">
          <tpl fld="7" item="486"/>
          <tpl fld="6" item="1"/>
          <tpl hier="236" item="0"/>
          <tpl fld="4" item="4"/>
        </tpls>
      </m>
      <m>
        <tpls c="4">
          <tpl fld="7" item="93"/>
          <tpl fld="6" item="1"/>
          <tpl hier="236" item="0"/>
          <tpl fld="4" item="4"/>
        </tpls>
      </m>
      <n v="24.28891891891892" in="2">
        <tpls c="6">
          <tpl fld="11" item="0"/>
          <tpl fld="6" item="2"/>
          <tpl fld="8" item="0"/>
          <tpl hier="236" item="0"/>
          <tpl fld="4" item="6"/>
          <tpl fld="10" item="7"/>
        </tpls>
      </n>
      <m>
        <tpls c="4">
          <tpl fld="7" item="28"/>
          <tpl fld="6" item="1"/>
          <tpl hier="236" item="0"/>
          <tpl fld="4" item="6"/>
        </tpls>
      </m>
      <n v="1.719708825478056E-2" in="0">
        <tpls c="5">
          <tpl fld="3" item="4"/>
          <tpl fld="11" item="0"/>
          <tpl fld="6" item="0"/>
          <tpl hier="236" item="0"/>
          <tpl fld="4" item="4"/>
        </tpls>
      </n>
      <m>
        <tpls c="5">
          <tpl fld="11" item="0"/>
          <tpl fld="5" item="0"/>
          <tpl fld="6" item="0"/>
          <tpl hier="236" item="0"/>
          <tpl fld="4" item="7"/>
        </tpls>
      </m>
      <m>
        <tpls c="4">
          <tpl fld="7" item="1280"/>
          <tpl fld="6" item="2"/>
          <tpl hier="236" item="0"/>
          <tpl fld="4" item="5"/>
        </tpls>
      </m>
      <m>
        <tpls c="3">
          <tpl fld="7" item="954"/>
          <tpl fld="6" item="3"/>
          <tpl hier="236" item="0"/>
        </tpls>
      </m>
      <m>
        <tpls c="3">
          <tpl fld="7" item="970"/>
          <tpl fld="6" item="3"/>
          <tpl hier="236" item="0"/>
        </tpls>
      </m>
      <n v="1537" in="1">
        <tpls c="4">
          <tpl fld="11" item="0"/>
          <tpl fld="6" item="1"/>
          <tpl hier="236" item="0"/>
          <tpl fld="4" item="5"/>
        </tpls>
      </n>
      <m>
        <tpls c="3">
          <tpl fld="7" item="949"/>
          <tpl fld="6" item="3"/>
          <tpl hier="236" item="0"/>
        </tpls>
      </m>
      <m>
        <tpls c="4">
          <tpl fld="7" item="963"/>
          <tpl fld="6" item="1"/>
          <tpl hier="236" item="0"/>
          <tpl fld="4" item="6"/>
        </tpls>
      </m>
      <n v="66.747770270270266" in="2">
        <tpls c="6">
          <tpl fld="11" item="0"/>
          <tpl fld="5" item="1"/>
          <tpl fld="6" item="2"/>
          <tpl hier="236" item="0"/>
          <tpl fld="4" item="1"/>
          <tpl fld="9" item="1"/>
        </tpls>
      </n>
      <n v="36.284391891891893" in="2">
        <tpls c="6">
          <tpl fld="3" item="4"/>
          <tpl fld="11" item="0"/>
          <tpl fld="6" item="2"/>
          <tpl hier="236" item="0"/>
          <tpl fld="4" item="1"/>
          <tpl fld="9" item="1"/>
        </tpls>
      </n>
      <m>
        <tpls c="4">
          <tpl fld="7" item="1233"/>
          <tpl fld="6" item="2"/>
          <tpl hier="236" item="0"/>
          <tpl fld="4" item="6"/>
        </tpls>
      </m>
      <m>
        <tpls c="6">
          <tpl fld="11" item="0"/>
          <tpl fld="5" item="4"/>
          <tpl fld="6" item="2"/>
          <tpl hier="236" item="0"/>
          <tpl fld="4" item="7"/>
          <tpl fld="10" item="7"/>
        </tpls>
      </m>
      <m>
        <tpls c="4">
          <tpl fld="7" item="1049"/>
          <tpl fld="6" item="1"/>
          <tpl hier="236" item="0"/>
          <tpl fld="4" item="6"/>
        </tpls>
      </m>
      <n v="7" in="1">
        <tpls c="6">
          <tpl fld="11" item="0"/>
          <tpl fld="5" item="1"/>
          <tpl fld="6" item="1"/>
          <tpl hier="236" item="0"/>
          <tpl fld="4" item="4"/>
          <tpl fld="10" item="1"/>
        </tpls>
      </n>
      <n v="175" in="1">
        <tpls c="6">
          <tpl fld="11" item="0"/>
          <tpl fld="5" item="1"/>
          <tpl fld="6" item="1"/>
          <tpl hier="236" item="0"/>
          <tpl fld="4" item="6"/>
          <tpl fld="10" item="7"/>
        </tpls>
      </n>
      <n v="0" in="1">
        <tpls c="6">
          <tpl fld="11" item="0"/>
          <tpl fld="5" item="0"/>
          <tpl fld="6" item="1"/>
          <tpl hier="236" item="0"/>
          <tpl fld="4" item="3"/>
          <tpl fld="10" item="5"/>
        </tpls>
      </n>
      <n v="1" in="1">
        <tpls c="6">
          <tpl fld="3" item="0"/>
          <tpl fld="11" item="0"/>
          <tpl fld="6" item="1"/>
          <tpl hier="236" item="0"/>
          <tpl fld="4" item="6"/>
          <tpl fld="10" item="4"/>
        </tpls>
      </n>
      <m>
        <tpls c="6">
          <tpl fld="11" item="0"/>
          <tpl fld="5" item="1"/>
          <tpl fld="6" item="1"/>
          <tpl hier="236" item="0"/>
          <tpl fld="4" item="7"/>
          <tpl fld="10" item="3"/>
        </tpls>
      </m>
      <n v="3" in="2">
        <tpls c="6">
          <tpl fld="11" item="0"/>
          <tpl fld="2" item="2"/>
          <tpl fld="6" item="2"/>
          <tpl hier="236" item="0"/>
          <tpl fld="4" item="6"/>
          <tpl fld="10" item="5"/>
        </tpls>
      </n>
      <m>
        <tpls c="4">
          <tpl fld="7" item="1209"/>
          <tpl fld="6" item="2"/>
          <tpl hier="236" item="0"/>
          <tpl fld="4" item="6"/>
        </tpls>
      </m>
      <m>
        <tpls c="6">
          <tpl fld="11" item="0"/>
          <tpl fld="2" item="0"/>
          <tpl fld="6" item="2"/>
          <tpl hier="236" item="0"/>
          <tpl fld="4" item="7"/>
          <tpl fld="10" item="3"/>
        </tpls>
      </m>
      <n v="123" in="1">
        <tpls c="6">
          <tpl fld="11" item="0"/>
          <tpl fld="2" item="4"/>
          <tpl fld="6" item="1"/>
          <tpl hier="236" item="0"/>
          <tpl fld="4" item="6"/>
          <tpl fld="10" item="3"/>
        </tpls>
      </n>
      <n v="12.99054054054054" in="2">
        <tpls c="6">
          <tpl fld="11" item="0"/>
          <tpl fld="5" item="0"/>
          <tpl fld="6" item="2"/>
          <tpl hier="236" item="0"/>
          <tpl fld="4" item="6"/>
          <tpl fld="10" item="8"/>
        </tpls>
      </n>
      <n v="8.0448648648648646" in="2">
        <tpls c="6">
          <tpl fld="11" item="0"/>
          <tpl fld="2" item="1"/>
          <tpl fld="6" item="2"/>
          <tpl hier="236" item="0"/>
          <tpl fld="4" item="3"/>
          <tpl fld="10" item="7"/>
        </tpls>
      </n>
      <n v="41" in="1">
        <tpls c="6">
          <tpl fld="3" item="3"/>
          <tpl fld="11" item="0"/>
          <tpl fld="6" item="1"/>
          <tpl hier="236" item="0"/>
          <tpl fld="4" item="4"/>
          <tpl fld="10" item="4"/>
        </tpls>
      </n>
      <n v="213" in="1">
        <tpls c="6">
          <tpl fld="11" item="0"/>
          <tpl fld="2" item="2"/>
          <tpl fld="6" item="1"/>
          <tpl hier="236" item="0"/>
          <tpl fld="4" item="4"/>
          <tpl fld="10" item="6"/>
        </tpls>
      </n>
      <n v="33.366081081081084" in="2">
        <tpls c="6">
          <tpl fld="11" item="0"/>
          <tpl fld="6" item="2"/>
          <tpl fld="8" item="1"/>
          <tpl hier="236" item="0"/>
          <tpl fld="4" item="4"/>
          <tpl fld="10" item="3"/>
        </tpls>
      </n>
      <m>
        <tpls c="4">
          <tpl fld="7" item="111"/>
          <tpl fld="6" item="1"/>
          <tpl hier="236" item="0"/>
          <tpl fld="4" item="5"/>
        </tpls>
      </m>
      <m>
        <tpls c="4">
          <tpl fld="7" item="472"/>
          <tpl fld="6" item="2"/>
          <tpl hier="236" item="0"/>
          <tpl fld="4" item="1"/>
        </tpls>
      </m>
      <n v="1363" in="1">
        <tpls c="6">
          <tpl fld="3" item="1"/>
          <tpl fld="11" item="0"/>
          <tpl fld="6" item="1"/>
          <tpl hier="236" item="0"/>
          <tpl fld="4" item="4"/>
          <tpl fld="10" item="7"/>
        </tpls>
      </n>
      <n v="1955" in="1">
        <tpls c="6">
          <tpl fld="11" item="0"/>
          <tpl fld="6" item="1"/>
          <tpl fld="8" item="1"/>
          <tpl hier="236" item="0"/>
          <tpl fld="4" item="4"/>
          <tpl fld="10" item="3"/>
        </tpls>
      </n>
      <n v="9.8500000000000014" in="2">
        <tpls c="6">
          <tpl fld="11" item="0"/>
          <tpl fld="2" item="3"/>
          <tpl fld="6" item="2"/>
          <tpl hier="236" item="0"/>
          <tpl fld="4" item="3"/>
          <tpl fld="10" item="8"/>
        </tpls>
      </n>
      <n v="7.7114864864864865" in="2">
        <tpls c="6">
          <tpl fld="3" item="1"/>
          <tpl fld="11" item="0"/>
          <tpl fld="6" item="2"/>
          <tpl hier="236" item="0"/>
          <tpl fld="4" item="6"/>
          <tpl fld="10" item="5"/>
        </tpls>
      </n>
      <n v="12.7" in="2">
        <tpls c="5">
          <tpl fld="11" item="0"/>
          <tpl fld="6" item="2"/>
          <tpl hier="236" item="0"/>
          <tpl fld="4" item="7"/>
          <tpl fld="10" item="2"/>
        </tpls>
      </n>
      <n v="2" in="2">
        <tpls c="6">
          <tpl fld="11" item="0"/>
          <tpl fld="2" item="0"/>
          <tpl fld="6" item="2"/>
          <tpl hier="236" item="0"/>
          <tpl fld="4" item="3"/>
          <tpl fld="10" item="8"/>
        </tpls>
      </n>
      <m>
        <tpls c="6">
          <tpl fld="11" item="0"/>
          <tpl fld="2" item="0"/>
          <tpl fld="6" item="1"/>
          <tpl hier="236" item="0"/>
          <tpl fld="4" item="3"/>
          <tpl fld="10" item="6"/>
        </tpls>
      </m>
      <n v="362" in="1">
        <tpls c="6">
          <tpl fld="3" item="4"/>
          <tpl fld="11" item="0"/>
          <tpl fld="6" item="1"/>
          <tpl hier="236" item="0"/>
          <tpl fld="4" item="1"/>
          <tpl fld="9" item="1"/>
        </tpls>
      </n>
      <m>
        <tpls c="6">
          <tpl fld="11" item="0"/>
          <tpl fld="5" item="2"/>
          <tpl fld="6" item="1"/>
          <tpl hier="236" item="0"/>
          <tpl fld="4" item="3"/>
          <tpl fld="10" item="3"/>
        </tpls>
      </m>
      <m>
        <tpls c="6">
          <tpl fld="11" item="0"/>
          <tpl fld="2" item="1"/>
          <tpl fld="6" item="2"/>
          <tpl hier="236" item="0"/>
          <tpl fld="4" item="3"/>
          <tpl fld="10" item="3"/>
        </tpls>
      </m>
      <n v="1" in="1">
        <tpls c="6">
          <tpl fld="3" item="4"/>
          <tpl fld="11" item="0"/>
          <tpl fld="6" item="1"/>
          <tpl hier="236" item="0"/>
          <tpl fld="4" item="3"/>
          <tpl fld="10" item="8"/>
        </tpls>
      </n>
      <m>
        <tpls c="4">
          <tpl fld="7" item="1285"/>
          <tpl fld="6" item="2"/>
          <tpl hier="236" item="0"/>
          <tpl fld="4" item="6"/>
        </tpls>
      </m>
      <n v="34.373310810810814" in="2">
        <tpls c="6">
          <tpl fld="3" item="4"/>
          <tpl fld="11" item="0"/>
          <tpl fld="6" item="2"/>
          <tpl hier="236" item="0"/>
          <tpl fld="4" item="6"/>
          <tpl fld="10" item="8"/>
        </tpls>
      </n>
      <n v="54.303918918918917" in="2">
        <tpls c="5">
          <tpl fld="11" item="0"/>
          <tpl fld="6" item="2"/>
          <tpl hier="236" item="0"/>
          <tpl fld="4" item="4"/>
          <tpl fld="10" item="3"/>
        </tpls>
      </n>
      <n v="536" in="1">
        <tpls c="6">
          <tpl fld="11" item="0"/>
          <tpl fld="6" item="1"/>
          <tpl fld="8" item="0"/>
          <tpl hier="236" item="0"/>
          <tpl fld="4" item="7"/>
          <tpl fld="10" item="3"/>
        </tpls>
      </n>
      <m>
        <tpls c="4">
          <tpl fld="7" item="668"/>
          <tpl fld="6" item="2"/>
          <tpl hier="236" item="0"/>
          <tpl fld="4" item="1"/>
        </tpls>
      </m>
      <m>
        <tpls c="4">
          <tpl fld="7" item="226"/>
          <tpl fld="6" item="2"/>
          <tpl hier="236" item="0"/>
          <tpl fld="4" item="6"/>
        </tpls>
      </m>
      <m>
        <tpls c="4">
          <tpl fld="7" item="25"/>
          <tpl fld="6" item="2"/>
          <tpl hier="236" item="0"/>
          <tpl fld="4" item="1"/>
        </tpls>
      </m>
      <n v="62" in="1">
        <tpls c="6">
          <tpl fld="11" item="0"/>
          <tpl fld="2" item="1"/>
          <tpl fld="6" item="1"/>
          <tpl hier="236" item="0"/>
          <tpl fld="4" item="4"/>
          <tpl fld="10" item="1"/>
        </tpls>
      </n>
      <n v="359" in="1">
        <tpls c="6">
          <tpl fld="3" item="1"/>
          <tpl fld="11" item="0"/>
          <tpl fld="6" item="1"/>
          <tpl hier="236" item="0"/>
          <tpl fld="4" item="6"/>
          <tpl fld="10" item="0"/>
        </tpls>
      </n>
      <m>
        <tpls c="6">
          <tpl fld="3" item="2"/>
          <tpl fld="11" item="0"/>
          <tpl fld="6" item="2"/>
          <tpl hier="236" item="0"/>
          <tpl fld="4" item="3"/>
          <tpl fld="10" item="2"/>
        </tpls>
      </m>
      <n v="2.3499999999999996" in="2">
        <tpls c="5">
          <tpl fld="11" item="0"/>
          <tpl fld="6" item="2"/>
          <tpl hier="236" item="0"/>
          <tpl fld="4" item="4"/>
          <tpl fld="10" item="1"/>
        </tpls>
      </n>
      <n v="0" in="1">
        <tpls c="6">
          <tpl fld="11" item="0"/>
          <tpl fld="5" item="0"/>
          <tpl fld="6" item="1"/>
          <tpl hier="236" item="0"/>
          <tpl fld="4" item="1"/>
          <tpl fld="9" item="0"/>
        </tpls>
      </n>
      <n v="17.172972972972971" in="2">
        <tpls c="6">
          <tpl fld="11" item="0"/>
          <tpl fld="2" item="3"/>
          <tpl fld="6" item="2"/>
          <tpl hier="236" item="0"/>
          <tpl fld="4" item="3"/>
          <tpl fld="10" item="2"/>
        </tpls>
      </n>
      <n v="3" in="2">
        <tpls c="6">
          <tpl fld="3" item="3"/>
          <tpl fld="11" item="0"/>
          <tpl fld="6" item="2"/>
          <tpl hier="236" item="0"/>
          <tpl fld="4" item="4"/>
          <tpl fld="10" item="4"/>
        </tpls>
      </n>
      <n v="18.600000000000001" in="2">
        <tpls c="6">
          <tpl fld="3" item="4"/>
          <tpl fld="11" item="0"/>
          <tpl fld="6" item="2"/>
          <tpl hier="236" item="0"/>
          <tpl fld="4" item="1"/>
          <tpl fld="9" item="2"/>
        </tpls>
      </n>
      <n v="5.2" in="2">
        <tpls c="6">
          <tpl fld="3" item="1"/>
          <tpl fld="11" item="0"/>
          <tpl fld="6" item="2"/>
          <tpl hier="236" item="0"/>
          <tpl fld="4" item="4"/>
          <tpl fld="10" item="3"/>
        </tpls>
      </n>
      <n v="4.3" in="2">
        <tpls c="6">
          <tpl fld="11" item="0"/>
          <tpl fld="5" item="4"/>
          <tpl fld="6" item="2"/>
          <tpl hier="236" item="0"/>
          <tpl fld="4" item="1"/>
          <tpl fld="9" item="2"/>
        </tpls>
      </n>
      <m>
        <tpls c="4">
          <tpl fld="7" item="1062"/>
          <tpl fld="6" item="1"/>
          <tpl hier="236" item="0"/>
          <tpl fld="1" item="0"/>
        </tpls>
      </m>
      <n v="1" in="2">
        <tpls c="6">
          <tpl fld="3" item="0"/>
          <tpl fld="11" item="0"/>
          <tpl fld="6" item="2"/>
          <tpl hier="236" item="0"/>
          <tpl fld="4" item="7"/>
          <tpl fld="10" item="5"/>
        </tpls>
      </n>
      <n v="0" in="1">
        <tpls c="6">
          <tpl fld="11" item="0"/>
          <tpl fld="5" item="4"/>
          <tpl fld="6" item="1"/>
          <tpl hier="236" item="0"/>
          <tpl fld="4" item="3"/>
          <tpl fld="10" item="2"/>
        </tpls>
      </n>
      <n v="481" in="1">
        <tpls c="5">
          <tpl fld="11" item="0"/>
          <tpl fld="5" item="5"/>
          <tpl fld="6" item="1"/>
          <tpl hier="236" item="0"/>
          <tpl fld="4" item="2"/>
        </tpls>
      </n>
      <m>
        <tpls c="6">
          <tpl fld="11" item="0"/>
          <tpl fld="2" item="0"/>
          <tpl fld="6" item="2"/>
          <tpl hier="236" item="0"/>
          <tpl fld="4" item="3"/>
          <tpl fld="10" item="2"/>
        </tpls>
      </m>
      <n v="2" in="2">
        <tpls c="6">
          <tpl fld="3" item="2"/>
          <tpl fld="11" item="0"/>
          <tpl fld="6" item="2"/>
          <tpl hier="236" item="0"/>
          <tpl fld="4" item="4"/>
          <tpl fld="10" item="4"/>
        </tpls>
      </n>
      <n v="3699" in="1">
        <tpls c="6">
          <tpl fld="11" item="0"/>
          <tpl fld="5" item="5"/>
          <tpl fld="6" item="1"/>
          <tpl hier="236" item="0"/>
          <tpl fld="4" item="4"/>
          <tpl fld="10" item="8"/>
        </tpls>
      </n>
      <m>
        <tpls c="6">
          <tpl fld="11" item="0"/>
          <tpl fld="2" item="4"/>
          <tpl fld="6" item="2"/>
          <tpl hier="236" item="0"/>
          <tpl fld="4" item="3"/>
          <tpl fld="10" item="5"/>
        </tpls>
      </m>
      <n v="1" in="2">
        <tpls c="6">
          <tpl fld="11" item="0"/>
          <tpl fld="2" item="4"/>
          <tpl fld="6" item="2"/>
          <tpl hier="236" item="0"/>
          <tpl fld="4" item="7"/>
          <tpl fld="10" item="2"/>
        </tpls>
      </n>
      <n v="1455" in="1">
        <tpls c="6">
          <tpl fld="3" item="3"/>
          <tpl fld="11" item="0"/>
          <tpl fld="6" item="1"/>
          <tpl hier="236" item="0"/>
          <tpl fld="4" item="4"/>
          <tpl fld="10" item="8"/>
        </tpls>
      </n>
      <m>
        <tpls c="6">
          <tpl fld="3" item="0"/>
          <tpl fld="11" item="0"/>
          <tpl fld="6" item="2"/>
          <tpl hier="236" item="0"/>
          <tpl fld="4" item="1"/>
          <tpl fld="9" item="3"/>
        </tpls>
      </m>
      <m>
        <tpls c="3">
          <tpl fld="7" item="1147"/>
          <tpl fld="6" item="3"/>
          <tpl hier="236" item="0"/>
        </tpls>
      </m>
      <n v="667" in="1">
        <tpls c="6">
          <tpl fld="11" item="0"/>
          <tpl fld="5" item="3"/>
          <tpl fld="6" item="1"/>
          <tpl hier="236" item="0"/>
          <tpl fld="4" item="1"/>
          <tpl fld="9" item="4"/>
        </tpls>
      </n>
      <m>
        <tpls c="6">
          <tpl fld="11" item="0"/>
          <tpl fld="5" item="2"/>
          <tpl fld="6" item="1"/>
          <tpl hier="236" item="0"/>
          <tpl fld="4" item="7"/>
          <tpl fld="10" item="5"/>
        </tpls>
      </m>
      <m>
        <tpls c="6">
          <tpl fld="11" item="0"/>
          <tpl fld="5" item="0"/>
          <tpl fld="6" item="2"/>
          <tpl hier="236" item="0"/>
          <tpl fld="4" item="1"/>
          <tpl fld="9" item="0"/>
        </tpls>
      </m>
      <n v="13.317567567567568" in="2">
        <tpls c="6">
          <tpl fld="11" item="0"/>
          <tpl fld="2" item="1"/>
          <tpl fld="6" item="2"/>
          <tpl hier="236" item="0"/>
          <tpl fld="4" item="4"/>
          <tpl fld="10" item="2"/>
        </tpls>
      </n>
      <m>
        <tpls c="6">
          <tpl fld="11" item="0"/>
          <tpl fld="2" item="2"/>
          <tpl fld="6" item="2"/>
          <tpl hier="236" item="0"/>
          <tpl fld="4" item="3"/>
          <tpl fld="10" item="1"/>
        </tpls>
      </m>
      <n v="236" in="1">
        <tpls c="6">
          <tpl fld="11" item="0"/>
          <tpl fld="2" item="4"/>
          <tpl fld="6" item="1"/>
          <tpl hier="236" item="0"/>
          <tpl fld="4" item="4"/>
          <tpl fld="10" item="2"/>
        </tpls>
      </n>
      <n v="15.844527027027025" in="2">
        <tpls c="6">
          <tpl fld="3" item="3"/>
          <tpl fld="11" item="0"/>
          <tpl fld="6" item="2"/>
          <tpl hier="236" item="0"/>
          <tpl fld="4" item="4"/>
          <tpl fld="10" item="0"/>
        </tpls>
      </n>
      <n v="1131" in="1">
        <tpls c="6">
          <tpl fld="3" item="1"/>
          <tpl fld="11" item="0"/>
          <tpl fld="6" item="1"/>
          <tpl hier="236" item="0"/>
          <tpl fld="4" item="3"/>
          <tpl fld="10" item="2"/>
        </tpls>
      </n>
      <n v="801" in="1">
        <tpls c="6">
          <tpl fld="3" item="3"/>
          <tpl fld="11" item="0"/>
          <tpl fld="6" item="1"/>
          <tpl hier="236" item="0"/>
          <tpl fld="4" item="4"/>
          <tpl fld="10" item="7"/>
        </tpls>
      </n>
      <n v="10" in="1">
        <tpls c="6">
          <tpl fld="3" item="1"/>
          <tpl fld="11" item="0"/>
          <tpl fld="6" item="1"/>
          <tpl hier="236" item="0"/>
          <tpl fld="4" item="7"/>
          <tpl fld="10" item="5"/>
        </tpls>
      </n>
      <n v="11" in="1">
        <tpls c="4">
          <tpl fld="7" item="1224"/>
          <tpl fld="6" item="1"/>
          <tpl hier="236" item="0"/>
          <tpl fld="4" item="6"/>
        </tpls>
      </n>
      <n v="144" in="1">
        <tpls c="6">
          <tpl fld="11" item="0"/>
          <tpl fld="5" item="5"/>
          <tpl fld="6" item="1"/>
          <tpl hier="236" item="0"/>
          <tpl fld="4" item="1"/>
          <tpl fld="9" item="2"/>
        </tpls>
      </n>
      <n v="464" in="1">
        <tpls c="5">
          <tpl fld="11" item="0"/>
          <tpl fld="2" item="1"/>
          <tpl fld="6" item="1"/>
          <tpl hier="236" item="0"/>
          <tpl fld="4" item="0"/>
        </tpls>
      </n>
      <n v="4.8108108108108105" in="2">
        <tpls c="6">
          <tpl fld="3" item="3"/>
          <tpl fld="11" item="0"/>
          <tpl fld="6" item="2"/>
          <tpl hier="236" item="0"/>
          <tpl fld="4" item="6"/>
          <tpl fld="10" item="2"/>
        </tpls>
      </n>
      <n v="411" in="1">
        <tpls c="5">
          <tpl fld="3" item="4"/>
          <tpl fld="11" item="0"/>
          <tpl fld="6" item="1"/>
          <tpl hier="236" item="0"/>
          <tpl fld="4" item="2"/>
        </tpls>
      </n>
      <n v="15.064864864864864" in="2">
        <tpls c="5">
          <tpl fld="3" item="1"/>
          <tpl fld="11" item="0"/>
          <tpl fld="6" item="2"/>
          <tpl hier="236" item="0"/>
          <tpl fld="4" item="5"/>
        </tpls>
      </n>
      <n v="6.5" in="2">
        <tpls c="5">
          <tpl fld="11" item="0"/>
          <tpl fld="6" item="2"/>
          <tpl hier="236" item="0"/>
          <tpl fld="4" item="4"/>
          <tpl fld="10" item="4"/>
        </tpls>
      </n>
      <n v="517" in="1">
        <tpls c="6">
          <tpl fld="11" item="0"/>
          <tpl fld="6" item="1"/>
          <tpl fld="8" item="0"/>
          <tpl hier="236" item="0"/>
          <tpl fld="4" item="3"/>
          <tpl fld="10" item="7"/>
        </tpls>
      </n>
      <m>
        <tpls c="4">
          <tpl fld="7" item="466"/>
          <tpl fld="6" item="2"/>
          <tpl hier="236" item="0"/>
          <tpl fld="4" item="1"/>
        </tpls>
      </m>
      <m>
        <tpls c="4">
          <tpl fld="7" item="467"/>
          <tpl fld="6" item="2"/>
          <tpl hier="236" item="0"/>
          <tpl fld="4" item="1"/>
        </tpls>
      </m>
      <m>
        <tpls c="4">
          <tpl fld="7" item="468"/>
          <tpl fld="6" item="2"/>
          <tpl hier="236" item="0"/>
          <tpl fld="4" item="1"/>
        </tpls>
      </m>
      <m>
        <tpls c="4">
          <tpl fld="7" item="329"/>
          <tpl fld="6" item="2"/>
          <tpl hier="236" item="0"/>
          <tpl fld="4" item="1"/>
        </tpls>
      </m>
      <n v="1" in="1">
        <tpls c="4">
          <tpl fld="7" item="944"/>
          <tpl fld="6" item="1"/>
          <tpl hier="236" item="0"/>
          <tpl fld="4" item="6"/>
        </tpls>
      </n>
      <m>
        <tpls c="6">
          <tpl fld="11" item="0"/>
          <tpl fld="5" item="1"/>
          <tpl fld="6" item="2"/>
          <tpl hier="236" item="0"/>
          <tpl fld="4" item="7"/>
          <tpl fld="10" item="2"/>
        </tpls>
      </m>
      <n v="118" in="1">
        <tpls c="6">
          <tpl fld="11" item="0"/>
          <tpl fld="2" item="0"/>
          <tpl fld="6" item="1"/>
          <tpl hier="236" item="0"/>
          <tpl fld="4" item="7"/>
          <tpl fld="10" item="7"/>
        </tpls>
      </n>
      <n v="934" in="1">
        <tpls c="6">
          <tpl fld="3" item="4"/>
          <tpl fld="11" item="0"/>
          <tpl fld="6" item="1"/>
          <tpl hier="236" item="0"/>
          <tpl fld="4" item="6"/>
          <tpl fld="10" item="2"/>
        </tpls>
      </n>
      <m>
        <tpls c="6">
          <tpl fld="3" item="0"/>
          <tpl fld="11" item="0"/>
          <tpl fld="6" item="2"/>
          <tpl hier="236" item="0"/>
          <tpl fld="4" item="7"/>
          <tpl fld="10" item="7"/>
        </tpls>
      </m>
      <n v="12648" in="1">
        <tpls c="5">
          <tpl fld="11" item="0"/>
          <tpl fld="6" item="1"/>
          <tpl fld="8" item="0"/>
          <tpl hier="236" item="0"/>
          <tpl fld="1" item="0"/>
        </tpls>
      </n>
      <n v="1.4" in="2">
        <tpls c="6">
          <tpl fld="11" item="0"/>
          <tpl fld="6" item="2"/>
          <tpl fld="8" item="0"/>
          <tpl hier="236" item="0"/>
          <tpl fld="4" item="4"/>
          <tpl fld="10" item="2"/>
        </tpls>
      </n>
      <m>
        <tpls c="4">
          <tpl fld="7" item="936"/>
          <tpl fld="6" item="1"/>
          <tpl hier="236" item="0"/>
          <tpl fld="4" item="6"/>
        </tpls>
      </m>
      <n v="0.3" in="2">
        <tpls c="6">
          <tpl fld="11" item="0"/>
          <tpl fld="2" item="3"/>
          <tpl fld="6" item="2"/>
          <tpl hier="236" item="0"/>
          <tpl fld="4" item="1"/>
          <tpl fld="9" item="0"/>
        </tpls>
      </n>
      <n v="76" in="1">
        <tpls c="5">
          <tpl fld="11" item="0"/>
          <tpl fld="2" item="0"/>
          <tpl fld="6" item="1"/>
          <tpl hier="236" item="0"/>
          <tpl fld="4" item="5"/>
        </tpls>
      </n>
      <n v="19.157972972972974" in="2">
        <tpls c="6">
          <tpl fld="3" item="4"/>
          <tpl fld="11" item="0"/>
          <tpl fld="6" item="2"/>
          <tpl hier="236" item="0"/>
          <tpl fld="4" item="6"/>
          <tpl fld="10" item="2"/>
        </tpls>
      </n>
      <m>
        <tpls c="6">
          <tpl fld="3" item="2"/>
          <tpl fld="11" item="0"/>
          <tpl fld="6" item="2"/>
          <tpl hier="236" item="0"/>
          <tpl fld="4" item="7"/>
          <tpl fld="10" item="7"/>
        </tpls>
      </m>
      <n v="0.75" in="2">
        <tpls c="6">
          <tpl fld="3" item="1"/>
          <tpl fld="11" item="0"/>
          <tpl fld="6" item="2"/>
          <tpl hier="236" item="0"/>
          <tpl fld="4" item="7"/>
          <tpl fld="10" item="0"/>
        </tpls>
      </n>
      <n v="56" in="1">
        <tpls c="6">
          <tpl fld="11" item="0"/>
          <tpl fld="6" item="1"/>
          <tpl fld="8" item="0"/>
          <tpl hier="236" item="0"/>
          <tpl fld="4" item="1"/>
          <tpl fld="9" item="3"/>
        </tpls>
      </n>
      <n v="276" in="1">
        <tpls c="6">
          <tpl fld="11" item="0"/>
          <tpl fld="6" item="1"/>
          <tpl fld="8" item="0"/>
          <tpl hier="236" item="0"/>
          <tpl fld="4" item="6"/>
          <tpl fld="10" item="5"/>
        </tpls>
      </n>
      <n v="2291" in="1">
        <tpls c="6">
          <tpl fld="11" item="0"/>
          <tpl fld="6" item="1"/>
          <tpl fld="8" item="1"/>
          <tpl hier="236" item="0"/>
          <tpl fld="4" item="3"/>
          <tpl fld="10" item="7"/>
        </tpls>
      </n>
      <n v="3.25" in="2">
        <tpls c="6">
          <tpl fld="11" item="0"/>
          <tpl fld="6" item="2"/>
          <tpl fld="8" item="0"/>
          <tpl hier="236" item="0"/>
          <tpl fld="4" item="3"/>
          <tpl fld="10" item="7"/>
        </tpls>
      </n>
      <m>
        <tpls c="4">
          <tpl fld="7" item="110"/>
          <tpl fld="6" item="1"/>
          <tpl hier="236" item="0"/>
          <tpl fld="4" item="4"/>
        </tpls>
      </m>
      <m>
        <tpls c="4">
          <tpl fld="7" item="113"/>
          <tpl fld="6" item="2"/>
          <tpl hier="236" item="0"/>
          <tpl fld="4" item="6"/>
        </tpls>
      </m>
      <m>
        <tpls c="4">
          <tpl fld="7" item="468"/>
          <tpl fld="6" item="1"/>
          <tpl hier="236" item="0"/>
          <tpl fld="1" item="0"/>
        </tpls>
      </m>
      <m>
        <tpls c="4">
          <tpl fld="7" item="14"/>
          <tpl fld="6" item="1"/>
          <tpl hier="236" item="0"/>
          <tpl fld="4" item="4"/>
        </tpls>
      </m>
      <m>
        <tpls c="4">
          <tpl fld="7" item="238"/>
          <tpl fld="6" item="2"/>
          <tpl hier="236" item="0"/>
          <tpl fld="4" item="1"/>
        </tpls>
      </m>
      <n v="2305" in="1">
        <tpls c="6">
          <tpl fld="11" item="0"/>
          <tpl fld="2" item="1"/>
          <tpl fld="6" item="1"/>
          <tpl hier="236" item="0"/>
          <tpl fld="4" item="1"/>
          <tpl fld="9" item="4"/>
        </tpls>
      </n>
      <n v="0.3" in="2">
        <tpls c="6">
          <tpl fld="3" item="0"/>
          <tpl fld="11" item="0"/>
          <tpl fld="6" item="2"/>
          <tpl hier="236" item="0"/>
          <tpl fld="4" item="3"/>
          <tpl fld="10" item="5"/>
        </tpls>
      </n>
      <n v="23.921621621621622" in="2">
        <tpls c="6">
          <tpl fld="11" item="0"/>
          <tpl fld="6" item="2"/>
          <tpl fld="8" item="1"/>
          <tpl hier="236" item="0"/>
          <tpl fld="4" item="3"/>
          <tpl fld="10" item="4"/>
        </tpls>
      </n>
      <m>
        <tpls c="4">
          <tpl fld="7" item="396"/>
          <tpl fld="6" item="1"/>
          <tpl hier="236" item="0"/>
          <tpl fld="4" item="4"/>
        </tpls>
      </m>
      <m>
        <tpls c="4">
          <tpl fld="7" item="225"/>
          <tpl fld="6" item="1"/>
          <tpl hier="236" item="0"/>
          <tpl fld="1" item="0"/>
        </tpls>
      </m>
      <m>
        <tpls c="4">
          <tpl fld="7" item="401"/>
          <tpl fld="6" item="1"/>
          <tpl hier="236" item="0"/>
          <tpl fld="4" item="4"/>
        </tpls>
      </m>
      <n v="51" in="1">
        <tpls c="6">
          <tpl fld="11" item="0"/>
          <tpl fld="2" item="4"/>
          <tpl fld="6" item="1"/>
          <tpl hier="236" item="0"/>
          <tpl fld="4" item="1"/>
          <tpl fld="9" item="2"/>
        </tpls>
      </n>
      <m>
        <tpls c="6">
          <tpl fld="11" item="0"/>
          <tpl fld="2" item="0"/>
          <tpl fld="6" item="2"/>
          <tpl hier="236" item="0"/>
          <tpl fld="4" item="7"/>
          <tpl fld="10" item="6"/>
        </tpls>
      </m>
      <n v="9" in="1">
        <tpls c="6">
          <tpl fld="11" item="0"/>
          <tpl fld="2" item="0"/>
          <tpl fld="6" item="1"/>
          <tpl hier="236" item="0"/>
          <tpl fld="4" item="3"/>
          <tpl fld="10" item="5"/>
        </tpls>
      </n>
      <n v="50.755405405405412" in="2">
        <tpls c="6">
          <tpl fld="3" item="2"/>
          <tpl fld="11" item="0"/>
          <tpl fld="6" item="2"/>
          <tpl hier="236" item="0"/>
          <tpl fld="4" item="4"/>
          <tpl fld="10" item="6"/>
        </tpls>
      </n>
      <n v="0" in="1">
        <tpls c="6">
          <tpl fld="11" item="0"/>
          <tpl fld="5" item="4"/>
          <tpl fld="6" item="1"/>
          <tpl hier="236" item="0"/>
          <tpl fld="4" item="7"/>
          <tpl fld="10" item="8"/>
        </tpls>
      </n>
      <n v="0.8" in="2">
        <tpls c="6">
          <tpl fld="11" item="0"/>
          <tpl fld="2" item="1"/>
          <tpl fld="6" item="2"/>
          <tpl hier="236" item="0"/>
          <tpl fld="4" item="3"/>
          <tpl fld="10" item="1"/>
        </tpls>
      </n>
      <m>
        <tpls c="6">
          <tpl fld="3" item="3"/>
          <tpl fld="11" item="0"/>
          <tpl fld="6" item="2"/>
          <tpl hier="236" item="0"/>
          <tpl fld="4" item="7"/>
          <tpl fld="10" item="6"/>
        </tpls>
      </m>
      <m>
        <tpls c="4">
          <tpl fld="7" item="1045"/>
          <tpl fld="6" item="1"/>
          <tpl hier="236" item="0"/>
          <tpl fld="4" item="6"/>
        </tpls>
      </m>
      <n v="6" in="1">
        <tpls c="6">
          <tpl fld="3" item="0"/>
          <tpl fld="11" item="0"/>
          <tpl fld="6" item="1"/>
          <tpl hier="236" item="0"/>
          <tpl fld="4" item="6"/>
          <tpl fld="10" item="2"/>
        </tpls>
      </n>
      <n v="2558" in="1">
        <tpls c="5">
          <tpl fld="11" item="0"/>
          <tpl fld="6" item="1"/>
          <tpl hier="236" item="0"/>
          <tpl fld="4" item="4"/>
          <tpl fld="10" item="2"/>
        </tpls>
      </n>
      <m>
        <tpls c="4">
          <tpl fld="7" item="221"/>
          <tpl fld="6" item="1"/>
          <tpl hier="236" item="0"/>
          <tpl fld="4" item="4"/>
        </tpls>
      </m>
      <m>
        <tpls c="3">
          <tpl fld="7" item="1161"/>
          <tpl fld="6" item="3"/>
          <tpl hier="236" item="0"/>
        </tpls>
      </m>
      <m>
        <tpls c="6">
          <tpl fld="3" item="2"/>
          <tpl fld="11" item="0"/>
          <tpl fld="6" item="1"/>
          <tpl hier="236" item="0"/>
          <tpl fld="4" item="3"/>
          <tpl fld="10" item="6"/>
        </tpls>
      </m>
      <n v="1756" in="1">
        <tpls c="5">
          <tpl fld="11" item="0"/>
          <tpl fld="6" item="1"/>
          <tpl hier="236" item="0"/>
          <tpl fld="4" item="6"/>
          <tpl fld="10" item="0"/>
        </tpls>
      </n>
      <m>
        <tpls c="6">
          <tpl fld="11" item="0"/>
          <tpl fld="2" item="2"/>
          <tpl fld="6" item="2"/>
          <tpl hier="236" item="0"/>
          <tpl fld="4" item="7"/>
          <tpl fld="10" item="4"/>
        </tpls>
      </m>
      <n v="9.6797297297297291" in="2">
        <tpls c="6">
          <tpl fld="3" item="1"/>
          <tpl fld="11" item="0"/>
          <tpl fld="6" item="2"/>
          <tpl hier="236" item="0"/>
          <tpl fld="4" item="6"/>
          <tpl fld="10" item="4"/>
        </tpls>
      </n>
      <n v="131" in="1">
        <tpls c="6">
          <tpl fld="11" item="0"/>
          <tpl fld="6" item="1"/>
          <tpl fld="8" item="0"/>
          <tpl hier="236" item="0"/>
          <tpl fld="4" item="4"/>
          <tpl fld="10" item="4"/>
        </tpls>
      </n>
      <n v="4166" in="1">
        <tpls c="6">
          <tpl fld="11" item="0"/>
          <tpl fld="6" item="1"/>
          <tpl fld="8" item="1"/>
          <tpl hier="236" item="0"/>
          <tpl fld="4" item="3"/>
          <tpl fld="10" item="8"/>
        </tpls>
      </n>
      <m>
        <tpls c="4">
          <tpl fld="7" item="108"/>
          <tpl fld="6" item="1"/>
          <tpl hier="236" item="0"/>
          <tpl fld="4" item="4"/>
        </tpls>
      </m>
      <m>
        <tpls c="4">
          <tpl fld="7" item="112"/>
          <tpl fld="6" item="2"/>
          <tpl hier="236" item="0"/>
          <tpl fld="4" item="6"/>
        </tpls>
      </m>
      <m>
        <tpls c="4">
          <tpl fld="7" item="225"/>
          <tpl fld="6" item="1"/>
          <tpl hier="236" item="0"/>
          <tpl fld="4" item="5"/>
        </tpls>
      </m>
      <m>
        <tpls c="4">
          <tpl fld="7" item="233"/>
          <tpl fld="6" item="2"/>
          <tpl hier="236" item="0"/>
          <tpl fld="4" item="1"/>
        </tpls>
      </m>
      <m>
        <tpls c="3">
          <tpl fld="7" item="1210"/>
          <tpl fld="6" item="3"/>
          <tpl hier="236" item="0"/>
        </tpls>
      </m>
      <m>
        <tpls c="6">
          <tpl fld="3" item="2"/>
          <tpl fld="11" item="0"/>
          <tpl fld="6" item="2"/>
          <tpl hier="236" item="0"/>
          <tpl fld="4" item="7"/>
          <tpl fld="10" item="8"/>
        </tpls>
      </m>
      <n v="42.912770270270272" in="2">
        <tpls c="5">
          <tpl fld="11" item="0"/>
          <tpl fld="6" item="2"/>
          <tpl fld="8" item="0"/>
          <tpl hier="236" item="0"/>
          <tpl fld="4" item="0"/>
        </tpls>
      </n>
      <m>
        <tpls c="4">
          <tpl fld="7" item="223"/>
          <tpl fld="6" item="1"/>
          <tpl hier="236" item="0"/>
          <tpl fld="1" item="0"/>
        </tpls>
      </m>
      <m>
        <tpls c="4">
          <tpl fld="7" item="751"/>
          <tpl fld="6" item="1"/>
          <tpl hier="236" item="0"/>
          <tpl fld="4" item="4"/>
        </tpls>
      </m>
      <m>
        <tpls c="3">
          <tpl fld="7" item="29"/>
          <tpl fld="6" item="3"/>
          <tpl hier="236" item="0"/>
        </tpls>
      </m>
      <m>
        <tpls c="4">
          <tpl fld="7" item="140"/>
          <tpl fld="6" item="2"/>
          <tpl hier="236" item="0"/>
          <tpl fld="4" item="1"/>
        </tpls>
      </m>
      <m>
        <tpls c="4">
          <tpl fld="7" item="670"/>
          <tpl fld="6" item="1"/>
          <tpl hier="236" item="0"/>
          <tpl fld="4" item="4"/>
        </tpls>
      </m>
      <m>
        <tpls c="4">
          <tpl fld="7" item="405"/>
          <tpl fld="6" item="2"/>
          <tpl hier="236" item="0"/>
          <tpl fld="4" item="4"/>
        </tpls>
      </m>
      <m>
        <tpls c="4">
          <tpl fld="7" item="258"/>
          <tpl fld="6" item="1"/>
          <tpl hier="236" item="0"/>
          <tpl fld="4" item="6"/>
        </tpls>
      </m>
      <m>
        <tpls c="3">
          <tpl fld="7" item="44"/>
          <tpl fld="6" item="3"/>
          <tpl hier="236" item="0"/>
        </tpls>
      </m>
      <m>
        <tpls c="3">
          <tpl fld="7" item="46"/>
          <tpl fld="6" item="3"/>
          <tpl hier="236" item="0"/>
        </tpls>
      </m>
      <m>
        <tpls c="3">
          <tpl fld="7" item="48"/>
          <tpl fld="6" item="3"/>
          <tpl hier="236" item="0"/>
        </tpls>
      </m>
      <m>
        <tpls c="3">
          <tpl fld="7" item="50"/>
          <tpl fld="6" item="3"/>
          <tpl hier="236" item="0"/>
        </tpls>
      </m>
      <m>
        <tpls c="3">
          <tpl fld="7" item="52"/>
          <tpl fld="6" item="3"/>
          <tpl hier="236" item="0"/>
        </tpls>
      </m>
      <m>
        <tpls c="3">
          <tpl fld="7" item="54"/>
          <tpl fld="6" item="3"/>
          <tpl hier="236" item="0"/>
        </tpls>
      </m>
      <m>
        <tpls c="3">
          <tpl fld="7" item="56"/>
          <tpl fld="6" item="3"/>
          <tpl hier="236" item="0"/>
        </tpls>
      </m>
      <m>
        <tpls c="4">
          <tpl fld="7" item="58"/>
          <tpl fld="6" item="2"/>
          <tpl hier="236" item="0"/>
          <tpl fld="4" item="6"/>
        </tpls>
      </m>
      <m>
        <tpls c="4">
          <tpl fld="7" item="482"/>
          <tpl fld="6" item="2"/>
          <tpl hier="236" item="0"/>
          <tpl fld="4" item="4"/>
        </tpls>
      </m>
      <m>
        <tpls c="4">
          <tpl fld="7" item="284"/>
          <tpl fld="6" item="1"/>
          <tpl hier="236" item="0"/>
          <tpl fld="4" item="6"/>
        </tpls>
      </m>
      <m>
        <tpls c="3">
          <tpl fld="7" item="71"/>
          <tpl fld="6" item="3"/>
          <tpl hier="236" item="0"/>
        </tpls>
      </m>
      <m>
        <tpls c="4">
          <tpl fld="7" item="182"/>
          <tpl fld="6" item="2"/>
          <tpl hier="236" item="0"/>
          <tpl fld="4" item="1"/>
        </tpls>
      </m>
      <m>
        <tpls c="4">
          <tpl fld="7" item="344"/>
          <tpl fld="6" item="1"/>
          <tpl hier="236" item="0"/>
          <tpl fld="4" item="4"/>
        </tpls>
      </m>
      <m>
        <tpls c="4">
          <tpl fld="7" item="486"/>
          <tpl fld="6" item="2"/>
          <tpl hier="236" item="0"/>
          <tpl fld="4" item="4"/>
        </tpls>
      </m>
      <m>
        <tpls c="4">
          <tpl fld="7" item="300"/>
          <tpl fld="6" item="1"/>
          <tpl hier="236" item="0"/>
          <tpl fld="4" item="6"/>
        </tpls>
      </m>
      <m>
        <tpls c="4">
          <tpl fld="7" item="303"/>
          <tpl fld="6" item="2"/>
          <tpl hier="236" item="0"/>
          <tpl fld="4" item="1"/>
        </tpls>
      </m>
      <m>
        <tpls c="4">
          <tpl fld="7" item="90"/>
          <tpl fld="6" item="1"/>
          <tpl hier="236" item="0"/>
          <tpl fld="4" item="4"/>
        </tpls>
      </m>
      <m>
        <tpls c="4">
          <tpl fld="7" item="93"/>
          <tpl fld="6" item="2"/>
          <tpl hier="236" item="0"/>
          <tpl fld="4" item="4"/>
        </tpls>
      </m>
      <m>
        <tpls c="4">
          <tpl fld="7" item="204"/>
          <tpl fld="6" item="1"/>
          <tpl hier="236" item="0"/>
          <tpl fld="4" item="6"/>
        </tpls>
      </m>
      <n v="111" in="1">
        <tpls c="6">
          <tpl fld="11" item="0"/>
          <tpl fld="5" item="2"/>
          <tpl fld="6" item="1"/>
          <tpl hier="236" item="0"/>
          <tpl fld="4" item="4"/>
          <tpl fld="10" item="8"/>
        </tpls>
      </n>
      <m>
        <tpls c="6">
          <tpl fld="3" item="0"/>
          <tpl fld="11" item="0"/>
          <tpl fld="6" item="2"/>
          <tpl hier="236" item="0"/>
          <tpl fld="4" item="7"/>
          <tpl fld="10" item="4"/>
        </tpls>
      </m>
      <n v="2371" in="1">
        <tpls c="5">
          <tpl fld="11" item="0"/>
          <tpl fld="6" item="1"/>
          <tpl hier="236" item="0"/>
          <tpl fld="4" item="6"/>
          <tpl fld="10" item="2"/>
        </tpls>
      </n>
      <m>
        <tpls c="4">
          <tpl fld="7" item="109"/>
          <tpl fld="6" item="1"/>
          <tpl hier="236" item="0"/>
          <tpl fld="1" item="0"/>
        </tpls>
      </m>
      <m>
        <tpls c="4">
          <tpl fld="7" item="224"/>
          <tpl fld="6" item="2"/>
          <tpl hier="236" item="0"/>
          <tpl fld="4" item="1"/>
        </tpls>
      </m>
      <m>
        <tpls c="4">
          <tpl fld="7" item="236"/>
          <tpl fld="6" item="1"/>
          <tpl hier="236" item="0"/>
          <tpl fld="4" item="4"/>
        </tpls>
      </m>
      <m>
        <tpls c="3">
          <tpl fld="7" item="136"/>
          <tpl fld="6" item="3"/>
          <tpl hier="236" item="0"/>
        </tpls>
      </m>
      <m>
        <tpls c="4">
          <tpl fld="7" item="590"/>
          <tpl fld="6" item="2"/>
          <tpl hier="236" item="0"/>
          <tpl fld="4" item="1"/>
        </tpls>
      </m>
      <m>
        <tpls c="4">
          <tpl fld="7" item="251"/>
          <tpl fld="6" item="1"/>
          <tpl hier="236" item="0"/>
          <tpl fld="4" item="4"/>
        </tpls>
      </m>
      <m>
        <tpls c="4">
          <tpl fld="7" item="254"/>
          <tpl fld="6" item="2"/>
          <tpl hier="236" item="0"/>
          <tpl fld="4" item="4"/>
        </tpls>
      </m>
      <m>
        <tpls c="4">
          <tpl fld="7" item="41"/>
          <tpl fld="6" item="1"/>
          <tpl hier="236" item="0"/>
          <tpl fld="4" item="6"/>
        </tpls>
      </m>
      <m>
        <tpls c="4">
          <tpl fld="7" item="1185"/>
          <tpl fld="6" item="1"/>
          <tpl hier="236" item="0"/>
          <tpl fld="4" item="6"/>
        </tpls>
      </m>
      <m>
        <tpls c="4">
          <tpl fld="7" item="336"/>
          <tpl fld="6" item="1"/>
          <tpl hier="236" item="0"/>
          <tpl fld="4" item="6"/>
        </tpls>
      </m>
      <n v="939" in="1">
        <tpls c="6">
          <tpl fld="11" item="0"/>
          <tpl fld="5" item="3"/>
          <tpl fld="6" item="1"/>
          <tpl hier="236" item="0"/>
          <tpl fld="4" item="6"/>
          <tpl fld="10" item="8"/>
        </tpls>
      </n>
      <m>
        <tpls c="6">
          <tpl fld="11" item="0"/>
          <tpl fld="5" item="2"/>
          <tpl fld="6" item="1"/>
          <tpl hier="236" item="0"/>
          <tpl fld="4" item="3"/>
          <tpl fld="10" item="1"/>
        </tpls>
      </m>
      <n v="1814" in="1">
        <tpls c="5">
          <tpl fld="11" item="0"/>
          <tpl fld="5" item="2"/>
          <tpl fld="6" item="1"/>
          <tpl hier="236" item="0"/>
          <tpl fld="1" item="0"/>
        </tpls>
      </n>
      <n v="81" in="1">
        <tpls c="5">
          <tpl fld="3" item="2"/>
          <tpl fld="11" item="0"/>
          <tpl fld="6" item="1"/>
          <tpl hier="236" item="0"/>
          <tpl fld="4" item="2"/>
        </tpls>
      </n>
      <n v="0" in="1">
        <tpls c="6">
          <tpl fld="11" item="0"/>
          <tpl fld="5" item="4"/>
          <tpl fld="6" item="1"/>
          <tpl hier="236" item="0"/>
          <tpl fld="4" item="3"/>
          <tpl fld="10" item="7"/>
        </tpls>
      </n>
      <n v="0.44999999999999996" in="2">
        <tpls c="6">
          <tpl fld="11" item="0"/>
          <tpl fld="2" item="2"/>
          <tpl fld="6" item="2"/>
          <tpl hier="236" item="0"/>
          <tpl fld="4" item="4"/>
          <tpl fld="10" item="1"/>
        </tpls>
      </n>
      <n v="48" in="1">
        <tpls c="6">
          <tpl fld="11" item="0"/>
          <tpl fld="2" item="2"/>
          <tpl fld="6" item="1"/>
          <tpl hier="236" item="0"/>
          <tpl fld="4" item="6"/>
          <tpl fld="10" item="5"/>
        </tpls>
      </n>
      <m>
        <tpls c="6">
          <tpl fld="3" item="2"/>
          <tpl fld="11" item="0"/>
          <tpl fld="6" item="2"/>
          <tpl hier="236" item="0"/>
          <tpl fld="4" item="3"/>
          <tpl fld="10" item="7"/>
        </tpls>
      </m>
      <n v="3" in="2">
        <tpls c="6">
          <tpl fld="11" item="0"/>
          <tpl fld="2" item="3"/>
          <tpl fld="6" item="2"/>
          <tpl hier="236" item="0"/>
          <tpl fld="4" item="3"/>
          <tpl fld="10" item="3"/>
        </tpls>
      </n>
      <n v="4.25" in="2">
        <tpls c="6">
          <tpl fld="3" item="1"/>
          <tpl fld="11" item="0"/>
          <tpl fld="6" item="2"/>
          <tpl hier="236" item="0"/>
          <tpl fld="4" item="3"/>
          <tpl fld="10" item="7"/>
        </tpls>
      </n>
      <m>
        <tpls c="6">
          <tpl fld="11" item="0"/>
          <tpl fld="6" item="2"/>
          <tpl fld="8" item="0"/>
          <tpl hier="236" item="0"/>
          <tpl fld="4" item="6"/>
          <tpl fld="10" item="1"/>
        </tpls>
      </m>
      <m>
        <tpls c="4">
          <tpl fld="7" item="122"/>
          <tpl fld="6" item="1"/>
          <tpl hier="236" item="0"/>
          <tpl fld="4" item="4"/>
        </tpls>
      </m>
      <n v="1382" in="1">
        <tpls c="6">
          <tpl fld="11" item="0"/>
          <tpl fld="2" item="1"/>
          <tpl fld="6" item="1"/>
          <tpl hier="236" item="0"/>
          <tpl fld="4" item="3"/>
          <tpl fld="10" item="8"/>
        </tpls>
      </n>
      <m>
        <tpls c="6">
          <tpl fld="3" item="1"/>
          <tpl fld="11" item="0"/>
          <tpl fld="6" item="2"/>
          <tpl hier="236" item="0"/>
          <tpl fld="4" item="6"/>
          <tpl fld="10" item="1"/>
        </tpls>
      </m>
      <m>
        <tpls c="6">
          <tpl fld="11" item="0"/>
          <tpl fld="5" item="1"/>
          <tpl fld="6" item="2"/>
          <tpl hier="236" item="0"/>
          <tpl fld="4" item="3"/>
          <tpl fld="10" item="4"/>
        </tpls>
      </m>
      <m>
        <tpls c="6">
          <tpl fld="3" item="4"/>
          <tpl fld="11" item="0"/>
          <tpl fld="6" item="2"/>
          <tpl hier="236" item="0"/>
          <tpl fld="4" item="3"/>
          <tpl fld="10" item="5"/>
        </tpls>
      </m>
      <n v="95.143581081081081" in="2">
        <tpls c="6">
          <tpl fld="11" item="0"/>
          <tpl fld="6" item="2"/>
          <tpl fld="8" item="0"/>
          <tpl hier="236" item="0"/>
          <tpl fld="4" item="4"/>
          <tpl fld="10" item="0"/>
        </tpls>
      </n>
      <n v="5.0594594594594593" in="2">
        <tpls c="6">
          <tpl fld="11" item="0"/>
          <tpl fld="6" item="2"/>
          <tpl fld="8" item="0"/>
          <tpl hier="236" item="0"/>
          <tpl fld="4" item="6"/>
          <tpl fld="10" item="4"/>
        </tpls>
      </n>
      <n v="832" in="1">
        <tpls c="5">
          <tpl fld="11" item="0"/>
          <tpl fld="6" item="1"/>
          <tpl fld="8" item="1"/>
          <tpl hier="236" item="0"/>
          <tpl fld="4" item="0"/>
        </tpls>
      </n>
      <m>
        <tpls c="4">
          <tpl fld="7" item="396"/>
          <tpl fld="6" item="1"/>
          <tpl hier="236" item="0"/>
          <tpl fld="1" item="0"/>
        </tpls>
      </m>
      <m>
        <tpls c="4">
          <tpl fld="7" item="223"/>
          <tpl fld="6" item="1"/>
          <tpl hier="236" item="0"/>
          <tpl fld="4" item="5"/>
        </tpls>
      </m>
      <m>
        <tpls c="4">
          <tpl fld="7" item="469"/>
          <tpl fld="6" item="1"/>
          <tpl hier="236" item="0"/>
          <tpl fld="4" item="4"/>
        </tpls>
      </m>
      <m>
        <tpls c="4">
          <tpl fld="7" item="239"/>
          <tpl fld="6" item="2"/>
          <tpl hier="236" item="0"/>
          <tpl fld="4" item="1"/>
        </tpls>
      </m>
      <n v="64" in="1">
        <tpls c="6">
          <tpl fld="3" item="2"/>
          <tpl fld="11" item="0"/>
          <tpl fld="6" item="1"/>
          <tpl hier="236" item="0"/>
          <tpl fld="4" item="6"/>
          <tpl fld="10" item="3"/>
        </tpls>
      </n>
      <n v="827" in="1">
        <tpls c="6">
          <tpl fld="11" item="0"/>
          <tpl fld="6" item="1"/>
          <tpl fld="8" item="1"/>
          <tpl hier="236" item="0"/>
          <tpl fld="4" item="6"/>
          <tpl fld="10" item="4"/>
        </tpls>
      </n>
      <m>
        <tpls c="4">
          <tpl fld="7" item="111"/>
          <tpl fld="6" item="2"/>
          <tpl hier="236" item="0"/>
          <tpl fld="4" item="1"/>
        </tpls>
      </m>
      <m>
        <tpls c="4">
          <tpl fld="7" item="328"/>
          <tpl fld="6" item="2"/>
          <tpl hier="236" item="0"/>
          <tpl fld="4" item="1"/>
        </tpls>
      </m>
      <m>
        <tpls c="4">
          <tpl fld="7" item="1082"/>
          <tpl fld="6" item="2"/>
          <tpl hier="236" item="0"/>
          <tpl fld="4" item="4"/>
        </tpls>
      </m>
      <m>
        <tpls c="4">
          <tpl fld="7" item="247"/>
          <tpl fld="6" item="1"/>
          <tpl hier="236" item="0"/>
          <tpl fld="4" item="6"/>
        </tpls>
      </m>
      <m>
        <tpls c="3">
          <tpl fld="7" item="34"/>
          <tpl fld="6" item="3"/>
          <tpl hier="236" item="0"/>
        </tpls>
      </m>
      <m>
        <tpls c="4">
          <tpl fld="7" item="145"/>
          <tpl fld="6" item="2"/>
          <tpl hier="236" item="0"/>
          <tpl fld="4" item="1"/>
        </tpls>
      </m>
      <m>
        <tpls c="4">
          <tpl fld="7" item="476"/>
          <tpl fld="6" item="1"/>
          <tpl hier="236" item="0"/>
          <tpl fld="4" item="4"/>
        </tpls>
      </m>
      <m>
        <tpls c="4">
          <tpl fld="7" item="43"/>
          <tpl fld="6" item="1"/>
          <tpl hier="236" item="0"/>
          <tpl fld="1" item="0"/>
        </tpls>
      </m>
      <m>
        <tpls c="4">
          <tpl fld="7" item="45"/>
          <tpl fld="6" item="1"/>
          <tpl hier="236" item="0"/>
          <tpl fld="1" item="0"/>
        </tpls>
      </m>
      <m>
        <tpls c="4">
          <tpl fld="7" item="47"/>
          <tpl fld="6" item="1"/>
          <tpl hier="236" item="0"/>
          <tpl fld="1" item="0"/>
        </tpls>
      </m>
      <m>
        <tpls c="4">
          <tpl fld="7" item="49"/>
          <tpl fld="6" item="1"/>
          <tpl hier="236" item="0"/>
          <tpl fld="1" item="0"/>
        </tpls>
      </m>
      <m>
        <tpls c="4">
          <tpl fld="7" item="51"/>
          <tpl fld="6" item="1"/>
          <tpl hier="236" item="0"/>
          <tpl fld="1" item="0"/>
        </tpls>
      </m>
      <m>
        <tpls c="4">
          <tpl fld="7" item="53"/>
          <tpl fld="6" item="1"/>
          <tpl hier="236" item="0"/>
          <tpl fld="1" item="0"/>
        </tpls>
      </m>
      <m>
        <tpls c="4">
          <tpl fld="7" item="55"/>
          <tpl fld="6" item="1"/>
          <tpl hier="236" item="0"/>
          <tpl fld="1" item="0"/>
        </tpls>
      </m>
      <m>
        <tpls c="4">
          <tpl fld="7" item="57"/>
          <tpl fld="6" item="1"/>
          <tpl hier="236" item="0"/>
          <tpl fld="1" item="0"/>
        </tpls>
      </m>
      <m>
        <tpls c="4">
          <tpl fld="7" item="411"/>
          <tpl fld="6" item="2"/>
          <tpl hier="236" item="0"/>
          <tpl fld="4" item="1"/>
        </tpls>
      </m>
      <m>
        <tpls c="4">
          <tpl fld="7" item="412"/>
          <tpl fld="6" item="1"/>
          <tpl hier="236" item="0"/>
          <tpl fld="4" item="4"/>
        </tpls>
      </m>
      <m>
        <tpls c="4">
          <tpl fld="7" item="342"/>
          <tpl fld="6" item="2"/>
          <tpl hier="236" item="0"/>
          <tpl fld="4" item="4"/>
        </tpls>
      </m>
      <m>
        <tpls c="4">
          <tpl fld="7" item="289"/>
          <tpl fld="6" item="1"/>
          <tpl hier="236" item="0"/>
          <tpl fld="4" item="6"/>
        </tpls>
      </m>
      <m>
        <tpls c="3">
          <tpl fld="7" item="76"/>
          <tpl fld="6" item="3"/>
          <tpl hier="236" item="0"/>
        </tpls>
      </m>
      <m>
        <tpls c="4">
          <tpl fld="7" item="187"/>
          <tpl fld="6" item="2"/>
          <tpl hier="236" item="0"/>
          <tpl fld="4" item="1"/>
        </tpls>
      </m>
      <m>
        <tpls c="4">
          <tpl fld="7" item="416"/>
          <tpl fld="6" item="1"/>
          <tpl hier="236" item="0"/>
          <tpl fld="4" item="4"/>
        </tpls>
      </m>
      <m>
        <tpls c="4">
          <tpl fld="7" item="193"/>
          <tpl fld="6" item="1"/>
          <tpl hier="236" item="0"/>
          <tpl fld="4" item="6"/>
        </tpls>
      </m>
      <m>
        <tpls c="3">
          <tpl fld="7" item="488"/>
          <tpl fld="6" item="3"/>
          <tpl hier="236" item="0"/>
        </tpls>
      </m>
      <m>
        <tpls c="4">
          <tpl fld="7" item="308"/>
          <tpl fld="6" item="2"/>
          <tpl hier="236" item="0"/>
          <tpl fld="4" item="1"/>
        </tpls>
      </m>
      <m>
        <tpls c="4">
          <tpl fld="7" item="95"/>
          <tpl fld="6" item="1"/>
          <tpl hier="236" item="0"/>
          <tpl fld="4" item="4"/>
        </tpls>
      </m>
      <m>
        <tpls c="4">
          <tpl fld="7" item="98"/>
          <tpl fld="6" item="2"/>
          <tpl hier="236" item="0"/>
          <tpl fld="4" item="4"/>
        </tpls>
      </m>
      <n v="19160" in="1">
        <tpls c="5">
          <tpl fld="3" item="1"/>
          <tpl fld="11" item="0"/>
          <tpl fld="6" item="1"/>
          <tpl hier="236" item="0"/>
          <tpl fld="1" item="0"/>
        </tpls>
      </n>
      <n v="7.5500000000000007" in="2">
        <tpls c="5">
          <tpl fld="11" item="0"/>
          <tpl fld="6" item="2"/>
          <tpl hier="236" item="0"/>
          <tpl fld="4" item="1"/>
          <tpl fld="9" item="0"/>
        </tpls>
      </n>
      <m>
        <tpls c="6">
          <tpl fld="11" item="0"/>
          <tpl fld="6" item="2"/>
          <tpl fld="8" item="0"/>
          <tpl hier="236" item="0"/>
          <tpl fld="4" item="7"/>
          <tpl fld="10" item="6"/>
        </tpls>
      </m>
      <m>
        <tpls c="4">
          <tpl fld="7" item="5"/>
          <tpl fld="6" item="1"/>
          <tpl hier="236" item="0"/>
          <tpl fld="4" item="4"/>
        </tpls>
      </m>
      <m>
        <tpls c="4">
          <tpl fld="7" item="229"/>
          <tpl fld="6" item="2"/>
          <tpl hier="236" item="0"/>
          <tpl fld="4" item="1"/>
        </tpls>
      </m>
      <m>
        <tpls c="4">
          <tpl fld="7" item="243"/>
          <tpl fld="6" item="2"/>
          <tpl hier="236" item="0"/>
          <tpl fld="4" item="1"/>
        </tpls>
      </m>
      <m>
        <tpls c="4">
          <tpl fld="7" item="30"/>
          <tpl fld="6" item="1"/>
          <tpl hier="236" item="0"/>
          <tpl fld="4" item="6"/>
        </tpls>
      </m>
      <m>
        <tpls c="3">
          <tpl fld="7" item="141"/>
          <tpl fld="6" item="3"/>
          <tpl hier="236" item="0"/>
        </tpls>
      </m>
      <m>
        <tpls c="4">
          <tpl fld="7" item="475"/>
          <tpl fld="6" item="2"/>
          <tpl hier="236" item="0"/>
          <tpl fld="4" item="1"/>
        </tpls>
      </m>
      <m>
        <tpls c="4">
          <tpl fld="7" item="256"/>
          <tpl fld="6" item="1"/>
          <tpl hier="236" item="0"/>
          <tpl fld="4" item="4"/>
        </tpls>
      </m>
      <m>
        <tpls c="4">
          <tpl fld="7" item="406"/>
          <tpl fld="6" item="2"/>
          <tpl hier="236" item="0"/>
          <tpl fld="4" item="6"/>
        </tpls>
      </m>
      <m>
        <tpls c="4">
          <tpl fld="7" item="477"/>
          <tpl fld="6" item="2"/>
          <tpl hier="236" item="0"/>
          <tpl fld="4" item="6"/>
        </tpls>
      </m>
      <m>
        <tpls c="4">
          <tpl fld="7" item="1233"/>
          <tpl fld="6" item="1"/>
          <tpl hier="236" item="0"/>
          <tpl fld="4" item="6"/>
        </tpls>
      </m>
      <m>
        <tpls c="6">
          <tpl fld="11" item="0"/>
          <tpl fld="2" item="0"/>
          <tpl fld="6" item="2"/>
          <tpl hier="236" item="0"/>
          <tpl fld="4" item="6"/>
          <tpl fld="10" item="3"/>
        </tpls>
      </m>
      <n v="19" in="1">
        <tpls c="6">
          <tpl fld="11" item="0"/>
          <tpl fld="2" item="0"/>
          <tpl fld="6" item="1"/>
          <tpl hier="236" item="0"/>
          <tpl fld="4" item="6"/>
          <tpl fld="10" item="1"/>
        </tpls>
      </n>
      <n v="3" in="1">
        <tpls c="6">
          <tpl fld="3" item="2"/>
          <tpl fld="11" item="0"/>
          <tpl fld="6" item="1"/>
          <tpl hier="236" item="0"/>
          <tpl fld="4" item="7"/>
          <tpl fld="10" item="8"/>
        </tpls>
      </n>
      <m>
        <tpls c="6">
          <tpl fld="11" item="0"/>
          <tpl fld="5" item="4"/>
          <tpl fld="6" item="2"/>
          <tpl hier="236" item="0"/>
          <tpl fld="4" item="3"/>
          <tpl fld="10" item="2"/>
        </tpls>
      </m>
      <n v="22.351351351351351" in="2">
        <tpls c="6">
          <tpl fld="11" item="0"/>
          <tpl fld="2" item="1"/>
          <tpl fld="6" item="2"/>
          <tpl hier="236" item="0"/>
          <tpl fld="4" item="6"/>
          <tpl fld="10" item="2"/>
        </tpls>
      </n>
      <n v="467" in="1">
        <tpls c="6">
          <tpl fld="3" item="4"/>
          <tpl fld="11" item="0"/>
          <tpl fld="6" item="1"/>
          <tpl hier="236" item="0"/>
          <tpl fld="4" item="6"/>
          <tpl fld="10" item="4"/>
        </tpls>
      </n>
      <n v="853" in="1">
        <tpls c="5">
          <tpl fld="3" item="4"/>
          <tpl fld="11" item="0"/>
          <tpl fld="6" item="1"/>
          <tpl hier="236" item="0"/>
          <tpl fld="4" item="5"/>
        </tpls>
      </n>
      <n v="7" in="1">
        <tpls c="6">
          <tpl fld="3" item="0"/>
          <tpl fld="11" item="0"/>
          <tpl fld="6" item="1"/>
          <tpl hier="236" item="0"/>
          <tpl fld="4" item="1"/>
          <tpl fld="9" item="1"/>
        </tpls>
      </n>
      <n v="200" in="1">
        <tpls c="6">
          <tpl fld="11" item="0"/>
          <tpl fld="6" item="1"/>
          <tpl fld="8" item="0"/>
          <tpl hier="236" item="0"/>
          <tpl fld="4" item="4"/>
          <tpl fld="10" item="5"/>
        </tpls>
      </n>
      <m>
        <tpls c="4">
          <tpl fld="7" item="3"/>
          <tpl fld="6" item="1"/>
          <tpl hier="236" item="0"/>
          <tpl fld="1" item="0"/>
        </tpls>
      </m>
      <m>
        <tpls c="4">
          <tpl fld="7" item="24"/>
          <tpl fld="6" item="2"/>
          <tpl hier="236" item="0"/>
          <tpl fld="4" item="1"/>
        </tpls>
      </m>
      <n v="799" in="1">
        <tpls c="6">
          <tpl fld="3" item="4"/>
          <tpl fld="11" item="0"/>
          <tpl fld="6" item="1"/>
          <tpl hier="236" item="0"/>
          <tpl fld="4" item="4"/>
          <tpl fld="10" item="6"/>
        </tpls>
      </n>
      <n v="1285" in="1">
        <tpls c="6">
          <tpl fld="11" item="0"/>
          <tpl fld="6" item="1"/>
          <tpl fld="8" item="0"/>
          <tpl hier="236" item="0"/>
          <tpl fld="4" item="4"/>
          <tpl fld="10" item="3"/>
        </tpls>
      </n>
      <n v="3" in="2">
        <tpls c="6">
          <tpl fld="11" item="0"/>
          <tpl fld="2" item="3"/>
          <tpl fld="6" item="2"/>
          <tpl hier="236" item="0"/>
          <tpl fld="4" item="3"/>
          <tpl fld="10" item="1"/>
        </tpls>
      </n>
      <m>
        <tpls c="6">
          <tpl fld="3" item="1"/>
          <tpl fld="11" item="0"/>
          <tpl fld="6" item="2"/>
          <tpl hier="236" item="0"/>
          <tpl fld="4" item="3"/>
          <tpl fld="10" item="6"/>
        </tpls>
      </m>
      <n v="69.528378378378378" in="2">
        <tpls c="5">
          <tpl fld="11" item="0"/>
          <tpl fld="6" item="2"/>
          <tpl hier="236" item="0"/>
          <tpl fld="4" item="4"/>
          <tpl fld="10" item="7"/>
        </tpls>
      </n>
      <n v="187" in="1">
        <tpls c="6">
          <tpl fld="11" item="0"/>
          <tpl fld="6" item="1"/>
          <tpl fld="8" item="1"/>
          <tpl hier="236" item="0"/>
          <tpl fld="4" item="3"/>
          <tpl fld="10" item="3"/>
        </tpls>
      </n>
      <n v="15.350000000000001" in="2">
        <tpls c="5">
          <tpl fld="11" item="0"/>
          <tpl fld="6" item="2"/>
          <tpl fld="8" item="0"/>
          <tpl hier="236" item="0"/>
          <tpl fld="4" item="2"/>
        </tpls>
      </n>
      <m>
        <tpls c="4">
          <tpl fld="7" item="4"/>
          <tpl fld="6" item="2"/>
          <tpl hier="236" item="0"/>
          <tpl fld="4" item="1"/>
        </tpls>
      </m>
      <m>
        <tpls c="4">
          <tpl fld="7" item="116"/>
          <tpl fld="6" item="1"/>
          <tpl hier="236" item="0"/>
          <tpl fld="4" item="4"/>
        </tpls>
      </m>
      <m>
        <tpls c="4">
          <tpl fld="7" item="589"/>
          <tpl fld="6" item="1"/>
          <tpl hier="236" item="0"/>
          <tpl fld="4" item="4"/>
        </tpls>
      </m>
      <m>
        <tpls c="4">
          <tpl fld="7" item="1198"/>
          <tpl fld="6" item="2"/>
          <tpl hier="236" item="0"/>
          <tpl fld="4" item="6"/>
        </tpls>
      </m>
      <n v="174" in="1">
        <tpls c="5">
          <tpl fld="3" item="1"/>
          <tpl fld="11" item="0"/>
          <tpl fld="6" item="1"/>
          <tpl hier="236" item="0"/>
          <tpl fld="4" item="0"/>
        </tpls>
      </n>
      <m>
        <tpls c="6">
          <tpl fld="11" item="0"/>
          <tpl fld="6" item="2"/>
          <tpl fld="8" item="1"/>
          <tpl hier="236" item="0"/>
          <tpl fld="4" item="7"/>
          <tpl fld="10" item="1"/>
        </tpls>
      </m>
      <m>
        <tpls c="4">
          <tpl fld="7" item="6"/>
          <tpl fld="6" item="1"/>
          <tpl hier="236" item="0"/>
          <tpl fld="4" item="5"/>
        </tpls>
      </m>
      <m>
        <tpls c="4">
          <tpl fld="7" item="471"/>
          <tpl fld="6" item="1"/>
          <tpl hier="236" item="0"/>
          <tpl fld="4" item="4"/>
        </tpls>
      </m>
      <m>
        <tpls c="4">
          <tpl fld="7" item="473"/>
          <tpl fld="6" item="2"/>
          <tpl hier="236" item="0"/>
          <tpl fld="4" item="4"/>
        </tpls>
      </m>
      <m>
        <tpls c="4">
          <tpl fld="7" item="248"/>
          <tpl fld="6" item="1"/>
          <tpl hier="236" item="0"/>
          <tpl fld="4" item="6"/>
        </tpls>
      </m>
      <m>
        <tpls c="3">
          <tpl fld="7" item="35"/>
          <tpl fld="6" item="3"/>
          <tpl hier="236" item="0"/>
        </tpls>
      </m>
      <m>
        <tpls c="4">
          <tpl fld="7" item="146"/>
          <tpl fld="6" item="2"/>
          <tpl hier="236" item="0"/>
          <tpl fld="4" item="1"/>
        </tpls>
      </m>
      <m>
        <tpls c="4">
          <tpl fld="7" item="335"/>
          <tpl fld="6" item="1"/>
          <tpl hier="236" item="0"/>
          <tpl fld="4" item="4"/>
        </tpls>
      </m>
      <m>
        <tpls c="3">
          <tpl fld="7" item="260"/>
          <tpl fld="6" item="3"/>
          <tpl hier="236" item="0"/>
        </tpls>
      </m>
      <m>
        <tpls c="3">
          <tpl fld="7" item="262"/>
          <tpl fld="6" item="3"/>
          <tpl hier="236" item="0"/>
        </tpls>
      </m>
      <m>
        <tpls c="3">
          <tpl fld="7" item="264"/>
          <tpl fld="6" item="3"/>
          <tpl hier="236" item="0"/>
        </tpls>
      </m>
      <m>
        <tpls c="3">
          <tpl fld="7" item="266"/>
          <tpl fld="6" item="3"/>
          <tpl hier="236" item="0"/>
        </tpls>
      </m>
      <m>
        <tpls c="3">
          <tpl fld="7" item="268"/>
          <tpl fld="6" item="3"/>
          <tpl hier="236" item="0"/>
        </tpls>
      </m>
      <m>
        <tpls c="3">
          <tpl fld="7" item="270"/>
          <tpl fld="6" item="3"/>
          <tpl hier="236" item="0"/>
        </tpls>
      </m>
      <m>
        <tpls c="3">
          <tpl fld="7" item="272"/>
          <tpl fld="6" item="3"/>
          <tpl hier="236" item="0"/>
        </tpls>
      </m>
      <m>
        <tpls c="4">
          <tpl fld="7" item="274"/>
          <tpl fld="6" item="2"/>
          <tpl hier="236" item="0"/>
          <tpl fld="4" item="4"/>
        </tpls>
      </m>
      <m>
        <tpls c="4">
          <tpl fld="7" item="172"/>
          <tpl fld="6" item="2"/>
          <tpl hier="236" item="0"/>
          <tpl fld="4" item="1"/>
        </tpls>
      </m>
      <m>
        <tpls c="4">
          <tpl fld="7" item="672"/>
          <tpl fld="6" item="1"/>
          <tpl hier="236" item="0"/>
          <tpl fld="4" item="4"/>
        </tpls>
      </m>
      <m>
        <tpls c="4">
          <tpl fld="7" item="413"/>
          <tpl fld="6" item="2"/>
          <tpl hier="236" item="0"/>
          <tpl fld="4" item="4"/>
        </tpls>
      </m>
      <m>
        <tpls c="4">
          <tpl fld="7" item="290"/>
          <tpl fld="6" item="1"/>
          <tpl hier="236" item="0"/>
          <tpl fld="4" item="6"/>
        </tpls>
      </m>
      <m>
        <tpls c="3">
          <tpl fld="7" item="77"/>
          <tpl fld="6" item="3"/>
          <tpl hier="236" item="0"/>
        </tpls>
      </m>
      <m>
        <tpls c="4">
          <tpl fld="7" item="188"/>
          <tpl fld="6" item="2"/>
          <tpl hier="236" item="0"/>
          <tpl fld="4" item="1"/>
        </tpls>
      </m>
      <m>
        <tpls c="4">
          <tpl fld="7" item="673"/>
          <tpl fld="6" item="1"/>
          <tpl hier="236" item="0"/>
          <tpl fld="4" item="4"/>
        </tpls>
      </m>
      <m>
        <tpls c="4">
          <tpl fld="7" item="194"/>
          <tpl fld="6" item="1"/>
          <tpl hier="236" item="0"/>
          <tpl fld="4" item="6"/>
        </tpls>
      </m>
      <m>
        <tpls c="3">
          <tpl fld="7" item="347"/>
          <tpl fld="6" item="3"/>
          <tpl hier="236" item="0"/>
        </tpls>
      </m>
      <m>
        <tpls c="4">
          <tpl fld="7" item="309"/>
          <tpl fld="6" item="2"/>
          <tpl hier="236" item="0"/>
          <tpl fld="4" item="1"/>
        </tpls>
      </m>
      <m>
        <tpls c="4">
          <tpl fld="7" item="96"/>
          <tpl fld="6" item="1"/>
          <tpl hier="236" item="0"/>
          <tpl fld="4" item="4"/>
        </tpls>
      </m>
      <n v="11" in="1">
        <tpls c="4">
          <tpl fld="7" item="1053"/>
          <tpl fld="6" item="1"/>
          <tpl hier="236" item="0"/>
          <tpl fld="4" item="6"/>
        </tpls>
      </n>
      <n v="221" in="1">
        <tpls c="6">
          <tpl fld="3" item="3"/>
          <tpl fld="11" item="0"/>
          <tpl fld="6" item="1"/>
          <tpl hier="236" item="0"/>
          <tpl fld="4" item="3"/>
          <tpl fld="10" item="3"/>
        </tpls>
      </n>
      <n v="508" in="1">
        <tpls c="5">
          <tpl fld="11" item="0"/>
          <tpl fld="6" item="1"/>
          <tpl hier="236" item="0"/>
          <tpl fld="4" item="6"/>
          <tpl fld="10" item="5"/>
        </tpls>
      </n>
      <m>
        <tpls c="4">
          <tpl fld="7" item="466"/>
          <tpl fld="6" item="1"/>
          <tpl hier="236" item="0"/>
          <tpl fld="4" item="5"/>
        </tpls>
      </m>
      <m>
        <tpls c="4">
          <tpl fld="7" item="7"/>
          <tpl fld="6" item="1"/>
          <tpl hier="236" item="0"/>
          <tpl fld="4" item="4"/>
        </tpls>
      </m>
      <m>
        <tpls c="4">
          <tpl fld="7" item="234"/>
          <tpl fld="6" item="1"/>
          <tpl hier="236" item="0"/>
          <tpl fld="4" item="4"/>
        </tpls>
      </m>
      <m>
        <tpls c="4">
          <tpl fld="7" item="244"/>
          <tpl fld="6" item="2"/>
          <tpl hier="236" item="0"/>
          <tpl fld="4" item="4"/>
        </tpls>
      </m>
      <m>
        <tpls c="4">
          <tpl fld="7" item="31"/>
          <tpl fld="6" item="1"/>
          <tpl hier="236" item="0"/>
          <tpl fld="4" item="6"/>
        </tpls>
      </m>
      <m>
        <tpls c="3">
          <tpl fld="7" item="142"/>
          <tpl fld="6" item="3"/>
          <tpl hier="236" item="0"/>
        </tpls>
      </m>
      <m>
        <tpls c="4">
          <tpl fld="7" item="334"/>
          <tpl fld="6" item="2"/>
          <tpl hier="236" item="0"/>
          <tpl fld="4" item="1"/>
        </tpls>
      </m>
      <m>
        <tpls c="4">
          <tpl fld="7" item="257"/>
          <tpl fld="6" item="1"/>
          <tpl hier="236" item="0"/>
          <tpl fld="4" item="4"/>
        </tpls>
      </m>
      <m>
        <tpls c="4">
          <tpl fld="7" item="151"/>
          <tpl fld="6" item="1"/>
          <tpl hier="236" item="0"/>
          <tpl fld="4" item="6"/>
        </tpls>
      </m>
      <m>
        <tpls c="4">
          <tpl fld="7" item="153"/>
          <tpl fld="6" item="1"/>
          <tpl hier="236" item="0"/>
          <tpl fld="4" item="6"/>
        </tpls>
      </m>
      <m>
        <tpls c="4">
          <tpl fld="7" item="155"/>
          <tpl fld="6" item="1"/>
          <tpl hier="236" item="0"/>
          <tpl fld="4" item="6"/>
        </tpls>
      </m>
      <m>
        <tpls c="4">
          <tpl fld="7" item="157"/>
          <tpl fld="6" item="1"/>
          <tpl hier="236" item="0"/>
          <tpl fld="4" item="6"/>
        </tpls>
      </m>
      <m>
        <tpls c="4">
          <tpl fld="7" item="159"/>
          <tpl fld="6" item="1"/>
          <tpl hier="236" item="0"/>
          <tpl fld="4" item="6"/>
        </tpls>
      </m>
      <m>
        <tpls c="4">
          <tpl fld="7" item="161"/>
          <tpl fld="6" item="1"/>
          <tpl hier="236" item="0"/>
          <tpl fld="4" item="6"/>
        </tpls>
      </m>
      <m>
        <tpls c="4">
          <tpl fld="7" item="163"/>
          <tpl fld="6" item="1"/>
          <tpl hier="236" item="0"/>
          <tpl fld="4" item="6"/>
        </tpls>
      </m>
      <m>
        <tpls c="4">
          <tpl fld="7" item="165"/>
          <tpl fld="6" item="1"/>
          <tpl hier="236" item="0"/>
          <tpl fld="4" item="6"/>
        </tpls>
      </m>
      <m>
        <tpls c="4">
          <tpl fld="7" item="171"/>
          <tpl fld="6" item="1"/>
          <tpl hier="236" item="0"/>
          <tpl fld="4" item="4"/>
        </tpls>
      </m>
      <m>
        <tpls c="4">
          <tpl fld="7" item="283"/>
          <tpl fld="6" item="1"/>
          <tpl hier="236" item="0"/>
          <tpl fld="4" item="4"/>
        </tpls>
      </m>
      <m>
        <tpls c="4">
          <tpl fld="7" item="286"/>
          <tpl fld="6" item="2"/>
          <tpl hier="236" item="0"/>
          <tpl fld="4" item="4"/>
        </tpls>
      </m>
      <m>
        <tpls c="4">
          <tpl fld="7" item="73"/>
          <tpl fld="6" item="1"/>
          <tpl hier="236" item="0"/>
          <tpl fld="4" item="6"/>
        </tpls>
      </m>
      <m>
        <tpls c="3">
          <tpl fld="7" item="184"/>
          <tpl fld="6" item="3"/>
          <tpl hier="236" item="0"/>
        </tpls>
      </m>
      <m>
        <tpls c="4">
          <tpl fld="7" item="593"/>
          <tpl fld="6" item="2"/>
          <tpl hier="236" item="0"/>
          <tpl fld="4" item="1"/>
        </tpls>
      </m>
      <m>
        <tpls c="4">
          <tpl fld="7" item="299"/>
          <tpl fld="6" item="1"/>
          <tpl hier="236" item="0"/>
          <tpl fld="4" item="4"/>
        </tpls>
      </m>
      <m>
        <tpls c="4">
          <tpl fld="7" item="346"/>
          <tpl fld="6" item="1"/>
          <tpl hier="236" item="0"/>
          <tpl fld="4" item="6"/>
        </tpls>
      </m>
      <n v="182" in="1">
        <tpls c="6">
          <tpl fld="3" item="0"/>
          <tpl fld="11" item="0"/>
          <tpl fld="6" item="1"/>
          <tpl hier="236" item="0"/>
          <tpl fld="4" item="4"/>
          <tpl fld="10" item="2"/>
        </tpls>
      </n>
      <n v="1" in="2">
        <tpls c="6">
          <tpl fld="3" item="1"/>
          <tpl fld="11" item="0"/>
          <tpl fld="6" item="2"/>
          <tpl hier="236" item="0"/>
          <tpl fld="4" item="7"/>
          <tpl fld="10" item="1"/>
        </tpls>
      </n>
      <m>
        <tpls c="4">
          <tpl fld="7" item="18"/>
          <tpl fld="6" item="2"/>
          <tpl hier="236" item="0"/>
          <tpl fld="4" item="1"/>
        </tpls>
      </m>
      <n v="3.75" in="2">
        <tpls c="6">
          <tpl fld="3" item="0"/>
          <tpl fld="11" item="0"/>
          <tpl fld="6" item="2"/>
          <tpl hier="236" item="0"/>
          <tpl fld="4" item="4"/>
          <tpl fld="10" item="8"/>
        </tpls>
      </n>
      <m>
        <tpls c="4">
          <tpl fld="7" item="111"/>
          <tpl fld="6" item="1"/>
          <tpl hier="236" item="0"/>
          <tpl fld="4" item="4"/>
        </tpls>
      </m>
      <n v="1995" in="1">
        <tpls c="6">
          <tpl fld="3" item="4"/>
          <tpl fld="11" item="0"/>
          <tpl fld="6" item="1"/>
          <tpl hier="236" item="0"/>
          <tpl fld="4" item="6"/>
          <tpl fld="10" item="8"/>
        </tpls>
      </n>
      <m>
        <tpls c="3">
          <tpl fld="7" item="28"/>
          <tpl fld="6" item="3"/>
          <tpl hier="236" item="0"/>
        </tpls>
      </m>
      <m>
        <tpls c="4">
          <tpl fld="7" item="257"/>
          <tpl fld="6" item="1"/>
          <tpl hier="236" item="0"/>
          <tpl fld="4" item="6"/>
        </tpls>
      </m>
      <m>
        <tpls c="4">
          <tpl fld="7" item="157"/>
          <tpl fld="6" item="1"/>
          <tpl hier="236" item="0"/>
          <tpl fld="1" item="0"/>
        </tpls>
      </m>
      <m>
        <tpls c="4">
          <tpl fld="7" item="165"/>
          <tpl fld="6" item="1"/>
          <tpl hier="236" item="0"/>
          <tpl fld="1" item="0"/>
        </tpls>
      </m>
      <m>
        <tpls c="4">
          <tpl fld="7" item="181"/>
          <tpl fld="6" item="2"/>
          <tpl hier="236" item="0"/>
          <tpl fld="4" item="1"/>
        </tpls>
      </m>
      <m>
        <tpls c="4">
          <tpl fld="7" item="302"/>
          <tpl fld="6" item="2"/>
          <tpl hier="236" item="0"/>
          <tpl fld="4" item="1"/>
        </tpls>
      </m>
      <m>
        <tpls c="3">
          <tpl fld="7" item="420"/>
          <tpl fld="6" item="3"/>
          <tpl hier="236" item="0"/>
        </tpls>
      </m>
      <m>
        <tpls c="4">
          <tpl fld="7" item="222"/>
          <tpl fld="6" item="2"/>
          <tpl hier="236" item="0"/>
          <tpl fld="4" item="1"/>
        </tpls>
      </m>
      <m>
        <tpls c="4">
          <tpl fld="7" item="250"/>
          <tpl fld="6" item="1"/>
          <tpl hier="236" item="0"/>
          <tpl fld="4" item="4"/>
        </tpls>
      </m>
      <m>
        <tpls c="4">
          <tpl fld="7" item="261"/>
          <tpl fld="6" item="2"/>
          <tpl hier="236" item="0"/>
          <tpl fld="4" item="6"/>
        </tpls>
      </m>
      <m>
        <tpls c="4">
          <tpl fld="7" item="48"/>
          <tpl fld="6" item="1"/>
          <tpl hier="236" item="0"/>
          <tpl fld="4" item="6"/>
        </tpls>
      </m>
      <m>
        <tpls c="4">
          <tpl fld="7" item="408"/>
          <tpl fld="6" item="2"/>
          <tpl hier="236" item="0"/>
          <tpl fld="4" item="6"/>
        </tpls>
      </m>
      <m>
        <tpls c="4">
          <tpl fld="7" item="161"/>
          <tpl fld="6" item="2"/>
          <tpl hier="236" item="0"/>
          <tpl fld="4" item="6"/>
        </tpls>
      </m>
      <m>
        <tpls c="4">
          <tpl fld="7" item="56"/>
          <tpl fld="6" item="1"/>
          <tpl hier="236" item="0"/>
          <tpl fld="4" item="6"/>
        </tpls>
      </m>
      <m>
        <tpls c="4">
          <tpl fld="7" item="277"/>
          <tpl fld="6" item="1"/>
          <tpl hier="236" item="0"/>
          <tpl fld="4" item="4"/>
        </tpls>
      </m>
      <m>
        <tpls c="4">
          <tpl fld="7" item="283"/>
          <tpl fld="6" item="2"/>
          <tpl hier="236" item="0"/>
          <tpl fld="4" item="4"/>
        </tpls>
      </m>
      <m>
        <tpls c="4">
          <tpl fld="7" item="71"/>
          <tpl fld="6" item="1"/>
          <tpl hier="236" item="0"/>
          <tpl fld="4" item="6"/>
        </tpls>
      </m>
      <m>
        <tpls c="3">
          <tpl fld="7" item="183"/>
          <tpl fld="6" item="3"/>
          <tpl hier="236" item="0"/>
        </tpls>
      </m>
      <m>
        <tpls c="4">
          <tpl fld="7" item="296"/>
          <tpl fld="6" item="1"/>
          <tpl hier="236" item="0"/>
          <tpl fld="4" item="4"/>
        </tpls>
      </m>
      <m>
        <tpls c="4">
          <tpl fld="7" item="300"/>
          <tpl fld="6" item="2"/>
          <tpl hier="236" item="0"/>
          <tpl fld="4" item="4"/>
        </tpls>
      </m>
      <m>
        <tpls c="4">
          <tpl fld="7" item="195"/>
          <tpl fld="6" item="2"/>
          <tpl hier="236" item="0"/>
          <tpl fld="4" item="4"/>
        </tpls>
      </m>
      <m>
        <tpls c="4">
          <tpl fld="7" item="418"/>
          <tpl fld="6" item="1"/>
          <tpl hier="236" item="0"/>
          <tpl fld="4" item="6"/>
        </tpls>
      </m>
      <m>
        <tpls c="3">
          <tpl fld="7" item="310"/>
          <tpl fld="6" item="3"/>
          <tpl hier="236" item="0"/>
        </tpls>
      </m>
      <m>
        <tpls c="4">
          <tpl fld="7" item="97"/>
          <tpl fld="6" item="2"/>
          <tpl hier="236" item="0"/>
          <tpl fld="4" item="1"/>
        </tpls>
      </m>
      <n v="278" in="1">
        <tpls c="6">
          <tpl fld="11" item="0"/>
          <tpl fld="2" item="1"/>
          <tpl fld="6" item="1"/>
          <tpl hier="236" item="0"/>
          <tpl fld="4" item="4"/>
          <tpl fld="10" item="4"/>
        </tpls>
      </n>
      <n v="42.982229729729731" in="2">
        <tpls c="6">
          <tpl fld="3" item="2"/>
          <tpl fld="11" item="0"/>
          <tpl fld="6" item="2"/>
          <tpl hier="236" item="0"/>
          <tpl fld="4" item="6"/>
          <tpl fld="10" item="7"/>
        </tpls>
      </n>
      <m>
        <tpls c="6">
          <tpl fld="11" item="0"/>
          <tpl fld="6" item="2"/>
          <tpl fld="8" item="1"/>
          <tpl hier="236" item="0"/>
          <tpl fld="4" item="7"/>
          <tpl fld="10" item="6"/>
        </tpls>
      </m>
      <m>
        <tpls c="4">
          <tpl fld="7" item="3"/>
          <tpl fld="6" item="1"/>
          <tpl hier="236" item="0"/>
          <tpl fld="4" item="5"/>
        </tpls>
      </m>
      <m>
        <tpls c="4">
          <tpl fld="7" item="327"/>
          <tpl fld="6" item="1"/>
          <tpl hier="236" item="0"/>
          <tpl fld="4" item="4"/>
        </tpls>
      </m>
      <m>
        <tpls c="4">
          <tpl fld="7" item="24"/>
          <tpl fld="6" item="1"/>
          <tpl hier="236" item="0"/>
          <tpl fld="4" item="4"/>
        </tpls>
      </m>
      <m>
        <tpls c="4">
          <tpl fld="7" item="29"/>
          <tpl fld="6" item="2"/>
          <tpl hier="236" item="0"/>
          <tpl fld="4" item="4"/>
        </tpls>
      </m>
      <m>
        <tpls c="4">
          <tpl fld="7" item="140"/>
          <tpl fld="6" item="1"/>
          <tpl hier="236" item="0"/>
          <tpl fld="4" item="6"/>
        </tpls>
      </m>
      <m>
        <tpls c="3">
          <tpl fld="7" item="670"/>
          <tpl fld="6" item="3"/>
          <tpl hier="236" item="0"/>
        </tpls>
      </m>
      <m>
        <tpls c="4">
          <tpl fld="7" item="255"/>
          <tpl fld="6" item="2"/>
          <tpl hier="236" item="0"/>
          <tpl fld="4" item="1"/>
        </tpls>
      </m>
      <m>
        <tpls c="4">
          <tpl fld="7" item="42"/>
          <tpl fld="6" item="1"/>
          <tpl hier="236" item="0"/>
          <tpl fld="4" item="4"/>
        </tpls>
      </m>
      <m>
        <tpls c="4">
          <tpl fld="7" item="44"/>
          <tpl fld="6" item="2"/>
          <tpl hier="236" item="0"/>
          <tpl fld="4" item="4"/>
        </tpls>
      </m>
      <m>
        <tpls c="4">
          <tpl fld="7" item="46"/>
          <tpl fld="6" item="2"/>
          <tpl hier="236" item="0"/>
          <tpl fld="4" item="4"/>
        </tpls>
      </m>
      <m>
        <tpls c="4">
          <tpl fld="7" item="48"/>
          <tpl fld="6" item="2"/>
          <tpl hier="236" item="0"/>
          <tpl fld="4" item="4"/>
        </tpls>
      </m>
      <m>
        <tpls c="4">
          <tpl fld="7" item="50"/>
          <tpl fld="6" item="2"/>
          <tpl hier="236" item="0"/>
          <tpl fld="4" item="4"/>
        </tpls>
      </m>
      <m>
        <tpls c="4">
          <tpl fld="7" item="52"/>
          <tpl fld="6" item="2"/>
          <tpl hier="236" item="0"/>
          <tpl fld="4" item="4"/>
        </tpls>
      </m>
      <m>
        <tpls c="4">
          <tpl fld="7" item="54"/>
          <tpl fld="6" item="2"/>
          <tpl hier="236" item="0"/>
          <tpl fld="4" item="4"/>
        </tpls>
      </m>
      <m>
        <tpls c="4">
          <tpl fld="7" item="56"/>
          <tpl fld="6" item="2"/>
          <tpl hier="236" item="0"/>
          <tpl fld="4" item="4"/>
        </tpls>
      </m>
      <m>
        <tpls c="4">
          <tpl fld="7" item="166"/>
          <tpl fld="6" item="2"/>
          <tpl hier="236" item="0"/>
          <tpl fld="4" item="1"/>
        </tpls>
      </m>
      <m>
        <tpls c="4">
          <tpl fld="7" item="281"/>
          <tpl fld="6" item="2"/>
          <tpl hier="236" item="0"/>
          <tpl fld="4" item="1"/>
        </tpls>
      </m>
      <m>
        <tpls c="4">
          <tpl fld="7" item="68"/>
          <tpl fld="6" item="1"/>
          <tpl hier="236" item="0"/>
          <tpl fld="4" item="4"/>
        </tpls>
      </m>
      <m>
        <tpls c="4">
          <tpl fld="7" item="71"/>
          <tpl fld="6" item="2"/>
          <tpl hier="236" item="0"/>
          <tpl fld="4" item="4"/>
        </tpls>
      </m>
      <m>
        <tpls c="4">
          <tpl fld="7" item="182"/>
          <tpl fld="6" item="1"/>
          <tpl hier="236" item="0"/>
          <tpl fld="4" item="6"/>
        </tpls>
      </m>
      <m>
        <tpls c="3">
          <tpl fld="7" item="344"/>
          <tpl fld="6" item="3"/>
          <tpl hier="236" item="0"/>
        </tpls>
      </m>
      <m>
        <tpls c="4">
          <tpl fld="7" item="297"/>
          <tpl fld="6" item="2"/>
          <tpl hier="236" item="0"/>
          <tpl fld="4" item="1"/>
        </tpls>
      </m>
      <m>
        <tpls c="4">
          <tpl fld="7" item="84"/>
          <tpl fld="6" item="1"/>
          <tpl hier="236" item="0"/>
          <tpl fld="4" item="4"/>
        </tpls>
      </m>
      <m>
        <tpls c="4">
          <tpl fld="7" item="303"/>
          <tpl fld="6" item="1"/>
          <tpl hier="236" item="0"/>
          <tpl fld="4" item="6"/>
        </tpls>
      </m>
      <m>
        <tpls c="3">
          <tpl fld="7" item="90"/>
          <tpl fld="6" item="3"/>
          <tpl hier="236" item="0"/>
        </tpls>
      </m>
      <m>
        <tpls c="4">
          <tpl fld="7" item="201"/>
          <tpl fld="6" item="2"/>
          <tpl hier="236" item="0"/>
          <tpl fld="4" item="1"/>
        </tpls>
      </m>
      <m>
        <tpls c="4">
          <tpl fld="7" item="490"/>
          <tpl fld="6" item="1"/>
          <tpl hier="236" item="0"/>
          <tpl fld="4" item="4"/>
        </tpls>
      </m>
      <m>
        <tpls c="4">
          <tpl fld="7" item="674"/>
          <tpl fld="6" item="2"/>
          <tpl hier="236" item="0"/>
          <tpl fld="4" item="4"/>
        </tpls>
      </m>
      <m>
        <tpls c="4">
          <tpl fld="7" item="319"/>
          <tpl fld="6" item="1"/>
          <tpl hier="236" item="0"/>
          <tpl fld="4" item="6"/>
        </tpls>
      </m>
      <n v="11.36554054054054" in="2">
        <tpls c="6">
          <tpl fld="11" item="0"/>
          <tpl fld="6" item="2"/>
          <tpl fld="8" item="0"/>
          <tpl hier="236" item="0"/>
          <tpl fld="4" item="4"/>
          <tpl fld="10" item="8"/>
        </tpls>
      </n>
      <m>
        <tpls c="4">
          <tpl fld="7" item="1082"/>
          <tpl fld="6" item="1"/>
          <tpl hier="236" item="0"/>
          <tpl fld="4" item="6"/>
        </tpls>
      </m>
      <m>
        <tpls c="4">
          <tpl fld="7" item="148"/>
          <tpl fld="6" item="2"/>
          <tpl hier="236" item="0"/>
          <tpl fld="4" item="4"/>
        </tpls>
      </m>
      <m>
        <tpls c="4">
          <tpl fld="7" item="49"/>
          <tpl fld="6" item="1"/>
          <tpl hier="236" item="0"/>
          <tpl fld="4" item="5"/>
        </tpls>
      </m>
      <m>
        <tpls c="4">
          <tpl fld="7" item="57"/>
          <tpl fld="6" item="1"/>
          <tpl hier="236" item="0"/>
          <tpl fld="4" item="5"/>
        </tpls>
      </m>
      <m>
        <tpls c="3">
          <tpl fld="7" item="289"/>
          <tpl fld="6" item="3"/>
          <tpl hier="236" item="0"/>
        </tpls>
      </m>
      <m>
        <tpls c="3">
          <tpl fld="7" item="193"/>
          <tpl fld="6" item="3"/>
          <tpl hier="236" item="0"/>
        </tpls>
      </m>
      <m>
        <tpls c="4">
          <tpl fld="7" item="98"/>
          <tpl fld="6" item="1"/>
          <tpl hier="236" item="0"/>
          <tpl fld="4" item="6"/>
        </tpls>
      </m>
      <m>
        <tpls c="4">
          <tpl fld="7" item="319"/>
          <tpl fld="6" item="2"/>
          <tpl hier="236" item="0"/>
          <tpl fld="4" item="4"/>
        </tpls>
      </m>
      <m>
        <tpls c="3">
          <tpl fld="7" item="214"/>
          <tpl fld="6" item="3"/>
          <tpl hier="236" item="0"/>
        </tpls>
      </m>
      <m>
        <tpls c="4">
          <tpl fld="7" item="424"/>
          <tpl fld="6" item="2"/>
          <tpl hier="236" item="0"/>
          <tpl fld="4" item="1"/>
        </tpls>
      </m>
      <m>
        <tpls c="4">
          <tpl fld="7" item="596"/>
          <tpl fld="6" item="1"/>
          <tpl hier="236" item="0"/>
          <tpl fld="4" item="4"/>
        </tpls>
      </m>
      <n v="1" in="2">
        <tpls c="4">
          <tpl fld="7" item="981"/>
          <tpl fld="6" item="2"/>
          <tpl hier="236" item="0"/>
          <tpl fld="4" item="4"/>
        </tpls>
      </n>
      <m>
        <tpls c="4">
          <tpl fld="7" item="504"/>
          <tpl fld="6" item="1"/>
          <tpl hier="236" item="0"/>
          <tpl fld="4" item="6"/>
        </tpls>
      </m>
      <n v="1" in="3">
        <tpls c="3">
          <tpl fld="7" item="366"/>
          <tpl fld="6" item="3"/>
          <tpl hier="236" item="0"/>
        </tpls>
      </n>
      <m>
        <tpls c="4">
          <tpl fld="7" item="440"/>
          <tpl fld="6" item="2"/>
          <tpl hier="236" item="0"/>
          <tpl fld="4" item="1"/>
        </tpls>
      </m>
      <n v="6" in="1">
        <tpls c="4">
          <tpl fld="7" item="600"/>
          <tpl fld="6" item="1"/>
          <tpl hier="236" item="0"/>
          <tpl fld="4" item="4"/>
        </tpls>
      </n>
      <n v="0.3" in="2">
        <tpls c="4">
          <tpl fld="7" item="982"/>
          <tpl fld="6" item="2"/>
          <tpl hier="236" item="0"/>
          <tpl fld="4" item="4"/>
        </tpls>
      </n>
      <n v="2" in="1">
        <tpls c="4">
          <tpl fld="7" item="520"/>
          <tpl fld="6" item="1"/>
          <tpl hier="236" item="0"/>
          <tpl fld="4" item="6"/>
        </tpls>
      </n>
      <m>
        <tpls c="3">
          <tpl fld="7" item="382"/>
          <tpl fld="6" item="3"/>
          <tpl hier="236" item="0"/>
        </tpls>
      </m>
      <m>
        <tpls c="4">
          <tpl fld="7" item="456"/>
          <tpl fld="6" item="2"/>
          <tpl hier="236" item="0"/>
          <tpl fld="4" item="1"/>
        </tpls>
      </m>
      <m>
        <tpls c="4">
          <tpl fld="7" item="458"/>
          <tpl fld="6" item="2"/>
          <tpl hier="236" item="0"/>
          <tpl fld="4" item="6"/>
        </tpls>
      </m>
      <m>
        <tpls c="4">
          <tpl fld="7" item="530"/>
          <tpl fld="6" item="1"/>
          <tpl hier="236" item="0"/>
          <tpl fld="4" item="5"/>
        </tpls>
      </m>
      <m>
        <tpls c="4">
          <tpl fld="7" item="461"/>
          <tpl fld="6" item="1"/>
          <tpl hier="236" item="0"/>
          <tpl fld="4" item="6"/>
        </tpls>
      </m>
      <m>
        <tpls c="4">
          <tpl fld="7" item="533"/>
          <tpl fld="6" item="2"/>
          <tpl hier="236" item="0"/>
          <tpl fld="4" item="1"/>
        </tpls>
      </m>
      <m>
        <tpls c="4">
          <tpl fld="7" item="393"/>
          <tpl fld="6" item="2"/>
          <tpl hier="236" item="0"/>
          <tpl fld="1" item="0"/>
        </tpls>
      </m>
      <m>
        <tpls c="4">
          <tpl fld="7" item="767"/>
          <tpl fld="6" item="1"/>
          <tpl hier="236" item="0"/>
          <tpl fld="4" item="1"/>
        </tpls>
      </m>
      <n v="14" in="1">
        <tpls c="4">
          <tpl fld="7" item="686"/>
          <tpl fld="6" item="1"/>
          <tpl hier="236" item="0"/>
          <tpl fld="1" item="0"/>
        </tpls>
      </n>
      <m>
        <tpls c="4">
          <tpl fld="7" item="769"/>
          <tpl fld="6" item="2"/>
          <tpl hier="236" item="0"/>
          <tpl fld="4" item="4"/>
        </tpls>
      </m>
      <m>
        <tpls c="3">
          <tpl fld="7" item="770"/>
          <tpl fld="6" item="3"/>
          <tpl hier="236" item="0"/>
        </tpls>
      </m>
      <n v="24" in="1">
        <tpls c="4">
          <tpl fld="7" item="1087"/>
          <tpl fld="6" item="1"/>
          <tpl hier="236" item="0"/>
          <tpl fld="4" item="4"/>
        </tpls>
      </n>
      <m>
        <tpls c="4">
          <tpl fld="7" item="543"/>
          <tpl fld="6" item="2"/>
          <tpl hier="236" item="0"/>
          <tpl fld="4" item="5"/>
        </tpls>
      </m>
      <n v="3" in="2">
        <tpls c="6">
          <tpl fld="11" item="0"/>
          <tpl fld="6" item="2"/>
          <tpl fld="8" item="1"/>
          <tpl hier="236" item="0"/>
          <tpl fld="4" item="3"/>
          <tpl fld="10" item="1"/>
        </tpls>
      </n>
      <m>
        <tpls c="4">
          <tpl fld="7" item="473"/>
          <tpl fld="6" item="1"/>
          <tpl hier="236" item="0"/>
          <tpl fld="4" item="6"/>
        </tpls>
      </m>
      <m>
        <tpls c="4">
          <tpl fld="7" item="149"/>
          <tpl fld="6" item="2"/>
          <tpl hier="236" item="0"/>
          <tpl fld="4" item="4"/>
        </tpls>
      </m>
      <m>
        <tpls c="4">
          <tpl fld="7" item="266"/>
          <tpl fld="6" item="2"/>
          <tpl hier="236" item="0"/>
          <tpl fld="4" item="1"/>
        </tpls>
      </m>
      <m>
        <tpls c="4">
          <tpl fld="7" item="274"/>
          <tpl fld="6" item="2"/>
          <tpl hier="236" item="0"/>
          <tpl fld="4" item="1"/>
        </tpls>
      </m>
      <m>
        <tpls c="3">
          <tpl fld="7" item="290"/>
          <tpl fld="6" item="3"/>
          <tpl hier="236" item="0"/>
        </tpls>
      </m>
      <m>
        <tpls c="3">
          <tpl fld="7" item="194"/>
          <tpl fld="6" item="3"/>
          <tpl hier="236" item="0"/>
        </tpls>
      </m>
      <m>
        <tpls c="4">
          <tpl fld="7" item="99"/>
          <tpl fld="6" item="1"/>
          <tpl hier="236" item="0"/>
          <tpl fld="4" item="4"/>
        </tpls>
      </m>
      <m>
        <tpls c="4">
          <tpl fld="7" item="211"/>
          <tpl fld="6" item="1"/>
          <tpl hier="236" item="0"/>
          <tpl fld="4" item="4"/>
        </tpls>
      </m>
      <m>
        <tpls c="3">
          <tpl fld="7" item="422"/>
          <tpl fld="6" item="3"/>
          <tpl hier="236" item="0"/>
        </tpls>
      </m>
      <m>
        <tpls c="4">
          <tpl fld="7" item="675"/>
          <tpl fld="6" item="2"/>
          <tpl hier="236" item="0"/>
          <tpl fld="4" item="1"/>
        </tpls>
      </m>
      <m>
        <tpls c="4">
          <tpl fld="7" item="498"/>
          <tpl fld="6" item="1"/>
          <tpl hier="236" item="0"/>
          <tpl fld="4" item="4"/>
        </tpls>
      </m>
      <n v="0.88243243243243241" in="2">
        <tpls c="4">
          <tpl fld="7" item="501"/>
          <tpl fld="6" item="2"/>
          <tpl hier="236" item="0"/>
          <tpl fld="4" item="4"/>
        </tpls>
      </n>
      <n v="5" in="1">
        <tpls c="4">
          <tpl fld="7" item="363"/>
          <tpl fld="6" item="1"/>
          <tpl hier="236" item="0"/>
          <tpl fld="4" item="6"/>
        </tpls>
      </n>
      <n v="1" in="3">
        <tpls c="3">
          <tpl fld="7" item="437"/>
          <tpl fld="6" item="3"/>
          <tpl hier="236" item="0"/>
        </tpls>
      </n>
      <m>
        <tpls c="4">
          <tpl fld="7" item="679"/>
          <tpl fld="6" item="2"/>
          <tpl hier="236" item="0"/>
          <tpl fld="4" item="1"/>
        </tpls>
      </m>
      <m>
        <tpls c="4">
          <tpl fld="7" item="514"/>
          <tpl fld="6" item="1"/>
          <tpl hier="236" item="0"/>
          <tpl fld="4" item="4"/>
        </tpls>
      </m>
      <n v="0.6" in="2">
        <tpls c="4">
          <tpl fld="7" item="517"/>
          <tpl fld="6" item="2"/>
          <tpl hier="236" item="0"/>
          <tpl fld="4" item="4"/>
        </tpls>
      </n>
      <n v="4" in="1">
        <tpls c="4">
          <tpl fld="7" item="379"/>
          <tpl fld="6" item="1"/>
          <tpl hier="236" item="0"/>
          <tpl fld="4" item="6"/>
        </tpls>
      </n>
      <m>
        <tpls c="3">
          <tpl fld="7" item="453"/>
          <tpl fld="6" item="3"/>
          <tpl hier="236" item="0"/>
        </tpls>
      </m>
      <n v="1" in="2">
        <tpls c="4">
          <tpl fld="7" item="683"/>
          <tpl fld="6" item="2"/>
          <tpl hier="236" item="0"/>
          <tpl fld="4" item="1"/>
        </tpls>
      </n>
      <n v="0.55000000000000004" in="2">
        <tpls c="4">
          <tpl fld="7" item="879"/>
          <tpl fld="6" item="2"/>
          <tpl hier="236" item="0"/>
          <tpl fld="4" item="1"/>
        </tpls>
      </n>
      <m>
        <tpls c="4">
          <tpl fld="7" item="530"/>
          <tpl fld="6" item="2"/>
          <tpl hier="236" item="0"/>
          <tpl fld="1" item="0"/>
        </tpls>
      </m>
      <m>
        <tpls c="4">
          <tpl fld="7" item="461"/>
          <tpl fld="6" item="1"/>
          <tpl hier="236" item="0"/>
          <tpl fld="4" item="1"/>
        </tpls>
      </m>
      <n v="6" in="1">
        <tpls c="4">
          <tpl fld="7" item="533"/>
          <tpl fld="6" item="1"/>
          <tpl hier="236" item="0"/>
          <tpl fld="1" item="0"/>
        </tpls>
      </n>
      <m>
        <tpls c="4">
          <tpl fld="7" item="464"/>
          <tpl fld="6" item="2"/>
          <tpl hier="236" item="0"/>
          <tpl fld="4" item="4"/>
        </tpls>
      </m>
      <n v="0.92229729729729726" in="2">
        <tpls c="6">
          <tpl fld="11" item="0"/>
          <tpl fld="2" item="4"/>
          <tpl fld="6" item="2"/>
          <tpl hier="236" item="0"/>
          <tpl fld="4" item="3"/>
          <tpl fld="10" item="0"/>
        </tpls>
      </n>
      <n v="71" in="1">
        <tpls c="6">
          <tpl fld="3" item="1"/>
          <tpl fld="11" item="0"/>
          <tpl fld="6" item="1"/>
          <tpl hier="236" item="0"/>
          <tpl fld="4" item="3"/>
          <tpl fld="10" item="1"/>
        </tpls>
      </n>
      <m>
        <tpls c="4">
          <tpl fld="7" item="220"/>
          <tpl fld="6" item="2"/>
          <tpl hier="236" item="0"/>
          <tpl fld="4" item="6"/>
        </tpls>
      </m>
      <n v="2" in="2">
        <tpls c="6">
          <tpl fld="11" item="0"/>
          <tpl fld="2" item="3"/>
          <tpl fld="6" item="2"/>
          <tpl hier="236" item="0"/>
          <tpl fld="4" item="7"/>
          <tpl fld="10" item="3"/>
        </tpls>
      </n>
      <m>
        <tpls c="4">
          <tpl fld="7" item="0"/>
          <tpl fld="6" item="2"/>
          <tpl hier="236" item="0"/>
          <tpl fld="4" item="1"/>
        </tpls>
      </m>
      <m>
        <tpls c="3">
          <tpl fld="7" item="1145"/>
          <tpl fld="6" item="3"/>
          <tpl hier="236" item="0"/>
        </tpls>
      </m>
      <m>
        <tpls c="4">
          <tpl fld="7" item="330"/>
          <tpl fld="6" item="1"/>
          <tpl hier="236" item="0"/>
          <tpl fld="4" item="4"/>
        </tpls>
      </m>
      <m>
        <tpls c="4">
          <tpl fld="7" item="405"/>
          <tpl fld="6" item="1"/>
          <tpl hier="236" item="0"/>
          <tpl fld="4" item="4"/>
        </tpls>
      </m>
      <m>
        <tpls c="4">
          <tpl fld="7" item="264"/>
          <tpl fld="6" item="1"/>
          <tpl hier="236" item="0"/>
          <tpl fld="1" item="0"/>
        </tpls>
      </m>
      <m>
        <tpls c="4">
          <tpl fld="7" item="272"/>
          <tpl fld="6" item="1"/>
          <tpl hier="236" item="0"/>
          <tpl fld="1" item="0"/>
        </tpls>
      </m>
      <m>
        <tpls c="4">
          <tpl fld="7" item="287"/>
          <tpl fld="6" item="1"/>
          <tpl hier="236" item="0"/>
          <tpl fld="4" item="6"/>
        </tpls>
      </m>
      <m>
        <tpls c="4">
          <tpl fld="7" item="673"/>
          <tpl fld="6" item="2"/>
          <tpl hier="236" item="0"/>
          <tpl fld="4" item="4"/>
        </tpls>
      </m>
      <m>
        <tpls c="4">
          <tpl fld="7" item="96"/>
          <tpl fld="6" item="2"/>
          <tpl hier="236" item="0"/>
          <tpl fld="4" item="4"/>
        </tpls>
      </m>
      <m>
        <tpls c="4">
          <tpl fld="7" item="1"/>
          <tpl fld="6" item="1"/>
          <tpl hier="236" item="0"/>
          <tpl fld="4" item="4"/>
        </tpls>
      </m>
      <m>
        <tpls c="3">
          <tpl fld="7" item="139"/>
          <tpl fld="6" item="3"/>
          <tpl hier="236" item="0"/>
        </tpls>
      </m>
      <m>
        <tpls c="4">
          <tpl fld="7" item="1036"/>
          <tpl fld="6" item="1"/>
          <tpl hier="236" item="0"/>
          <tpl fld="4" item="5"/>
        </tpls>
      </m>
      <m>
        <tpls c="4">
          <tpl fld="7" item="1036"/>
          <tpl fld="6" item="2"/>
          <tpl hier="236" item="0"/>
          <tpl fld="4" item="5"/>
        </tpls>
      </m>
      <m>
        <tpls c="3">
          <tpl fld="7" item="1267"/>
          <tpl fld="6" item="3"/>
          <tpl hier="236" item="0"/>
        </tpls>
      </m>
      <n v="1" in="1">
        <tpls c="4">
          <tpl fld="7" item="1162"/>
          <tpl fld="6" item="1"/>
          <tpl hier="236" item="0"/>
          <tpl fld="4" item="6"/>
        </tpls>
      </n>
      <n v="15" in="1">
        <tpls c="4">
          <tpl fld="7" item="927"/>
          <tpl fld="6" item="1"/>
          <tpl hier="236" item="0"/>
          <tpl fld="4" item="6"/>
        </tpls>
      </n>
      <m>
        <tpls c="3">
          <tpl fld="7" item="1177"/>
          <tpl fld="6" item="3"/>
          <tpl hier="236" item="0"/>
        </tpls>
      </m>
      <n v="174" in="1">
        <tpls c="6">
          <tpl fld="11" item="0"/>
          <tpl fld="5" item="3"/>
          <tpl fld="6" item="1"/>
          <tpl hier="236" item="0"/>
          <tpl fld="4" item="1"/>
          <tpl fld="9" item="1"/>
        </tpls>
      </n>
      <m>
        <tpls c="3">
          <tpl fld="7" item="939"/>
          <tpl fld="6" item="3"/>
          <tpl hier="236" item="0"/>
        </tpls>
      </m>
      <n v="88" in="1">
        <tpls c="6">
          <tpl fld="11" item="0"/>
          <tpl fld="2" item="3"/>
          <tpl fld="6" item="1"/>
          <tpl hier="236" item="0"/>
          <tpl fld="4" item="1"/>
          <tpl fld="9" item="1"/>
        </tpls>
      </n>
      <n v="2.65" in="2">
        <tpls c="6">
          <tpl fld="11" item="0"/>
          <tpl fld="2" item="4"/>
          <tpl fld="6" item="2"/>
          <tpl hier="236" item="0"/>
          <tpl fld="4" item="1"/>
          <tpl fld="9" item="2"/>
        </tpls>
      </n>
      <n v="1" in="1">
        <tpls c="4">
          <tpl fld="7" item="1067"/>
          <tpl fld="6" item="1"/>
          <tpl hier="236" item="0"/>
          <tpl fld="4" item="6"/>
        </tpls>
      </n>
      <n v="2" in="2">
        <tpls c="6">
          <tpl fld="11" item="0"/>
          <tpl fld="2" item="0"/>
          <tpl fld="6" item="2"/>
          <tpl hier="236" item="0"/>
          <tpl fld="4" item="6"/>
          <tpl fld="10" item="5"/>
        </tpls>
      </n>
      <n v="12" in="1">
        <tpls c="6">
          <tpl fld="11" item="0"/>
          <tpl fld="2" item="0"/>
          <tpl fld="6" item="1"/>
          <tpl hier="236" item="0"/>
          <tpl fld="4" item="6"/>
          <tpl fld="10" item="3"/>
        </tpls>
      </n>
      <n v="219" in="1">
        <tpls c="6">
          <tpl fld="11" item="0"/>
          <tpl fld="2" item="4"/>
          <tpl fld="6" item="1"/>
          <tpl hier="236" item="0"/>
          <tpl fld="4" item="6"/>
          <tpl fld="10" item="2"/>
        </tpls>
      </n>
      <m>
        <tpls c="6">
          <tpl fld="11" item="0"/>
          <tpl fld="2" item="3"/>
          <tpl fld="6" item="1"/>
          <tpl hier="236" item="0"/>
          <tpl fld="4" item="7"/>
          <tpl fld="10" item="6"/>
        </tpls>
      </m>
      <m>
        <tpls c="6">
          <tpl fld="11" item="0"/>
          <tpl fld="2" item="4"/>
          <tpl fld="6" item="2"/>
          <tpl hier="236" item="0"/>
          <tpl fld="4" item="7"/>
          <tpl fld="10" item="5"/>
        </tpls>
      </m>
      <n v="0" in="1">
        <tpls c="4">
          <tpl fld="7" item="1073"/>
          <tpl fld="6" item="1"/>
          <tpl hier="236" item="0"/>
          <tpl fld="4" item="5"/>
        </tpls>
      </n>
      <n v="5.0094594594594595" in="2">
        <tpls c="6">
          <tpl fld="11" item="0"/>
          <tpl fld="5" item="0"/>
          <tpl fld="6" item="2"/>
          <tpl hier="236" item="0"/>
          <tpl fld="4" item="6"/>
          <tpl fld="10" item="4"/>
        </tpls>
      </n>
      <m>
        <tpls c="4">
          <tpl fld="7" item="1054"/>
          <tpl fld="6" item="2"/>
          <tpl hier="236" item="0"/>
          <tpl fld="1" item="0"/>
        </tpls>
      </m>
      <m>
        <tpls c="6">
          <tpl fld="11" item="0"/>
          <tpl fld="5" item="4"/>
          <tpl fld="6" item="2"/>
          <tpl hier="236" item="0"/>
          <tpl fld="4" item="7"/>
          <tpl fld="10" item="5"/>
        </tpls>
      </m>
      <n v="3" in="2">
        <tpls c="5">
          <tpl fld="11" item="0"/>
          <tpl fld="5" item="0"/>
          <tpl fld="6" item="2"/>
          <tpl hier="236" item="0"/>
          <tpl fld="4" item="0"/>
        </tpls>
      </n>
      <n v="47" in="1">
        <tpls c="6">
          <tpl fld="3" item="1"/>
          <tpl fld="11" item="0"/>
          <tpl fld="6" item="1"/>
          <tpl hier="236" item="0"/>
          <tpl fld="4" item="4"/>
          <tpl fld="10" item="6"/>
        </tpls>
      </n>
      <m>
        <tpls c="5">
          <tpl fld="11" item="0"/>
          <tpl fld="2" item="4"/>
          <tpl fld="6" item="2"/>
          <tpl hier="236" item="0"/>
          <tpl fld="4" item="2"/>
        </tpls>
      </m>
      <n v="228" in="1">
        <tpls c="6">
          <tpl fld="3" item="1"/>
          <tpl fld="11" item="0"/>
          <tpl fld="6" item="1"/>
          <tpl hier="236" item="0"/>
          <tpl fld="4" item="4"/>
          <tpl fld="10" item="5"/>
        </tpls>
      </n>
      <n v="1" in="1">
        <tpls c="4">
          <tpl fld="7" item="952"/>
          <tpl fld="6" item="1"/>
          <tpl hier="236" item="0"/>
          <tpl fld="4" item="6"/>
        </tpls>
      </n>
      <n v="1" in="1">
        <tpls c="6">
          <tpl fld="3" item="4"/>
          <tpl fld="11" item="0"/>
          <tpl fld="6" item="1"/>
          <tpl hier="236" item="0"/>
          <tpl fld="4" item="7"/>
          <tpl fld="10" item="4"/>
        </tpls>
      </n>
      <n v="1" in="1">
        <tpls c="6">
          <tpl fld="11" item="0"/>
          <tpl fld="6" item="1"/>
          <tpl fld="8" item="0"/>
          <tpl hier="236" item="0"/>
          <tpl fld="4" item="7"/>
          <tpl fld="10" item="5"/>
        </tpls>
      </n>
      <m>
        <tpls c="4">
          <tpl fld="7" item="226"/>
          <tpl fld="6" item="1"/>
          <tpl hier="236" item="0"/>
          <tpl fld="4" item="4"/>
        </tpls>
      </m>
      <n v="361" in="1">
        <tpls c="6">
          <tpl fld="11" item="0"/>
          <tpl fld="2" item="1"/>
          <tpl fld="6" item="1"/>
          <tpl hier="236" item="0"/>
          <tpl fld="4" item="4"/>
          <tpl fld="10" item="5"/>
        </tpls>
      </n>
      <n v="4" in="1">
        <tpls c="5">
          <tpl fld="3" item="0"/>
          <tpl fld="11" item="0"/>
          <tpl fld="6" item="1"/>
          <tpl hier="236" item="0"/>
          <tpl fld="4" item="5"/>
        </tpls>
      </n>
      <n v="3" in="2">
        <tpls c="6">
          <tpl fld="11" item="0"/>
          <tpl fld="5" item="2"/>
          <tpl fld="6" item="2"/>
          <tpl hier="236" item="0"/>
          <tpl fld="4" item="6"/>
          <tpl fld="10" item="5"/>
        </tpls>
      </n>
      <n v="1466" in="1">
        <tpls c="6">
          <tpl fld="3" item="3"/>
          <tpl fld="11" item="0"/>
          <tpl fld="6" item="1"/>
          <tpl hier="236" item="0"/>
          <tpl fld="4" item="3"/>
          <tpl fld="10" item="7"/>
        </tpls>
      </n>
      <n v="26" in="1">
        <tpls c="6">
          <tpl fld="11" item="0"/>
          <tpl fld="2" item="4"/>
          <tpl fld="6" item="1"/>
          <tpl hier="236" item="0"/>
          <tpl fld="4" item="4"/>
          <tpl fld="10" item="4"/>
        </tpls>
      </n>
      <n v="68" in="1">
        <tpls c="6">
          <tpl fld="11" item="0"/>
          <tpl fld="2" item="4"/>
          <tpl fld="6" item="1"/>
          <tpl hier="236" item="0"/>
          <tpl fld="4" item="6"/>
          <tpl fld="10" item="5"/>
        </tpls>
      </n>
      <m>
        <tpls c="6">
          <tpl fld="11" item="0"/>
          <tpl fld="5" item="2"/>
          <tpl fld="6" item="2"/>
          <tpl hier="236" item="0"/>
          <tpl fld="4" item="3"/>
          <tpl fld="10" item="2"/>
        </tpls>
      </m>
      <n v="13" in="1">
        <tpls c="6">
          <tpl fld="11" item="0"/>
          <tpl fld="2" item="2"/>
          <tpl fld="6" item="1"/>
          <tpl hier="236" item="0"/>
          <tpl fld="4" item="1"/>
          <tpl fld="9" item="0"/>
        </tpls>
      </n>
      <m>
        <tpls c="3">
          <tpl fld="7" item="1079"/>
          <tpl fld="6" item="3"/>
          <tpl hier="236" item="0"/>
        </tpls>
      </m>
      <n v="30.117905405405406" in="2">
        <tpls c="6">
          <tpl fld="11" item="0"/>
          <tpl fld="2" item="2"/>
          <tpl fld="6" item="2"/>
          <tpl hier="236" item="0"/>
          <tpl fld="4" item="4"/>
          <tpl fld="10" item="0"/>
        </tpls>
      </n>
      <n v="85" in="1">
        <tpls c="6">
          <tpl fld="11" item="0"/>
          <tpl fld="2" item="2"/>
          <tpl fld="6" item="1"/>
          <tpl hier="236" item="0"/>
          <tpl fld="4" item="6"/>
          <tpl fld="10" item="3"/>
        </tpls>
      </n>
      <n v="344" in="1">
        <tpls c="6">
          <tpl fld="3" item="2"/>
          <tpl fld="11" item="0"/>
          <tpl fld="6" item="1"/>
          <tpl hier="236" item="0"/>
          <tpl fld="4" item="6"/>
          <tpl fld="10" item="2"/>
        </tpls>
      </n>
      <n v="33.526013513513519" in="2">
        <tpls c="6">
          <tpl fld="11" item="0"/>
          <tpl fld="2" item="3"/>
          <tpl fld="6" item="2"/>
          <tpl hier="236" item="0"/>
          <tpl fld="4" item="6"/>
          <tpl fld="10" item="0"/>
        </tpls>
      </n>
      <n v="1.9" in="2">
        <tpls c="6">
          <tpl fld="3" item="2"/>
          <tpl fld="11" item="0"/>
          <tpl fld="6" item="2"/>
          <tpl hier="236" item="0"/>
          <tpl fld="4" item="4"/>
          <tpl fld="10" item="1"/>
        </tpls>
      </n>
      <n v="236" in="1">
        <tpls c="6">
          <tpl fld="11" item="0"/>
          <tpl fld="6" item="1"/>
          <tpl fld="8" item="0"/>
          <tpl hier="236" item="0"/>
          <tpl fld="4" item="6"/>
          <tpl fld="10" item="4"/>
        </tpls>
      </n>
      <m>
        <tpls c="4">
          <tpl fld="7" item="108"/>
          <tpl fld="6" item="1"/>
          <tpl hier="236" item="0"/>
          <tpl fld="4" item="5"/>
        </tpls>
      </m>
      <m>
        <tpls c="4">
          <tpl fld="7" item="223"/>
          <tpl fld="6" item="1"/>
          <tpl hier="236" item="0"/>
          <tpl fld="4" item="4"/>
        </tpls>
      </m>
      <m>
        <tpls c="4">
          <tpl fld="7" item="17"/>
          <tpl fld="6" item="2"/>
          <tpl hier="236" item="0"/>
          <tpl fld="4" item="1"/>
        </tpls>
      </m>
      <n v="35" in="1">
        <tpls c="5">
          <tpl fld="11" item="0"/>
          <tpl fld="5" item="2"/>
          <tpl fld="6" item="1"/>
          <tpl hier="236" item="0"/>
          <tpl fld="4" item="2"/>
        </tpls>
      </n>
      <n v="18.346621621621622" in="2">
        <tpls c="5">
          <tpl fld="11" item="0"/>
          <tpl fld="2" item="1"/>
          <tpl fld="6" item="2"/>
          <tpl hier="236" item="0"/>
          <tpl fld="4" item="2"/>
        </tpls>
      </n>
      <n v="24" in="1">
        <tpls c="6">
          <tpl fld="3" item="1"/>
          <tpl fld="11" item="0"/>
          <tpl fld="6" item="1"/>
          <tpl hier="236" item="0"/>
          <tpl fld="4" item="7"/>
          <tpl fld="10" item="1"/>
        </tpls>
      </n>
      <n v="11.314189189189189" in="2">
        <tpls c="5">
          <tpl fld="11" item="0"/>
          <tpl fld="6" item="2"/>
          <tpl fld="8" item="1"/>
          <tpl hier="236" item="0"/>
          <tpl fld="4" item="2"/>
        </tpls>
      </n>
      <n v="73.206621621621622" in="2">
        <tpls c="5">
          <tpl fld="11" item="0"/>
          <tpl fld="6" item="2"/>
          <tpl hier="236" item="0"/>
          <tpl fld="4" item="6"/>
          <tpl fld="10" item="2"/>
        </tpls>
      </n>
      <n v="9567" in="1">
        <tpls c="5">
          <tpl fld="11" item="0"/>
          <tpl fld="2" item="3"/>
          <tpl fld="6" item="1"/>
          <tpl hier="236" item="0"/>
          <tpl fld="1" item="0"/>
        </tpls>
      </n>
      <n v="1" in="1">
        <tpls c="6">
          <tpl fld="3" item="0"/>
          <tpl fld="11" item="0"/>
          <tpl fld="6" item="1"/>
          <tpl hier="236" item="0"/>
          <tpl fld="4" item="6"/>
          <tpl fld="10" item="6"/>
        </tpls>
      </n>
      <n v="95" in="1">
        <tpls c="6">
          <tpl fld="3" item="0"/>
          <tpl fld="11" item="0"/>
          <tpl fld="6" item="1"/>
          <tpl hier="236" item="0"/>
          <tpl fld="4" item="3"/>
          <tpl fld="10" item="4"/>
        </tpls>
      </n>
      <n v="1" in="2">
        <tpls c="5">
          <tpl fld="3" item="0"/>
          <tpl fld="11" item="0"/>
          <tpl fld="6" item="2"/>
          <tpl hier="236" item="0"/>
          <tpl fld="4" item="5"/>
        </tpls>
      </n>
      <m>
        <tpls c="3">
          <tpl fld="7" item="1202"/>
          <tpl fld="6" item="3"/>
          <tpl hier="236" item="0"/>
        </tpls>
      </m>
      <n v="0.89999999999999991" in="2">
        <tpls c="6">
          <tpl fld="11" item="0"/>
          <tpl fld="5" item="4"/>
          <tpl fld="6" item="2"/>
          <tpl hier="236" item="0"/>
          <tpl fld="4" item="4"/>
          <tpl fld="10" item="5"/>
        </tpls>
      </n>
      <n v="28" in="1">
        <tpls c="4">
          <tpl fld="7" item="1155"/>
          <tpl fld="6" item="1"/>
          <tpl hier="236" item="0"/>
          <tpl fld="4" item="6"/>
        </tpls>
      </n>
      <n v="36" in="1">
        <tpls c="6">
          <tpl fld="11" item="0"/>
          <tpl fld="5" item="2"/>
          <tpl fld="6" item="1"/>
          <tpl hier="236" item="0"/>
          <tpl fld="4" item="4"/>
          <tpl fld="10" item="3"/>
        </tpls>
      </n>
      <n v="99" in="1">
        <tpls c="6">
          <tpl fld="11" item="0"/>
          <tpl fld="5" item="1"/>
          <tpl fld="6" item="1"/>
          <tpl hier="236" item="0"/>
          <tpl fld="4" item="1"/>
          <tpl fld="9" item="2"/>
        </tpls>
      </n>
      <n v="0.75" in="2">
        <tpls c="6">
          <tpl fld="11" item="0"/>
          <tpl fld="2" item="0"/>
          <tpl fld="6" item="2"/>
          <tpl hier="236" item="0"/>
          <tpl fld="4" item="4"/>
          <tpl fld="10" item="5"/>
        </tpls>
      </n>
      <n v="129" in="1">
        <tpls c="6">
          <tpl fld="3" item="4"/>
          <tpl fld="11" item="0"/>
          <tpl fld="6" item="1"/>
          <tpl hier="236" item="0"/>
          <tpl fld="4" item="6"/>
          <tpl fld="10" item="6"/>
        </tpls>
      </n>
      <n v="6" in="1">
        <tpls c="6">
          <tpl fld="11" item="0"/>
          <tpl fld="5" item="0"/>
          <tpl fld="6" item="1"/>
          <tpl hier="236" item="0"/>
          <tpl fld="4" item="4"/>
          <tpl fld="10" item="1"/>
        </tpls>
      </n>
      <n v="108" in="1">
        <tpls c="6">
          <tpl fld="11" item="0"/>
          <tpl fld="2" item="0"/>
          <tpl fld="6" item="1"/>
          <tpl hier="236" item="0"/>
          <tpl fld="4" item="4"/>
          <tpl fld="10" item="3"/>
        </tpls>
      </n>
      <m>
        <tpls c="6">
          <tpl fld="11" item="0"/>
          <tpl fld="2" item="4"/>
          <tpl fld="6" item="2"/>
          <tpl hier="236" item="0"/>
          <tpl fld="4" item="7"/>
          <tpl fld="10" item="6"/>
        </tpls>
      </m>
      <n v="1113" in="1">
        <tpls c="6">
          <tpl fld="11" item="0"/>
          <tpl fld="2" item="2"/>
          <tpl fld="6" item="1"/>
          <tpl hier="236" item="0"/>
          <tpl fld="4" item="6"/>
          <tpl fld="10" item="7"/>
        </tpls>
      </n>
      <n v="9" in="1">
        <tpls c="6">
          <tpl fld="3" item="0"/>
          <tpl fld="11" item="0"/>
          <tpl fld="6" item="1"/>
          <tpl hier="236" item="0"/>
          <tpl fld="4" item="3"/>
          <tpl fld="10" item="5"/>
        </tpls>
      </n>
      <m>
        <tpls c="4">
          <tpl fld="7" item="1285"/>
          <tpl fld="6" item="2"/>
          <tpl hier="236" item="0"/>
          <tpl fld="4" item="5"/>
        </tpls>
      </m>
      <m>
        <tpls c="4">
          <tpl fld="7" item="1262"/>
          <tpl fld="6" item="1"/>
          <tpl hier="236" item="0"/>
          <tpl fld="4" item="6"/>
        </tpls>
      </m>
      <m>
        <tpls c="6">
          <tpl fld="11" item="0"/>
          <tpl fld="5" item="2"/>
          <tpl fld="6" item="2"/>
          <tpl hier="236" item="0"/>
          <tpl fld="4" item="4"/>
          <tpl fld="10" item="4"/>
        </tpls>
      </m>
      <n v="197" in="1">
        <tpls c="6">
          <tpl fld="11" item="0"/>
          <tpl fld="5" item="5"/>
          <tpl fld="6" item="1"/>
          <tpl hier="236" item="0"/>
          <tpl fld="4" item="4"/>
          <tpl fld="10" item="5"/>
        </tpls>
      </n>
      <n v="172.24290540540539" in="2">
        <tpls c="6">
          <tpl fld="11" item="0"/>
          <tpl fld="2" item="1"/>
          <tpl fld="6" item="2"/>
          <tpl hier="236" item="0"/>
          <tpl fld="4" item="4"/>
          <tpl fld="10" item="0"/>
        </tpls>
      </n>
      <n v="28.032432432432433" in="2">
        <tpls c="6">
          <tpl fld="11" item="0"/>
          <tpl fld="2" item="2"/>
          <tpl fld="6" item="2"/>
          <tpl hier="236" item="0"/>
          <tpl fld="4" item="6"/>
          <tpl fld="10" item="7"/>
        </tpls>
      </n>
      <m>
        <tpls c="6">
          <tpl fld="11" item="0"/>
          <tpl fld="2" item="2"/>
          <tpl fld="6" item="2"/>
          <tpl hier="236" item="0"/>
          <tpl fld="4" item="7"/>
          <tpl fld="10" item="3"/>
        </tpls>
      </m>
      <n v="277" in="1">
        <tpls c="5">
          <tpl fld="11" item="0"/>
          <tpl fld="2" item="2"/>
          <tpl fld="6" item="1"/>
          <tpl hier="236" item="0"/>
          <tpl fld="4" item="0"/>
        </tpls>
      </n>
      <n v="20" in="1">
        <tpls c="6">
          <tpl fld="3" item="1"/>
          <tpl fld="11" item="0"/>
          <tpl fld="6" item="1"/>
          <tpl hier="236" item="0"/>
          <tpl fld="4" item="6"/>
          <tpl fld="10" item="6"/>
        </tpls>
      </n>
      <n v="4.0297297297297296" in="2">
        <tpls c="6">
          <tpl fld="3" item="4"/>
          <tpl fld="11" item="0"/>
          <tpl fld="6" item="2"/>
          <tpl hier="236" item="0"/>
          <tpl fld="4" item="1"/>
          <tpl fld="9" item="3"/>
        </tpls>
      </n>
      <n v="119" in="1">
        <tpls c="6">
          <tpl fld="3" item="3"/>
          <tpl fld="11" item="0"/>
          <tpl fld="6" item="1"/>
          <tpl hier="236" item="0"/>
          <tpl fld="4" item="6"/>
          <tpl fld="10" item="2"/>
        </tpls>
      </n>
      <m>
        <tpls c="5">
          <tpl fld="3" item="0"/>
          <tpl fld="11" item="0"/>
          <tpl fld="6" item="2"/>
          <tpl hier="236" item="0"/>
          <tpl fld="4" item="0"/>
        </tpls>
      </m>
      <n v="72.528378378378378" in="2">
        <tpls c="6">
          <tpl fld="11" item="0"/>
          <tpl fld="5" item="2"/>
          <tpl fld="6" item="2"/>
          <tpl hier="236" item="0"/>
          <tpl fld="4" item="1"/>
          <tpl fld="9" item="4"/>
        </tpls>
      </n>
      <n v="3.3006756756756759" in="2">
        <tpls c="6">
          <tpl fld="11" item="0"/>
          <tpl fld="2" item="3"/>
          <tpl fld="6" item="2"/>
          <tpl hier="236" item="0"/>
          <tpl fld="4" item="6"/>
          <tpl fld="10" item="5"/>
        </tpls>
      </n>
      <n v="30" in="1">
        <tpls c="6">
          <tpl fld="3" item="3"/>
          <tpl fld="11" item="0"/>
          <tpl fld="6" item="1"/>
          <tpl hier="236" item="0"/>
          <tpl fld="4" item="6"/>
          <tpl fld="10" item="3"/>
        </tpls>
      </n>
      <m>
        <tpls c="6">
          <tpl fld="3" item="2"/>
          <tpl fld="11" item="0"/>
          <tpl fld="6" item="1"/>
          <tpl hier="236" item="0"/>
          <tpl fld="4" item="7"/>
          <tpl fld="10" item="1"/>
        </tpls>
      </m>
      <n v="234" in="1">
        <tpls c="5">
          <tpl fld="3" item="2"/>
          <tpl fld="11" item="0"/>
          <tpl fld="6" item="1"/>
          <tpl hier="236" item="0"/>
          <tpl fld="4" item="5"/>
        </tpls>
      </n>
      <n v="480" in="1">
        <tpls c="6">
          <tpl fld="11" item="0"/>
          <tpl fld="6" item="1"/>
          <tpl fld="8" item="1"/>
          <tpl hier="236" item="0"/>
          <tpl fld="4" item="1"/>
          <tpl fld="9" item="2"/>
        </tpls>
      </n>
      <n v="61.573378378378379" in="2">
        <tpls c="6">
          <tpl fld="11" item="0"/>
          <tpl fld="6" item="2"/>
          <tpl fld="8" item="1"/>
          <tpl hier="236" item="0"/>
          <tpl fld="4" item="6"/>
          <tpl fld="10" item="2"/>
        </tpls>
      </n>
      <n v="68" in="1">
        <tpls c="6">
          <tpl fld="11" item="0"/>
          <tpl fld="6" item="1"/>
          <tpl fld="8" item="0"/>
          <tpl hier="236" item="0"/>
          <tpl fld="4" item="7"/>
          <tpl fld="10" item="2"/>
        </tpls>
      </n>
      <m>
        <tpls c="4">
          <tpl fld="7" item="2"/>
          <tpl fld="6" item="1"/>
          <tpl hier="236" item="0"/>
          <tpl fld="1" item="0"/>
        </tpls>
      </m>
      <m>
        <tpls c="4">
          <tpl fld="7" item="223"/>
          <tpl fld="6" item="2"/>
          <tpl hier="236" item="0"/>
          <tpl fld="4" item="6"/>
        </tpls>
      </m>
      <m>
        <tpls c="4">
          <tpl fld="7" item="228"/>
          <tpl fld="6" item="1"/>
          <tpl hier="236" item="0"/>
          <tpl fld="4" item="4"/>
        </tpls>
      </m>
      <m>
        <tpls c="4">
          <tpl fld="7" item="330"/>
          <tpl fld="6" item="2"/>
          <tpl hier="236" item="0"/>
          <tpl fld="4" item="1"/>
        </tpls>
      </m>
      <n v="7.9108108108108102" in="2">
        <tpls c="6">
          <tpl fld="11" item="0"/>
          <tpl fld="5" item="0"/>
          <tpl fld="6" item="2"/>
          <tpl hier="236" item="0"/>
          <tpl fld="4" item="6"/>
          <tpl fld="10" item="2"/>
        </tpls>
      </n>
      <n v="1177" in="1">
        <tpls c="6">
          <tpl fld="11" item="0"/>
          <tpl fld="2" item="1"/>
          <tpl fld="6" item="1"/>
          <tpl hier="236" item="0"/>
          <tpl fld="4" item="6"/>
          <tpl fld="10" item="7"/>
        </tpls>
      </n>
      <n v="0" in="1">
        <tpls c="6">
          <tpl fld="3" item="2"/>
          <tpl fld="11" item="0"/>
          <tpl fld="6" item="1"/>
          <tpl hier="236" item="0"/>
          <tpl fld="4" item="3"/>
          <tpl fld="10" item="5"/>
        </tpls>
      </n>
      <m>
        <tpls c="6">
          <tpl fld="3" item="2"/>
          <tpl fld="11" item="0"/>
          <tpl fld="6" item="2"/>
          <tpl hier="236" item="0"/>
          <tpl fld="4" item="7"/>
          <tpl fld="10" item="4"/>
        </tpls>
      </m>
      <m>
        <tpls c="6">
          <tpl fld="3" item="4"/>
          <tpl fld="11" item="0"/>
          <tpl fld="6" item="2"/>
          <tpl hier="236" item="0"/>
          <tpl fld="4" item="7"/>
          <tpl fld="10" item="3"/>
        </tpls>
      </m>
      <n v="6.3297297297297295" in="2">
        <tpls c="5">
          <tpl fld="11" item="0"/>
          <tpl fld="6" item="2"/>
          <tpl hier="236" item="0"/>
          <tpl fld="4" item="1"/>
          <tpl fld="9" item="3"/>
        </tpls>
      </n>
      <n v="2158" in="1">
        <tpls c="6">
          <tpl fld="11" item="0"/>
          <tpl fld="6" item="1"/>
          <tpl fld="8" item="1"/>
          <tpl hier="236" item="0"/>
          <tpl fld="4" item="6"/>
          <tpl fld="10" item="2"/>
        </tpls>
      </n>
      <n v="722" in="1">
        <tpls c="6">
          <tpl fld="11" item="0"/>
          <tpl fld="5" item="2"/>
          <tpl fld="6" item="1"/>
          <tpl hier="236" item="0"/>
          <tpl fld="4" item="4"/>
          <tpl fld="10" item="0"/>
        </tpls>
      </n>
      <n v="6.3" in="2">
        <tpls c="6">
          <tpl fld="11" item="0"/>
          <tpl fld="2" item="3"/>
          <tpl fld="6" item="2"/>
          <tpl hier="236" item="0"/>
          <tpl fld="4" item="6"/>
          <tpl fld="10" item="3"/>
        </tpls>
      </n>
      <n v="1" in="2">
        <tpls c="6">
          <tpl fld="3" item="0"/>
          <tpl fld="11" item="0"/>
          <tpl fld="6" item="2"/>
          <tpl hier="236" item="0"/>
          <tpl fld="4" item="1"/>
          <tpl fld="9" item="4"/>
        </tpls>
      </n>
      <n v="5" in="1">
        <tpls c="6">
          <tpl fld="3" item="0"/>
          <tpl fld="11" item="0"/>
          <tpl fld="6" item="1"/>
          <tpl hier="236" item="0"/>
          <tpl fld="4" item="7"/>
          <tpl fld="10" item="1"/>
        </tpls>
      </n>
      <m>
        <tpls c="6">
          <tpl fld="3" item="2"/>
          <tpl fld="11" item="0"/>
          <tpl fld="6" item="2"/>
          <tpl hier="236" item="0"/>
          <tpl fld="4" item="3"/>
          <tpl fld="10" item="8"/>
        </tpls>
      </m>
      <n v="255" in="1">
        <tpls c="5">
          <tpl fld="11" item="0"/>
          <tpl fld="6" item="1"/>
          <tpl fld="8" item="0"/>
          <tpl hier="236" item="0"/>
          <tpl fld="4" item="2"/>
        </tpls>
      </n>
      <n v="149" in="1">
        <tpls c="6">
          <tpl fld="11" item="0"/>
          <tpl fld="6" item="1"/>
          <tpl fld="8" item="1"/>
          <tpl hier="236" item="0"/>
          <tpl fld="4" item="4"/>
          <tpl fld="10" item="1"/>
        </tpls>
      </n>
      <n v="213" in="1">
        <tpls c="6">
          <tpl fld="11" item="0"/>
          <tpl fld="6" item="1"/>
          <tpl fld="8" item="0"/>
          <tpl hier="236" item="0"/>
          <tpl fld="4" item="6"/>
          <tpl fld="10" item="2"/>
        </tpls>
      </n>
      <n v="33" in="1">
        <tpls c="6">
          <tpl fld="11" item="0"/>
          <tpl fld="6" item="1"/>
          <tpl fld="8" item="1"/>
          <tpl hier="236" item="0"/>
          <tpl fld="4" item="7"/>
          <tpl fld="10" item="1"/>
        </tpls>
      </n>
      <m>
        <tpls c="4">
          <tpl fld="7" item="466"/>
          <tpl fld="6" item="1"/>
          <tpl hier="236" item="0"/>
          <tpl fld="1" item="0"/>
        </tpls>
      </m>
      <m>
        <tpls c="4">
          <tpl fld="7" item="220"/>
          <tpl fld="6" item="1"/>
          <tpl hier="236" item="0"/>
          <tpl fld="4" item="5"/>
        </tpls>
      </m>
      <m>
        <tpls c="4">
          <tpl fld="7" item="7"/>
          <tpl fld="6" item="2"/>
          <tpl hier="236" item="0"/>
          <tpl fld="4" item="1"/>
        </tpls>
      </m>
      <m>
        <tpls c="4">
          <tpl fld="7" item="118"/>
          <tpl fld="6" item="1"/>
          <tpl hier="236" item="0"/>
          <tpl fld="4" item="4"/>
        </tpls>
      </m>
      <m>
        <tpls c="4">
          <tpl fld="7" item="234"/>
          <tpl fld="6" item="2"/>
          <tpl hier="236" item="0"/>
          <tpl fld="4" item="1"/>
        </tpls>
      </m>
      <m>
        <tpls c="4">
          <tpl fld="7" item="242"/>
          <tpl fld="6" item="2"/>
          <tpl hier="236" item="0"/>
          <tpl fld="4" item="1"/>
        </tpls>
      </m>
      <n v="2" in="2">
        <tpls c="6">
          <tpl fld="3" item="2"/>
          <tpl fld="11" item="0"/>
          <tpl fld="6" item="2"/>
          <tpl hier="236" item="0"/>
          <tpl fld="4" item="1"/>
          <tpl fld="9" item="0"/>
        </tpls>
      </n>
      <n v="1207" in="1">
        <tpls c="5">
          <tpl fld="11" item="0"/>
          <tpl fld="6" item="1"/>
          <tpl hier="236" item="0"/>
          <tpl fld="4" item="4"/>
          <tpl fld="10" item="6"/>
        </tpls>
      </n>
      <n v="7.4320945945945951" in="2">
        <tpls c="6">
          <tpl fld="11" item="0"/>
          <tpl fld="6" item="2"/>
          <tpl fld="8" item="0"/>
          <tpl hier="236" item="0"/>
          <tpl fld="4" item="6"/>
          <tpl fld="10" item="6"/>
        </tpls>
      </n>
      <m>
        <tpls c="4">
          <tpl fld="7" item="326"/>
          <tpl fld="6" item="2"/>
          <tpl hier="236" item="0"/>
          <tpl fld="4" item="6"/>
        </tpls>
      </m>
      <m>
        <tpls c="4">
          <tpl fld="7" item="399"/>
          <tpl fld="6" item="2"/>
          <tpl hier="236" item="0"/>
          <tpl fld="4" item="1"/>
        </tpls>
      </m>
      <m>
        <tpls c="6">
          <tpl fld="11" item="0"/>
          <tpl fld="5" item="3"/>
          <tpl fld="6" item="2"/>
          <tpl hier="236" item="0"/>
          <tpl fld="4" item="6"/>
          <tpl fld="10" item="6"/>
        </tpls>
      </m>
      <m>
        <tpls c="6">
          <tpl fld="11" item="0"/>
          <tpl fld="5" item="3"/>
          <tpl fld="6" item="2"/>
          <tpl hier="236" item="0"/>
          <tpl fld="4" item="3"/>
          <tpl fld="10" item="5"/>
        </tpls>
      </m>
      <n v="34" in="1">
        <tpls c="6">
          <tpl fld="11" item="0"/>
          <tpl fld="5" item="3"/>
          <tpl fld="6" item="1"/>
          <tpl hier="236" item="0"/>
          <tpl fld="4" item="4"/>
          <tpl fld="10" item="1"/>
        </tpls>
      </n>
      <n v="153" in="1">
        <tpls c="6">
          <tpl fld="11" item="0"/>
          <tpl fld="2" item="2"/>
          <tpl fld="6" item="1"/>
          <tpl hier="236" item="0"/>
          <tpl fld="4" item="1"/>
          <tpl fld="9" item="2"/>
        </tpls>
      </n>
      <n v="26.664189189189191" in="2">
        <tpls c="4">
          <tpl fld="11" item="0"/>
          <tpl fld="6" item="2"/>
          <tpl hier="236" item="0"/>
          <tpl fld="4" item="2"/>
        </tpls>
      </n>
      <n v="37.983445945945938" in="2">
        <tpls c="6">
          <tpl fld="11" item="0"/>
          <tpl fld="2" item="1"/>
          <tpl fld="6" item="2"/>
          <tpl hier="236" item="0"/>
          <tpl fld="4" item="4"/>
          <tpl fld="10" item="6"/>
        </tpls>
      </n>
      <n v="973" in="1">
        <tpls c="6">
          <tpl fld="11" item="0"/>
          <tpl fld="2" item="2"/>
          <tpl fld="6" item="1"/>
          <tpl hier="236" item="0"/>
          <tpl fld="4" item="3"/>
          <tpl fld="10" item="2"/>
        </tpls>
      </n>
      <m>
        <tpls c="6">
          <tpl fld="3" item="4"/>
          <tpl fld="11" item="0"/>
          <tpl fld="6" item="2"/>
          <tpl hier="236" item="0"/>
          <tpl fld="4" item="3"/>
          <tpl fld="10" item="6"/>
        </tpls>
      </m>
      <m>
        <tpls c="6">
          <tpl fld="11" item="0"/>
          <tpl fld="2" item="3"/>
          <tpl fld="6" item="2"/>
          <tpl hier="236" item="0"/>
          <tpl fld="4" item="6"/>
          <tpl fld="10" item="1"/>
        </tpls>
      </m>
      <n v="1" in="2">
        <tpls c="6">
          <tpl fld="3" item="0"/>
          <tpl fld="11" item="0"/>
          <tpl fld="6" item="2"/>
          <tpl hier="236" item="0"/>
          <tpl fld="4" item="7"/>
          <tpl fld="10" item="3"/>
        </tpls>
      </n>
      <n v="232" in="1">
        <tpls c="5">
          <tpl fld="11" item="0"/>
          <tpl fld="6" item="1"/>
          <tpl fld="8" item="0"/>
          <tpl hier="236" item="0"/>
          <tpl fld="4" item="0"/>
        </tpls>
      </n>
      <m>
        <tpls c="4">
          <tpl fld="7" item="120"/>
          <tpl fld="6" item="1"/>
          <tpl hier="236" item="0"/>
          <tpl fld="4" item="4"/>
        </tpls>
      </m>
      <n v="383" in="1">
        <tpls c="6">
          <tpl fld="11" item="0"/>
          <tpl fld="2" item="1"/>
          <tpl fld="6" item="1"/>
          <tpl hier="236" item="0"/>
          <tpl fld="4" item="6"/>
          <tpl fld="10" item="4"/>
        </tpls>
      </n>
      <n v="0" in="1">
        <tpls c="6">
          <tpl fld="3" item="2"/>
          <tpl fld="11" item="0"/>
          <tpl fld="6" item="1"/>
          <tpl hier="236" item="0"/>
          <tpl fld="4" item="7"/>
          <tpl fld="10" item="3"/>
        </tpls>
      </n>
      <m>
        <tpls c="6">
          <tpl fld="11" item="0"/>
          <tpl fld="5" item="1"/>
          <tpl fld="6" item="2"/>
          <tpl hier="236" item="0"/>
          <tpl fld="4" item="3"/>
          <tpl fld="10" item="2"/>
        </tpls>
      </m>
      <n v="54" in="1">
        <tpls c="6">
          <tpl fld="3" item="1"/>
          <tpl fld="11" item="0"/>
          <tpl fld="6" item="1"/>
          <tpl hier="236" item="0"/>
          <tpl fld="4" item="7"/>
          <tpl fld="10" item="4"/>
        </tpls>
      </n>
      <n v="433" in="1">
        <tpls c="6">
          <tpl fld="11" item="0"/>
          <tpl fld="6" item="1"/>
          <tpl fld="8" item="1"/>
          <tpl hier="236" item="0"/>
          <tpl fld="4" item="1"/>
          <tpl fld="9" item="3"/>
        </tpls>
      </n>
      <n v="3933" in="1">
        <tpls c="6">
          <tpl fld="11" item="0"/>
          <tpl fld="6" item="1"/>
          <tpl fld="8" item="1"/>
          <tpl hier="236" item="0"/>
          <tpl fld="4" item="6"/>
          <tpl fld="10" item="8"/>
        </tpls>
      </n>
      <n v="85" in="1">
        <tpls c="6">
          <tpl fld="11" item="0"/>
          <tpl fld="6" item="1"/>
          <tpl fld="8" item="1"/>
          <tpl hier="236" item="0"/>
          <tpl fld="4" item="7"/>
          <tpl fld="10" item="4"/>
        </tpls>
      </n>
      <m>
        <tpls c="4">
          <tpl fld="7" item="110"/>
          <tpl fld="6" item="2"/>
          <tpl hier="236" item="0"/>
          <tpl fld="4" item="6"/>
        </tpls>
      </m>
      <m>
        <tpls c="4">
          <tpl fld="7" item="397"/>
          <tpl fld="6" item="1"/>
          <tpl hier="236" item="0"/>
          <tpl fld="1" item="0"/>
        </tpls>
      </m>
      <m>
        <tpls c="4">
          <tpl fld="7" item="979"/>
          <tpl fld="6" item="1"/>
          <tpl hier="236" item="0"/>
          <tpl fld="4" item="4"/>
        </tpls>
      </m>
      <m>
        <tpls c="4">
          <tpl fld="7" item="130"/>
          <tpl fld="6" item="2"/>
          <tpl hier="236" item="0"/>
          <tpl fld="4" item="1"/>
        </tpls>
      </m>
      <n v="172" in="1">
        <tpls c="6">
          <tpl fld="11" item="0"/>
          <tpl fld="2" item="2"/>
          <tpl fld="6" item="1"/>
          <tpl hier="236" item="0"/>
          <tpl fld="4" item="4"/>
          <tpl fld="10" item="4"/>
        </tpls>
      </n>
      <n v="13.182094594594595" in="2">
        <tpls c="5">
          <tpl fld="11" item="0"/>
          <tpl fld="6" item="2"/>
          <tpl hier="236" item="0"/>
          <tpl fld="4" item="6"/>
          <tpl fld="10" item="6"/>
        </tpls>
      </n>
      <m>
        <tpls c="4">
          <tpl fld="7" item="219"/>
          <tpl fld="6" item="1"/>
          <tpl hier="236" item="0"/>
          <tpl fld="1" item="0"/>
        </tpls>
      </m>
      <m>
        <tpls c="4">
          <tpl fld="7" item="469"/>
          <tpl fld="6" item="2"/>
          <tpl hier="236" item="0"/>
          <tpl fld="4" item="1"/>
        </tpls>
      </m>
      <m>
        <tpls c="4">
          <tpl fld="7" item="1082"/>
          <tpl fld="6" item="1"/>
          <tpl hier="236" item="0"/>
          <tpl fld="4" item="4"/>
        </tpls>
      </m>
      <m>
        <tpls c="4">
          <tpl fld="7" item="403"/>
          <tpl fld="6" item="2"/>
          <tpl hier="236" item="0"/>
          <tpl fld="4" item="4"/>
        </tpls>
      </m>
      <m>
        <tpls c="4">
          <tpl fld="7" item="250"/>
          <tpl fld="6" item="1"/>
          <tpl hier="236" item="0"/>
          <tpl fld="4" item="6"/>
        </tpls>
      </m>
      <m>
        <tpls c="3">
          <tpl fld="7" item="37"/>
          <tpl fld="6" item="3"/>
          <tpl hier="236" item="0"/>
        </tpls>
      </m>
      <m>
        <tpls c="4">
          <tpl fld="7" item="148"/>
          <tpl fld="6" item="2"/>
          <tpl hier="236" item="0"/>
          <tpl fld="4" item="1"/>
        </tpls>
      </m>
      <m>
        <tpls c="3">
          <tpl fld="7" item="43"/>
          <tpl fld="6" item="3"/>
          <tpl hier="236" item="0"/>
        </tpls>
      </m>
      <m>
        <tpls c="3">
          <tpl fld="7" item="45"/>
          <tpl fld="6" item="3"/>
          <tpl hier="236" item="0"/>
        </tpls>
      </m>
      <m>
        <tpls c="3">
          <tpl fld="7" item="47"/>
          <tpl fld="6" item="3"/>
          <tpl hier="236" item="0"/>
        </tpls>
      </m>
      <m>
        <tpls c="3">
          <tpl fld="7" item="49"/>
          <tpl fld="6" item="3"/>
          <tpl hier="236" item="0"/>
        </tpls>
      </m>
      <m>
        <tpls c="3">
          <tpl fld="7" item="51"/>
          <tpl fld="6" item="3"/>
          <tpl hier="236" item="0"/>
        </tpls>
      </m>
      <m>
        <tpls c="3">
          <tpl fld="7" item="53"/>
          <tpl fld="6" item="3"/>
          <tpl hier="236" item="0"/>
        </tpls>
      </m>
      <m>
        <tpls c="3">
          <tpl fld="7" item="55"/>
          <tpl fld="6" item="3"/>
          <tpl hier="236" item="0"/>
        </tpls>
      </m>
      <m>
        <tpls c="3">
          <tpl fld="7" item="57"/>
          <tpl fld="6" item="3"/>
          <tpl hier="236" item="0"/>
        </tpls>
      </m>
      <m>
        <tpls c="4">
          <tpl fld="7" item="62"/>
          <tpl fld="6" item="2"/>
          <tpl hier="236" item="0"/>
          <tpl fld="4" item="1"/>
        </tpls>
      </m>
      <m>
        <tpls c="4">
          <tpl fld="7" item="174"/>
          <tpl fld="6" item="2"/>
          <tpl hier="236" item="0"/>
          <tpl fld="4" item="1"/>
        </tpls>
      </m>
      <m>
        <tpls c="4">
          <tpl fld="7" item="342"/>
          <tpl fld="6" item="1"/>
          <tpl hier="236" item="0"/>
          <tpl fld="4" item="4"/>
        </tpls>
      </m>
      <m>
        <tpls c="4">
          <tpl fld="7" item="484"/>
          <tpl fld="6" item="2"/>
          <tpl hier="236" item="0"/>
          <tpl fld="4" item="4"/>
        </tpls>
      </m>
      <m>
        <tpls c="4">
          <tpl fld="7" item="292"/>
          <tpl fld="6" item="1"/>
          <tpl hier="236" item="0"/>
          <tpl fld="4" item="6"/>
        </tpls>
      </m>
      <m>
        <tpls c="3">
          <tpl fld="7" item="79"/>
          <tpl fld="6" item="3"/>
          <tpl hier="236" item="0"/>
        </tpls>
      </m>
      <m>
        <tpls c="4">
          <tpl fld="7" item="190"/>
          <tpl fld="6" item="2"/>
          <tpl hier="236" item="0"/>
          <tpl fld="4" item="1"/>
        </tpls>
      </m>
      <m>
        <tpls c="4">
          <tpl fld="7" item="85"/>
          <tpl fld="6" item="2"/>
          <tpl hier="236" item="0"/>
          <tpl fld="4" item="4"/>
        </tpls>
      </m>
      <m>
        <tpls c="4">
          <tpl fld="7" item="196"/>
          <tpl fld="6" item="1"/>
          <tpl hier="236" item="0"/>
          <tpl fld="4" item="6"/>
        </tpls>
      </m>
      <m>
        <tpls c="3">
          <tpl fld="7" item="1083"/>
          <tpl fld="6" item="3"/>
          <tpl hier="236" item="0"/>
        </tpls>
      </m>
      <m>
        <tpls c="4">
          <tpl fld="7" item="311"/>
          <tpl fld="6" item="2"/>
          <tpl hier="236" item="0"/>
          <tpl fld="4" item="1"/>
        </tpls>
      </m>
      <m>
        <tpls c="4">
          <tpl fld="7" item="98"/>
          <tpl fld="6" item="1"/>
          <tpl hier="236" item="0"/>
          <tpl fld="4" item="4"/>
        </tpls>
      </m>
      <n v="72" in="1">
        <tpls c="5">
          <tpl fld="11" item="0"/>
          <tpl fld="2" item="4"/>
          <tpl fld="6" item="1"/>
          <tpl hier="236" item="0"/>
          <tpl fld="4" item="5"/>
        </tpls>
      </n>
      <n v="642" in="1">
        <tpls c="4">
          <tpl fld="11" item="0"/>
          <tpl fld="6" item="1"/>
          <tpl hier="236" item="0"/>
          <tpl fld="4" item="2"/>
        </tpls>
      </n>
      <n v="1018" in="1">
        <tpls c="5">
          <tpl fld="11" item="0"/>
          <tpl fld="6" item="1"/>
          <tpl hier="236" item="0"/>
          <tpl fld="4" item="7"/>
          <tpl fld="10" item="2"/>
        </tpls>
      </n>
      <m>
        <tpls c="4">
          <tpl fld="7" item="467"/>
          <tpl fld="6" item="1"/>
          <tpl hier="236" item="0"/>
          <tpl fld="4" item="5"/>
        </tpls>
      </m>
      <m>
        <tpls c="4">
          <tpl fld="7" item="228"/>
          <tpl fld="6" item="2"/>
          <tpl hier="236" item="0"/>
          <tpl fld="4" item="1"/>
        </tpls>
      </m>
      <m>
        <tpls c="4">
          <tpl fld="7" item="243"/>
          <tpl fld="6" item="2"/>
          <tpl hier="236" item="0"/>
          <tpl fld="4" item="4"/>
        </tpls>
      </m>
      <m>
        <tpls c="4">
          <tpl fld="7" item="246"/>
          <tpl fld="6" item="2"/>
          <tpl hier="236" item="0"/>
          <tpl fld="4" item="4"/>
        </tpls>
      </m>
      <m>
        <tpls c="4">
          <tpl fld="7" item="33"/>
          <tpl fld="6" item="1"/>
          <tpl hier="236" item="0"/>
          <tpl fld="4" item="6"/>
        </tpls>
      </m>
      <m>
        <tpls c="3">
          <tpl fld="7" item="144"/>
          <tpl fld="6" item="3"/>
          <tpl hier="236" item="0"/>
        </tpls>
      </m>
      <m>
        <tpls c="4">
          <tpl fld="7" item="752"/>
          <tpl fld="6" item="2"/>
          <tpl hier="236" item="0"/>
          <tpl fld="4" item="1"/>
        </tpls>
      </m>
      <m>
        <tpls c="4">
          <tpl fld="7" item="406"/>
          <tpl fld="6" item="1"/>
          <tpl hier="236" item="0"/>
          <tpl fld="4" item="6"/>
        </tpls>
      </m>
      <m>
        <tpls c="4">
          <tpl fld="7" item="477"/>
          <tpl fld="6" item="1"/>
          <tpl hier="236" item="0"/>
          <tpl fld="4" item="6"/>
        </tpls>
      </m>
      <m>
        <tpls c="4">
          <tpl fld="7" item="1160"/>
          <tpl fld="6" item="1"/>
          <tpl hier="236" item="0"/>
          <tpl fld="1" item="0"/>
        </tpls>
      </m>
      <m>
        <tpls c="6">
          <tpl fld="11" item="0"/>
          <tpl fld="5" item="1"/>
          <tpl fld="6" item="2"/>
          <tpl hier="236" item="0"/>
          <tpl fld="4" item="7"/>
          <tpl fld="10" item="0"/>
        </tpls>
      </m>
      <n v="44.899324324324333" in="2">
        <tpls c="5">
          <tpl fld="11" item="0"/>
          <tpl fld="2" item="1"/>
          <tpl fld="6" item="2"/>
          <tpl hier="236" item="0"/>
          <tpl fld="4" item="5"/>
        </tpls>
      </n>
      <n v="111" in="1">
        <tpls c="6">
          <tpl fld="11" item="0"/>
          <tpl fld="2" item="0"/>
          <tpl fld="6" item="1"/>
          <tpl hier="236" item="0"/>
          <tpl fld="4" item="3"/>
          <tpl fld="10" item="7"/>
        </tpls>
      </n>
      <n v="16.900675675675679" in="2">
        <tpls c="6">
          <tpl fld="3" item="4"/>
          <tpl fld="11" item="0"/>
          <tpl fld="6" item="2"/>
          <tpl hier="236" item="0"/>
          <tpl fld="4" item="4"/>
          <tpl fld="10" item="7"/>
        </tpls>
      </n>
      <n v="1901" in="1">
        <tpls c="5">
          <tpl fld="11" item="0"/>
          <tpl fld="5" item="1"/>
          <tpl fld="6" item="1"/>
          <tpl hier="236" item="0"/>
          <tpl fld="1" item="0"/>
        </tpls>
      </n>
      <n v="9.0986486486486484" in="2">
        <tpls c="6">
          <tpl fld="11" item="0"/>
          <tpl fld="2" item="1"/>
          <tpl fld="6" item="2"/>
          <tpl hier="236" item="0"/>
          <tpl fld="4" item="3"/>
          <tpl fld="10" item="4"/>
        </tpls>
      </n>
      <m>
        <tpls c="6">
          <tpl fld="3" item="0"/>
          <tpl fld="11" item="0"/>
          <tpl fld="6" item="1"/>
          <tpl hier="236" item="0"/>
          <tpl fld="4" item="1"/>
          <tpl fld="9" item="0"/>
        </tpls>
      </m>
      <n v="32" in="1">
        <tpls c="5">
          <tpl fld="11" item="0"/>
          <tpl fld="2" item="0"/>
          <tpl fld="6" item="1"/>
          <tpl hier="236" item="0"/>
          <tpl fld="4" item="2"/>
        </tpls>
      </n>
      <n v="8.5499999999999989" in="2">
        <tpls c="6">
          <tpl fld="3" item="3"/>
          <tpl fld="11" item="0"/>
          <tpl fld="6" item="2"/>
          <tpl hier="236" item="0"/>
          <tpl fld="4" item="3"/>
          <tpl fld="10" item="7"/>
        </tpls>
      </n>
      <n v="23.453378378378378" in="2">
        <tpls c="5">
          <tpl fld="11" item="0"/>
          <tpl fld="6" item="2"/>
          <tpl hier="236" item="0"/>
          <tpl fld="4" item="6"/>
          <tpl fld="10" item="5"/>
        </tpls>
      </n>
      <m>
        <tpls c="4">
          <tpl fld="7" item="326"/>
          <tpl fld="6" item="2"/>
          <tpl hier="236" item="0"/>
          <tpl fld="4" item="1"/>
        </tpls>
      </m>
      <m>
        <tpls c="6">
          <tpl fld="11" item="0"/>
          <tpl fld="5" item="2"/>
          <tpl fld="6" item="1"/>
          <tpl hier="236" item="0"/>
          <tpl fld="4" item="7"/>
          <tpl fld="10" item="4"/>
        </tpls>
      </m>
      <n v="0" in="1">
        <tpls c="6">
          <tpl fld="3" item="4"/>
          <tpl fld="11" item="0"/>
          <tpl fld="6" item="1"/>
          <tpl hier="236" item="0"/>
          <tpl fld="4" item="3"/>
          <tpl fld="10" item="7"/>
        </tpls>
      </n>
      <n v="717" in="1">
        <tpls c="5">
          <tpl fld="11" item="0"/>
          <tpl fld="6" item="1"/>
          <tpl hier="236" item="0"/>
          <tpl fld="4" item="6"/>
          <tpl fld="10" item="3"/>
        </tpls>
      </n>
      <n v="1962" in="1">
        <tpls c="6">
          <tpl fld="3" item="2"/>
          <tpl fld="11" item="0"/>
          <tpl fld="6" item="1"/>
          <tpl hier="236" item="0"/>
          <tpl fld="4" item="4"/>
          <tpl fld="10" item="0"/>
        </tpls>
      </n>
      <n v="24.068918918918918" in="2">
        <tpls c="6">
          <tpl fld="3" item="1"/>
          <tpl fld="11" item="0"/>
          <tpl fld="6" item="2"/>
          <tpl hier="236" item="0"/>
          <tpl fld="4" item="4"/>
          <tpl fld="10" item="0"/>
        </tpls>
      </n>
      <n v="2336" in="1">
        <tpls c="6">
          <tpl fld="11" item="0"/>
          <tpl fld="6" item="1"/>
          <tpl fld="8" item="1"/>
          <tpl hier="236" item="0"/>
          <tpl fld="4" item="4"/>
          <tpl fld="10" item="2"/>
        </tpls>
      </n>
      <n v="898" in="1">
        <tpls c="6">
          <tpl fld="11" item="0"/>
          <tpl fld="6" item="1"/>
          <tpl fld="8" item="1"/>
          <tpl hier="236" item="0"/>
          <tpl fld="4" item="3"/>
          <tpl fld="10" item="4"/>
        </tpls>
      </n>
      <m>
        <tpls c="4">
          <tpl fld="7" item="108"/>
          <tpl fld="6" item="2"/>
          <tpl hier="236" item="0"/>
          <tpl fld="4" item="6"/>
        </tpls>
      </m>
      <m>
        <tpls c="4">
          <tpl fld="7" item="221"/>
          <tpl fld="6" item="1"/>
          <tpl hier="236" item="0"/>
          <tpl fld="4" item="5"/>
        </tpls>
      </m>
      <m>
        <tpls c="4">
          <tpl fld="7" item="9"/>
          <tpl fld="6" item="2"/>
          <tpl hier="236" item="0"/>
          <tpl fld="4" item="1"/>
        </tpls>
      </m>
      <m>
        <tpls c="4">
          <tpl fld="7" item="125"/>
          <tpl fld="6" item="2"/>
          <tpl hier="236" item="0"/>
          <tpl fld="4" item="1"/>
        </tpls>
      </m>
      <n v="96" in="1">
        <tpls c="5">
          <tpl fld="11" item="0"/>
          <tpl fld="5" item="2"/>
          <tpl fld="6" item="1"/>
          <tpl hier="236" item="0"/>
          <tpl fld="4" item="0"/>
        </tpls>
      </n>
      <n v="31.851351351351351" in="2">
        <tpls c="6">
          <tpl fld="3" item="2"/>
          <tpl fld="11" item="0"/>
          <tpl fld="6" item="2"/>
          <tpl hier="236" item="0"/>
          <tpl fld="4" item="1"/>
          <tpl fld="9" item="2"/>
        </tpls>
      </n>
      <m>
        <tpls c="6">
          <tpl fld="11" item="0"/>
          <tpl fld="6" item="2"/>
          <tpl fld="8" item="0"/>
          <tpl hier="236" item="0"/>
          <tpl fld="4" item="7"/>
          <tpl fld="10" item="5"/>
        </tpls>
      </m>
      <m>
        <tpls c="4">
          <tpl fld="7" item="750"/>
          <tpl fld="6" item="2"/>
          <tpl hier="236" item="0"/>
          <tpl fld="4" item="6"/>
        </tpls>
      </m>
      <m>
        <tpls c="4">
          <tpl fld="7" item="472"/>
          <tpl fld="6" item="1"/>
          <tpl hier="236" item="0"/>
          <tpl fld="4" item="4"/>
        </tpls>
      </m>
      <m>
        <tpls c="4">
          <tpl fld="7" item="137"/>
          <tpl fld="6" item="2"/>
          <tpl hier="236" item="0"/>
          <tpl fld="4" item="1"/>
        </tpls>
      </m>
      <m>
        <tpls c="4">
          <tpl fld="7" item="474"/>
          <tpl fld="6" item="1"/>
          <tpl hier="236" item="0"/>
          <tpl fld="4" item="4"/>
        </tpls>
      </m>
      <m>
        <tpls c="4">
          <tpl fld="7" item="670"/>
          <tpl fld="6" item="2"/>
          <tpl hier="236" item="0"/>
          <tpl fld="4" item="4"/>
        </tpls>
      </m>
      <n v="0" in="1">
        <tpls c="4">
          <tpl fld="7" item="255"/>
          <tpl fld="6" item="1"/>
          <tpl hier="236" item="0"/>
          <tpl fld="4" item="6"/>
        </tpls>
      </n>
      <m>
        <tpls c="4">
          <tpl fld="7" item="42"/>
          <tpl fld="6" item="1"/>
          <tpl hier="236" item="0"/>
          <tpl fld="4" item="6"/>
        </tpls>
      </m>
      <m>
        <tpls c="4">
          <tpl fld="7" item="44"/>
          <tpl fld="6" item="1"/>
          <tpl hier="236" item="0"/>
          <tpl fld="1" item="0"/>
        </tpls>
      </m>
      <m>
        <tpls c="4">
          <tpl fld="7" item="46"/>
          <tpl fld="6" item="1"/>
          <tpl hier="236" item="0"/>
          <tpl fld="1" item="0"/>
        </tpls>
      </m>
      <m>
        <tpls c="4">
          <tpl fld="7" item="48"/>
          <tpl fld="6" item="1"/>
          <tpl hier="236" item="0"/>
          <tpl fld="1" item="0"/>
        </tpls>
      </m>
      <m>
        <tpls c="4">
          <tpl fld="7" item="50"/>
          <tpl fld="6" item="1"/>
          <tpl hier="236" item="0"/>
          <tpl fld="1" item="0"/>
        </tpls>
      </m>
      <m>
        <tpls c="4">
          <tpl fld="7" item="52"/>
          <tpl fld="6" item="1"/>
          <tpl hier="236" item="0"/>
          <tpl fld="1" item="0"/>
        </tpls>
      </m>
      <m>
        <tpls c="4">
          <tpl fld="7" item="54"/>
          <tpl fld="6" item="1"/>
          <tpl hier="236" item="0"/>
          <tpl fld="1" item="0"/>
        </tpls>
      </m>
      <m>
        <tpls c="4">
          <tpl fld="7" item="56"/>
          <tpl fld="6" item="1"/>
          <tpl hier="236" item="0"/>
          <tpl fld="1" item="0"/>
        </tpls>
      </m>
      <m>
        <tpls c="4">
          <tpl fld="7" item="410"/>
          <tpl fld="6" item="2"/>
          <tpl hier="236" item="0"/>
          <tpl fld="4" item="1"/>
        </tpls>
      </m>
      <m>
        <tpls c="4">
          <tpl fld="7" item="281"/>
          <tpl fld="6" item="1"/>
          <tpl hier="236" item="0"/>
          <tpl fld="4" item="6"/>
        </tpls>
      </m>
      <m>
        <tpls c="3">
          <tpl fld="7" item="68"/>
          <tpl fld="6" item="3"/>
          <tpl hier="236" item="0"/>
        </tpls>
      </m>
      <m>
        <tpls c="4">
          <tpl fld="7" item="179"/>
          <tpl fld="6" item="2"/>
          <tpl hier="236" item="0"/>
          <tpl fld="4" item="1"/>
        </tpls>
      </m>
      <m>
        <tpls c="4">
          <tpl fld="7" item="414"/>
          <tpl fld="6" item="1"/>
          <tpl hier="236" item="0"/>
          <tpl fld="4" item="4"/>
        </tpls>
      </m>
      <m>
        <tpls c="4">
          <tpl fld="7" item="344"/>
          <tpl fld="6" item="2"/>
          <tpl hier="236" item="0"/>
          <tpl fld="4" item="4"/>
        </tpls>
      </m>
      <m>
        <tpls c="4">
          <tpl fld="7" item="297"/>
          <tpl fld="6" item="1"/>
          <tpl hier="236" item="0"/>
          <tpl fld="4" item="6"/>
        </tpls>
      </m>
      <m>
        <tpls c="3">
          <tpl fld="7" item="84"/>
          <tpl fld="6" item="3"/>
          <tpl hier="236" item="0"/>
        </tpls>
      </m>
      <m>
        <tpls c="4">
          <tpl fld="7" item="87"/>
          <tpl fld="6" item="1"/>
          <tpl hier="236" item="0"/>
          <tpl fld="4" item="4"/>
        </tpls>
      </m>
      <m>
        <tpls c="4">
          <tpl fld="7" item="90"/>
          <tpl fld="6" item="2"/>
          <tpl hier="236" item="0"/>
          <tpl fld="4" item="4"/>
        </tpls>
      </m>
      <m>
        <tpls c="4">
          <tpl fld="7" item="201"/>
          <tpl fld="6" item="1"/>
          <tpl hier="236" item="0"/>
          <tpl fld="4" item="6"/>
        </tpls>
      </m>
      <m>
        <tpls c="3">
          <tpl fld="7" item="490"/>
          <tpl fld="6" item="3"/>
          <tpl hier="236" item="0"/>
        </tpls>
      </m>
      <m>
        <tpls c="6">
          <tpl fld="11" item="0"/>
          <tpl fld="5" item="1"/>
          <tpl fld="6" item="1"/>
          <tpl hier="236" item="0"/>
          <tpl fld="4" item="3"/>
          <tpl fld="10" item="4"/>
        </tpls>
      </m>
      <m>
        <tpls c="6">
          <tpl fld="3" item="4"/>
          <tpl fld="11" item="0"/>
          <tpl fld="6" item="2"/>
          <tpl hier="236" item="0"/>
          <tpl fld="4" item="7"/>
          <tpl fld="10" item="6"/>
        </tpls>
      </m>
      <n v="503" in="1">
        <tpls c="5">
          <tpl fld="11" item="0"/>
          <tpl fld="6" item="1"/>
          <tpl hier="236" item="0"/>
          <tpl fld="4" item="3"/>
          <tpl fld="10" item="5"/>
        </tpls>
      </n>
      <m>
        <tpls c="4">
          <tpl fld="7" item="218"/>
          <tpl fld="6" item="2"/>
          <tpl hier="236" item="0"/>
          <tpl fld="4" item="1"/>
        </tpls>
      </m>
      <m>
        <tpls c="4">
          <tpl fld="7" item="8"/>
          <tpl fld="6" item="2"/>
          <tpl hier="236" item="0"/>
          <tpl fld="4" item="6"/>
        </tpls>
      </m>
      <m>
        <tpls c="4">
          <tpl fld="7" item="237"/>
          <tpl fld="6" item="1"/>
          <tpl hier="236" item="0"/>
          <tpl fld="4" item="4"/>
        </tpls>
      </m>
      <m>
        <tpls c="4">
          <tpl fld="7" item="473"/>
          <tpl fld="6" item="2"/>
          <tpl hier="236" item="0"/>
          <tpl fld="4" item="1"/>
        </tpls>
      </m>
      <m>
        <tpls c="4">
          <tpl fld="7" item="248"/>
          <tpl fld="6" item="1"/>
          <tpl hier="236" item="0"/>
          <tpl fld="4" item="4"/>
        </tpls>
      </m>
      <m>
        <tpls c="4">
          <tpl fld="7" item="251"/>
          <tpl fld="6" item="2"/>
          <tpl hier="236" item="0"/>
          <tpl fld="4" item="4"/>
        </tpls>
      </m>
      <m>
        <tpls c="4">
          <tpl fld="7" item="38"/>
          <tpl fld="6" item="1"/>
          <tpl hier="236" item="0"/>
          <tpl fld="4" item="6"/>
        </tpls>
      </m>
      <m>
        <tpls c="3">
          <tpl fld="7" item="149"/>
          <tpl fld="6" item="3"/>
          <tpl hier="236" item="0"/>
        </tpls>
      </m>
      <m>
        <tpls c="4">
          <tpl fld="7" item="1185"/>
          <tpl fld="6" item="2"/>
          <tpl hier="236" item="0"/>
          <tpl fld="4" item="6"/>
        </tpls>
      </m>
      <n v="1" in="1">
        <tpls c="4">
          <tpl fld="7" item="1133"/>
          <tpl fld="6" item="1"/>
          <tpl hier="236" item="0"/>
          <tpl fld="4" item="6"/>
        </tpls>
      </n>
      <n v="2.9075425790754256E-2" in="0">
        <tpls c="5">
          <tpl fld="3" item="4"/>
          <tpl fld="11" item="0"/>
          <tpl fld="6" item="0"/>
          <tpl hier="236" item="0"/>
          <tpl fld="4" item="2"/>
        </tpls>
      </n>
      <m>
        <tpls c="3">
          <tpl fld="7" item="1157"/>
          <tpl fld="6" item="3"/>
          <tpl hier="236" item="0"/>
        </tpls>
      </m>
      <n v="1077" in="1">
        <tpls c="5">
          <tpl fld="11" item="0"/>
          <tpl fld="2" item="1"/>
          <tpl fld="6" item="1"/>
          <tpl hier="236" item="0"/>
          <tpl fld="4" item="5"/>
        </tpls>
      </n>
      <m>
        <tpls c="4">
          <tpl fld="7" item="1063"/>
          <tpl fld="6" item="1"/>
          <tpl hier="236" item="0"/>
          <tpl fld="4" item="6"/>
        </tpls>
      </m>
      <n v="1" in="2">
        <tpls c="6">
          <tpl fld="11" item="0"/>
          <tpl fld="2" item="2"/>
          <tpl fld="6" item="2"/>
          <tpl hier="236" item="0"/>
          <tpl fld="4" item="1"/>
          <tpl fld="9" item="0"/>
        </tpls>
      </n>
      <n v="12.042162162162162" in="2">
        <tpls c="5">
          <tpl fld="11" item="0"/>
          <tpl fld="2" item="0"/>
          <tpl fld="6" item="2"/>
          <tpl hier="236" item="0"/>
          <tpl fld="4" item="5"/>
        </tpls>
      </n>
      <n v="43" in="1">
        <tpls c="6">
          <tpl fld="3" item="2"/>
          <tpl fld="11" item="0"/>
          <tpl fld="6" item="1"/>
          <tpl hier="236" item="0"/>
          <tpl fld="4" item="6"/>
          <tpl fld="10" item="5"/>
        </tpls>
      </n>
      <n v="6.6999999999999993" in="2">
        <tpls c="6">
          <tpl fld="11" item="0"/>
          <tpl fld="2" item="3"/>
          <tpl fld="6" item="2"/>
          <tpl hier="236" item="0"/>
          <tpl fld="4" item="1"/>
          <tpl fld="9" item="1"/>
        </tpls>
      </n>
      <m>
        <tpls c="6">
          <tpl fld="3" item="0"/>
          <tpl fld="11" item="0"/>
          <tpl fld="6" item="2"/>
          <tpl hier="236" item="0"/>
          <tpl fld="4" item="6"/>
          <tpl fld="10" item="6"/>
        </tpls>
      </m>
      <m>
        <tpls c="6">
          <tpl fld="11" item="0"/>
          <tpl fld="6" item="1"/>
          <tpl fld="8" item="0"/>
          <tpl hier="236" item="0"/>
          <tpl fld="4" item="7"/>
          <tpl fld="10" item="6"/>
        </tpls>
      </m>
      <m>
        <tpls c="4">
          <tpl fld="7" item="327"/>
          <tpl fld="6" item="2"/>
          <tpl hier="236" item="0"/>
          <tpl fld="4" item="1"/>
        </tpls>
      </m>
      <n v="4097" in="1">
        <tpls c="6">
          <tpl fld="11" item="0"/>
          <tpl fld="2" item="1"/>
          <tpl fld="6" item="1"/>
          <tpl hier="236" item="0"/>
          <tpl fld="4" item="4"/>
          <tpl fld="10" item="0"/>
        </tpls>
      </n>
      <n v="3.3445945945945947" in="2">
        <tpls c="6">
          <tpl fld="3" item="0"/>
          <tpl fld="11" item="0"/>
          <tpl fld="6" item="2"/>
          <tpl hier="236" item="0"/>
          <tpl fld="4" item="4"/>
          <tpl fld="10" item="0"/>
        </tpls>
      </n>
      <n v="1032" in="1">
        <tpls c="6">
          <tpl fld="11" item="0"/>
          <tpl fld="2" item="2"/>
          <tpl fld="6" item="1"/>
          <tpl hier="236" item="0"/>
          <tpl fld="4" item="4"/>
          <tpl fld="10" item="0"/>
        </tpls>
      </n>
      <m>
        <tpls c="6">
          <tpl fld="3" item="4"/>
          <tpl fld="11" item="0"/>
          <tpl fld="6" item="2"/>
          <tpl hier="236" item="0"/>
          <tpl fld="4" item="3"/>
          <tpl fld="10" item="7"/>
        </tpls>
      </m>
      <n v="328" in="1">
        <tpls c="6">
          <tpl fld="11" item="0"/>
          <tpl fld="6" item="1"/>
          <tpl fld="8" item="1"/>
          <tpl hier="236" item="0"/>
          <tpl fld="4" item="1"/>
          <tpl fld="9" item="1"/>
        </tpls>
      </n>
      <n v="1.5" in="2">
        <tpls c="5">
          <tpl fld="11" item="0"/>
          <tpl fld="6" item="2"/>
          <tpl hier="236" item="0"/>
          <tpl fld="4" item="6"/>
          <tpl fld="10" item="1"/>
        </tpls>
      </n>
      <n v="952" in="1">
        <tpls c="6">
          <tpl fld="11" item="0"/>
          <tpl fld="6" item="1"/>
          <tpl fld="8" item="1"/>
          <tpl hier="236" item="0"/>
          <tpl fld="4" item="7"/>
          <tpl fld="10" item="7"/>
        </tpls>
      </n>
      <m>
        <tpls c="4">
          <tpl fld="7" item="218"/>
          <tpl fld="6" item="1"/>
          <tpl hier="236" item="0"/>
          <tpl fld="4" item="5"/>
        </tpls>
      </m>
      <m>
        <tpls c="4">
          <tpl fld="7" item="6"/>
          <tpl fld="6" item="2"/>
          <tpl hier="236" item="0"/>
          <tpl fld="4" item="1"/>
        </tpls>
      </m>
      <m>
        <tpls c="4">
          <tpl fld="7" item="398"/>
          <tpl fld="6" item="1"/>
          <tpl hier="236" item="0"/>
          <tpl fld="4" item="4"/>
        </tpls>
      </m>
      <m>
        <tpls c="4">
          <tpl fld="7" item="237"/>
          <tpl fld="6" item="2"/>
          <tpl hier="236" item="0"/>
          <tpl fld="4" item="1"/>
        </tpls>
      </m>
      <m>
        <tpls c="6">
          <tpl fld="11" item="0"/>
          <tpl fld="2" item="1"/>
          <tpl fld="6" item="1"/>
          <tpl hier="236" item="0"/>
          <tpl fld="4" item="3"/>
          <tpl fld="10" item="6"/>
        </tpls>
      </m>
      <n v="64" in="1">
        <tpls c="6">
          <tpl fld="11" item="0"/>
          <tpl fld="6" item="1"/>
          <tpl fld="8" item="0"/>
          <tpl hier="236" item="0"/>
          <tpl fld="4" item="4"/>
          <tpl fld="10" item="1"/>
        </tpls>
      </n>
      <m>
        <tpls c="4">
          <tpl fld="7" item="325"/>
          <tpl fld="6" item="2"/>
          <tpl hier="236" item="0"/>
          <tpl fld="4" item="6"/>
        </tpls>
      </m>
      <m>
        <tpls c="4">
          <tpl fld="7" item="10"/>
          <tpl fld="6" item="1"/>
          <tpl hier="236" item="0"/>
          <tpl fld="4" item="5"/>
        </tpls>
      </m>
      <m>
        <tpls c="3">
          <tpl fld="7" item="27"/>
          <tpl fld="6" item="3"/>
          <tpl hier="236" item="0"/>
        </tpls>
      </m>
      <m>
        <tpls c="4">
          <tpl fld="7" item="138"/>
          <tpl fld="6" item="2"/>
          <tpl hier="236" item="0"/>
          <tpl fld="4" item="1"/>
        </tpls>
      </m>
      <m>
        <tpls c="4">
          <tpl fld="7" item="333"/>
          <tpl fld="6" item="1"/>
          <tpl hier="236" item="0"/>
          <tpl fld="4" item="4"/>
        </tpls>
      </m>
      <m>
        <tpls c="4">
          <tpl fld="7" item="475"/>
          <tpl fld="6" item="2"/>
          <tpl hier="236" item="0"/>
          <tpl fld="4" item="4"/>
        </tpls>
      </m>
      <m>
        <tpls c="4">
          <tpl fld="7" item="256"/>
          <tpl fld="6" item="1"/>
          <tpl hier="236" item="0"/>
          <tpl fld="4" item="6"/>
        </tpls>
      </m>
      <m>
        <tpls c="3">
          <tpl fld="7" item="259"/>
          <tpl fld="6" item="3"/>
          <tpl hier="236" item="0"/>
        </tpls>
      </m>
      <m>
        <tpls c="3">
          <tpl fld="7" item="261"/>
          <tpl fld="6" item="3"/>
          <tpl hier="236" item="0"/>
        </tpls>
      </m>
      <m>
        <tpls c="3">
          <tpl fld="7" item="263"/>
          <tpl fld="6" item="3"/>
          <tpl hier="236" item="0"/>
        </tpls>
      </m>
      <m>
        <tpls c="3">
          <tpl fld="7" item="265"/>
          <tpl fld="6" item="3"/>
          <tpl hier="236" item="0"/>
        </tpls>
      </m>
      <m>
        <tpls c="3">
          <tpl fld="7" item="267"/>
          <tpl fld="6" item="3"/>
          <tpl hier="236" item="0"/>
        </tpls>
      </m>
      <m>
        <tpls c="3">
          <tpl fld="7" item="269"/>
          <tpl fld="6" item="3"/>
          <tpl hier="236" item="0"/>
        </tpls>
      </m>
      <m>
        <tpls c="3">
          <tpl fld="7" item="271"/>
          <tpl fld="6" item="3"/>
          <tpl hier="236" item="0"/>
        </tpls>
      </m>
      <m>
        <tpls c="3">
          <tpl fld="7" item="273"/>
          <tpl fld="6" item="3"/>
          <tpl hier="236" item="0"/>
        </tpls>
      </m>
      <m>
        <tpls c="4">
          <tpl fld="7" item="61"/>
          <tpl fld="6" item="2"/>
          <tpl hier="236" item="0"/>
          <tpl fld="4" item="1"/>
        </tpls>
      </m>
      <m>
        <tpls c="4">
          <tpl fld="7" item="282"/>
          <tpl fld="6" item="1"/>
          <tpl hier="236" item="0"/>
          <tpl fld="4" item="6"/>
        </tpls>
      </m>
      <m>
        <tpls c="3">
          <tpl fld="7" item="69"/>
          <tpl fld="6" item="3"/>
          <tpl hier="236" item="0"/>
        </tpls>
      </m>
      <m>
        <tpls c="4">
          <tpl fld="7" item="180"/>
          <tpl fld="6" item="2"/>
          <tpl hier="236" item="0"/>
          <tpl fld="4" item="1"/>
        </tpls>
      </m>
      <m>
        <tpls c="4">
          <tpl fld="7" item="980"/>
          <tpl fld="6" item="1"/>
          <tpl hier="236" item="0"/>
          <tpl fld="4" item="4"/>
        </tpls>
      </m>
      <m>
        <tpls c="4">
          <tpl fld="7" item="415"/>
          <tpl fld="6" item="2"/>
          <tpl hier="236" item="0"/>
          <tpl fld="4" item="4"/>
        </tpls>
      </m>
      <m>
        <tpls c="4">
          <tpl fld="7" item="298"/>
          <tpl fld="6" item="1"/>
          <tpl hier="236" item="0"/>
          <tpl fld="4" item="6"/>
        </tpls>
      </m>
      <m>
        <tpls c="4">
          <tpl fld="7" item="301"/>
          <tpl fld="6" item="2"/>
          <tpl hier="236" item="0"/>
          <tpl fld="4" item="1"/>
        </tpls>
      </m>
      <n v="0" in="1">
        <tpls c="4">
          <tpl fld="7" item="88"/>
          <tpl fld="6" item="1"/>
          <tpl hier="236" item="0"/>
          <tpl fld="4" item="4"/>
        </tpls>
      </n>
      <m>
        <tpls c="4">
          <tpl fld="7" item="91"/>
          <tpl fld="6" item="2"/>
          <tpl hier="236" item="0"/>
          <tpl fld="4" item="4"/>
        </tpls>
      </m>
      <m>
        <tpls c="4">
          <tpl fld="7" item="202"/>
          <tpl fld="6" item="1"/>
          <tpl hier="236" item="0"/>
          <tpl fld="4" item="6"/>
        </tpls>
      </m>
      <m>
        <tpls c="3">
          <tpl fld="7" item="349"/>
          <tpl fld="6" item="3"/>
          <tpl hier="236" item="0"/>
        </tpls>
      </m>
      <n v="67" in="1">
        <tpls c="6">
          <tpl fld="11" item="0"/>
          <tpl fld="2" item="1"/>
          <tpl fld="6" item="1"/>
          <tpl hier="236" item="0"/>
          <tpl fld="4" item="3"/>
          <tpl fld="10" item="3"/>
        </tpls>
      </n>
      <n v="8.8986486486486491" in="2">
        <tpls c="6">
          <tpl fld="3" item="1"/>
          <tpl fld="11" item="0"/>
          <tpl fld="6" item="2"/>
          <tpl hier="236" item="0"/>
          <tpl fld="4" item="3"/>
          <tpl fld="10" item="4"/>
        </tpls>
      </n>
      <n v="48" in="1">
        <tpls c="5">
          <tpl fld="11" item="0"/>
          <tpl fld="6" item="1"/>
          <tpl hier="236" item="0"/>
          <tpl fld="4" item="7"/>
          <tpl fld="10" item="1"/>
        </tpls>
      </n>
      <m>
        <tpls c="4">
          <tpl fld="7" item="220"/>
          <tpl fld="6" item="2"/>
          <tpl hier="236" item="0"/>
          <tpl fld="4" item="1"/>
        </tpls>
      </m>
      <m>
        <tpls c="4">
          <tpl fld="7" item="10"/>
          <tpl fld="6" item="2"/>
          <tpl hier="236" item="0"/>
          <tpl fld="4" item="6"/>
        </tpls>
      </m>
      <m>
        <tpls c="4">
          <tpl fld="7" item="242"/>
          <tpl fld="6" item="1"/>
          <tpl hier="236" item="0"/>
          <tpl fld="4" item="4"/>
        </tpls>
      </m>
      <m>
        <tpls c="4">
          <tpl fld="7" item="332"/>
          <tpl fld="6" item="2"/>
          <tpl hier="236" item="0"/>
          <tpl fld="4" item="1"/>
        </tpls>
      </m>
      <m>
        <tpls c="4">
          <tpl fld="7" item="249"/>
          <tpl fld="6" item="1"/>
          <tpl hier="236" item="0"/>
          <tpl fld="4" item="4"/>
        </tpls>
      </m>
      <m>
        <tpls c="4">
          <tpl fld="7" item="252"/>
          <tpl fld="6" item="2"/>
          <tpl hier="236" item="0"/>
          <tpl fld="4" item="4"/>
        </tpls>
      </m>
      <m>
        <tpls c="4">
          <tpl fld="7" item="39"/>
          <tpl fld="6" item="1"/>
          <tpl hier="236" item="0"/>
          <tpl fld="4" item="6"/>
        </tpls>
      </m>
      <m>
        <tpls c="4">
          <tpl fld="7" item="150"/>
          <tpl fld="6" item="1"/>
          <tpl hier="236" item="0"/>
          <tpl fld="4" item="6"/>
        </tpls>
      </m>
      <m>
        <tpls c="4">
          <tpl fld="7" item="152"/>
          <tpl fld="6" item="1"/>
          <tpl hier="236" item="0"/>
          <tpl fld="4" item="6"/>
        </tpls>
      </m>
      <m>
        <tpls c="4">
          <tpl fld="7" item="154"/>
          <tpl fld="6" item="1"/>
          <tpl hier="236" item="0"/>
          <tpl fld="4" item="6"/>
        </tpls>
      </m>
      <m>
        <tpls c="4">
          <tpl fld="7" item="156"/>
          <tpl fld="6" item="1"/>
          <tpl hier="236" item="0"/>
          <tpl fld="4" item="6"/>
        </tpls>
      </m>
      <m>
        <tpls c="4">
          <tpl fld="7" item="158"/>
          <tpl fld="6" item="1"/>
          <tpl hier="236" item="0"/>
          <tpl fld="4" item="6"/>
        </tpls>
      </m>
      <m>
        <tpls c="4">
          <tpl fld="7" item="160"/>
          <tpl fld="6" item="1"/>
          <tpl hier="236" item="0"/>
          <tpl fld="4" item="6"/>
        </tpls>
      </m>
      <m>
        <tpls c="4">
          <tpl fld="7" item="162"/>
          <tpl fld="6" item="1"/>
          <tpl hier="236" item="0"/>
          <tpl fld="4" item="6"/>
        </tpls>
      </m>
      <m>
        <tpls c="4">
          <tpl fld="7" item="164"/>
          <tpl fld="6" item="1"/>
          <tpl hier="236" item="0"/>
          <tpl fld="4" item="6"/>
        </tpls>
      </m>
      <m>
        <tpls c="4">
          <tpl fld="7" item="167"/>
          <tpl fld="6" item="1"/>
          <tpl hier="236" item="0"/>
          <tpl fld="4" item="4"/>
        </tpls>
      </m>
      <m>
        <tpls c="4">
          <tpl fld="7" item="65"/>
          <tpl fld="6" item="1"/>
          <tpl hier="236" item="0"/>
          <tpl fld="4" item="6"/>
        </tpls>
      </m>
      <m>
        <tpls c="3">
          <tpl fld="7" item="176"/>
          <tpl fld="6" item="3"/>
          <tpl hier="236" item="0"/>
        </tpls>
      </m>
      <m>
        <tpls c="4">
          <tpl fld="7" item="754"/>
          <tpl fld="6" item="2"/>
          <tpl hier="236" item="0"/>
          <tpl fld="4" item="1"/>
        </tpls>
      </m>
      <m>
        <tpls c="4">
          <tpl fld="7" item="291"/>
          <tpl fld="6" item="1"/>
          <tpl hier="236" item="0"/>
          <tpl fld="4" item="4"/>
        </tpls>
      </m>
      <m>
        <tpls c="4">
          <tpl fld="7" item="294"/>
          <tpl fld="6" item="2"/>
          <tpl hier="236" item="0"/>
          <tpl fld="4" item="4"/>
        </tpls>
      </m>
      <m>
        <tpls c="4">
          <tpl fld="7" item="81"/>
          <tpl fld="6" item="1"/>
          <tpl hier="236" item="0"/>
          <tpl fld="4" item="6"/>
        </tpls>
      </m>
      <n v="0" in="1">
        <tpls c="4">
          <tpl fld="7" item="192"/>
          <tpl fld="6" item="1"/>
          <tpl hier="236" item="0"/>
          <tpl fld="1" item="0"/>
        </tpls>
      </n>
      <m>
        <tpls c="6">
          <tpl fld="11" item="0"/>
          <tpl fld="5" item="4"/>
          <tpl fld="6" item="2"/>
          <tpl hier="236" item="0"/>
          <tpl fld="4" item="7"/>
          <tpl fld="10" item="1"/>
        </tpls>
      </m>
      <n v="36.592229729729731" in="2">
        <tpls c="6">
          <tpl fld="11" item="0"/>
          <tpl fld="2" item="1"/>
          <tpl fld="6" item="2"/>
          <tpl hier="236" item="0"/>
          <tpl fld="4" item="6"/>
          <tpl fld="10" item="0"/>
        </tpls>
      </n>
      <n v="933.12466216216285" in="2">
        <tpls c="5">
          <tpl fld="11" item="0"/>
          <tpl fld="6" item="2"/>
          <tpl fld="8" item="1"/>
          <tpl hier="236" item="0"/>
          <tpl fld="1" item="0"/>
        </tpls>
      </n>
      <n v="215.86574324324323" in="2">
        <tpls c="6">
          <tpl fld="11" item="0"/>
          <tpl fld="6" item="2"/>
          <tpl fld="8" item="1"/>
          <tpl hier="236" item="0"/>
          <tpl fld="4" item="1"/>
          <tpl fld="9" item="4"/>
        </tpls>
      </n>
      <n v="429" in="1">
        <tpls c="6">
          <tpl fld="11" item="0"/>
          <tpl fld="6" item="1"/>
          <tpl fld="8" item="1"/>
          <tpl hier="236" item="0"/>
          <tpl fld="4" item="3"/>
          <tpl fld="10" item="0"/>
        </tpls>
      </n>
      <m>
        <tpls c="4">
          <tpl fld="7" item="328"/>
          <tpl fld="6" item="1"/>
          <tpl hier="236" item="0"/>
          <tpl fld="4" item="4"/>
        </tpls>
      </m>
      <m>
        <tpls c="4">
          <tpl fld="7" item="467"/>
          <tpl fld="6" item="1"/>
          <tpl hier="236" item="0"/>
          <tpl fld="4" item="4"/>
        </tpls>
      </m>
      <m>
        <tpls c="4">
          <tpl fld="7" item="404"/>
          <tpl fld="6" item="1"/>
          <tpl hier="236" item="0"/>
          <tpl fld="4" item="4"/>
        </tpls>
      </m>
      <m>
        <tpls c="4">
          <tpl fld="7" item="153"/>
          <tpl fld="6" item="1"/>
          <tpl hier="236" item="0"/>
          <tpl fld="1" item="0"/>
        </tpls>
      </m>
      <m>
        <tpls c="4">
          <tpl fld="7" item="161"/>
          <tpl fld="6" item="1"/>
          <tpl hier="236" item="0"/>
          <tpl fld="1" item="0"/>
        </tpls>
      </m>
      <m>
        <tpls c="4">
          <tpl fld="7" item="283"/>
          <tpl fld="6" item="1"/>
          <tpl hier="236" item="0"/>
          <tpl fld="4" item="6"/>
        </tpls>
      </m>
      <m>
        <tpls c="4">
          <tpl fld="7" item="593"/>
          <tpl fld="6" item="2"/>
          <tpl hier="236" item="0"/>
          <tpl fld="4" item="4"/>
        </tpls>
      </m>
      <m>
        <tpls c="4">
          <tpl fld="7" item="92"/>
          <tpl fld="6" item="2"/>
          <tpl hier="236" item="0"/>
          <tpl fld="4" item="4"/>
        </tpls>
      </m>
      <n v="9.785405405405406" in="2">
        <tpls c="6">
          <tpl fld="11" item="0"/>
          <tpl fld="6" item="2"/>
          <tpl fld="8" item="1"/>
          <tpl hier="236" item="0"/>
          <tpl fld="4" item="4"/>
          <tpl fld="10" item="5"/>
        </tpls>
      </n>
      <m>
        <tpls c="3">
          <tpl fld="7" item="135"/>
          <tpl fld="6" item="3"/>
          <tpl hier="236" item="0"/>
        </tpls>
      </m>
      <m>
        <tpls c="4">
          <tpl fld="7" item="40"/>
          <tpl fld="6" item="1"/>
          <tpl hier="236" item="0"/>
          <tpl fld="4" item="6"/>
        </tpls>
      </m>
      <m>
        <tpls c="4">
          <tpl fld="7" item="407"/>
          <tpl fld="6" item="2"/>
          <tpl hier="236" item="0"/>
          <tpl fld="4" item="6"/>
        </tpls>
      </m>
      <m>
        <tpls c="4">
          <tpl fld="7" item="157"/>
          <tpl fld="6" item="2"/>
          <tpl hier="236" item="0"/>
          <tpl fld="4" item="6"/>
        </tpls>
      </m>
      <m>
        <tpls c="4">
          <tpl fld="7" item="52"/>
          <tpl fld="6" item="1"/>
          <tpl hier="236" item="0"/>
          <tpl fld="4" item="6"/>
        </tpls>
      </m>
      <m>
        <tpls c="4">
          <tpl fld="7" item="409"/>
          <tpl fld="6" item="2"/>
          <tpl hier="236" item="0"/>
          <tpl fld="4" item="6"/>
        </tpls>
      </m>
      <m>
        <tpls c="4">
          <tpl fld="7" item="165"/>
          <tpl fld="6" item="2"/>
          <tpl hier="236" item="0"/>
          <tpl fld="4" item="6"/>
        </tpls>
      </m>
      <m>
        <tpls c="4">
          <tpl fld="7" item="281"/>
          <tpl fld="6" item="1"/>
          <tpl hier="236" item="0"/>
          <tpl fld="4" item="4"/>
        </tpls>
      </m>
      <m>
        <tpls c="4">
          <tpl fld="7" item="285"/>
          <tpl fld="6" item="2"/>
          <tpl hier="236" item="0"/>
          <tpl fld="4" item="4"/>
        </tpls>
      </m>
      <m>
        <tpls c="3">
          <tpl fld="7" item="181"/>
          <tpl fld="6" item="3"/>
          <tpl hier="236" item="0"/>
        </tpls>
      </m>
      <m>
        <tpls c="4">
          <tpl fld="7" item="344"/>
          <tpl fld="6" item="2"/>
          <tpl hier="236" item="0"/>
          <tpl fld="4" item="1"/>
        </tpls>
      </m>
      <m>
        <tpls c="4">
          <tpl fld="7" item="298"/>
          <tpl fld="6" item="1"/>
          <tpl hier="236" item="0"/>
          <tpl fld="4" item="4"/>
        </tpls>
      </m>
      <m>
        <tpls c="3">
          <tpl fld="7" item="302"/>
          <tpl fld="6" item="3"/>
          <tpl hier="236" item="0"/>
        </tpls>
      </m>
      <m>
        <tpls c="4">
          <tpl fld="7" item="89"/>
          <tpl fld="6" item="2"/>
          <tpl hier="236" item="0"/>
          <tpl fld="4" item="1"/>
        </tpls>
      </m>
      <m>
        <tpls c="4">
          <tpl fld="7" item="200"/>
          <tpl fld="6" item="1"/>
          <tpl hier="236" item="0"/>
          <tpl fld="4" item="4"/>
        </tpls>
      </m>
      <m>
        <tpls c="4">
          <tpl fld="7" item="203"/>
          <tpl fld="6" item="2"/>
          <tpl hier="236" item="0"/>
          <tpl fld="4" item="4"/>
        </tpls>
      </m>
      <m>
        <tpls c="4">
          <tpl fld="7" item="420"/>
          <tpl fld="6" item="1"/>
          <tpl hier="236" item="0"/>
          <tpl fld="4" item="6"/>
        </tpls>
      </m>
      <n v="21" in="1">
        <tpls c="6">
          <tpl fld="3" item="1"/>
          <tpl fld="11" item="0"/>
          <tpl fld="6" item="1"/>
          <tpl hier="236" item="0"/>
          <tpl fld="4" item="6"/>
          <tpl fld="10" item="1"/>
        </tpls>
      </n>
      <n v="3185" in="1">
        <tpls c="6">
          <tpl fld="11" item="0"/>
          <tpl fld="6" item="1"/>
          <tpl fld="8" item="1"/>
          <tpl hier="236" item="0"/>
          <tpl fld="4" item="4"/>
          <tpl fld="10" item="7"/>
        </tpls>
      </n>
      <m>
        <tpls c="4">
          <tpl fld="7" item="216"/>
          <tpl fld="6" item="1"/>
          <tpl hier="236" item="0"/>
          <tpl fld="1" item="0"/>
        </tpls>
      </m>
      <m>
        <tpls c="4">
          <tpl fld="7" item="114"/>
          <tpl fld="6" item="2"/>
          <tpl hier="236" item="0"/>
          <tpl fld="4" item="1"/>
        </tpls>
      </m>
      <m>
        <tpls c="4">
          <tpl fld="7" item="16"/>
          <tpl fld="6" item="1"/>
          <tpl hier="236" item="0"/>
          <tpl fld="4" item="4"/>
        </tpls>
      </m>
      <m>
        <tpls c="3">
          <tpl fld="7" item="1082"/>
          <tpl fld="6" item="3"/>
          <tpl hier="236" item="0"/>
        </tpls>
      </m>
      <m>
        <tpls c="4">
          <tpl fld="7" item="247"/>
          <tpl fld="6" item="2"/>
          <tpl hier="236" item="0"/>
          <tpl fld="4" item="1"/>
        </tpls>
      </m>
      <m>
        <tpls c="4">
          <tpl fld="7" item="34"/>
          <tpl fld="6" item="1"/>
          <tpl hier="236" item="0"/>
          <tpl fld="4" item="4"/>
        </tpls>
      </m>
      <m>
        <tpls c="4">
          <tpl fld="7" item="37"/>
          <tpl fld="6" item="2"/>
          <tpl hier="236" item="0"/>
          <tpl fld="4" item="4"/>
        </tpls>
      </m>
      <m>
        <tpls c="4">
          <tpl fld="7" item="148"/>
          <tpl fld="6" item="1"/>
          <tpl hier="236" item="0"/>
          <tpl fld="4" item="6"/>
        </tpls>
      </m>
      <m>
        <tpls c="4">
          <tpl fld="7" item="43"/>
          <tpl fld="6" item="2"/>
          <tpl hier="236" item="0"/>
          <tpl fld="4" item="4"/>
        </tpls>
      </m>
      <m>
        <tpls c="4">
          <tpl fld="7" item="45"/>
          <tpl fld="6" item="2"/>
          <tpl hier="236" item="0"/>
          <tpl fld="4" item="4"/>
        </tpls>
      </m>
      <m>
        <tpls c="4">
          <tpl fld="7" item="47"/>
          <tpl fld="6" item="2"/>
          <tpl hier="236" item="0"/>
          <tpl fld="4" item="4"/>
        </tpls>
      </m>
      <m>
        <tpls c="4">
          <tpl fld="7" item="49"/>
          <tpl fld="6" item="2"/>
          <tpl hier="236" item="0"/>
          <tpl fld="4" item="4"/>
        </tpls>
      </m>
      <m>
        <tpls c="4">
          <tpl fld="7" item="51"/>
          <tpl fld="6" item="2"/>
          <tpl hier="236" item="0"/>
          <tpl fld="4" item="4"/>
        </tpls>
      </m>
      <m>
        <tpls c="4">
          <tpl fld="7" item="53"/>
          <tpl fld="6" item="2"/>
          <tpl hier="236" item="0"/>
          <tpl fld="4" item="4"/>
        </tpls>
      </m>
      <m>
        <tpls c="4">
          <tpl fld="7" item="55"/>
          <tpl fld="6" item="2"/>
          <tpl hier="236" item="0"/>
          <tpl fld="4" item="4"/>
        </tpls>
      </m>
      <m>
        <tpls c="4">
          <tpl fld="7" item="57"/>
          <tpl fld="6" item="2"/>
          <tpl hier="236" item="0"/>
          <tpl fld="4" item="4"/>
        </tpls>
      </m>
      <m>
        <tpls c="4">
          <tpl fld="7" item="170"/>
          <tpl fld="6" item="2"/>
          <tpl hier="236" item="0"/>
          <tpl fld="4" item="1"/>
        </tpls>
      </m>
      <m>
        <tpls c="4">
          <tpl fld="7" item="174"/>
          <tpl fld="6" item="1"/>
          <tpl hier="236" item="0"/>
          <tpl fld="4" item="6"/>
        </tpls>
      </m>
      <m>
        <tpls c="3">
          <tpl fld="7" item="342"/>
          <tpl fld="6" item="3"/>
          <tpl hier="236" item="0"/>
        </tpls>
      </m>
      <m>
        <tpls c="4">
          <tpl fld="7" item="289"/>
          <tpl fld="6" item="2"/>
          <tpl hier="236" item="0"/>
          <tpl fld="4" item="1"/>
        </tpls>
      </m>
      <m>
        <tpls c="4">
          <tpl fld="7" item="76"/>
          <tpl fld="6" item="1"/>
          <tpl hier="236" item="0"/>
          <tpl fld="4" item="4"/>
        </tpls>
      </m>
      <m>
        <tpls c="4">
          <tpl fld="7" item="79"/>
          <tpl fld="6" item="2"/>
          <tpl hier="236" item="0"/>
          <tpl fld="4" item="4"/>
        </tpls>
      </m>
      <m>
        <tpls c="4">
          <tpl fld="7" item="190"/>
          <tpl fld="6" item="1"/>
          <tpl hier="236" item="0"/>
          <tpl fld="4" item="6"/>
        </tpls>
      </m>
      <m>
        <tpls c="4">
          <tpl fld="7" item="193"/>
          <tpl fld="6" item="2"/>
          <tpl hier="236" item="0"/>
          <tpl fld="4" item="1"/>
        </tpls>
      </m>
      <m>
        <tpls c="4">
          <tpl fld="7" item="488"/>
          <tpl fld="6" item="1"/>
          <tpl hier="236" item="0"/>
          <tpl fld="4" item="4"/>
        </tpls>
      </m>
      <m>
        <tpls c="4">
          <tpl fld="7" item="1083"/>
          <tpl fld="6" item="2"/>
          <tpl hier="236" item="0"/>
          <tpl fld="4" item="4"/>
        </tpls>
      </m>
      <m>
        <tpls c="4">
          <tpl fld="7" item="311"/>
          <tpl fld="6" item="1"/>
          <tpl hier="236" item="0"/>
          <tpl fld="4" item="6"/>
        </tpls>
      </m>
      <m>
        <tpls c="3">
          <tpl fld="7" item="98"/>
          <tpl fld="6" item="3"/>
          <tpl hier="236" item="0"/>
        </tpls>
      </m>
      <m>
        <tpls c="4">
          <tpl fld="7" item="209"/>
          <tpl fld="6" item="2"/>
          <tpl hier="236" item="0"/>
          <tpl fld="4" item="1"/>
        </tpls>
      </m>
      <m>
        <tpls c="4">
          <tpl fld="7" item="492"/>
          <tpl fld="6" item="1"/>
          <tpl hier="236" item="0"/>
          <tpl fld="4" item="4"/>
        </tpls>
      </m>
      <m>
        <tpls c="4">
          <tpl fld="7" item="114"/>
          <tpl fld="6" item="1"/>
          <tpl hier="236" item="0"/>
          <tpl fld="1" item="0"/>
        </tpls>
      </m>
      <m>
        <tpls c="4">
          <tpl fld="7" item="34"/>
          <tpl fld="6" item="2"/>
          <tpl hier="236" item="0"/>
          <tpl fld="4" item="1"/>
        </tpls>
      </m>
      <m>
        <tpls c="4">
          <tpl fld="7" item="45"/>
          <tpl fld="6" item="1"/>
          <tpl hier="236" item="0"/>
          <tpl fld="4" item="5"/>
        </tpls>
      </m>
      <m>
        <tpls c="4">
          <tpl fld="7" item="53"/>
          <tpl fld="6" item="1"/>
          <tpl hier="236" item="0"/>
          <tpl fld="4" item="5"/>
        </tpls>
      </m>
      <m>
        <tpls c="4">
          <tpl fld="7" item="174"/>
          <tpl fld="6" item="2"/>
          <tpl hier="236" item="0"/>
          <tpl fld="4" item="4"/>
        </tpls>
      </m>
      <m>
        <tpls c="4">
          <tpl fld="7" item="187"/>
          <tpl fld="6" item="1"/>
          <tpl hier="236" item="0"/>
          <tpl fld="4" item="4"/>
        </tpls>
      </m>
      <m>
        <tpls c="4">
          <tpl fld="7" item="308"/>
          <tpl fld="6" item="1"/>
          <tpl hier="236" item="0"/>
          <tpl fld="4" item="4"/>
        </tpls>
      </m>
      <m>
        <tpls c="4">
          <tpl fld="7" item="317"/>
          <tpl fld="6" item="2"/>
          <tpl hier="236" item="0"/>
          <tpl fld="4" item="1"/>
        </tpls>
      </m>
      <m>
        <tpls c="4">
          <tpl fld="7" item="321"/>
          <tpl fld="6" item="2"/>
          <tpl hier="236" item="0"/>
          <tpl fld="4" item="4"/>
        </tpls>
      </m>
      <m>
        <tpls c="4">
          <tpl fld="7" item="324"/>
          <tpl fld="6" item="2"/>
          <tpl hier="236" item="0"/>
          <tpl fld="4" item="4"/>
        </tpls>
      </m>
      <m>
        <tpls c="4">
          <tpl fld="7" item="496"/>
          <tpl fld="6" item="1"/>
          <tpl hier="236" item="0"/>
          <tpl fld="4" item="6"/>
        </tpls>
      </m>
      <m>
        <tpls c="3">
          <tpl fld="7" item="358"/>
          <tpl fld="6" item="3"/>
          <tpl hier="236" item="0"/>
        </tpls>
      </m>
      <n v="2.672972972972973" in="2">
        <tpls c="4">
          <tpl fld="7" item="432"/>
          <tpl fld="6" item="2"/>
          <tpl hier="236" item="0"/>
          <tpl fld="4" item="1"/>
        </tpls>
      </n>
      <n v="5" in="1">
        <tpls c="4">
          <tpl fld="7" item="598"/>
          <tpl fld="6" item="1"/>
          <tpl hier="236" item="0"/>
          <tpl fld="4" item="4"/>
        </tpls>
      </n>
      <n v="1" in="2">
        <tpls c="4">
          <tpl fld="7" item="1237"/>
          <tpl fld="6" item="2"/>
          <tpl hier="236" item="0"/>
          <tpl fld="4" item="4"/>
        </tpls>
      </n>
      <n v="0" in="1">
        <tpls c="4">
          <tpl fld="7" item="512"/>
          <tpl fld="6" item="1"/>
          <tpl hier="236" item="0"/>
          <tpl fld="4" item="6"/>
        </tpls>
      </n>
      <n v="1" in="3">
        <tpls c="3">
          <tpl fld="7" item="374"/>
          <tpl fld="6" item="3"/>
          <tpl hier="236" item="0"/>
        </tpls>
      </n>
      <n v="1.9500000000000002" in="2">
        <tpls c="4">
          <tpl fld="7" item="448"/>
          <tpl fld="6" item="2"/>
          <tpl hier="236" item="0"/>
          <tpl fld="4" item="1"/>
        </tpls>
      </n>
      <n v="3" in="1">
        <tpls c="4">
          <tpl fld="7" item="602"/>
          <tpl fld="6" item="1"/>
          <tpl hier="236" item="0"/>
          <tpl fld="4" item="4"/>
        </tpls>
      </n>
      <m>
        <tpls c="4">
          <tpl fld="7" item="1263"/>
          <tpl fld="6" item="2"/>
          <tpl hier="236" item="0"/>
          <tpl fld="4" item="4"/>
        </tpls>
      </m>
      <m>
        <tpls c="4">
          <tpl fld="7" item="765"/>
          <tpl fld="6" item="2"/>
          <tpl hier="236" item="0"/>
          <tpl fld="4" item="1"/>
        </tpls>
      </m>
      <m>
        <tpls c="4">
          <tpl fld="7" item="388"/>
          <tpl fld="6" item="1"/>
          <tpl hier="236" item="0"/>
          <tpl fld="1" item="0"/>
        </tpls>
      </m>
      <m>
        <tpls c="4">
          <tpl fld="7" item="684"/>
          <tpl fld="6" item="2"/>
          <tpl hier="236" item="0"/>
          <tpl fld="4" item="4"/>
        </tpls>
      </m>
      <m>
        <tpls c="3">
          <tpl fld="7" item="391"/>
          <tpl fld="6" item="3"/>
          <tpl hier="236" item="0"/>
        </tpls>
      </m>
      <n v="1" in="1">
        <tpls c="4">
          <tpl fld="7" item="605"/>
          <tpl fld="6" item="1"/>
          <tpl hier="236" item="0"/>
          <tpl fld="4" item="4"/>
        </tpls>
      </n>
      <m>
        <tpls c="4">
          <tpl fld="7" item="535"/>
          <tpl fld="6" item="2"/>
          <tpl hier="236" item="0"/>
          <tpl fld="4" item="5"/>
        </tpls>
      </m>
      <m>
        <tpls c="4">
          <tpl fld="7" item="1086"/>
          <tpl fld="6" item="2"/>
          <tpl hier="236" item="0"/>
          <tpl fld="4" item="6"/>
        </tpls>
      </m>
      <n v="1" in="1">
        <tpls c="4">
          <tpl fld="7" item="538"/>
          <tpl fld="6" item="1"/>
          <tpl hier="236" item="0"/>
          <tpl fld="4" item="5"/>
        </tpls>
      </n>
      <n v="18" in="1">
        <tpls c="4">
          <tpl fld="7" item="608"/>
          <tpl fld="6" item="1"/>
          <tpl hier="236" item="0"/>
          <tpl fld="4" item="6"/>
        </tpls>
      </n>
      <n v="1.5" in="2">
        <tpls c="4">
          <tpl fld="7" item="541"/>
          <tpl fld="6" item="2"/>
          <tpl hier="236" item="0"/>
          <tpl fld="4" item="1"/>
        </tpls>
      </n>
      <m>
        <tpls c="4">
          <tpl fld="7" item="610"/>
          <tpl fld="6" item="2"/>
          <tpl hier="236" item="0"/>
          <tpl fld="1" item="0"/>
        </tpls>
      </m>
      <n v="1287" in="1">
        <tpls c="6">
          <tpl fld="11" item="0"/>
          <tpl fld="5" item="5"/>
          <tpl fld="6" item="1"/>
          <tpl hier="236" item="0"/>
          <tpl fld="4" item="7"/>
          <tpl fld="10" item="7"/>
        </tpls>
      </n>
      <m>
        <tpls c="4">
          <tpl fld="7" item="116"/>
          <tpl fld="6" item="1"/>
          <tpl hier="236" item="0"/>
          <tpl fld="1" item="0"/>
        </tpls>
      </m>
      <m>
        <tpls c="4">
          <tpl fld="7" item="35"/>
          <tpl fld="6" item="2"/>
          <tpl hier="236" item="0"/>
          <tpl fld="4" item="1"/>
        </tpls>
      </m>
      <m>
        <tpls c="4">
          <tpl fld="7" item="262"/>
          <tpl fld="6" item="2"/>
          <tpl hier="236" item="0"/>
          <tpl fld="4" item="1"/>
        </tpls>
      </m>
      <m>
        <tpls c="4">
          <tpl fld="7" item="270"/>
          <tpl fld="6" item="2"/>
          <tpl hier="236" item="0"/>
          <tpl fld="4" item="1"/>
        </tpls>
      </m>
      <m>
        <tpls c="4">
          <tpl fld="7" item="175"/>
          <tpl fld="6" item="2"/>
          <tpl hier="236" item="0"/>
          <tpl fld="4" item="4"/>
        </tpls>
      </m>
      <m>
        <tpls c="4">
          <tpl fld="7" item="188"/>
          <tpl fld="6" item="1"/>
          <tpl hier="236" item="0"/>
          <tpl fld="4" item="4"/>
        </tpls>
      </m>
      <m>
        <tpls c="4">
          <tpl fld="7" item="309"/>
          <tpl fld="6" item="1"/>
          <tpl hier="236" item="0"/>
          <tpl fld="4" item="4"/>
        </tpls>
      </m>
      <m>
        <tpls c="4">
          <tpl fld="7" item="101"/>
          <tpl fld="6" item="1"/>
          <tpl hier="236" item="0"/>
          <tpl fld="4" item="6"/>
        </tpls>
      </m>
      <m>
        <tpls c="4">
          <tpl fld="7" item="105"/>
          <tpl fld="6" item="2"/>
          <tpl hier="236" item="0"/>
          <tpl fld="4" item="4"/>
        </tpls>
      </m>
      <m>
        <tpls c="4">
          <tpl fld="7" item="493"/>
          <tpl fld="6" item="2"/>
          <tpl hier="236" item="0"/>
          <tpl fld="4" item="4"/>
        </tpls>
      </m>
      <m>
        <tpls c="4">
          <tpl fld="7" item="355"/>
          <tpl fld="6" item="1"/>
          <tpl hier="236" item="0"/>
          <tpl fld="4" item="6"/>
        </tpls>
      </m>
      <m>
        <tpls c="3">
          <tpl fld="7" item="429"/>
          <tpl fld="6" item="3"/>
          <tpl hier="236" item="0"/>
        </tpls>
      </m>
      <n v="1" in="2">
        <tpls c="4">
          <tpl fld="7" item="677"/>
          <tpl fld="6" item="2"/>
          <tpl hier="236" item="0"/>
          <tpl fld="4" item="1"/>
        </tpls>
      </n>
      <n v="6" in="1">
        <tpls c="4">
          <tpl fld="7" item="506"/>
          <tpl fld="6" item="1"/>
          <tpl hier="236" item="0"/>
          <tpl fld="4" item="4"/>
        </tpls>
      </n>
      <m>
        <tpls c="4">
          <tpl fld="7" item="509"/>
          <tpl fld="6" item="2"/>
          <tpl hier="236" item="0"/>
          <tpl fld="4" item="4"/>
        </tpls>
      </m>
      <m>
        <tpls c="4">
          <tpl fld="7" item="371"/>
          <tpl fld="6" item="1"/>
          <tpl hier="236" item="0"/>
          <tpl fld="4" item="6"/>
        </tpls>
      </m>
      <n v="1" in="3">
        <tpls c="3">
          <tpl fld="7" item="445"/>
          <tpl fld="6" item="3"/>
          <tpl hier="236" item="0"/>
        </tpls>
      </n>
      <n v="2" in="2">
        <tpls c="4">
          <tpl fld="7" item="681"/>
          <tpl fld="6" item="2"/>
          <tpl hier="236" item="0"/>
          <tpl fld="4" item="1"/>
        </tpls>
      </n>
      <n v="1" in="1">
        <tpls c="4">
          <tpl fld="7" item="522"/>
          <tpl fld="6" item="1"/>
          <tpl hier="236" item="0"/>
          <tpl fld="4" item="4"/>
        </tpls>
      </n>
      <n v="1" in="2">
        <tpls c="4">
          <tpl fld="7" item="525"/>
          <tpl fld="6" item="2"/>
          <tpl hier="236" item="0"/>
          <tpl fld="4" item="4"/>
        </tpls>
      </n>
      <m>
        <tpls c="3">
          <tpl fld="7" item="528"/>
          <tpl fld="6" item="3"/>
          <tpl hier="236" item="0"/>
        </tpls>
      </m>
      <n v="5" in="1">
        <tpls c="4">
          <tpl fld="7" item="459"/>
          <tpl fld="6" item="1"/>
          <tpl hier="236" item="0"/>
          <tpl fld="4" item="4"/>
        </tpls>
      </n>
      <m>
        <tpls c="4">
          <tpl fld="7" item="684"/>
          <tpl fld="6" item="2"/>
          <tpl hier="236" item="0"/>
          <tpl fld="4" item="5"/>
        </tpls>
      </m>
      <m>
        <tpls c="4">
          <tpl fld="7" item="391"/>
          <tpl fld="6" item="2"/>
          <tpl hier="236" item="0"/>
          <tpl fld="4" item="6"/>
        </tpls>
      </m>
      <m>
        <tpls c="4">
          <tpl fld="7" item="605"/>
          <tpl fld="6" item="1"/>
          <tpl hier="236" item="0"/>
          <tpl fld="4" item="5"/>
        </tpls>
      </m>
      <n v="4" in="1">
        <tpls c="4">
          <tpl fld="7" item="1079"/>
          <tpl fld="6" item="1"/>
          <tpl hier="236" item="0"/>
          <tpl fld="4" item="6"/>
        </tpls>
      </n>
      <n v="2278" in="1">
        <tpls c="6">
          <tpl fld="11" item="0"/>
          <tpl fld="5" item="5"/>
          <tpl fld="6" item="1"/>
          <tpl hier="236" item="0"/>
          <tpl fld="4" item="4"/>
          <tpl fld="10" item="7"/>
        </tpls>
      </n>
      <m>
        <tpls c="6">
          <tpl fld="3" item="3"/>
          <tpl fld="11" item="0"/>
          <tpl fld="6" item="2"/>
          <tpl hier="236" item="0"/>
          <tpl fld="4" item="6"/>
          <tpl fld="10" item="1"/>
        </tpls>
      </m>
      <n v="91" in="1">
        <tpls c="6">
          <tpl fld="3" item="4"/>
          <tpl fld="11" item="0"/>
          <tpl fld="6" item="1"/>
          <tpl hier="236" item="0"/>
          <tpl fld="4" item="6"/>
          <tpl fld="10" item="1"/>
        </tpls>
      </n>
      <n v="6862" in="1">
        <tpls c="5">
          <tpl fld="11" item="0"/>
          <tpl fld="6" item="1"/>
          <tpl hier="236" item="0"/>
          <tpl fld="4" item="4"/>
          <tpl fld="10" item="8"/>
        </tpls>
      </n>
      <m>
        <tpls c="4">
          <tpl fld="7" item="116"/>
          <tpl fld="6" item="2"/>
          <tpl hier="236" item="0"/>
          <tpl fld="4" item="6"/>
        </tpls>
      </m>
      <n v="11.7" in="2">
        <tpls c="6">
          <tpl fld="11" item="0"/>
          <tpl fld="6" item="2"/>
          <tpl fld="8" item="1"/>
          <tpl hier="236" item="0"/>
          <tpl fld="4" item="7"/>
          <tpl fld="10" item="2"/>
        </tpls>
      </n>
      <m>
        <tpls c="3">
          <tpl fld="7" item="32"/>
          <tpl fld="6" item="3"/>
          <tpl hier="236" item="0"/>
        </tpls>
      </m>
      <m>
        <tpls c="4">
          <tpl fld="7" item="260"/>
          <tpl fld="6" item="1"/>
          <tpl hier="236" item="0"/>
          <tpl fld="1" item="0"/>
        </tpls>
      </m>
      <m>
        <tpls c="4">
          <tpl fld="7" item="268"/>
          <tpl fld="6" item="1"/>
          <tpl hier="236" item="0"/>
          <tpl fld="1" item="0"/>
        </tpls>
      </m>
      <m>
        <tpls c="4">
          <tpl fld="7" item="482"/>
          <tpl fld="6" item="1"/>
          <tpl hier="236" item="0"/>
          <tpl fld="4" item="4"/>
        </tpls>
      </m>
      <m>
        <tpls c="4">
          <tpl fld="7" item="185"/>
          <tpl fld="6" item="2"/>
          <tpl hier="236" item="0"/>
          <tpl fld="4" item="1"/>
        </tpls>
      </m>
      <m>
        <tpls c="4">
          <tpl fld="7" item="306"/>
          <tpl fld="6" item="2"/>
          <tpl hier="236" item="0"/>
          <tpl fld="4" item="1"/>
        </tpls>
      </m>
      <n v="1" in="1">
        <tpls c="6">
          <tpl fld="3" item="2"/>
          <tpl fld="11" item="0"/>
          <tpl fld="6" item="1"/>
          <tpl hier="236" item="0"/>
          <tpl fld="4" item="7"/>
          <tpl fld="10" item="0"/>
        </tpls>
      </n>
      <m>
        <tpls c="4">
          <tpl fld="7" item="235"/>
          <tpl fld="6" item="1"/>
          <tpl hier="236" item="0"/>
          <tpl fld="4" item="4"/>
        </tpls>
      </m>
      <m>
        <tpls c="4">
          <tpl fld="7" item="254"/>
          <tpl fld="6" item="1"/>
          <tpl hier="236" item="0"/>
          <tpl fld="4" item="4"/>
        </tpls>
      </m>
      <m>
        <tpls c="4">
          <tpl fld="7" item="46"/>
          <tpl fld="6" item="2"/>
          <tpl hier="236" item="0"/>
          <tpl fld="4" item="6"/>
        </tpls>
      </m>
      <m>
        <tpls c="4">
          <tpl fld="7" item="265"/>
          <tpl fld="6" item="2"/>
          <tpl hier="236" item="0"/>
          <tpl fld="4" item="6"/>
        </tpls>
      </m>
      <m>
        <tpls c="4">
          <tpl fld="7" item="671"/>
          <tpl fld="6" item="1"/>
          <tpl hier="236" item="0"/>
          <tpl fld="4" item="6"/>
        </tpls>
      </m>
      <m>
        <tpls c="4">
          <tpl fld="7" item="54"/>
          <tpl fld="6" item="2"/>
          <tpl hier="236" item="0"/>
          <tpl fld="4" item="6"/>
        </tpls>
      </m>
      <m>
        <tpls c="4">
          <tpl fld="7" item="273"/>
          <tpl fld="6" item="2"/>
          <tpl hier="236" item="0"/>
          <tpl fld="4" item="6"/>
        </tpls>
      </m>
      <m>
        <tpls c="4">
          <tpl fld="7" item="280"/>
          <tpl fld="6" item="2"/>
          <tpl hier="236" item="0"/>
          <tpl fld="4" item="4"/>
        </tpls>
      </m>
      <m>
        <tpls c="4">
          <tpl fld="7" item="68"/>
          <tpl fld="6" item="1"/>
          <tpl hier="236" item="0"/>
          <tpl fld="4" item="6"/>
        </tpls>
      </m>
      <m>
        <tpls c="4">
          <tpl fld="7" item="484"/>
          <tpl fld="6" item="2"/>
          <tpl hier="236" item="0"/>
          <tpl fld="4" item="1"/>
        </tpls>
      </m>
      <m>
        <tpls c="4">
          <tpl fld="7" item="293"/>
          <tpl fld="6" item="1"/>
          <tpl hier="236" item="0"/>
          <tpl fld="4" item="4"/>
        </tpls>
      </m>
      <m>
        <tpls c="4">
          <tpl fld="7" item="297"/>
          <tpl fld="6" item="2"/>
          <tpl hier="236" item="0"/>
          <tpl fld="4" item="4"/>
        </tpls>
      </m>
      <m>
        <tpls c="4">
          <tpl fld="7" item="85"/>
          <tpl fld="6" item="2"/>
          <tpl hier="236" item="0"/>
          <tpl fld="4" item="1"/>
        </tpls>
      </m>
      <m>
        <tpls c="4">
          <tpl fld="7" item="196"/>
          <tpl fld="6" item="2"/>
          <tpl hier="236" item="0"/>
          <tpl fld="4" item="4"/>
        </tpls>
      </m>
      <n v="0" in="1">
        <tpls c="4">
          <tpl fld="7" item="1083"/>
          <tpl fld="6" item="1"/>
          <tpl hier="236" item="0"/>
          <tpl fld="4" item="6"/>
        </tpls>
      </n>
      <m>
        <tpls c="3">
          <tpl fld="7" item="311"/>
          <tpl fld="6" item="3"/>
          <tpl hier="236" item="0"/>
        </tpls>
      </m>
      <m>
        <tpls c="4">
          <tpl fld="7" item="98"/>
          <tpl fld="6" item="2"/>
          <tpl hier="236" item="0"/>
          <tpl fld="4" item="1"/>
        </tpls>
      </m>
      <n v="1227" in="1">
        <tpls c="6">
          <tpl fld="3" item="3"/>
          <tpl fld="11" item="0"/>
          <tpl fld="6" item="1"/>
          <tpl hier="236" item="0"/>
          <tpl fld="4" item="4"/>
          <tpl fld="10" item="0"/>
        </tpls>
      </n>
      <n v="769" in="1">
        <tpls c="5">
          <tpl fld="11" item="0"/>
          <tpl fld="6" item="1"/>
          <tpl hier="236" item="0"/>
          <tpl fld="4" item="1"/>
          <tpl fld="9" item="1"/>
        </tpls>
      </n>
      <n v="0.8" in="2">
        <tpls c="6">
          <tpl fld="11" item="0"/>
          <tpl fld="6" item="2"/>
          <tpl fld="8" item="0"/>
          <tpl hier="236" item="0"/>
          <tpl fld="4" item="3"/>
          <tpl fld="10" item="1"/>
        </tpls>
      </n>
      <m>
        <tpls c="4">
          <tpl fld="7" item="5"/>
          <tpl fld="6" item="1"/>
          <tpl hier="236" item="0"/>
          <tpl fld="4" item="5"/>
        </tpls>
      </m>
      <m>
        <tpls c="4">
          <tpl fld="7" item="13"/>
          <tpl fld="6" item="2"/>
          <tpl hier="236" item="0"/>
          <tpl fld="4" item="1"/>
        </tpls>
      </m>
      <m>
        <tpls c="4">
          <tpl fld="7" item="27"/>
          <tpl fld="6" item="1"/>
          <tpl hier="236" item="0"/>
          <tpl fld="4" item="4"/>
        </tpls>
      </m>
      <m>
        <tpls c="4">
          <tpl fld="7" item="30"/>
          <tpl fld="6" item="2"/>
          <tpl hier="236" item="0"/>
          <tpl fld="4" item="4"/>
        </tpls>
      </m>
      <m>
        <tpls c="4">
          <tpl fld="7" item="141"/>
          <tpl fld="6" item="1"/>
          <tpl hier="236" item="0"/>
          <tpl fld="4" item="6"/>
        </tpls>
      </m>
      <m>
        <tpls c="3">
          <tpl fld="7" item="475"/>
          <tpl fld="6" item="3"/>
          <tpl hier="236" item="0"/>
        </tpls>
      </m>
      <m>
        <tpls c="4">
          <tpl fld="7" item="256"/>
          <tpl fld="6" item="2"/>
          <tpl hier="236" item="0"/>
          <tpl fld="4" item="1"/>
        </tpls>
      </m>
      <m>
        <tpls c="4">
          <tpl fld="7" item="259"/>
          <tpl fld="6" item="1"/>
          <tpl hier="236" item="0"/>
          <tpl fld="4" item="4"/>
        </tpls>
      </m>
      <m>
        <tpls c="4">
          <tpl fld="7" item="261"/>
          <tpl fld="6" item="1"/>
          <tpl hier="236" item="0"/>
          <tpl fld="4" item="4"/>
        </tpls>
      </m>
      <m>
        <tpls c="4">
          <tpl fld="7" item="263"/>
          <tpl fld="6" item="1"/>
          <tpl hier="236" item="0"/>
          <tpl fld="4" item="4"/>
        </tpls>
      </m>
      <m>
        <tpls c="4">
          <tpl fld="7" item="265"/>
          <tpl fld="6" item="1"/>
          <tpl hier="236" item="0"/>
          <tpl fld="4" item="4"/>
        </tpls>
      </m>
      <m>
        <tpls c="4">
          <tpl fld="7" item="267"/>
          <tpl fld="6" item="1"/>
          <tpl hier="236" item="0"/>
          <tpl fld="4" item="4"/>
        </tpls>
      </m>
      <m>
        <tpls c="4">
          <tpl fld="7" item="269"/>
          <tpl fld="6" item="1"/>
          <tpl hier="236" item="0"/>
          <tpl fld="4" item="4"/>
        </tpls>
      </m>
      <m>
        <tpls c="4">
          <tpl fld="7" item="271"/>
          <tpl fld="6" item="1"/>
          <tpl hier="236" item="0"/>
          <tpl fld="4" item="4"/>
        </tpls>
      </m>
      <m>
        <tpls c="4">
          <tpl fld="7" item="273"/>
          <tpl fld="6" item="1"/>
          <tpl hier="236" item="0"/>
          <tpl fld="4" item="4"/>
        </tpls>
      </m>
      <m>
        <tpls c="4">
          <tpl fld="7" item="277"/>
          <tpl fld="6" item="2"/>
          <tpl hier="236" item="0"/>
          <tpl fld="4" item="1"/>
        </tpls>
      </m>
      <m>
        <tpls c="4">
          <tpl fld="7" item="282"/>
          <tpl fld="6" item="2"/>
          <tpl hier="236" item="0"/>
          <tpl fld="4" item="1"/>
        </tpls>
      </m>
      <m>
        <tpls c="4">
          <tpl fld="7" item="69"/>
          <tpl fld="6" item="1"/>
          <tpl hier="236" item="0"/>
          <tpl fld="4" item="4"/>
        </tpls>
      </m>
      <m>
        <tpls c="4">
          <tpl fld="7" item="72"/>
          <tpl fld="6" item="2"/>
          <tpl hier="236" item="0"/>
          <tpl fld="4" item="4"/>
        </tpls>
      </m>
      <m>
        <tpls c="4">
          <tpl fld="7" item="183"/>
          <tpl fld="6" item="1"/>
          <tpl hier="236" item="0"/>
          <tpl fld="4" item="6"/>
        </tpls>
      </m>
      <m>
        <tpls c="3">
          <tpl fld="7" item="415"/>
          <tpl fld="6" item="3"/>
          <tpl hier="236" item="0"/>
        </tpls>
      </m>
      <m>
        <tpls c="4">
          <tpl fld="7" item="298"/>
          <tpl fld="6" item="2"/>
          <tpl hier="236" item="0"/>
          <tpl fld="4" item="1"/>
        </tpls>
      </m>
      <m>
        <tpls c="4">
          <tpl fld="7" item="487"/>
          <tpl fld="6" item="2"/>
          <tpl hier="236" item="0"/>
          <tpl fld="4" item="4"/>
        </tpls>
      </m>
      <m>
        <tpls c="4">
          <tpl fld="7" item="304"/>
          <tpl fld="6" item="1"/>
          <tpl hier="236" item="0"/>
          <tpl fld="4" item="6"/>
        </tpls>
      </m>
      <m>
        <tpls c="3">
          <tpl fld="7" item="91"/>
          <tpl fld="6" item="3"/>
          <tpl hier="236" item="0"/>
        </tpls>
      </m>
      <m>
        <tpls c="4">
          <tpl fld="7" item="202"/>
          <tpl fld="6" item="2"/>
          <tpl hier="236" item="0"/>
          <tpl fld="4" item="1"/>
        </tpls>
      </m>
      <m>
        <tpls c="4">
          <tpl fld="7" item="349"/>
          <tpl fld="6" item="1"/>
          <tpl hier="236" item="0"/>
          <tpl fld="4" item="4"/>
        </tpls>
      </m>
      <m>
        <tpls c="4">
          <tpl fld="7" item="491"/>
          <tpl fld="6" item="2"/>
          <tpl hier="236" item="0"/>
          <tpl fld="4" item="4"/>
        </tpls>
      </m>
      <m>
        <tpls c="4">
          <tpl fld="7" item="320"/>
          <tpl fld="6" item="1"/>
          <tpl hier="236" item="0"/>
          <tpl fld="4" item="6"/>
        </tpls>
      </m>
      <m>
        <tpls c="4">
          <tpl fld="7" item="325"/>
          <tpl fld="6" item="1"/>
          <tpl hier="236" item="0"/>
          <tpl fld="4" item="5"/>
        </tpls>
      </m>
      <m>
        <tpls c="4">
          <tpl fld="7" item="590"/>
          <tpl fld="6" item="1"/>
          <tpl hier="236" item="0"/>
          <tpl fld="4" item="6"/>
        </tpls>
      </m>
      <m>
        <tpls c="4">
          <tpl fld="7" item="1185"/>
          <tpl fld="6" item="1"/>
          <tpl hier="236" item="0"/>
          <tpl fld="4" item="5"/>
        </tpls>
      </m>
      <m>
        <tpls c="4">
          <tpl fld="7" item="671"/>
          <tpl fld="6" item="1"/>
          <tpl hier="236" item="0"/>
          <tpl fld="4" item="5"/>
        </tpls>
      </m>
      <n v="0" in="1">
        <tpls c="4">
          <tpl fld="7" item="929"/>
          <tpl fld="6" item="1"/>
          <tpl hier="236" item="0"/>
          <tpl fld="1" item="0"/>
        </tpls>
      </n>
      <n v="0" in="1">
        <tpls c="6">
          <tpl fld="11" item="0"/>
          <tpl fld="5" item="3"/>
          <tpl fld="6" item="1"/>
          <tpl hier="236" item="0"/>
          <tpl fld="4" item="3"/>
          <tpl fld="10" item="5"/>
        </tpls>
      </n>
      <m>
        <tpls c="6">
          <tpl fld="11" item="0"/>
          <tpl fld="5" item="4"/>
          <tpl fld="6" item="2"/>
          <tpl hier="236" item="0"/>
          <tpl fld="4" item="7"/>
          <tpl fld="10" item="8"/>
        </tpls>
      </m>
      <n v="2" in="1">
        <tpls c="6">
          <tpl fld="3" item="0"/>
          <tpl fld="11" item="0"/>
          <tpl fld="6" item="1"/>
          <tpl hier="236" item="0"/>
          <tpl fld="4" item="1"/>
          <tpl fld="9" item="3"/>
        </tpls>
      </n>
      <m>
        <tpls c="4">
          <tpl fld="7" item="1255"/>
          <tpl fld="6" item="1"/>
          <tpl hier="236" item="0"/>
          <tpl fld="4" item="5"/>
        </tpls>
      </m>
      <m>
        <tpls c="6">
          <tpl fld="3" item="3"/>
          <tpl fld="11" item="0"/>
          <tpl fld="6" item="2"/>
          <tpl hier="236" item="0"/>
          <tpl fld="4" item="7"/>
          <tpl fld="10" item="1"/>
        </tpls>
      </m>
      <n v="9.8445945945945947" in="2">
        <tpls c="6">
          <tpl fld="11" item="0"/>
          <tpl fld="5" item="4"/>
          <tpl fld="6" item="2"/>
          <tpl hier="236" item="0"/>
          <tpl fld="4" item="1"/>
          <tpl fld="9" item="1"/>
        </tpls>
      </n>
      <n v="4" in="1">
        <tpls c="4">
          <tpl fld="7" item="932"/>
          <tpl fld="6" item="1"/>
          <tpl hier="236" item="0"/>
          <tpl fld="4" item="6"/>
        </tpls>
      </n>
      <n v="2" in="1">
        <tpls c="4">
          <tpl fld="7" item="964"/>
          <tpl fld="6" item="1"/>
          <tpl hier="236" item="0"/>
          <tpl fld="1" item="0"/>
        </tpls>
      </n>
      <m>
        <tpls c="6">
          <tpl fld="11" item="0"/>
          <tpl fld="5" item="3"/>
          <tpl fld="6" item="2"/>
          <tpl hier="236" item="0"/>
          <tpl fld="4" item="3"/>
          <tpl fld="10" item="3"/>
        </tpls>
      </m>
      <m>
        <tpls c="4">
          <tpl fld="7" item="112"/>
          <tpl fld="6" item="1"/>
          <tpl hier="236" item="0"/>
          <tpl fld="4" item="5"/>
        </tpls>
      </m>
      <n v="38.437837837837833" in="2">
        <tpls c="6">
          <tpl fld="3" item="2"/>
          <tpl fld="11" item="0"/>
          <tpl fld="6" item="2"/>
          <tpl hier="236" item="0"/>
          <tpl fld="4" item="6"/>
          <tpl fld="10" item="2"/>
        </tpls>
      </n>
      <n v="10" in="1">
        <tpls c="6">
          <tpl fld="11" item="0"/>
          <tpl fld="2" item="4"/>
          <tpl fld="6" item="1"/>
          <tpl hier="236" item="0"/>
          <tpl fld="4" item="4"/>
          <tpl fld="10" item="1"/>
        </tpls>
      </n>
      <m>
        <tpls c="3">
          <tpl fld="7" item="961"/>
          <tpl fld="6" item="3"/>
          <tpl hier="236" item="0"/>
        </tpls>
      </m>
      <n v="4672" in="1">
        <tpls c="5">
          <tpl fld="11" item="0"/>
          <tpl fld="2" item="0"/>
          <tpl fld="6" item="1"/>
          <tpl hier="236" item="0"/>
          <tpl fld="1" item="0"/>
        </tpls>
      </n>
      <n v="13" in="1">
        <tpls c="6">
          <tpl fld="11" item="0"/>
          <tpl fld="2" item="0"/>
          <tpl fld="6" item="1"/>
          <tpl hier="236" item="0"/>
          <tpl fld="4" item="3"/>
          <tpl fld="10" item="1"/>
        </tpls>
      </n>
      <m>
        <tpls c="3">
          <tpl fld="7" item="1071"/>
          <tpl fld="6" item="3"/>
          <tpl hier="236" item="0"/>
        </tpls>
      </m>
      <n v="13.152702702702703" in="2">
        <tpls c="6">
          <tpl fld="11" item="0"/>
          <tpl fld="2" item="1"/>
          <tpl fld="6" item="2"/>
          <tpl hier="236" item="0"/>
          <tpl fld="4" item="6"/>
          <tpl fld="10" item="5"/>
        </tpls>
      </n>
      <n v="48" in="1">
        <tpls c="5">
          <tpl fld="3" item="3"/>
          <tpl fld="11" item="0"/>
          <tpl fld="6" item="1"/>
          <tpl hier="236" item="0"/>
          <tpl fld="4" item="5"/>
        </tpls>
      </n>
      <n v="3.2" in="2">
        <tpls c="6">
          <tpl fld="11" item="0"/>
          <tpl fld="2" item="3"/>
          <tpl fld="6" item="2"/>
          <tpl hier="236" item="0"/>
          <tpl fld="4" item="4"/>
          <tpl fld="10" item="3"/>
        </tpls>
      </n>
      <n v="61" in="1">
        <tpls c="6">
          <tpl fld="11" item="0"/>
          <tpl fld="6" item="1"/>
          <tpl fld="8" item="0"/>
          <tpl hier="236" item="0"/>
          <tpl fld="4" item="1"/>
          <tpl fld="9" item="0"/>
        </tpls>
      </n>
      <m>
        <tpls c="4">
          <tpl fld="7" item="113"/>
          <tpl fld="6" item="1"/>
          <tpl hier="236" item="0"/>
          <tpl fld="4" item="5"/>
        </tpls>
      </m>
      <n v="3805" in="1">
        <tpls c="6">
          <tpl fld="11" item="0"/>
          <tpl fld="2" item="1"/>
          <tpl fld="6" item="1"/>
          <tpl hier="236" item="0"/>
          <tpl fld="4" item="4"/>
          <tpl fld="10" item="8"/>
        </tpls>
      </n>
      <n v="45.470067567567568" in="2">
        <tpls c="6">
          <tpl fld="11" item="0"/>
          <tpl fld="6" item="2"/>
          <tpl fld="8" item="1"/>
          <tpl hier="236" item="0"/>
          <tpl fld="4" item="1"/>
          <tpl fld="9" item="1"/>
        </tpls>
      </n>
      <n v="3" in="1">
        <tpls c="5">
          <tpl fld="3" item="0"/>
          <tpl fld="11" item="0"/>
          <tpl fld="6" item="1"/>
          <tpl hier="236" item="0"/>
          <tpl fld="4" item="2"/>
        </tpls>
      </n>
      <n v="562" in="1">
        <tpls c="6">
          <tpl fld="11" item="0"/>
          <tpl fld="6" item="1"/>
          <tpl fld="8" item="1"/>
          <tpl hier="236" item="0"/>
          <tpl fld="4" item="4"/>
          <tpl fld="10" item="6"/>
        </tpls>
      </n>
      <m>
        <tpls c="4">
          <tpl fld="7" item="3"/>
          <tpl fld="6" item="2"/>
          <tpl hier="236" item="0"/>
          <tpl fld="4" item="1"/>
        </tpls>
      </m>
      <m>
        <tpls c="4">
          <tpl fld="7" item="240"/>
          <tpl fld="6" item="2"/>
          <tpl hier="236" item="0"/>
          <tpl fld="4" item="1"/>
        </tpls>
      </m>
      <m>
        <tpls c="4">
          <tpl fld="7" item="4"/>
          <tpl fld="6" item="1"/>
          <tpl hier="236" item="0"/>
          <tpl fld="4" item="5"/>
        </tpls>
      </m>
      <n v="1820" in="1">
        <tpls c="6">
          <tpl fld="3" item="4"/>
          <tpl fld="11" item="0"/>
          <tpl fld="6" item="1"/>
          <tpl hier="236" item="0"/>
          <tpl fld="4" item="1"/>
          <tpl fld="9" item="4"/>
        </tpls>
      </n>
      <n v="15" in="1">
        <tpls c="6">
          <tpl fld="11" item="0"/>
          <tpl fld="2" item="0"/>
          <tpl fld="6" item="1"/>
          <tpl hier="236" item="0"/>
          <tpl fld="4" item="7"/>
          <tpl fld="10" item="4"/>
        </tpls>
      </n>
      <n v="6.25" in="2">
        <tpls c="6">
          <tpl fld="11" item="0"/>
          <tpl fld="6" item="2"/>
          <tpl fld="8" item="0"/>
          <tpl hier="236" item="0"/>
          <tpl fld="4" item="3"/>
          <tpl fld="10" item="5"/>
        </tpls>
      </n>
      <n v="542" in="1">
        <tpls c="5">
          <tpl fld="11" item="0"/>
          <tpl fld="6" item="1"/>
          <tpl hier="236" item="0"/>
          <tpl fld="4" item="3"/>
          <tpl fld="10" item="3"/>
        </tpls>
      </n>
      <n v="24" in="1">
        <tpls c="6">
          <tpl fld="11" item="0"/>
          <tpl fld="6" item="1"/>
          <tpl fld="8" item="1"/>
          <tpl hier="236" item="0"/>
          <tpl fld="4" item="7"/>
          <tpl fld="10" item="5"/>
        </tpls>
      </n>
      <m>
        <tpls c="4">
          <tpl fld="7" item="127"/>
          <tpl fld="6" item="2"/>
          <tpl hier="236" item="0"/>
          <tpl fld="4" item="1"/>
        </tpls>
      </m>
      <m>
        <tpls c="4">
          <tpl fld="7" item="117"/>
          <tpl fld="6" item="2"/>
          <tpl hier="236" item="0"/>
          <tpl fld="4" item="1"/>
        </tpls>
      </m>
      <m>
        <tpls c="4">
          <tpl fld="7" item="144"/>
          <tpl fld="6" item="2"/>
          <tpl hier="236" item="0"/>
          <tpl fld="4" item="1"/>
        </tpls>
      </m>
      <m>
        <tpls c="3">
          <tpl fld="7" item="407"/>
          <tpl fld="6" item="3"/>
          <tpl hier="236" item="0"/>
        </tpls>
      </m>
      <m>
        <tpls c="3">
          <tpl fld="7" item="409"/>
          <tpl fld="6" item="3"/>
          <tpl hier="236" item="0"/>
        </tpls>
      </m>
      <m>
        <tpls c="4">
          <tpl fld="7" item="483"/>
          <tpl fld="6" item="2"/>
          <tpl hier="236" item="0"/>
          <tpl fld="4" item="4"/>
        </tpls>
      </m>
      <m>
        <tpls c="4">
          <tpl fld="7" item="345"/>
          <tpl fld="6" item="1"/>
          <tpl hier="236" item="0"/>
          <tpl fld="4" item="4"/>
        </tpls>
      </m>
      <m>
        <tpls c="4">
          <tpl fld="7" item="94"/>
          <tpl fld="6" item="1"/>
          <tpl hier="236" item="0"/>
          <tpl fld="4" item="4"/>
        </tpls>
      </m>
      <n v="247" in="1">
        <tpls c="5">
          <tpl fld="11" item="0"/>
          <tpl fld="6" item="1"/>
          <tpl hier="236" item="0"/>
          <tpl fld="4" item="7"/>
          <tpl fld="10" item="0"/>
        </tpls>
      </n>
      <m>
        <tpls c="4">
          <tpl fld="7" item="29"/>
          <tpl fld="6" item="1"/>
          <tpl hier="236" item="0"/>
          <tpl fld="4" item="6"/>
        </tpls>
      </m>
      <m>
        <tpls c="4">
          <tpl fld="7" item="258"/>
          <tpl fld="6" item="2"/>
          <tpl hier="236" item="0"/>
          <tpl fld="4" item="4"/>
        </tpls>
      </m>
      <n v="1.9" in="2">
        <tpls c="6">
          <tpl fld="11" item="0"/>
          <tpl fld="2" item="0"/>
          <tpl fld="6" item="2"/>
          <tpl hier="236" item="0"/>
          <tpl fld="4" item="4"/>
          <tpl fld="10" item="1"/>
        </tpls>
      </n>
      <n v="29.62013513513514" in="2">
        <tpls c="6">
          <tpl fld="11" item="0"/>
          <tpl fld="2" item="1"/>
          <tpl fld="6" item="2"/>
          <tpl hier="236" item="0"/>
          <tpl fld="4" item="6"/>
          <tpl fld="10" item="7"/>
        </tpls>
      </n>
      <n v="1" in="2">
        <tpls c="6">
          <tpl fld="11" item="0"/>
          <tpl fld="6" item="2"/>
          <tpl fld="8" item="0"/>
          <tpl hier="236" item="0"/>
          <tpl fld="4" item="1"/>
          <tpl fld="9" item="3"/>
        </tpls>
      </n>
      <n v="7223" in="1">
        <tpls c="5">
          <tpl fld="11" item="0"/>
          <tpl fld="6" item="1"/>
          <tpl hier="236" item="0"/>
          <tpl fld="4" item="4"/>
          <tpl fld="10" item="0"/>
        </tpls>
      </n>
      <n v="1" in="2">
        <tpls c="6">
          <tpl fld="11" item="0"/>
          <tpl fld="6" item="2"/>
          <tpl fld="8" item="1"/>
          <tpl hier="236" item="0"/>
          <tpl fld="4" item="3"/>
          <tpl fld="10" item="3"/>
        </tpls>
      </n>
      <n v="0" in="1">
        <tpls c="4">
          <tpl fld="7" item="15"/>
          <tpl fld="6" item="1"/>
          <tpl hier="236" item="0"/>
          <tpl fld="4" item="4"/>
        </tpls>
      </n>
      <m>
        <tpls c="4">
          <tpl fld="7" item="113"/>
          <tpl fld="6" item="2"/>
          <tpl hier="236" item="0"/>
          <tpl fld="4" item="1"/>
        </tpls>
      </m>
      <m>
        <tpls c="4">
          <tpl fld="7" item="251"/>
          <tpl fld="6" item="1"/>
          <tpl hier="236" item="0"/>
          <tpl fld="4" item="6"/>
        </tpls>
      </m>
      <m>
        <tpls c="4">
          <tpl fld="7" item="336"/>
          <tpl fld="6" item="1"/>
          <tpl hier="236" item="0"/>
          <tpl fld="1" item="0"/>
        </tpls>
      </m>
      <m>
        <tpls c="4">
          <tpl fld="7" item="338"/>
          <tpl fld="6" item="1"/>
          <tpl hier="236" item="0"/>
          <tpl fld="1" item="0"/>
        </tpls>
      </m>
      <m>
        <tpls c="4">
          <tpl fld="7" item="175"/>
          <tpl fld="6" item="2"/>
          <tpl hier="236" item="0"/>
          <tpl fld="4" item="1"/>
        </tpls>
      </m>
      <m>
        <tpls c="3">
          <tpl fld="7" item="80"/>
          <tpl fld="6" item="3"/>
          <tpl hier="236" item="0"/>
        </tpls>
      </m>
      <m>
        <tpls c="3">
          <tpl fld="7" item="489"/>
          <tpl fld="6" item="3"/>
          <tpl hier="236" item="0"/>
        </tpls>
      </m>
      <n v="222" in="1">
        <tpls c="6">
          <tpl fld="11" item="0"/>
          <tpl fld="6" item="1"/>
          <tpl fld="8" item="0"/>
          <tpl hier="236" item="0"/>
          <tpl fld="4" item="4"/>
          <tpl fld="10" item="2"/>
        </tpls>
      </n>
      <m>
        <tpls c="4">
          <tpl fld="7" item="244"/>
          <tpl fld="6" item="1"/>
          <tpl hier="236" item="0"/>
          <tpl fld="4" item="4"/>
        </tpls>
      </m>
      <m>
        <tpls c="4">
          <tpl fld="7" item="476"/>
          <tpl fld="6" item="2"/>
          <tpl hier="236" item="0"/>
          <tpl fld="4" item="1"/>
        </tpls>
      </m>
      <n v="293.52898648648642" in="2">
        <tpls c="5">
          <tpl fld="3" item="4"/>
          <tpl fld="11" item="0"/>
          <tpl fld="6" item="2"/>
          <tpl hier="236" item="0"/>
          <tpl fld="1" item="0"/>
        </tpls>
      </n>
      <m>
        <tpls c="6">
          <tpl fld="11" item="0"/>
          <tpl fld="2" item="2"/>
          <tpl fld="6" item="2"/>
          <tpl hier="236" item="0"/>
          <tpl fld="4" item="7"/>
          <tpl fld="10" item="6"/>
        </tpls>
      </m>
      <n v="2630" in="1">
        <tpls c="6">
          <tpl fld="11" item="0"/>
          <tpl fld="6" item="1"/>
          <tpl fld="8" item="1"/>
          <tpl hier="236" item="0"/>
          <tpl fld="4" item="6"/>
          <tpl fld="10" item="7"/>
        </tpls>
      </n>
      <n v="7.0324324324324321" in="2">
        <tpls c="6">
          <tpl fld="11" item="0"/>
          <tpl fld="6" item="2"/>
          <tpl fld="8" item="0"/>
          <tpl hier="236" item="0"/>
          <tpl fld="4" item="6"/>
          <tpl fld="10" item="8"/>
        </tpls>
      </n>
      <n v="3400" in="1">
        <tpls c="6">
          <tpl fld="11" item="0"/>
          <tpl fld="6" item="1"/>
          <tpl fld="8" item="1"/>
          <tpl hier="236" item="0"/>
          <tpl fld="4" item="3"/>
          <tpl fld="10" item="2"/>
        </tpls>
      </n>
      <m>
        <tpls c="4">
          <tpl fld="7" item="126"/>
          <tpl fld="6" item="2"/>
          <tpl hier="236" item="0"/>
          <tpl fld="4" item="1"/>
        </tpls>
      </m>
      <m>
        <tpls c="4">
          <tpl fld="7" item="8"/>
          <tpl fld="6" item="1"/>
          <tpl hier="236" item="0"/>
          <tpl fld="4" item="5"/>
        </tpls>
      </m>
      <m>
        <tpls c="4">
          <tpl fld="7" item="252"/>
          <tpl fld="6" item="1"/>
          <tpl hier="236" item="0"/>
          <tpl fld="4" item="6"/>
        </tpls>
      </m>
      <m>
        <tpls c="3">
          <tpl fld="7" item="154"/>
          <tpl fld="6" item="3"/>
          <tpl hier="236" item="0"/>
        </tpls>
      </m>
      <m>
        <tpls c="3">
          <tpl fld="7" item="162"/>
          <tpl fld="6" item="3"/>
          <tpl hier="236" item="0"/>
        </tpls>
      </m>
      <m>
        <tpls c="4">
          <tpl fld="7" item="176"/>
          <tpl fld="6" item="2"/>
          <tpl hier="236" item="0"/>
          <tpl fld="4" item="1"/>
        </tpls>
      </m>
      <m>
        <tpls c="3">
          <tpl fld="7" item="81"/>
          <tpl fld="6" item="3"/>
          <tpl hier="236" item="0"/>
        </tpls>
      </m>
      <m>
        <tpls c="3">
          <tpl fld="7" item="348"/>
          <tpl fld="6" item="3"/>
          <tpl hier="236" item="0"/>
        </tpls>
      </m>
      <n v="2808" in="1">
        <tpls c="5">
          <tpl fld="11" item="0"/>
          <tpl fld="6" item="1"/>
          <tpl hier="236" item="0"/>
          <tpl fld="4" item="3"/>
          <tpl fld="10" item="7"/>
        </tpls>
      </n>
      <m>
        <tpls c="4">
          <tpl fld="7" item="245"/>
          <tpl fld="6" item="1"/>
          <tpl hier="236" item="0"/>
          <tpl fld="4" item="4"/>
        </tpls>
      </m>
      <m>
        <tpls c="4">
          <tpl fld="7" item="335"/>
          <tpl fld="6" item="2"/>
          <tpl hier="236" item="0"/>
          <tpl fld="4" item="1"/>
        </tpls>
      </m>
      <m>
        <tpls c="4">
          <tpl fld="7" item="266"/>
          <tpl fld="6" item="1"/>
          <tpl hier="236" item="0"/>
          <tpl fld="4" item="6"/>
        </tpls>
      </m>
      <m>
        <tpls c="4">
          <tpl fld="7" item="274"/>
          <tpl fld="6" item="1"/>
          <tpl hier="236" item="0"/>
          <tpl fld="4" item="5"/>
        </tpls>
      </m>
      <m>
        <tpls c="4">
          <tpl fld="7" item="290"/>
          <tpl fld="6" item="2"/>
          <tpl hier="236" item="0"/>
          <tpl fld="4" item="4"/>
        </tpls>
      </m>
      <n v="1" in="1">
        <tpls c="4">
          <tpl fld="7" item="965"/>
          <tpl fld="6" item="1"/>
          <tpl hier="236" item="0"/>
          <tpl fld="1" item="0"/>
        </tpls>
      </n>
      <n v="14.435405405405406" in="2">
        <tpls c="5">
          <tpl fld="11" item="0"/>
          <tpl fld="6" item="2"/>
          <tpl hier="236" item="0"/>
          <tpl fld="4" item="4"/>
          <tpl fld="10" item="5"/>
        </tpls>
      </n>
      <m>
        <tpls c="4">
          <tpl fld="7" item="151"/>
          <tpl fld="6" item="1"/>
          <tpl hier="236" item="0"/>
          <tpl fld="1" item="0"/>
        </tpls>
      </m>
      <m>
        <tpls c="4">
          <tpl fld="7" item="89"/>
          <tpl fld="6" item="1"/>
          <tpl hier="236" item="0"/>
          <tpl fld="4" item="4"/>
        </tpls>
      </m>
      <m>
        <tpls c="4">
          <tpl fld="7" item="262"/>
          <tpl fld="6" item="2"/>
          <tpl hier="236" item="0"/>
          <tpl fld="4" item="6"/>
        </tpls>
      </m>
      <m>
        <tpls c="4">
          <tpl fld="7" item="480"/>
          <tpl fld="6" item="2"/>
          <tpl hier="236" item="0"/>
          <tpl fld="4" item="6"/>
        </tpls>
      </m>
      <m>
        <tpls c="4">
          <tpl fld="7" item="485"/>
          <tpl fld="6" item="2"/>
          <tpl hier="236" item="0"/>
          <tpl fld="4" item="1"/>
        </tpls>
      </m>
      <m>
        <tpls c="4">
          <tpl fld="7" item="199"/>
          <tpl fld="6" item="2"/>
          <tpl hier="236" item="0"/>
          <tpl fld="4" item="4"/>
        </tpls>
      </m>
      <n v="368.71743243243253" in="2">
        <tpls c="5">
          <tpl fld="11" item="0"/>
          <tpl fld="6" item="2"/>
          <tpl fld="8" item="0"/>
          <tpl hier="236" item="0"/>
          <tpl fld="1" item="0"/>
        </tpls>
      </n>
      <m>
        <tpls c="3">
          <tpl fld="7" item="243"/>
          <tpl fld="6" item="3"/>
          <tpl hier="236" item="0"/>
        </tpls>
      </m>
      <m>
        <tpls c="3">
          <tpl fld="7" item="752"/>
          <tpl fld="6" item="3"/>
          <tpl hier="236" item="0"/>
        </tpls>
      </m>
      <m>
        <tpls c="4">
          <tpl fld="7" item="478"/>
          <tpl fld="6" item="2"/>
          <tpl hier="236" item="0"/>
          <tpl fld="4" item="4"/>
        </tpls>
      </m>
      <m>
        <tpls c="4">
          <tpl fld="7" item="480"/>
          <tpl fld="6" item="2"/>
          <tpl hier="236" item="0"/>
          <tpl fld="4" item="4"/>
        </tpls>
      </m>
      <m>
        <tpls c="4">
          <tpl fld="7" item="72"/>
          <tpl fld="6" item="1"/>
          <tpl hier="236" item="0"/>
          <tpl fld="4" item="4"/>
        </tpls>
      </m>
      <m>
        <tpls c="4">
          <tpl fld="7" item="487"/>
          <tpl fld="6" item="1"/>
          <tpl hier="236" item="0"/>
          <tpl fld="4" item="4"/>
        </tpls>
      </m>
      <m>
        <tpls c="4">
          <tpl fld="7" item="205"/>
          <tpl fld="6" item="2"/>
          <tpl hier="236" item="0"/>
          <tpl fld="4" item="1"/>
        </tpls>
      </m>
      <m>
        <tpls c="3">
          <tpl fld="7" item="247"/>
          <tpl fld="6" item="3"/>
          <tpl hier="236" item="0"/>
        </tpls>
      </m>
      <m>
        <tpls c="4">
          <tpl fld="7" item="76"/>
          <tpl fld="6" item="2"/>
          <tpl hier="236" item="0"/>
          <tpl fld="4" item="1"/>
        </tpls>
      </m>
      <n v="2" in="1">
        <tpls c="4">
          <tpl fld="7" item="107"/>
          <tpl fld="6" item="1"/>
          <tpl hier="236" item="0"/>
          <tpl fld="4" item="6"/>
        </tpls>
      </n>
      <n v="2.95" in="2">
        <tpls c="4">
          <tpl fld="7" item="1084"/>
          <tpl fld="6" item="2"/>
          <tpl hier="236" item="0"/>
          <tpl fld="4" item="4"/>
        </tpls>
      </n>
      <n v="1" in="1">
        <tpls c="4">
          <tpl fld="7" item="601"/>
          <tpl fld="6" item="1"/>
          <tpl hier="236" item="0"/>
          <tpl fld="4" item="4"/>
        </tpls>
      </n>
      <m>
        <tpls c="4">
          <tpl fld="7" item="529"/>
          <tpl fld="6" item="2"/>
          <tpl hier="236" item="0"/>
          <tpl fld="4" item="1"/>
        </tpls>
      </m>
      <m>
        <tpls c="4">
          <tpl fld="7" item="685"/>
          <tpl fld="6" item="2"/>
          <tpl hier="236" item="0"/>
          <tpl fld="4" item="4"/>
        </tpls>
      </m>
      <m>
        <tpls c="4">
          <tpl fld="7" item="984"/>
          <tpl fld="6" item="2"/>
          <tpl hier="236" item="0"/>
          <tpl fld="4" item="6"/>
        </tpls>
      </m>
      <m>
        <tpls c="3">
          <tpl fld="7" item="248"/>
          <tpl fld="6" item="3"/>
          <tpl hier="236" item="0"/>
        </tpls>
      </m>
      <m>
        <tpls c="4">
          <tpl fld="7" item="77"/>
          <tpl fld="6" item="2"/>
          <tpl hier="236" item="0"/>
          <tpl fld="4" item="1"/>
        </tpls>
      </m>
      <n v="0" in="1">
        <tpls c="4">
          <tpl fld="7" item="215"/>
          <tpl fld="6" item="1"/>
          <tpl hier="236" item="0"/>
          <tpl fld="4" item="6"/>
        </tpls>
      </n>
      <n v="1" in="2">
        <tpls c="4">
          <tpl fld="7" item="505"/>
          <tpl fld="6" item="2"/>
          <tpl hier="236" item="0"/>
          <tpl fld="4" item="4"/>
        </tpls>
      </n>
      <n v="38" in="1">
        <tpls c="4">
          <tpl fld="7" item="518"/>
          <tpl fld="6" item="1"/>
          <tpl hier="236" item="0"/>
          <tpl fld="4" item="4"/>
        </tpls>
      </n>
      <n v="1" in="1">
        <tpls c="4">
          <tpl fld="7" item="529"/>
          <tpl fld="6" item="1"/>
          <tpl hier="236" item="0"/>
          <tpl fld="1" item="0"/>
        </tpls>
      </n>
      <m>
        <tpls c="4">
          <tpl fld="7" item="685"/>
          <tpl fld="6" item="2"/>
          <tpl hier="236" item="0"/>
          <tpl fld="4" item="5"/>
        </tpls>
      </m>
      <n v="0.89999999999999991" in="2">
        <tpls c="6">
          <tpl fld="3" item="1"/>
          <tpl fld="11" item="0"/>
          <tpl fld="6" item="2"/>
          <tpl hier="236" item="0"/>
          <tpl fld="4" item="6"/>
          <tpl fld="10" item="6"/>
        </tpls>
      </n>
      <m>
        <tpls c="4">
          <tpl fld="7" item="335"/>
          <tpl fld="6" item="2"/>
          <tpl hier="236" item="0"/>
          <tpl fld="4" item="4"/>
        </tpls>
      </m>
      <m>
        <tpls c="3">
          <tpl fld="7" item="417"/>
          <tpl fld="6" item="3"/>
          <tpl hier="236" item="0"/>
        </tpls>
      </m>
      <m>
        <tpls c="4">
          <tpl fld="7" item="257"/>
          <tpl fld="6" item="2"/>
          <tpl hier="236" item="0"/>
          <tpl fld="4" item="4"/>
        </tpls>
      </m>
      <m>
        <tpls c="4">
          <tpl fld="7" item="591"/>
          <tpl fld="6" item="1"/>
          <tpl hier="236" item="0"/>
          <tpl fld="4" item="6"/>
        </tpls>
      </m>
      <m>
        <tpls c="4">
          <tpl fld="7" item="267"/>
          <tpl fld="6" item="2"/>
          <tpl hier="236" item="0"/>
          <tpl fld="4" item="6"/>
        </tpls>
      </m>
      <m>
        <tpls c="4">
          <tpl fld="7" item="271"/>
          <tpl fld="6" item="2"/>
          <tpl hier="236" item="0"/>
          <tpl fld="4" item="6"/>
        </tpls>
      </m>
      <m>
        <tpls c="4">
          <tpl fld="7" item="275"/>
          <tpl fld="6" item="1"/>
          <tpl hier="236" item="0"/>
          <tpl fld="4" item="4"/>
        </tpls>
      </m>
      <m>
        <tpls c="4">
          <tpl fld="7" item="67"/>
          <tpl fld="6" item="1"/>
          <tpl hier="236" item="0"/>
          <tpl fld="4" item="6"/>
        </tpls>
      </m>
      <m>
        <tpls c="4">
          <tpl fld="7" item="343"/>
          <tpl fld="6" item="2"/>
          <tpl hier="236" item="0"/>
          <tpl fld="4" item="1"/>
        </tpls>
      </m>
      <m>
        <tpls c="4">
          <tpl fld="7" item="295"/>
          <tpl fld="6" item="2"/>
          <tpl hier="236" item="0"/>
          <tpl fld="4" item="4"/>
        </tpls>
      </m>
      <n v="1" in="1">
        <tpls c="4">
          <tpl fld="7" item="84"/>
          <tpl fld="6" item="1"/>
          <tpl hier="236" item="0"/>
          <tpl fld="4" item="6"/>
        </tpls>
      </n>
      <m>
        <tpls c="4">
          <tpl fld="7" item="197"/>
          <tpl fld="6" item="1"/>
          <tpl hier="236" item="0"/>
          <tpl fld="4" item="4"/>
        </tpls>
      </m>
      <m>
        <tpls c="4">
          <tpl fld="7" item="201"/>
          <tpl fld="6" item="1"/>
          <tpl hier="236" item="0"/>
          <tpl fld="4" item="4"/>
        </tpls>
      </m>
      <m>
        <tpls c="4">
          <tpl fld="7" item="205"/>
          <tpl fld="6" item="1"/>
          <tpl hier="236" item="0"/>
          <tpl fld="4" item="4"/>
        </tpls>
      </m>
      <m>
        <tpls c="6">
          <tpl fld="3" item="2"/>
          <tpl fld="11" item="0"/>
          <tpl fld="6" item="2"/>
          <tpl hier="236" item="0"/>
          <tpl fld="4" item="3"/>
          <tpl fld="10" item="6"/>
        </tpls>
      </m>
      <n v="5.25" in="2">
        <tpls c="5">
          <tpl fld="11" item="0"/>
          <tpl fld="6" item="2"/>
          <tpl hier="236" item="0"/>
          <tpl fld="4" item="3"/>
          <tpl fld="10" item="3"/>
        </tpls>
      </n>
      <m>
        <tpls c="4">
          <tpl fld="7" item="668"/>
          <tpl fld="6" item="1"/>
          <tpl hier="236" item="0"/>
          <tpl fld="4" item="4"/>
        </tpls>
      </m>
      <m>
        <tpls c="4">
          <tpl fld="7" item="17"/>
          <tpl fld="6" item="1"/>
          <tpl hier="236" item="0"/>
          <tpl fld="4" item="4"/>
        </tpls>
      </m>
      <m>
        <tpls c="3">
          <tpl fld="7" item="473"/>
          <tpl fld="6" item="3"/>
          <tpl hier="236" item="0"/>
        </tpls>
      </m>
      <m>
        <tpls c="3">
          <tpl fld="7" item="474"/>
          <tpl fld="6" item="3"/>
          <tpl hier="236" item="0"/>
        </tpls>
      </m>
      <m>
        <tpls c="4">
          <tpl fld="7" item="145"/>
          <tpl fld="6" item="1"/>
          <tpl hier="236" item="0"/>
          <tpl fld="4" item="6"/>
        </tpls>
      </m>
      <m>
        <tpls c="4">
          <tpl fld="7" item="149"/>
          <tpl fld="6" item="1"/>
          <tpl hier="236" item="0"/>
          <tpl fld="4" item="6"/>
        </tpls>
      </m>
      <m>
        <tpls c="4">
          <tpl fld="7" item="152"/>
          <tpl fld="6" item="1"/>
          <tpl hier="236" item="0"/>
          <tpl fld="4" item="4"/>
        </tpls>
      </m>
      <m>
        <tpls c="4">
          <tpl fld="7" item="155"/>
          <tpl fld="6" item="1"/>
          <tpl hier="236" item="0"/>
          <tpl fld="4" item="4"/>
        </tpls>
      </m>
      <m>
        <tpls c="4">
          <tpl fld="7" item="266"/>
          <tpl fld="6" item="1"/>
          <tpl hier="236" item="0"/>
          <tpl fld="4" item="4"/>
        </tpls>
      </m>
      <m>
        <tpls c="4">
          <tpl fld="7" item="160"/>
          <tpl fld="6" item="1"/>
          <tpl hier="236" item="0"/>
          <tpl fld="4" item="4"/>
        </tpls>
      </m>
      <m>
        <tpls c="4">
          <tpl fld="7" item="163"/>
          <tpl fld="6" item="1"/>
          <tpl hier="236" item="0"/>
          <tpl fld="4" item="4"/>
        </tpls>
      </m>
      <m>
        <tpls c="4">
          <tpl fld="7" item="274"/>
          <tpl fld="6" item="1"/>
          <tpl hier="236" item="0"/>
          <tpl fld="4" item="4"/>
        </tpls>
      </m>
      <m>
        <tpls c="4">
          <tpl fld="7" item="65"/>
          <tpl fld="6" item="1"/>
          <tpl hier="236" item="0"/>
          <tpl fld="4" item="4"/>
        </tpls>
      </m>
      <m>
        <tpls c="4">
          <tpl fld="7" item="286"/>
          <tpl fld="6" item="2"/>
          <tpl hier="236" item="0"/>
          <tpl fld="4" item="1"/>
        </tpls>
      </m>
      <m>
        <tpls c="4">
          <tpl fld="7" item="290"/>
          <tpl fld="6" item="2"/>
          <tpl hier="236" item="0"/>
          <tpl fld="4" item="1"/>
        </tpls>
      </m>
      <m>
        <tpls c="4">
          <tpl fld="7" item="294"/>
          <tpl fld="6" item="2"/>
          <tpl hier="236" item="0"/>
          <tpl fld="4" item="1"/>
        </tpls>
      </m>
      <m>
        <tpls c="3">
          <tpl fld="7" item="416"/>
          <tpl fld="6" item="3"/>
          <tpl hier="236" item="0"/>
        </tpls>
      </m>
      <m>
        <tpls c="4">
          <tpl fld="7" item="194"/>
          <tpl fld="6" item="2"/>
          <tpl hier="236" item="0"/>
          <tpl fld="4" item="1"/>
        </tpls>
      </m>
      <m>
        <tpls c="4">
          <tpl fld="7" item="198"/>
          <tpl fld="6" item="2"/>
          <tpl hier="236" item="0"/>
          <tpl fld="4" item="1"/>
        </tpls>
      </m>
      <m>
        <tpls c="3">
          <tpl fld="7" item="95"/>
          <tpl fld="6" item="3"/>
          <tpl hier="236" item="0"/>
        </tpls>
      </m>
      <m>
        <tpls c="3">
          <tpl fld="7" item="99"/>
          <tpl fld="6" item="3"/>
          <tpl hier="236" item="0"/>
        </tpls>
      </m>
      <m>
        <tpls c="3">
          <tpl fld="7" item="103"/>
          <tpl fld="6" item="3"/>
          <tpl hier="236" item="0"/>
        </tpls>
      </m>
      <m>
        <tpls c="4">
          <tpl fld="7" item="8"/>
          <tpl fld="6" item="1"/>
          <tpl hier="236" item="0"/>
          <tpl fld="4" item="4"/>
        </tpls>
      </m>
      <m>
        <tpls c="4">
          <tpl fld="7" item="38"/>
          <tpl fld="6" item="2"/>
          <tpl hier="236" item="0"/>
          <tpl fld="4" item="1"/>
        </tpls>
      </m>
      <m>
        <tpls c="4">
          <tpl fld="7" item="337"/>
          <tpl fld="6" item="1"/>
          <tpl hier="236" item="0"/>
          <tpl fld="4" item="5"/>
        </tpls>
      </m>
      <m>
        <tpls c="4">
          <tpl fld="7" item="64"/>
          <tpl fld="6" item="2"/>
          <tpl hier="236" item="0"/>
          <tpl fld="4" item="1"/>
        </tpls>
      </m>
      <m>
        <tpls c="3">
          <tpl fld="7" item="293"/>
          <tpl fld="6" item="3"/>
          <tpl hier="236" item="0"/>
        </tpls>
      </m>
      <m>
        <tpls c="3">
          <tpl fld="7" item="197"/>
          <tpl fld="6" item="3"/>
          <tpl hier="236" item="0"/>
        </tpls>
      </m>
      <m>
        <tpls c="4">
          <tpl fld="7" item="100"/>
          <tpl fld="6" item="1"/>
          <tpl hier="236" item="0"/>
          <tpl fld="4" item="4"/>
        </tpls>
      </m>
      <m>
        <tpls c="4">
          <tpl fld="7" item="212"/>
          <tpl fld="6" item="1"/>
          <tpl hier="236" item="0"/>
          <tpl fld="4" item="4"/>
        </tpls>
      </m>
      <m>
        <tpls c="3">
          <tpl fld="7" item="215"/>
          <tpl fld="6" item="3"/>
          <tpl hier="236" item="0"/>
        </tpls>
      </m>
      <m>
        <tpls c="4">
          <tpl fld="7" item="425"/>
          <tpl fld="6" item="2"/>
          <tpl hier="236" item="0"/>
          <tpl fld="4" item="1"/>
        </tpls>
      </m>
      <m>
        <tpls c="4">
          <tpl fld="7" item="676"/>
          <tpl fld="6" item="1"/>
          <tpl hier="236" item="0"/>
          <tpl fld="4" item="4"/>
        </tpls>
      </m>
      <m>
        <tpls c="4">
          <tpl fld="7" item="597"/>
          <tpl fld="6" item="2"/>
          <tpl hier="236" item="0"/>
          <tpl fld="4" item="4"/>
        </tpls>
      </m>
      <n v="1" in="1">
        <tpls c="4">
          <tpl fld="7" item="505"/>
          <tpl fld="6" item="1"/>
          <tpl hier="236" item="0"/>
          <tpl fld="4" item="6"/>
        </tpls>
      </n>
      <n v="1" in="3">
        <tpls c="3">
          <tpl fld="7" item="367"/>
          <tpl fld="6" item="3"/>
          <tpl hier="236" item="0"/>
        </tpls>
      </n>
      <m>
        <tpls c="4">
          <tpl fld="7" item="441"/>
          <tpl fld="6" item="2"/>
          <tpl hier="236" item="0"/>
          <tpl fld="4" item="1"/>
        </tpls>
      </m>
      <n v="8" in="1">
        <tpls c="4">
          <tpl fld="7" item="680"/>
          <tpl fld="6" item="1"/>
          <tpl hier="236" item="0"/>
          <tpl fld="4" item="4"/>
        </tpls>
      </n>
      <m>
        <tpls c="4">
          <tpl fld="7" item="601"/>
          <tpl fld="6" item="2"/>
          <tpl hier="236" item="0"/>
          <tpl fld="4" item="4"/>
        </tpls>
      </m>
      <m>
        <tpls c="4">
          <tpl fld="7" item="521"/>
          <tpl fld="6" item="1"/>
          <tpl hier="236" item="0"/>
          <tpl fld="4" item="6"/>
        </tpls>
      </m>
      <m>
        <tpls c="3">
          <tpl fld="7" item="383"/>
          <tpl fld="6" item="3"/>
          <tpl hier="236" item="0"/>
        </tpls>
      </m>
      <m>
        <tpls c="4">
          <tpl fld="7" item="457"/>
          <tpl fld="6" item="2"/>
          <tpl hier="236" item="0"/>
          <tpl fld="4" item="1"/>
        </tpls>
      </m>
      <m>
        <tpls c="4">
          <tpl fld="7" item="529"/>
          <tpl fld="6" item="1"/>
          <tpl hier="236" item="0"/>
          <tpl fld="4" item="5"/>
        </tpls>
      </m>
      <m>
        <tpls c="4">
          <tpl fld="7" item="460"/>
          <tpl fld="6" item="1"/>
          <tpl hier="236" item="0"/>
          <tpl fld="4" item="6"/>
        </tpls>
      </m>
      <m>
        <tpls c="4">
          <tpl fld="7" item="532"/>
          <tpl fld="6" item="2"/>
          <tpl hier="236" item="0"/>
          <tpl fld="4" item="1"/>
        </tpls>
      </m>
      <m>
        <tpls c="4">
          <tpl fld="7" item="392"/>
          <tpl fld="6" item="2"/>
          <tpl hier="236" item="0"/>
          <tpl fld="1" item="0"/>
        </tpls>
      </m>
      <n v="2" in="1">
        <tpls c="4">
          <tpl fld="7" item="685"/>
          <tpl fld="6" item="1"/>
          <tpl hier="236" item="0"/>
          <tpl fld="4" item="1"/>
        </tpls>
      </n>
      <n v="1" in="1">
        <tpls c="4">
          <tpl fld="7" item="395"/>
          <tpl fld="6" item="1"/>
          <tpl hier="236" item="0"/>
          <tpl fld="1" item="0"/>
        </tpls>
      </n>
      <m>
        <tpls c="4">
          <tpl fld="7" item="1186"/>
          <tpl fld="6" item="2"/>
          <tpl hier="236" item="0"/>
          <tpl fld="4" item="4"/>
        </tpls>
      </m>
      <m>
        <tpls c="3">
          <tpl fld="7" item="880"/>
          <tpl fld="6" item="3"/>
          <tpl hier="236" item="0"/>
        </tpls>
      </m>
      <n v="44" in="1">
        <tpls c="4">
          <tpl fld="7" item="609"/>
          <tpl fld="6" item="1"/>
          <tpl hier="236" item="0"/>
          <tpl fld="4" item="4"/>
        </tpls>
      </n>
      <m>
        <tpls c="4">
          <tpl fld="7" item="542"/>
          <tpl fld="6" item="2"/>
          <tpl hier="236" item="0"/>
          <tpl fld="4" item="5"/>
        </tpls>
      </m>
      <m>
        <tpls c="4">
          <tpl fld="7" item="611"/>
          <tpl fld="6" item="2"/>
          <tpl hier="236" item="0"/>
          <tpl fld="4" item="6"/>
        </tpls>
      </m>
      <m>
        <tpls c="4">
          <tpl fld="7" item="668"/>
          <tpl fld="6" item="1"/>
          <tpl hier="236" item="0"/>
          <tpl fld="4" item="5"/>
        </tpls>
      </m>
      <m>
        <tpls c="4">
          <tpl fld="7" item="474"/>
          <tpl fld="6" item="1"/>
          <tpl hier="236" item="0"/>
          <tpl fld="4" item="6"/>
        </tpls>
      </m>
      <m>
        <tpls c="4">
          <tpl fld="7" item="152"/>
          <tpl fld="6" item="2"/>
          <tpl hier="236" item="0"/>
          <tpl fld="4" item="1"/>
        </tpls>
      </m>
      <m>
        <tpls c="4">
          <tpl fld="7" item="160"/>
          <tpl fld="6" item="2"/>
          <tpl hier="236" item="0"/>
          <tpl fld="4" item="1"/>
        </tpls>
      </m>
      <m>
        <tpls c="4">
          <tpl fld="7" item="65"/>
          <tpl fld="6" item="2"/>
          <tpl hier="236" item="0"/>
          <tpl fld="4" item="1"/>
        </tpls>
      </m>
      <m>
        <tpls c="3">
          <tpl fld="7" item="294"/>
          <tpl fld="6" item="3"/>
          <tpl hier="236" item="0"/>
        </tpls>
      </m>
      <m>
        <tpls c="3">
          <tpl fld="7" item="198"/>
          <tpl fld="6" item="3"/>
          <tpl hier="236" item="0"/>
        </tpls>
      </m>
      <m>
        <tpls c="3">
          <tpl fld="7" item="208"/>
          <tpl fld="6" item="3"/>
          <tpl hier="236" item="0"/>
        </tpls>
      </m>
      <m>
        <tpls c="3">
          <tpl fld="7" item="492"/>
          <tpl fld="6" item="3"/>
          <tpl hier="236" item="0"/>
        </tpls>
      </m>
      <m>
        <tpls c="3">
          <tpl fld="7" item="1211"/>
          <tpl fld="6" item="3"/>
          <tpl hier="236" item="0"/>
        </tpls>
      </m>
      <m>
        <tpls c="4">
          <tpl fld="7" item="757"/>
          <tpl fld="6" item="2"/>
          <tpl hier="236" item="0"/>
          <tpl fld="4" item="1"/>
        </tpls>
      </m>
      <m>
        <tpls c="4">
          <tpl fld="7" item="499"/>
          <tpl fld="6" item="1"/>
          <tpl hier="236" item="0"/>
          <tpl fld="4" item="4"/>
        </tpls>
      </m>
      <m>
        <tpls c="4">
          <tpl fld="7" item="502"/>
          <tpl fld="6" item="2"/>
          <tpl hier="236" item="0"/>
          <tpl fld="4" item="4"/>
        </tpls>
      </m>
      <m>
        <tpls c="4">
          <tpl fld="7" item="364"/>
          <tpl fld="6" item="1"/>
          <tpl hier="236" item="0"/>
          <tpl fld="4" item="6"/>
        </tpls>
      </m>
      <n v="1" in="3">
        <tpls c="3">
          <tpl fld="7" item="438"/>
          <tpl fld="6" item="3"/>
          <tpl hier="236" item="0"/>
        </tpls>
      </n>
      <m>
        <tpls c="4">
          <tpl fld="7" item="761"/>
          <tpl fld="6" item="2"/>
          <tpl hier="236" item="0"/>
          <tpl fld="4" item="1"/>
        </tpls>
      </m>
      <n v="16" in="1">
        <tpls c="4">
          <tpl fld="7" item="515"/>
          <tpl fld="6" item="1"/>
          <tpl hier="236" item="0"/>
          <tpl fld="4" item="4"/>
        </tpls>
      </n>
      <n v="3.3851351351351351" in="2">
        <tpls c="4">
          <tpl fld="7" item="518"/>
          <tpl fld="6" item="2"/>
          <tpl hier="236" item="0"/>
          <tpl fld="4" item="4"/>
        </tpls>
      </n>
      <m>
        <tpls c="4">
          <tpl fld="7" item="380"/>
          <tpl fld="6" item="1"/>
          <tpl hier="236" item="0"/>
          <tpl fld="4" item="6"/>
        </tpls>
      </m>
      <m>
        <tpls c="3">
          <tpl fld="7" item="454"/>
          <tpl fld="6" item="3"/>
          <tpl hier="236" item="0"/>
        </tpls>
      </m>
      <m>
        <tpls c="4">
          <tpl fld="7" item="765"/>
          <tpl fld="6" item="1"/>
          <tpl hier="236" item="0"/>
          <tpl fld="4" item="5"/>
        </tpls>
      </m>
      <m>
        <tpls c="4">
          <tpl fld="7" item="529"/>
          <tpl fld="6" item="2"/>
          <tpl hier="236" item="0"/>
          <tpl fld="1" item="0"/>
        </tpls>
      </m>
      <n v="3" in="1">
        <tpls c="4">
          <tpl fld="7" item="460"/>
          <tpl fld="6" item="1"/>
          <tpl hier="236" item="0"/>
          <tpl fld="4" item="1"/>
        </tpls>
      </n>
      <n v="4" in="1">
        <tpls c="4">
          <tpl fld="7" item="532"/>
          <tpl fld="6" item="1"/>
          <tpl hier="236" item="0"/>
          <tpl fld="1" item="0"/>
        </tpls>
      </n>
      <m>
        <tpls c="4">
          <tpl fld="7" item="463"/>
          <tpl fld="6" item="2"/>
          <tpl hier="236" item="0"/>
          <tpl fld="4" item="4"/>
        </tpls>
      </m>
      <m>
        <tpls c="3">
          <tpl fld="7" item="535"/>
          <tpl fld="6" item="3"/>
          <tpl hier="236" item="0"/>
        </tpls>
      </m>
      <n v="469" in="1">
        <tpls c="6">
          <tpl fld="3" item="1"/>
          <tpl fld="11" item="0"/>
          <tpl fld="6" item="1"/>
          <tpl hier="236" item="0"/>
          <tpl fld="4" item="6"/>
          <tpl fld="10" item="4"/>
        </tpls>
      </n>
      <n v="12.248648648648651" in="2">
        <tpls c="6">
          <tpl fld="11" item="0"/>
          <tpl fld="2" item="1"/>
          <tpl fld="6" item="2"/>
          <tpl hier="236" item="0"/>
          <tpl fld="4" item="7"/>
          <tpl fld="10" item="3"/>
        </tpls>
      </n>
      <n v="11.633243243243243" in="2">
        <tpls c="6">
          <tpl fld="11" item="0"/>
          <tpl fld="6" item="2"/>
          <tpl fld="8" item="0"/>
          <tpl hier="236" item="0"/>
          <tpl fld="4" item="6"/>
          <tpl fld="10" item="2"/>
        </tpls>
      </n>
      <n v="501" in="1">
        <tpls c="5">
          <tpl fld="11" item="0"/>
          <tpl fld="6" item="1"/>
          <tpl hier="236" item="0"/>
          <tpl fld="4" item="3"/>
          <tpl fld="10" item="0"/>
        </tpls>
      </n>
      <m>
        <tpls c="6">
          <tpl fld="11" item="0"/>
          <tpl fld="6" item="1"/>
          <tpl fld="8" item="1"/>
          <tpl hier="236" item="0"/>
          <tpl fld="4" item="7"/>
          <tpl fld="10" item="6"/>
        </tpls>
      </m>
      <m>
        <tpls c="4">
          <tpl fld="7" item="235"/>
          <tpl fld="6" item="2"/>
          <tpl hier="236" item="0"/>
          <tpl fld="4" item="1"/>
        </tpls>
      </m>
      <m>
        <tpls c="4">
          <tpl fld="7" item="468"/>
          <tpl fld="6" item="1"/>
          <tpl hier="236" item="0"/>
          <tpl fld="4" item="4"/>
        </tpls>
      </m>
      <m>
        <tpls c="3">
          <tpl fld="7" item="36"/>
          <tpl fld="6" item="3"/>
          <tpl hier="236" item="0"/>
        </tpls>
      </m>
      <m>
        <tpls c="4">
          <tpl fld="7" item="154"/>
          <tpl fld="6" item="1"/>
          <tpl hier="236" item="0"/>
          <tpl fld="1" item="0"/>
        </tpls>
      </m>
      <m>
        <tpls c="4">
          <tpl fld="7" item="162"/>
          <tpl fld="6" item="1"/>
          <tpl hier="236" item="0"/>
          <tpl fld="1" item="0"/>
        </tpls>
      </m>
      <m>
        <tpls c="4">
          <tpl fld="7" item="483"/>
          <tpl fld="6" item="1"/>
          <tpl hier="236" item="0"/>
          <tpl fld="4" item="4"/>
        </tpls>
      </m>
      <m>
        <tpls c="4">
          <tpl fld="7" item="189"/>
          <tpl fld="6" item="2"/>
          <tpl hier="236" item="0"/>
          <tpl fld="4" item="1"/>
        </tpls>
      </m>
      <m>
        <tpls c="4">
          <tpl fld="7" item="310"/>
          <tpl fld="6" item="2"/>
          <tpl hier="236" item="0"/>
          <tpl fld="4" item="1"/>
        </tpls>
      </m>
      <n v="1156" in="1">
        <tpls c="5">
          <tpl fld="11" item="0"/>
          <tpl fld="6" item="1"/>
          <tpl hier="236" item="0"/>
          <tpl fld="4" item="3"/>
          <tpl fld="10" item="4"/>
        </tpls>
      </n>
      <m>
        <tpls c="4">
          <tpl fld="7" item="245"/>
          <tpl fld="6" item="2"/>
          <tpl hier="236" item="0"/>
          <tpl fld="4" item="4"/>
        </tpls>
      </m>
      <m>
        <tpls c="4">
          <tpl fld="7" item="258"/>
          <tpl fld="6" item="1"/>
          <tpl hier="236" item="0"/>
          <tpl fld="4" item="4"/>
        </tpls>
      </m>
      <m>
        <tpls c="4">
          <tpl fld="7" item="47"/>
          <tpl fld="6" item="1"/>
          <tpl hier="236" item="0"/>
          <tpl fld="4" item="6"/>
        </tpls>
      </m>
      <m>
        <tpls c="4">
          <tpl fld="7" item="337"/>
          <tpl fld="6" item="2"/>
          <tpl hier="236" item="0"/>
          <tpl fld="4" item="6"/>
        </tpls>
      </m>
      <m>
        <tpls c="4">
          <tpl fld="7" item="160"/>
          <tpl fld="6" item="2"/>
          <tpl hier="236" item="0"/>
          <tpl fld="4" item="6"/>
        </tpls>
      </m>
      <m>
        <tpls c="4">
          <tpl fld="7" item="55"/>
          <tpl fld="6" item="1"/>
          <tpl hier="236" item="0"/>
          <tpl fld="4" item="6"/>
        </tpls>
      </m>
      <m>
        <tpls c="4">
          <tpl fld="7" item="339"/>
          <tpl fld="6" item="2"/>
          <tpl hier="236" item="0"/>
          <tpl fld="4" item="6"/>
        </tpls>
      </m>
      <m>
        <tpls c="3">
          <tpl fld="7" item="173"/>
          <tpl fld="6" item="3"/>
          <tpl hier="236" item="0"/>
        </tpls>
      </m>
      <m>
        <tpls c="4">
          <tpl fld="7" item="342"/>
          <tpl fld="6" item="2"/>
          <tpl hier="236" item="0"/>
          <tpl fld="4" item="1"/>
        </tpls>
      </m>
      <m>
        <tpls c="4">
          <tpl fld="7" item="290"/>
          <tpl fld="6" item="1"/>
          <tpl hier="236" item="0"/>
          <tpl fld="4" item="4"/>
        </tpls>
      </m>
      <m>
        <tpls c="4">
          <tpl fld="7" item="78"/>
          <tpl fld="6" item="1"/>
          <tpl hier="236" item="0"/>
          <tpl fld="4" item="6"/>
        </tpls>
      </m>
      <m>
        <tpls c="3">
          <tpl fld="7" item="190"/>
          <tpl fld="6" item="3"/>
          <tpl hier="236" item="0"/>
        </tpls>
      </m>
      <m>
        <tpls c="4">
          <tpl fld="7" item="194"/>
          <tpl fld="6" item="1"/>
          <tpl hier="236" item="0"/>
          <tpl fld="4" item="4"/>
        </tpls>
      </m>
      <m>
        <tpls c="4">
          <tpl fld="7" item="197"/>
          <tpl fld="6" item="2"/>
          <tpl hier="236" item="0"/>
          <tpl fld="4" item="4"/>
        </tpls>
      </m>
      <m>
        <tpls c="4">
          <tpl fld="7" item="489"/>
          <tpl fld="6" item="1"/>
          <tpl hier="236" item="0"/>
          <tpl fld="4" item="6"/>
        </tpls>
      </m>
      <m>
        <tpls c="3">
          <tpl fld="7" item="312"/>
          <tpl fld="6" item="3"/>
          <tpl hier="236" item="0"/>
        </tpls>
      </m>
      <m>
        <tpls c="3">
          <tpl fld="7" item="1206"/>
          <tpl fld="6" item="3"/>
          <tpl hier="236" item="0"/>
        </tpls>
      </m>
      <n v="0" in="1">
        <tpls c="6">
          <tpl fld="3" item="2"/>
          <tpl fld="11" item="0"/>
          <tpl fld="6" item="1"/>
          <tpl hier="236" item="0"/>
          <tpl fld="4" item="3"/>
          <tpl fld="10" item="7"/>
        </tpls>
      </n>
      <n v="16.802702702702703" in="2">
        <tpls c="5">
          <tpl fld="11" item="0"/>
          <tpl fld="6" item="2"/>
          <tpl hier="236" item="0"/>
          <tpl fld="4" item="6"/>
          <tpl fld="10" item="3"/>
        </tpls>
      </n>
      <m>
        <tpls c="4">
          <tpl fld="7" item="466"/>
          <tpl fld="6" item="2"/>
          <tpl hier="236" item="0"/>
          <tpl fld="4" item="6"/>
        </tpls>
      </m>
      <m>
        <tpls c="4">
          <tpl fld="7" item="7"/>
          <tpl fld="6" item="1"/>
          <tpl hier="236" item="0"/>
          <tpl fld="4" item="5"/>
        </tpls>
      </m>
      <m>
        <tpls c="4">
          <tpl fld="7" item="18"/>
          <tpl fld="6" item="1"/>
          <tpl hier="236" item="0"/>
          <tpl fld="4" item="4"/>
        </tpls>
      </m>
      <m>
        <tpls c="4">
          <tpl fld="7" item="28"/>
          <tpl fld="6" item="1"/>
          <tpl hier="236" item="0"/>
          <tpl fld="4" item="4"/>
        </tpls>
      </m>
      <m>
        <tpls c="4">
          <tpl fld="7" item="31"/>
          <tpl fld="6" item="2"/>
          <tpl hier="236" item="0"/>
          <tpl fld="4" item="4"/>
        </tpls>
      </m>
      <m>
        <tpls c="4">
          <tpl fld="7" item="142"/>
          <tpl fld="6" item="1"/>
          <tpl hier="236" item="0"/>
          <tpl fld="4" item="6"/>
        </tpls>
      </m>
      <m>
        <tpls c="3">
          <tpl fld="7" item="334"/>
          <tpl fld="6" item="3"/>
          <tpl hier="236" item="0"/>
        </tpls>
      </m>
      <m>
        <tpls c="4">
          <tpl fld="7" item="257"/>
          <tpl fld="6" item="2"/>
          <tpl hier="236" item="0"/>
          <tpl fld="4" item="1"/>
        </tpls>
      </m>
      <m>
        <tpls c="4">
          <tpl fld="7" item="151"/>
          <tpl fld="6" item="2"/>
          <tpl hier="236" item="0"/>
          <tpl fld="4" item="4"/>
        </tpls>
      </m>
      <m>
        <tpls c="4">
          <tpl fld="7" item="153"/>
          <tpl fld="6" item="2"/>
          <tpl hier="236" item="0"/>
          <tpl fld="4" item="4"/>
        </tpls>
      </m>
      <m>
        <tpls c="4">
          <tpl fld="7" item="155"/>
          <tpl fld="6" item="2"/>
          <tpl hier="236" item="0"/>
          <tpl fld="4" item="4"/>
        </tpls>
      </m>
      <m>
        <tpls c="4">
          <tpl fld="7" item="157"/>
          <tpl fld="6" item="2"/>
          <tpl hier="236" item="0"/>
          <tpl fld="4" item="4"/>
        </tpls>
      </m>
      <m>
        <tpls c="4">
          <tpl fld="7" item="159"/>
          <tpl fld="6" item="2"/>
          <tpl hier="236" item="0"/>
          <tpl fld="4" item="4"/>
        </tpls>
      </m>
      <m>
        <tpls c="4">
          <tpl fld="7" item="161"/>
          <tpl fld="6" item="2"/>
          <tpl hier="236" item="0"/>
          <tpl fld="4" item="4"/>
        </tpls>
      </m>
      <m>
        <tpls c="4">
          <tpl fld="7" item="163"/>
          <tpl fld="6" item="2"/>
          <tpl hier="236" item="0"/>
          <tpl fld="4" item="4"/>
        </tpls>
      </m>
      <m>
        <tpls c="4">
          <tpl fld="7" item="165"/>
          <tpl fld="6" item="2"/>
          <tpl hier="236" item="0"/>
          <tpl fld="4" item="4"/>
        </tpls>
      </m>
      <m>
        <tpls c="4">
          <tpl fld="7" item="171"/>
          <tpl fld="6" item="2"/>
          <tpl hier="236" item="0"/>
          <tpl fld="4" item="1"/>
        </tpls>
      </m>
      <m>
        <tpls c="4">
          <tpl fld="7" item="283"/>
          <tpl fld="6" item="2"/>
          <tpl hier="236" item="0"/>
          <tpl fld="4" item="1"/>
        </tpls>
      </m>
      <m>
        <tpls c="4">
          <tpl fld="7" item="70"/>
          <tpl fld="6" item="1"/>
          <tpl hier="236" item="0"/>
          <tpl fld="4" item="4"/>
        </tpls>
      </m>
      <m>
        <tpls c="4">
          <tpl fld="7" item="73"/>
          <tpl fld="6" item="2"/>
          <tpl hier="236" item="0"/>
          <tpl fld="4" item="4"/>
        </tpls>
      </m>
      <m>
        <tpls c="4">
          <tpl fld="7" item="184"/>
          <tpl fld="6" item="1"/>
          <tpl hier="236" item="0"/>
          <tpl fld="4" item="6"/>
        </tpls>
      </m>
      <m>
        <tpls c="3">
          <tpl fld="7" item="593"/>
          <tpl fld="6" item="3"/>
          <tpl hier="236" item="0"/>
        </tpls>
      </m>
      <m>
        <tpls c="4">
          <tpl fld="7" item="299"/>
          <tpl fld="6" item="2"/>
          <tpl hier="236" item="0"/>
          <tpl fld="4" item="1"/>
        </tpls>
      </m>
      <m>
        <tpls c="4">
          <tpl fld="7" item="346"/>
          <tpl fld="6" item="2"/>
          <tpl hier="236" item="0"/>
          <tpl fld="4" item="4"/>
        </tpls>
      </m>
      <m>
        <tpls c="4">
          <tpl fld="7" item="305"/>
          <tpl fld="6" item="1"/>
          <tpl hier="236" item="0"/>
          <tpl fld="4" item="6"/>
        </tpls>
      </m>
      <m>
        <tpls c="3">
          <tpl fld="7" item="92"/>
          <tpl fld="6" item="3"/>
          <tpl hier="236" item="0"/>
        </tpls>
      </m>
      <m>
        <tpls c="4">
          <tpl fld="7" item="203"/>
          <tpl fld="6" item="2"/>
          <tpl hier="236" item="0"/>
          <tpl fld="4" item="1"/>
        </tpls>
      </m>
      <m>
        <tpls c="4">
          <tpl fld="7" item="420"/>
          <tpl fld="6" item="1"/>
          <tpl hier="236" item="0"/>
          <tpl fld="4" item="4"/>
        </tpls>
      </m>
      <m>
        <tpls c="4">
          <tpl fld="7" item="350"/>
          <tpl fld="6" item="2"/>
          <tpl hier="236" item="0"/>
          <tpl fld="4" item="4"/>
        </tpls>
      </m>
      <n v="608" in="1">
        <tpls c="6">
          <tpl fld="11" item="0"/>
          <tpl fld="2" item="1"/>
          <tpl fld="6" item="1"/>
          <tpl hier="236" item="0"/>
          <tpl fld="4" item="6"/>
          <tpl fld="10" item="0"/>
        </tpls>
      </n>
      <m>
        <tpls c="4">
          <tpl fld="7" item="327"/>
          <tpl fld="6" item="1"/>
          <tpl hier="236" item="0"/>
          <tpl fld="4" item="5"/>
        </tpls>
      </m>
      <m>
        <tpls c="4">
          <tpl fld="7" item="670"/>
          <tpl fld="6" item="1"/>
          <tpl hier="236" item="0"/>
          <tpl fld="4" item="6"/>
        </tpls>
      </m>
      <m>
        <tpls c="4">
          <tpl fld="7" item="46"/>
          <tpl fld="6" item="1"/>
          <tpl hier="236" item="0"/>
          <tpl fld="4" item="5"/>
        </tpls>
      </m>
      <m>
        <tpls c="4">
          <tpl fld="7" item="54"/>
          <tpl fld="6" item="1"/>
          <tpl hier="236" item="0"/>
          <tpl fld="4" item="5"/>
        </tpls>
      </m>
      <m>
        <tpls c="4">
          <tpl fld="7" item="68"/>
          <tpl fld="6" item="2"/>
          <tpl hier="236" item="0"/>
          <tpl fld="4" item="1"/>
        </tpls>
      </m>
      <m>
        <tpls c="3">
          <tpl fld="7" item="297"/>
          <tpl fld="6" item="3"/>
          <tpl hier="236" item="0"/>
        </tpls>
      </m>
      <m>
        <tpls c="3">
          <tpl fld="7" item="201"/>
          <tpl fld="6" item="3"/>
          <tpl hier="236" item="0"/>
        </tpls>
      </m>
      <m>
        <tpls c="3">
          <tpl fld="7" item="209"/>
          <tpl fld="6" item="3"/>
          <tpl hier="236" item="0"/>
        </tpls>
      </m>
      <m>
        <tpls c="3">
          <tpl fld="7" item="213"/>
          <tpl fld="6" item="3"/>
          <tpl hier="236" item="0"/>
        </tpls>
      </m>
      <m>
        <tpls c="3">
          <tpl fld="7" item="352"/>
          <tpl fld="6" item="3"/>
          <tpl hier="236" item="0"/>
        </tpls>
      </m>
      <m>
        <tpls c="4">
          <tpl fld="7" item="426"/>
          <tpl fld="6" item="2"/>
          <tpl hier="236" item="0"/>
          <tpl fld="4" item="1"/>
        </tpls>
      </m>
      <n v="3" in="1">
        <tpls c="4">
          <tpl fld="7" item="758"/>
          <tpl fld="6" item="1"/>
          <tpl hier="236" item="0"/>
          <tpl fld="4" item="4"/>
        </tpls>
      </n>
      <n v="1" in="2">
        <tpls c="4">
          <tpl fld="7" item="677"/>
          <tpl fld="6" item="2"/>
          <tpl hier="236" item="0"/>
          <tpl fld="4" item="4"/>
        </tpls>
      </n>
      <n v="1" in="1">
        <tpls c="4">
          <tpl fld="7" item="506"/>
          <tpl fld="6" item="1"/>
          <tpl hier="236" item="0"/>
          <tpl fld="4" item="6"/>
        </tpls>
      </n>
      <n v="1" in="3">
        <tpls c="3">
          <tpl fld="7" item="368"/>
          <tpl fld="6" item="3"/>
          <tpl hier="236" item="0"/>
        </tpls>
      </n>
      <m>
        <tpls c="4">
          <tpl fld="7" item="442"/>
          <tpl fld="6" item="2"/>
          <tpl hier="236" item="0"/>
          <tpl fld="4" item="1"/>
        </tpls>
      </m>
      <m>
        <tpls c="4">
          <tpl fld="7" item="762"/>
          <tpl fld="6" item="1"/>
          <tpl hier="236" item="0"/>
          <tpl fld="4" item="4"/>
        </tpls>
      </m>
      <n v="3.95" in="2">
        <tpls c="4">
          <tpl fld="7" item="681"/>
          <tpl fld="6" item="2"/>
          <tpl hier="236" item="0"/>
          <tpl fld="4" item="4"/>
        </tpls>
      </n>
      <n v="1" in="1">
        <tpls c="4">
          <tpl fld="7" item="522"/>
          <tpl fld="6" item="1"/>
          <tpl hier="236" item="0"/>
          <tpl fld="4" item="6"/>
        </tpls>
      </n>
      <m>
        <tpls c="3">
          <tpl fld="7" item="384"/>
          <tpl fld="6" item="3"/>
          <tpl hier="236" item="0"/>
        </tpls>
      </m>
      <m>
        <tpls c="4">
          <tpl fld="7" item="528"/>
          <tpl fld="6" item="1"/>
          <tpl hier="236" item="0"/>
          <tpl fld="4" item="5"/>
        </tpls>
      </m>
      <n v="1" in="1">
        <tpls c="4">
          <tpl fld="7" item="459"/>
          <tpl fld="6" item="1"/>
          <tpl hier="236" item="0"/>
          <tpl fld="4" item="6"/>
        </tpls>
      </n>
      <m>
        <tpls c="4">
          <tpl fld="7" item="531"/>
          <tpl fld="6" item="2"/>
          <tpl hier="236" item="0"/>
          <tpl fld="4" item="1"/>
        </tpls>
      </m>
      <m>
        <tpls c="4">
          <tpl fld="7" item="391"/>
          <tpl fld="6" item="2"/>
          <tpl hier="236" item="0"/>
          <tpl fld="1" item="0"/>
        </tpls>
      </m>
      <n v="1" in="1">
        <tpls c="4">
          <tpl fld="7" item="605"/>
          <tpl fld="6" item="1"/>
          <tpl hier="236" item="0"/>
          <tpl fld="4" item="1"/>
        </tpls>
      </n>
      <m>
        <tpls c="4">
          <tpl fld="7" item="394"/>
          <tpl fld="6" item="1"/>
          <tpl hier="236" item="0"/>
          <tpl fld="1" item="0"/>
        </tpls>
      </m>
      <m>
        <tpls c="4">
          <tpl fld="7" item="606"/>
          <tpl fld="6" item="2"/>
          <tpl hier="236" item="0"/>
          <tpl fld="4" item="4"/>
        </tpls>
      </m>
      <m>
        <tpls c="3">
          <tpl fld="7" item="607"/>
          <tpl fld="6" item="3"/>
          <tpl hier="236" item="0"/>
        </tpls>
      </m>
      <n v="35" in="1">
        <tpls c="4">
          <tpl fld="7" item="688"/>
          <tpl fld="6" item="1"/>
          <tpl hier="236" item="0"/>
          <tpl fld="4" item="4"/>
        </tpls>
      </n>
      <m>
        <tpls c="4">
          <tpl fld="7" item="541"/>
          <tpl fld="6" item="2"/>
          <tpl hier="236" item="0"/>
          <tpl fld="4" item="5"/>
        </tpls>
      </m>
      <m>
        <tpls c="4">
          <tpl fld="7" item="690"/>
          <tpl fld="6" item="2"/>
          <tpl hier="236" item="0"/>
          <tpl fld="4" item="6"/>
        </tpls>
      </m>
      <n v="341" in="1">
        <tpls c="6">
          <tpl fld="3" item="0"/>
          <tpl fld="11" item="0"/>
          <tpl fld="6" item="1"/>
          <tpl hier="236" item="0"/>
          <tpl fld="4" item="4"/>
          <tpl fld="10" item="8"/>
        </tpls>
      </n>
      <m>
        <tpls c="4">
          <tpl fld="7" item="121"/>
          <tpl fld="6" item="2"/>
          <tpl hier="236" item="0"/>
          <tpl fld="4" item="1"/>
        </tpls>
      </m>
      <m>
        <tpls c="4">
          <tpl fld="7" item="475"/>
          <tpl fld="6" item="1"/>
          <tpl hier="236" item="0"/>
          <tpl fld="4" item="6"/>
        </tpls>
      </m>
      <m>
        <tpls c="4">
          <tpl fld="7" item="263"/>
          <tpl fld="6" item="2"/>
          <tpl hier="236" item="0"/>
          <tpl fld="4" item="1"/>
        </tpls>
      </m>
      <m>
        <tpls c="4">
          <tpl fld="7" item="271"/>
          <tpl fld="6" item="2"/>
          <tpl hier="236" item="0"/>
          <tpl fld="4" item="1"/>
        </tpls>
      </m>
      <m>
        <tpls c="4">
          <tpl fld="7" item="69"/>
          <tpl fld="6" item="2"/>
          <tpl hier="236" item="0"/>
          <tpl fld="4" item="1"/>
        </tpls>
      </m>
      <m>
        <tpls c="3">
          <tpl fld="7" item="298"/>
          <tpl fld="6" item="3"/>
          <tpl hier="236" item="0"/>
        </tpls>
      </m>
      <m>
        <tpls c="3">
          <tpl fld="7" item="202"/>
          <tpl fld="6" item="3"/>
          <tpl hier="236" item="0"/>
        </tpls>
      </m>
      <m>
        <tpls c="4">
          <tpl fld="7" item="350"/>
          <tpl fld="6" item="1"/>
          <tpl hier="236" item="0"/>
          <tpl fld="4" item="6"/>
        </tpls>
      </m>
      <m>
        <tpls c="4">
          <tpl fld="7" item="351"/>
          <tpl fld="6" item="2"/>
          <tpl hier="236" item="0"/>
          <tpl fld="1" item="0"/>
        </tpls>
      </m>
      <m>
        <tpls c="3">
          <tpl fld="7" item="423"/>
          <tpl fld="6" item="3"/>
          <tpl hier="236" item="0"/>
        </tpls>
      </m>
      <m>
        <tpls c="4">
          <tpl fld="7" item="877"/>
          <tpl fld="6" item="2"/>
          <tpl hier="236" item="0"/>
          <tpl fld="4" item="1"/>
        </tpls>
      </m>
      <m>
        <tpls c="4">
          <tpl fld="7" item="500"/>
          <tpl fld="6" item="1"/>
          <tpl hier="236" item="0"/>
          <tpl fld="4" item="4"/>
        </tpls>
      </m>
      <n v="2.85" in="2">
        <tpls c="4">
          <tpl fld="7" item="503"/>
          <tpl fld="6" item="2"/>
          <tpl hier="236" item="0"/>
          <tpl fld="4" item="4"/>
        </tpls>
      </n>
      <m>
        <tpls c="4">
          <tpl fld="7" item="365"/>
          <tpl fld="6" item="1"/>
          <tpl hier="236" item="0"/>
          <tpl fld="4" item="6"/>
        </tpls>
      </m>
      <n v="1" in="3">
        <tpls c="3">
          <tpl fld="7" item="439"/>
          <tpl fld="6" item="3"/>
          <tpl hier="236" item="0"/>
        </tpls>
      </n>
      <n v="1" in="2">
        <tpls c="4">
          <tpl fld="7" item="878"/>
          <tpl fld="6" item="2"/>
          <tpl hier="236" item="0"/>
          <tpl fld="4" item="1"/>
        </tpls>
      </n>
      <n v="6" in="1">
        <tpls c="4">
          <tpl fld="7" item="516"/>
          <tpl fld="6" item="1"/>
          <tpl hier="236" item="0"/>
          <tpl fld="4" item="4"/>
        </tpls>
      </n>
      <m>
        <tpls c="4">
          <tpl fld="7" item="519"/>
          <tpl fld="6" item="2"/>
          <tpl hier="236" item="0"/>
          <tpl fld="4" item="4"/>
        </tpls>
      </m>
      <m>
        <tpls c="4">
          <tpl fld="7" item="381"/>
          <tpl fld="6" item="1"/>
          <tpl hier="236" item="0"/>
          <tpl fld="4" item="6"/>
        </tpls>
      </m>
      <m>
        <tpls c="3">
          <tpl fld="7" item="455"/>
          <tpl fld="6" item="3"/>
          <tpl hier="236" item="0"/>
        </tpls>
      </m>
      <m>
        <tpls c="4">
          <tpl fld="7" item="528"/>
          <tpl fld="6" item="2"/>
          <tpl hier="236" item="0"/>
          <tpl fld="1" item="0"/>
        </tpls>
      </m>
      <m>
        <tpls c="4">
          <tpl fld="7" item="459"/>
          <tpl fld="6" item="1"/>
          <tpl hier="236" item="0"/>
          <tpl fld="4" item="1"/>
        </tpls>
      </m>
      <m>
        <tpls c="4">
          <tpl fld="7" item="531"/>
          <tpl fld="6" item="1"/>
          <tpl hier="236" item="0"/>
          <tpl fld="1" item="0"/>
        </tpls>
      </m>
      <m>
        <tpls c="4">
          <tpl fld="7" item="462"/>
          <tpl fld="6" item="2"/>
          <tpl hier="236" item="0"/>
          <tpl fld="4" item="4"/>
        </tpls>
      </m>
      <m>
        <tpls c="3">
          <tpl fld="7" item="534"/>
          <tpl fld="6" item="3"/>
          <tpl hier="236" item="0"/>
        </tpls>
      </m>
      <n v="2" in="1">
        <tpls c="4">
          <tpl fld="7" item="465"/>
          <tpl fld="6" item="1"/>
          <tpl hier="236" item="0"/>
          <tpl fld="4" item="4"/>
        </tpls>
      </n>
      <m>
        <tpls c="4">
          <tpl fld="7" item="606"/>
          <tpl fld="6" item="2"/>
          <tpl hier="236" item="0"/>
          <tpl fld="4" item="5"/>
        </tpls>
      </m>
      <m>
        <tpls c="4">
          <tpl fld="7" item="607"/>
          <tpl fld="6" item="2"/>
          <tpl hier="236" item="0"/>
          <tpl fld="4" item="6"/>
        </tpls>
      </m>
      <n v="10" in="1">
        <tpls c="4">
          <tpl fld="7" item="688"/>
          <tpl fld="6" item="1"/>
          <tpl hier="236" item="0"/>
          <tpl fld="4" item="5"/>
        </tpls>
      </n>
      <m>
        <tpls c="4">
          <tpl fld="7" item="110"/>
          <tpl fld="6" item="1"/>
          <tpl hier="236" item="0"/>
          <tpl fld="1" item="0"/>
        </tpls>
      </m>
      <m>
        <tpls c="4">
          <tpl fld="7" item="32"/>
          <tpl fld="6" item="2"/>
          <tpl hier="236" item="0"/>
          <tpl fld="4" item="1"/>
        </tpls>
      </m>
      <m>
        <tpls c="4">
          <tpl fld="7" item="260"/>
          <tpl fld="6" item="1"/>
          <tpl hier="236" item="0"/>
          <tpl fld="4" item="5"/>
        </tpls>
      </m>
      <m>
        <tpls c="4">
          <tpl fld="7" item="268"/>
          <tpl fld="6" item="1"/>
          <tpl hier="236" item="0"/>
          <tpl fld="4" item="5"/>
        </tpls>
      </m>
      <n v="8.5320945945945947" in="2">
        <tpls c="6">
          <tpl fld="3" item="2"/>
          <tpl fld="11" item="0"/>
          <tpl fld="6" item="2"/>
          <tpl hier="236" item="0"/>
          <tpl fld="4" item="6"/>
          <tpl fld="10" item="6"/>
        </tpls>
      </n>
      <m>
        <tpls c="4">
          <tpl fld="7" item="333"/>
          <tpl fld="6" item="2"/>
          <tpl hier="236" item="0"/>
          <tpl fld="4" item="4"/>
        </tpls>
      </m>
      <m>
        <tpls c="4">
          <tpl fld="7" item="295"/>
          <tpl fld="6" item="1"/>
          <tpl hier="236" item="0"/>
          <tpl fld="4" item="6"/>
        </tpls>
      </m>
      <m>
        <tpls c="3">
          <tpl fld="7" item="147"/>
          <tpl fld="6" item="3"/>
          <tpl hier="236" item="0"/>
        </tpls>
      </m>
      <m>
        <tpls c="4">
          <tpl fld="7" item="409"/>
          <tpl fld="6" item="1"/>
          <tpl hier="236" item="0"/>
          <tpl fld="4" item="6"/>
        </tpls>
      </m>
      <m>
        <tpls c="4">
          <tpl fld="7" item="289"/>
          <tpl fld="6" item="2"/>
          <tpl hier="236" item="0"/>
          <tpl fld="4" item="4"/>
        </tpls>
      </m>
      <m>
        <tpls c="3">
          <tpl fld="7" item="305"/>
          <tpl fld="6" item="3"/>
          <tpl hier="236" item="0"/>
        </tpls>
      </m>
      <n v="52" in="1">
        <tpls c="6">
          <tpl fld="3" item="3"/>
          <tpl fld="11" item="0"/>
          <tpl fld="6" item="1"/>
          <tpl hier="236" item="0"/>
          <tpl fld="4" item="1"/>
          <tpl fld="9" item="3"/>
        </tpls>
      </n>
      <m>
        <tpls c="4">
          <tpl fld="7" item="15"/>
          <tpl fld="6" item="2"/>
          <tpl hier="236" item="0"/>
          <tpl fld="4" item="1"/>
        </tpls>
      </m>
      <m>
        <tpls c="4">
          <tpl fld="7" item="37"/>
          <tpl fld="6" item="1"/>
          <tpl hier="236" item="0"/>
          <tpl fld="4" item="4"/>
        </tpls>
      </m>
      <m>
        <tpls c="4">
          <tpl fld="7" item="47"/>
          <tpl fld="6" item="1"/>
          <tpl hier="236" item="0"/>
          <tpl fld="4" item="4"/>
        </tpls>
      </m>
      <m>
        <tpls c="4">
          <tpl fld="7" item="55"/>
          <tpl fld="6" item="1"/>
          <tpl hier="236" item="0"/>
          <tpl fld="4" item="4"/>
        </tpls>
      </m>
      <m>
        <tpls c="4">
          <tpl fld="7" item="177"/>
          <tpl fld="6" item="1"/>
          <tpl hier="236" item="0"/>
          <tpl fld="4" item="6"/>
        </tpls>
      </m>
      <m>
        <tpls c="4">
          <tpl fld="7" item="82"/>
          <tpl fld="6" item="2"/>
          <tpl hier="236" item="0"/>
          <tpl fld="4" item="4"/>
        </tpls>
      </m>
      <m>
        <tpls c="4">
          <tpl fld="7" item="419"/>
          <tpl fld="6" item="2"/>
          <tpl hier="236" item="0"/>
          <tpl fld="4" item="4"/>
        </tpls>
      </m>
      <m>
        <tpls c="4">
          <tpl fld="7" item="221"/>
          <tpl fld="6" item="2"/>
          <tpl hier="236" item="0"/>
          <tpl fld="4" item="1"/>
        </tpls>
      </m>
      <m>
        <tpls c="4">
          <tpl fld="7" item="341"/>
          <tpl fld="6" item="1"/>
          <tpl hier="236" item="0"/>
          <tpl fld="4" item="6"/>
        </tpls>
      </m>
      <m>
        <tpls c="4">
          <tpl fld="7" item="321"/>
          <tpl fld="6" item="1"/>
          <tpl hier="236" item="0"/>
          <tpl fld="4" item="4"/>
        </tpls>
      </m>
      <n v="1" in="3">
        <tpls c="3">
          <tpl fld="7" item="361"/>
          <tpl fld="6" item="3"/>
          <tpl hier="236" item="0"/>
        </tpls>
      </n>
      <n v="9" in="1">
        <tpls c="4">
          <tpl fld="7" item="515"/>
          <tpl fld="6" item="1"/>
          <tpl hier="236" item="0"/>
          <tpl fld="4" item="6"/>
        </tpls>
      </n>
      <m>
        <tpls c="4">
          <tpl fld="7" item="765"/>
          <tpl fld="6" item="2"/>
          <tpl hier="236" item="0"/>
          <tpl fld="4" item="6"/>
        </tpls>
      </m>
      <m>
        <tpls c="4">
          <tpl fld="7" item="463"/>
          <tpl fld="6" item="2"/>
          <tpl hier="236" item="0"/>
          <tpl fld="4" item="6"/>
        </tpls>
      </m>
      <n v="2" in="2">
        <tpls c="4">
          <tpl fld="7" item="880"/>
          <tpl fld="6" item="2"/>
          <tpl hier="236" item="0"/>
          <tpl fld="1" item="0"/>
        </tpls>
      </n>
      <m>
        <tpls c="4">
          <tpl fld="7" item="223"/>
          <tpl fld="6" item="2"/>
          <tpl hier="236" item="0"/>
          <tpl fld="4" item="1"/>
        </tpls>
      </m>
      <m>
        <tpls c="4">
          <tpl fld="7" item="412"/>
          <tpl fld="6" item="1"/>
          <tpl hier="236" item="0"/>
          <tpl fld="4" item="6"/>
        </tpls>
      </m>
      <m>
        <tpls c="4">
          <tpl fld="7" item="105"/>
          <tpl fld="6" item="1"/>
          <tpl hier="236" item="0"/>
          <tpl fld="4" item="4"/>
        </tpls>
      </m>
      <n v="1" in="3">
        <tpls c="3">
          <tpl fld="7" item="432"/>
          <tpl fld="6" item="3"/>
          <tpl hier="236" item="0"/>
        </tpls>
      </n>
      <n v="10" in="1">
        <tpls c="4">
          <tpl fld="7" item="374"/>
          <tpl fld="6" item="1"/>
          <tpl hier="236" item="0"/>
          <tpl fld="4" item="6"/>
        </tpls>
      </n>
      <n v="2" in="1">
        <tpls c="4">
          <tpl fld="7" item="765"/>
          <tpl fld="6" item="1"/>
          <tpl hier="236" item="0"/>
          <tpl fld="4" item="6"/>
        </tpls>
      </n>
      <n v="1" in="2">
        <tpls c="4">
          <tpl fld="7" item="605"/>
          <tpl fld="6" item="2"/>
          <tpl hier="236" item="0"/>
          <tpl fld="4" item="1"/>
        </tpls>
      </n>
      <m>
        <tpls c="4">
          <tpl fld="7" item="606"/>
          <tpl fld="6" item="2"/>
          <tpl hier="236" item="0"/>
          <tpl fld="4" item="1"/>
        </tpls>
      </m>
      <m>
        <tpls c="4">
          <tpl fld="7" item="687"/>
          <tpl fld="6" item="1"/>
          <tpl hier="236" item="0"/>
          <tpl fld="4" item="1"/>
        </tpls>
      </m>
      <n v="8.4499999999999993" in="2">
        <tpls c="6">
          <tpl fld="3" item="1"/>
          <tpl fld="11" item="0"/>
          <tpl fld="6" item="2"/>
          <tpl hier="236" item="0"/>
          <tpl fld="4" item="6"/>
          <tpl fld="10" item="0"/>
        </tpls>
      </n>
      <m>
        <tpls c="4">
          <tpl fld="7" item="138"/>
          <tpl fld="6" item="2"/>
          <tpl hier="236" item="0"/>
          <tpl fld="4" item="4"/>
        </tpls>
      </m>
      <m>
        <tpls c="4">
          <tpl fld="7" item="153"/>
          <tpl fld="6" item="1"/>
          <tpl hier="236" item="0"/>
          <tpl fld="4" item="5"/>
        </tpls>
      </m>
      <m>
        <tpls c="4">
          <tpl fld="7" item="163"/>
          <tpl fld="6" item="1"/>
          <tpl hier="236" item="0"/>
          <tpl fld="4" item="5"/>
        </tpls>
      </m>
      <m>
        <tpls c="4">
          <tpl fld="7" item="70"/>
          <tpl fld="6" item="2"/>
          <tpl hier="236" item="0"/>
          <tpl fld="4" item="1"/>
        </tpls>
      </m>
      <m>
        <tpls c="3">
          <tpl fld="7" item="299"/>
          <tpl fld="6" item="3"/>
          <tpl hier="236" item="0"/>
        </tpls>
      </m>
      <m>
        <tpls c="3">
          <tpl fld="7" item="203"/>
          <tpl fld="6" item="3"/>
          <tpl hier="236" item="0"/>
        </tpls>
      </m>
      <m>
        <tpls c="4">
          <tpl fld="7" item="102"/>
          <tpl fld="6" item="1"/>
          <tpl hier="236" item="0"/>
          <tpl fld="4" item="4"/>
        </tpls>
      </m>
      <m>
        <tpls c="4">
          <tpl fld="7" item="351"/>
          <tpl fld="6" item="1"/>
          <tpl hier="236" item="0"/>
          <tpl fld="4" item="6"/>
        </tpls>
      </m>
      <m>
        <tpls c="3">
          <tpl fld="7" item="595"/>
          <tpl fld="6" item="3"/>
          <tpl hier="236" item="0"/>
        </tpls>
      </m>
      <m>
        <tpls c="4">
          <tpl fld="7" item="497"/>
          <tpl fld="6" item="2"/>
          <tpl hier="236" item="0"/>
          <tpl fld="4" item="1"/>
        </tpls>
      </m>
      <m>
        <tpls c="4">
          <tpl fld="7" item="359"/>
          <tpl fld="6" item="1"/>
          <tpl hier="236" item="0"/>
          <tpl fld="4" item="4"/>
        </tpls>
      </m>
      <n v="1" in="2">
        <tpls c="4">
          <tpl fld="7" item="362"/>
          <tpl fld="6" item="2"/>
          <tpl hier="236" item="0"/>
          <tpl fld="4" item="4"/>
        </tpls>
      </n>
      <m>
        <tpls c="4">
          <tpl fld="7" item="436"/>
          <tpl fld="6" item="1"/>
          <tpl hier="236" item="0"/>
          <tpl fld="4" item="6"/>
        </tpls>
      </m>
      <n v="1" in="3">
        <tpls c="3">
          <tpl fld="7" item="599"/>
          <tpl fld="6" item="3"/>
          <tpl hier="236" item="0"/>
        </tpls>
      </n>
      <n v="2" in="2">
        <tpls c="4">
          <tpl fld="7" item="513"/>
          <tpl fld="6" item="2"/>
          <tpl hier="236" item="0"/>
          <tpl fld="4" item="1"/>
        </tpls>
      </n>
      <n v="25" in="1">
        <tpls c="4">
          <tpl fld="7" item="375"/>
          <tpl fld="6" item="1"/>
          <tpl hier="236" item="0"/>
          <tpl fld="4" item="4"/>
        </tpls>
      </n>
      <m>
        <tpls c="4">
          <tpl fld="7" item="378"/>
          <tpl fld="6" item="2"/>
          <tpl hier="236" item="0"/>
          <tpl fld="4" item="4"/>
        </tpls>
      </m>
      <n v="1" in="1">
        <tpls c="4">
          <tpl fld="7" item="452"/>
          <tpl fld="6" item="1"/>
          <tpl hier="236" item="0"/>
          <tpl fld="4" item="6"/>
        </tpls>
      </n>
      <m>
        <tpls c="3">
          <tpl fld="7" item="603"/>
          <tpl fld="6" item="3"/>
          <tpl hier="236" item="0"/>
        </tpls>
      </m>
      <m>
        <tpls c="4">
          <tpl fld="7" item="387"/>
          <tpl fld="6" item="2"/>
          <tpl hier="236" item="0"/>
          <tpl fld="4" item="4"/>
        </tpls>
      </m>
      <m>
        <tpls c="3">
          <tpl fld="7" item="604"/>
          <tpl fld="6" item="3"/>
          <tpl hier="236" item="0"/>
        </tpls>
      </m>
      <n v="3" in="1">
        <tpls c="4">
          <tpl fld="7" item="390"/>
          <tpl fld="6" item="1"/>
          <tpl hier="236" item="0"/>
          <tpl fld="4" item="4"/>
        </tpls>
      </n>
      <m>
        <tpls c="4">
          <tpl fld="7" item="462"/>
          <tpl fld="6" item="2"/>
          <tpl hier="236" item="0"/>
          <tpl fld="4" item="5"/>
        </tpls>
      </m>
      <m>
        <tpls c="4">
          <tpl fld="7" item="534"/>
          <tpl fld="6" item="2"/>
          <tpl hier="236" item="0"/>
          <tpl fld="4" item="6"/>
        </tpls>
      </m>
      <m>
        <tpls c="4">
          <tpl fld="7" item="465"/>
          <tpl fld="6" item="1"/>
          <tpl hier="236" item="0"/>
          <tpl fld="4" item="5"/>
        </tpls>
      </m>
      <n v="6" in="1">
        <tpls c="4">
          <tpl fld="7" item="537"/>
          <tpl fld="6" item="1"/>
          <tpl hier="236" item="0"/>
          <tpl fld="4" item="6"/>
        </tpls>
      </n>
      <m>
        <tpls c="4">
          <tpl fld="7" item="687"/>
          <tpl fld="6" item="2"/>
          <tpl hier="236" item="0"/>
          <tpl fld="4" item="1"/>
        </tpls>
      </m>
      <n v="2" in="2">
        <tpls c="4">
          <tpl fld="7" item="688"/>
          <tpl fld="6" item="2"/>
          <tpl hier="236" item="0"/>
          <tpl fld="1" item="0"/>
        </tpls>
      </n>
      <n v="8" in="1">
        <tpls c="4">
          <tpl fld="7" item="689"/>
          <tpl fld="6" item="1"/>
          <tpl hier="236" item="0"/>
          <tpl fld="4" item="1"/>
        </tpls>
      </n>
      <n v="11" in="1">
        <tpls c="4">
          <tpl fld="7" item="772"/>
          <tpl fld="6" item="1"/>
          <tpl hier="236" item="0"/>
          <tpl fld="1" item="0"/>
        </tpls>
      </n>
      <m>
        <tpls c="4">
          <tpl fld="7" item="773"/>
          <tpl fld="6" item="2"/>
          <tpl hier="236" item="0"/>
          <tpl fld="4" item="4"/>
        </tpls>
      </m>
      <m>
        <tpls c="3">
          <tpl fld="7" item="985"/>
          <tpl fld="6" item="3"/>
          <tpl hier="236" item="0"/>
        </tpls>
      </m>
      <n v="504" in="1">
        <tpls c="5">
          <tpl fld="11" item="0"/>
          <tpl fld="6" item="1"/>
          <tpl fld="8" item="0"/>
          <tpl hier="236" item="0"/>
          <tpl fld="4" item="5"/>
        </tpls>
      </n>
      <m>
        <tpls c="4">
          <tpl fld="7" item="62"/>
          <tpl fld="6" item="1"/>
          <tpl hier="236" item="0"/>
          <tpl fld="4" item="4"/>
        </tpls>
      </m>
      <m>
        <tpls c="4">
          <tpl fld="7" item="320"/>
          <tpl fld="6" item="2"/>
          <tpl hier="236" item="0"/>
          <tpl fld="4" item="4"/>
        </tpls>
      </m>
      <m>
        <tpls c="4">
          <tpl fld="7" item="431"/>
          <tpl fld="6" item="2"/>
          <tpl hier="236" item="0"/>
          <tpl fld="4" item="4"/>
        </tpls>
      </m>
      <n v="19" in="1">
        <tpls c="4">
          <tpl fld="7" item="444"/>
          <tpl fld="6" item="1"/>
          <tpl hier="236" item="0"/>
          <tpl fld="4" item="4"/>
        </tpls>
      </n>
      <m>
        <tpls c="4">
          <tpl fld="7" item="386"/>
          <tpl fld="6" item="2"/>
          <tpl hier="236" item="0"/>
          <tpl fld="4" item="1"/>
        </tpls>
      </m>
      <m>
        <tpls c="4">
          <tpl fld="7" item="392"/>
          <tpl fld="6" item="1"/>
          <tpl hier="236" item="0"/>
          <tpl fld="4" item="5"/>
        </tpls>
      </m>
      <n v="23" in="1">
        <tpls c="4">
          <tpl fld="7" item="539"/>
          <tpl fld="6" item="1"/>
          <tpl hier="236" item="0"/>
          <tpl fld="4" item="1"/>
        </tpls>
      </n>
      <m>
        <tpls c="4">
          <tpl fld="7" item="610"/>
          <tpl fld="6" item="2"/>
          <tpl hier="236" item="0"/>
          <tpl fld="4" item="5"/>
        </tpls>
      </m>
      <n v="1" in="1">
        <tpls c="4">
          <tpl fld="7" item="612"/>
          <tpl fld="6" item="1"/>
          <tpl hier="236" item="0"/>
          <tpl fld="4" item="5"/>
        </tpls>
      </n>
      <n v="2" in="1">
        <tpls c="4">
          <tpl fld="7" item="775"/>
          <tpl fld="6" item="1"/>
          <tpl hier="236" item="0"/>
          <tpl fld="4" item="6"/>
        </tpls>
      </n>
      <m>
        <tpls c="3">
          <tpl fld="7" item="776"/>
          <tpl fld="6" item="3"/>
          <tpl hier="236" item="0"/>
        </tpls>
      </m>
      <n v="4" in="1">
        <tpls c="4">
          <tpl fld="7" item="882"/>
          <tpl fld="6" item="1"/>
          <tpl hier="236" item="0"/>
          <tpl fld="4" item="4"/>
        </tpls>
      </n>
      <m>
        <tpls c="4">
          <tpl fld="7" item="551"/>
          <tpl fld="6" item="2"/>
          <tpl hier="236" item="0"/>
          <tpl fld="4" item="5"/>
        </tpls>
      </m>
      <m>
        <tpls c="4">
          <tpl fld="7" item="1089"/>
          <tpl fld="6" item="2"/>
          <tpl hier="236" item="0"/>
          <tpl fld="4" item="6"/>
        </tpls>
      </m>
      <m>
        <tpls c="4">
          <tpl fld="7" item="554"/>
          <tpl fld="6" item="1"/>
          <tpl hier="236" item="0"/>
          <tpl fld="4" item="5"/>
        </tpls>
      </m>
      <m>
        <tpls c="4">
          <tpl fld="7" item="620"/>
          <tpl fld="6" item="1"/>
          <tpl hier="236" item="0"/>
          <tpl fld="4" item="6"/>
        </tpls>
      </m>
      <m>
        <tpls c="4">
          <tpl fld="7" item="557"/>
          <tpl fld="6" item="2"/>
          <tpl hier="236" item="0"/>
          <tpl fld="4" item="1"/>
        </tpls>
      </m>
      <m>
        <tpls c="4">
          <tpl fld="7" item="622"/>
          <tpl fld="6" item="2"/>
          <tpl hier="236" item="0"/>
          <tpl fld="1" item="0"/>
        </tpls>
      </m>
      <m>
        <tpls c="4">
          <tpl fld="7" item="703"/>
          <tpl fld="6" item="1"/>
          <tpl hier="236" item="0"/>
          <tpl fld="4" item="1"/>
        </tpls>
      </m>
      <n v="12" in="1">
        <tpls c="4">
          <tpl fld="7" item="704"/>
          <tpl fld="6" item="1"/>
          <tpl hier="236" item="0"/>
          <tpl fld="1" item="0"/>
        </tpls>
      </n>
      <m>
        <tpls c="4">
          <tpl fld="7" item="787"/>
          <tpl fld="6" item="2"/>
          <tpl hier="236" item="0"/>
          <tpl fld="4" item="4"/>
        </tpls>
      </m>
      <m>
        <tpls c="3">
          <tpl fld="7" item="788"/>
          <tpl fld="6" item="3"/>
          <tpl hier="236" item="0"/>
        </tpls>
      </m>
      <m>
        <tpls c="4">
          <tpl fld="7" item="566"/>
          <tpl fld="6" item="2"/>
          <tpl hier="236" item="0"/>
          <tpl fld="4" item="6"/>
        </tpls>
      </m>
      <m>
        <tpls c="4">
          <tpl fld="7" item="568"/>
          <tpl fld="6" item="2"/>
          <tpl hier="236" item="0"/>
          <tpl fld="4" item="6"/>
        </tpls>
      </m>
      <m>
        <tpls c="4">
          <tpl fld="7" item="570"/>
          <tpl fld="6" item="2"/>
          <tpl hier="236" item="0"/>
          <tpl fld="4" item="6"/>
        </tpls>
      </m>
      <n v="2" in="1">
        <tpls c="4">
          <tpl fld="7" item="632"/>
          <tpl fld="6" item="1"/>
          <tpl hier="236" item="0"/>
          <tpl fld="4" item="1"/>
        </tpls>
      </n>
      <n v="9" in="1">
        <tpls c="4">
          <tpl fld="7" item="573"/>
          <tpl fld="6" item="1"/>
          <tpl hier="236" item="0"/>
          <tpl fld="1" item="0"/>
        </tpls>
      </n>
      <m>
        <tpls c="4">
          <tpl fld="7" item="714"/>
          <tpl fld="6" item="2"/>
          <tpl hier="236" item="0"/>
          <tpl fld="4" item="4"/>
        </tpls>
      </m>
      <m>
        <tpls c="3">
          <tpl fld="7" item="576"/>
          <tpl fld="6" item="3"/>
          <tpl hier="236" item="0"/>
        </tpls>
      </m>
      <n v="2" in="1">
        <tpls c="4">
          <tpl fld="7" item="798"/>
          <tpl fld="6" item="1"/>
          <tpl hier="236" item="0"/>
          <tpl fld="4" item="4"/>
        </tpls>
      </n>
      <m>
        <tpls c="4">
          <tpl fld="7" item="799"/>
          <tpl fld="6" item="2"/>
          <tpl hier="236" item="0"/>
          <tpl fld="4" item="5"/>
        </tpls>
      </m>
      <m>
        <tpls c="4">
          <tpl fld="7" item="800"/>
          <tpl fld="6" item="2"/>
          <tpl hier="236" item="0"/>
          <tpl fld="4" item="6"/>
        </tpls>
      </m>
      <m>
        <tpls c="4">
          <tpl fld="7" item="671"/>
          <tpl fld="6" item="2"/>
          <tpl hier="236" item="0"/>
          <tpl fld="4" item="1"/>
        </tpls>
      </m>
      <m>
        <tpls c="4">
          <tpl fld="7" item="316"/>
          <tpl fld="6" item="2"/>
          <tpl hier="236" item="0"/>
          <tpl fld="4" item="4"/>
        </tpls>
      </m>
      <m>
        <tpls c="4">
          <tpl fld="7" item="428"/>
          <tpl fld="6" item="2"/>
          <tpl hier="236" item="0"/>
          <tpl fld="4" item="4"/>
        </tpls>
      </m>
      <n v="4" in="1">
        <tpls c="4">
          <tpl fld="7" item="441"/>
          <tpl fld="6" item="1"/>
          <tpl hier="236" item="0"/>
          <tpl fld="4" item="4"/>
        </tpls>
      </n>
      <m>
        <tpls c="4">
          <tpl fld="7" item="383"/>
          <tpl fld="6" item="2"/>
          <tpl hier="236" item="0"/>
          <tpl fld="4" item="1"/>
        </tpls>
      </m>
      <n v="2" in="1">
        <tpls c="4">
          <tpl fld="7" item="532"/>
          <tpl fld="6" item="1"/>
          <tpl hier="236" item="0"/>
          <tpl fld="4" item="4"/>
        </tpls>
      </n>
      <m>
        <tpls c="4">
          <tpl fld="7" item="1186"/>
          <tpl fld="6" item="1"/>
          <tpl hier="236" item="0"/>
          <tpl fld="4" item="6"/>
        </tpls>
      </m>
      <m>
        <tpls c="4">
          <tpl fld="7" item="1087"/>
          <tpl fld="6" item="2"/>
          <tpl hier="236" item="0"/>
          <tpl fld="4" item="1"/>
        </tpls>
      </m>
      <m>
        <tpls c="4">
          <tpl fld="7" item="773"/>
          <tpl fld="6" item="2"/>
          <tpl hier="236" item="0"/>
          <tpl fld="4" item="6"/>
        </tpls>
      </m>
      <m>
        <tpls c="4">
          <tpl fld="7" item="613"/>
          <tpl fld="6" item="1"/>
          <tpl hier="236" item="0"/>
          <tpl fld="4" item="5"/>
        </tpls>
      </m>
      <m>
        <tpls c="4">
          <tpl fld="7" item="694"/>
          <tpl fld="6" item="2"/>
          <tpl hier="236" item="0"/>
          <tpl fld="4" item="5"/>
        </tpls>
      </m>
      <m>
        <tpls c="4">
          <tpl fld="7" item="695"/>
          <tpl fld="6" item="2"/>
          <tpl hier="236" item="0"/>
          <tpl fld="4" item="6"/>
        </tpls>
      </m>
      <m>
        <tpls c="4">
          <tpl fld="7" item="778"/>
          <tpl fld="6" item="1"/>
          <tpl hier="236" item="0"/>
          <tpl fld="4" item="5"/>
        </tpls>
      </m>
      <n v="1" in="1">
        <tpls c="4">
          <tpl fld="7" item="779"/>
          <tpl fld="6" item="1"/>
          <tpl hier="236" item="0"/>
          <tpl fld="4" item="6"/>
        </tpls>
      </n>
      <m>
        <tpls c="4">
          <tpl fld="7" item="1270"/>
          <tpl fld="6" item="2"/>
          <tpl hier="236" item="0"/>
          <tpl fld="4" item="1"/>
        </tpls>
      </m>
      <m>
        <tpls c="4">
          <tpl fld="7" item="555"/>
          <tpl fld="6" item="2"/>
          <tpl hier="236" item="0"/>
          <tpl fld="1" item="0"/>
        </tpls>
      </m>
      <n v="2" in="1">
        <tpls c="4">
          <tpl fld="7" item="987"/>
          <tpl fld="6" item="1"/>
          <tpl hier="236" item="0"/>
          <tpl fld="4" item="1"/>
        </tpls>
      </n>
      <m>
        <tpls c="4">
          <tpl fld="7" item="558"/>
          <tpl fld="6" item="1"/>
          <tpl hier="236" item="0"/>
          <tpl fld="1" item="0"/>
        </tpls>
      </m>
      <m>
        <tpls c="4">
          <tpl fld="7" item="623"/>
          <tpl fld="6" item="2"/>
          <tpl hier="236" item="0"/>
          <tpl fld="4" item="4"/>
        </tpls>
      </m>
      <m>
        <tpls c="3">
          <tpl fld="7" item="561"/>
          <tpl fld="6" item="3"/>
          <tpl hier="236" item="0"/>
        </tpls>
      </m>
      <n v="17" in="1">
        <tpls c="4">
          <tpl fld="7" item="705"/>
          <tpl fld="6" item="1"/>
          <tpl hier="236" item="0"/>
          <tpl fld="4" item="4"/>
        </tpls>
      </n>
      <m>
        <tpls c="4">
          <tpl fld="7" item="706"/>
          <tpl fld="6" item="2"/>
          <tpl hier="236" item="0"/>
          <tpl fld="4" item="5"/>
        </tpls>
      </m>
      <m>
        <tpls c="4">
          <tpl fld="7" item="789"/>
          <tpl fld="6" item="1"/>
          <tpl hier="236" item="0"/>
          <tpl fld="4" item="1"/>
        </tpls>
      </m>
      <m>
        <tpls c="4">
          <tpl fld="7" item="629"/>
          <tpl fld="6" item="1"/>
          <tpl hier="236" item="0"/>
          <tpl fld="4" item="1"/>
        </tpls>
      </m>
      <n v="0" in="1">
        <tpls c="4">
          <tpl fld="7" item="792"/>
          <tpl fld="6" item="1"/>
          <tpl hier="236" item="0"/>
          <tpl fld="4" item="1"/>
        </tpls>
      </n>
      <m>
        <tpls c="4">
          <tpl fld="7" item="886"/>
          <tpl fld="6" item="2"/>
          <tpl hier="236" item="0"/>
          <tpl fld="4" item="4"/>
        </tpls>
      </m>
      <m>
        <tpls c="3">
          <tpl fld="7" item="633"/>
          <tpl fld="6" item="3"/>
          <tpl hier="236" item="0"/>
        </tpls>
      </m>
      <n v="1" in="1">
        <tpls c="4">
          <tpl fld="7" item="634"/>
          <tpl fld="6" item="1"/>
          <tpl hier="236" item="0"/>
          <tpl fld="4" item="4"/>
        </tpls>
      </n>
      <m>
        <tpls c="4">
          <tpl fld="7" item="635"/>
          <tpl fld="6" item="2"/>
          <tpl hier="236" item="0"/>
          <tpl fld="4" item="5"/>
        </tpls>
      </m>
      <m>
        <tpls c="6">
          <tpl fld="3" item="0"/>
          <tpl fld="11" item="0"/>
          <tpl fld="6" item="2"/>
          <tpl hier="236" item="0"/>
          <tpl fld="4" item="6"/>
          <tpl fld="10" item="2"/>
        </tpls>
      </m>
      <n v="1277" in="1">
        <tpls c="6">
          <tpl fld="11" item="0"/>
          <tpl fld="6" item="1"/>
          <tpl fld="8" item="1"/>
          <tpl hier="236" item="0"/>
          <tpl fld="4" item="7"/>
          <tpl fld="10" item="8"/>
        </tpls>
      </n>
      <m>
        <tpls c="4">
          <tpl fld="7" item="263"/>
          <tpl fld="6" item="1"/>
          <tpl hier="236" item="0"/>
          <tpl fld="1" item="0"/>
        </tpls>
      </m>
      <m>
        <tpls c="3">
          <tpl fld="7" item="419"/>
          <tpl fld="6" item="3"/>
          <tpl hier="236" item="0"/>
        </tpls>
      </m>
      <m>
        <tpls c="4">
          <tpl fld="7" item="47"/>
          <tpl fld="6" item="2"/>
          <tpl hier="236" item="0"/>
          <tpl fld="4" item="6"/>
        </tpls>
      </m>
      <m>
        <tpls c="4">
          <tpl fld="7" item="58"/>
          <tpl fld="6" item="2"/>
          <tpl hier="236" item="0"/>
          <tpl fld="1" item="0"/>
        </tpls>
      </m>
      <m>
        <tpls c="3">
          <tpl fld="7" item="186"/>
          <tpl fld="6" item="3"/>
          <tpl hier="236" item="0"/>
        </tpls>
      </m>
      <m>
        <tpls c="3">
          <tpl fld="7" item="309"/>
          <tpl fld="6" item="3"/>
          <tpl hier="236" item="0"/>
        </tpls>
      </m>
      <n v="216" in="1">
        <tpls c="6">
          <tpl fld="11" item="0"/>
          <tpl fld="6" item="1"/>
          <tpl fld="8" item="0"/>
          <tpl hier="236" item="0"/>
          <tpl fld="4" item="6"/>
          <tpl fld="10" item="8"/>
        </tpls>
      </n>
      <m>
        <tpls c="4">
          <tpl fld="7" item="28"/>
          <tpl fld="6" item="2"/>
          <tpl hier="236" item="0"/>
          <tpl fld="4" item="4"/>
        </tpls>
      </m>
      <m>
        <tpls c="4">
          <tpl fld="7" item="41"/>
          <tpl fld="6" item="1"/>
          <tpl hier="236" item="0"/>
          <tpl fld="4" item="4"/>
        </tpls>
      </m>
      <m>
        <tpls c="4">
          <tpl fld="7" item="337"/>
          <tpl fld="6" item="1"/>
          <tpl hier="236" item="0"/>
          <tpl fld="4" item="4"/>
        </tpls>
      </m>
      <m>
        <tpls c="4">
          <tpl fld="7" item="339"/>
          <tpl fld="6" item="1"/>
          <tpl hier="236" item="0"/>
          <tpl fld="4" item="4"/>
        </tpls>
      </m>
      <m>
        <tpls c="4">
          <tpl fld="7" item="181"/>
          <tpl fld="6" item="1"/>
          <tpl hier="236" item="0"/>
          <tpl fld="4" item="6"/>
        </tpls>
      </m>
      <m>
        <tpls c="4">
          <tpl fld="7" item="302"/>
          <tpl fld="6" item="1"/>
          <tpl hier="236" item="0"/>
          <tpl fld="4" item="6"/>
        </tpls>
      </m>
      <m>
        <tpls c="4">
          <tpl fld="7" item="420"/>
          <tpl fld="6" item="2"/>
          <tpl hier="236" item="0"/>
          <tpl fld="4" item="4"/>
        </tpls>
      </m>
      <m>
        <tpls c="4">
          <tpl fld="7" item="144"/>
          <tpl fld="6" item="2"/>
          <tpl hier="236" item="0"/>
          <tpl fld="4" item="4"/>
        </tpls>
      </m>
      <m>
        <tpls c="4">
          <tpl fld="7" item="345"/>
          <tpl fld="6" item="1"/>
          <tpl hier="236" item="0"/>
          <tpl fld="4" item="6"/>
        </tpls>
      </m>
      <m>
        <tpls c="4">
          <tpl fld="7" item="423"/>
          <tpl fld="6" item="2"/>
          <tpl hier="236" item="0"/>
          <tpl fld="4" item="1"/>
        </tpls>
      </m>
      <n v="1" in="3">
        <tpls c="3">
          <tpl fld="7" item="365"/>
          <tpl fld="6" item="3"/>
          <tpl hier="236" item="0"/>
        </tpls>
      </n>
      <n v="12" in="1">
        <tpls c="4">
          <tpl fld="7" item="519"/>
          <tpl fld="6" item="1"/>
          <tpl hier="236" item="0"/>
          <tpl fld="4" item="6"/>
        </tpls>
      </n>
      <m>
        <tpls c="4">
          <tpl fld="7" item="459"/>
          <tpl fld="6" item="2"/>
          <tpl hier="236" item="0"/>
          <tpl fld="4" item="6"/>
        </tpls>
      </m>
      <m>
        <tpls c="4">
          <tpl fld="7" item="394"/>
          <tpl fld="6" item="2"/>
          <tpl hier="236" item="0"/>
          <tpl fld="1" item="0"/>
        </tpls>
      </m>
      <m>
        <tpls c="3">
          <tpl fld="7" item="689"/>
          <tpl fld="6" item="3"/>
          <tpl hier="236" item="0"/>
        </tpls>
      </m>
      <m>
        <tpls c="4">
          <tpl fld="7" item="145"/>
          <tpl fld="6" item="2"/>
          <tpl hier="236" item="0"/>
          <tpl fld="4" item="4"/>
        </tpls>
      </m>
      <m>
        <tpls c="4">
          <tpl fld="7" item="416"/>
          <tpl fld="6" item="1"/>
          <tpl hier="236" item="0"/>
          <tpl fld="4" item="6"/>
        </tpls>
      </m>
      <m>
        <tpls c="4">
          <tpl fld="7" item="595"/>
          <tpl fld="6" item="2"/>
          <tpl hier="236" item="0"/>
          <tpl fld="4" item="1"/>
        </tpls>
      </m>
      <n v="1" in="3">
        <tpls c="3">
          <tpl fld="7" item="436"/>
          <tpl fld="6" item="3"/>
          <tpl hier="236" item="0"/>
        </tpls>
      </n>
      <m>
        <tpls c="4">
          <tpl fld="7" item="378"/>
          <tpl fld="6" item="1"/>
          <tpl hier="236" item="0"/>
          <tpl fld="4" item="6"/>
        </tpls>
      </m>
      <m>
        <tpls c="4">
          <tpl fld="7" item="604"/>
          <tpl fld="6" item="2"/>
          <tpl hier="236" item="0"/>
          <tpl fld="4" item="1"/>
        </tpls>
      </m>
      <m>
        <tpls c="4">
          <tpl fld="7" item="394"/>
          <tpl fld="6" item="1"/>
          <tpl hier="236" item="0"/>
          <tpl fld="4" item="6"/>
        </tpls>
      </m>
      <m>
        <tpls c="4">
          <tpl fld="7" item="686"/>
          <tpl fld="6" item="2"/>
          <tpl hier="236" item="0"/>
          <tpl fld="4" item="6"/>
        </tpls>
      </m>
      <n v="6" in="1">
        <tpls c="4">
          <tpl fld="7" item="880"/>
          <tpl fld="6" item="1"/>
          <tpl hier="236" item="0"/>
          <tpl fld="4" item="6"/>
        </tpls>
      </n>
      <m>
        <tpls c="4">
          <tpl fld="7" item="217"/>
          <tpl fld="6" item="2"/>
          <tpl hier="236" item="0"/>
          <tpl fld="4" item="1"/>
        </tpls>
      </m>
      <m>
        <tpls c="4">
          <tpl fld="7" item="36"/>
          <tpl fld="6" item="2"/>
          <tpl hier="236" item="0"/>
          <tpl fld="4" item="1"/>
        </tpls>
      </m>
      <m>
        <tpls c="4">
          <tpl fld="7" item="265"/>
          <tpl fld="6" item="1"/>
          <tpl hier="236" item="0"/>
          <tpl fld="4" item="5"/>
        </tpls>
      </m>
      <m>
        <tpls c="4">
          <tpl fld="7" item="274"/>
          <tpl fld="6" item="2"/>
          <tpl hier="236" item="0"/>
          <tpl fld="4" item="6"/>
        </tpls>
      </m>
      <m>
        <tpls c="4">
          <tpl fld="7" item="74"/>
          <tpl fld="6" item="2"/>
          <tpl hier="236" item="0"/>
          <tpl fld="4" item="1"/>
        </tpls>
      </m>
      <m>
        <tpls c="4">
          <tpl fld="7" item="417"/>
          <tpl fld="6" item="2"/>
          <tpl hier="236" item="0"/>
          <tpl fld="4" item="1"/>
        </tpls>
      </m>
      <m>
        <tpls c="4">
          <tpl fld="7" item="99"/>
          <tpl fld="6" item="2"/>
          <tpl hier="236" item="0"/>
          <tpl fld="4" item="1"/>
        </tpls>
      </m>
      <m>
        <tpls c="3">
          <tpl fld="7" item="211"/>
          <tpl fld="6" item="3"/>
          <tpl hier="236" item="0"/>
        </tpls>
      </m>
      <m>
        <tpls c="4">
          <tpl fld="7" item="422"/>
          <tpl fld="6" item="1"/>
          <tpl hier="236" item="0"/>
          <tpl fld="4" item="6"/>
        </tpls>
      </m>
      <m>
        <tpls c="3">
          <tpl fld="7" item="675"/>
          <tpl fld="6" item="3"/>
          <tpl hier="236" item="0"/>
        </tpls>
      </m>
      <m>
        <tpls c="4">
          <tpl fld="7" item="498"/>
          <tpl fld="6" item="2"/>
          <tpl hier="236" item="0"/>
          <tpl fld="4" item="1"/>
        </tpls>
      </m>
      <n v="6" in="1">
        <tpls c="4">
          <tpl fld="7" item="360"/>
          <tpl fld="6" item="1"/>
          <tpl hier="236" item="0"/>
          <tpl fld="4" item="4"/>
        </tpls>
      </n>
      <n v="1" in="2">
        <tpls c="4">
          <tpl fld="7" item="363"/>
          <tpl fld="6" item="2"/>
          <tpl hier="236" item="0"/>
          <tpl fld="4" item="4"/>
        </tpls>
      </n>
      <n v="2" in="1">
        <tpls c="4">
          <tpl fld="7" item="437"/>
          <tpl fld="6" item="1"/>
          <tpl hier="236" item="0"/>
          <tpl fld="4" item="6"/>
        </tpls>
      </n>
      <n v="1" in="3">
        <tpls c="3">
          <tpl fld="7" item="679"/>
          <tpl fld="6" item="3"/>
          <tpl hier="236" item="0"/>
        </tpls>
      </n>
      <m>
        <tpls c="4">
          <tpl fld="7" item="1208"/>
          <tpl fld="6" item="2"/>
          <tpl hier="236" item="0"/>
          <tpl fld="4" item="5"/>
        </tpls>
      </m>
      <m>
        <tpls c="4">
          <tpl fld="7" item="1049"/>
          <tpl fld="6" item="1"/>
          <tpl hier="236" item="0"/>
          <tpl fld="4" item="5"/>
        </tpls>
      </m>
      <n v="309.57635135135126" in="2">
        <tpls c="6">
          <tpl fld="11" item="0"/>
          <tpl fld="5" item="1"/>
          <tpl fld="6" item="2"/>
          <tpl hier="236" item="0"/>
          <tpl fld="4" item="1"/>
          <tpl fld="9" item="4"/>
        </tpls>
      </n>
      <m>
        <tpls c="3">
          <tpl fld="7" item="937"/>
          <tpl fld="6" item="3"/>
          <tpl hier="236" item="0"/>
        </tpls>
      </m>
      <m>
        <tpls c="6">
          <tpl fld="11" item="0"/>
          <tpl fld="5" item="1"/>
          <tpl fld="6" item="1"/>
          <tpl hier="236" item="0"/>
          <tpl fld="4" item="7"/>
          <tpl fld="10" item="5"/>
        </tpls>
      </m>
      <n v="56" in="1">
        <tpls c="6">
          <tpl fld="3" item="2"/>
          <tpl fld="11" item="0"/>
          <tpl fld="6" item="1"/>
          <tpl hier="236" item="0"/>
          <tpl fld="4" item="6"/>
          <tpl fld="10" item="6"/>
        </tpls>
      </n>
      <m>
        <tpls c="6">
          <tpl fld="3" item="0"/>
          <tpl fld="11" item="0"/>
          <tpl fld="6" item="2"/>
          <tpl hier="236" item="0"/>
          <tpl fld="4" item="3"/>
          <tpl fld="10" item="6"/>
        </tpls>
      </m>
      <n v="19" in="1">
        <tpls c="6">
          <tpl fld="3" item="3"/>
          <tpl fld="11" item="0"/>
          <tpl fld="6" item="1"/>
          <tpl hier="236" item="0"/>
          <tpl fld="4" item="7"/>
          <tpl fld="10" item="1"/>
        </tpls>
      </n>
      <n v="5.75" in="2">
        <tpls c="6">
          <tpl fld="11" item="0"/>
          <tpl fld="5" item="5"/>
          <tpl fld="6" item="2"/>
          <tpl hier="236" item="0"/>
          <tpl fld="4" item="7"/>
          <tpl fld="10" item="0"/>
        </tpls>
      </n>
      <m>
        <tpls c="6">
          <tpl fld="11" item="0"/>
          <tpl fld="5" item="2"/>
          <tpl fld="6" item="2"/>
          <tpl hier="236" item="0"/>
          <tpl fld="4" item="7"/>
          <tpl fld="10" item="2"/>
        </tpls>
      </m>
      <n v="4.1500000000000004" in="2">
        <tpls c="6">
          <tpl fld="3" item="0"/>
          <tpl fld="11" item="0"/>
          <tpl fld="6" item="2"/>
          <tpl hier="236" item="0"/>
          <tpl fld="4" item="7"/>
          <tpl fld="10" item="2"/>
        </tpls>
      </n>
      <m>
        <tpls c="4">
          <tpl fld="7" item="119"/>
          <tpl fld="6" item="1"/>
          <tpl hier="236" item="0"/>
          <tpl fld="4" item="4"/>
        </tpls>
      </m>
      <n v="5.75" in="2">
        <tpls c="5">
          <tpl fld="3" item="2"/>
          <tpl fld="11" item="0"/>
          <tpl fld="6" item="2"/>
          <tpl hier="236" item="0"/>
          <tpl fld="4" item="2"/>
        </tpls>
      </n>
      <m>
        <tpls c="6">
          <tpl fld="3" item="2"/>
          <tpl fld="11" item="0"/>
          <tpl fld="6" item="2"/>
          <tpl hier="236" item="0"/>
          <tpl fld="4" item="3"/>
          <tpl fld="10" item="3"/>
        </tpls>
      </m>
      <n v="1" in="1">
        <tpls c="4">
          <tpl fld="7" item="1141"/>
          <tpl fld="6" item="1"/>
          <tpl hier="236" item="0"/>
          <tpl fld="4" item="6"/>
        </tpls>
      </n>
      <n v="400" in="1">
        <tpls c="6">
          <tpl fld="11" item="0"/>
          <tpl fld="2" item="4"/>
          <tpl fld="6" item="1"/>
          <tpl hier="236" item="0"/>
          <tpl fld="4" item="4"/>
          <tpl fld="10" item="0"/>
        </tpls>
      </n>
      <n v="0.75" in="2">
        <tpls c="6">
          <tpl fld="11" item="0"/>
          <tpl fld="2" item="3"/>
          <tpl fld="6" item="2"/>
          <tpl hier="236" item="0"/>
          <tpl fld="4" item="7"/>
          <tpl fld="10" item="7"/>
        </tpls>
      </n>
      <m>
        <tpls c="6">
          <tpl fld="11" item="0"/>
          <tpl fld="5" item="0"/>
          <tpl fld="6" item="2"/>
          <tpl hier="236" item="0"/>
          <tpl fld="4" item="7"/>
          <tpl fld="10" item="0"/>
        </tpls>
      </m>
      <n v="19.601351351351351" in="2">
        <tpls c="6">
          <tpl fld="11" item="0"/>
          <tpl fld="2" item="1"/>
          <tpl fld="6" item="2"/>
          <tpl hier="236" item="0"/>
          <tpl fld="4" item="3"/>
          <tpl fld="10" item="8"/>
        </tpls>
      </n>
      <n v="2" in="1">
        <tpls c="6">
          <tpl fld="3" item="3"/>
          <tpl fld="11" item="0"/>
          <tpl fld="6" item="1"/>
          <tpl hier="236" item="0"/>
          <tpl fld="4" item="6"/>
          <tpl fld="10" item="1"/>
        </tpls>
      </n>
      <n v="11985" in="1">
        <tpls c="5">
          <tpl fld="11" item="0"/>
          <tpl fld="2" item="2"/>
          <tpl fld="6" item="1"/>
          <tpl hier="236" item="0"/>
          <tpl fld="1" item="0"/>
        </tpls>
      </n>
      <n v="99" in="1">
        <tpls c="6">
          <tpl fld="11" item="0"/>
          <tpl fld="6" item="1"/>
          <tpl fld="8" item="1"/>
          <tpl hier="236" item="0"/>
          <tpl fld="4" item="6"/>
          <tpl fld="10" item="6"/>
        </tpls>
      </n>
      <m>
        <tpls c="4">
          <tpl fld="7" item="10"/>
          <tpl fld="6" item="1"/>
          <tpl hier="236" item="0"/>
          <tpl fld="1" item="0"/>
        </tpls>
      </m>
      <n v="7" in="1">
        <tpls c="6">
          <tpl fld="3" item="0"/>
          <tpl fld="11" item="0"/>
          <tpl fld="6" item="1"/>
          <tpl hier="236" item="0"/>
          <tpl fld="4" item="1"/>
          <tpl fld="9" item="2"/>
        </tpls>
      </n>
      <n v="232" in="1">
        <tpls c="6">
          <tpl fld="11" item="0"/>
          <tpl fld="6" item="1"/>
          <tpl fld="8" item="1"/>
          <tpl hier="236" item="0"/>
          <tpl fld="4" item="6"/>
          <tpl fld="10" item="5"/>
        </tpls>
      </n>
      <m>
        <tpls c="6">
          <tpl fld="3" item="4"/>
          <tpl fld="11" item="0"/>
          <tpl fld="6" item="2"/>
          <tpl hier="236" item="0"/>
          <tpl fld="4" item="7"/>
          <tpl fld="10" item="0"/>
        </tpls>
      </m>
      <n v="3504" in="1">
        <tpls c="5">
          <tpl fld="11" item="0"/>
          <tpl fld="6" item="1"/>
          <tpl hier="236" item="0"/>
          <tpl fld="4" item="6"/>
          <tpl fld="10" item="7"/>
        </tpls>
      </n>
      <m>
        <tpls c="4">
          <tpl fld="7" item="114"/>
          <tpl fld="6" item="1"/>
          <tpl hier="236" item="0"/>
          <tpl fld="4" item="4"/>
        </tpls>
      </m>
      <n v="101" in="1">
        <tpls c="6">
          <tpl fld="11" item="0"/>
          <tpl fld="2" item="1"/>
          <tpl fld="6" item="1"/>
          <tpl hier="236" item="0"/>
          <tpl fld="4" item="7"/>
          <tpl fld="10" item="0"/>
        </tpls>
      </n>
      <m>
        <tpls c="4">
          <tpl fld="7" item="398"/>
          <tpl fld="6" item="2"/>
          <tpl hier="236" item="0"/>
          <tpl fld="4" item="1"/>
        </tpls>
      </m>
      <n v="22" in="1">
        <tpls c="6">
          <tpl fld="11" item="0"/>
          <tpl fld="2" item="0"/>
          <tpl fld="6" item="1"/>
          <tpl hier="236" item="0"/>
          <tpl fld="4" item="7"/>
          <tpl fld="10" item="1"/>
        </tpls>
      </n>
      <n v="1234" in="1">
        <tpls c="6">
          <tpl fld="3" item="1"/>
          <tpl fld="11" item="0"/>
          <tpl fld="6" item="1"/>
          <tpl hier="236" item="0"/>
          <tpl fld="4" item="4"/>
          <tpl fld="10" item="3"/>
        </tpls>
      </n>
      <m>
        <tpls c="4">
          <tpl fld="7" item="224"/>
          <tpl fld="6" item="2"/>
          <tpl hier="236" item="0"/>
          <tpl fld="4" item="6"/>
        </tpls>
      </m>
      <n v="1" in="2">
        <tpls c="6">
          <tpl fld="3" item="4"/>
          <tpl fld="11" item="0"/>
          <tpl fld="6" item="2"/>
          <tpl hier="236" item="0"/>
          <tpl fld="4" item="6"/>
          <tpl fld="10" item="1"/>
        </tpls>
      </n>
      <m>
        <tpls c="4">
          <tpl fld="7" item="109"/>
          <tpl fld="6" item="1"/>
          <tpl hier="236" item="0"/>
          <tpl fld="4" item="4"/>
        </tpls>
      </m>
      <n v="2103" in="1">
        <tpls c="6">
          <tpl fld="11" item="0"/>
          <tpl fld="2" item="1"/>
          <tpl fld="6" item="1"/>
          <tpl hier="236" item="0"/>
          <tpl fld="4" item="4"/>
          <tpl fld="10" item="3"/>
        </tpls>
      </n>
      <m>
        <tpls c="4">
          <tpl fld="7" item="243"/>
          <tpl fld="6" item="1"/>
          <tpl hier="236" item="0"/>
          <tpl fld="4" item="4"/>
        </tpls>
      </m>
      <m>
        <tpls c="4">
          <tpl fld="7" item="752"/>
          <tpl fld="6" item="1"/>
          <tpl hier="236" item="0"/>
          <tpl fld="4" item="4"/>
        </tpls>
      </m>
      <m>
        <tpls c="3">
          <tpl fld="7" item="478"/>
          <tpl fld="6" item="3"/>
          <tpl hier="236" item="0"/>
        </tpls>
      </m>
      <m>
        <tpls c="3">
          <tpl fld="7" item="480"/>
          <tpl fld="6" item="3"/>
          <tpl hier="236" item="0"/>
        </tpls>
      </m>
      <m>
        <tpls c="4">
          <tpl fld="7" item="288"/>
          <tpl fld="6" item="1"/>
          <tpl hier="236" item="0"/>
          <tpl fld="4" item="6"/>
        </tpls>
      </m>
      <n v="0" in="1">
        <tpls c="4">
          <tpl fld="7" item="192"/>
          <tpl fld="6" item="1"/>
          <tpl hier="236" item="0"/>
          <tpl fld="4" item="6"/>
        </tpls>
      </n>
      <m>
        <tpls c="4">
          <tpl fld="7" item="97"/>
          <tpl fld="6" item="2"/>
          <tpl hier="236" item="0"/>
          <tpl fld="4" item="4"/>
        </tpls>
      </m>
      <m>
        <tpls c="4">
          <tpl fld="7" item="3"/>
          <tpl fld="6" item="1"/>
          <tpl hier="236" item="0"/>
          <tpl fld="4" item="4"/>
        </tpls>
      </m>
      <m>
        <tpls c="3">
          <tpl fld="7" item="140"/>
          <tpl fld="6" item="3"/>
          <tpl hier="236" item="0"/>
        </tpls>
      </m>
      <m>
        <tpls c="4">
          <tpl fld="7" item="44"/>
          <tpl fld="6" item="1"/>
          <tpl hier="236" item="0"/>
          <tpl fld="4" item="6"/>
        </tpls>
      </m>
      <n v="454" in="1">
        <tpls c="6">
          <tpl fld="11" item="0"/>
          <tpl fld="2" item="0"/>
          <tpl fld="6" item="1"/>
          <tpl hier="236" item="0"/>
          <tpl fld="4" item="4"/>
          <tpl fld="10" item="7"/>
        </tpls>
      </n>
      <m>
        <tpls c="6">
          <tpl fld="3" item="3"/>
          <tpl fld="11" item="0"/>
          <tpl fld="6" item="2"/>
          <tpl hier="236" item="0"/>
          <tpl fld="4" item="6"/>
          <tpl fld="10" item="3"/>
        </tpls>
      </m>
      <m>
        <tpls c="4">
          <tpl fld="7" item="110"/>
          <tpl fld="6" item="1"/>
          <tpl hier="236" item="0"/>
          <tpl fld="4" item="5"/>
        </tpls>
      </m>
      <n v="15.946486486486487" in="2">
        <tpls c="6">
          <tpl fld="11" item="0"/>
          <tpl fld="2" item="3"/>
          <tpl fld="6" item="2"/>
          <tpl hier="236" item="0"/>
          <tpl fld="4" item="6"/>
          <tpl fld="10" item="7"/>
        </tpls>
      </n>
      <n v="27.984121621621618" in="2">
        <tpls c="6">
          <tpl fld="11" item="0"/>
          <tpl fld="6" item="2"/>
          <tpl fld="8" item="0"/>
          <tpl hier="236" item="0"/>
          <tpl fld="4" item="4"/>
          <tpl fld="10" item="7"/>
        </tpls>
      </n>
      <m>
        <tpls c="4">
          <tpl fld="7" item="133"/>
          <tpl fld="6" item="2"/>
          <tpl hier="236" item="0"/>
          <tpl fld="4" item="1"/>
        </tpls>
      </m>
      <m>
        <tpls c="4">
          <tpl fld="7" item="669"/>
          <tpl fld="6" item="1"/>
          <tpl hier="236" item="0"/>
          <tpl fld="4" item="4"/>
        </tpls>
      </m>
      <m>
        <tpls c="3">
          <tpl fld="7" item="38"/>
          <tpl fld="6" item="3"/>
          <tpl hier="236" item="0"/>
        </tpls>
      </m>
      <m>
        <tpls c="4">
          <tpl fld="7" item="591"/>
          <tpl fld="6" item="1"/>
          <tpl hier="236" item="0"/>
          <tpl fld="1" item="0"/>
        </tpls>
      </m>
      <m>
        <tpls c="4">
          <tpl fld="7" item="753"/>
          <tpl fld="6" item="1"/>
          <tpl hier="236" item="0"/>
          <tpl fld="1" item="0"/>
        </tpls>
      </m>
      <m>
        <tpls c="4">
          <tpl fld="7" item="413"/>
          <tpl fld="6" item="1"/>
          <tpl hier="236" item="0"/>
          <tpl fld="4" item="4"/>
        </tpls>
      </m>
      <m>
        <tpls c="4">
          <tpl fld="7" item="191"/>
          <tpl fld="6" item="2"/>
          <tpl hier="236" item="0"/>
          <tpl fld="4" item="1"/>
        </tpls>
      </m>
      <m>
        <tpls c="4">
          <tpl fld="7" item="312"/>
          <tpl fld="6" item="2"/>
          <tpl hier="236" item="0"/>
          <tpl fld="4" item="1"/>
        </tpls>
      </m>
      <m>
        <tpls c="4">
          <tpl fld="7" item="0"/>
          <tpl fld="6" item="2"/>
          <tpl hier="236" item="0"/>
          <tpl fld="4" item="6"/>
        </tpls>
      </m>
      <m>
        <tpls c="4">
          <tpl fld="7" item="247"/>
          <tpl fld="6" item="2"/>
          <tpl hier="236" item="0"/>
          <tpl fld="4" item="4"/>
        </tpls>
      </m>
      <m>
        <tpls c="4">
          <tpl fld="7" item="43"/>
          <tpl fld="6" item="2"/>
          <tpl hier="236" item="0"/>
          <tpl fld="4" item="6"/>
        </tpls>
      </m>
      <n v="5.35" in="2">
        <tpls c="6">
          <tpl fld="11" item="0"/>
          <tpl fld="2" item="4"/>
          <tpl fld="6" item="2"/>
          <tpl hier="236" item="0"/>
          <tpl fld="4" item="3"/>
          <tpl fld="10" item="2"/>
        </tpls>
      </n>
      <n v="2.7" in="2">
        <tpls c="6">
          <tpl fld="3" item="3"/>
          <tpl fld="11" item="0"/>
          <tpl fld="6" item="2"/>
          <tpl hier="236" item="0"/>
          <tpl fld="4" item="1"/>
          <tpl fld="9" item="1"/>
        </tpls>
      </n>
      <m>
        <tpls c="4">
          <tpl fld="7" item="114"/>
          <tpl fld="6" item="1"/>
          <tpl hier="236" item="0"/>
          <tpl fld="4" item="5"/>
        </tpls>
      </m>
      <n v="67" in="1">
        <tpls c="6">
          <tpl fld="3" item="3"/>
          <tpl fld="11" item="0"/>
          <tpl fld="6" item="1"/>
          <tpl hier="236" item="0"/>
          <tpl fld="4" item="3"/>
          <tpl fld="10" item="5"/>
        </tpls>
      </n>
      <m>
        <tpls c="4">
          <tpl fld="7" item="217"/>
          <tpl fld="6" item="1"/>
          <tpl hier="236" item="0"/>
          <tpl fld="4" item="5"/>
        </tpls>
      </m>
      <n v="0" in="1">
        <tpls c="6">
          <tpl fld="11" item="0"/>
          <tpl fld="5" item="0"/>
          <tpl fld="6" item="1"/>
          <tpl hier="236" item="0"/>
          <tpl fld="4" item="7"/>
          <tpl fld="10" item="5"/>
        </tpls>
      </n>
      <m>
        <tpls c="4">
          <tpl fld="7" item="331"/>
          <tpl fld="6" item="1"/>
          <tpl hier="236" item="0"/>
          <tpl fld="4" item="4"/>
        </tpls>
      </m>
      <m>
        <tpls c="3">
          <tpl fld="7" item="39"/>
          <tpl fld="6" item="3"/>
          <tpl hier="236" item="0"/>
        </tpls>
      </m>
      <m>
        <tpls c="3">
          <tpl fld="7" item="156"/>
          <tpl fld="6" item="3"/>
          <tpl hier="236" item="0"/>
        </tpls>
      </m>
      <m>
        <tpls c="3">
          <tpl fld="7" item="164"/>
          <tpl fld="6" item="3"/>
          <tpl hier="236" item="0"/>
        </tpls>
      </m>
      <m>
        <tpls c="4">
          <tpl fld="7" item="754"/>
          <tpl fld="6" item="1"/>
          <tpl hier="236" item="0"/>
          <tpl fld="4" item="4"/>
        </tpls>
      </m>
      <n v="0" in="1">
        <tpls c="4">
          <tpl fld="7" item="192"/>
          <tpl fld="6" item="1"/>
          <tpl hier="236" item="0"/>
          <tpl fld="4" item="5"/>
        </tpls>
      </n>
      <m>
        <tpls c="4">
          <tpl fld="7" item="313"/>
          <tpl fld="6" item="2"/>
          <tpl hier="236" item="0"/>
          <tpl fld="4" item="1"/>
        </tpls>
      </m>
      <m>
        <tpls c="4">
          <tpl fld="7" item="2"/>
          <tpl fld="6" item="2"/>
          <tpl hier="236" item="0"/>
          <tpl fld="4" item="6"/>
        </tpls>
      </m>
      <m>
        <tpls c="4">
          <tpl fld="7" item="248"/>
          <tpl fld="6" item="2"/>
          <tpl hier="236" item="0"/>
          <tpl fld="4" item="4"/>
        </tpls>
      </m>
      <m>
        <tpls c="4">
          <tpl fld="7" item="260"/>
          <tpl fld="6" item="1"/>
          <tpl hier="236" item="0"/>
          <tpl fld="4" item="6"/>
        </tpls>
      </m>
      <m>
        <tpls c="4">
          <tpl fld="7" item="268"/>
          <tpl fld="6" item="1"/>
          <tpl hier="236" item="0"/>
          <tpl fld="4" item="6"/>
        </tpls>
      </m>
      <m>
        <tpls c="3">
          <tpl fld="7" item="172"/>
          <tpl fld="6" item="3"/>
          <tpl hier="236" item="0"/>
        </tpls>
      </m>
      <m>
        <tpls c="4">
          <tpl fld="7" item="77"/>
          <tpl fld="6" item="1"/>
          <tpl hier="236" item="0"/>
          <tpl fld="4" item="6"/>
        </tpls>
      </m>
      <n v="17.912027027027026" in="2">
        <tpls c="6">
          <tpl fld="11" item="0"/>
          <tpl fld="5" item="1"/>
          <tpl fld="6" item="2"/>
          <tpl hier="236" item="0"/>
          <tpl fld="4" item="4"/>
          <tpl fld="10" item="3"/>
        </tpls>
      </n>
      <m>
        <tpls c="4">
          <tpl fld="7" item="115"/>
          <tpl fld="6" item="2"/>
          <tpl hier="236" item="0"/>
          <tpl fld="4" item="6"/>
        </tpls>
      </m>
      <m>
        <tpls c="4">
          <tpl fld="7" item="159"/>
          <tpl fld="6" item="1"/>
          <tpl hier="236" item="0"/>
          <tpl fld="1" item="0"/>
        </tpls>
      </m>
      <n v="69.719864864864874" in="2">
        <tpls c="6">
          <tpl fld="3" item="2"/>
          <tpl fld="11" item="0"/>
          <tpl fld="6" item="2"/>
          <tpl hier="236" item="0"/>
          <tpl fld="4" item="1"/>
          <tpl fld="9" item="1"/>
        </tpls>
      </n>
      <m>
        <tpls c="4">
          <tpl fld="7" item="478"/>
          <tpl fld="6" item="2"/>
          <tpl hier="236" item="0"/>
          <tpl fld="4" item="6"/>
        </tpls>
      </m>
      <m>
        <tpls c="4">
          <tpl fld="7" item="280"/>
          <tpl fld="6" item="1"/>
          <tpl hier="236" item="0"/>
          <tpl fld="4" item="4"/>
        </tpls>
      </m>
      <m>
        <tpls c="4">
          <tpl fld="7" item="297"/>
          <tpl fld="6" item="1"/>
          <tpl hier="236" item="0"/>
          <tpl fld="4" item="4"/>
        </tpls>
      </m>
      <m>
        <tpls c="4">
          <tpl fld="7" item="419"/>
          <tpl fld="6" item="1"/>
          <tpl hier="236" item="0"/>
          <tpl fld="4" item="6"/>
        </tpls>
      </m>
      <n v="81.508378378378382" in="2">
        <tpls c="5">
          <tpl fld="11" item="0"/>
          <tpl fld="6" item="2"/>
          <tpl fld="8" item="1"/>
          <tpl hier="236" item="0"/>
          <tpl fld="4" item="0"/>
        </tpls>
      </n>
      <m>
        <tpls c="4">
          <tpl fld="7" item="30"/>
          <tpl fld="6" item="1"/>
          <tpl hier="236" item="0"/>
          <tpl fld="4" item="4"/>
        </tpls>
      </m>
      <m>
        <tpls c="4">
          <tpl fld="7" item="406"/>
          <tpl fld="6" item="2"/>
          <tpl hier="236" item="0"/>
          <tpl fld="4" item="4"/>
        </tpls>
      </m>
      <m>
        <tpls c="4">
          <tpl fld="7" item="408"/>
          <tpl fld="6" item="2"/>
          <tpl hier="236" item="0"/>
          <tpl fld="4" item="4"/>
        </tpls>
      </m>
      <m>
        <tpls c="4">
          <tpl fld="7" item="168"/>
          <tpl fld="6" item="2"/>
          <tpl hier="236" item="0"/>
          <tpl fld="4" item="1"/>
        </tpls>
      </m>
      <m>
        <tpls c="4">
          <tpl fld="7" item="75"/>
          <tpl fld="6" item="2"/>
          <tpl hier="236" item="0"/>
          <tpl fld="4" item="4"/>
        </tpls>
      </m>
      <m>
        <tpls c="4">
          <tpl fld="7" item="755"/>
          <tpl fld="6" item="2"/>
          <tpl hier="236" item="0"/>
          <tpl fld="4" item="4"/>
        </tpls>
      </m>
      <m>
        <tpls c="4">
          <tpl fld="7" item="491"/>
          <tpl fld="6" item="1"/>
          <tpl hier="236" item="0"/>
          <tpl fld="4" item="4"/>
        </tpls>
      </m>
      <m>
        <tpls c="4">
          <tpl fld="7" item="43"/>
          <tpl fld="6" item="1"/>
          <tpl hier="236" item="0"/>
          <tpl fld="4" item="5"/>
        </tpls>
      </m>
      <m>
        <tpls c="4">
          <tpl fld="7" item="488"/>
          <tpl fld="6" item="2"/>
          <tpl hier="236" item="0"/>
          <tpl fld="4" item="1"/>
        </tpls>
      </m>
      <m>
        <tpls c="3">
          <tpl fld="7" item="354"/>
          <tpl fld="6" item="3"/>
          <tpl hier="236" item="0"/>
        </tpls>
      </m>
      <n v="1" in="1">
        <tpls c="4">
          <tpl fld="7" item="508"/>
          <tpl fld="6" item="1"/>
          <tpl hier="236" item="0"/>
          <tpl fld="4" item="6"/>
        </tpls>
      </n>
      <n v="0.8" in="2">
        <tpls c="4">
          <tpl fld="7" item="1085"/>
          <tpl fld="6" item="2"/>
          <tpl hier="236" item="0"/>
          <tpl fld="4" item="4"/>
        </tpls>
      </n>
      <m>
        <tpls c="4">
          <tpl fld="7" item="389"/>
          <tpl fld="6" item="2"/>
          <tpl hier="236" item="0"/>
          <tpl fld="1" item="0"/>
        </tpls>
      </m>
      <m>
        <tpls c="3">
          <tpl fld="7" item="395"/>
          <tpl fld="6" item="3"/>
          <tpl hier="236" item="0"/>
        </tpls>
      </m>
      <m>
        <tpls c="4">
          <tpl fld="7" item="542"/>
          <tpl fld="6" item="1"/>
          <tpl hier="236" item="0"/>
          <tpl fld="4" item="5"/>
        </tpls>
      </m>
      <m>
        <tpls c="4">
          <tpl fld="7" item="260"/>
          <tpl fld="6" item="2"/>
          <tpl hier="236" item="0"/>
          <tpl fld="4" item="1"/>
        </tpls>
      </m>
      <m>
        <tpls c="4">
          <tpl fld="7" item="347"/>
          <tpl fld="6" item="2"/>
          <tpl hier="236" item="0"/>
          <tpl fld="4" item="1"/>
        </tpls>
      </m>
      <m>
        <tpls c="3">
          <tpl fld="7" item="425"/>
          <tpl fld="6" item="3"/>
          <tpl hier="236" item="0"/>
        </tpls>
      </m>
      <m>
        <tpls c="4">
          <tpl fld="7" item="367"/>
          <tpl fld="6" item="1"/>
          <tpl hier="236" item="0"/>
          <tpl fld="4" item="6"/>
        </tpls>
      </m>
      <m>
        <tpls c="4">
          <tpl fld="7" item="521"/>
          <tpl fld="6" item="2"/>
          <tpl hier="236" item="0"/>
          <tpl fld="4" item="4"/>
        </tpls>
      </m>
      <n v="1" in="2">
        <tpls c="4">
          <tpl fld="7" item="460"/>
          <tpl fld="6" item="2"/>
          <tpl hier="236" item="0"/>
          <tpl fld="4" item="4"/>
        </tpls>
      </n>
      <n v="317.08060810810804" in="2">
        <tpls c="6">
          <tpl fld="3" item="2"/>
          <tpl fld="11" item="0"/>
          <tpl fld="6" item="2"/>
          <tpl hier="236" item="0"/>
          <tpl fld="4" item="1"/>
          <tpl fld="9" item="4"/>
        </tpls>
      </n>
      <m>
        <tpls c="4">
          <tpl fld="7" item="112"/>
          <tpl fld="6" item="1"/>
          <tpl hier="236" item="0"/>
          <tpl fld="4" item="4"/>
        </tpls>
      </m>
      <m>
        <tpls c="4">
          <tpl fld="7" item="266"/>
          <tpl fld="6" item="1"/>
          <tpl hier="236" item="0"/>
          <tpl fld="1" item="0"/>
        </tpls>
      </m>
      <m>
        <tpls c="6">
          <tpl fld="11" item="0"/>
          <tpl fld="5" item="0"/>
          <tpl fld="6" item="2"/>
          <tpl hier="236" item="0"/>
          <tpl fld="4" item="3"/>
          <tpl fld="10" item="4"/>
        </tpls>
      </m>
      <m>
        <tpls c="4">
          <tpl fld="7" item="151"/>
          <tpl fld="6" item="2"/>
          <tpl hier="236" item="0"/>
          <tpl fld="4" item="6"/>
        </tpls>
      </m>
      <m>
        <tpls c="4">
          <tpl fld="7" item="48"/>
          <tpl fld="6" item="2"/>
          <tpl hier="236" item="0"/>
          <tpl fld="4" item="6"/>
        </tpls>
      </m>
      <m>
        <tpls c="4">
          <tpl fld="7" item="52"/>
          <tpl fld="6" item="2"/>
          <tpl hier="236" item="0"/>
          <tpl fld="4" item="6"/>
        </tpls>
      </m>
      <m>
        <tpls c="4">
          <tpl fld="7" item="753"/>
          <tpl fld="6" item="1"/>
          <tpl hier="236" item="0"/>
          <tpl fld="4" item="6"/>
        </tpls>
      </m>
      <m>
        <tpls c="4">
          <tpl fld="7" item="278"/>
          <tpl fld="6" item="1"/>
          <tpl hier="236" item="0"/>
          <tpl fld="4" item="4"/>
        </tpls>
      </m>
      <m>
        <tpls c="3">
          <tpl fld="7" item="177"/>
          <tpl fld="6" item="3"/>
          <tpl hier="236" item="0"/>
        </tpls>
      </m>
      <m>
        <tpls c="4">
          <tpl fld="7" item="414"/>
          <tpl fld="6" item="2"/>
          <tpl hier="236" item="0"/>
          <tpl fld="4" item="1"/>
        </tpls>
      </m>
      <m>
        <tpls c="4">
          <tpl fld="7" item="296"/>
          <tpl fld="6" item="2"/>
          <tpl hier="236" item="0"/>
          <tpl fld="4" item="4"/>
        </tpls>
      </m>
      <m>
        <tpls c="4">
          <tpl fld="7" item="86"/>
          <tpl fld="6" item="2"/>
          <tpl hier="236" item="0"/>
          <tpl fld="4" item="1"/>
        </tpls>
      </m>
      <m>
        <tpls c="4">
          <tpl fld="7" item="90"/>
          <tpl fld="6" item="2"/>
          <tpl hier="236" item="0"/>
          <tpl fld="4" item="1"/>
        </tpls>
      </m>
      <m>
        <tpls c="4">
          <tpl fld="7" item="94"/>
          <tpl fld="6" item="2"/>
          <tpl hier="236" item="0"/>
          <tpl fld="4" item="1"/>
        </tpls>
      </m>
      <m>
        <tpls c="3">
          <tpl fld="7" item="315"/>
          <tpl fld="6" item="3"/>
          <tpl hier="236" item="0"/>
        </tpls>
      </m>
      <m>
        <tpls c="6">
          <tpl fld="3" item="4"/>
          <tpl fld="11" item="0"/>
          <tpl fld="6" item="2"/>
          <tpl hier="236" item="0"/>
          <tpl fld="4" item="3"/>
          <tpl fld="10" item="0"/>
        </tpls>
      </m>
      <n v="7.4986486486486488" in="2">
        <tpls c="6">
          <tpl fld="11" item="0"/>
          <tpl fld="6" item="2"/>
          <tpl fld="8" item="1"/>
          <tpl hier="236" item="0"/>
          <tpl fld="4" item="7"/>
          <tpl fld="10" item="3"/>
        </tpls>
      </n>
      <m>
        <tpls c="4">
          <tpl fld="7" item="397"/>
          <tpl fld="6" item="2"/>
          <tpl hier="236" item="0"/>
          <tpl fld="4" item="6"/>
        </tpls>
      </m>
      <m>
        <tpls c="4">
          <tpl fld="7" item="21"/>
          <tpl fld="6" item="1"/>
          <tpl hier="236" item="0"/>
          <tpl fld="4" item="4"/>
        </tpls>
      </m>
      <m>
        <tpls c="4">
          <tpl fld="7" item="137"/>
          <tpl fld="6" item="1"/>
          <tpl hier="236" item="0"/>
          <tpl fld="4" item="6"/>
        </tpls>
      </m>
      <m>
        <tpls c="4">
          <tpl fld="7" item="34"/>
          <tpl fld="6" item="2"/>
          <tpl hier="236" item="0"/>
          <tpl fld="4" item="4"/>
        </tpls>
      </m>
      <m>
        <tpls c="4">
          <tpl fld="7" item="38"/>
          <tpl fld="6" item="2"/>
          <tpl hier="236" item="0"/>
          <tpl fld="4" item="4"/>
        </tpls>
      </m>
      <m>
        <tpls c="4">
          <tpl fld="7" item="150"/>
          <tpl fld="6" item="1"/>
          <tpl hier="236" item="0"/>
          <tpl fld="4" item="4"/>
        </tpls>
      </m>
      <m>
        <tpls c="4">
          <tpl fld="7" item="153"/>
          <tpl fld="6" item="1"/>
          <tpl hier="236" item="0"/>
          <tpl fld="4" item="4"/>
        </tpls>
      </m>
      <m>
        <tpls c="4">
          <tpl fld="7" item="264"/>
          <tpl fld="6" item="1"/>
          <tpl hier="236" item="0"/>
          <tpl fld="4" item="4"/>
        </tpls>
      </m>
      <m>
        <tpls c="4">
          <tpl fld="7" item="158"/>
          <tpl fld="6" item="1"/>
          <tpl hier="236" item="0"/>
          <tpl fld="4" item="4"/>
        </tpls>
      </m>
      <m>
        <tpls c="4">
          <tpl fld="7" item="161"/>
          <tpl fld="6" item="1"/>
          <tpl hier="236" item="0"/>
          <tpl fld="4" item="4"/>
        </tpls>
      </m>
      <m>
        <tpls c="4">
          <tpl fld="7" item="272"/>
          <tpl fld="6" item="1"/>
          <tpl hier="236" item="0"/>
          <tpl fld="4" item="4"/>
        </tpls>
      </m>
      <m>
        <tpls c="4">
          <tpl fld="7" item="275"/>
          <tpl fld="6" item="2"/>
          <tpl hier="236" item="0"/>
          <tpl fld="4" item="1"/>
        </tpls>
      </m>
      <m>
        <tpls c="3">
          <tpl fld="7" item="412"/>
          <tpl fld="6" item="3"/>
          <tpl hier="236" item="0"/>
        </tpls>
      </m>
      <m>
        <tpls c="3">
          <tpl fld="7" item="413"/>
          <tpl fld="6" item="3"/>
          <tpl hier="236" item="0"/>
        </tpls>
      </m>
      <m>
        <tpls c="3">
          <tpl fld="7" item="414"/>
          <tpl fld="6" item="3"/>
          <tpl hier="236" item="0"/>
        </tpls>
      </m>
      <m>
        <tpls c="4">
          <tpl fld="7" item="187"/>
          <tpl fld="6" item="1"/>
          <tpl hier="236" item="0"/>
          <tpl fld="4" item="6"/>
        </tpls>
      </m>
      <m>
        <tpls c="4">
          <tpl fld="7" item="191"/>
          <tpl fld="6" item="1"/>
          <tpl hier="236" item="0"/>
          <tpl fld="4" item="6"/>
        </tpls>
      </m>
      <m>
        <tpls c="3">
          <tpl fld="7" item="87"/>
          <tpl fld="6" item="3"/>
          <tpl hier="236" item="0"/>
        </tpls>
      </m>
      <m>
        <tpls c="4">
          <tpl fld="7" item="308"/>
          <tpl fld="6" item="1"/>
          <tpl hier="236" item="0"/>
          <tpl fld="4" item="6"/>
        </tpls>
      </m>
      <m>
        <tpls c="4">
          <tpl fld="7" item="312"/>
          <tpl fld="6" item="1"/>
          <tpl hier="236" item="0"/>
          <tpl fld="4" item="6"/>
        </tpls>
      </m>
      <m>
        <tpls c="4">
          <tpl fld="7" item="316"/>
          <tpl fld="6" item="1"/>
          <tpl hier="236" item="0"/>
          <tpl fld="4" item="6"/>
        </tpls>
      </m>
      <n v="7.0500000000000007" in="2">
        <tpls c="6">
          <tpl fld="11" item="0"/>
          <tpl fld="5" item="4"/>
          <tpl fld="6" item="2"/>
          <tpl hier="236" item="0"/>
          <tpl fld="4" item="4"/>
          <tpl fld="10" item="7"/>
        </tpls>
      </n>
      <m>
        <tpls c="4">
          <tpl fld="7" item="128"/>
          <tpl fld="6" item="1"/>
          <tpl hier="236" item="0"/>
          <tpl fld="4" item="4"/>
        </tpls>
      </m>
      <m>
        <tpls c="4">
          <tpl fld="7" item="149"/>
          <tpl fld="6" item="1"/>
          <tpl hier="236" item="0"/>
          <tpl fld="4" item="4"/>
        </tpls>
      </m>
      <m>
        <tpls c="4">
          <tpl fld="7" item="338"/>
          <tpl fld="6" item="1"/>
          <tpl hier="236" item="0"/>
          <tpl fld="4" item="5"/>
        </tpls>
      </m>
      <m>
        <tpls c="4">
          <tpl fld="7" item="175"/>
          <tpl fld="6" item="1"/>
          <tpl hier="236" item="0"/>
          <tpl fld="4" item="4"/>
        </tpls>
      </m>
      <m>
        <tpls c="4">
          <tpl fld="7" item="80"/>
          <tpl fld="6" item="2"/>
          <tpl hier="236" item="0"/>
          <tpl fld="4" item="1"/>
        </tpls>
      </m>
      <m>
        <tpls c="4">
          <tpl fld="7" item="489"/>
          <tpl fld="6" item="2"/>
          <tpl hier="236" item="0"/>
          <tpl fld="4" item="1"/>
        </tpls>
      </m>
      <m>
        <tpls c="4">
          <tpl fld="7" item="101"/>
          <tpl fld="6" item="2"/>
          <tpl hier="236" item="0"/>
          <tpl fld="4" item="1"/>
        </tpls>
      </m>
      <m>
        <tpls c="4">
          <tpl fld="7" item="105"/>
          <tpl fld="6" item="1"/>
          <tpl hier="236" item="0"/>
          <tpl fld="4" item="6"/>
        </tpls>
      </m>
      <m>
        <tpls c="4">
          <tpl fld="7" item="493"/>
          <tpl fld="6" item="1"/>
          <tpl hier="236" item="0"/>
          <tpl fld="4" item="6"/>
        </tpls>
      </m>
      <m>
        <tpls c="3">
          <tpl fld="7" item="355"/>
          <tpl fld="6" item="3"/>
          <tpl hier="236" item="0"/>
        </tpls>
      </m>
      <m>
        <tpls c="4">
          <tpl fld="7" item="429"/>
          <tpl fld="6" item="2"/>
          <tpl hier="236" item="0"/>
          <tpl fld="4" item="1"/>
        </tpls>
      </m>
      <n v="10" in="1">
        <tpls c="4">
          <tpl fld="7" item="677"/>
          <tpl fld="6" item="1"/>
          <tpl hier="236" item="0"/>
          <tpl fld="4" item="4"/>
        </tpls>
      </n>
      <n v="1" in="2">
        <tpls c="4">
          <tpl fld="7" item="598"/>
          <tpl fld="6" item="2"/>
          <tpl hier="236" item="0"/>
          <tpl fld="4" item="4"/>
        </tpls>
      </n>
      <m>
        <tpls c="4">
          <tpl fld="7" item="509"/>
          <tpl fld="6" item="1"/>
          <tpl hier="236" item="0"/>
          <tpl fld="4" item="6"/>
        </tpls>
      </m>
      <n v="1" in="3">
        <tpls c="3">
          <tpl fld="7" item="371"/>
          <tpl fld="6" item="3"/>
          <tpl hier="236" item="0"/>
        </tpls>
      </n>
      <n v="1" in="2">
        <tpls c="4">
          <tpl fld="7" item="445"/>
          <tpl fld="6" item="2"/>
          <tpl hier="236" item="0"/>
          <tpl fld="4" item="1"/>
        </tpls>
      </n>
      <n v="30" in="1">
        <tpls c="4">
          <tpl fld="7" item="681"/>
          <tpl fld="6" item="1"/>
          <tpl hier="236" item="0"/>
          <tpl fld="4" item="4"/>
        </tpls>
      </n>
      <m>
        <tpls c="4">
          <tpl fld="7" item="602"/>
          <tpl fld="6" item="2"/>
          <tpl hier="236" item="0"/>
          <tpl fld="4" item="4"/>
        </tpls>
      </m>
      <m>
        <tpls c="4">
          <tpl fld="7" item="525"/>
          <tpl fld="6" item="1"/>
          <tpl hier="236" item="0"/>
          <tpl fld="4" item="6"/>
        </tpls>
      </m>
      <m>
        <tpls c="4">
          <tpl fld="7" item="528"/>
          <tpl fld="6" item="2"/>
          <tpl hier="236" item="0"/>
          <tpl fld="4" item="1"/>
        </tpls>
      </m>
      <m>
        <tpls c="4">
          <tpl fld="7" item="388"/>
          <tpl fld="6" item="2"/>
          <tpl hier="236" item="0"/>
          <tpl fld="1" item="0"/>
        </tpls>
      </m>
      <m>
        <tpls c="4">
          <tpl fld="7" item="684"/>
          <tpl fld="6" item="1"/>
          <tpl hier="236" item="0"/>
          <tpl fld="4" item="1"/>
        </tpls>
      </m>
      <n v="1" in="1">
        <tpls c="4">
          <tpl fld="7" item="391"/>
          <tpl fld="6" item="1"/>
          <tpl hier="236" item="0"/>
          <tpl fld="1" item="0"/>
        </tpls>
      </n>
      <m>
        <tpls c="4">
          <tpl fld="7" item="605"/>
          <tpl fld="6" item="2"/>
          <tpl hier="236" item="0"/>
          <tpl fld="4" item="4"/>
        </tpls>
      </m>
      <m>
        <tpls c="3">
          <tpl fld="7" item="394"/>
          <tpl fld="6" item="3"/>
          <tpl hier="236" item="0"/>
        </tpls>
      </m>
      <m>
        <tpls c="4">
          <tpl fld="7" item="606"/>
          <tpl fld="6" item="1"/>
          <tpl hier="236" item="0"/>
          <tpl fld="4" item="4"/>
        </tpls>
      </m>
      <m>
        <tpls c="4">
          <tpl fld="7" item="538"/>
          <tpl fld="6" item="2"/>
          <tpl hier="236" item="0"/>
          <tpl fld="4" item="5"/>
        </tpls>
      </m>
      <n v="1" in="2">
        <tpls c="4">
          <tpl fld="7" item="608"/>
          <tpl fld="6" item="2"/>
          <tpl hier="236" item="0"/>
          <tpl fld="4" item="6"/>
        </tpls>
      </n>
      <n v="1" in="1">
        <tpls c="4">
          <tpl fld="7" item="541"/>
          <tpl fld="6" item="1"/>
          <tpl hier="236" item="0"/>
          <tpl fld="4" item="5"/>
        </tpls>
      </n>
      <n v="3" in="1">
        <tpls c="4">
          <tpl fld="7" item="690"/>
          <tpl fld="6" item="1"/>
          <tpl hier="236" item="0"/>
          <tpl fld="4" item="6"/>
        </tpls>
      </n>
      <n v="652" in="1">
        <tpls c="6">
          <tpl fld="11" item="0"/>
          <tpl fld="2" item="1"/>
          <tpl fld="6" item="1"/>
          <tpl hier="236" item="0"/>
          <tpl fld="4" item="6"/>
          <tpl fld="10" item="2"/>
        </tpls>
      </n>
      <m>
        <tpls c="4">
          <tpl fld="7" item="10"/>
          <tpl fld="6" item="1"/>
          <tpl hier="236" item="0"/>
          <tpl fld="4" item="4"/>
        </tpls>
      </m>
      <m>
        <tpls c="3">
          <tpl fld="7" item="252"/>
          <tpl fld="6" item="3"/>
          <tpl hier="236" item="0"/>
        </tpls>
      </m>
      <m>
        <tpls c="4">
          <tpl fld="7" item="154"/>
          <tpl fld="6" item="2"/>
          <tpl hier="236" item="0"/>
          <tpl fld="4" item="1"/>
        </tpls>
      </m>
      <m>
        <tpls c="4">
          <tpl fld="7" item="162"/>
          <tpl fld="6" item="2"/>
          <tpl hier="236" item="0"/>
          <tpl fld="4" item="1"/>
        </tpls>
      </m>
      <m>
        <tpls c="4">
          <tpl fld="7" item="176"/>
          <tpl fld="6" item="1"/>
          <tpl hier="236" item="0"/>
          <tpl fld="4" item="4"/>
        </tpls>
      </m>
      <m>
        <tpls c="4">
          <tpl fld="7" item="81"/>
          <tpl fld="6" item="2"/>
          <tpl hier="236" item="0"/>
          <tpl fld="4" item="1"/>
        </tpls>
      </m>
      <m>
        <tpls c="4">
          <tpl fld="7" item="348"/>
          <tpl fld="6" item="2"/>
          <tpl hier="236" item="0"/>
          <tpl fld="4" item="1"/>
        </tpls>
      </m>
      <m>
        <tpls c="4">
          <tpl fld="7" item="209"/>
          <tpl fld="6" item="1"/>
          <tpl hier="236" item="0"/>
          <tpl fld="4" item="6"/>
        </tpls>
      </m>
      <m>
        <tpls c="4">
          <tpl fld="7" item="213"/>
          <tpl fld="6" item="1"/>
          <tpl hier="236" item="0"/>
          <tpl fld="4" item="6"/>
        </tpls>
      </m>
      <m>
        <tpls c="4">
          <tpl fld="7" item="352"/>
          <tpl fld="6" item="1"/>
          <tpl hier="236" item="0"/>
          <tpl fld="4" item="6"/>
        </tpls>
      </m>
      <m>
        <tpls c="3">
          <tpl fld="7" item="426"/>
          <tpl fld="6" item="3"/>
          <tpl hier="236" item="0"/>
        </tpls>
      </m>
      <n v="7" in="2">
        <tpls c="4">
          <tpl fld="7" item="758"/>
          <tpl fld="6" item="2"/>
          <tpl hier="236" item="0"/>
          <tpl fld="4" item="1"/>
        </tpls>
      </n>
      <n v="5" in="1">
        <tpls c="4">
          <tpl fld="7" item="503"/>
          <tpl fld="6" item="1"/>
          <tpl hier="236" item="0"/>
          <tpl fld="4" item="4"/>
        </tpls>
      </n>
      <n v="2" in="2">
        <tpls c="4">
          <tpl fld="7" item="506"/>
          <tpl fld="6" item="2"/>
          <tpl hier="236" item="0"/>
          <tpl fld="4" item="4"/>
        </tpls>
      </n>
      <m>
        <tpls c="4">
          <tpl fld="7" item="368"/>
          <tpl fld="6" item="1"/>
          <tpl hier="236" item="0"/>
          <tpl fld="4" item="6"/>
        </tpls>
      </m>
      <n v="1" in="3">
        <tpls c="3">
          <tpl fld="7" item="442"/>
          <tpl fld="6" item="3"/>
          <tpl hier="236" item="0"/>
        </tpls>
      </n>
      <m>
        <tpls c="4">
          <tpl fld="7" item="762"/>
          <tpl fld="6" item="2"/>
          <tpl hier="236" item="0"/>
          <tpl fld="4" item="1"/>
        </tpls>
      </m>
      <n v="20" in="1">
        <tpls c="4">
          <tpl fld="7" item="519"/>
          <tpl fld="6" item="1"/>
          <tpl hier="236" item="0"/>
          <tpl fld="4" item="4"/>
        </tpls>
      </n>
      <m>
        <tpls c="4">
          <tpl fld="7" item="522"/>
          <tpl fld="6" item="2"/>
          <tpl hier="236" item="0"/>
          <tpl fld="4" item="4"/>
        </tpls>
      </m>
      <m>
        <tpls c="4">
          <tpl fld="7" item="384"/>
          <tpl fld="6" item="1"/>
          <tpl hier="236" item="0"/>
          <tpl fld="4" item="6"/>
        </tpls>
      </m>
      <m>
        <tpls c="4">
          <tpl fld="7" item="528"/>
          <tpl fld="6" item="1"/>
          <tpl hier="236" item="0"/>
          <tpl fld="1" item="0"/>
        </tpls>
      </m>
      <m>
        <tpls c="4">
          <tpl fld="7" item="459"/>
          <tpl fld="6" item="2"/>
          <tpl hier="236" item="0"/>
          <tpl fld="4" item="4"/>
        </tpls>
      </m>
      <m>
        <tpls c="3">
          <tpl fld="7" item="531"/>
          <tpl fld="6" item="3"/>
          <tpl hier="236" item="0"/>
        </tpls>
      </m>
      <n v="1" in="1">
        <tpls c="4">
          <tpl fld="7" item="462"/>
          <tpl fld="6" item="1"/>
          <tpl hier="236" item="0"/>
          <tpl fld="4" item="4"/>
        </tpls>
      </n>
      <m>
        <tpls c="4">
          <tpl fld="7" item="605"/>
          <tpl fld="6" item="2"/>
          <tpl hier="236" item="0"/>
          <tpl fld="4" item="5"/>
        </tpls>
      </m>
      <m>
        <tpls c="4">
          <tpl fld="7" item="394"/>
          <tpl fld="6" item="2"/>
          <tpl hier="236" item="0"/>
          <tpl fld="4" item="6"/>
        </tpls>
      </m>
      <m>
        <tpls c="6">
          <tpl fld="11" item="0"/>
          <tpl fld="2" item="0"/>
          <tpl fld="6" item="1"/>
          <tpl hier="236" item="0"/>
          <tpl fld="4" item="7"/>
          <tpl fld="10" item="6"/>
        </tpls>
      </m>
      <n v="247" in="1">
        <tpls c="6">
          <tpl fld="3" item="4"/>
          <tpl fld="11" item="0"/>
          <tpl fld="6" item="1"/>
          <tpl hier="236" item="0"/>
          <tpl fld="4" item="1"/>
          <tpl fld="9" item="3"/>
        </tpls>
      </n>
      <m>
        <tpls c="4">
          <tpl fld="7" item="7"/>
          <tpl fld="6" item="1"/>
          <tpl hier="236" item="0"/>
          <tpl fld="1" item="0"/>
        </tpls>
      </m>
      <n v="41" in="1">
        <tpls c="6">
          <tpl fld="3" item="2"/>
          <tpl fld="11" item="0"/>
          <tpl fld="6" item="1"/>
          <tpl hier="236" item="0"/>
          <tpl fld="4" item="1"/>
          <tpl fld="9" item="3"/>
        </tpls>
      </n>
      <m>
        <tpls c="4">
          <tpl fld="7" item="1"/>
          <tpl fld="6" item="2"/>
          <tpl hier="236" item="0"/>
          <tpl fld="4" item="1"/>
        </tpls>
      </m>
      <n v="866" in="1">
        <tpls c="6">
          <tpl fld="11" item="0"/>
          <tpl fld="5" item="5"/>
          <tpl fld="6" item="1"/>
          <tpl hier="236" item="0"/>
          <tpl fld="4" item="6"/>
          <tpl fld="10" item="7"/>
        </tpls>
      </n>
      <m>
        <tpls c="4">
          <tpl fld="7" item="134"/>
          <tpl fld="6" item="1"/>
          <tpl hier="236" item="0"/>
          <tpl fld="4" item="4"/>
        </tpls>
      </m>
      <m>
        <tpls c="4">
          <tpl fld="7" item="147"/>
          <tpl fld="6" item="2"/>
          <tpl hier="236" item="0"/>
          <tpl fld="4" item="1"/>
        </tpls>
      </m>
      <m>
        <tpls c="4">
          <tpl fld="7" item="156"/>
          <tpl fld="6" item="1"/>
          <tpl hier="236" item="0"/>
          <tpl fld="1" item="0"/>
        </tpls>
      </m>
      <m>
        <tpls c="4">
          <tpl fld="7" item="164"/>
          <tpl fld="6" item="1"/>
          <tpl hier="236" item="0"/>
          <tpl fld="1" item="0"/>
        </tpls>
      </m>
      <m>
        <tpls c="4">
          <tpl fld="7" item="754"/>
          <tpl fld="6" item="2"/>
          <tpl hier="236" item="0"/>
          <tpl fld="4" item="4"/>
        </tpls>
      </m>
      <m>
        <tpls c="4">
          <tpl fld="7" item="192"/>
          <tpl fld="6" item="2"/>
          <tpl hier="236" item="0"/>
          <tpl fld="4" item="5"/>
        </tpls>
      </m>
      <m>
        <tpls c="4">
          <tpl fld="7" item="97"/>
          <tpl fld="6" item="1"/>
          <tpl hier="236" item="0"/>
          <tpl fld="4" item="4"/>
        </tpls>
      </m>
      <m>
        <tpls c="4">
          <tpl fld="7" item="396"/>
          <tpl fld="6" item="1"/>
          <tpl hier="236" item="0"/>
          <tpl fld="4" item="5"/>
        </tpls>
      </m>
      <m>
        <tpls c="4">
          <tpl fld="7" item="32"/>
          <tpl fld="6" item="1"/>
          <tpl hier="236" item="0"/>
          <tpl fld="4" item="6"/>
        </tpls>
      </m>
      <m>
        <tpls c="4">
          <tpl fld="7" item="260"/>
          <tpl fld="6" item="2"/>
          <tpl hier="236" item="0"/>
          <tpl fld="4" item="6"/>
        </tpls>
      </m>
      <m>
        <tpls c="4">
          <tpl fld="7" item="591"/>
          <tpl fld="6" item="2"/>
          <tpl hier="236" item="0"/>
          <tpl fld="4" item="6"/>
        </tpls>
      </m>
      <m>
        <tpls c="4">
          <tpl fld="7" item="158"/>
          <tpl fld="6" item="2"/>
          <tpl hier="236" item="0"/>
          <tpl fld="4" item="6"/>
        </tpls>
      </m>
      <m>
        <tpls c="4">
          <tpl fld="7" item="53"/>
          <tpl fld="6" item="1"/>
          <tpl hier="236" item="0"/>
          <tpl fld="4" item="6"/>
        </tpls>
      </m>
      <m>
        <tpls c="4">
          <tpl fld="7" item="753"/>
          <tpl fld="6" item="2"/>
          <tpl hier="236" item="0"/>
          <tpl fld="4" item="6"/>
        </tpls>
      </m>
      <m>
        <tpls c="4">
          <tpl fld="7" item="276"/>
          <tpl fld="6" item="1"/>
          <tpl hier="236" item="0"/>
          <tpl fld="4" item="4"/>
        </tpls>
      </m>
      <m>
        <tpls c="3">
          <tpl fld="7" item="174"/>
          <tpl fld="6" item="3"/>
          <tpl hier="236" item="0"/>
        </tpls>
      </m>
      <m>
        <tpls c="4">
          <tpl fld="7" item="413"/>
          <tpl fld="6" item="2"/>
          <tpl hier="236" item="0"/>
          <tpl fld="4" item="1"/>
        </tpls>
      </m>
      <m>
        <tpls c="4">
          <tpl fld="7" item="291"/>
          <tpl fld="6" item="2"/>
          <tpl hier="236" item="0"/>
          <tpl fld="4" item="4"/>
        </tpls>
      </m>
      <m>
        <tpls c="4">
          <tpl fld="7" item="79"/>
          <tpl fld="6" item="1"/>
          <tpl hier="236" item="0"/>
          <tpl fld="4" item="6"/>
        </tpls>
      </m>
      <m>
        <tpls c="3">
          <tpl fld="7" item="191"/>
          <tpl fld="6" item="3"/>
          <tpl hier="236" item="0"/>
        </tpls>
      </m>
      <m>
        <tpls c="4">
          <tpl fld="7" item="87"/>
          <tpl fld="6" item="2"/>
          <tpl hier="236" item="0"/>
          <tpl fld="4" item="1"/>
        </tpls>
      </m>
      <m>
        <tpls c="4">
          <tpl fld="7" item="198"/>
          <tpl fld="6" item="1"/>
          <tpl hier="236" item="0"/>
          <tpl fld="4" item="4"/>
        </tpls>
      </m>
      <m>
        <tpls c="4">
          <tpl fld="7" item="201"/>
          <tpl fld="6" item="2"/>
          <tpl hier="236" item="0"/>
          <tpl fld="4" item="4"/>
        </tpls>
      </m>
      <m>
        <tpls c="4">
          <tpl fld="7" item="490"/>
          <tpl fld="6" item="1"/>
          <tpl hier="236" item="0"/>
          <tpl fld="4" item="6"/>
        </tpls>
      </m>
      <m>
        <tpls c="6">
          <tpl fld="11" item="0"/>
          <tpl fld="5" item="0"/>
          <tpl fld="6" item="2"/>
          <tpl hier="236" item="0"/>
          <tpl fld="4" item="3"/>
          <tpl fld="10" item="5"/>
        </tpls>
      </m>
      <n v="265" in="1">
        <tpls c="6">
          <tpl fld="3" item="0"/>
          <tpl fld="11" item="0"/>
          <tpl fld="6" item="1"/>
          <tpl hier="236" item="0"/>
          <tpl fld="4" item="7"/>
          <tpl fld="10" item="7"/>
        </tpls>
      </n>
      <n v="59.081081081081081" in="2">
        <tpls c="6">
          <tpl fld="11" item="0"/>
          <tpl fld="6" item="2"/>
          <tpl fld="8" item="1"/>
          <tpl hier="236" item="0"/>
          <tpl fld="4" item="3"/>
          <tpl fld="10" item="8"/>
        </tpls>
      </n>
      <m>
        <tpls c="4">
          <tpl fld="7" item="110"/>
          <tpl fld="6" item="2"/>
          <tpl hier="236" item="0"/>
          <tpl fld="4" item="1"/>
        </tpls>
      </m>
      <m>
        <tpls c="4">
          <tpl fld="7" item="468"/>
          <tpl fld="6" item="2"/>
          <tpl hier="236" item="0"/>
          <tpl fld="4" item="6"/>
        </tpls>
      </m>
      <m>
        <tpls c="4">
          <tpl fld="7" item="22"/>
          <tpl fld="6" item="1"/>
          <tpl hier="236" item="0"/>
          <tpl fld="4" item="4"/>
        </tpls>
      </m>
      <m>
        <tpls c="4">
          <tpl fld="7" item="245"/>
          <tpl fld="6" item="2"/>
          <tpl hier="236" item="0"/>
          <tpl fld="4" item="1"/>
        </tpls>
      </m>
      <m>
        <tpls c="4">
          <tpl fld="7" item="32"/>
          <tpl fld="6" item="1"/>
          <tpl hier="236" item="0"/>
          <tpl fld="4" item="4"/>
        </tpls>
      </m>
      <m>
        <tpls c="4">
          <tpl fld="7" item="35"/>
          <tpl fld="6" item="2"/>
          <tpl hier="236" item="0"/>
          <tpl fld="4" item="4"/>
        </tpls>
      </m>
      <m>
        <tpls c="4">
          <tpl fld="7" item="146"/>
          <tpl fld="6" item="1"/>
          <tpl hier="236" item="0"/>
          <tpl fld="4" item="6"/>
        </tpls>
      </m>
      <m>
        <tpls c="3">
          <tpl fld="7" item="335"/>
          <tpl fld="6" item="3"/>
          <tpl hier="236" item="0"/>
        </tpls>
      </m>
      <m>
        <tpls c="4">
          <tpl fld="7" item="260"/>
          <tpl fld="6" item="2"/>
          <tpl hier="236" item="0"/>
          <tpl fld="4" item="4"/>
        </tpls>
      </m>
      <m>
        <tpls c="4">
          <tpl fld="7" item="262"/>
          <tpl fld="6" item="2"/>
          <tpl hier="236" item="0"/>
          <tpl fld="4" item="4"/>
        </tpls>
      </m>
      <m>
        <tpls c="4">
          <tpl fld="7" item="264"/>
          <tpl fld="6" item="2"/>
          <tpl hier="236" item="0"/>
          <tpl fld="4" item="4"/>
        </tpls>
      </m>
      <m>
        <tpls c="4">
          <tpl fld="7" item="266"/>
          <tpl fld="6" item="2"/>
          <tpl hier="236" item="0"/>
          <tpl fld="4" item="4"/>
        </tpls>
      </m>
      <m>
        <tpls c="4">
          <tpl fld="7" item="268"/>
          <tpl fld="6" item="2"/>
          <tpl hier="236" item="0"/>
          <tpl fld="4" item="4"/>
        </tpls>
      </m>
      <m>
        <tpls c="4">
          <tpl fld="7" item="270"/>
          <tpl fld="6" item="2"/>
          <tpl hier="236" item="0"/>
          <tpl fld="4" item="4"/>
        </tpls>
      </m>
      <m>
        <tpls c="4">
          <tpl fld="7" item="272"/>
          <tpl fld="6" item="2"/>
          <tpl hier="236" item="0"/>
          <tpl fld="4" item="4"/>
        </tpls>
      </m>
      <m>
        <tpls c="4">
          <tpl fld="7" item="274"/>
          <tpl fld="6" item="1"/>
          <tpl hier="236" item="0"/>
          <tpl fld="1" item="0"/>
        </tpls>
      </m>
      <m>
        <tpls c="4">
          <tpl fld="7" item="172"/>
          <tpl fld="6" item="1"/>
          <tpl hier="236" item="0"/>
          <tpl fld="4" item="6"/>
        </tpls>
      </m>
      <m>
        <tpls c="3">
          <tpl fld="7" item="672"/>
          <tpl fld="6" item="3"/>
          <tpl hier="236" item="0"/>
        </tpls>
      </m>
      <m>
        <tpls c="4">
          <tpl fld="7" item="287"/>
          <tpl fld="6" item="2"/>
          <tpl hier="236" item="0"/>
          <tpl fld="4" item="1"/>
        </tpls>
      </m>
      <m>
        <tpls c="4">
          <tpl fld="7" item="74"/>
          <tpl fld="6" item="1"/>
          <tpl hier="236" item="0"/>
          <tpl fld="4" item="4"/>
        </tpls>
      </m>
      <m>
        <tpls c="4">
          <tpl fld="7" item="77"/>
          <tpl fld="6" item="2"/>
          <tpl hier="236" item="0"/>
          <tpl fld="4" item="4"/>
        </tpls>
      </m>
      <m>
        <tpls c="4">
          <tpl fld="7" item="188"/>
          <tpl fld="6" item="1"/>
          <tpl hier="236" item="0"/>
          <tpl fld="4" item="6"/>
        </tpls>
      </m>
      <m>
        <tpls c="3">
          <tpl fld="7" item="673"/>
          <tpl fld="6" item="3"/>
          <tpl hier="236" item="0"/>
        </tpls>
      </m>
      <m>
        <tpls c="4">
          <tpl fld="7" item="417"/>
          <tpl fld="6" item="1"/>
          <tpl hier="236" item="0"/>
          <tpl fld="4" item="4"/>
        </tpls>
      </m>
      <m>
        <tpls c="4">
          <tpl fld="7" item="347"/>
          <tpl fld="6" item="2"/>
          <tpl hier="236" item="0"/>
          <tpl fld="4" item="4"/>
        </tpls>
      </m>
      <m>
        <tpls c="4">
          <tpl fld="7" item="309"/>
          <tpl fld="6" item="1"/>
          <tpl hier="236" item="0"/>
          <tpl fld="4" item="6"/>
        </tpls>
      </m>
      <m>
        <tpls c="3">
          <tpl fld="7" item="96"/>
          <tpl fld="6" item="3"/>
          <tpl hier="236" item="0"/>
        </tpls>
      </m>
      <m>
        <tpls c="4">
          <tpl fld="7" item="207"/>
          <tpl fld="6" item="2"/>
          <tpl hier="236" item="0"/>
          <tpl fld="4" item="1"/>
        </tpls>
      </m>
      <m>
        <tpls c="4">
          <tpl fld="7" item="421"/>
          <tpl fld="6" item="1"/>
          <tpl hier="236" item="0"/>
          <tpl fld="4" item="4"/>
        </tpls>
      </m>
      <n v="20.045270270270272" in="2">
        <tpls c="6">
          <tpl fld="3" item="2"/>
          <tpl fld="11" item="0"/>
          <tpl fld="6" item="2"/>
          <tpl hier="236" item="0"/>
          <tpl fld="4" item="4"/>
          <tpl fld="10" item="8"/>
        </tpls>
      </n>
      <m>
        <tpls c="4">
          <tpl fld="7" item="132"/>
          <tpl fld="6" item="1"/>
          <tpl hier="236" item="0"/>
          <tpl fld="4" item="4"/>
        </tpls>
      </m>
      <m>
        <tpls c="3">
          <tpl fld="7" item="255"/>
          <tpl fld="6" item="3"/>
          <tpl hier="236" item="0"/>
        </tpls>
      </m>
      <m>
        <tpls c="4">
          <tpl fld="7" item="48"/>
          <tpl fld="6" item="1"/>
          <tpl hier="236" item="0"/>
          <tpl fld="4" item="5"/>
        </tpls>
      </m>
      <m>
        <tpls c="4">
          <tpl fld="7" item="56"/>
          <tpl fld="6" item="1"/>
          <tpl hier="236" item="0"/>
          <tpl fld="4" item="5"/>
        </tpls>
      </m>
      <n v="0" in="1">
        <tpls c="4">
          <tpl fld="7" item="179"/>
          <tpl fld="6" item="1"/>
          <tpl hier="236" item="0"/>
          <tpl fld="4" item="4"/>
        </tpls>
      </n>
      <m>
        <tpls c="4">
          <tpl fld="7" item="84"/>
          <tpl fld="6" item="2"/>
          <tpl hier="236" item="0"/>
          <tpl fld="4" item="1"/>
        </tpls>
      </m>
      <m>
        <tpls c="4">
          <tpl fld="7" item="490"/>
          <tpl fld="6" item="2"/>
          <tpl hier="236" item="0"/>
          <tpl fld="4" item="1"/>
        </tpls>
      </m>
      <m>
        <tpls c="4">
          <tpl fld="7" item="210"/>
          <tpl fld="6" item="1"/>
          <tpl hier="236" item="0"/>
          <tpl fld="4" item="6"/>
        </tpls>
      </m>
      <m>
        <tpls c="4">
          <tpl fld="7" item="322"/>
          <tpl fld="6" item="2"/>
          <tpl hier="236" item="0"/>
          <tpl fld="4" item="4"/>
        </tpls>
      </m>
      <m>
        <tpls c="4">
          <tpl fld="7" item="494"/>
          <tpl fld="6" item="1"/>
          <tpl hier="236" item="0"/>
          <tpl fld="4" item="6"/>
        </tpls>
      </m>
      <m>
        <tpls c="3">
          <tpl fld="7" item="356"/>
          <tpl fld="6" item="3"/>
          <tpl hier="236" item="0"/>
        </tpls>
      </m>
      <n v="1" in="2">
        <tpls c="4">
          <tpl fld="7" item="430"/>
          <tpl fld="6" item="2"/>
          <tpl hier="236" item="0"/>
          <tpl fld="4" item="1"/>
        </tpls>
      </n>
      <n v="1" in="1">
        <tpls c="4">
          <tpl fld="7" item="759"/>
          <tpl fld="6" item="1"/>
          <tpl hier="236" item="0"/>
          <tpl fld="4" item="4"/>
        </tpls>
      </n>
      <n v="1" in="2">
        <tpls c="4">
          <tpl fld="7" item="678"/>
          <tpl fld="6" item="2"/>
          <tpl hier="236" item="0"/>
          <tpl fld="4" item="4"/>
        </tpls>
      </n>
      <n v="1" in="1">
        <tpls c="4">
          <tpl fld="7" item="510"/>
          <tpl fld="6" item="1"/>
          <tpl hier="236" item="0"/>
          <tpl fld="4" item="6"/>
        </tpls>
      </n>
      <n v="1" in="3">
        <tpls c="3">
          <tpl fld="7" item="372"/>
          <tpl fld="6" item="3"/>
          <tpl hier="236" item="0"/>
        </tpls>
      </n>
      <n v="8.85945945945946" in="2">
        <tpls c="4">
          <tpl fld="7" item="446"/>
          <tpl fld="6" item="2"/>
          <tpl hier="236" item="0"/>
          <tpl fld="4" item="1"/>
        </tpls>
      </n>
      <n v="13" in="1">
        <tpls c="4">
          <tpl fld="7" item="763"/>
          <tpl fld="6" item="1"/>
          <tpl hier="236" item="0"/>
          <tpl fld="4" item="4"/>
        </tpls>
      </n>
      <m>
        <tpls c="4">
          <tpl fld="7" item="682"/>
          <tpl fld="6" item="2"/>
          <tpl hier="236" item="0"/>
          <tpl fld="4" item="4"/>
        </tpls>
      </m>
      <n v="0" in="1">
        <tpls c="4">
          <tpl fld="7" item="526"/>
          <tpl fld="6" item="1"/>
          <tpl hier="236" item="0"/>
          <tpl fld="4" item="6"/>
        </tpls>
      </n>
      <m>
        <tpls c="4">
          <tpl fld="7" item="387"/>
          <tpl fld="6" item="2"/>
          <tpl hier="236" item="0"/>
          <tpl fld="1" item="0"/>
        </tpls>
      </m>
      <m>
        <tpls c="4">
          <tpl fld="7" item="604"/>
          <tpl fld="6" item="1"/>
          <tpl hier="236" item="0"/>
          <tpl fld="4" item="1"/>
        </tpls>
      </m>
      <n v="3" in="1">
        <tpls c="4">
          <tpl fld="7" item="390"/>
          <tpl fld="6" item="1"/>
          <tpl hier="236" item="0"/>
          <tpl fld="1" item="0"/>
        </tpls>
      </n>
      <m>
        <tpls c="4">
          <tpl fld="7" item="983"/>
          <tpl fld="6" item="2"/>
          <tpl hier="236" item="0"/>
          <tpl fld="4" item="4"/>
        </tpls>
      </m>
      <m>
        <tpls c="3">
          <tpl fld="7" item="393"/>
          <tpl fld="6" item="3"/>
          <tpl hier="236" item="0"/>
        </tpls>
      </m>
      <n v="6" in="1">
        <tpls c="4">
          <tpl fld="7" item="767"/>
          <tpl fld="6" item="1"/>
          <tpl hier="236" item="0"/>
          <tpl fld="4" item="4"/>
        </tpls>
      </n>
      <m>
        <tpls c="4">
          <tpl fld="7" item="537"/>
          <tpl fld="6" item="2"/>
          <tpl hier="236" item="0"/>
          <tpl fld="4" item="5"/>
        </tpls>
      </m>
      <m>
        <tpls c="4">
          <tpl fld="7" item="687"/>
          <tpl fld="6" item="2"/>
          <tpl hier="236" item="0"/>
          <tpl fld="4" item="6"/>
        </tpls>
      </m>
      <n v="1" in="1">
        <tpls c="4">
          <tpl fld="7" item="540"/>
          <tpl fld="6" item="1"/>
          <tpl hier="236" item="0"/>
          <tpl fld="4" item="5"/>
        </tpls>
      </n>
      <m>
        <tpls c="4">
          <tpl fld="7" item="771"/>
          <tpl fld="6" item="1"/>
          <tpl hier="236" item="0"/>
          <tpl fld="4" item="6"/>
        </tpls>
      </m>
      <n v="0.15" in="2">
        <tpls c="4">
          <tpl fld="7" item="543"/>
          <tpl fld="6" item="2"/>
          <tpl hier="236" item="0"/>
          <tpl fld="4" item="1"/>
        </tpls>
      </n>
      <n v="25.368918918918922" in="2">
        <tpls c="6">
          <tpl fld="11" item="0"/>
          <tpl fld="6" item="2"/>
          <tpl fld="8" item="1"/>
          <tpl hier="236" item="0"/>
          <tpl fld="4" item="1"/>
          <tpl fld="9" item="2"/>
        </tpls>
      </n>
      <m>
        <tpls c="4">
          <tpl fld="7" item="27"/>
          <tpl fld="6" item="2"/>
          <tpl hier="236" item="0"/>
          <tpl fld="4" item="1"/>
        </tpls>
      </m>
      <m>
        <tpls c="3">
          <tpl fld="7" item="256"/>
          <tpl fld="6" item="3"/>
          <tpl hier="236" item="0"/>
        </tpls>
      </m>
      <m>
        <tpls c="4">
          <tpl fld="7" item="265"/>
          <tpl fld="6" item="2"/>
          <tpl hier="236" item="0"/>
          <tpl fld="4" item="1"/>
        </tpls>
      </m>
      <m>
        <tpls c="4">
          <tpl fld="7" item="273"/>
          <tpl fld="6" item="2"/>
          <tpl hier="236" item="0"/>
          <tpl fld="4" item="1"/>
        </tpls>
      </m>
      <m>
        <tpls c="4">
          <tpl fld="7" item="180"/>
          <tpl fld="6" item="1"/>
          <tpl hier="236" item="0"/>
          <tpl fld="4" item="4"/>
        </tpls>
      </m>
      <m>
        <tpls c="4">
          <tpl fld="7" item="301"/>
          <tpl fld="6" item="1"/>
          <tpl hier="236" item="0"/>
          <tpl fld="4" item="4"/>
        </tpls>
      </m>
      <m>
        <tpls c="4">
          <tpl fld="7" item="349"/>
          <tpl fld="6" item="2"/>
          <tpl hier="236" item="0"/>
          <tpl fld="4" item="1"/>
        </tpls>
      </m>
      <m>
        <tpls c="4">
          <tpl fld="7" item="319"/>
          <tpl fld="6" item="1"/>
          <tpl hier="236" item="0"/>
          <tpl fld="4" item="4"/>
        </tpls>
      </m>
      <m>
        <tpls c="4">
          <tpl fld="7" item="106"/>
          <tpl fld="6" item="2"/>
          <tpl hier="236" item="0"/>
          <tpl fld="4" item="4"/>
        </tpls>
      </m>
      <m>
        <tpls c="4">
          <tpl fld="7" item="353"/>
          <tpl fld="6" item="1"/>
          <tpl hier="236" item="0"/>
          <tpl fld="4" item="6"/>
        </tpls>
      </m>
      <m>
        <tpls c="3">
          <tpl fld="7" item="427"/>
          <tpl fld="6" item="3"/>
          <tpl hier="236" item="0"/>
        </tpls>
      </m>
      <n v="3" in="2">
        <tpls c="4">
          <tpl fld="7" item="981"/>
          <tpl fld="6" item="2"/>
          <tpl hier="236" item="0"/>
          <tpl fld="4" item="1"/>
        </tpls>
      </n>
      <n v="13" in="1">
        <tpls c="4">
          <tpl fld="7" item="504"/>
          <tpl fld="6" item="1"/>
          <tpl hier="236" item="0"/>
          <tpl fld="4" item="4"/>
        </tpls>
      </n>
      <m>
        <tpls c="4">
          <tpl fld="7" item="507"/>
          <tpl fld="6" item="2"/>
          <tpl hier="236" item="0"/>
          <tpl fld="4" item="4"/>
        </tpls>
      </m>
      <n v="1" in="1">
        <tpls c="4">
          <tpl fld="7" item="369"/>
          <tpl fld="6" item="1"/>
          <tpl hier="236" item="0"/>
          <tpl fld="4" item="6"/>
        </tpls>
      </n>
      <n v="1" in="3">
        <tpls c="3">
          <tpl fld="7" item="443"/>
          <tpl fld="6" item="3"/>
          <tpl hier="236" item="0"/>
        </tpls>
      </n>
      <n v="4.5628378378378374" in="2">
        <tpls c="4">
          <tpl fld="7" item="982"/>
          <tpl fld="6" item="2"/>
          <tpl hier="236" item="0"/>
          <tpl fld="4" item="1"/>
        </tpls>
      </n>
      <n v="13" in="1">
        <tpls c="4">
          <tpl fld="7" item="520"/>
          <tpl fld="6" item="1"/>
          <tpl hier="236" item="0"/>
          <tpl fld="4" item="4"/>
        </tpls>
      </n>
      <m>
        <tpls c="4">
          <tpl fld="7" item="523"/>
          <tpl fld="6" item="2"/>
          <tpl hier="236" item="0"/>
          <tpl fld="4" item="4"/>
        </tpls>
      </m>
      <m>
        <tpls c="4">
          <tpl fld="7" item="385"/>
          <tpl fld="6" item="1"/>
          <tpl hier="236" item="0"/>
          <tpl fld="4" item="6"/>
        </tpls>
      </m>
      <n v="1" in="2">
        <tpls c="4">
          <tpl fld="7" item="458"/>
          <tpl fld="6" item="2"/>
          <tpl hier="236" item="0"/>
          <tpl fld="4" item="4"/>
        </tpls>
      </n>
      <m>
        <tpls c="3">
          <tpl fld="7" item="530"/>
          <tpl fld="6" item="3"/>
          <tpl hier="236" item="0"/>
        </tpls>
      </m>
      <m>
        <tpls c="4">
          <tpl fld="7" item="461"/>
          <tpl fld="6" item="1"/>
          <tpl hier="236" item="0"/>
          <tpl fld="4" item="4"/>
        </tpls>
      </m>
      <m>
        <tpls c="4">
          <tpl fld="7" item="983"/>
          <tpl fld="6" item="2"/>
          <tpl hier="236" item="0"/>
          <tpl fld="4" item="5"/>
        </tpls>
      </m>
      <m>
        <tpls c="4">
          <tpl fld="7" item="393"/>
          <tpl fld="6" item="2"/>
          <tpl hier="236" item="0"/>
          <tpl fld="4" item="6"/>
        </tpls>
      </m>
      <n v="1" in="1">
        <tpls c="4">
          <tpl fld="7" item="767"/>
          <tpl fld="6" item="1"/>
          <tpl hier="236" item="0"/>
          <tpl fld="4" item="5"/>
        </tpls>
      </n>
      <m>
        <tpls c="4">
          <tpl fld="7" item="686"/>
          <tpl fld="6" item="1"/>
          <tpl hier="236" item="0"/>
          <tpl fld="4" item="6"/>
        </tpls>
      </m>
      <m>
        <tpls c="4">
          <tpl fld="7" item="769"/>
          <tpl fld="6" item="2"/>
          <tpl hier="236" item="0"/>
          <tpl fld="4" item="1"/>
        </tpls>
      </m>
      <n v="11.899324324324324" in="2">
        <tpls c="6">
          <tpl fld="11" item="0"/>
          <tpl fld="5" item="0"/>
          <tpl fld="6" item="2"/>
          <tpl hier="236" item="0"/>
          <tpl fld="4" item="6"/>
          <tpl fld="10" item="7"/>
        </tpls>
      </n>
      <m>
        <tpls c="4">
          <tpl fld="7" item="225"/>
          <tpl fld="6" item="2"/>
          <tpl hier="236" item="0"/>
          <tpl fld="4" item="1"/>
        </tpls>
      </m>
      <m>
        <tpls c="4">
          <tpl fld="7" item="143"/>
          <tpl fld="6" item="1"/>
          <tpl hier="236" item="0"/>
          <tpl fld="4" item="4"/>
        </tpls>
      </m>
      <m>
        <tpls c="4">
          <tpl fld="7" item="262"/>
          <tpl fld="6" item="1"/>
          <tpl hier="236" item="0"/>
          <tpl fld="4" item="5"/>
        </tpls>
      </m>
      <m>
        <tpls c="3">
          <tpl fld="7" item="1068"/>
          <tpl fld="6" item="3"/>
          <tpl hier="236" item="0"/>
        </tpls>
      </m>
      <n v="103.96925675675675" in="2">
        <tpls c="5">
          <tpl fld="11" item="0"/>
          <tpl fld="6" item="2"/>
          <tpl hier="236" item="0"/>
          <tpl fld="4" item="6"/>
          <tpl fld="10" item="8"/>
        </tpls>
      </n>
      <m>
        <tpls c="4">
          <tpl fld="7" item="261"/>
          <tpl fld="6" item="1"/>
          <tpl hier="236" item="0"/>
          <tpl fld="1" item="0"/>
        </tpls>
      </m>
      <n v="0" in="1">
        <tpls c="4">
          <tpl fld="7" item="199"/>
          <tpl fld="6" item="1"/>
          <tpl hier="236" item="0"/>
          <tpl fld="4" item="6"/>
        </tpls>
      </n>
      <m>
        <tpls c="4">
          <tpl fld="7" item="407"/>
          <tpl fld="6" item="1"/>
          <tpl hier="236" item="0"/>
          <tpl fld="4" item="6"/>
        </tpls>
      </m>
      <m>
        <tpls c="4">
          <tpl fld="7" item="57"/>
          <tpl fld="6" item="2"/>
          <tpl hier="236" item="0"/>
          <tpl fld="4" item="6"/>
        </tpls>
      </m>
      <m>
        <tpls c="3">
          <tpl fld="7" item="185"/>
          <tpl fld="6" item="3"/>
          <tpl hier="236" item="0"/>
        </tpls>
      </m>
      <m>
        <tpls c="4">
          <tpl fld="7" item="92"/>
          <tpl fld="6" item="2"/>
          <tpl hier="236" item="0"/>
          <tpl fld="4" item="1"/>
        </tpls>
      </m>
      <n v="501" in="1">
        <tpls c="6">
          <tpl fld="11" item="0"/>
          <tpl fld="6" item="1"/>
          <tpl fld="8" item="1"/>
          <tpl hier="236" item="0"/>
          <tpl fld="4" item="4"/>
          <tpl fld="10" item="5"/>
        </tpls>
      </n>
      <m>
        <tpls c="4">
          <tpl fld="7" item="135"/>
          <tpl fld="6" item="1"/>
          <tpl hier="236" item="0"/>
          <tpl fld="4" item="6"/>
        </tpls>
      </m>
      <m>
        <tpls c="4">
          <tpl fld="7" item="40"/>
          <tpl fld="6" item="2"/>
          <tpl hier="236" item="0"/>
          <tpl fld="4" item="4"/>
        </tpls>
      </m>
      <m>
        <tpls c="4">
          <tpl fld="7" item="49"/>
          <tpl fld="6" item="1"/>
          <tpl hier="236" item="0"/>
          <tpl fld="4" item="4"/>
        </tpls>
      </m>
      <m>
        <tpls c="4">
          <tpl fld="7" item="57"/>
          <tpl fld="6" item="1"/>
          <tpl hier="236" item="0"/>
          <tpl fld="4" item="4"/>
        </tpls>
      </m>
      <m>
        <tpls c="3">
          <tpl fld="7" item="484"/>
          <tpl fld="6" item="3"/>
          <tpl hier="236" item="0"/>
        </tpls>
      </m>
      <m>
        <tpls c="3">
          <tpl fld="7" item="85"/>
          <tpl fld="6" item="3"/>
          <tpl hier="236" item="0"/>
        </tpls>
      </m>
      <m>
        <tpls c="4">
          <tpl fld="7" item="314"/>
          <tpl fld="6" item="1"/>
          <tpl hier="236" item="0"/>
          <tpl fld="4" item="6"/>
        </tpls>
      </m>
      <m>
        <tpls c="4">
          <tpl fld="7" item="141"/>
          <tpl fld="6" item="1"/>
          <tpl hier="236" item="0"/>
          <tpl fld="4" item="4"/>
        </tpls>
      </m>
      <m>
        <tpls c="4">
          <tpl fld="7" item="186"/>
          <tpl fld="6" item="2"/>
          <tpl hier="236" item="0"/>
          <tpl fld="4" item="4"/>
        </tpls>
      </m>
      <m>
        <tpls c="4">
          <tpl fld="7" item="324"/>
          <tpl fld="6" item="1"/>
          <tpl hier="236" item="0"/>
          <tpl fld="4" item="4"/>
        </tpls>
      </m>
      <m>
        <tpls c="4">
          <tpl fld="7" item="435"/>
          <tpl fld="6" item="2"/>
          <tpl hier="236" item="0"/>
          <tpl fld="4" item="1"/>
        </tpls>
      </m>
      <n v="1" in="3">
        <tpls c="3">
          <tpl fld="7" item="377"/>
          <tpl fld="6" item="3"/>
          <tpl hier="236" item="0"/>
        </tpls>
      </n>
      <m>
        <tpls c="3">
          <tpl fld="7" item="388"/>
          <tpl fld="6" item="3"/>
          <tpl hier="236" item="0"/>
        </tpls>
      </m>
      <m>
        <tpls c="4">
          <tpl fld="7" item="535"/>
          <tpl fld="6" item="1"/>
          <tpl hier="236" item="0"/>
          <tpl fld="4" item="5"/>
        </tpls>
      </m>
      <n v="14" in="1">
        <tpls c="4">
          <tpl fld="7" item="609"/>
          <tpl fld="6" item="1"/>
          <tpl hier="236" item="0"/>
          <tpl fld="4" item="1"/>
        </tpls>
      </n>
      <m>
        <tpls c="4">
          <tpl fld="7" item="142"/>
          <tpl fld="6" item="1"/>
          <tpl hier="236" item="0"/>
          <tpl fld="4" item="4"/>
        </tpls>
      </m>
      <m>
        <tpls c="4">
          <tpl fld="7" item="187"/>
          <tpl fld="6" item="2"/>
          <tpl hier="236" item="0"/>
          <tpl fld="4" item="4"/>
        </tpls>
      </m>
      <n v="1" in="1">
        <tpls c="4">
          <tpl fld="7" item="493"/>
          <tpl fld="6" item="1"/>
          <tpl hier="236" item="0"/>
          <tpl fld="4" item="4"/>
        </tpls>
      </n>
      <n v="0.3" in="2">
        <tpls c="4">
          <tpl fld="7" item="598"/>
          <tpl fld="6" item="2"/>
          <tpl hier="236" item="0"/>
          <tpl fld="4" item="1"/>
        </tpls>
      </n>
      <n v="1" in="3">
        <tpls c="3">
          <tpl fld="7" item="448"/>
          <tpl fld="6" item="3"/>
          <tpl hier="236" item="0"/>
        </tpls>
      </n>
      <m>
        <tpls c="4">
          <tpl fld="7" item="388"/>
          <tpl fld="6" item="2"/>
          <tpl hier="236" item="0"/>
          <tpl fld="4" item="6"/>
        </tpls>
      </m>
      <m>
        <tpls c="4">
          <tpl fld="7" item="535"/>
          <tpl fld="6" item="2"/>
          <tpl hier="236" item="0"/>
          <tpl fld="1" item="0"/>
        </tpls>
      </m>
      <m>
        <tpls c="4">
          <tpl fld="7" item="537"/>
          <tpl fld="6" item="2"/>
          <tpl hier="236" item="0"/>
          <tpl fld="1" item="0"/>
        </tpls>
      </m>
      <n v="7.6567567567567574" in="2">
        <tpls c="4">
          <tpl fld="7" item="539"/>
          <tpl fld="6" item="2"/>
          <tpl hier="236" item="0"/>
          <tpl fld="1" item="0"/>
        </tpls>
      </n>
      <n v="6.852702702702703" in="2">
        <tpls c="6">
          <tpl fld="11" item="0"/>
          <tpl fld="6" item="2"/>
          <tpl fld="8" item="0"/>
          <tpl hier="236" item="0"/>
          <tpl fld="4" item="6"/>
          <tpl fld="10" item="3"/>
        </tpls>
      </n>
      <m>
        <tpls c="4">
          <tpl fld="7" item="142"/>
          <tpl fld="6" item="2"/>
          <tpl hier="236" item="0"/>
          <tpl fld="4" item="4"/>
        </tpls>
      </m>
      <m>
        <tpls c="4">
          <tpl fld="7" item="156"/>
          <tpl fld="6" item="1"/>
          <tpl hier="236" item="0"/>
          <tpl fld="4" item="5"/>
        </tpls>
      </m>
      <m>
        <tpls c="4">
          <tpl fld="7" item="165"/>
          <tpl fld="6" item="1"/>
          <tpl hier="236" item="0"/>
          <tpl fld="4" item="5"/>
        </tpls>
      </m>
      <m>
        <tpls c="4">
          <tpl fld="7" item="181"/>
          <tpl fld="6" item="1"/>
          <tpl hier="236" item="0"/>
          <tpl fld="4" item="4"/>
        </tpls>
      </m>
      <m>
        <tpls c="4">
          <tpl fld="7" item="302"/>
          <tpl fld="6" item="1"/>
          <tpl hier="236" item="0"/>
          <tpl fld="4" item="4"/>
        </tpls>
      </m>
      <m>
        <tpls c="4">
          <tpl fld="7" item="420"/>
          <tpl fld="6" item="2"/>
          <tpl hier="236" item="0"/>
          <tpl fld="4" item="1"/>
        </tpls>
      </m>
      <m>
        <tpls c="4">
          <tpl fld="7" item="103"/>
          <tpl fld="6" item="2"/>
          <tpl hier="236" item="0"/>
          <tpl fld="4" item="1"/>
        </tpls>
      </m>
      <m>
        <tpls c="4">
          <tpl fld="7" item="214"/>
          <tpl fld="6" item="2"/>
          <tpl hier="236" item="0"/>
          <tpl fld="4" item="4"/>
        </tpls>
      </m>
      <m>
        <tpls c="4">
          <tpl fld="7" item="424"/>
          <tpl fld="6" item="1"/>
          <tpl hier="236" item="0"/>
          <tpl fld="4" item="6"/>
        </tpls>
      </m>
      <m>
        <tpls c="3">
          <tpl fld="7" item="596"/>
          <tpl fld="6" item="3"/>
          <tpl hier="236" item="0"/>
        </tpls>
      </m>
      <n v="4" in="2">
        <tpls c="4">
          <tpl fld="7" item="501"/>
          <tpl fld="6" item="2"/>
          <tpl hier="236" item="0"/>
          <tpl fld="4" item="1"/>
        </tpls>
      </n>
      <n v="13" in="1">
        <tpls c="4">
          <tpl fld="7" item="363"/>
          <tpl fld="6" item="1"/>
          <tpl hier="236" item="0"/>
          <tpl fld="4" item="4"/>
        </tpls>
      </n>
      <m>
        <tpls c="4">
          <tpl fld="7" item="366"/>
          <tpl fld="6" item="2"/>
          <tpl hier="236" item="0"/>
          <tpl fld="4" item="4"/>
        </tpls>
      </m>
      <m>
        <tpls c="4">
          <tpl fld="7" item="440"/>
          <tpl fld="6" item="1"/>
          <tpl hier="236" item="0"/>
          <tpl fld="4" item="6"/>
        </tpls>
      </m>
      <n v="1" in="3">
        <tpls c="3">
          <tpl fld="7" item="600"/>
          <tpl fld="6" item="3"/>
          <tpl hier="236" item="0"/>
        </tpls>
      </n>
      <n v="3" in="2">
        <tpls c="4">
          <tpl fld="7" item="517"/>
          <tpl fld="6" item="2"/>
          <tpl hier="236" item="0"/>
          <tpl fld="4" item="1"/>
        </tpls>
      </n>
      <n v="8" in="1">
        <tpls c="4">
          <tpl fld="7" item="379"/>
          <tpl fld="6" item="1"/>
          <tpl hier="236" item="0"/>
          <tpl fld="4" item="4"/>
        </tpls>
      </n>
      <m>
        <tpls c="4">
          <tpl fld="7" item="382"/>
          <tpl fld="6" item="2"/>
          <tpl hier="236" item="0"/>
          <tpl fld="4" item="4"/>
        </tpls>
      </m>
      <m>
        <tpls c="4">
          <tpl fld="7" item="456"/>
          <tpl fld="6" item="1"/>
          <tpl hier="236" item="0"/>
          <tpl fld="4" item="6"/>
        </tpls>
      </m>
      <m>
        <tpls c="4">
          <tpl fld="7" item="458"/>
          <tpl fld="6" item="2"/>
          <tpl hier="236" item="0"/>
          <tpl fld="4" item="5"/>
        </tpls>
      </m>
      <m>
        <tpls c="4">
          <tpl fld="7" item="530"/>
          <tpl fld="6" item="2"/>
          <tpl hier="236" item="0"/>
          <tpl fld="4" item="6"/>
        </tpls>
      </m>
      <m>
        <tpls c="4">
          <tpl fld="7" item="461"/>
          <tpl fld="6" item="1"/>
          <tpl hier="236" item="0"/>
          <tpl fld="4" item="5"/>
        </tpls>
      </m>
      <n v="4" in="1">
        <tpls c="4">
          <tpl fld="7" item="533"/>
          <tpl fld="6" item="1"/>
          <tpl hier="236" item="0"/>
          <tpl fld="4" item="6"/>
        </tpls>
      </n>
      <m>
        <tpls c="4">
          <tpl fld="7" item="464"/>
          <tpl fld="6" item="2"/>
          <tpl hier="236" item="0"/>
          <tpl fld="4" item="1"/>
        </tpls>
      </m>
      <m>
        <tpls c="4">
          <tpl fld="7" item="767"/>
          <tpl fld="6" item="2"/>
          <tpl hier="236" item="0"/>
          <tpl fld="1" item="0"/>
        </tpls>
      </m>
      <n v="5" in="1">
        <tpls c="4">
          <tpl fld="7" item="686"/>
          <tpl fld="6" item="1"/>
          <tpl hier="236" item="0"/>
          <tpl fld="4" item="1"/>
        </tpls>
      </n>
      <n v="1" in="1">
        <tpls c="4">
          <tpl fld="7" item="769"/>
          <tpl fld="6" item="1"/>
          <tpl hier="236" item="0"/>
          <tpl fld="1" item="0"/>
        </tpls>
      </n>
      <m>
        <tpls c="4">
          <tpl fld="7" item="770"/>
          <tpl fld="6" item="2"/>
          <tpl hier="236" item="0"/>
          <tpl fld="4" item="4"/>
        </tpls>
      </m>
      <m>
        <tpls c="3">
          <tpl fld="7" item="1087"/>
          <tpl fld="6" item="3"/>
          <tpl hier="236" item="0"/>
        </tpls>
      </m>
      <n v="12" in="1">
        <tpls c="4">
          <tpl fld="7" item="1212"/>
          <tpl fld="6" item="1"/>
          <tpl hier="236" item="0"/>
          <tpl fld="4" item="4"/>
        </tpls>
      </n>
      <m>
        <tpls c="4">
          <tpl fld="7" item="881"/>
          <tpl fld="6" item="2"/>
          <tpl hier="236" item="0"/>
          <tpl fld="4" item="5"/>
        </tpls>
      </m>
      <n v="1" in="2">
        <tpls c="4">
          <tpl fld="7" item="546"/>
          <tpl fld="6" item="2"/>
          <tpl hier="236" item="0"/>
          <tpl fld="4" item="6"/>
        </tpls>
      </n>
      <m>
        <tpls c="4">
          <tpl fld="7" item="403"/>
          <tpl fld="6" item="1"/>
          <tpl hier="236" item="0"/>
          <tpl fld="4" item="6"/>
        </tpls>
      </m>
      <m>
        <tpls c="3">
          <tpl fld="7" item="292"/>
          <tpl fld="6" item="3"/>
          <tpl hier="236" item="0"/>
        </tpls>
      </m>
      <m>
        <tpls c="3">
          <tpl fld="7" item="107"/>
          <tpl fld="6" item="3"/>
          <tpl hier="236" item="0"/>
        </tpls>
      </m>
      <n v="1" in="1">
        <tpls c="4">
          <tpl fld="7" item="1084"/>
          <tpl fld="6" item="1"/>
          <tpl hier="236" item="0"/>
          <tpl fld="4" item="6"/>
        </tpls>
      </n>
      <n v="1" in="2">
        <tpls c="4">
          <tpl fld="7" item="447"/>
          <tpl fld="6" item="2"/>
          <tpl hier="236" item="0"/>
          <tpl fld="4" item="4"/>
        </tpls>
      </n>
      <n v="1" in="1">
        <tpls c="4">
          <tpl fld="7" item="529"/>
          <tpl fld="6" item="1"/>
          <tpl hier="236" item="0"/>
          <tpl fld="4" item="4"/>
        </tpls>
      </n>
      <n v="1" in="1">
        <tpls c="4">
          <tpl fld="7" item="685"/>
          <tpl fld="6" item="1"/>
          <tpl hier="236" item="0"/>
          <tpl fld="4" item="6"/>
        </tpls>
      </n>
      <m>
        <tpls c="4">
          <tpl fld="7" item="770"/>
          <tpl fld="6" item="2"/>
          <tpl hier="236" item="0"/>
          <tpl fld="4" item="1"/>
        </tpls>
      </m>
      <n v="4" in="1">
        <tpls c="4">
          <tpl fld="7" item="543"/>
          <tpl fld="6" item="1"/>
          <tpl hier="236" item="0"/>
          <tpl fld="4" item="1"/>
        </tpls>
      </n>
      <m>
        <tpls c="4">
          <tpl fld="7" item="692"/>
          <tpl fld="6" item="1"/>
          <tpl hier="236" item="0"/>
          <tpl fld="4" item="5"/>
        </tpls>
      </m>
      <m>
        <tpls c="4">
          <tpl fld="7" item="547"/>
          <tpl fld="6" item="2"/>
          <tpl hier="236" item="0"/>
          <tpl fld="4" item="5"/>
        </tpls>
      </m>
      <n v="0.15" in="2">
        <tpls c="4">
          <tpl fld="7" item="1238"/>
          <tpl fld="6" item="2"/>
          <tpl hier="236" item="0"/>
          <tpl fld="4" item="6"/>
        </tpls>
      </n>
      <m>
        <tpls c="4">
          <tpl fld="7" item="550"/>
          <tpl fld="6" item="1"/>
          <tpl hier="236" item="0"/>
          <tpl fld="4" item="5"/>
        </tpls>
      </m>
      <n v="1" in="1">
        <tpls c="4">
          <tpl fld="7" item="617"/>
          <tpl fld="6" item="1"/>
          <tpl hier="236" item="0"/>
          <tpl fld="4" item="6"/>
        </tpls>
      </n>
      <m>
        <tpls c="4">
          <tpl fld="7" item="553"/>
          <tpl fld="6" item="2"/>
          <tpl hier="236" item="0"/>
          <tpl fld="4" item="1"/>
        </tpls>
      </m>
      <m>
        <tpls c="4">
          <tpl fld="7" item="619"/>
          <tpl fld="6" item="2"/>
          <tpl hier="236" item="0"/>
          <tpl fld="1" item="0"/>
        </tpls>
      </m>
      <m>
        <tpls c="4">
          <tpl fld="7" item="700"/>
          <tpl fld="6" item="1"/>
          <tpl hier="236" item="0"/>
          <tpl fld="4" item="1"/>
        </tpls>
      </m>
      <n v="2" in="1">
        <tpls c="4">
          <tpl fld="7" item="701"/>
          <tpl fld="6" item="1"/>
          <tpl hier="236" item="0"/>
          <tpl fld="1" item="0"/>
        </tpls>
      </n>
      <m>
        <tpls c="4">
          <tpl fld="7" item="784"/>
          <tpl fld="6" item="2"/>
          <tpl hier="236" item="0"/>
          <tpl fld="4" item="4"/>
        </tpls>
      </m>
      <m>
        <tpls c="3">
          <tpl fld="7" item="785"/>
          <tpl fld="6" item="3"/>
          <tpl hier="236" item="0"/>
        </tpls>
      </m>
      <n v="36" in="1">
        <tpls c="4">
          <tpl fld="7" item="988"/>
          <tpl fld="6" item="1"/>
          <tpl hier="236" item="0"/>
          <tpl fld="4" item="4"/>
        </tpls>
      </n>
      <m>
        <tpls c="4">
          <tpl fld="7" item="563"/>
          <tpl fld="6" item="2"/>
          <tpl hier="236" item="0"/>
          <tpl fld="4" item="5"/>
        </tpls>
      </m>
      <m>
        <tpls c="4">
          <tpl fld="7" item="1213"/>
          <tpl fld="6" item="2"/>
          <tpl hier="236" item="0"/>
          <tpl fld="4" item="6"/>
        </tpls>
      </m>
      <m>
        <tpls c="4">
          <tpl fld="7" item="708"/>
          <tpl fld="6" item="2"/>
          <tpl hier="236" item="0"/>
          <tpl fld="4" item="6"/>
        </tpls>
      </m>
      <m>
        <tpls c="4">
          <tpl fld="7" item="1092"/>
          <tpl fld="6" item="2"/>
          <tpl hier="236" item="0"/>
          <tpl fld="4" item="6"/>
        </tpls>
      </m>
      <m>
        <tpls c="4">
          <tpl fld="7" item="711"/>
          <tpl fld="6" item="2"/>
          <tpl hier="236" item="0"/>
          <tpl fld="4" item="4"/>
        </tpls>
      </m>
      <m>
        <tpls c="3">
          <tpl fld="7" item="572"/>
          <tpl fld="6" item="3"/>
          <tpl hier="236" item="0"/>
        </tpls>
      </m>
      <m>
        <tpls c="4">
          <tpl fld="7" item="795"/>
          <tpl fld="6" item="1"/>
          <tpl hier="236" item="0"/>
          <tpl fld="4" item="4"/>
        </tpls>
      </m>
      <m>
        <tpls c="4">
          <tpl fld="7" item="796"/>
          <tpl fld="6" item="2"/>
          <tpl hier="236" item="0"/>
          <tpl fld="4" item="5"/>
        </tpls>
      </m>
      <m>
        <tpls c="4">
          <tpl fld="7" item="797"/>
          <tpl fld="6" item="2"/>
          <tpl hier="236" item="0"/>
          <tpl fld="4" item="6"/>
        </tpls>
      </m>
      <m>
        <tpls c="4">
          <tpl fld="7" item="991"/>
          <tpl fld="6" item="1"/>
          <tpl hier="236" item="0"/>
          <tpl fld="4" item="5"/>
        </tpls>
      </m>
      <m>
        <tpls c="4">
          <tpl fld="7" item="1094"/>
          <tpl fld="6" item="1"/>
          <tpl hier="236" item="0"/>
          <tpl fld="4" item="6"/>
        </tpls>
      </m>
      <m>
        <tpls c="4">
          <tpl fld="7" item="1"/>
          <tpl fld="6" item="2"/>
          <tpl hier="236" item="0"/>
          <tpl fld="4" item="6"/>
        </tpls>
      </m>
      <m>
        <tpls c="3">
          <tpl fld="7" item="280"/>
          <tpl fld="6" item="3"/>
          <tpl hier="236" item="0"/>
        </tpls>
      </m>
      <m>
        <tpls c="4">
          <tpl fld="7" item="104"/>
          <tpl fld="6" item="2"/>
          <tpl hier="236" item="0"/>
          <tpl fld="4" item="4"/>
        </tpls>
      </m>
      <m>
        <tpls c="4">
          <tpl fld="7" item="597"/>
          <tpl fld="6" item="1"/>
          <tpl hier="236" item="0"/>
          <tpl fld="4" item="6"/>
        </tpls>
      </m>
      <n v="2.25" in="2">
        <tpls c="4">
          <tpl fld="7" item="444"/>
          <tpl fld="6" item="2"/>
          <tpl hier="236" item="0"/>
          <tpl fld="4" item="4"/>
        </tpls>
      </n>
      <n v="3" in="1">
        <tpls c="4">
          <tpl fld="7" item="457"/>
          <tpl fld="6" item="1"/>
          <tpl hier="236" item="0"/>
          <tpl fld="4" item="4"/>
        </tpls>
      </n>
      <m>
        <tpls c="4">
          <tpl fld="7" item="392"/>
          <tpl fld="6" item="2"/>
          <tpl hier="236" item="0"/>
          <tpl fld="4" item="5"/>
        </tpls>
      </m>
      <n v="0.89999999999999991" in="2">
        <tpls c="4">
          <tpl fld="7" item="880"/>
          <tpl fld="6" item="2"/>
          <tpl hier="236" item="0"/>
          <tpl fld="4" item="1"/>
        </tpls>
      </n>
      <n v="15" in="1">
        <tpls c="4">
          <tpl fld="7" item="690"/>
          <tpl fld="6" item="1"/>
          <tpl hier="236" item="0"/>
          <tpl fld="4" item="4"/>
        </tpls>
      </n>
      <m>
        <tpls c="4">
          <tpl fld="7" item="612"/>
          <tpl fld="6" item="2"/>
          <tpl hier="236" item="0"/>
          <tpl fld="4" item="6"/>
        </tpls>
      </m>
      <m>
        <tpls c="4">
          <tpl fld="7" item="775"/>
          <tpl fld="6" item="2"/>
          <tpl hier="236" item="0"/>
          <tpl fld="4" item="4"/>
        </tpls>
      </m>
      <n v="1" in="1">
        <tpls c="4">
          <tpl fld="7" item="776"/>
          <tpl fld="6" item="1"/>
          <tpl hier="236" item="0"/>
          <tpl fld="4" item="6"/>
        </tpls>
      </n>
      <m>
        <tpls c="4">
          <tpl fld="7" item="882"/>
          <tpl fld="6" item="2"/>
          <tpl hier="236" item="0"/>
          <tpl fld="4" item="1"/>
        </tpls>
      </m>
      <m>
        <tpls c="4">
          <tpl fld="7" item="551"/>
          <tpl fld="6" item="2"/>
          <tpl hier="236" item="0"/>
          <tpl fld="1" item="0"/>
        </tpls>
      </m>
      <m>
        <tpls c="4">
          <tpl fld="7" item="1089"/>
          <tpl fld="6" item="1"/>
          <tpl hier="236" item="0"/>
          <tpl fld="4" item="1"/>
        </tpls>
      </m>
      <m>
        <tpls c="4">
          <tpl fld="7" item="554"/>
          <tpl fld="6" item="1"/>
          <tpl hier="236" item="0"/>
          <tpl fld="1" item="0"/>
        </tpls>
      </m>
      <m>
        <tpls c="4">
          <tpl fld="7" item="620"/>
          <tpl fld="6" item="2"/>
          <tpl hier="236" item="0"/>
          <tpl fld="4" item="4"/>
        </tpls>
      </m>
      <m>
        <tpls c="3">
          <tpl fld="7" item="557"/>
          <tpl fld="6" item="3"/>
          <tpl hier="236" item="0"/>
        </tpls>
      </m>
      <m>
        <tpls c="4">
          <tpl fld="7" item="702"/>
          <tpl fld="6" item="1"/>
          <tpl hier="236" item="0"/>
          <tpl fld="4" item="4"/>
        </tpls>
      </m>
      <m>
        <tpls c="4">
          <tpl fld="7" item="703"/>
          <tpl fld="6" item="2"/>
          <tpl hier="236" item="0"/>
          <tpl fld="4" item="5"/>
        </tpls>
      </m>
      <n v="1" in="2">
        <tpls c="4">
          <tpl fld="7" item="704"/>
          <tpl fld="6" item="2"/>
          <tpl hier="236" item="0"/>
          <tpl fld="4" item="6"/>
        </tpls>
      </n>
      <n v="2" in="1">
        <tpls c="4">
          <tpl fld="7" item="787"/>
          <tpl fld="6" item="1"/>
          <tpl hier="236" item="0"/>
          <tpl fld="4" item="5"/>
        </tpls>
      </n>
      <n v="8" in="1">
        <tpls c="4">
          <tpl fld="7" item="788"/>
          <tpl fld="6" item="1"/>
          <tpl hier="236" item="0"/>
          <tpl fld="4" item="6"/>
        </tpls>
      </n>
      <n v="1" in="1">
        <tpls c="4">
          <tpl fld="7" item="566"/>
          <tpl fld="6" item="1"/>
          <tpl hier="236" item="0"/>
          <tpl fld="4" item="1"/>
        </tpls>
      </n>
      <n v="2" in="1">
        <tpls c="4">
          <tpl fld="7" item="568"/>
          <tpl fld="6" item="1"/>
          <tpl hier="236" item="0"/>
          <tpl fld="4" item="1"/>
        </tpls>
      </n>
      <m>
        <tpls c="4">
          <tpl fld="7" item="570"/>
          <tpl fld="6" item="1"/>
          <tpl hier="236" item="0"/>
          <tpl fld="4" item="1"/>
        </tpls>
      </m>
      <m>
        <tpls c="4">
          <tpl fld="7" item="632"/>
          <tpl fld="6" item="2"/>
          <tpl hier="236" item="0"/>
          <tpl fld="4" item="5"/>
        </tpls>
      </m>
      <m>
        <tpls c="4">
          <tpl fld="7" item="573"/>
          <tpl fld="6" item="2"/>
          <tpl hier="236" item="0"/>
          <tpl fld="4" item="6"/>
        </tpls>
      </m>
      <m>
        <tpls c="4">
          <tpl fld="7" item="714"/>
          <tpl fld="6" item="1"/>
          <tpl hier="236" item="0"/>
          <tpl fld="4" item="5"/>
        </tpls>
      </m>
      <n v="1" in="1">
        <tpls c="4">
          <tpl fld="7" item="576"/>
          <tpl fld="6" item="1"/>
          <tpl hier="236" item="0"/>
          <tpl fld="4" item="6"/>
        </tpls>
      </n>
      <n v="150" in="1">
        <tpls c="6">
          <tpl fld="11" item="0"/>
          <tpl fld="2" item="2"/>
          <tpl fld="6" item="1"/>
          <tpl hier="236" item="0"/>
          <tpl fld="4" item="3"/>
          <tpl fld="10" item="3"/>
        </tpls>
      </n>
      <m>
        <tpls c="4">
          <tpl fld="7" item="129"/>
          <tpl fld="6" item="2"/>
          <tpl hier="236" item="0"/>
          <tpl fld="4" item="1"/>
        </tpls>
      </m>
      <m>
        <tpls c="4">
          <tpl fld="7" item="271"/>
          <tpl fld="6" item="1"/>
          <tpl hier="236" item="0"/>
          <tpl fld="1" item="0"/>
        </tpls>
      </m>
      <n v="1379" in="1">
        <tpls c="5">
          <tpl fld="11" item="0"/>
          <tpl fld="6" item="1"/>
          <tpl hier="236" item="0"/>
          <tpl fld="4" item="7"/>
          <tpl fld="10" item="8"/>
        </tpls>
      </n>
      <m>
        <tpls c="4">
          <tpl fld="7" item="266"/>
          <tpl fld="6" item="2"/>
          <tpl hier="236" item="0"/>
          <tpl fld="4" item="6"/>
        </tpls>
      </m>
      <m>
        <tpls c="4">
          <tpl fld="7" item="341"/>
          <tpl fld="6" item="2"/>
          <tpl hier="236" item="0"/>
          <tpl fld="4" item="1"/>
        </tpls>
      </m>
      <m>
        <tpls c="4">
          <tpl fld="7" item="416"/>
          <tpl fld="6" item="2"/>
          <tpl hier="236" item="0"/>
          <tpl fld="4" item="1"/>
        </tpls>
      </m>
      <m>
        <tpls c="4">
          <tpl fld="7" item="96"/>
          <tpl fld="6" item="2"/>
          <tpl hier="236" item="0"/>
          <tpl fld="4" item="1"/>
        </tpls>
      </m>
      <m>
        <tpls c="4">
          <tpl fld="7" item="1"/>
          <tpl fld="6" item="1"/>
          <tpl hier="236" item="0"/>
          <tpl fld="4" item="5"/>
        </tpls>
      </m>
      <m>
        <tpls c="4">
          <tpl fld="7" item="139"/>
          <tpl fld="6" item="1"/>
          <tpl hier="236" item="0"/>
          <tpl fld="4" item="6"/>
        </tpls>
      </m>
      <m>
        <tpls c="4">
          <tpl fld="7" item="1185"/>
          <tpl fld="6" item="1"/>
          <tpl hier="236" item="0"/>
          <tpl fld="4" item="4"/>
        </tpls>
      </m>
      <m>
        <tpls c="4">
          <tpl fld="7" item="671"/>
          <tpl fld="6" item="1"/>
          <tpl hier="236" item="0"/>
          <tpl fld="4" item="4"/>
        </tpls>
      </m>
      <m>
        <tpls c="4">
          <tpl fld="7" item="280"/>
          <tpl fld="6" item="2"/>
          <tpl hier="236" item="0"/>
          <tpl fld="4" item="1"/>
        </tpls>
      </m>
      <m>
        <tpls c="3">
          <tpl fld="7" item="485"/>
          <tpl fld="6" item="3"/>
          <tpl hier="236" item="0"/>
        </tpls>
      </m>
      <m>
        <tpls c="3">
          <tpl fld="7" item="89"/>
          <tpl fld="6" item="3"/>
          <tpl hier="236" item="0"/>
        </tpls>
      </m>
      <m>
        <tpls c="4">
          <tpl fld="7" item="318"/>
          <tpl fld="6" item="1"/>
          <tpl hier="236" item="0"/>
          <tpl fld="4" item="6"/>
        </tpls>
      </m>
      <m>
        <tpls c="4">
          <tpl fld="7" item="407"/>
          <tpl fld="6" item="1"/>
          <tpl hier="236" item="0"/>
          <tpl fld="4" item="5"/>
        </tpls>
      </m>
      <m>
        <tpls c="4">
          <tpl fld="7" item="94"/>
          <tpl fld="6" item="1"/>
          <tpl hier="236" item="0"/>
          <tpl fld="4" item="6"/>
        </tpls>
      </m>
      <m>
        <tpls c="4">
          <tpl fld="7" item="877"/>
          <tpl fld="6" item="1"/>
          <tpl hier="236" item="0"/>
          <tpl fld="4" item="4"/>
        </tpls>
      </m>
      <m>
        <tpls c="4">
          <tpl fld="7" item="439"/>
          <tpl fld="6" item="2"/>
          <tpl hier="236" item="0"/>
          <tpl fld="4" item="1"/>
        </tpls>
      </m>
      <n v="1" in="3">
        <tpls c="3">
          <tpl fld="7" item="381"/>
          <tpl fld="6" item="3"/>
          <tpl hier="236" item="0"/>
        </tpls>
      </n>
      <m>
        <tpls c="4">
          <tpl fld="7" item="531"/>
          <tpl fld="6" item="1"/>
          <tpl hier="236" item="0"/>
          <tpl fld="4" item="5"/>
        </tpls>
      </m>
      <m>
        <tpls c="4">
          <tpl fld="7" item="606"/>
          <tpl fld="6" item="1"/>
          <tpl hier="236" item="0"/>
          <tpl fld="4" item="1"/>
        </tpls>
      </m>
      <n v="9" in="1">
        <tpls c="4">
          <tpl fld="7" item="772"/>
          <tpl fld="6" item="1"/>
          <tpl hier="236" item="0"/>
          <tpl fld="4" item="4"/>
        </tpls>
      </n>
      <m>
        <tpls c="4">
          <tpl fld="7" item="155"/>
          <tpl fld="6" item="2"/>
          <tpl hier="236" item="0"/>
          <tpl fld="4" item="1"/>
        </tpls>
      </m>
      <m>
        <tpls c="4">
          <tpl fld="7" item="95"/>
          <tpl fld="6" item="1"/>
          <tpl hier="236" item="0"/>
          <tpl fld="4" item="6"/>
        </tpls>
      </m>
      <m>
        <tpls c="4">
          <tpl fld="7" item="497"/>
          <tpl fld="6" item="1"/>
          <tpl hier="236" item="0"/>
          <tpl fld="4" item="4"/>
        </tpls>
      </m>
      <m>
        <tpls c="4">
          <tpl fld="7" item="599"/>
          <tpl fld="6" item="2"/>
          <tpl hier="236" item="0"/>
          <tpl fld="4" item="1"/>
        </tpls>
      </m>
      <n v="1" in="3">
        <tpls c="3">
          <tpl fld="7" item="452"/>
          <tpl fld="6" item="3"/>
          <tpl hier="236" item="0"/>
        </tpls>
      </n>
      <m>
        <tpls c="4">
          <tpl fld="7" item="531"/>
          <tpl fld="6" item="2"/>
          <tpl hier="236" item="0"/>
          <tpl fld="1" item="0"/>
        </tpls>
      </m>
      <m>
        <tpls c="4">
          <tpl fld="7" item="767"/>
          <tpl fld="6" item="2"/>
          <tpl hier="236" item="0"/>
          <tpl fld="4" item="5"/>
        </tpls>
      </m>
      <m>
        <tpls c="4">
          <tpl fld="7" item="1186"/>
          <tpl fld="6" item="1"/>
          <tpl hier="236" item="0"/>
          <tpl fld="4" item="5"/>
        </tpls>
      </m>
      <m>
        <tpls c="4">
          <tpl fld="7" item="688"/>
          <tpl fld="6" item="2"/>
          <tpl hier="236" item="0"/>
          <tpl fld="4" item="1"/>
        </tpls>
      </m>
      <m>
        <tpls c="4">
          <tpl fld="7" item="118"/>
          <tpl fld="6" item="2"/>
          <tpl hier="236" item="0"/>
          <tpl fld="4" item="6"/>
        </tpls>
      </m>
      <m>
        <tpls c="4">
          <tpl fld="7" item="40"/>
          <tpl fld="6" item="2"/>
          <tpl hier="236" item="0"/>
          <tpl fld="4" item="1"/>
        </tpls>
      </m>
      <m>
        <tpls c="4">
          <tpl fld="7" item="159"/>
          <tpl fld="6" item="1"/>
          <tpl hier="236" item="0"/>
          <tpl fld="4" item="5"/>
        </tpls>
      </m>
      <m>
        <tpls c="4">
          <tpl fld="7" item="172"/>
          <tpl fld="6" item="2"/>
          <tpl hier="236" item="0"/>
          <tpl fld="4" item="4"/>
        </tpls>
      </m>
      <n v="0" in="1">
        <tpls c="4">
          <tpl fld="7" item="185"/>
          <tpl fld="6" item="1"/>
          <tpl hier="236" item="0"/>
          <tpl fld="4" item="4"/>
        </tpls>
      </n>
      <m>
        <tpls c="4">
          <tpl fld="7" item="306"/>
          <tpl fld="6" item="1"/>
          <tpl hier="236" item="0"/>
          <tpl fld="4" item="4"/>
        </tpls>
      </m>
      <m>
        <tpls c="4">
          <tpl fld="7" item="100"/>
          <tpl fld="6" item="1"/>
          <tpl hier="236" item="0"/>
          <tpl fld="4" item="6"/>
        </tpls>
      </m>
      <m>
        <tpls c="4">
          <tpl fld="7" item="212"/>
          <tpl fld="6" item="1"/>
          <tpl hier="236" item="0"/>
          <tpl fld="4" item="6"/>
        </tpls>
      </m>
      <m>
        <tpls c="4">
          <tpl fld="7" item="215"/>
          <tpl fld="6" item="2"/>
          <tpl hier="236" item="0"/>
          <tpl fld="4" item="4"/>
        </tpls>
      </m>
      <m>
        <tpls c="4">
          <tpl fld="7" item="425"/>
          <tpl fld="6" item="1"/>
          <tpl hier="236" item="0"/>
          <tpl fld="4" item="6"/>
        </tpls>
      </m>
      <m>
        <tpls c="3">
          <tpl fld="7" item="676"/>
          <tpl fld="6" item="3"/>
          <tpl hier="236" item="0"/>
        </tpls>
      </m>
      <m>
        <tpls c="4">
          <tpl fld="7" item="502"/>
          <tpl fld="6" item="2"/>
          <tpl hier="236" item="0"/>
          <tpl fld="4" item="1"/>
        </tpls>
      </m>
      <m>
        <tpls c="4">
          <tpl fld="7" item="364"/>
          <tpl fld="6" item="1"/>
          <tpl hier="236" item="0"/>
          <tpl fld="4" item="4"/>
        </tpls>
      </m>
      <n v="1.1891891891891893" in="2">
        <tpls c="4">
          <tpl fld="7" item="367"/>
          <tpl fld="6" item="2"/>
          <tpl hier="236" item="0"/>
          <tpl fld="4" item="4"/>
        </tpls>
      </n>
      <m>
        <tpls c="4">
          <tpl fld="7" item="441"/>
          <tpl fld="6" item="1"/>
          <tpl hier="236" item="0"/>
          <tpl fld="4" item="6"/>
        </tpls>
      </m>
      <n v="539" in="1">
        <tpls c="6">
          <tpl fld="11" item="0"/>
          <tpl fld="5" item="1"/>
          <tpl fld="6" item="1"/>
          <tpl hier="236" item="0"/>
          <tpl fld="4" item="4"/>
          <tpl fld="10" item="0"/>
        </tpls>
      </n>
      <n v="1033" in="1">
        <tpls c="6">
          <tpl fld="11" item="0"/>
          <tpl fld="5" item="0"/>
          <tpl fld="6" item="1"/>
          <tpl hier="236" item="0"/>
          <tpl fld="4" item="6"/>
          <tpl fld="10" item="7"/>
        </tpls>
      </n>
      <m>
        <tpls c="6">
          <tpl fld="11" item="0"/>
          <tpl fld="5" item="3"/>
          <tpl fld="6" item="2"/>
          <tpl hier="236" item="0"/>
          <tpl fld="4" item="7"/>
          <tpl fld="10" item="8"/>
        </tpls>
      </m>
      <n v="8.3162162162162154" in="2">
        <tpls c="6">
          <tpl fld="11" item="0"/>
          <tpl fld="2" item="4"/>
          <tpl fld="6" item="2"/>
          <tpl hier="236" item="0"/>
          <tpl fld="4" item="1"/>
          <tpl fld="9" item="1"/>
        </tpls>
      </n>
      <n v="9.7081081081081084" in="2">
        <tpls c="5">
          <tpl fld="11" item="0"/>
          <tpl fld="2" item="0"/>
          <tpl fld="6" item="2"/>
          <tpl hier="236" item="0"/>
          <tpl fld="4" item="0"/>
        </tpls>
      </n>
      <n v="613.24628378378407" in="2">
        <tpls c="5">
          <tpl fld="11" item="0"/>
          <tpl fld="2" item="1"/>
          <tpl fld="6" item="2"/>
          <tpl hier="236" item="0"/>
          <tpl fld="1" item="0"/>
        </tpls>
      </n>
      <m>
        <tpls c="4">
          <tpl fld="7" item="397"/>
          <tpl fld="6" item="2"/>
          <tpl hier="236" item="0"/>
          <tpl fld="4" item="1"/>
        </tpls>
      </m>
      <n v="353" in="1">
        <tpls c="6">
          <tpl fld="3" item="0"/>
          <tpl fld="11" item="0"/>
          <tpl fld="6" item="1"/>
          <tpl hier="236" item="0"/>
          <tpl fld="4" item="3"/>
          <tpl fld="10" item="2"/>
        </tpls>
      </n>
      <n v="2" in="2">
        <tpls c="6">
          <tpl fld="11" item="0"/>
          <tpl fld="2" item="4"/>
          <tpl fld="6" item="2"/>
          <tpl hier="236" item="0"/>
          <tpl fld="4" item="7"/>
          <tpl fld="10" item="3"/>
        </tpls>
      </n>
      <m>
        <tpls c="6">
          <tpl fld="3" item="0"/>
          <tpl fld="11" item="0"/>
          <tpl fld="6" item="1"/>
          <tpl hier="236" item="0"/>
          <tpl fld="4" item="4"/>
          <tpl fld="10" item="6"/>
        </tpls>
      </m>
      <n v="17" in="1">
        <tpls c="6">
          <tpl fld="11" item="0"/>
          <tpl fld="6" item="1"/>
          <tpl fld="8" item="0"/>
          <tpl hier="236" item="0"/>
          <tpl fld="4" item="7"/>
          <tpl fld="10" item="4"/>
        </tpls>
      </n>
      <n v="276" in="1">
        <tpls c="6">
          <tpl fld="11" item="0"/>
          <tpl fld="2" item="1"/>
          <tpl fld="6" item="1"/>
          <tpl hier="236" item="0"/>
          <tpl fld="4" item="6"/>
          <tpl fld="10" item="3"/>
        </tpls>
      </n>
      <n v="60.551148648648649" in="2">
        <tpls c="6">
          <tpl fld="11" item="0"/>
          <tpl fld="5" item="1"/>
          <tpl fld="6" item="2"/>
          <tpl hier="236" item="0"/>
          <tpl fld="4" item="6"/>
          <tpl fld="10" item="0"/>
        </tpls>
      </n>
      <m>
        <tpls c="4">
          <tpl fld="7" item="947"/>
          <tpl fld="6" item="1"/>
          <tpl hier="236" item="0"/>
          <tpl fld="4" item="5"/>
        </tpls>
      </m>
      <m>
        <tpls c="3">
          <tpl fld="7" item="1159"/>
          <tpl fld="6" item="3"/>
          <tpl hier="236" item="0"/>
        </tpls>
      </m>
      <n v="336" in="1">
        <tpls c="6">
          <tpl fld="11" item="0"/>
          <tpl fld="2" item="0"/>
          <tpl fld="6" item="1"/>
          <tpl hier="236" item="0"/>
          <tpl fld="4" item="1"/>
          <tpl fld="9" item="4"/>
        </tpls>
      </n>
      <n v="719" in="1">
        <tpls c="6">
          <tpl fld="3" item="3"/>
          <tpl fld="11" item="0"/>
          <tpl fld="6" item="1"/>
          <tpl hier="236" item="0"/>
          <tpl fld="4" item="4"/>
          <tpl fld="10" item="3"/>
        </tpls>
      </n>
      <n v="9.6324324324324326" in="2">
        <tpls c="6">
          <tpl fld="11" item="0"/>
          <tpl fld="2" item="2"/>
          <tpl fld="6" item="2"/>
          <tpl hier="236" item="0"/>
          <tpl fld="4" item="1"/>
          <tpl fld="9" item="2"/>
        </tpls>
      </n>
      <n v="44" in="1">
        <tpls c="6">
          <tpl fld="3" item="4"/>
          <tpl fld="11" item="0"/>
          <tpl fld="6" item="1"/>
          <tpl hier="236" item="0"/>
          <tpl fld="4" item="4"/>
          <tpl fld="10" item="1"/>
        </tpls>
      </n>
      <m>
        <tpls c="3">
          <tpl fld="7" item="1260"/>
          <tpl fld="6" item="3"/>
          <tpl hier="236" item="0"/>
        </tpls>
      </m>
      <m>
        <tpls c="6">
          <tpl fld="3" item="2"/>
          <tpl fld="11" item="0"/>
          <tpl fld="6" item="2"/>
          <tpl hier="236" item="0"/>
          <tpl fld="4" item="7"/>
          <tpl fld="10" item="6"/>
        </tpls>
      </m>
      <m>
        <tpls c="4">
          <tpl fld="7" item="109"/>
          <tpl fld="6" item="1"/>
          <tpl hier="236" item="0"/>
          <tpl fld="4" item="5"/>
        </tpls>
      </m>
      <n v="45.788851351351354" in="2">
        <tpls c="5">
          <tpl fld="11" item="0"/>
          <tpl fld="6" item="2"/>
          <tpl hier="236" item="0"/>
          <tpl fld="4" item="3"/>
          <tpl fld="10" item="2"/>
        </tpls>
      </n>
      <m>
        <tpls c="6">
          <tpl fld="3" item="2"/>
          <tpl fld="11" item="0"/>
          <tpl fld="6" item="2"/>
          <tpl hier="236" item="0"/>
          <tpl fld="4" item="3"/>
          <tpl fld="10" item="0"/>
        </tpls>
      </m>
      <m>
        <tpls c="6">
          <tpl fld="11" item="0"/>
          <tpl fld="2" item="3"/>
          <tpl fld="6" item="2"/>
          <tpl hier="236" item="0"/>
          <tpl fld="4" item="4"/>
          <tpl fld="10" item="1"/>
        </tpls>
      </m>
      <n v="3.4108108108108111" in="2">
        <tpls c="5">
          <tpl fld="3" item="1"/>
          <tpl fld="11" item="0"/>
          <tpl fld="6" item="2"/>
          <tpl hier="236" item="0"/>
          <tpl fld="4" item="2"/>
        </tpls>
      </n>
      <m>
        <tpls c="4">
          <tpl fld="7" item="216"/>
          <tpl fld="6" item="1"/>
          <tpl hier="236" item="0"/>
          <tpl fld="4" item="5"/>
        </tpls>
      </m>
      <m>
        <tpls c="4">
          <tpl fld="7" item="232"/>
          <tpl fld="6" item="2"/>
          <tpl hier="236" item="0"/>
          <tpl fld="4" item="1"/>
        </tpls>
      </m>
      <n v="17.250000000000004" in="2">
        <tpls c="6">
          <tpl fld="11" item="0"/>
          <tpl fld="6" item="2"/>
          <tpl fld="8" item="1"/>
          <tpl hier="236" item="0"/>
          <tpl fld="4" item="7"/>
          <tpl fld="10" item="8"/>
        </tpls>
      </n>
      <n v="22.7" in="2">
        <tpls c="6">
          <tpl fld="11" item="0"/>
          <tpl fld="5" item="2"/>
          <tpl fld="6" item="2"/>
          <tpl hier="236" item="0"/>
          <tpl fld="4" item="1"/>
          <tpl fld="9" item="1"/>
        </tpls>
      </n>
      <n v="0" in="1">
        <tpls c="6">
          <tpl fld="11" item="0"/>
          <tpl fld="5" item="2"/>
          <tpl fld="6" item="1"/>
          <tpl hier="236" item="0"/>
          <tpl fld="4" item="7"/>
          <tpl fld="10" item="2"/>
        </tpls>
      </n>
      <m>
        <tpls c="6">
          <tpl fld="3" item="4"/>
          <tpl fld="11" item="0"/>
          <tpl fld="6" item="2"/>
          <tpl hier="236" item="0"/>
          <tpl fld="4" item="3"/>
          <tpl fld="10" item="2"/>
        </tpls>
      </m>
      <n v="4.2027027027027026" in="2">
        <tpls c="6">
          <tpl fld="3" item="4"/>
          <tpl fld="11" item="0"/>
          <tpl fld="6" item="2"/>
          <tpl hier="236" item="0"/>
          <tpl fld="4" item="6"/>
          <tpl fld="10" item="3"/>
        </tpls>
      </n>
      <n v="9.9499999999999993" in="2">
        <tpls c="6">
          <tpl fld="11" item="0"/>
          <tpl fld="6" item="2"/>
          <tpl fld="8" item="1"/>
          <tpl hier="236" item="0"/>
          <tpl fld="4" item="6"/>
          <tpl fld="10" item="3"/>
        </tpls>
      </n>
      <m>
        <tpls c="4">
          <tpl fld="7" item="226"/>
          <tpl fld="6" item="1"/>
          <tpl hier="236" item="0"/>
          <tpl fld="4" item="5"/>
        </tpls>
      </m>
      <m>
        <tpls c="4">
          <tpl fld="7" item="466"/>
          <tpl fld="6" item="1"/>
          <tpl hier="236" item="0"/>
          <tpl fld="4" item="4"/>
        </tpls>
      </m>
      <m>
        <tpls c="3">
          <tpl fld="7" item="33"/>
          <tpl fld="6" item="3"/>
          <tpl hier="236" item="0"/>
        </tpls>
      </m>
      <m>
        <tpls c="3">
          <tpl fld="7" item="477"/>
          <tpl fld="6" item="3"/>
          <tpl hier="236" item="0"/>
        </tpls>
      </m>
      <m>
        <tpls c="3">
          <tpl fld="7" item="479"/>
          <tpl fld="6" item="3"/>
          <tpl hier="236" item="0"/>
        </tpls>
      </m>
      <m>
        <tpls c="4">
          <tpl fld="7" item="341"/>
          <tpl fld="6" item="1"/>
          <tpl hier="236" item="0"/>
          <tpl fld="4" item="4"/>
        </tpls>
      </m>
      <m>
        <tpls c="4">
          <tpl fld="7" item="186"/>
          <tpl fld="6" item="2"/>
          <tpl hier="236" item="0"/>
          <tpl fld="4" item="1"/>
        </tpls>
      </m>
      <m>
        <tpls c="4">
          <tpl fld="7" item="307"/>
          <tpl fld="6" item="2"/>
          <tpl hier="236" item="0"/>
          <tpl fld="4" item="1"/>
        </tpls>
      </m>
      <m>
        <tpls c="6">
          <tpl fld="3" item="2"/>
          <tpl fld="11" item="0"/>
          <tpl fld="6" item="2"/>
          <tpl hier="236" item="0"/>
          <tpl fld="4" item="3"/>
          <tpl fld="10" item="1"/>
        </tpls>
      </m>
      <m>
        <tpls c="4">
          <tpl fld="7" item="240"/>
          <tpl fld="6" item="1"/>
          <tpl hier="236" item="0"/>
          <tpl fld="4" item="4"/>
        </tpls>
      </m>
      <m>
        <tpls c="4">
          <tpl fld="7" item="255"/>
          <tpl fld="6" item="1"/>
          <tpl hier="236" item="0"/>
          <tpl fld="4" item="4"/>
        </tpls>
      </m>
      <m>
        <tpls c="4">
          <tpl fld="7" item="1159"/>
          <tpl fld="6" item="1"/>
          <tpl hier="236" item="0"/>
          <tpl fld="4" item="6"/>
        </tpls>
      </m>
      <n v="14" in="1">
        <tpls c="6">
          <tpl fld="11" item="0"/>
          <tpl fld="5" item="2"/>
          <tpl fld="6" item="1"/>
          <tpl hier="236" item="0"/>
          <tpl fld="4" item="1"/>
          <tpl fld="9" item="0"/>
        </tpls>
      </n>
      <n v="90" in="1">
        <tpls c="6">
          <tpl fld="3" item="0"/>
          <tpl fld="11" item="0"/>
          <tpl fld="6" item="1"/>
          <tpl hier="236" item="0"/>
          <tpl fld="4" item="3"/>
          <tpl fld="10" item="0"/>
        </tpls>
      </n>
      <n v="2366" in="1">
        <tpls c="6">
          <tpl fld="3" item="3"/>
          <tpl fld="11" item="0"/>
          <tpl fld="6" item="1"/>
          <tpl hier="236" item="0"/>
          <tpl fld="4" item="3"/>
          <tpl fld="10" item="8"/>
        </tpls>
      </n>
      <n v="2.3499999999999996" in="2">
        <tpls c="6">
          <tpl fld="11" item="0"/>
          <tpl fld="6" item="2"/>
          <tpl fld="8" item="1"/>
          <tpl hier="236" item="0"/>
          <tpl fld="4" item="4"/>
          <tpl fld="10" item="1"/>
        </tpls>
      </n>
      <m>
        <tpls c="4">
          <tpl fld="7" item="8"/>
          <tpl fld="6" item="2"/>
          <tpl hier="236" item="0"/>
          <tpl fld="4" item="1"/>
        </tpls>
      </m>
      <n v="1.75" in="2">
        <tpls c="6">
          <tpl fld="11" item="0"/>
          <tpl fld="6" item="2"/>
          <tpl fld="8" item="1"/>
          <tpl hier="236" item="0"/>
          <tpl fld="4" item="7"/>
          <tpl fld="10" item="5"/>
        </tpls>
      </n>
      <m>
        <tpls c="4">
          <tpl fld="7" item="590"/>
          <tpl fld="6" item="2"/>
          <tpl hier="236" item="0"/>
          <tpl fld="4" item="4"/>
        </tpls>
      </m>
      <m>
        <tpls c="4">
          <tpl fld="7" item="1185"/>
          <tpl fld="6" item="1"/>
          <tpl hier="236" item="0"/>
          <tpl fld="1" item="0"/>
        </tpls>
      </m>
      <m>
        <tpls c="4">
          <tpl fld="7" item="671"/>
          <tpl fld="6" item="1"/>
          <tpl hier="236" item="0"/>
          <tpl fld="1" item="0"/>
        </tpls>
      </m>
      <m>
        <tpls c="3">
          <tpl fld="7" item="64"/>
          <tpl fld="6" item="3"/>
          <tpl hier="236" item="0"/>
        </tpls>
      </m>
      <m>
        <tpls c="4">
          <tpl fld="7" item="293"/>
          <tpl fld="6" item="1"/>
          <tpl hier="236" item="0"/>
          <tpl fld="4" item="6"/>
        </tpls>
      </m>
      <m>
        <tpls c="4">
          <tpl fld="7" item="197"/>
          <tpl fld="6" item="1"/>
          <tpl hier="236" item="0"/>
          <tpl fld="4" item="6"/>
        </tpls>
      </m>
      <n v="968" in="1">
        <tpls c="6">
          <tpl fld="3" item="1"/>
          <tpl fld="11" item="0"/>
          <tpl fld="6" item="1"/>
          <tpl hier="236" item="0"/>
          <tpl fld="4" item="6"/>
          <tpl fld="10" item="2"/>
        </tpls>
      </n>
      <m>
        <tpls c="4">
          <tpl fld="7" item="233"/>
          <tpl fld="6" item="1"/>
          <tpl hier="236" item="0"/>
          <tpl fld="4" item="4"/>
        </tpls>
      </m>
      <m>
        <tpls c="3">
          <tpl fld="7" item="145"/>
          <tpl fld="6" item="3"/>
          <tpl hier="236" item="0"/>
        </tpls>
      </m>
      <n v="8.7222972972972972" in="2">
        <tpls c="6">
          <tpl fld="11" item="0"/>
          <tpl fld="5" item="5"/>
          <tpl fld="6" item="2"/>
          <tpl hier="236" item="0"/>
          <tpl fld="4" item="3"/>
          <tpl fld="10" item="0"/>
        </tpls>
      </n>
      <n v="19.095945945945946" in="2">
        <tpls c="6">
          <tpl fld="11" item="0"/>
          <tpl fld="5" item="5"/>
          <tpl fld="6" item="2"/>
          <tpl hier="236" item="0"/>
          <tpl fld="4" item="4"/>
          <tpl fld="10" item="3"/>
        </tpls>
      </n>
      <n v="37" in="1">
        <tpls c="6">
          <tpl fld="3" item="0"/>
          <tpl fld="11" item="0"/>
          <tpl fld="6" item="1"/>
          <tpl hier="236" item="0"/>
          <tpl fld="4" item="7"/>
          <tpl fld="10" item="0"/>
        </tpls>
      </n>
      <n v="0" in="1">
        <tpls c="6">
          <tpl fld="3" item="2"/>
          <tpl fld="11" item="0"/>
          <tpl fld="6" item="1"/>
          <tpl hier="236" item="0"/>
          <tpl fld="4" item="7"/>
          <tpl fld="10" item="5"/>
        </tpls>
      </n>
      <n v="105.75824324324324" in="2">
        <tpls c="5">
          <tpl fld="11" item="0"/>
          <tpl fld="6" item="2"/>
          <tpl hier="236" item="0"/>
          <tpl fld="4" item="6"/>
          <tpl fld="10" item="0"/>
        </tpls>
      </n>
      <m>
        <tpls c="4">
          <tpl fld="7" item="117"/>
          <tpl fld="6" item="1"/>
          <tpl hier="236" item="0"/>
          <tpl fld="4" item="4"/>
        </tpls>
      </m>
      <n v="31.27128378378378" in="2">
        <tpls c="5">
          <tpl fld="11" item="0"/>
          <tpl fld="6" item="2"/>
          <tpl fld="8" item="0"/>
          <tpl hier="236" item="0"/>
          <tpl fld="4" item="5"/>
        </tpls>
      </n>
      <m>
        <tpls c="4">
          <tpl fld="7" item="474"/>
          <tpl fld="6" item="2"/>
          <tpl hier="236" item="0"/>
          <tpl fld="4" item="4"/>
        </tpls>
      </m>
      <m>
        <tpls c="3">
          <tpl fld="7" item="152"/>
          <tpl fld="6" item="3"/>
          <tpl hier="236" item="0"/>
        </tpls>
      </m>
      <m>
        <tpls c="3">
          <tpl fld="7" item="160"/>
          <tpl fld="6" item="3"/>
          <tpl hier="236" item="0"/>
        </tpls>
      </m>
      <m>
        <tpls c="3">
          <tpl fld="7" item="65"/>
          <tpl fld="6" item="3"/>
          <tpl hier="236" item="0"/>
        </tpls>
      </m>
      <m>
        <tpls c="4">
          <tpl fld="7" item="294"/>
          <tpl fld="6" item="1"/>
          <tpl hier="236" item="0"/>
          <tpl fld="4" item="6"/>
        </tpls>
      </m>
      <m>
        <tpls c="4">
          <tpl fld="7" item="198"/>
          <tpl fld="6" item="1"/>
          <tpl hier="236" item="0"/>
          <tpl fld="4" item="6"/>
        </tpls>
      </m>
      <n v="630" in="1">
        <tpls c="6">
          <tpl fld="3" item="3"/>
          <tpl fld="11" item="0"/>
          <tpl fld="6" item="1"/>
          <tpl hier="236" item="0"/>
          <tpl fld="4" item="7"/>
          <tpl fld="10" item="7"/>
        </tpls>
      </n>
      <m>
        <tpls c="4">
          <tpl fld="7" item="238"/>
          <tpl fld="6" item="1"/>
          <tpl hier="236" item="0"/>
          <tpl fld="4" item="4"/>
        </tpls>
      </m>
      <m>
        <tpls c="3">
          <tpl fld="7" item="146"/>
          <tpl fld="6" item="3"/>
          <tpl hier="236" item="0"/>
        </tpls>
      </m>
      <m>
        <tpls c="4">
          <tpl fld="7" item="264"/>
          <tpl fld="6" item="1"/>
          <tpl hier="236" item="0"/>
          <tpl fld="4" item="6"/>
        </tpls>
      </m>
      <m>
        <tpls c="4">
          <tpl fld="7" item="272"/>
          <tpl fld="6" item="1"/>
          <tpl hier="236" item="0"/>
          <tpl fld="4" item="6"/>
        </tpls>
      </m>
      <m>
        <tpls c="4">
          <tpl fld="7" item="287"/>
          <tpl fld="6" item="1"/>
          <tpl hier="236" item="0"/>
          <tpl fld="4" item="4"/>
        </tpls>
      </m>
      <m>
        <tpls c="4">
          <tpl fld="7" item="673"/>
          <tpl fld="6" item="2"/>
          <tpl hier="236" item="0"/>
          <tpl fld="4" item="1"/>
        </tpls>
      </m>
      <n v="420" in="1">
        <tpls c="6">
          <tpl fld="11" item="0"/>
          <tpl fld="2" item="2"/>
          <tpl fld="6" item="1"/>
          <tpl hier="236" item="0"/>
          <tpl fld="4" item="4"/>
          <tpl fld="10" item="2"/>
        </tpls>
      </n>
      <m>
        <tpls c="4">
          <tpl fld="7" item="139"/>
          <tpl fld="6" item="2"/>
          <tpl hier="236" item="0"/>
          <tpl fld="4" item="1"/>
        </tpls>
      </m>
      <n v="0" in="1">
        <tpls c="4">
          <tpl fld="7" item="485"/>
          <tpl fld="6" item="1"/>
          <tpl hier="236" item="0"/>
          <tpl fld="4" item="4"/>
        </tpls>
      </n>
      <m>
        <tpls c="4">
          <tpl fld="7" item="253"/>
          <tpl fld="6" item="2"/>
          <tpl hier="236" item="0"/>
          <tpl fld="4" item="4"/>
        </tpls>
      </m>
      <m>
        <tpls c="4">
          <tpl fld="7" item="54"/>
          <tpl fld="6" item="1"/>
          <tpl hier="236" item="0"/>
          <tpl fld="4" item="6"/>
        </tpls>
      </m>
      <m>
        <tpls c="4">
          <tpl fld="7" item="72"/>
          <tpl fld="6" item="1"/>
          <tpl hier="236" item="0"/>
          <tpl fld="4" item="6"/>
        </tpls>
      </m>
      <m>
        <tpls c="4">
          <tpl fld="7" item="196"/>
          <tpl fld="6" item="1"/>
          <tpl hier="236" item="0"/>
          <tpl fld="4" item="4"/>
        </tpls>
      </m>
      <n v="770" in="1">
        <tpls c="6">
          <tpl fld="11" item="0"/>
          <tpl fld="2" item="2"/>
          <tpl fld="6" item="1"/>
          <tpl hier="236" item="0"/>
          <tpl fld="4" item="6"/>
          <tpl fld="10" item="2"/>
        </tpls>
      </n>
      <m>
        <tpls c="4">
          <tpl fld="7" item="12"/>
          <tpl fld="6" item="2"/>
          <tpl hier="236" item="0"/>
          <tpl fld="4" item="1"/>
        </tpls>
      </m>
      <m>
        <tpls c="4">
          <tpl fld="7" item="144"/>
          <tpl fld="6" item="1"/>
          <tpl hier="236" item="0"/>
          <tpl fld="4" item="6"/>
        </tpls>
      </m>
      <m>
        <tpls c="4">
          <tpl fld="7" item="407"/>
          <tpl fld="6" item="2"/>
          <tpl hier="236" item="0"/>
          <tpl fld="4" item="4"/>
        </tpls>
      </m>
      <m>
        <tpls c="4">
          <tpl fld="7" item="409"/>
          <tpl fld="6" item="2"/>
          <tpl hier="236" item="0"/>
          <tpl fld="4" item="4"/>
        </tpls>
      </m>
      <m>
        <tpls c="4">
          <tpl fld="7" item="285"/>
          <tpl fld="6" item="2"/>
          <tpl hier="236" item="0"/>
          <tpl fld="4" item="1"/>
        </tpls>
      </m>
      <m>
        <tpls c="3">
          <tpl fld="7" item="345"/>
          <tpl fld="6" item="3"/>
          <tpl hier="236" item="0"/>
        </tpls>
      </m>
      <m>
        <tpls c="3">
          <tpl fld="7" item="94"/>
          <tpl fld="6" item="3"/>
          <tpl hier="236" item="0"/>
        </tpls>
      </m>
      <m>
        <tpls c="4">
          <tpl fld="7" item="0"/>
          <tpl fld="6" item="1"/>
          <tpl hier="236" item="0"/>
          <tpl fld="4" item="4"/>
        </tpls>
      </m>
      <m>
        <tpls c="4">
          <tpl fld="7" item="411"/>
          <tpl fld="6" item="1"/>
          <tpl hier="236" item="0"/>
          <tpl fld="4" item="4"/>
        </tpls>
      </m>
      <m>
        <tpls c="4">
          <tpl fld="7" item="104"/>
          <tpl fld="6" item="1"/>
          <tpl hier="236" item="0"/>
          <tpl fld="4" item="4"/>
        </tpls>
      </m>
      <m>
        <tpls c="4">
          <tpl fld="7" item="597"/>
          <tpl fld="6" item="1"/>
          <tpl hier="236" item="0"/>
          <tpl fld="4" item="4"/>
        </tpls>
      </m>
      <n v="1.5" in="2">
        <tpls c="4">
          <tpl fld="7" item="444"/>
          <tpl fld="6" item="2"/>
          <tpl hier="236" item="0"/>
          <tpl fld="4" item="1"/>
        </tpls>
      </n>
      <m>
        <tpls c="3">
          <tpl fld="7" item="386"/>
          <tpl fld="6" item="3"/>
          <tpl hier="236" item="0"/>
        </tpls>
      </m>
      <m>
        <tpls c="4">
          <tpl fld="7" item="392"/>
          <tpl fld="6" item="1"/>
          <tpl hier="236" item="0"/>
          <tpl fld="1" item="0"/>
        </tpls>
      </m>
      <m>
        <tpls c="4">
          <tpl fld="7" item="539"/>
          <tpl fld="6" item="2"/>
          <tpl hier="236" item="0"/>
          <tpl fld="4" item="5"/>
        </tpls>
      </m>
      <m>
        <tpls c="4">
          <tpl fld="7" item="2"/>
          <tpl fld="6" item="1"/>
          <tpl hier="236" item="0"/>
          <tpl fld="4" item="4"/>
        </tpls>
      </m>
      <m>
        <tpls c="4">
          <tpl fld="7" item="172"/>
          <tpl fld="6" item="1"/>
          <tpl hier="236" item="0"/>
          <tpl fld="4" item="4"/>
        </tpls>
      </m>
      <m>
        <tpls c="3">
          <tpl fld="7" item="212"/>
          <tpl fld="6" item="3"/>
          <tpl hier="236" item="0"/>
        </tpls>
      </m>
      <m>
        <tpls c="4">
          <tpl fld="7" item="502"/>
          <tpl fld="6" item="1"/>
          <tpl hier="236" item="0"/>
          <tpl fld="4" item="4"/>
        </tpls>
      </m>
      <n v="2" in="2">
        <tpls c="4">
          <tpl fld="7" item="680"/>
          <tpl fld="6" item="2"/>
          <tpl hier="236" item="0"/>
          <tpl fld="4" item="1"/>
        </tpls>
      </n>
      <m>
        <tpls c="3">
          <tpl fld="7" item="457"/>
          <tpl fld="6" item="3"/>
          <tpl hier="236" item="0"/>
        </tpls>
      </m>
      <m>
        <tpls c="4">
          <tpl fld="7" item="463"/>
          <tpl fld="6" item="1"/>
          <tpl hier="236" item="0"/>
          <tpl fld="4" item="4"/>
        </tpls>
      </m>
      <m>
        <tpls c="4">
          <tpl fld="7" item="1057"/>
          <tpl fld="6" item="1"/>
          <tpl hier="236" item="0"/>
          <tpl fld="4" item="5"/>
        </tpls>
      </m>
      <m>
        <tpls c="4">
          <tpl fld="7" item="245"/>
          <tpl fld="6" item="1"/>
          <tpl hier="236" item="0"/>
          <tpl fld="4" item="6"/>
        </tpls>
      </m>
      <m>
        <tpls c="3">
          <tpl fld="7" item="74"/>
          <tpl fld="6" item="3"/>
          <tpl hier="236" item="0"/>
        </tpls>
      </m>
      <m>
        <tpls c="4">
          <tpl fld="7" item="404"/>
          <tpl fld="6" item="2"/>
          <tpl hier="236" item="0"/>
          <tpl fld="4" item="1"/>
        </tpls>
      </m>
      <m>
        <tpls c="4">
          <tpl fld="7" item="263"/>
          <tpl fld="6" item="2"/>
          <tpl hier="236" item="0"/>
          <tpl fld="4" item="6"/>
        </tpls>
      </m>
      <m>
        <tpls c="4">
          <tpl fld="7" item="50"/>
          <tpl fld="6" item="2"/>
          <tpl hier="236" item="0"/>
          <tpl fld="4" item="6"/>
        </tpls>
      </m>
      <m>
        <tpls c="4">
          <tpl fld="7" item="338"/>
          <tpl fld="6" item="1"/>
          <tpl hier="236" item="0"/>
          <tpl fld="4" item="6"/>
        </tpls>
      </m>
      <m>
        <tpls c="4">
          <tpl fld="7" item="339"/>
          <tpl fld="6" item="1"/>
          <tpl hier="236" item="0"/>
          <tpl fld="4" item="6"/>
        </tpls>
      </m>
      <m>
        <tpls c="4">
          <tpl fld="7" item="66"/>
          <tpl fld="6" item="1"/>
          <tpl hier="236" item="0"/>
          <tpl fld="4" item="6"/>
        </tpls>
      </m>
      <m>
        <tpls c="3">
          <tpl fld="7" item="179"/>
          <tpl fld="6" item="3"/>
          <tpl hier="236" item="0"/>
        </tpls>
      </m>
      <m>
        <tpls c="4">
          <tpl fld="7" item="294"/>
          <tpl fld="6" item="1"/>
          <tpl hier="236" item="0"/>
          <tpl fld="4" item="4"/>
        </tpls>
      </m>
      <m>
        <tpls c="4">
          <tpl fld="7" item="83"/>
          <tpl fld="6" item="1"/>
          <tpl hier="236" item="0"/>
          <tpl fld="4" item="6"/>
        </tpls>
      </m>
      <m>
        <tpls c="4">
          <tpl fld="7" item="755"/>
          <tpl fld="6" item="1"/>
          <tpl hier="236" item="0"/>
          <tpl fld="4" item="6"/>
        </tpls>
      </m>
      <m>
        <tpls c="4">
          <tpl fld="7" item="200"/>
          <tpl fld="6" item="2"/>
          <tpl hier="236" item="0"/>
          <tpl fld="4" item="4"/>
        </tpls>
      </m>
      <m>
        <tpls c="4">
          <tpl fld="7" item="204"/>
          <tpl fld="6" item="2"/>
          <tpl hier="236" item="0"/>
          <tpl fld="4" item="4"/>
        </tpls>
      </m>
      <n v="1541" in="1">
        <tpls c="6">
          <tpl fld="11" item="0"/>
          <tpl fld="2" item="1"/>
          <tpl fld="6" item="1"/>
          <tpl hier="236" item="0"/>
          <tpl fld="4" item="6"/>
          <tpl fld="10" item="8"/>
        </tpls>
      </n>
      <n v="63.63222972972973" in="2">
        <tpls c="6">
          <tpl fld="11" item="0"/>
          <tpl fld="6" item="2"/>
          <tpl fld="8" item="1"/>
          <tpl hier="236" item="0"/>
          <tpl fld="4" item="6"/>
          <tpl fld="10" item="0"/>
        </tpls>
      </n>
      <m>
        <tpls c="4">
          <tpl fld="7" item="218"/>
          <tpl fld="6" item="1"/>
          <tpl hier="236" item="0"/>
          <tpl fld="1" item="0"/>
        </tpls>
      </m>
      <m>
        <tpls c="4">
          <tpl fld="7" item="226"/>
          <tpl fld="6" item="1"/>
          <tpl hier="236" item="0"/>
          <tpl fld="1" item="0"/>
        </tpls>
      </m>
      <m>
        <tpls c="4">
          <tpl fld="7" item="244"/>
          <tpl fld="6" item="2"/>
          <tpl hier="236" item="0"/>
          <tpl fld="4" item="1"/>
        </tpls>
      </m>
      <m>
        <tpls c="4">
          <tpl fld="7" item="248"/>
          <tpl fld="6" item="2"/>
          <tpl hier="236" item="0"/>
          <tpl fld="4" item="1"/>
        </tpls>
      </m>
      <m>
        <tpls c="4">
          <tpl fld="7" item="252"/>
          <tpl fld="6" item="2"/>
          <tpl hier="236" item="0"/>
          <tpl fld="4" item="1"/>
        </tpls>
      </m>
      <m>
        <tpls c="3">
          <tpl fld="7" item="476"/>
          <tpl fld="6" item="3"/>
          <tpl hier="236" item="0"/>
        </tpls>
      </m>
      <m>
        <tpls c="4">
          <tpl fld="7" item="260"/>
          <tpl fld="6" item="1"/>
          <tpl hier="236" item="0"/>
          <tpl fld="4" item="4"/>
        </tpls>
      </m>
      <m>
        <tpls c="4">
          <tpl fld="7" item="154"/>
          <tpl fld="6" item="1"/>
          <tpl hier="236" item="0"/>
          <tpl fld="4" item="4"/>
        </tpls>
      </m>
      <m>
        <tpls c="4">
          <tpl fld="7" item="157"/>
          <tpl fld="6" item="1"/>
          <tpl hier="236" item="0"/>
          <tpl fld="4" item="4"/>
        </tpls>
      </m>
      <m>
        <tpls c="4">
          <tpl fld="7" item="268"/>
          <tpl fld="6" item="1"/>
          <tpl hier="236" item="0"/>
          <tpl fld="4" item="4"/>
        </tpls>
      </m>
      <m>
        <tpls c="4">
          <tpl fld="7" item="162"/>
          <tpl fld="6" item="1"/>
          <tpl hier="236" item="0"/>
          <tpl fld="4" item="4"/>
        </tpls>
      </m>
      <m>
        <tpls c="4">
          <tpl fld="7" item="165"/>
          <tpl fld="6" item="1"/>
          <tpl hier="236" item="0"/>
          <tpl fld="4" item="4"/>
        </tpls>
      </m>
      <m>
        <tpls c="4">
          <tpl fld="7" item="64"/>
          <tpl fld="6" item="2"/>
          <tpl hier="236" item="0"/>
          <tpl fld="4" item="4"/>
        </tpls>
      </m>
      <m>
        <tpls c="4">
          <tpl fld="7" item="68"/>
          <tpl fld="6" item="2"/>
          <tpl hier="236" item="0"/>
          <tpl fld="4" item="4"/>
        </tpls>
      </m>
      <m>
        <tpls c="4">
          <tpl fld="7" item="73"/>
          <tpl fld="6" item="1"/>
          <tpl hier="236" item="0"/>
          <tpl fld="4" item="4"/>
        </tpls>
      </m>
      <m>
        <tpls c="4">
          <tpl fld="7" item="77"/>
          <tpl fld="6" item="1"/>
          <tpl hier="236" item="0"/>
          <tpl fld="4" item="4"/>
        </tpls>
      </m>
      <m>
        <tpls c="4">
          <tpl fld="7" item="81"/>
          <tpl fld="6" item="1"/>
          <tpl hier="236" item="0"/>
          <tpl fld="4" item="4"/>
        </tpls>
      </m>
      <m>
        <tpls c="4">
          <tpl fld="7" item="346"/>
          <tpl fld="6" item="1"/>
          <tpl hier="236" item="0"/>
          <tpl fld="4" item="4"/>
        </tpls>
      </m>
      <m>
        <tpls c="4">
          <tpl fld="7" item="347"/>
          <tpl fld="6" item="1"/>
          <tpl hier="236" item="0"/>
          <tpl fld="4" item="4"/>
        </tpls>
      </m>
      <m>
        <tpls c="4">
          <tpl fld="7" item="348"/>
          <tpl fld="6" item="1"/>
          <tpl hier="236" item="0"/>
          <tpl fld="4" item="4"/>
        </tpls>
      </m>
      <m>
        <tpls c="4">
          <tpl fld="7" item="206"/>
          <tpl fld="6" item="2"/>
          <tpl hier="236" item="0"/>
          <tpl fld="4" item="1"/>
        </tpls>
      </m>
      <m>
        <tpls c="4">
          <tpl fld="7" item="210"/>
          <tpl fld="6" item="2"/>
          <tpl hier="236" item="0"/>
          <tpl fld="4" item="1"/>
        </tpls>
      </m>
      <m>
        <tpls c="6">
          <tpl fld="11" item="0"/>
          <tpl fld="6" item="2"/>
          <tpl fld="8" item="1"/>
          <tpl hier="236" item="0"/>
          <tpl fld="4" item="3"/>
          <tpl fld="10" item="6"/>
        </tpls>
      </m>
      <m>
        <tpls c="3">
          <tpl fld="7" item="251"/>
          <tpl fld="6" item="3"/>
          <tpl hier="236" item="0"/>
        </tpls>
      </m>
      <m>
        <tpls c="4">
          <tpl fld="7" item="591"/>
          <tpl fld="6" item="1"/>
          <tpl hier="236" item="0"/>
          <tpl fld="4" item="5"/>
        </tpls>
      </m>
      <m>
        <tpls c="4">
          <tpl fld="7" item="339"/>
          <tpl fld="6" item="1"/>
          <tpl hier="236" item="0"/>
          <tpl fld="4" item="5"/>
        </tpls>
      </m>
      <m>
        <tpls c="4">
          <tpl fld="7" item="343"/>
          <tpl fld="6" item="1"/>
          <tpl hier="236" item="0"/>
          <tpl fld="4" item="6"/>
        </tpls>
      </m>
      <m>
        <tpls c="4">
          <tpl fld="7" item="86"/>
          <tpl fld="6" item="1"/>
          <tpl hier="236" item="0"/>
          <tpl fld="4" item="6"/>
        </tpls>
      </m>
      <m>
        <tpls c="4">
          <tpl fld="7" item="315"/>
          <tpl fld="6" item="2"/>
          <tpl hier="236" item="0"/>
          <tpl fld="4" item="4"/>
        </tpls>
      </m>
      <m>
        <tpls c="4">
          <tpl fld="7" item="103"/>
          <tpl fld="6" item="2"/>
          <tpl hier="236" item="0"/>
          <tpl fld="4" item="4"/>
        </tpls>
      </m>
      <m>
        <tpls c="4">
          <tpl fld="7" item="422"/>
          <tpl fld="6" item="2"/>
          <tpl hier="236" item="0"/>
          <tpl fld="4" item="1"/>
        </tpls>
      </m>
      <m>
        <tpls c="4">
          <tpl fld="7" item="675"/>
          <tpl fld="6" item="1"/>
          <tpl hier="236" item="0"/>
          <tpl fld="4" item="4"/>
        </tpls>
      </m>
      <m>
        <tpls c="4">
          <tpl fld="7" item="596"/>
          <tpl fld="6" item="2"/>
          <tpl hier="236" item="0"/>
          <tpl fld="4" item="4"/>
        </tpls>
      </m>
      <n v="2" in="1">
        <tpls c="4">
          <tpl fld="7" item="501"/>
          <tpl fld="6" item="1"/>
          <tpl hier="236" item="0"/>
          <tpl fld="4" item="6"/>
        </tpls>
      </n>
      <n v="1" in="3">
        <tpls c="3">
          <tpl fld="7" item="363"/>
          <tpl fld="6" item="3"/>
          <tpl hier="236" item="0"/>
        </tpls>
      </n>
      <n v="1" in="2">
        <tpls c="4">
          <tpl fld="7" item="437"/>
          <tpl fld="6" item="2"/>
          <tpl hier="236" item="0"/>
          <tpl fld="4" item="1"/>
        </tpls>
      </n>
      <m>
        <tpls c="4">
          <tpl fld="7" item="679"/>
          <tpl fld="6" item="1"/>
          <tpl hier="236" item="0"/>
          <tpl fld="4" item="4"/>
        </tpls>
      </m>
      <n v="1" in="2">
        <tpls c="4">
          <tpl fld="7" item="600"/>
          <tpl fld="6" item="2"/>
          <tpl hier="236" item="0"/>
          <tpl fld="4" item="4"/>
        </tpls>
      </n>
      <n v="8" in="1">
        <tpls c="4">
          <tpl fld="7" item="517"/>
          <tpl fld="6" item="1"/>
          <tpl hier="236" item="0"/>
          <tpl fld="4" item="6"/>
        </tpls>
      </n>
      <n v="1" in="3">
        <tpls c="3">
          <tpl fld="7" item="379"/>
          <tpl fld="6" item="3"/>
          <tpl hier="236" item="0"/>
        </tpls>
      </n>
      <m>
        <tpls c="4">
          <tpl fld="7" item="453"/>
          <tpl fld="6" item="2"/>
          <tpl hier="236" item="0"/>
          <tpl fld="4" item="1"/>
        </tpls>
      </m>
      <n v="17" in="1">
        <tpls c="4">
          <tpl fld="7" item="683"/>
          <tpl fld="6" item="1"/>
          <tpl hier="236" item="0"/>
          <tpl fld="4" item="4"/>
        </tpls>
      </n>
      <n v="1" in="1">
        <tpls c="4">
          <tpl fld="7" item="879"/>
          <tpl fld="6" item="1"/>
          <tpl hier="236" item="0"/>
          <tpl fld="4" item="4"/>
        </tpls>
      </n>
      <m>
        <tpls c="4">
          <tpl fld="7" item="530"/>
          <tpl fld="6" item="2"/>
          <tpl hier="236" item="0"/>
          <tpl fld="4" item="5"/>
        </tpls>
      </m>
      <m>
        <tpls c="4">
          <tpl fld="7" item="461"/>
          <tpl fld="6" item="2"/>
          <tpl hier="236" item="0"/>
          <tpl fld="4" item="6"/>
        </tpls>
      </m>
      <m>
        <tpls c="4">
          <tpl fld="7" item="533"/>
          <tpl fld="6" item="1"/>
          <tpl hier="236" item="0"/>
          <tpl fld="4" item="5"/>
        </tpls>
      </m>
      <m>
        <tpls c="4">
          <tpl fld="7" item="464"/>
          <tpl fld="6" item="1"/>
          <tpl hier="236" item="0"/>
          <tpl fld="4" item="6"/>
        </tpls>
      </m>
      <m>
        <tpls c="4">
          <tpl fld="7" item="536"/>
          <tpl fld="6" item="2"/>
          <tpl hier="236" item="0"/>
          <tpl fld="4" item="1"/>
        </tpls>
      </m>
      <m>
        <tpls c="4">
          <tpl fld="7" item="686"/>
          <tpl fld="6" item="2"/>
          <tpl hier="236" item="0"/>
          <tpl fld="1" item="0"/>
        </tpls>
      </m>
      <m>
        <tpls c="4">
          <tpl fld="7" item="769"/>
          <tpl fld="6" item="1"/>
          <tpl hier="236" item="0"/>
          <tpl fld="4" item="1"/>
        </tpls>
      </m>
      <m>
        <tpls c="4">
          <tpl fld="7" item="770"/>
          <tpl fld="6" item="1"/>
          <tpl hier="236" item="0"/>
          <tpl fld="1" item="0"/>
        </tpls>
      </m>
      <n v="1" in="2">
        <tpls c="4">
          <tpl fld="7" item="1087"/>
          <tpl fld="6" item="2"/>
          <tpl hier="236" item="0"/>
          <tpl fld="4" item="4"/>
        </tpls>
      </n>
      <m>
        <tpls c="3">
          <tpl fld="7" item="1212"/>
          <tpl fld="6" item="3"/>
          <tpl hier="236" item="0"/>
        </tpls>
      </m>
      <n v="1073" in="1">
        <tpls c="5">
          <tpl fld="11" item="0"/>
          <tpl fld="6" item="1"/>
          <tpl hier="236" item="0"/>
          <tpl fld="4" item="7"/>
          <tpl fld="10" item="3"/>
        </tpls>
      </n>
      <m>
        <tpls c="4">
          <tpl fld="7" item="137"/>
          <tpl fld="6" item="2"/>
          <tpl hier="236" item="0"/>
          <tpl fld="4" item="4"/>
        </tpls>
      </m>
      <m>
        <tpls c="4">
          <tpl fld="7" item="150"/>
          <tpl fld="6" item="2"/>
          <tpl hier="236" item="0"/>
          <tpl fld="4" item="1"/>
        </tpls>
      </m>
      <m>
        <tpls c="4">
          <tpl fld="7" item="158"/>
          <tpl fld="6" item="2"/>
          <tpl hier="236" item="0"/>
          <tpl fld="4" item="1"/>
        </tpls>
      </m>
      <m>
        <tpls c="4">
          <tpl fld="7" item="59"/>
          <tpl fld="6" item="1"/>
          <tpl hier="236" item="0"/>
          <tpl fld="4" item="4"/>
        </tpls>
      </m>
      <m>
        <tpls c="4">
          <tpl fld="7" item="414"/>
          <tpl fld="6" item="1"/>
          <tpl hier="236" item="0"/>
          <tpl fld="4" item="6"/>
        </tpls>
      </m>
      <m>
        <tpls c="4">
          <tpl fld="7" item="87"/>
          <tpl fld="6" item="1"/>
          <tpl hier="236" item="0"/>
          <tpl fld="4" item="6"/>
        </tpls>
      </m>
      <n v="0" in="1">
        <tpls c="4">
          <tpl fld="7" item="207"/>
          <tpl fld="6" item="1"/>
          <tpl hier="236" item="0"/>
          <tpl fld="4" item="4"/>
        </tpls>
      </n>
      <m>
        <tpls c="4">
          <tpl fld="7" item="756"/>
          <tpl fld="6" item="2"/>
          <tpl hier="236" item="0"/>
          <tpl fld="4" item="1"/>
        </tpls>
      </m>
      <m>
        <tpls c="4">
          <tpl fld="7" item="323"/>
          <tpl fld="6" item="2"/>
          <tpl hier="236" item="0"/>
          <tpl fld="4" item="1"/>
        </tpls>
      </m>
      <m>
        <tpls c="4">
          <tpl fld="7" item="495"/>
          <tpl fld="6" item="1"/>
          <tpl hier="236" item="0"/>
          <tpl fld="4" item="4"/>
        </tpls>
      </m>
      <m>
        <tpls c="4">
          <tpl fld="7" item="498"/>
          <tpl fld="6" item="2"/>
          <tpl hier="236" item="0"/>
          <tpl fld="4" item="4"/>
        </tpls>
      </m>
      <n v="1" in="1">
        <tpls c="4">
          <tpl fld="7" item="360"/>
          <tpl fld="6" item="1"/>
          <tpl hier="236" item="0"/>
          <tpl fld="4" item="6"/>
        </tpls>
      </n>
      <n v="1" in="3">
        <tpls c="3">
          <tpl fld="7" item="434"/>
          <tpl fld="6" item="3"/>
          <tpl hier="236" item="0"/>
        </tpls>
      </n>
      <m>
        <tpls c="4">
          <tpl fld="7" item="760"/>
          <tpl fld="6" item="2"/>
          <tpl hier="236" item="0"/>
          <tpl fld="4" item="1"/>
        </tpls>
      </m>
      <n v="4" in="1">
        <tpls c="4">
          <tpl fld="7" item="511"/>
          <tpl fld="6" item="1"/>
          <tpl hier="236" item="0"/>
          <tpl fld="4" item="4"/>
        </tpls>
      </n>
      <m>
        <tpls c="4">
          <tpl fld="7" item="514"/>
          <tpl fld="6" item="2"/>
          <tpl hier="236" item="0"/>
          <tpl fld="4" item="4"/>
        </tpls>
      </m>
      <n v="18" in="1">
        <tpls c="4">
          <tpl fld="7" item="376"/>
          <tpl fld="6" item="1"/>
          <tpl hier="236" item="0"/>
          <tpl fld="4" item="6"/>
        </tpls>
      </n>
      <n v="1" in="3">
        <tpls c="3">
          <tpl fld="7" item="450"/>
          <tpl fld="6" item="3"/>
          <tpl hier="236" item="0"/>
        </tpls>
      </n>
      <m>
        <tpls c="4">
          <tpl fld="7" item="764"/>
          <tpl fld="6" item="2"/>
          <tpl hier="236" item="0"/>
          <tpl fld="4" item="1"/>
        </tpls>
      </m>
      <n v="9" in="1">
        <tpls c="4">
          <tpl fld="7" item="527"/>
          <tpl fld="6" item="1"/>
          <tpl hier="236" item="0"/>
          <tpl fld="4" item="4"/>
        </tpls>
      </n>
      <m>
        <tpls c="4">
          <tpl fld="7" item="879"/>
          <tpl fld="6" item="1"/>
          <tpl hier="236" item="0"/>
          <tpl fld="4" item="5"/>
        </tpls>
      </m>
      <n v="0" in="1">
        <tpls c="4">
          <tpl fld="7" item="389"/>
          <tpl fld="6" item="1"/>
          <tpl hier="236" item="0"/>
          <tpl fld="4" item="6"/>
        </tpls>
      </n>
      <m>
        <tpls c="4">
          <tpl fld="7" item="766"/>
          <tpl fld="6" item="2"/>
          <tpl hier="236" item="0"/>
          <tpl fld="4" item="1"/>
        </tpls>
      </m>
      <m>
        <tpls c="4">
          <tpl fld="7" item="533"/>
          <tpl fld="6" item="2"/>
          <tpl hier="236" item="0"/>
          <tpl fld="1" item="0"/>
        </tpls>
      </m>
      <n v="1" in="1">
        <tpls c="4">
          <tpl fld="7" item="464"/>
          <tpl fld="6" item="1"/>
          <tpl hier="236" item="0"/>
          <tpl fld="4" item="1"/>
        </tpls>
      </n>
      <n v="369" in="1">
        <tpls c="6">
          <tpl fld="11" item="0"/>
          <tpl fld="5" item="4"/>
          <tpl fld="6" item="1"/>
          <tpl hier="236" item="0"/>
          <tpl fld="4" item="6"/>
          <tpl fld="10" item="8"/>
        </tpls>
      </n>
      <m>
        <tpls c="6">
          <tpl fld="11" item="0"/>
          <tpl fld="5" item="2"/>
          <tpl fld="6" item="2"/>
          <tpl hier="236" item="0"/>
          <tpl fld="4" item="7"/>
          <tpl fld="10" item="1"/>
        </tpls>
      </m>
      <m>
        <tpls c="6">
          <tpl fld="3" item="1"/>
          <tpl fld="11" item="0"/>
          <tpl fld="6" item="2"/>
          <tpl hier="236" item="0"/>
          <tpl fld="4" item="7"/>
          <tpl fld="10" item="4"/>
        </tpls>
      </m>
      <n v="151" in="1">
        <tpls c="6">
          <tpl fld="3" item="0"/>
          <tpl fld="11" item="0"/>
          <tpl fld="6" item="1"/>
          <tpl hier="236" item="0"/>
          <tpl fld="4" item="7"/>
          <tpl fld="10" item="2"/>
        </tpls>
      </n>
      <n v="208" in="1">
        <tpls c="5">
          <tpl fld="11" item="0"/>
          <tpl fld="6" item="1"/>
          <tpl hier="236" item="0"/>
          <tpl fld="4" item="6"/>
          <tpl fld="10" item="6"/>
        </tpls>
      </n>
      <m>
        <tpls c="4">
          <tpl fld="7" item="327"/>
          <tpl fld="6" item="1"/>
          <tpl hier="236" item="0"/>
          <tpl fld="1" item="0"/>
        </tpls>
      </m>
      <m>
        <tpls c="4">
          <tpl fld="7" item="0"/>
          <tpl fld="6" item="1"/>
          <tpl hier="236" item="0"/>
          <tpl fld="4" item="5"/>
        </tpls>
      </m>
      <m>
        <tpls c="4">
          <tpl fld="7" item="249"/>
          <tpl fld="6" item="1"/>
          <tpl hier="236" item="0"/>
          <tpl fld="4" item="6"/>
        </tpls>
      </m>
      <m>
        <tpls c="4">
          <tpl fld="7" item="152"/>
          <tpl fld="6" item="1"/>
          <tpl hier="236" item="0"/>
          <tpl fld="1" item="0"/>
        </tpls>
      </m>
      <m>
        <tpls c="4">
          <tpl fld="7" item="160"/>
          <tpl fld="6" item="1"/>
          <tpl hier="236" item="0"/>
          <tpl fld="1" item="0"/>
        </tpls>
      </m>
      <m>
        <tpls c="4">
          <tpl fld="7" item="173"/>
          <tpl fld="6" item="2"/>
          <tpl hier="236" item="0"/>
          <tpl fld="4" item="1"/>
        </tpls>
      </m>
      <m>
        <tpls c="3">
          <tpl fld="7" item="78"/>
          <tpl fld="6" item="3"/>
          <tpl hier="236" item="0"/>
        </tpls>
      </m>
      <m>
        <tpls c="3">
          <tpl fld="7" item="418"/>
          <tpl fld="6" item="3"/>
          <tpl hier="236" item="0"/>
        </tpls>
      </m>
      <m>
        <tpls c="6">
          <tpl fld="3" item="0"/>
          <tpl fld="11" item="0"/>
          <tpl fld="6" item="2"/>
          <tpl hier="236" item="0"/>
          <tpl fld="4" item="6"/>
          <tpl fld="10" item="3"/>
        </tpls>
      </m>
      <m>
        <tpls c="4">
          <tpl fld="7" item="239"/>
          <tpl fld="6" item="1"/>
          <tpl hier="236" item="0"/>
          <tpl fld="4" item="4"/>
        </tpls>
      </m>
      <m>
        <tpls c="4">
          <tpl fld="7" item="405"/>
          <tpl fld="6" item="2"/>
          <tpl hier="236" item="0"/>
          <tpl fld="4" item="1"/>
        </tpls>
      </m>
      <m>
        <tpls c="4">
          <tpl fld="7" item="154"/>
          <tpl fld="6" item="2"/>
          <tpl hier="236" item="0"/>
          <tpl fld="4" item="6"/>
        </tpls>
      </m>
      <m>
        <tpls c="4">
          <tpl fld="7" item="49"/>
          <tpl fld="6" item="1"/>
          <tpl hier="236" item="0"/>
          <tpl fld="4" item="6"/>
        </tpls>
      </m>
      <m>
        <tpls c="4">
          <tpl fld="7" item="671"/>
          <tpl fld="6" item="2"/>
          <tpl hier="236" item="0"/>
          <tpl fld="4" item="6"/>
        </tpls>
      </m>
      <m>
        <tpls c="4">
          <tpl fld="7" item="162"/>
          <tpl fld="6" item="2"/>
          <tpl hier="236" item="0"/>
          <tpl fld="4" item="6"/>
        </tpls>
      </m>
      <m>
        <tpls c="4">
          <tpl fld="7" item="57"/>
          <tpl fld="6" item="1"/>
          <tpl hier="236" item="0"/>
          <tpl fld="4" item="6"/>
        </tpls>
      </m>
      <m>
        <tpls c="4">
          <tpl fld="7" item="64"/>
          <tpl fld="6" item="1"/>
          <tpl hier="236" item="0"/>
          <tpl fld="4" item="6"/>
        </tpls>
      </m>
      <m>
        <tpls c="4">
          <tpl fld="7" item="483"/>
          <tpl fld="6" item="2"/>
          <tpl hier="236" item="0"/>
          <tpl fld="4" item="1"/>
        </tpls>
      </m>
      <m>
        <tpls c="4">
          <tpl fld="7" item="289"/>
          <tpl fld="6" item="1"/>
          <tpl hier="236" item="0"/>
          <tpl fld="4" item="4"/>
        </tpls>
      </m>
      <m>
        <tpls c="4">
          <tpl fld="7" item="293"/>
          <tpl fld="6" item="2"/>
          <tpl hier="236" item="0"/>
          <tpl fld="4" item="4"/>
        </tpls>
      </m>
      <m>
        <tpls c="3">
          <tpl fld="7" item="189"/>
          <tpl fld="6" item="3"/>
          <tpl hier="236" item="0"/>
        </tpls>
      </m>
      <m>
        <tpls c="4">
          <tpl fld="7" item="193"/>
          <tpl fld="6" item="1"/>
          <tpl hier="236" item="0"/>
          <tpl fld="4" item="4"/>
        </tpls>
      </m>
      <m>
        <tpls c="4">
          <tpl fld="7" item="488"/>
          <tpl fld="6" item="1"/>
          <tpl hier="236" item="0"/>
          <tpl fld="4" item="6"/>
        </tpls>
      </m>
      <m>
        <tpls c="3">
          <tpl fld="7" item="308"/>
          <tpl fld="6" item="3"/>
          <tpl hier="236" item="0"/>
        </tpls>
      </m>
      <m>
        <tpls c="4">
          <tpl fld="7" item="95"/>
          <tpl fld="6" item="2"/>
          <tpl hier="236" item="0"/>
          <tpl fld="4" item="1"/>
        </tpls>
      </m>
      <m>
        <tpls c="4">
          <tpl fld="7" item="206"/>
          <tpl fld="6" item="1"/>
          <tpl hier="236" item="0"/>
          <tpl fld="4" item="4"/>
        </tpls>
      </m>
      <n v="85" in="1">
        <tpls c="6">
          <tpl fld="3" item="0"/>
          <tpl fld="11" item="0"/>
          <tpl fld="6" item="1"/>
          <tpl hier="236" item="0"/>
          <tpl fld="4" item="3"/>
          <tpl fld="10" item="1"/>
        </tpls>
      </n>
      <n v="178.04689189189185" in="2">
        <tpls c="6">
          <tpl fld="11" item="0"/>
          <tpl fld="6" item="2"/>
          <tpl fld="8" item="1"/>
          <tpl hier="236" item="0"/>
          <tpl fld="4" item="4"/>
          <tpl fld="10" item="0"/>
        </tpls>
      </n>
      <n v="4.25" in="2">
        <tpls c="6">
          <tpl fld="11" item="0"/>
          <tpl fld="6" item="2"/>
          <tpl fld="8" item="0"/>
          <tpl hier="236" item="0"/>
          <tpl fld="4" item="3"/>
          <tpl fld="10" item="3"/>
        </tpls>
      </n>
      <m>
        <tpls c="4">
          <tpl fld="7" item="326"/>
          <tpl fld="6" item="1"/>
          <tpl hier="236" item="0"/>
          <tpl fld="4" item="4"/>
        </tpls>
      </m>
      <m>
        <tpls c="4">
          <tpl fld="7" item="14"/>
          <tpl fld="6" item="2"/>
          <tpl hier="236" item="0"/>
          <tpl fld="4" item="1"/>
        </tpls>
      </m>
      <m>
        <tpls c="4">
          <tpl fld="7" item="27"/>
          <tpl fld="6" item="2"/>
          <tpl hier="236" item="0"/>
          <tpl fld="4" item="4"/>
        </tpls>
      </m>
      <m>
        <tpls c="4">
          <tpl fld="7" item="138"/>
          <tpl fld="6" item="1"/>
          <tpl hier="236" item="0"/>
          <tpl fld="4" item="6"/>
        </tpls>
      </m>
      <m>
        <tpls c="3">
          <tpl fld="7" item="333"/>
          <tpl fld="6" item="3"/>
          <tpl hier="236" item="0"/>
        </tpls>
      </m>
      <m>
        <tpls c="4">
          <tpl fld="7" item="253"/>
          <tpl fld="6" item="2"/>
          <tpl hier="236" item="0"/>
          <tpl fld="4" item="1"/>
        </tpls>
      </m>
      <m>
        <tpls c="4">
          <tpl fld="7" item="40"/>
          <tpl fld="6" item="1"/>
          <tpl hier="236" item="0"/>
          <tpl fld="4" item="4"/>
        </tpls>
      </m>
      <m>
        <tpls c="4">
          <tpl fld="7" item="259"/>
          <tpl fld="6" item="2"/>
          <tpl hier="236" item="0"/>
          <tpl fld="4" item="4"/>
        </tpls>
      </m>
      <m>
        <tpls c="4">
          <tpl fld="7" item="261"/>
          <tpl fld="6" item="2"/>
          <tpl hier="236" item="0"/>
          <tpl fld="4" item="4"/>
        </tpls>
      </m>
      <m>
        <tpls c="4">
          <tpl fld="7" item="263"/>
          <tpl fld="6" item="2"/>
          <tpl hier="236" item="0"/>
          <tpl fld="4" item="4"/>
        </tpls>
      </m>
      <m>
        <tpls c="4">
          <tpl fld="7" item="265"/>
          <tpl fld="6" item="2"/>
          <tpl hier="236" item="0"/>
          <tpl fld="4" item="4"/>
        </tpls>
      </m>
      <m>
        <tpls c="4">
          <tpl fld="7" item="267"/>
          <tpl fld="6" item="2"/>
          <tpl hier="236" item="0"/>
          <tpl fld="4" item="4"/>
        </tpls>
      </m>
      <m>
        <tpls c="4">
          <tpl fld="7" item="269"/>
          <tpl fld="6" item="2"/>
          <tpl hier="236" item="0"/>
          <tpl fld="4" item="4"/>
        </tpls>
      </m>
      <m>
        <tpls c="4">
          <tpl fld="7" item="271"/>
          <tpl fld="6" item="2"/>
          <tpl hier="236" item="0"/>
          <tpl fld="4" item="4"/>
        </tpls>
      </m>
      <m>
        <tpls c="4">
          <tpl fld="7" item="273"/>
          <tpl fld="6" item="2"/>
          <tpl hier="236" item="0"/>
          <tpl fld="4" item="4"/>
        </tpls>
      </m>
      <m>
        <tpls c="4">
          <tpl fld="7" item="169"/>
          <tpl fld="6" item="2"/>
          <tpl hier="236" item="0"/>
          <tpl fld="4" item="1"/>
        </tpls>
      </m>
      <m>
        <tpls c="4">
          <tpl fld="7" item="66"/>
          <tpl fld="6" item="1"/>
          <tpl hier="236" item="0"/>
          <tpl fld="4" item="4"/>
        </tpls>
      </m>
      <m>
        <tpls c="4">
          <tpl fld="7" item="69"/>
          <tpl fld="6" item="2"/>
          <tpl hier="236" item="0"/>
          <tpl fld="4" item="4"/>
        </tpls>
      </m>
      <m>
        <tpls c="4">
          <tpl fld="7" item="180"/>
          <tpl fld="6" item="1"/>
          <tpl hier="236" item="0"/>
          <tpl fld="4" item="6"/>
        </tpls>
      </m>
      <m>
        <tpls c="3">
          <tpl fld="7" item="980"/>
          <tpl fld="6" item="3"/>
          <tpl hier="236" item="0"/>
        </tpls>
      </m>
      <m>
        <tpls c="4">
          <tpl fld="7" item="295"/>
          <tpl fld="6" item="2"/>
          <tpl hier="236" item="0"/>
          <tpl fld="4" item="1"/>
        </tpls>
      </m>
      <m>
        <tpls c="4">
          <tpl fld="7" item="82"/>
          <tpl fld="6" item="1"/>
          <tpl hier="236" item="0"/>
          <tpl fld="4" item="4"/>
        </tpls>
      </m>
      <m>
        <tpls c="4">
          <tpl fld="7" item="301"/>
          <tpl fld="6" item="1"/>
          <tpl hier="236" item="0"/>
          <tpl fld="4" item="6"/>
        </tpls>
      </m>
      <m>
        <tpls c="3">
          <tpl fld="7" item="88"/>
          <tpl fld="6" item="3"/>
          <tpl hier="236" item="0"/>
        </tpls>
      </m>
      <m>
        <tpls c="4">
          <tpl fld="7" item="199"/>
          <tpl fld="6" item="2"/>
          <tpl hier="236" item="0"/>
          <tpl fld="4" item="1"/>
        </tpls>
      </m>
      <m>
        <tpls c="4">
          <tpl fld="7" item="419"/>
          <tpl fld="6" item="1"/>
          <tpl hier="236" item="0"/>
          <tpl fld="4" item="4"/>
        </tpls>
      </m>
      <m>
        <tpls c="4">
          <tpl fld="7" item="349"/>
          <tpl fld="6" item="2"/>
          <tpl hier="236" item="0"/>
          <tpl fld="4" item="4"/>
        </tpls>
      </m>
      <m>
        <tpls c="4">
          <tpl fld="7" item="317"/>
          <tpl fld="6" item="1"/>
          <tpl hier="236" item="0"/>
          <tpl fld="4" item="6"/>
        </tpls>
      </m>
      <m>
        <tpls c="3">
          <tpl fld="7" item="104"/>
          <tpl fld="6" item="3"/>
          <tpl hier="236" item="0"/>
        </tpls>
      </m>
      <m>
        <tpls c="4">
          <tpl fld="7" item="3"/>
          <tpl fld="6" item="2"/>
          <tpl hier="236" item="0"/>
          <tpl fld="4" item="6"/>
        </tpls>
      </m>
      <m>
        <tpls c="4">
          <tpl fld="7" item="140"/>
          <tpl fld="6" item="2"/>
          <tpl hier="236" item="0"/>
          <tpl fld="4" item="4"/>
        </tpls>
      </m>
      <m>
        <tpls c="4">
          <tpl fld="7" item="44"/>
          <tpl fld="6" item="1"/>
          <tpl hier="236" item="0"/>
          <tpl fld="4" item="5"/>
        </tpls>
      </m>
      <m>
        <tpls c="4">
          <tpl fld="7" item="52"/>
          <tpl fld="6" item="1"/>
          <tpl hier="236" item="0"/>
          <tpl fld="4" item="5"/>
        </tpls>
      </m>
      <m>
        <tpls c="3">
          <tpl fld="7" item="281"/>
          <tpl fld="6" item="3"/>
          <tpl hier="236" item="0"/>
        </tpls>
      </m>
      <m>
        <tpls c="4">
          <tpl fld="7" item="344"/>
          <tpl fld="6" item="1"/>
          <tpl hier="236" item="0"/>
          <tpl fld="4" item="6"/>
        </tpls>
      </m>
      <m>
        <tpls c="4">
          <tpl fld="7" item="90"/>
          <tpl fld="6" item="1"/>
          <tpl hier="236" item="0"/>
          <tpl fld="4" item="6"/>
        </tpls>
      </m>
      <m>
        <tpls c="4">
          <tpl fld="7" item="208"/>
          <tpl fld="6" item="1"/>
          <tpl hier="236" item="0"/>
          <tpl fld="4" item="4"/>
        </tpls>
      </m>
      <m>
        <tpls c="4">
          <tpl fld="7" item="492"/>
          <tpl fld="6" item="2"/>
          <tpl hier="236" item="0"/>
          <tpl fld="4" item="1"/>
        </tpls>
      </m>
      <m>
        <tpls c="4">
          <tpl fld="7" item="1211"/>
          <tpl fld="6" item="2"/>
          <tpl hier="236" item="0"/>
          <tpl fld="4" item="1"/>
        </tpls>
      </m>
      <n v="0" in="1">
        <tpls c="4">
          <tpl fld="7" item="757"/>
          <tpl fld="6" item="1"/>
          <tpl hier="236" item="0"/>
          <tpl fld="4" item="4"/>
        </tpls>
      </n>
      <m>
        <tpls c="4">
          <tpl fld="7" item="676"/>
          <tpl fld="6" item="2"/>
          <tpl hier="236" item="0"/>
          <tpl fld="4" item="4"/>
        </tpls>
      </m>
      <m>
        <tpls c="4">
          <tpl fld="7" item="502"/>
          <tpl fld="6" item="1"/>
          <tpl hier="236" item="0"/>
          <tpl fld="4" item="6"/>
        </tpls>
      </m>
      <n v="1" in="3">
        <tpls c="3">
          <tpl fld="7" item="364"/>
          <tpl fld="6" item="3"/>
          <tpl hier="236" item="0"/>
        </tpls>
      </n>
      <m>
        <tpls c="4">
          <tpl fld="7" item="438"/>
          <tpl fld="6" item="2"/>
          <tpl hier="236" item="0"/>
          <tpl fld="4" item="1"/>
        </tpls>
      </m>
      <n v="4" in="1">
        <tpls c="4">
          <tpl fld="7" item="761"/>
          <tpl fld="6" item="1"/>
          <tpl hier="236" item="0"/>
          <tpl fld="4" item="4"/>
        </tpls>
      </n>
      <m>
        <tpls c="4">
          <tpl fld="7" item="680"/>
          <tpl fld="6" item="2"/>
          <tpl hier="236" item="0"/>
          <tpl fld="4" item="4"/>
        </tpls>
      </m>
      <n v="23" in="1">
        <tpls c="4">
          <tpl fld="7" item="518"/>
          <tpl fld="6" item="1"/>
          <tpl hier="236" item="0"/>
          <tpl fld="4" item="6"/>
        </tpls>
      </n>
      <n v="1" in="3">
        <tpls c="3">
          <tpl fld="7" item="380"/>
          <tpl fld="6" item="3"/>
          <tpl hier="236" item="0"/>
        </tpls>
      </n>
      <m>
        <tpls c="4">
          <tpl fld="7" item="454"/>
          <tpl fld="6" item="2"/>
          <tpl hier="236" item="0"/>
          <tpl fld="4" item="1"/>
        </tpls>
      </m>
      <m>
        <tpls c="3">
          <tpl fld="7" item="765"/>
          <tpl fld="6" item="3"/>
          <tpl hier="236" item="0"/>
        </tpls>
      </m>
      <m>
        <tpls c="4">
          <tpl fld="7" item="529"/>
          <tpl fld="6" item="2"/>
          <tpl hier="236" item="0"/>
          <tpl fld="4" item="5"/>
        </tpls>
      </m>
      <m>
        <tpls c="4">
          <tpl fld="7" item="460"/>
          <tpl fld="6" item="2"/>
          <tpl hier="236" item="0"/>
          <tpl fld="4" item="6"/>
        </tpls>
      </m>
      <m>
        <tpls c="4">
          <tpl fld="7" item="532"/>
          <tpl fld="6" item="1"/>
          <tpl hier="236" item="0"/>
          <tpl fld="4" item="5"/>
        </tpls>
      </m>
      <m>
        <tpls c="4">
          <tpl fld="7" item="463"/>
          <tpl fld="6" item="1"/>
          <tpl hier="236" item="0"/>
          <tpl fld="4" item="6"/>
        </tpls>
      </m>
      <m>
        <tpls c="4">
          <tpl fld="7" item="535"/>
          <tpl fld="6" item="2"/>
          <tpl hier="236" item="0"/>
          <tpl fld="4" item="1"/>
        </tpls>
      </m>
      <m>
        <tpls c="4">
          <tpl fld="7" item="395"/>
          <tpl fld="6" item="2"/>
          <tpl hier="236" item="0"/>
          <tpl fld="1" item="0"/>
        </tpls>
      </m>
      <n v="2" in="1">
        <tpls c="4">
          <tpl fld="7" item="1186"/>
          <tpl fld="6" item="1"/>
          <tpl hier="236" item="0"/>
          <tpl fld="4" item="1"/>
        </tpls>
      </n>
      <n v="25" in="1">
        <tpls c="4">
          <tpl fld="7" item="880"/>
          <tpl fld="6" item="1"/>
          <tpl hier="236" item="0"/>
          <tpl fld="1" item="0"/>
        </tpls>
      </n>
      <n v="1" in="2">
        <tpls c="4">
          <tpl fld="7" item="609"/>
          <tpl fld="6" item="2"/>
          <tpl hier="236" item="0"/>
          <tpl fld="4" item="4"/>
        </tpls>
      </n>
      <m>
        <tpls c="3">
          <tpl fld="7" item="610"/>
          <tpl fld="6" item="3"/>
          <tpl hier="236" item="0"/>
        </tpls>
      </m>
      <m>
        <tpls c="4">
          <tpl fld="7" item="691"/>
          <tpl fld="6" item="1"/>
          <tpl hier="236" item="0"/>
          <tpl fld="4" item="4"/>
        </tpls>
      </m>
      <m>
        <tpls c="4">
          <tpl fld="7" item="5"/>
          <tpl fld="6" item="2"/>
          <tpl hier="236" item="0"/>
          <tpl fld="4" item="6"/>
        </tpls>
      </m>
      <m>
        <tpls c="4">
          <tpl fld="7" item="141"/>
          <tpl fld="6" item="2"/>
          <tpl hier="236" item="0"/>
          <tpl fld="4" item="4"/>
        </tpls>
      </m>
      <m>
        <tpls c="4">
          <tpl fld="7" item="261"/>
          <tpl fld="6" item="2"/>
          <tpl hier="236" item="0"/>
          <tpl fld="4" item="1"/>
        </tpls>
      </m>
      <m>
        <tpls c="4">
          <tpl fld="7" item="269"/>
          <tpl fld="6" item="2"/>
          <tpl hier="236" item="0"/>
          <tpl fld="4" item="1"/>
        </tpls>
      </m>
      <m>
        <tpls c="3">
          <tpl fld="7" item="282"/>
          <tpl fld="6" item="3"/>
          <tpl hier="236" item="0"/>
        </tpls>
      </m>
      <m>
        <tpls c="4">
          <tpl fld="7" item="415"/>
          <tpl fld="6" item="1"/>
          <tpl hier="236" item="0"/>
          <tpl fld="4" item="6"/>
        </tpls>
      </m>
      <m>
        <tpls c="4">
          <tpl fld="7" item="91"/>
          <tpl fld="6" item="1"/>
          <tpl hier="236" item="0"/>
          <tpl fld="4" item="6"/>
        </tpls>
      </m>
      <m>
        <tpls c="3">
          <tpl fld="7" item="491"/>
          <tpl fld="6" item="3"/>
          <tpl hier="236" item="0"/>
        </tpls>
      </m>
      <m>
        <tpls c="4">
          <tpl fld="7" item="321"/>
          <tpl fld="6" item="2"/>
          <tpl hier="236" item="0"/>
          <tpl fld="4" item="1"/>
        </tpls>
      </m>
      <m>
        <tpls c="4">
          <tpl fld="7" item="324"/>
          <tpl fld="6" item="2"/>
          <tpl hier="236" item="0"/>
          <tpl fld="4" item="1"/>
        </tpls>
      </m>
      <n v="0" in="1">
        <tpls c="4">
          <tpl fld="7" item="496"/>
          <tpl fld="6" item="1"/>
          <tpl hier="236" item="0"/>
          <tpl fld="4" item="4"/>
        </tpls>
      </n>
      <m>
        <tpls c="4">
          <tpl fld="7" item="499"/>
          <tpl fld="6" item="2"/>
          <tpl hier="236" item="0"/>
          <tpl fld="4" item="4"/>
        </tpls>
      </m>
      <n v="3" in="1">
        <tpls c="4">
          <tpl fld="7" item="361"/>
          <tpl fld="6" item="1"/>
          <tpl hier="236" item="0"/>
          <tpl fld="4" item="6"/>
        </tpls>
      </n>
      <n v="1" in="3">
        <tpls c="3">
          <tpl fld="7" item="435"/>
          <tpl fld="6" item="3"/>
          <tpl hier="236" item="0"/>
        </tpls>
      </n>
      <m>
        <tpls c="4">
          <tpl fld="7" item="1237"/>
          <tpl fld="6" item="2"/>
          <tpl hier="236" item="0"/>
          <tpl fld="4" item="1"/>
        </tpls>
      </m>
      <n v="3" in="1">
        <tpls c="4">
          <tpl fld="7" item="512"/>
          <tpl fld="6" item="1"/>
          <tpl hier="236" item="0"/>
          <tpl fld="4" item="4"/>
        </tpls>
      </n>
      <n v="2.9020270270270272" in="2">
        <tpls c="4">
          <tpl fld="7" item="515"/>
          <tpl fld="6" item="2"/>
          <tpl hier="236" item="0"/>
          <tpl fld="4" item="4"/>
        </tpls>
      </n>
      <n v="25" in="1">
        <tpls c="4">
          <tpl fld="7" item="377"/>
          <tpl fld="6" item="1"/>
          <tpl hier="236" item="0"/>
          <tpl fld="4" item="6"/>
        </tpls>
      </n>
      <n v="1" in="3">
        <tpls c="3">
          <tpl fld="7" item="451"/>
          <tpl fld="6" item="3"/>
          <tpl hier="236" item="0"/>
        </tpls>
      </n>
      <m>
        <tpls c="4">
          <tpl fld="7" item="1263"/>
          <tpl fld="6" item="2"/>
          <tpl hier="236" item="0"/>
          <tpl fld="4" item="1"/>
        </tpls>
      </m>
      <m>
        <tpls c="4">
          <tpl fld="7" item="765"/>
          <tpl fld="6" item="2"/>
          <tpl hier="236" item="0"/>
          <tpl fld="4" item="5"/>
        </tpls>
      </m>
      <m>
        <tpls c="4">
          <tpl fld="7" item="388"/>
          <tpl fld="6" item="1"/>
          <tpl hier="236" item="0"/>
          <tpl fld="4" item="6"/>
        </tpls>
      </m>
      <m>
        <tpls c="4">
          <tpl fld="7" item="684"/>
          <tpl fld="6" item="2"/>
          <tpl hier="236" item="0"/>
          <tpl fld="4" item="1"/>
        </tpls>
      </m>
      <n v="1" in="2">
        <tpls c="4">
          <tpl fld="7" item="532"/>
          <tpl fld="6" item="2"/>
          <tpl hier="236" item="0"/>
          <tpl fld="1" item="0"/>
        </tpls>
      </n>
      <m>
        <tpls c="4">
          <tpl fld="7" item="463"/>
          <tpl fld="6" item="1"/>
          <tpl hier="236" item="0"/>
          <tpl fld="4" item="1"/>
        </tpls>
      </m>
      <m>
        <tpls c="4">
          <tpl fld="7" item="535"/>
          <tpl fld="6" item="1"/>
          <tpl hier="236" item="0"/>
          <tpl fld="1" item="0"/>
        </tpls>
      </m>
      <m>
        <tpls c="4">
          <tpl fld="7" item="1086"/>
          <tpl fld="6" item="2"/>
          <tpl hier="236" item="0"/>
          <tpl fld="4" item="4"/>
        </tpls>
      </m>
      <m>
        <tpls c="3">
          <tpl fld="7" item="538"/>
          <tpl fld="6" item="3"/>
          <tpl hier="236" item="0"/>
        </tpls>
      </m>
      <n v="44" in="1">
        <tpls c="4">
          <tpl fld="7" item="608"/>
          <tpl fld="6" item="1"/>
          <tpl hier="236" item="0"/>
          <tpl fld="4" item="4"/>
        </tpls>
      </n>
      <n v="4296" in="1">
        <tpls c="5">
          <tpl fld="11" item="0"/>
          <tpl fld="6" item="1"/>
          <tpl hier="236" item="0"/>
          <tpl fld="4" item="3"/>
          <tpl fld="10" item="8"/>
        </tpls>
      </n>
      <m>
        <tpls c="3">
          <tpl fld="7" item="245"/>
          <tpl fld="6" item="3"/>
          <tpl hier="236" item="0"/>
        </tpls>
      </m>
      <m>
        <tpls c="4">
          <tpl fld="7" item="335"/>
          <tpl fld="6" item="1"/>
          <tpl hier="236" item="0"/>
          <tpl fld="4" item="6"/>
        </tpls>
      </m>
      <m>
        <tpls c="4">
          <tpl fld="7" item="266"/>
          <tpl fld="6" item="1"/>
          <tpl hier="236" item="0"/>
          <tpl fld="4" item="5"/>
        </tpls>
      </m>
      <m>
        <tpls c="6">
          <tpl fld="3" item="2"/>
          <tpl fld="11" item="0"/>
          <tpl fld="6" item="2"/>
          <tpl hier="236" item="0"/>
          <tpl fld="4" item="3"/>
          <tpl fld="10" item="5"/>
        </tpls>
      </m>
      <m>
        <tpls c="4">
          <tpl fld="7" item="2"/>
          <tpl fld="6" item="1"/>
          <tpl hier="236" item="0"/>
          <tpl fld="4" item="5"/>
        </tpls>
      </m>
      <m>
        <tpls c="3">
          <tpl fld="7" item="66"/>
          <tpl fld="6" item="3"/>
          <tpl hier="236" item="0"/>
        </tpls>
      </m>
      <m>
        <tpls c="4">
          <tpl fld="7" item="134"/>
          <tpl fld="6" item="2"/>
          <tpl hier="236" item="0"/>
          <tpl fld="4" item="1"/>
        </tpls>
      </m>
      <m>
        <tpls c="4">
          <tpl fld="7" item="268"/>
          <tpl fld="6" item="2"/>
          <tpl hier="236" item="0"/>
          <tpl fld="4" item="6"/>
        </tpls>
      </m>
      <m>
        <tpls c="4">
          <tpl fld="7" item="285"/>
          <tpl fld="6" item="1"/>
          <tpl hier="236" item="0"/>
          <tpl fld="4" item="4"/>
        </tpls>
      </m>
      <m>
        <tpls c="4">
          <tpl fld="7" item="193"/>
          <tpl fld="6" item="2"/>
          <tpl hier="236" item="0"/>
          <tpl fld="4" item="4"/>
        </tpls>
      </m>
      <m>
        <tpls c="4">
          <tpl fld="7" item="206"/>
          <tpl fld="6" item="2"/>
          <tpl hier="236" item="0"/>
          <tpl fld="4" item="4"/>
        </tpls>
      </m>
      <m>
        <tpls c="4">
          <tpl fld="7" item="222"/>
          <tpl fld="6" item="1"/>
          <tpl hier="236" item="0"/>
          <tpl fld="1" item="0"/>
        </tpls>
      </m>
      <m>
        <tpls c="4">
          <tpl fld="7" item="250"/>
          <tpl fld="6" item="2"/>
          <tpl hier="236" item="0"/>
          <tpl fld="4" item="1"/>
        </tpls>
      </m>
      <m>
        <tpls c="4">
          <tpl fld="7" item="45"/>
          <tpl fld="6" item="1"/>
          <tpl hier="236" item="0"/>
          <tpl fld="4" item="4"/>
        </tpls>
      </m>
      <m>
        <tpls c="4">
          <tpl fld="7" item="53"/>
          <tpl fld="6" item="1"/>
          <tpl hier="236" item="0"/>
          <tpl fld="4" item="4"/>
        </tpls>
      </m>
      <m>
        <tpls c="4">
          <tpl fld="7" item="66"/>
          <tpl fld="6" item="2"/>
          <tpl hier="236" item="0"/>
          <tpl fld="4" item="4"/>
        </tpls>
      </m>
      <m>
        <tpls c="4">
          <tpl fld="7" item="79"/>
          <tpl fld="6" item="1"/>
          <tpl hier="236" item="0"/>
          <tpl fld="4" item="4"/>
        </tpls>
      </m>
      <n v="0" in="1">
        <tpls c="4">
          <tpl fld="7" item="1083"/>
          <tpl fld="6" item="1"/>
          <tpl hier="236" item="0"/>
          <tpl fld="4" item="4"/>
        </tpls>
      </n>
      <m>
        <tpls c="4">
          <tpl fld="7" item="212"/>
          <tpl fld="6" item="2"/>
          <tpl hier="236" item="0"/>
          <tpl fld="4" item="1"/>
        </tpls>
      </m>
      <m>
        <tpls c="4">
          <tpl fld="7" item="479"/>
          <tpl fld="6" item="1"/>
          <tpl hier="236" item="0"/>
          <tpl fld="4" item="5"/>
        </tpls>
      </m>
      <m>
        <tpls c="4">
          <tpl fld="7" item="491"/>
          <tpl fld="6" item="2"/>
          <tpl hier="236" item="0"/>
          <tpl fld="4" item="1"/>
        </tpls>
      </m>
      <m>
        <tpls c="4">
          <tpl fld="7" item="499"/>
          <tpl fld="6" item="1"/>
          <tpl hier="236" item="0"/>
          <tpl fld="4" item="6"/>
        </tpls>
      </m>
      <m>
        <tpls c="4">
          <tpl fld="7" item="761"/>
          <tpl fld="6" item="2"/>
          <tpl hier="236" item="0"/>
          <tpl fld="4" item="4"/>
        </tpls>
      </m>
      <m>
        <tpls c="4">
          <tpl fld="7" item="1263"/>
          <tpl fld="6" item="1"/>
          <tpl hier="236" item="0"/>
          <tpl fld="4" item="4"/>
        </tpls>
      </m>
      <m>
        <tpls c="4">
          <tpl fld="7" item="532"/>
          <tpl fld="6" item="2"/>
          <tpl hier="236" item="0"/>
          <tpl fld="4" item="5"/>
        </tpls>
      </m>
      <m>
        <tpls c="4">
          <tpl fld="7" item="538"/>
          <tpl fld="6" item="2"/>
          <tpl hier="236" item="0"/>
          <tpl fld="4" item="1"/>
        </tpls>
      </m>
      <m>
        <tpls c="4">
          <tpl fld="7" item="691"/>
          <tpl fld="6" item="2"/>
          <tpl hier="236" item="0"/>
          <tpl fld="4" item="4"/>
        </tpls>
      </m>
      <m>
        <tpls c="4">
          <tpl fld="7" item="161"/>
          <tpl fld="6" item="2"/>
          <tpl hier="236" item="0"/>
          <tpl fld="4" item="1"/>
        </tpls>
      </m>
      <m>
        <tpls c="3">
          <tpl fld="7" item="317"/>
          <tpl fld="6" item="3"/>
          <tpl hier="236" item="0"/>
        </tpls>
      </m>
      <m>
        <tpls c="4">
          <tpl fld="7" item="358"/>
          <tpl fld="6" item="1"/>
          <tpl hier="236" item="0"/>
          <tpl fld="4" item="6"/>
        </tpls>
      </m>
      <m>
        <tpls c="4">
          <tpl fld="7" item="512"/>
          <tpl fld="6" item="2"/>
          <tpl hier="236" item="0"/>
          <tpl fld="4" item="4"/>
        </tpls>
      </m>
      <n v="12" in="1">
        <tpls c="4">
          <tpl fld="7" item="525"/>
          <tpl fld="6" item="1"/>
          <tpl hier="236" item="0"/>
          <tpl fld="4" item="4"/>
        </tpls>
      </n>
      <m>
        <tpls c="4">
          <tpl fld="7" item="391"/>
          <tpl fld="6" item="1"/>
          <tpl hier="236" item="0"/>
          <tpl fld="4" item="6"/>
        </tpls>
      </m>
      <m>
        <tpls c="4">
          <tpl fld="7" item="395"/>
          <tpl fld="6" item="1"/>
          <tpl hier="236" item="0"/>
          <tpl fld="4" item="6"/>
        </tpls>
      </m>
      <m>
        <tpls c="4">
          <tpl fld="7" item="538"/>
          <tpl fld="6" item="2"/>
          <tpl hier="236" item="0"/>
          <tpl fld="1" item="0"/>
        </tpls>
      </m>
      <n v="0" in="1">
        <tpls c="6">
          <tpl fld="3" item="2"/>
          <tpl fld="11" item="0"/>
          <tpl fld="6" item="1"/>
          <tpl hier="236" item="0"/>
          <tpl fld="4" item="7"/>
          <tpl fld="10" item="2"/>
        </tpls>
      </n>
      <m>
        <tpls c="4">
          <tpl fld="7" item="26"/>
          <tpl fld="6" item="2"/>
          <tpl hier="236" item="0"/>
          <tpl fld="4" item="1"/>
        </tpls>
      </m>
      <m>
        <tpls c="4">
          <tpl fld="7" item="259"/>
          <tpl fld="6" item="1"/>
          <tpl hier="236" item="0"/>
          <tpl fld="4" item="5"/>
        </tpls>
      </m>
      <m>
        <tpls c="4">
          <tpl fld="7" item="161"/>
          <tpl fld="6" item="1"/>
          <tpl hier="236" item="0"/>
          <tpl fld="4" item="5"/>
        </tpls>
      </m>
      <m>
        <tpls c="3">
          <tpl fld="7" item="283"/>
          <tpl fld="6" item="3"/>
          <tpl hier="236" item="0"/>
        </tpls>
      </m>
      <m>
        <tpls c="4">
          <tpl fld="7" item="593"/>
          <tpl fld="6" item="1"/>
          <tpl hier="236" item="0"/>
          <tpl fld="4" item="6"/>
        </tpls>
      </m>
      <m>
        <tpls c="4">
          <tpl fld="7" item="92"/>
          <tpl fld="6" item="1"/>
          <tpl hier="236" item="0"/>
          <tpl fld="4" item="6"/>
        </tpls>
      </m>
      <m>
        <tpls c="4">
          <tpl fld="7" item="317"/>
          <tpl fld="6" item="2"/>
          <tpl hier="236" item="0"/>
          <tpl fld="4" item="4"/>
        </tpls>
      </m>
      <m>
        <tpls c="4">
          <tpl fld="7" item="105"/>
          <tpl fld="6" item="2"/>
          <tpl hier="236" item="0"/>
          <tpl fld="4" item="1"/>
        </tpls>
      </m>
      <m>
        <tpls c="4">
          <tpl fld="7" item="493"/>
          <tpl fld="6" item="2"/>
          <tpl hier="236" item="0"/>
          <tpl fld="4" item="1"/>
        </tpls>
      </m>
      <m>
        <tpls c="4">
          <tpl fld="7" item="355"/>
          <tpl fld="6" item="1"/>
          <tpl hier="236" item="0"/>
          <tpl fld="4" item="4"/>
        </tpls>
      </m>
      <m>
        <tpls c="4">
          <tpl fld="7" item="358"/>
          <tpl fld="6" item="2"/>
          <tpl hier="236" item="0"/>
          <tpl fld="4" item="4"/>
        </tpls>
      </m>
      <n v="2" in="1">
        <tpls c="4">
          <tpl fld="7" item="432"/>
          <tpl fld="6" item="1"/>
          <tpl hier="236" item="0"/>
          <tpl fld="4" item="6"/>
        </tpls>
      </n>
      <n v="1" in="3">
        <tpls c="3">
          <tpl fld="7" item="598"/>
          <tpl fld="6" item="3"/>
          <tpl hier="236" item="0"/>
        </tpls>
      </n>
      <m>
        <tpls c="4">
          <tpl fld="7" item="509"/>
          <tpl fld="6" item="2"/>
          <tpl hier="236" item="0"/>
          <tpl fld="4" item="1"/>
        </tpls>
      </m>
      <m>
        <tpls c="4">
          <tpl fld="7" item="371"/>
          <tpl fld="6" item="1"/>
          <tpl hier="236" item="0"/>
          <tpl fld="4" item="4"/>
        </tpls>
      </m>
      <n v="0.89999999999999991" in="2">
        <tpls c="4">
          <tpl fld="7" item="374"/>
          <tpl fld="6" item="2"/>
          <tpl hier="236" item="0"/>
          <tpl fld="4" item="4"/>
        </tpls>
      </n>
      <n v="13" in="1">
        <tpls c="4">
          <tpl fld="7" item="448"/>
          <tpl fld="6" item="1"/>
          <tpl hier="236" item="0"/>
          <tpl fld="4" item="6"/>
        </tpls>
      </n>
      <n v="1" in="3">
        <tpls c="3">
          <tpl fld="7" item="602"/>
          <tpl fld="6" item="3"/>
          <tpl hier="236" item="0"/>
        </tpls>
      </n>
      <m>
        <tpls c="4">
          <tpl fld="7" item="525"/>
          <tpl fld="6" item="2"/>
          <tpl hier="236" item="0"/>
          <tpl fld="4" item="1"/>
        </tpls>
      </m>
      <m>
        <tpls c="4">
          <tpl fld="7" item="765"/>
          <tpl fld="6" item="2"/>
          <tpl hier="236" item="0"/>
          <tpl fld="4" item="4"/>
        </tpls>
      </m>
      <m>
        <tpls c="4">
          <tpl fld="7" item="388"/>
          <tpl fld="6" item="1"/>
          <tpl hier="236" item="0"/>
          <tpl fld="4" item="1"/>
        </tpls>
      </m>
      <n v="1" in="1">
        <tpls c="4">
          <tpl fld="7" item="684"/>
          <tpl fld="6" item="1"/>
          <tpl hier="236" item="0"/>
          <tpl fld="1" item="0"/>
        </tpls>
      </n>
      <m>
        <tpls c="4">
          <tpl fld="7" item="391"/>
          <tpl fld="6" item="2"/>
          <tpl hier="236" item="0"/>
          <tpl fld="4" item="4"/>
        </tpls>
      </m>
      <m>
        <tpls c="3">
          <tpl fld="7" item="605"/>
          <tpl fld="6" item="3"/>
          <tpl hier="236" item="0"/>
        </tpls>
      </m>
      <m>
        <tpls c="4">
          <tpl fld="7" item="394"/>
          <tpl fld="6" item="1"/>
          <tpl hier="236" item="0"/>
          <tpl fld="4" item="4"/>
        </tpls>
      </m>
      <m>
        <tpls c="4">
          <tpl fld="7" item="1086"/>
          <tpl fld="6" item="2"/>
          <tpl hier="236" item="0"/>
          <tpl fld="4" item="5"/>
        </tpls>
      </m>
      <m>
        <tpls c="4">
          <tpl fld="7" item="538"/>
          <tpl fld="6" item="2"/>
          <tpl hier="236" item="0"/>
          <tpl fld="4" item="6"/>
        </tpls>
      </m>
      <n v="4" in="1">
        <tpls c="4">
          <tpl fld="7" item="608"/>
          <tpl fld="6" item="1"/>
          <tpl hier="236" item="0"/>
          <tpl fld="4" item="5"/>
        </tpls>
      </n>
      <n v="8" in="1">
        <tpls c="4">
          <tpl fld="7" item="541"/>
          <tpl fld="6" item="1"/>
          <tpl hier="236" item="0"/>
          <tpl fld="4" item="6"/>
        </tpls>
      </n>
      <m>
        <tpls c="4">
          <tpl fld="7" item="690"/>
          <tpl fld="6" item="2"/>
          <tpl hier="236" item="0"/>
          <tpl fld="4" item="1"/>
        </tpls>
      </m>
      <m>
        <tpls c="4">
          <tpl fld="7" item="691"/>
          <tpl fld="6" item="2"/>
          <tpl hier="236" item="0"/>
          <tpl fld="1" item="0"/>
        </tpls>
      </m>
      <n v="1" in="1">
        <tpls c="4">
          <tpl fld="7" item="692"/>
          <tpl fld="6" item="1"/>
          <tpl hier="236" item="0"/>
          <tpl fld="4" item="1"/>
        </tpls>
      </n>
      <n v="6" in="1">
        <tpls c="4">
          <tpl fld="7" item="775"/>
          <tpl fld="6" item="1"/>
          <tpl hier="236" item="0"/>
          <tpl fld="1" item="0"/>
        </tpls>
      </n>
      <m>
        <tpls c="4">
          <tpl fld="7" item="51"/>
          <tpl fld="6" item="2"/>
          <tpl hier="236" item="0"/>
          <tpl fld="4" item="1"/>
        </tpls>
      </m>
      <m>
        <tpls c="4">
          <tpl fld="7" item="674"/>
          <tpl fld="6" item="1"/>
          <tpl hier="236" item="0"/>
          <tpl fld="4" item="6"/>
        </tpls>
      </m>
      <m>
        <tpls c="4">
          <tpl fld="7" item="428"/>
          <tpl fld="6" item="1"/>
          <tpl hier="236" item="0"/>
          <tpl fld="4" item="4"/>
        </tpls>
      </m>
      <m>
        <tpls c="4">
          <tpl fld="7" item="370"/>
          <tpl fld="6" item="2"/>
          <tpl hier="236" item="0"/>
          <tpl fld="4" item="1"/>
        </tpls>
      </m>
      <m>
        <tpls c="3">
          <tpl fld="7" item="524"/>
          <tpl fld="6" item="3"/>
          <tpl hier="236" item="0"/>
        </tpls>
      </m>
      <m>
        <tpls c="4">
          <tpl fld="7" item="766"/>
          <tpl fld="6" item="2"/>
          <tpl hier="236" item="0"/>
          <tpl fld="4" item="6"/>
        </tpls>
      </m>
      <m>
        <tpls c="4">
          <tpl fld="7" item="768"/>
          <tpl fld="6" item="2"/>
          <tpl hier="236" item="0"/>
          <tpl fld="1" item="0"/>
        </tpls>
      </m>
      <n v="1" in="2">
        <tpls c="4">
          <tpl fld="7" item="771"/>
          <tpl fld="6" item="2"/>
          <tpl hier="236" item="0"/>
          <tpl fld="1" item="0"/>
        </tpls>
      </n>
      <n v="6" in="1">
        <tpls c="4">
          <tpl fld="7" item="773"/>
          <tpl fld="6" item="1"/>
          <tpl hier="236" item="0"/>
          <tpl fld="1" item="0"/>
        </tpls>
      </n>
      <m>
        <tpls c="4">
          <tpl fld="7" item="613"/>
          <tpl fld="6" item="1"/>
          <tpl hier="236" item="0"/>
          <tpl fld="4" item="6"/>
        </tpls>
      </m>
      <n v="4" in="1">
        <tpls c="4">
          <tpl fld="7" item="694"/>
          <tpl fld="6" item="1"/>
          <tpl hier="236" item="0"/>
          <tpl fld="4" item="1"/>
        </tpls>
      </n>
      <m>
        <tpls c="4">
          <tpl fld="7" item="695"/>
          <tpl fld="6" item="1"/>
          <tpl hier="236" item="0"/>
          <tpl fld="1" item="0"/>
        </tpls>
      </m>
      <m>
        <tpls c="4">
          <tpl fld="7" item="778"/>
          <tpl fld="6" item="2"/>
          <tpl hier="236" item="0"/>
          <tpl fld="4" item="4"/>
        </tpls>
      </m>
      <m>
        <tpls c="3">
          <tpl fld="7" item="779"/>
          <tpl fld="6" item="3"/>
          <tpl hier="236" item="0"/>
        </tpls>
      </m>
      <m>
        <tpls c="4">
          <tpl fld="7" item="1270"/>
          <tpl fld="6" item="1"/>
          <tpl hier="236" item="0"/>
          <tpl fld="4" item="4"/>
        </tpls>
      </m>
      <m>
        <tpls c="4">
          <tpl fld="7" item="555"/>
          <tpl fld="6" item="2"/>
          <tpl hier="236" item="0"/>
          <tpl fld="4" item="5"/>
        </tpls>
      </m>
      <m>
        <tpls c="4">
          <tpl fld="7" item="987"/>
          <tpl fld="6" item="2"/>
          <tpl hier="236" item="0"/>
          <tpl fld="4" item="6"/>
        </tpls>
      </m>
      <m>
        <tpls c="4">
          <tpl fld="7" item="558"/>
          <tpl fld="6" item="1"/>
          <tpl hier="236" item="0"/>
          <tpl fld="4" item="5"/>
        </tpls>
      </m>
      <m>
        <tpls c="4">
          <tpl fld="7" item="623"/>
          <tpl fld="6" item="1"/>
          <tpl hier="236" item="0"/>
          <tpl fld="4" item="6"/>
        </tpls>
      </m>
      <n v="1" in="2">
        <tpls c="4">
          <tpl fld="7" item="561"/>
          <tpl fld="6" item="2"/>
          <tpl hier="236" item="0"/>
          <tpl fld="4" item="1"/>
        </tpls>
      </n>
      <m>
        <tpls c="4">
          <tpl fld="7" item="625"/>
          <tpl fld="6" item="2"/>
          <tpl hier="236" item="0"/>
          <tpl fld="1" item="0"/>
        </tpls>
      </m>
      <n v="7" in="1">
        <tpls c="4">
          <tpl fld="7" item="706"/>
          <tpl fld="6" item="1"/>
          <tpl hier="236" item="0"/>
          <tpl fld="4" item="1"/>
        </tpls>
      </n>
      <m>
        <tpls c="4">
          <tpl fld="7" item="789"/>
          <tpl fld="6" item="2"/>
          <tpl hier="236" item="0"/>
          <tpl fld="4" item="6"/>
        </tpls>
      </m>
      <m>
        <tpls c="4">
          <tpl fld="7" item="629"/>
          <tpl fld="6" item="2"/>
          <tpl hier="236" item="0"/>
          <tpl fld="4" item="6"/>
        </tpls>
      </m>
      <m>
        <tpls c="4">
          <tpl fld="7" item="792"/>
          <tpl fld="6" item="2"/>
          <tpl hier="236" item="0"/>
          <tpl fld="4" item="6"/>
        </tpls>
      </m>
      <m>
        <tpls c="4">
          <tpl fld="7" item="886"/>
          <tpl fld="6" item="1"/>
          <tpl hier="236" item="0"/>
          <tpl fld="4" item="6"/>
        </tpls>
      </m>
      <m>
        <tpls c="4">
          <tpl fld="7" item="633"/>
          <tpl fld="6" item="2"/>
          <tpl hier="236" item="0"/>
          <tpl fld="4" item="1"/>
        </tpls>
      </m>
      <m>
        <tpls c="4">
          <tpl fld="7" item="574"/>
          <tpl fld="6" item="2"/>
          <tpl hier="236" item="0"/>
          <tpl fld="1" item="0"/>
        </tpls>
      </m>
      <m>
        <tpls c="4">
          <tpl fld="7" item="635"/>
          <tpl fld="6" item="1"/>
          <tpl hier="236" item="0"/>
          <tpl fld="4" item="1"/>
        </tpls>
      </m>
      <m>
        <tpls c="4">
          <tpl fld="7" item="577"/>
          <tpl fld="6" item="1"/>
          <tpl hier="236" item="0"/>
          <tpl fld="1" item="0"/>
        </tpls>
      </m>
      <m>
        <tpls c="4">
          <tpl fld="7" item="717"/>
          <tpl fld="6" item="2"/>
          <tpl hier="236" item="0"/>
          <tpl fld="4" item="4"/>
        </tpls>
      </m>
      <m>
        <tpls c="3">
          <tpl fld="7" item="580"/>
          <tpl fld="6" item="3"/>
          <tpl hier="236" item="0"/>
        </tpls>
      </m>
      <m>
        <tpls c="4">
          <tpl fld="7" item="1185"/>
          <tpl fld="6" item="2"/>
          <tpl hier="236" item="0"/>
          <tpl fld="4" item="1"/>
        </tpls>
      </m>
      <m>
        <tpls c="4">
          <tpl fld="7" item="89"/>
          <tpl fld="6" item="1"/>
          <tpl hier="236" item="0"/>
          <tpl fld="4" item="6"/>
        </tpls>
      </m>
      <m>
        <tpls c="4">
          <tpl fld="7" item="425"/>
          <tpl fld="6" item="1"/>
          <tpl hier="236" item="0"/>
          <tpl fld="4" item="4"/>
        </tpls>
      </m>
      <n v="0.3" in="2">
        <tpls c="4">
          <tpl fld="7" item="367"/>
          <tpl fld="6" item="2"/>
          <tpl hier="236" item="0"/>
          <tpl fld="4" item="1"/>
        </tpls>
      </n>
      <n v="1" in="3">
        <tpls c="3">
          <tpl fld="7" item="521"/>
          <tpl fld="6" item="3"/>
          <tpl hier="236" item="0"/>
        </tpls>
      </n>
      <m>
        <tpls c="3">
          <tpl fld="7" item="460"/>
          <tpl fld="6" item="3"/>
          <tpl hier="236" item="0"/>
        </tpls>
      </m>
      <m>
        <tpls c="4">
          <tpl fld="7" item="395"/>
          <tpl fld="6" item="1"/>
          <tpl hier="236" item="0"/>
          <tpl fld="4" item="5"/>
        </tpls>
      </m>
      <m>
        <tpls c="3">
          <tpl fld="7" item="541"/>
          <tpl fld="6" item="3"/>
          <tpl hier="236" item="0"/>
        </tpls>
      </m>
      <m>
        <tpls c="4">
          <tpl fld="7" item="691"/>
          <tpl fld="6" item="1"/>
          <tpl hier="236" item="0"/>
          <tpl fld="4" item="1"/>
        </tpls>
      </m>
      <m>
        <tpls c="4">
          <tpl fld="7" item="985"/>
          <tpl fld="6" item="1"/>
          <tpl hier="236" item="0"/>
          <tpl fld="4" item="5"/>
        </tpls>
      </m>
      <m>
        <tpls c="4">
          <tpl fld="7" item="614"/>
          <tpl fld="6" item="2"/>
          <tpl hier="236" item="0"/>
          <tpl fld="4" item="4"/>
        </tpls>
      </m>
      <m>
        <tpls c="3">
          <tpl fld="7" item="549"/>
          <tpl fld="6" item="3"/>
          <tpl hier="236" item="0"/>
        </tpls>
      </m>
      <n v="6" in="1">
        <tpls c="4">
          <tpl fld="7" item="696"/>
          <tpl fld="6" item="1"/>
          <tpl hier="236" item="0"/>
          <tpl fld="4" item="4"/>
        </tpls>
      </n>
      <m>
        <tpls c="4">
          <tpl fld="7" item="697"/>
          <tpl fld="6" item="2"/>
          <tpl hier="236" item="0"/>
          <tpl fld="4" item="5"/>
        </tpls>
      </m>
      <m>
        <tpls c="4">
          <tpl fld="7" item="698"/>
          <tpl fld="6" item="2"/>
          <tpl hier="236" item="0"/>
          <tpl fld="4" item="6"/>
        </tpls>
      </m>
      <m>
        <tpls c="4">
          <tpl fld="7" item="781"/>
          <tpl fld="6" item="1"/>
          <tpl hier="236" item="0"/>
          <tpl fld="4" item="5"/>
        </tpls>
      </m>
      <m>
        <tpls c="4">
          <tpl fld="7" item="782"/>
          <tpl fld="6" item="1"/>
          <tpl hier="236" item="0"/>
          <tpl fld="4" item="6"/>
        </tpls>
      </m>
      <m>
        <tpls c="4">
          <tpl fld="7" item="1090"/>
          <tpl fld="6" item="2"/>
          <tpl hier="236" item="0"/>
          <tpl fld="4" item="1"/>
        </tpls>
      </m>
      <m>
        <tpls c="4">
          <tpl fld="7" item="559"/>
          <tpl fld="6" item="2"/>
          <tpl hier="236" item="0"/>
          <tpl fld="1" item="0"/>
        </tpls>
      </m>
      <n v="1" in="1">
        <tpls c="4">
          <tpl fld="7" item="884"/>
          <tpl fld="6" item="1"/>
          <tpl hier="236" item="0"/>
          <tpl fld="4" item="1"/>
        </tpls>
      </n>
      <n v="37" in="1">
        <tpls c="4">
          <tpl fld="7" item="562"/>
          <tpl fld="6" item="1"/>
          <tpl hier="236" item="0"/>
          <tpl fld="1" item="0"/>
        </tpls>
      </n>
      <n v="1" in="2">
        <tpls c="4">
          <tpl fld="7" item="626"/>
          <tpl fld="6" item="2"/>
          <tpl hier="236" item="0"/>
          <tpl fld="4" item="4"/>
        </tpls>
      </n>
      <n v="0" in="1">
        <tpls c="4">
          <tpl fld="7" item="565"/>
          <tpl fld="6" item="1"/>
          <tpl hier="236" item="0"/>
          <tpl fld="4" item="1"/>
        </tpls>
      </n>
      <n v="2" in="1">
        <tpls c="4">
          <tpl fld="7" item="567"/>
          <tpl fld="6" item="1"/>
          <tpl hier="236" item="0"/>
          <tpl fld="4" item="1"/>
        </tpls>
      </n>
      <n v="2" in="1">
        <tpls c="4">
          <tpl fld="7" item="569"/>
          <tpl fld="6" item="1"/>
          <tpl hier="236" item="0"/>
          <tpl fld="4" item="1"/>
        </tpls>
      </n>
      <m>
        <tpls c="4">
          <tpl fld="7" item="793"/>
          <tpl fld="6" item="2"/>
          <tpl hier="236" item="0"/>
          <tpl fld="1" item="0"/>
        </tpls>
      </m>
      <n v="2" in="1">
        <tpls c="4">
          <tpl fld="7" item="794"/>
          <tpl fld="6" item="1"/>
          <tpl hier="236" item="0"/>
          <tpl fld="4" item="1"/>
        </tpls>
      </n>
      <m>
        <tpls c="4">
          <tpl fld="7" item="1093"/>
          <tpl fld="6" item="1"/>
          <tpl hier="236" item="0"/>
          <tpl fld="1" item="0"/>
        </tpls>
      </m>
      <m>
        <tpls c="4">
          <tpl fld="7" item="1276"/>
          <tpl fld="6" item="2"/>
          <tpl hier="236" item="0"/>
          <tpl fld="4" item="4"/>
        </tpls>
      </m>
      <m>
        <tpls c="3">
          <tpl fld="7" item="636"/>
          <tpl fld="6" item="3"/>
          <tpl hier="236" item="0"/>
        </tpls>
      </m>
      <n v="409" in="1">
        <tpls c="6">
          <tpl fld="11" item="0"/>
          <tpl fld="5" item="3"/>
          <tpl fld="6" item="1"/>
          <tpl hier="236" item="0"/>
          <tpl fld="4" item="4"/>
          <tpl fld="10" item="3"/>
        </tpls>
      </n>
      <m>
        <tpls c="4">
          <tpl fld="7" item="253"/>
          <tpl fld="6" item="1"/>
          <tpl hier="236" item="0"/>
          <tpl fld="4" item="6"/>
        </tpls>
      </m>
      <m>
        <tpls c="3">
          <tpl fld="7" item="82"/>
          <tpl fld="6" item="3"/>
          <tpl hier="236" item="0"/>
        </tpls>
      </m>
      <m>
        <tpls c="4">
          <tpl fld="7" item="150"/>
          <tpl fld="6" item="2"/>
          <tpl hier="236" item="0"/>
          <tpl fld="4" item="6"/>
        </tpls>
      </m>
      <m>
        <tpls c="4">
          <tpl fld="7" item="55"/>
          <tpl fld="6" item="2"/>
          <tpl hier="236" item="0"/>
          <tpl fld="4" item="6"/>
        </tpls>
      </m>
      <m>
        <tpls c="4">
          <tpl fld="7" item="74"/>
          <tpl fld="6" item="1"/>
          <tpl hier="236" item="0"/>
          <tpl fld="4" item="6"/>
        </tpls>
      </m>
      <m>
        <tpls c="4">
          <tpl fld="7" item="347"/>
          <tpl fld="6" item="1"/>
          <tpl hier="236" item="0"/>
          <tpl fld="4" item="6"/>
        </tpls>
      </m>
      <m>
        <tpls c="6">
          <tpl fld="3" item="2"/>
          <tpl fld="11" item="0"/>
          <tpl fld="6" item="2"/>
          <tpl hier="236" item="0"/>
          <tpl fld="4" item="7"/>
          <tpl fld="10" item="5"/>
        </tpls>
      </m>
      <m>
        <tpls c="4">
          <tpl fld="7" item="19"/>
          <tpl fld="6" item="1"/>
          <tpl hier="236" item="0"/>
          <tpl fld="4" item="4"/>
        </tpls>
      </m>
      <m>
        <tpls c="4">
          <tpl fld="7" item="254"/>
          <tpl fld="6" item="2"/>
          <tpl hier="236" item="0"/>
          <tpl fld="4" item="1"/>
        </tpls>
      </m>
      <m>
        <tpls c="4">
          <tpl fld="7" item="591"/>
          <tpl fld="6" item="1"/>
          <tpl hier="236" item="0"/>
          <tpl fld="4" item="4"/>
        </tpls>
      </m>
      <m>
        <tpls c="4">
          <tpl fld="7" item="753"/>
          <tpl fld="6" item="1"/>
          <tpl hier="236" item="0"/>
          <tpl fld="4" item="4"/>
        </tpls>
      </m>
      <m>
        <tpls c="4">
          <tpl fld="7" item="70"/>
          <tpl fld="6" item="2"/>
          <tpl hier="236" item="0"/>
          <tpl fld="4" item="4"/>
        </tpls>
      </m>
      <m>
        <tpls c="4">
          <tpl fld="7" item="83"/>
          <tpl fld="6" item="1"/>
          <tpl hier="236" item="0"/>
          <tpl fld="4" item="4"/>
        </tpls>
      </m>
      <m>
        <tpls c="4">
          <tpl fld="7" item="594"/>
          <tpl fld="6" item="1"/>
          <tpl hier="236" item="0"/>
          <tpl fld="4" item="4"/>
        </tpls>
      </m>
      <m>
        <tpls c="4">
          <tpl fld="7" item="120"/>
          <tpl fld="6" item="2"/>
          <tpl hier="236" item="0"/>
          <tpl fld="4" item="1"/>
        </tpls>
      </m>
      <m>
        <tpls c="3">
          <tpl fld="7" item="285"/>
          <tpl fld="6" item="3"/>
          <tpl hier="236" item="0"/>
        </tpls>
      </m>
      <m>
        <tpls c="3">
          <tpl fld="7" item="351"/>
          <tpl fld="6" item="3"/>
          <tpl hier="236" item="0"/>
        </tpls>
      </m>
      <m>
        <tpls c="4">
          <tpl fld="7" item="503"/>
          <tpl fld="6" item="1"/>
          <tpl hier="236" item="0"/>
          <tpl fld="4" item="6"/>
        </tpls>
      </m>
      <m>
        <tpls c="4">
          <tpl fld="7" item="762"/>
          <tpl fld="6" item="2"/>
          <tpl hier="236" item="0"/>
          <tpl fld="4" item="4"/>
        </tpls>
      </m>
      <m>
        <tpls c="4">
          <tpl fld="7" item="528"/>
          <tpl fld="6" item="2"/>
          <tpl hier="236" item="0"/>
          <tpl fld="4" item="5"/>
        </tpls>
      </m>
      <m>
        <tpls c="4">
          <tpl fld="7" item="534"/>
          <tpl fld="6" item="2"/>
          <tpl hier="236" item="0"/>
          <tpl fld="4" item="1"/>
        </tpls>
      </m>
      <m>
        <tpls c="4">
          <tpl fld="7" item="688"/>
          <tpl fld="6" item="2"/>
          <tpl hier="236" item="0"/>
          <tpl fld="4" item="4"/>
        </tpls>
      </m>
      <m>
        <tpls c="4">
          <tpl fld="7" item="125"/>
          <tpl fld="6" item="1"/>
          <tpl hier="236" item="0"/>
          <tpl fld="4" item="4"/>
        </tpls>
      </m>
      <m>
        <tpls c="3">
          <tpl fld="7" item="286"/>
          <tpl fld="6" item="3"/>
          <tpl hier="236" item="0"/>
        </tpls>
      </m>
      <m>
        <tpls c="4">
          <tpl fld="7" item="351"/>
          <tpl fld="6" item="2"/>
          <tpl hier="236" item="0"/>
          <tpl fld="4" item="1"/>
        </tpls>
      </m>
      <n v="1" in="1">
        <tpls c="4">
          <tpl fld="7" item="362"/>
          <tpl fld="6" item="1"/>
          <tpl hier="236" item="0"/>
          <tpl fld="4" item="6"/>
        </tpls>
      </n>
      <n v="0.95" in="2">
        <tpls c="4">
          <tpl fld="7" item="516"/>
          <tpl fld="6" item="2"/>
          <tpl hier="236" item="0"/>
          <tpl fld="4" item="4"/>
        </tpls>
      </n>
      <m>
        <tpls c="4">
          <tpl fld="7" item="387"/>
          <tpl fld="6" item="1"/>
          <tpl hier="236" item="0"/>
          <tpl fld="4" item="6"/>
        </tpls>
      </m>
      <n v="0" in="1">
        <tpls c="4">
          <tpl fld="7" item="534"/>
          <tpl fld="6" item="1"/>
          <tpl hier="236" item="0"/>
          <tpl fld="1" item="0"/>
        </tpls>
      </n>
      <m>
        <tpls c="4">
          <tpl fld="7" item="606"/>
          <tpl fld="6" item="1"/>
          <tpl hier="236" item="0"/>
          <tpl fld="4" item="5"/>
        </tpls>
      </m>
      <m>
        <tpls c="4">
          <tpl fld="7" item="769"/>
          <tpl fld="6" item="1"/>
          <tpl hier="236" item="0"/>
          <tpl fld="4" item="5"/>
        </tpls>
      </m>
      <n v="273.19047297297294" in="2">
        <tpls c="5">
          <tpl fld="11" item="0"/>
          <tpl fld="6" item="2"/>
          <tpl hier="236" item="0"/>
          <tpl fld="4" item="4"/>
          <tpl fld="10" item="0"/>
        </tpls>
      </n>
      <m>
        <tpls c="4">
          <tpl fld="7" item="139"/>
          <tpl fld="6" item="1"/>
          <tpl hier="236" item="0"/>
          <tpl fld="4" item="4"/>
        </tpls>
      </m>
      <m>
        <tpls c="4">
          <tpl fld="7" item="154"/>
          <tpl fld="6" item="1"/>
          <tpl hier="236" item="0"/>
          <tpl fld="4" item="5"/>
        </tpls>
      </m>
      <m>
        <tpls c="4">
          <tpl fld="7" item="272"/>
          <tpl fld="6" item="1"/>
          <tpl hier="236" item="0"/>
          <tpl fld="4" item="5"/>
        </tpls>
      </m>
      <m>
        <tpls c="3">
          <tpl fld="7" item="287"/>
          <tpl fld="6" item="3"/>
          <tpl hier="236" item="0"/>
        </tpls>
      </m>
      <m>
        <tpls c="4">
          <tpl fld="7" item="673"/>
          <tpl fld="6" item="1"/>
          <tpl hier="236" item="0"/>
          <tpl fld="4" item="6"/>
        </tpls>
      </m>
      <m>
        <tpls c="4">
          <tpl fld="7" item="96"/>
          <tpl fld="6" item="1"/>
          <tpl hier="236" item="0"/>
          <tpl fld="4" item="6"/>
        </tpls>
      </m>
      <m>
        <tpls c="4">
          <tpl fld="7" item="210"/>
          <tpl fld="6" item="1"/>
          <tpl hier="236" item="0"/>
          <tpl fld="4" item="4"/>
        </tpls>
      </m>
      <m>
        <tpls c="3">
          <tpl fld="7" item="322"/>
          <tpl fld="6" item="3"/>
          <tpl hier="236" item="0"/>
        </tpls>
      </m>
      <m>
        <tpls c="4">
          <tpl fld="7" item="494"/>
          <tpl fld="6" item="2"/>
          <tpl hier="236" item="0"/>
          <tpl fld="4" item="1"/>
        </tpls>
      </m>
      <m>
        <tpls c="4">
          <tpl fld="7" item="356"/>
          <tpl fld="6" item="1"/>
          <tpl hier="236" item="0"/>
          <tpl fld="4" item="4"/>
        </tpls>
      </m>
      <m>
        <tpls c="4">
          <tpl fld="7" item="359"/>
          <tpl fld="6" item="2"/>
          <tpl hier="236" item="0"/>
          <tpl fld="4" item="4"/>
        </tpls>
      </m>
      <m>
        <tpls c="4">
          <tpl fld="7" item="433"/>
          <tpl fld="6" item="1"/>
          <tpl hier="236" item="0"/>
          <tpl fld="4" item="6"/>
        </tpls>
      </m>
      <n v="1" in="3">
        <tpls c="3">
          <tpl fld="7" item="678"/>
          <tpl fld="6" item="3"/>
          <tpl hier="236" item="0"/>
        </tpls>
      </n>
      <m>
        <tpls c="4">
          <tpl fld="7" item="510"/>
          <tpl fld="6" item="2"/>
          <tpl hier="236" item="0"/>
          <tpl fld="4" item="1"/>
        </tpls>
      </m>
      <n v="6" in="1">
        <tpls c="4">
          <tpl fld="7" item="372"/>
          <tpl fld="6" item="1"/>
          <tpl hier="236" item="0"/>
          <tpl fld="4" item="4"/>
        </tpls>
      </n>
      <n v="4.2155405405405402" in="2">
        <tpls c="4">
          <tpl fld="7" item="375"/>
          <tpl fld="6" item="2"/>
          <tpl hier="236" item="0"/>
          <tpl fld="4" item="4"/>
        </tpls>
      </n>
      <m>
        <tpls c="4">
          <tpl fld="7" item="449"/>
          <tpl fld="6" item="1"/>
          <tpl hier="236" item="0"/>
          <tpl fld="4" item="6"/>
        </tpls>
      </m>
      <m>
        <tpls c="3">
          <tpl fld="7" item="682"/>
          <tpl fld="6" item="3"/>
          <tpl hier="236" item="0"/>
        </tpls>
      </m>
      <m>
        <tpls c="4">
          <tpl fld="7" item="526"/>
          <tpl fld="6" item="2"/>
          <tpl hier="236" item="0"/>
          <tpl fld="4" item="1"/>
        </tpls>
      </m>
      <n v="1" in="1">
        <tpls c="4">
          <tpl fld="7" item="387"/>
          <tpl fld="6" item="1"/>
          <tpl hier="236" item="0"/>
          <tpl fld="4" item="1"/>
        </tpls>
      </n>
      <m>
        <tpls c="4">
          <tpl fld="7" item="604"/>
          <tpl fld="6" item="1"/>
          <tpl hier="236" item="0"/>
          <tpl fld="1" item="0"/>
        </tpls>
      </m>
      <m>
        <tpls c="4">
          <tpl fld="7" item="390"/>
          <tpl fld="6" item="2"/>
          <tpl hier="236" item="0"/>
          <tpl fld="4" item="4"/>
        </tpls>
      </m>
      <m>
        <tpls c="3">
          <tpl fld="7" item="983"/>
          <tpl fld="6" item="3"/>
          <tpl hier="236" item="0"/>
        </tpls>
      </m>
      <m>
        <tpls c="4">
          <tpl fld="7" item="393"/>
          <tpl fld="6" item="1"/>
          <tpl hier="236" item="0"/>
          <tpl fld="4" item="4"/>
        </tpls>
      </m>
      <m>
        <tpls c="4">
          <tpl fld="7" item="465"/>
          <tpl fld="6" item="2"/>
          <tpl hier="236" item="0"/>
          <tpl fld="4" item="5"/>
        </tpls>
      </m>
      <m>
        <tpls c="4">
          <tpl fld="7" item="537"/>
          <tpl fld="6" item="2"/>
          <tpl hier="236" item="0"/>
          <tpl fld="4" item="6"/>
        </tpls>
      </m>
      <m>
        <tpls c="4">
          <tpl fld="7" item="687"/>
          <tpl fld="6" item="1"/>
          <tpl hier="236" item="0"/>
          <tpl fld="4" item="5"/>
        </tpls>
      </m>
      <n v="16" in="1">
        <tpls c="4">
          <tpl fld="7" item="540"/>
          <tpl fld="6" item="1"/>
          <tpl hier="236" item="0"/>
          <tpl fld="4" item="6"/>
        </tpls>
      </n>
      <n v="0.8" in="2">
        <tpls c="4">
          <tpl fld="7" item="771"/>
          <tpl fld="6" item="2"/>
          <tpl hier="236" item="0"/>
          <tpl fld="4" item="1"/>
        </tpls>
      </n>
      <n v="1" in="2">
        <tpls c="4">
          <tpl fld="7" item="772"/>
          <tpl fld="6" item="2"/>
          <tpl hier="236" item="0"/>
          <tpl fld="1" item="0"/>
        </tpls>
      </n>
      <m>
        <tpls c="4">
          <tpl fld="7" item="773"/>
          <tpl fld="6" item="1"/>
          <tpl hier="236" item="0"/>
          <tpl fld="4" item="1"/>
        </tpls>
      </m>
      <n v="2" in="1">
        <tpls c="4">
          <tpl fld="7" item="985"/>
          <tpl fld="6" item="1"/>
          <tpl hier="236" item="0"/>
          <tpl fld="1" item="0"/>
        </tpls>
      </n>
      <m>
        <tpls c="4">
          <tpl fld="7" item="6"/>
          <tpl fld="6" item="1"/>
          <tpl hier="236" item="0"/>
          <tpl fld="4" item="4"/>
        </tpls>
      </m>
      <m>
        <tpls c="4">
          <tpl fld="7" item="174"/>
          <tpl fld="6" item="1"/>
          <tpl hier="236" item="0"/>
          <tpl fld="4" item="4"/>
        </tpls>
      </m>
      <m>
        <tpls c="4">
          <tpl fld="7" item="321"/>
          <tpl fld="6" item="1"/>
          <tpl hier="236" item="0"/>
          <tpl fld="4" item="6"/>
        </tpls>
      </m>
      <n v="7" in="1">
        <tpls c="4">
          <tpl fld="7" item="432"/>
          <tpl fld="6" item="1"/>
          <tpl hier="236" item="0"/>
          <tpl fld="4" item="4"/>
        </tpls>
      </n>
      <n v="10.538918918918919" in="2">
        <tpls c="4">
          <tpl fld="7" item="374"/>
          <tpl fld="6" item="2"/>
          <tpl hier="236" item="0"/>
          <tpl fld="4" item="1"/>
        </tpls>
      </n>
      <n v="1" in="1">
        <tpls c="4">
          <tpl fld="7" item="765"/>
          <tpl fld="6" item="1"/>
          <tpl hier="236" item="0"/>
          <tpl fld="4" item="4"/>
        </tpls>
      </n>
      <m>
        <tpls c="4">
          <tpl fld="7" item="463"/>
          <tpl fld="6" item="2"/>
          <tpl hier="236" item="0"/>
          <tpl fld="1" item="0"/>
        </tpls>
      </m>
      <m>
        <tpls c="3">
          <tpl fld="7" item="608"/>
          <tpl fld="6" item="3"/>
          <tpl hier="236" item="0"/>
        </tpls>
      </m>
      <n v="18" in="1">
        <tpls c="4">
          <tpl fld="7" item="690"/>
          <tpl fld="6" item="1"/>
          <tpl hier="236" item="0"/>
          <tpl fld="1" item="0"/>
        </tpls>
      </n>
      <n v="1" in="1">
        <tpls c="4">
          <tpl fld="7" item="545"/>
          <tpl fld="6" item="1"/>
          <tpl hier="236" item="0"/>
          <tpl fld="4" item="4"/>
        </tpls>
      </n>
      <n v="2" in="1">
        <tpls c="4">
          <tpl fld="7" item="775"/>
          <tpl fld="6" item="1"/>
          <tpl hier="236" item="0"/>
          <tpl fld="4" item="1"/>
        </tpls>
      </n>
      <n v="9" in="1">
        <tpls c="4">
          <tpl fld="7" item="776"/>
          <tpl fld="6" item="1"/>
          <tpl hier="236" item="0"/>
          <tpl fld="1" item="0"/>
        </tpls>
      </n>
      <m>
        <tpls c="4">
          <tpl fld="7" item="882"/>
          <tpl fld="6" item="2"/>
          <tpl hier="236" item="0"/>
          <tpl fld="4" item="4"/>
        </tpls>
      </m>
      <m>
        <tpls c="3">
          <tpl fld="7" item="986"/>
          <tpl fld="6" item="3"/>
          <tpl hier="236" item="0"/>
        </tpls>
      </m>
      <m>
        <tpls c="4">
          <tpl fld="7" item="618"/>
          <tpl fld="6" item="1"/>
          <tpl hier="236" item="0"/>
          <tpl fld="4" item="4"/>
        </tpls>
      </m>
      <m>
        <tpls c="4">
          <tpl fld="7" item="554"/>
          <tpl fld="6" item="2"/>
          <tpl hier="236" item="0"/>
          <tpl fld="4" item="5"/>
        </tpls>
      </m>
      <m>
        <tpls c="4">
          <tpl fld="7" item="620"/>
          <tpl fld="6" item="2"/>
          <tpl hier="236" item="0"/>
          <tpl fld="4" item="6"/>
        </tpls>
      </m>
      <m>
        <tpls c="4">
          <tpl fld="7" item="557"/>
          <tpl fld="6" item="1"/>
          <tpl hier="236" item="0"/>
          <tpl fld="4" item="5"/>
        </tpls>
      </m>
      <n v="1" in="1">
        <tpls c="4">
          <tpl fld="7" item="702"/>
          <tpl fld="6" item="1"/>
          <tpl hier="236" item="0"/>
          <tpl fld="4" item="6"/>
        </tpls>
      </n>
      <m>
        <tpls c="4">
          <tpl fld="7" item="560"/>
          <tpl fld="6" item="2"/>
          <tpl hier="236" item="0"/>
          <tpl fld="4" item="1"/>
        </tpls>
      </m>
      <n v="1" in="2">
        <tpls c="4">
          <tpl fld="7" item="704"/>
          <tpl fld="6" item="2"/>
          <tpl hier="236" item="0"/>
          <tpl fld="1" item="0"/>
        </tpls>
      </n>
      <n v="10" in="1">
        <tpls c="4">
          <tpl fld="7" item="787"/>
          <tpl fld="6" item="1"/>
          <tpl hier="236" item="0"/>
          <tpl fld="4" item="1"/>
        </tpls>
      </n>
      <n v="33" in="1">
        <tpls c="4">
          <tpl fld="7" item="788"/>
          <tpl fld="6" item="1"/>
          <tpl hier="236" item="0"/>
          <tpl fld="1" item="0"/>
        </tpls>
      </n>
      <n v="8" in="1">
        <tpls c="4">
          <tpl fld="7" item="628"/>
          <tpl fld="6" item="1"/>
          <tpl hier="236" item="0"/>
          <tpl fld="4" item="4"/>
        </tpls>
      </n>
      <m>
        <tpls c="4">
          <tpl fld="7" item="791"/>
          <tpl fld="6" item="1"/>
          <tpl hier="236" item="0"/>
          <tpl fld="4" item="4"/>
        </tpls>
      </m>
      <m>
        <tpls c="4">
          <tpl fld="7" item="631"/>
          <tpl fld="6" item="1"/>
          <tpl hier="236" item="0"/>
          <tpl fld="4" item="4"/>
        </tpls>
      </m>
      <m>
        <tpls c="4">
          <tpl fld="7" item="712"/>
          <tpl fld="6" item="2"/>
          <tpl hier="236" item="0"/>
          <tpl fld="4" item="1"/>
        </tpls>
      </m>
      <m>
        <tpls c="4">
          <tpl fld="7" item="573"/>
          <tpl fld="6" item="2"/>
          <tpl hier="236" item="0"/>
          <tpl fld="1" item="0"/>
        </tpls>
      </m>
      <n v="1" in="1">
        <tpls c="4">
          <tpl fld="7" item="714"/>
          <tpl fld="6" item="1"/>
          <tpl hier="236" item="0"/>
          <tpl fld="4" item="1"/>
        </tpls>
      </n>
      <n v="1" in="1">
        <tpls c="4">
          <tpl fld="7" item="576"/>
          <tpl fld="6" item="1"/>
          <tpl hier="236" item="0"/>
          <tpl fld="1" item="0"/>
        </tpls>
      </n>
      <m>
        <tpls c="4">
          <tpl fld="7" item="798"/>
          <tpl fld="6" item="2"/>
          <tpl hier="236" item="0"/>
          <tpl fld="4" item="4"/>
        </tpls>
      </m>
      <m>
        <tpls c="3">
          <tpl fld="7" item="579"/>
          <tpl fld="6" item="3"/>
          <tpl hier="236" item="0"/>
        </tpls>
      </m>
      <m>
        <tpls c="6">
          <tpl fld="11" item="0"/>
          <tpl fld="5" item="3"/>
          <tpl fld="6" item="2"/>
          <tpl hier="236" item="0"/>
          <tpl fld="4" item="7"/>
          <tpl fld="10" item="7"/>
        </tpls>
      </m>
      <m>
        <tpls c="4">
          <tpl fld="7" item="338"/>
          <tpl fld="6" item="2"/>
          <tpl hier="236" item="0"/>
          <tpl fld="4" item="1"/>
        </tpls>
      </m>
      <m>
        <tpls c="4">
          <tpl fld="7" item="101"/>
          <tpl fld="6" item="1"/>
          <tpl hier="236" item="0"/>
          <tpl fld="4" item="4"/>
        </tpls>
      </m>
      <m>
        <tpls c="4">
          <tpl fld="7" item="429"/>
          <tpl fld="6" item="1"/>
          <tpl hier="236" item="0"/>
          <tpl fld="4" item="4"/>
        </tpls>
      </m>
      <m>
        <tpls c="4">
          <tpl fld="7" item="371"/>
          <tpl fld="6" item="2"/>
          <tpl hier="236" item="0"/>
          <tpl fld="4" item="1"/>
        </tpls>
      </m>
      <m>
        <tpls c="3">
          <tpl fld="7" item="525"/>
          <tpl fld="6" item="3"/>
          <tpl hier="236" item="0"/>
        </tpls>
      </m>
      <m>
        <tpls c="4">
          <tpl fld="7" item="391"/>
          <tpl fld="6" item="1"/>
          <tpl hier="236" item="0"/>
          <tpl fld="4" item="5"/>
        </tpls>
      </m>
      <n v="2" in="1">
        <tpls c="4">
          <tpl fld="7" item="538"/>
          <tpl fld="6" item="1"/>
          <tpl hier="236" item="0"/>
          <tpl fld="4" item="1"/>
        </tpls>
      </n>
      <m>
        <tpls c="4">
          <tpl fld="7" item="1087"/>
          <tpl fld="6" item="2"/>
          <tpl hier="236" item="0"/>
          <tpl fld="4" item="5"/>
        </tpls>
      </m>
      <m>
        <tpls c="3">
          <tpl fld="7" item="881"/>
          <tpl fld="6" item="3"/>
          <tpl hier="236" item="0"/>
        </tpls>
      </m>
      <m>
        <tpls c="4">
          <tpl fld="7" item="613"/>
          <tpl fld="6" item="2"/>
          <tpl hier="236" item="0"/>
          <tpl fld="1" item="0"/>
        </tpls>
      </m>
      <m>
        <tpls c="3">
          <tpl fld="7" item="548"/>
          <tpl fld="6" item="3"/>
          <tpl hier="236" item="0"/>
        </tpls>
      </m>
      <n v="6" in="1">
        <tpls c="4">
          <tpl fld="7" item="777"/>
          <tpl fld="6" item="1"/>
          <tpl hier="236" item="0"/>
          <tpl fld="4" item="4"/>
        </tpls>
      </n>
      <m>
        <tpls c="4">
          <tpl fld="7" item="778"/>
          <tpl fld="6" item="2"/>
          <tpl hier="236" item="0"/>
          <tpl fld="4" item="5"/>
        </tpls>
      </m>
      <m>
        <tpls c="4">
          <tpl fld="7" item="779"/>
          <tpl fld="6" item="2"/>
          <tpl hier="236" item="0"/>
          <tpl fld="4" item="6"/>
        </tpls>
      </m>
      <m>
        <tpls c="4">
          <tpl fld="7" item="1270"/>
          <tpl fld="6" item="1"/>
          <tpl hier="236" item="0"/>
          <tpl fld="4" item="5"/>
        </tpls>
      </m>
      <n v="1" in="1">
        <tpls c="4">
          <tpl fld="7" item="883"/>
          <tpl fld="6" item="1"/>
          <tpl hier="236" item="0"/>
          <tpl fld="4" item="6"/>
        </tpls>
      </n>
      <m>
        <tpls c="4">
          <tpl fld="7" item="621"/>
          <tpl fld="6" item="2"/>
          <tpl hier="236" item="0"/>
          <tpl fld="4" item="1"/>
        </tpls>
      </m>
      <m>
        <tpls c="4">
          <tpl fld="7" item="558"/>
          <tpl fld="6" item="2"/>
          <tpl hier="236" item="0"/>
          <tpl fld="1" item="0"/>
        </tpls>
      </m>
      <m>
        <tpls c="4">
          <tpl fld="7" item="623"/>
          <tpl fld="6" item="1"/>
          <tpl hier="236" item="0"/>
          <tpl fld="4" item="1"/>
        </tpls>
      </m>
      <n v="24" in="1">
        <tpls c="4">
          <tpl fld="7" item="561"/>
          <tpl fld="6" item="1"/>
          <tpl hier="236" item="0"/>
          <tpl fld="1" item="0"/>
        </tpls>
      </n>
      <n v="1.25" in="2">
        <tpls c="4">
          <tpl fld="7" item="705"/>
          <tpl fld="6" item="2"/>
          <tpl hier="236" item="0"/>
          <tpl fld="4" item="4"/>
        </tpls>
      </n>
      <m>
        <tpls c="3">
          <tpl fld="7" item="564"/>
          <tpl fld="6" item="3"/>
          <tpl hier="236" item="0"/>
        </tpls>
      </m>
      <m>
        <tpls c="4">
          <tpl fld="7" item="885"/>
          <tpl fld="6" item="2"/>
          <tpl hier="236" item="0"/>
          <tpl fld="4" item="1"/>
        </tpls>
      </m>
      <m>
        <tpls c="4">
          <tpl fld="7" item="709"/>
          <tpl fld="6" item="2"/>
          <tpl hier="236" item="0"/>
          <tpl fld="4" item="1"/>
        </tpls>
      </m>
      <m>
        <tpls c="4">
          <tpl fld="7" item="1239"/>
          <tpl fld="6" item="2"/>
          <tpl hier="236" item="0"/>
          <tpl fld="4" item="1"/>
        </tpls>
      </m>
      <n v="2" in="1">
        <tpls c="4">
          <tpl fld="7" item="886"/>
          <tpl fld="6" item="1"/>
          <tpl hier="236" item="0"/>
          <tpl fld="4" item="1"/>
        </tpls>
      </n>
      <n v="5" in="1">
        <tpls c="4">
          <tpl fld="7" item="633"/>
          <tpl fld="6" item="1"/>
          <tpl hier="236" item="0"/>
          <tpl fld="1" item="0"/>
        </tpls>
      </n>
      <m>
        <tpls c="4">
          <tpl fld="7" item="634"/>
          <tpl fld="6" item="2"/>
          <tpl hier="236" item="0"/>
          <tpl fld="4" item="4"/>
        </tpls>
      </m>
      <m>
        <tpls c="3">
          <tpl fld="7" item="715"/>
          <tpl fld="6" item="3"/>
          <tpl hier="236" item="0"/>
        </tpls>
      </m>
      <n v="481" in="1">
        <tpls c="6">
          <tpl fld="11" item="0"/>
          <tpl fld="2" item="2"/>
          <tpl fld="6" item="1"/>
          <tpl hier="236" item="0"/>
          <tpl fld="4" item="6"/>
          <tpl fld="10" item="0"/>
        </tpls>
      </n>
      <m>
        <tpls c="4">
          <tpl fld="7" item="2"/>
          <tpl fld="6" item="2"/>
          <tpl hier="236" item="0"/>
          <tpl fld="4" item="1"/>
        </tpls>
      </m>
      <m>
        <tpls c="4">
          <tpl fld="7" item="265"/>
          <tpl fld="6" item="1"/>
          <tpl hier="236" item="0"/>
          <tpl fld="1" item="0"/>
        </tpls>
      </m>
      <m>
        <tpls c="4">
          <tpl fld="7" item="314"/>
          <tpl fld="6" item="2"/>
          <tpl hier="236" item="0"/>
          <tpl fld="4" item="1"/>
        </tpls>
      </m>
      <m>
        <tpls c="4">
          <tpl fld="7" item="264"/>
          <tpl fld="6" item="2"/>
          <tpl hier="236" item="0"/>
          <tpl fld="4" item="6"/>
        </tpls>
      </m>
      <m>
        <tpls c="4">
          <tpl fld="7" item="168"/>
          <tpl fld="6" item="1"/>
          <tpl hier="236" item="0"/>
          <tpl fld="4" item="4"/>
        </tpls>
      </m>
      <m>
        <tpls c="3">
          <tpl fld="7" item="187"/>
          <tpl fld="6" item="3"/>
          <tpl hier="236" item="0"/>
        </tpls>
      </m>
      <m>
        <tpls c="4">
          <tpl fld="7" item="348"/>
          <tpl fld="6" item="1"/>
          <tpl hier="236" item="0"/>
          <tpl fld="4" item="6"/>
        </tpls>
      </m>
      <n v="43.038851351351354" in="2">
        <tpls c="6">
          <tpl fld="11" item="0"/>
          <tpl fld="6" item="2"/>
          <tpl fld="8" item="1"/>
          <tpl hier="236" item="0"/>
          <tpl fld="4" item="3"/>
          <tpl fld="10" item="2"/>
        </tpls>
      </n>
      <m>
        <tpls c="4">
          <tpl fld="7" item="29"/>
          <tpl fld="6" item="1"/>
          <tpl hier="236" item="0"/>
          <tpl fld="4" item="4"/>
        </tpls>
      </m>
      <m>
        <tpls c="4">
          <tpl fld="7" item="258"/>
          <tpl fld="6" item="2"/>
          <tpl hier="236" item="0"/>
          <tpl fld="4" item="1"/>
        </tpls>
      </m>
      <m>
        <tpls c="4">
          <tpl fld="7" item="50"/>
          <tpl fld="6" item="1"/>
          <tpl hier="236" item="0"/>
          <tpl fld="4" item="4"/>
        </tpls>
      </m>
      <m>
        <tpls c="4">
          <tpl fld="7" item="58"/>
          <tpl fld="6" item="1"/>
          <tpl hier="236" item="0"/>
          <tpl fld="4" item="4"/>
        </tpls>
      </m>
      <m>
        <tpls c="4">
          <tpl fld="7" item="74"/>
          <tpl fld="6" item="2"/>
          <tpl hier="236" item="0"/>
          <tpl fld="4" item="4"/>
        </tpls>
      </m>
      <m>
        <tpls c="4">
          <tpl fld="7" item="417"/>
          <tpl fld="6" item="2"/>
          <tpl hier="236" item="0"/>
          <tpl fld="4" item="4"/>
        </tpls>
      </m>
      <n v="0" in="1">
        <tpls c="4">
          <tpl fld="7" item="674"/>
          <tpl fld="6" item="1"/>
          <tpl hier="236" item="0"/>
          <tpl fld="4" item="4"/>
        </tpls>
      </n>
      <m>
        <tpls c="4">
          <tpl fld="7" item="752"/>
          <tpl fld="6" item="1"/>
          <tpl hier="236" item="0"/>
          <tpl fld="4" item="6"/>
        </tpls>
      </m>
      <m>
        <tpls c="4">
          <tpl fld="7" item="487"/>
          <tpl fld="6" item="2"/>
          <tpl hier="236" item="0"/>
          <tpl fld="4" item="1"/>
        </tpls>
      </m>
      <m>
        <tpls c="3">
          <tpl fld="7" item="353"/>
          <tpl fld="6" item="3"/>
          <tpl hier="236" item="0"/>
        </tpls>
      </m>
      <m>
        <tpls c="4">
          <tpl fld="7" item="507"/>
          <tpl fld="6" item="1"/>
          <tpl hier="236" item="0"/>
          <tpl fld="4" item="6"/>
        </tpls>
      </m>
      <n v="1.7972972972972974" in="2">
        <tpls c="4">
          <tpl fld="7" item="763"/>
          <tpl fld="6" item="2"/>
          <tpl hier="236" item="0"/>
          <tpl fld="4" item="4"/>
        </tpls>
      </n>
      <m>
        <tpls c="4">
          <tpl fld="7" item="530"/>
          <tpl fld="6" item="2"/>
          <tpl hier="236" item="0"/>
          <tpl fld="4" item="1"/>
        </tpls>
      </m>
      <m>
        <tpls c="4">
          <tpl fld="7" item="767"/>
          <tpl fld="6" item="2"/>
          <tpl hier="236" item="0"/>
          <tpl fld="4" item="4"/>
        </tpls>
      </m>
      <m>
        <tpls c="4">
          <tpl fld="7" item="771"/>
          <tpl fld="6" item="2"/>
          <tpl hier="236" item="0"/>
          <tpl fld="4" item="6"/>
        </tpls>
      </m>
      <m>
        <tpls c="4">
          <tpl fld="7" item="476"/>
          <tpl fld="6" item="1"/>
          <tpl hier="236" item="0"/>
          <tpl fld="4" item="6"/>
        </tpls>
      </m>
      <m>
        <tpls c="4">
          <tpl fld="7" item="346"/>
          <tpl fld="6" item="2"/>
          <tpl hier="236" item="0"/>
          <tpl fld="4" item="1"/>
        </tpls>
      </m>
      <m>
        <tpls c="3">
          <tpl fld="7" item="424"/>
          <tpl fld="6" item="3"/>
          <tpl hier="236" item="0"/>
        </tpls>
      </m>
      <n v="2" in="1">
        <tpls c="4">
          <tpl fld="7" item="366"/>
          <tpl fld="6" item="1"/>
          <tpl hier="236" item="0"/>
          <tpl fld="4" item="6"/>
        </tpls>
      </n>
      <n v="5.5297297297297296" in="2">
        <tpls c="4">
          <tpl fld="7" item="520"/>
          <tpl fld="6" item="2"/>
          <tpl hier="236" item="0"/>
          <tpl fld="4" item="4"/>
        </tpls>
      </n>
      <m>
        <tpls c="4">
          <tpl fld="7" item="530"/>
          <tpl fld="6" item="1"/>
          <tpl hier="236" item="0"/>
          <tpl fld="1" item="0"/>
        </tpls>
      </m>
      <m>
        <tpls c="4">
          <tpl fld="7" item="1145"/>
          <tpl fld="6" item="1"/>
          <tpl hier="236" item="0"/>
          <tpl fld="1" item="0"/>
        </tpls>
      </m>
      <n v="4.55" in="2">
        <tpls c="6">
          <tpl fld="11" item="0"/>
          <tpl fld="2" item="2"/>
          <tpl fld="6" item="2"/>
          <tpl hier="236" item="0"/>
          <tpl fld="4" item="3"/>
          <tpl fld="10" item="7"/>
        </tpls>
      </n>
      <n v="-1" in="1">
        <tpls c="6">
          <tpl fld="3" item="4"/>
          <tpl fld="11" item="0"/>
          <tpl fld="6" item="1"/>
          <tpl hier="236" item="0"/>
          <tpl fld="4" item="3"/>
          <tpl fld="10" item="2"/>
        </tpls>
      </n>
      <n v="581" in="1">
        <tpls c="6">
          <tpl fld="11" item="0"/>
          <tpl fld="6" item="1"/>
          <tpl fld="8" item="1"/>
          <tpl hier="236" item="0"/>
          <tpl fld="4" item="4"/>
          <tpl fld="10" item="4"/>
        </tpls>
      </n>
      <n v="662" in="1">
        <tpls c="6">
          <tpl fld="3" item="2"/>
          <tpl fld="11" item="0"/>
          <tpl fld="6" item="1"/>
          <tpl hier="236" item="0"/>
          <tpl fld="4" item="6"/>
          <tpl fld="10" item="7"/>
        </tpls>
      </n>
      <n v="0" in="1">
        <tpls c="6">
          <tpl fld="3" item="2"/>
          <tpl fld="11" item="0"/>
          <tpl fld="6" item="1"/>
          <tpl hier="236" item="0"/>
          <tpl fld="4" item="3"/>
          <tpl fld="10" item="3"/>
        </tpls>
      </n>
      <m>
        <tpls c="6">
          <tpl fld="11" item="0"/>
          <tpl fld="5" item="1"/>
          <tpl fld="6" item="1"/>
          <tpl hier="236" item="0"/>
          <tpl fld="4" item="3"/>
          <tpl fld="10" item="0"/>
        </tpls>
      </m>
      <n v="1.7" in="2">
        <tpls c="6">
          <tpl fld="3" item="1"/>
          <tpl fld="11" item="0"/>
          <tpl fld="6" item="2"/>
          <tpl hier="236" item="0"/>
          <tpl fld="4" item="4"/>
          <tpl fld="10" item="6"/>
        </tpls>
      </n>
      <n v="0" in="1">
        <tpls c="6">
          <tpl fld="11" item="0"/>
          <tpl fld="5" item="3"/>
          <tpl fld="6" item="1"/>
          <tpl hier="236" item="0"/>
          <tpl fld="4" item="7"/>
          <tpl fld="10" item="7"/>
        </tpls>
      </n>
      <m>
        <tpls c="4">
          <tpl fld="7" item="246"/>
          <tpl fld="6" item="1"/>
          <tpl hier="236" item="0"/>
          <tpl fld="4" item="6"/>
        </tpls>
      </m>
      <m>
        <tpls c="3">
          <tpl fld="7" item="75"/>
          <tpl fld="6" item="3"/>
          <tpl hier="236" item="0"/>
        </tpls>
      </m>
      <m>
        <tpls c="4">
          <tpl fld="7" item="670"/>
          <tpl fld="6" item="2"/>
          <tpl hier="236" item="0"/>
          <tpl fld="4" item="1"/>
        </tpls>
      </m>
      <m>
        <tpls c="4">
          <tpl fld="7" item="22"/>
          <tpl fld="6" item="2"/>
          <tpl hier="236" item="0"/>
          <tpl fld="4" item="1"/>
        </tpls>
      </m>
      <m>
        <tpls c="4">
          <tpl fld="7" item="473"/>
          <tpl fld="6" item="1"/>
          <tpl hier="236" item="0"/>
          <tpl fld="4" item="4"/>
        </tpls>
      </m>
      <m>
        <tpls c="4">
          <tpl fld="7" item="343"/>
          <tpl fld="6" item="2"/>
          <tpl hier="236" item="0"/>
          <tpl fld="4" item="4"/>
        </tpls>
      </m>
      <m>
        <tpls c="4">
          <tpl fld="7" item="34"/>
          <tpl fld="6" item="1"/>
          <tpl hier="236" item="0"/>
          <tpl fld="4" item="6"/>
        </tpls>
      </m>
      <n v="0" in="1">
        <tpls c="6">
          <tpl fld="11" item="0"/>
          <tpl fld="5" item="3"/>
          <tpl fld="6" item="1"/>
          <tpl hier="236" item="0"/>
          <tpl fld="4" item="3"/>
          <tpl fld="10" item="7"/>
        </tpls>
      </n>
      <m>
        <tpls c="4">
          <tpl fld="7" item="332"/>
          <tpl fld="6" item="1"/>
          <tpl hier="236" item="0"/>
          <tpl fld="4" item="4"/>
        </tpls>
      </m>
      <m>
        <tpls c="4">
          <tpl fld="7" item="414"/>
          <tpl fld="6" item="2"/>
          <tpl hier="236" item="0"/>
          <tpl fld="4" item="4"/>
        </tpls>
      </m>
      <m>
        <tpls c="4">
          <tpl fld="7" item="35"/>
          <tpl fld="6" item="1"/>
          <tpl hier="236" item="0"/>
          <tpl fld="4" item="6"/>
        </tpls>
      </m>
      <m>
        <tpls c="3">
          <tpl fld="7" item="188"/>
          <tpl fld="6" item="3"/>
          <tpl hier="236" item="0"/>
        </tpls>
      </m>
      <m>
        <tpls c="4">
          <tpl fld="7" item="231"/>
          <tpl fld="6" item="2"/>
          <tpl hier="236" item="0"/>
          <tpl fld="4" item="1"/>
        </tpls>
      </m>
      <m>
        <tpls c="3">
          <tpl fld="7" item="314"/>
          <tpl fld="6" item="3"/>
          <tpl hier="236" item="0"/>
        </tpls>
      </m>
      <m>
        <tpls c="4">
          <tpl fld="7" item="479"/>
          <tpl fld="6" item="2"/>
          <tpl hier="236" item="0"/>
          <tpl fld="4" item="4"/>
        </tpls>
      </m>
      <m>
        <tpls c="4">
          <tpl fld="7" item="756"/>
          <tpl fld="6" item="2"/>
          <tpl hier="236" item="0"/>
          <tpl fld="4" item="4"/>
        </tpls>
      </m>
      <n v="1" in="3">
        <tpls c="3">
          <tpl fld="7" item="370"/>
          <tpl fld="6" item="3"/>
          <tpl hier="236" item="0"/>
        </tpls>
      </n>
      <m>
        <tpls c="4">
          <tpl fld="7" item="611"/>
          <tpl fld="6" item="1"/>
          <tpl hier="236" item="0"/>
          <tpl fld="4" item="6"/>
        </tpls>
      </m>
      <n v="1" in="3">
        <tpls c="3">
          <tpl fld="7" item="441"/>
          <tpl fld="6" item="3"/>
          <tpl hier="236" item="0"/>
        </tpls>
      </n>
      <n v="16081" in="1">
        <tpls c="5">
          <tpl fld="3" item="4"/>
          <tpl fld="11" item="0"/>
          <tpl fld="6" item="1"/>
          <tpl hier="236" item="0"/>
          <tpl fld="1" item="0"/>
        </tpls>
      </n>
      <m>
        <tpls c="4">
          <tpl fld="7" item="337"/>
          <tpl fld="6" item="1"/>
          <tpl hier="236" item="0"/>
          <tpl fld="4" item="6"/>
        </tpls>
      </m>
      <m>
        <tpls c="3">
          <tpl fld="7" item="178"/>
          <tpl fld="6" item="3"/>
          <tpl hier="236" item="0"/>
        </tpls>
      </m>
      <m>
        <tpls c="3">
          <tpl fld="7" item="307"/>
          <tpl fld="6" item="3"/>
          <tpl hier="236" item="0"/>
        </tpls>
      </m>
      <m>
        <tpls c="4">
          <tpl fld="7" item="108"/>
          <tpl fld="6" item="2"/>
          <tpl hier="236" item="0"/>
          <tpl fld="4" item="1"/>
        </tpls>
      </m>
      <m>
        <tpls c="4">
          <tpl fld="7" item="35"/>
          <tpl fld="6" item="1"/>
          <tpl hier="236" item="0"/>
          <tpl fld="4" item="4"/>
        </tpls>
      </m>
      <m>
        <tpls c="4">
          <tpl fld="7" item="156"/>
          <tpl fld="6" item="1"/>
          <tpl hier="236" item="0"/>
          <tpl fld="4" item="4"/>
        </tpls>
      </m>
      <m>
        <tpls c="4">
          <tpl fld="7" item="279"/>
          <tpl fld="6" item="2"/>
          <tpl hier="236" item="0"/>
          <tpl fld="4" item="1"/>
        </tpls>
      </m>
      <m>
        <tpls c="4">
          <tpl fld="7" item="80"/>
          <tpl fld="6" item="2"/>
          <tpl hier="236" item="0"/>
          <tpl fld="4" item="4"/>
        </tpls>
      </m>
      <m>
        <tpls c="4">
          <tpl fld="7" item="490"/>
          <tpl fld="6" item="2"/>
          <tpl hier="236" item="0"/>
          <tpl fld="4" item="4"/>
        </tpls>
      </m>
      <m>
        <tpls c="4">
          <tpl fld="7" item="336"/>
          <tpl fld="6" item="1"/>
          <tpl hier="236" item="0"/>
          <tpl fld="4" item="5"/>
        </tpls>
      </m>
      <m>
        <tpls c="4">
          <tpl fld="7" item="312"/>
          <tpl fld="6" item="1"/>
          <tpl hier="236" item="0"/>
          <tpl fld="4" item="4"/>
        </tpls>
      </m>
      <m>
        <tpls c="4">
          <tpl fld="7" item="497"/>
          <tpl fld="6" item="1"/>
          <tpl hier="236" item="0"/>
          <tpl fld="4" item="6"/>
        </tpls>
      </m>
      <m>
        <tpls c="4">
          <tpl fld="7" item="599"/>
          <tpl fld="6" item="2"/>
          <tpl hier="236" item="0"/>
          <tpl fld="4" item="4"/>
        </tpls>
      </m>
      <n v="2" in="1">
        <tpls c="4">
          <tpl fld="7" item="682"/>
          <tpl fld="6" item="1"/>
          <tpl hier="236" item="0"/>
          <tpl fld="4" item="4"/>
        </tpls>
      </n>
      <m>
        <tpls c="3">
          <tpl fld="7" item="390"/>
          <tpl fld="6" item="3"/>
          <tpl hier="236" item="0"/>
        </tpls>
      </m>
      <m>
        <tpls c="4">
          <tpl fld="7" item="537"/>
          <tpl fld="6" item="1"/>
          <tpl hier="236" item="0"/>
          <tpl fld="4" item="5"/>
        </tpls>
      </m>
      <n v="3" in="1">
        <tpls c="4">
          <tpl fld="7" item="772"/>
          <tpl fld="6" item="1"/>
          <tpl hier="236" item="0"/>
          <tpl fld="4" item="1"/>
        </tpls>
      </n>
      <m>
        <tpls c="4">
          <tpl fld="7" item="156"/>
          <tpl fld="6" item="2"/>
          <tpl hier="236" item="0"/>
          <tpl fld="4" item="1"/>
        </tpls>
      </m>
      <m>
        <tpls c="4">
          <tpl fld="7" item="313"/>
          <tpl fld="6" item="1"/>
          <tpl hier="236" item="0"/>
          <tpl fld="4" item="4"/>
        </tpls>
      </m>
      <m>
        <tpls c="4">
          <tpl fld="7" item="356"/>
          <tpl fld="6" item="1"/>
          <tpl hier="236" item="0"/>
          <tpl fld="4" item="6"/>
        </tpls>
      </m>
      <m>
        <tpls c="4">
          <tpl fld="7" item="510"/>
          <tpl fld="6" item="2"/>
          <tpl hier="236" item="0"/>
          <tpl fld="4" item="4"/>
        </tpls>
      </m>
      <n v="1" in="1">
        <tpls c="4">
          <tpl fld="7" item="523"/>
          <tpl fld="6" item="1"/>
          <tpl hier="236" item="0"/>
          <tpl fld="4" item="4"/>
        </tpls>
      </n>
      <m>
        <tpls c="4">
          <tpl fld="7" item="390"/>
          <tpl fld="6" item="2"/>
          <tpl hier="236" item="0"/>
          <tpl fld="4" item="6"/>
        </tpls>
      </m>
      <m>
        <tpls c="4">
          <tpl fld="7" item="1158"/>
          <tpl fld="6" item="1"/>
          <tpl hier="236" item="0"/>
          <tpl fld="4" item="5"/>
        </tpls>
      </m>
      <m>
        <tpls c="4">
          <tpl fld="7" item="113"/>
          <tpl fld="6" item="1"/>
          <tpl hier="236" item="0"/>
          <tpl fld="4" item="4"/>
        </tpls>
      </m>
      <m>
        <tpls c="4">
          <tpl fld="7" item="158"/>
          <tpl fld="6" item="1"/>
          <tpl hier="236" item="0"/>
          <tpl fld="1" item="0"/>
        </tpls>
      </m>
      <n v="400" in="1">
        <tpls c="6">
          <tpl fld="11" item="0"/>
          <tpl fld="2" item="1"/>
          <tpl fld="6" item="1"/>
          <tpl hier="236" item="0"/>
          <tpl fld="4" item="1"/>
          <tpl fld="9" item="1"/>
        </tpls>
      </n>
      <m>
        <tpls c="4">
          <tpl fld="7" item="156"/>
          <tpl fld="6" item="2"/>
          <tpl hier="236" item="0"/>
          <tpl fld="4" item="6"/>
        </tpls>
      </m>
      <m>
        <tpls c="4">
          <tpl fld="7" item="170"/>
          <tpl fld="6" item="1"/>
          <tpl hier="236" item="0"/>
          <tpl fld="4" item="4"/>
        </tpls>
      </m>
      <m>
        <tpls c="4">
          <tpl fld="7" item="80"/>
          <tpl fld="6" item="1"/>
          <tpl hier="236" item="0"/>
          <tpl fld="4" item="6"/>
        </tpls>
      </m>
      <m>
        <tpls c="4">
          <tpl fld="7" item="202"/>
          <tpl fld="6" item="1"/>
          <tpl hier="236" item="0"/>
          <tpl fld="4" item="4"/>
        </tpls>
      </m>
      <n v="2.5" in="2">
        <tpls c="6">
          <tpl fld="11" item="0"/>
          <tpl fld="6" item="2"/>
          <tpl fld="8" item="1"/>
          <tpl hier="236" item="0"/>
          <tpl fld="4" item="7"/>
          <tpl fld="10" item="7"/>
        </tpls>
      </n>
      <m>
        <tpls c="3">
          <tpl fld="7" item="332"/>
          <tpl fld="6" item="3"/>
          <tpl hier="236" item="0"/>
        </tpls>
      </m>
      <m>
        <tpls c="4">
          <tpl fld="7" item="150"/>
          <tpl fld="6" item="2"/>
          <tpl hier="236" item="0"/>
          <tpl fld="4" item="4"/>
        </tpls>
      </m>
      <m>
        <tpls c="4">
          <tpl fld="7" item="158"/>
          <tpl fld="6" item="2"/>
          <tpl hier="236" item="0"/>
          <tpl fld="4" item="4"/>
        </tpls>
      </m>
      <m>
        <tpls c="4">
          <tpl fld="7" item="167"/>
          <tpl fld="6" item="2"/>
          <tpl hier="236" item="0"/>
          <tpl fld="4" item="1"/>
        </tpls>
      </m>
      <m>
        <tpls c="4">
          <tpl fld="7" item="291"/>
          <tpl fld="6" item="2"/>
          <tpl hier="236" item="0"/>
          <tpl fld="4" item="1"/>
        </tpls>
      </m>
      <m>
        <tpls c="4">
          <tpl fld="7" item="195"/>
          <tpl fld="6" item="2"/>
          <tpl hier="236" item="0"/>
          <tpl fld="4" item="1"/>
        </tpls>
      </m>
      <m>
        <tpls c="3">
          <tpl fld="7" item="100"/>
          <tpl fld="6" item="3"/>
          <tpl hier="236" item="0"/>
        </tpls>
      </m>
      <m>
        <tpls c="4">
          <tpl fld="7" item="42"/>
          <tpl fld="6" item="2"/>
          <tpl hier="236" item="0"/>
          <tpl fld="4" item="1"/>
        </tpls>
      </m>
      <m>
        <tpls c="4">
          <tpl fld="7" item="303"/>
          <tpl fld="6" item="2"/>
          <tpl hier="236" item="0"/>
          <tpl fld="4" item="4"/>
        </tpls>
      </m>
      <m>
        <tpls c="4">
          <tpl fld="7" item="675"/>
          <tpl fld="6" item="2"/>
          <tpl hier="236" item="0"/>
          <tpl fld="4" item="4"/>
        </tpls>
      </m>
      <n v="2" in="1">
        <tpls c="4">
          <tpl fld="7" item="760"/>
          <tpl fld="6" item="1"/>
          <tpl hier="236" item="0"/>
          <tpl fld="4" item="4"/>
        </tpls>
      </n>
      <n v="2" in="2">
        <tpls c="4">
          <tpl fld="7" item="450"/>
          <tpl fld="6" item="2"/>
          <tpl hier="236" item="0"/>
          <tpl fld="4" item="1"/>
        </tpls>
      </n>
      <m>
        <tpls c="3">
          <tpl fld="7" item="389"/>
          <tpl fld="6" item="3"/>
          <tpl hier="236" item="0"/>
        </tpls>
      </m>
      <m>
        <tpls c="4">
          <tpl fld="7" item="536"/>
          <tpl fld="6" item="1"/>
          <tpl hier="236" item="0"/>
          <tpl fld="4" item="5"/>
        </tpls>
      </m>
      <n v="9" in="1">
        <tpls c="4">
          <tpl fld="7" item="1087"/>
          <tpl fld="6" item="1"/>
          <tpl hier="236" item="0"/>
          <tpl fld="4" item="1"/>
        </tpls>
      </n>
      <m>
        <tpls c="4">
          <tpl fld="7" item="259"/>
          <tpl fld="6" item="2"/>
          <tpl hier="236" item="0"/>
          <tpl fld="4" item="1"/>
        </tpls>
      </m>
      <m>
        <tpls c="4">
          <tpl fld="7" item="304"/>
          <tpl fld="6" item="2"/>
          <tpl hier="236" item="0"/>
          <tpl fld="4" item="4"/>
        </tpls>
      </m>
      <m>
        <tpls c="4">
          <tpl fld="7" item="495"/>
          <tpl fld="6" item="2"/>
          <tpl hier="236" item="0"/>
          <tpl fld="4" item="4"/>
        </tpls>
      </m>
      <n v="2" in="1">
        <tpls c="4">
          <tpl fld="7" item="508"/>
          <tpl fld="6" item="1"/>
          <tpl hier="236" item="0"/>
          <tpl fld="4" item="4"/>
        </tpls>
      </n>
      <n v="1" in="2">
        <tpls c="4">
          <tpl fld="7" item="1085"/>
          <tpl fld="6" item="2"/>
          <tpl hier="236" item="0"/>
          <tpl fld="4" item="1"/>
        </tpls>
      </n>
      <m>
        <tpls c="4">
          <tpl fld="7" item="389"/>
          <tpl fld="6" item="2"/>
          <tpl hier="236" item="0"/>
          <tpl fld="4" item="6"/>
        </tpls>
      </m>
      <m>
        <tpls c="4">
          <tpl fld="7" item="536"/>
          <tpl fld="6" item="2"/>
          <tpl hier="236" item="0"/>
          <tpl fld="1" item="0"/>
        </tpls>
      </m>
      <m>
        <tpls c="4">
          <tpl fld="7" item="130"/>
          <tpl fld="6" item="1"/>
          <tpl hier="236" item="0"/>
          <tpl fld="4" item="4"/>
        </tpls>
      </m>
      <m>
        <tpls c="4">
          <tpl fld="7" item="11"/>
          <tpl fld="6" item="1"/>
          <tpl hier="236" item="0"/>
          <tpl fld="4" item="4"/>
        </tpls>
      </m>
      <m>
        <tpls c="4">
          <tpl fld="7" item="482"/>
          <tpl fld="6" item="2"/>
          <tpl hier="236" item="0"/>
          <tpl fld="4" item="1"/>
        </tpls>
      </m>
      <m>
        <tpls c="3">
          <tpl fld="7" item="403"/>
          <tpl fld="6" item="3"/>
          <tpl hier="236" item="0"/>
        </tpls>
      </m>
      <m>
        <tpls c="4">
          <tpl fld="7" item="292"/>
          <tpl fld="6" item="2"/>
          <tpl hier="236" item="0"/>
          <tpl fld="4" item="1"/>
        </tpls>
      </m>
      <m>
        <tpls c="4">
          <tpl fld="7" item="307"/>
          <tpl fld="6" item="2"/>
          <tpl hier="236" item="0"/>
          <tpl fld="4" item="4"/>
        </tpls>
      </m>
      <n v="1" in="1">
        <tpls c="4">
          <tpl fld="7" item="684"/>
          <tpl fld="6" item="1"/>
          <tpl hier="236" item="0"/>
          <tpl fld="4" item="4"/>
        </tpls>
      </n>
      <m>
        <tpls c="4">
          <tpl fld="7" item="308"/>
          <tpl fld="6" item="2"/>
          <tpl hier="236" item="0"/>
          <tpl fld="4" item="4"/>
        </tpls>
      </m>
      <m>
        <tpls c="4">
          <tpl fld="7" item="684"/>
          <tpl fld="6" item="1"/>
          <tpl hier="236" item="0"/>
          <tpl fld="4" item="5"/>
        </tpls>
      </m>
      <m>
        <tpls c="4">
          <tpl fld="7" item="7"/>
          <tpl fld="6" item="2"/>
          <tpl hier="236" item="0"/>
          <tpl fld="4" item="6"/>
        </tpls>
      </m>
      <m>
        <tpls c="4">
          <tpl fld="7" item="184"/>
          <tpl fld="6" item="2"/>
          <tpl hier="236" item="0"/>
          <tpl fld="4" item="4"/>
        </tpls>
      </m>
      <n v="2" in="1">
        <tpls c="4">
          <tpl fld="7" item="215"/>
          <tpl fld="6" item="1"/>
          <tpl hier="236" item="0"/>
          <tpl fld="4" item="4"/>
        </tpls>
      </n>
      <n v="3" in="2">
        <tpls c="4">
          <tpl fld="7" item="505"/>
          <tpl fld="6" item="2"/>
          <tpl hier="236" item="0"/>
          <tpl fld="4" item="1"/>
        </tpls>
      </n>
      <n v="1" in="3">
        <tpls c="3">
          <tpl fld="7" item="601"/>
          <tpl fld="6" item="3"/>
          <tpl hier="236" item="0"/>
        </tpls>
      </n>
      <m>
        <tpls c="4">
          <tpl fld="7" item="529"/>
          <tpl fld="6" item="1"/>
          <tpl hier="236" item="0"/>
          <tpl fld="4" item="6"/>
        </tpls>
      </m>
      <n v="2" in="1">
        <tpls c="4">
          <tpl fld="7" item="685"/>
          <tpl fld="6" item="1"/>
          <tpl hier="236" item="0"/>
          <tpl fld="1" item="0"/>
        </tpls>
      </n>
      <m>
        <tpls c="4">
          <tpl fld="7" item="984"/>
          <tpl fld="6" item="2"/>
          <tpl hier="236" item="0"/>
          <tpl fld="4" item="5"/>
        </tpls>
      </m>
      <m>
        <tpls c="4">
          <tpl fld="7" item="693"/>
          <tpl fld="6" item="2"/>
          <tpl hier="236" item="0"/>
          <tpl fld="4" item="1"/>
        </tpls>
      </m>
      <n v="1" in="3">
        <tpls c="3">
          <tpl fld="7" item="508"/>
          <tpl fld="6" item="3"/>
          <tpl hier="236" item="0"/>
        </tpls>
      </n>
      <n v="39" in="1">
        <tpls c="4">
          <tpl fld="7" item="541"/>
          <tpl fld="6" item="1"/>
          <tpl hier="236" item="0"/>
          <tpl fld="4" item="4"/>
        </tpls>
      </n>
      <m>
        <tpls c="4">
          <tpl fld="7" item="549"/>
          <tpl fld="6" item="2"/>
          <tpl hier="236" item="0"/>
          <tpl fld="4" item="1"/>
        </tpls>
      </m>
      <m>
        <tpls c="4">
          <tpl fld="7" item="781"/>
          <tpl fld="6" item="2"/>
          <tpl hier="236" item="0"/>
          <tpl fld="4" item="4"/>
        </tpls>
      </m>
      <m>
        <tpls c="4">
          <tpl fld="7" item="884"/>
          <tpl fld="6" item="2"/>
          <tpl hier="236" item="0"/>
          <tpl fld="4" item="6"/>
        </tpls>
      </m>
      <m>
        <tpls c="4">
          <tpl fld="7" item="567"/>
          <tpl fld="6" item="2"/>
          <tpl hier="236" item="0"/>
          <tpl fld="4" item="6"/>
        </tpls>
      </m>
      <m>
        <tpls c="4">
          <tpl fld="7" item="1093"/>
          <tpl fld="6" item="1"/>
          <tpl hier="236" item="0"/>
          <tpl fld="4" item="5"/>
        </tpls>
      </m>
      <n v="1" in="1">
        <tpls c="4">
          <tpl fld="7" item="638"/>
          <tpl fld="6" item="1"/>
          <tpl hier="236" item="0"/>
          <tpl fld="4" item="1"/>
        </tpls>
      </n>
      <n v="1" in="3">
        <tpls c="3">
          <tpl fld="7" item="505"/>
          <tpl fld="6" item="3"/>
          <tpl hier="236" item="0"/>
        </tpls>
      </n>
      <m>
        <tpls c="4">
          <tpl fld="7" item="770"/>
          <tpl fld="6" item="1"/>
          <tpl hier="236" item="0"/>
          <tpl fld="4" item="6"/>
        </tpls>
      </m>
      <n v="3" in="1">
        <tpls c="4">
          <tpl fld="7" item="1238"/>
          <tpl fld="6" item="1"/>
          <tpl hier="236" item="0"/>
          <tpl fld="4" item="1"/>
        </tpls>
      </n>
      <m>
        <tpls c="4">
          <tpl fld="7" item="699"/>
          <tpl fld="6" item="1"/>
          <tpl hier="236" item="0"/>
          <tpl fld="4" item="4"/>
        </tpls>
      </m>
      <m>
        <tpls c="4">
          <tpl fld="7" item="785"/>
          <tpl fld="6" item="1"/>
          <tpl hier="236" item="0"/>
          <tpl fld="4" item="6"/>
        </tpls>
      </m>
      <m>
        <tpls c="4">
          <tpl fld="7" item="708"/>
          <tpl fld="6" item="1"/>
          <tpl hier="236" item="0"/>
          <tpl fld="4" item="1"/>
        </tpls>
      </m>
      <m>
        <tpls c="4">
          <tpl fld="7" item="795"/>
          <tpl fld="6" item="2"/>
          <tpl hier="236" item="0"/>
          <tpl fld="4" item="1"/>
        </tpls>
      </m>
      <m>
        <tpls c="4">
          <tpl fld="7" item="979"/>
          <tpl fld="6" item="2"/>
          <tpl hier="236" item="0"/>
          <tpl fld="4" item="1"/>
        </tpls>
      </m>
      <m>
        <tpls c="4">
          <tpl fld="7" item="286"/>
          <tpl fld="6" item="1"/>
          <tpl hier="236" item="0"/>
          <tpl fld="4" item="4"/>
        </tpls>
      </m>
      <m>
        <tpls c="3">
          <tpl fld="7" item="404"/>
          <tpl fld="6" item="3"/>
          <tpl hier="236" item="0"/>
        </tpls>
      </m>
      <m>
        <tpls c="4">
          <tpl fld="7" item="296"/>
          <tpl fld="6" item="2"/>
          <tpl hier="236" item="0"/>
          <tpl fld="4" item="1"/>
        </tpls>
      </m>
      <m>
        <tpls c="3">
          <tpl fld="7" item="350"/>
          <tpl fld="6" item="3"/>
          <tpl hier="236" item="0"/>
        </tpls>
      </m>
      <m>
        <tpls c="4">
          <tpl fld="7" item="462"/>
          <tpl fld="6" item="1"/>
          <tpl hier="236" item="0"/>
          <tpl fld="4" item="6"/>
        </tpls>
      </m>
      <m>
        <tpls c="4">
          <tpl fld="7" item="318"/>
          <tpl fld="6" item="2"/>
          <tpl hier="236" item="0"/>
          <tpl fld="4" item="4"/>
        </tpls>
      </m>
      <m>
        <tpls c="4">
          <tpl fld="7" item="462"/>
          <tpl fld="6" item="1"/>
          <tpl hier="236" item="0"/>
          <tpl fld="4" item="1"/>
        </tpls>
      </m>
      <m>
        <tpls c="4">
          <tpl fld="7" item="135"/>
          <tpl fld="6" item="1"/>
          <tpl hier="236" item="0"/>
          <tpl fld="4" item="4"/>
        </tpls>
      </m>
      <m>
        <tpls c="4">
          <tpl fld="7" item="188"/>
          <tpl fld="6" item="2"/>
          <tpl hier="236" item="0"/>
          <tpl fld="4" item="4"/>
        </tpls>
      </m>
      <m>
        <tpls c="4">
          <tpl fld="7" item="352"/>
          <tpl fld="6" item="1"/>
          <tpl hier="236" item="0"/>
          <tpl fld="4" item="4"/>
        </tpls>
      </m>
      <n v="1" in="2">
        <tpls c="4">
          <tpl fld="7" item="506"/>
          <tpl fld="6" item="2"/>
          <tpl hier="236" item="0"/>
          <tpl fld="4" item="1"/>
        </tpls>
      </n>
      <n v="1" in="3">
        <tpls c="3">
          <tpl fld="7" item="680"/>
          <tpl fld="6" item="3"/>
          <tpl hier="236" item="0"/>
        </tpls>
      </n>
      <n v="1" in="3">
        <tpls c="3">
          <tpl fld="7" item="681"/>
          <tpl fld="6" item="3"/>
          <tpl hier="236" item="0"/>
        </tpls>
      </n>
      <m>
        <tpls c="4">
          <tpl fld="7" item="453"/>
          <tpl fld="6" item="1"/>
          <tpl hier="236" item="0"/>
          <tpl fld="4" item="6"/>
        </tpls>
      </m>
      <m>
        <tpls c="4">
          <tpl fld="7" item="457"/>
          <tpl fld="6" item="1"/>
          <tpl hier="236" item="0"/>
          <tpl fld="4" item="6"/>
        </tpls>
      </m>
      <m>
        <tpls c="4">
          <tpl fld="7" item="459"/>
          <tpl fld="6" item="2"/>
          <tpl hier="236" item="0"/>
          <tpl fld="4" item="1"/>
        </tpls>
      </m>
      <m>
        <tpls c="4">
          <tpl fld="7" item="461"/>
          <tpl fld="6" item="2"/>
          <tpl hier="236" item="0"/>
          <tpl fld="4" item="5"/>
        </tpls>
      </m>
      <m>
        <tpls c="4">
          <tpl fld="7" item="463"/>
          <tpl fld="6" item="2"/>
          <tpl hier="236" item="0"/>
          <tpl fld="4" item="1"/>
        </tpls>
      </m>
      <m>
        <tpls c="4">
          <tpl fld="7" item="394"/>
          <tpl fld="6" item="2"/>
          <tpl hier="236" item="0"/>
          <tpl fld="4" item="4"/>
        </tpls>
      </m>
      <m>
        <tpls c="4">
          <tpl fld="7" item="768"/>
          <tpl fld="6" item="2"/>
          <tpl hier="236" item="0"/>
          <tpl fld="4" item="1"/>
        </tpls>
      </m>
      <n v="2" in="2">
        <tpls c="4">
          <tpl fld="7" item="880"/>
          <tpl fld="6" item="2"/>
          <tpl hier="236" item="0"/>
          <tpl fld="4" item="4"/>
        </tpls>
      </n>
      <m>
        <tpls c="4">
          <tpl fld="7" item="541"/>
          <tpl fld="6" item="2"/>
          <tpl hier="236" item="0"/>
          <tpl fld="4" item="6"/>
        </tpls>
      </m>
      <n v="0.5" in="2">
        <tpls c="4">
          <tpl fld="7" item="1212"/>
          <tpl fld="6" item="2"/>
          <tpl hier="236" item="0"/>
          <tpl fld="4" item="4"/>
        </tpls>
      </n>
      <m>
        <tpls c="4">
          <tpl fld="7" item="545"/>
          <tpl fld="6" item="2"/>
          <tpl hier="236" item="0"/>
          <tpl fld="4" item="6"/>
        </tpls>
      </m>
      <m>
        <tpls c="3">
          <tpl fld="7" item="1208"/>
          <tpl fld="6" item="3"/>
          <tpl hier="236" item="0"/>
        </tpls>
      </m>
      <m>
        <tpls c="4">
          <tpl fld="7" item="79"/>
          <tpl fld="6" item="2"/>
          <tpl hier="236" item="0"/>
          <tpl fld="4" item="1"/>
        </tpls>
      </m>
      <m>
        <tpls c="3">
          <tpl fld="7" item="496"/>
          <tpl fld="6" item="3"/>
          <tpl hier="236" item="0"/>
        </tpls>
      </m>
      <n v="1" in="3">
        <tpls c="3">
          <tpl fld="7" item="512"/>
          <tpl fld="6" item="3"/>
          <tpl hier="236" item="0"/>
        </tpls>
      </n>
      <m>
        <tpls c="4">
          <tpl fld="7" item="388"/>
          <tpl fld="6" item="1"/>
          <tpl hier="236" item="0"/>
          <tpl fld="4" item="5"/>
        </tpls>
      </m>
      <n v="3" in="1">
        <tpls c="4">
          <tpl fld="7" item="1086"/>
          <tpl fld="6" item="1"/>
          <tpl hier="236" item="0"/>
          <tpl fld="1" item="0"/>
        </tpls>
      </n>
      <n v="1" in="2">
        <tpls c="4">
          <tpl fld="7" item="1087"/>
          <tpl fld="6" item="2"/>
          <tpl hier="236" item="0"/>
          <tpl fld="4" item="6"/>
        </tpls>
      </n>
      <m>
        <tpls c="4">
          <tpl fld="7" item="692"/>
          <tpl fld="6" item="2"/>
          <tpl hier="236" item="0"/>
          <tpl fld="1" item="0"/>
        </tpls>
      </m>
      <m>
        <tpls c="4">
          <tpl fld="7" item="614"/>
          <tpl fld="6" item="2"/>
          <tpl hier="236" item="0"/>
          <tpl fld="4" item="6"/>
        </tpls>
      </m>
      <m>
        <tpls c="4">
          <tpl fld="7" item="695"/>
          <tpl fld="6" item="2"/>
          <tpl hier="236" item="0"/>
          <tpl fld="1" item="0"/>
        </tpls>
      </m>
      <m>
        <tpls c="4">
          <tpl fld="7" item="617"/>
          <tpl fld="6" item="2"/>
          <tpl hier="236" item="0"/>
          <tpl fld="4" item="6"/>
        </tpls>
      </m>
      <m>
        <tpls c="4">
          <tpl fld="7" item="698"/>
          <tpl fld="6" item="2"/>
          <tpl hier="236" item="0"/>
          <tpl fld="1" item="0"/>
        </tpls>
      </m>
      <m>
        <tpls c="3">
          <tpl fld="7" item="883"/>
          <tpl fld="6" item="3"/>
          <tpl hier="236" item="0"/>
        </tpls>
      </m>
      <m>
        <tpls c="4">
          <tpl fld="7" item="701"/>
          <tpl fld="6" item="2"/>
          <tpl hier="236" item="0"/>
          <tpl fld="1" item="0"/>
        </tpls>
      </m>
      <m>
        <tpls c="3">
          <tpl fld="7" item="1187"/>
          <tpl fld="6" item="3"/>
          <tpl hier="236" item="0"/>
        </tpls>
      </m>
      <n v="2" in="1">
        <tpls c="4">
          <tpl fld="7" item="561"/>
          <tpl fld="6" item="1"/>
          <tpl hier="236" item="0"/>
          <tpl fld="4" item="5"/>
        </tpls>
      </n>
      <m>
        <tpls c="3">
          <tpl fld="7" item="1091"/>
          <tpl fld="6" item="3"/>
          <tpl hier="236" item="0"/>
        </tpls>
      </m>
      <n v="13" in="1">
        <tpls c="4">
          <tpl fld="7" item="707"/>
          <tpl fld="6" item="1"/>
          <tpl hier="236" item="0"/>
          <tpl fld="4" item="4"/>
        </tpls>
      </n>
      <n v="2" in="1">
        <tpls c="4">
          <tpl fld="7" item="709"/>
          <tpl fld="6" item="1"/>
          <tpl hier="236" item="0"/>
          <tpl fld="4" item="4"/>
        </tpls>
      </n>
      <n v="4" in="1">
        <tpls c="4">
          <tpl fld="7" item="711"/>
          <tpl fld="6" item="1"/>
          <tpl hier="236" item="0"/>
          <tpl fld="4" item="1"/>
        </tpls>
      </n>
      <n v="5" in="1">
        <tpls c="4">
          <tpl fld="7" item="990"/>
          <tpl fld="6" item="1"/>
          <tpl hier="236" item="0"/>
          <tpl fld="4" item="4"/>
        </tpls>
      </n>
      <m>
        <tpls c="4">
          <tpl fld="7" item="634"/>
          <tpl fld="6" item="1"/>
          <tpl hier="236" item="0"/>
          <tpl fld="4" item="6"/>
        </tpls>
      </m>
      <n v="4" in="1">
        <tpls c="4">
          <tpl fld="7" item="887"/>
          <tpl fld="6" item="1"/>
          <tpl hier="236" item="0"/>
          <tpl fld="4" item="4"/>
        </tpls>
      </n>
      <n v="1" in="1">
        <tpls c="4">
          <tpl fld="7" item="637"/>
          <tpl fld="6" item="1"/>
          <tpl hier="236" item="0"/>
          <tpl fld="4" item="6"/>
        </tpls>
      </n>
      <m>
        <tpls c="4">
          <tpl fld="7" item="580"/>
          <tpl fld="6" item="1"/>
          <tpl hier="236" item="0"/>
          <tpl fld="1" item="0"/>
        </tpls>
      </m>
      <m>
        <tpls c="4">
          <tpl fld="7" item="67"/>
          <tpl fld="6" item="2"/>
          <tpl hier="236" item="0"/>
          <tpl fld="4" item="1"/>
        </tpls>
      </m>
      <m>
        <tpls c="3">
          <tpl fld="7" item="493"/>
          <tpl fld="6" item="3"/>
          <tpl hier="236" item="0"/>
        </tpls>
      </m>
      <n v="1" in="3">
        <tpls c="3">
          <tpl fld="7" item="509"/>
          <tpl fld="6" item="3"/>
          <tpl hier="236" item="0"/>
        </tpls>
      </n>
      <m>
        <tpls c="4">
          <tpl fld="7" item="528"/>
          <tpl fld="6" item="1"/>
          <tpl hier="236" item="0"/>
          <tpl fld="4" item="4"/>
        </tpls>
      </m>
      <m>
        <tpls c="4">
          <tpl fld="7" item="394"/>
          <tpl fld="6" item="2"/>
          <tpl hier="236" item="0"/>
          <tpl fld="4" item="1"/>
        </tpls>
      </m>
      <n v="2" in="2">
        <tpls c="4">
          <tpl fld="7" item="541"/>
          <tpl fld="6" item="2"/>
          <tpl hier="236" item="0"/>
          <tpl fld="1" item="0"/>
        </tpls>
      </n>
      <n v="0.3" in="2">
        <tpls c="4">
          <tpl fld="7" item="545"/>
          <tpl fld="6" item="2"/>
          <tpl hier="236" item="0"/>
          <tpl fld="4" item="1"/>
        </tpls>
      </n>
      <m>
        <tpls c="4">
          <tpl fld="7" item="1088"/>
          <tpl fld="6" item="1"/>
          <tpl hier="236" item="0"/>
          <tpl fld="4" item="6"/>
        </tpls>
      </m>
      <m>
        <tpls c="4">
          <tpl fld="7" item="549"/>
          <tpl fld="6" item="1"/>
          <tpl hier="236" item="0"/>
          <tpl fld="1" item="0"/>
        </tpls>
      </m>
      <n v="1" in="1">
        <tpls c="4">
          <tpl fld="7" item="986"/>
          <tpl fld="6" item="1"/>
          <tpl hier="236" item="0"/>
          <tpl fld="4" item="6"/>
        </tpls>
      </n>
      <n v="1" in="1">
        <tpls c="4">
          <tpl fld="7" item="553"/>
          <tpl fld="6" item="1"/>
          <tpl hier="236" item="0"/>
          <tpl fld="1" item="0"/>
        </tpls>
      </n>
      <m>
        <tpls c="4">
          <tpl fld="7" item="781"/>
          <tpl fld="6" item="2"/>
          <tpl hier="236" item="0"/>
          <tpl fld="4" item="5"/>
        </tpls>
      </m>
      <m>
        <tpls c="4">
          <tpl fld="7" item="557"/>
          <tpl fld="6" item="1"/>
          <tpl hier="236" item="0"/>
          <tpl fld="1" item="0"/>
        </tpls>
      </m>
      <m>
        <tpls c="4">
          <tpl fld="7" item="784"/>
          <tpl fld="6" item="2"/>
          <tpl hier="236" item="0"/>
          <tpl fld="4" item="5"/>
        </tpls>
      </m>
      <m>
        <tpls c="4">
          <tpl fld="7" item="624"/>
          <tpl fld="6" item="2"/>
          <tpl hier="236" item="0"/>
          <tpl fld="4" item="1"/>
        </tpls>
      </m>
      <m>
        <tpls c="4">
          <tpl fld="7" item="787"/>
          <tpl fld="6" item="2"/>
          <tpl hier="236" item="0"/>
          <tpl fld="4" item="5"/>
        </tpls>
      </m>
      <m>
        <tpls c="4">
          <tpl fld="7" item="627"/>
          <tpl fld="6" item="2"/>
          <tpl hier="236" item="0"/>
          <tpl fld="4" item="1"/>
        </tpls>
      </m>
      <m>
        <tpls c="4">
          <tpl fld="7" item="989"/>
          <tpl fld="6" item="2"/>
          <tpl hier="236" item="0"/>
          <tpl fld="4" item="1"/>
        </tpls>
      </m>
      <m>
        <tpls c="4">
          <tpl fld="7" item="631"/>
          <tpl fld="6" item="2"/>
          <tpl hier="236" item="0"/>
          <tpl fld="4" item="1"/>
        </tpls>
      </m>
      <n v="0.2" in="2">
        <tpls c="4">
          <tpl fld="7" item="572"/>
          <tpl fld="6" item="2"/>
          <tpl hier="236" item="0"/>
          <tpl fld="4" item="6"/>
        </tpls>
      </n>
      <m>
        <tpls c="4">
          <tpl fld="7" item="1093"/>
          <tpl fld="6" item="2"/>
          <tpl hier="236" item="0"/>
          <tpl fld="1" item="0"/>
        </tpls>
      </m>
      <m>
        <tpls c="4">
          <tpl fld="7" item="576"/>
          <tpl fld="6" item="2"/>
          <tpl hier="236" item="0"/>
          <tpl fld="4" item="6"/>
        </tpls>
      </m>
      <m>
        <tpls c="4">
          <tpl fld="7" item="118"/>
          <tpl fld="6" item="2"/>
          <tpl hier="236" item="0"/>
          <tpl fld="4" item="1"/>
        </tpls>
      </m>
      <m>
        <tpls c="3">
          <tpl fld="7" item="40"/>
          <tpl fld="6" item="3"/>
          <tpl hier="236" item="0"/>
        </tpls>
      </m>
      <m>
        <tpls c="4">
          <tpl fld="7" item="4"/>
          <tpl fld="6" item="2"/>
          <tpl hier="236" item="0"/>
          <tpl fld="4" item="6"/>
        </tpls>
      </m>
      <m>
        <tpls c="4">
          <tpl fld="7" item="53"/>
          <tpl fld="6" item="2"/>
          <tpl hier="236" item="0"/>
          <tpl fld="4" item="6"/>
        </tpls>
      </m>
      <m>
        <tpls c="4">
          <tpl fld="7" item="75"/>
          <tpl fld="6" item="1"/>
          <tpl hier="236" item="0"/>
          <tpl fld="4" item="6"/>
        </tpls>
      </m>
      <m>
        <tpls c="3">
          <tpl fld="7" item="313"/>
          <tpl fld="6" item="3"/>
          <tpl hier="236" item="0"/>
        </tpls>
      </m>
      <m>
        <tpls c="4">
          <tpl fld="7" item="9"/>
          <tpl fld="6" item="1"/>
          <tpl hier="236" item="0"/>
          <tpl fld="4" item="5"/>
        </tpls>
      </m>
      <m>
        <tpls c="3">
          <tpl fld="7" item="405"/>
          <tpl fld="6" item="3"/>
          <tpl hier="236" item="0"/>
        </tpls>
      </m>
      <m>
        <tpls c="4">
          <tpl fld="7" item="52"/>
          <tpl fld="6" item="1"/>
          <tpl hier="236" item="0"/>
          <tpl fld="4" item="4"/>
        </tpls>
      </m>
      <m>
        <tpls c="4">
          <tpl fld="7" item="284"/>
          <tpl fld="6" item="2"/>
          <tpl hier="236" item="0"/>
          <tpl fld="4" item="1"/>
        </tpls>
      </m>
      <m>
        <tpls c="4">
          <tpl fld="7" item="300"/>
          <tpl fld="6" item="2"/>
          <tpl hier="236" item="0"/>
          <tpl fld="4" item="1"/>
        </tpls>
      </m>
      <m>
        <tpls c="4">
          <tpl fld="7" item="421"/>
          <tpl fld="6" item="2"/>
          <tpl hier="236" item="0"/>
          <tpl fld="4" item="4"/>
        </tpls>
      </m>
      <m>
        <tpls c="4">
          <tpl fld="7" item="480"/>
          <tpl fld="6" item="1"/>
          <tpl hier="236" item="0"/>
          <tpl fld="4" item="5"/>
        </tpls>
      </m>
      <m>
        <tpls c="4">
          <tpl fld="7" item="106"/>
          <tpl fld="6" item="1"/>
          <tpl hier="236" item="0"/>
          <tpl fld="4" item="6"/>
        </tpls>
      </m>
      <n v="1" in="3">
        <tpls c="3">
          <tpl fld="7" item="369"/>
          <tpl fld="6" item="3"/>
          <tpl hier="236" item="0"/>
        </tpls>
      </n>
      <m>
        <tpls c="3">
          <tpl fld="7" item="385"/>
          <tpl fld="6" item="3"/>
          <tpl hier="236" item="0"/>
        </tpls>
      </m>
      <n v="1" in="1">
        <tpls c="4">
          <tpl fld="7" item="393"/>
          <tpl fld="6" item="1"/>
          <tpl hier="236" item="0"/>
          <tpl fld="1" item="0"/>
        </tpls>
      </n>
      <m>
        <tpls c="4">
          <tpl fld="7" item="543"/>
          <tpl fld="6" item="1"/>
          <tpl hier="236" item="0"/>
          <tpl fld="4" item="5"/>
        </tpls>
      </m>
      <m>
        <tpls c="4">
          <tpl fld="7" item="165"/>
          <tpl fld="6" item="2"/>
          <tpl hier="236" item="0"/>
          <tpl fld="4" item="1"/>
        </tpls>
      </m>
      <m>
        <tpls c="4">
          <tpl fld="7" item="214"/>
          <tpl fld="6" item="1"/>
          <tpl hier="236" item="0"/>
          <tpl fld="4" item="6"/>
        </tpls>
      </m>
      <n v="1" in="3">
        <tpls c="3">
          <tpl fld="7" item="440"/>
          <tpl fld="6" item="3"/>
          <tpl hier="236" item="0"/>
        </tpls>
      </n>
      <m>
        <tpls c="3">
          <tpl fld="7" item="456"/>
          <tpl fld="6" item="3"/>
          <tpl hier="236" item="0"/>
        </tpls>
      </m>
      <n v="1" in="1">
        <tpls c="4">
          <tpl fld="7" item="464"/>
          <tpl fld="6" item="1"/>
          <tpl hier="236" item="0"/>
          <tpl fld="4" item="4"/>
        </tpls>
      </n>
      <m>
        <tpls c="3">
          <tpl fld="7" item="537"/>
          <tpl fld="6" item="3"/>
          <tpl hier="236" item="0"/>
        </tpls>
      </m>
      <m>
        <tpls c="4">
          <tpl fld="7" item="769"/>
          <tpl fld="6" item="2"/>
          <tpl hier="236" item="0"/>
          <tpl fld="4" item="5"/>
        </tpls>
      </m>
      <n v="1.5" in="2">
        <tpls c="6">
          <tpl fld="11" item="0"/>
          <tpl fld="6" item="2"/>
          <tpl fld="8" item="1"/>
          <tpl hier="236" item="0"/>
          <tpl fld="4" item="6"/>
          <tpl fld="10" item="1"/>
        </tpls>
      </n>
      <m>
        <tpls c="3">
          <tpl fld="7" item="249"/>
          <tpl fld="6" item="3"/>
          <tpl hier="236" item="0"/>
        </tpls>
      </m>
      <m>
        <tpls c="4">
          <tpl fld="7" item="263"/>
          <tpl fld="6" item="1"/>
          <tpl hier="236" item="0"/>
          <tpl fld="4" item="5"/>
        </tpls>
      </m>
      <m>
        <tpls c="4">
          <tpl fld="7" item="164"/>
          <tpl fld="6" item="1"/>
          <tpl hier="236" item="0"/>
          <tpl fld="4" item="5"/>
        </tpls>
      </m>
      <m>
        <tpls c="4">
          <tpl fld="7" item="754"/>
          <tpl fld="6" item="1"/>
          <tpl hier="236" item="0"/>
          <tpl fld="4" item="6"/>
        </tpls>
      </m>
      <n v="1" in="1">
        <tpls c="4">
          <tpl fld="7" item="192"/>
          <tpl fld="6" item="1"/>
          <tpl hier="236" item="0"/>
          <tpl fld="4" item="1"/>
        </tpls>
      </n>
      <m>
        <tpls c="4">
          <tpl fld="7" item="313"/>
          <tpl fld="6" item="2"/>
          <tpl hier="236" item="0"/>
          <tpl fld="4" item="4"/>
        </tpls>
      </m>
      <m>
        <tpls c="4">
          <tpl fld="7" item="421"/>
          <tpl fld="6" item="2"/>
          <tpl hier="236" item="0"/>
          <tpl fld="4" item="1"/>
        </tpls>
      </m>
      <m>
        <tpls c="4">
          <tpl fld="7" item="106"/>
          <tpl fld="6" item="2"/>
          <tpl hier="236" item="0"/>
          <tpl fld="4" item="1"/>
        </tpls>
      </m>
      <m>
        <tpls c="4">
          <tpl fld="7" item="353"/>
          <tpl fld="6" item="1"/>
          <tpl hier="236" item="0"/>
          <tpl fld="4" item="4"/>
        </tpls>
      </m>
      <m>
        <tpls c="4">
          <tpl fld="7" item="356"/>
          <tpl fld="6" item="2"/>
          <tpl hier="236" item="0"/>
          <tpl fld="4" item="4"/>
        </tpls>
      </m>
      <n v="1" in="1">
        <tpls c="4">
          <tpl fld="7" item="430"/>
          <tpl fld="6" item="1"/>
          <tpl hier="236" item="0"/>
          <tpl fld="4" item="6"/>
        </tpls>
      </n>
      <n v="1" in="3">
        <tpls c="3">
          <tpl fld="7" item="759"/>
          <tpl fld="6" item="3"/>
          <tpl hier="236" item="0"/>
        </tpls>
      </n>
      <m>
        <tpls c="4">
          <tpl fld="7" item="507"/>
          <tpl fld="6" item="2"/>
          <tpl hier="236" item="0"/>
          <tpl fld="4" item="1"/>
        </tpls>
      </m>
      <n v="2" in="1">
        <tpls c="4">
          <tpl fld="7" item="369"/>
          <tpl fld="6" item="1"/>
          <tpl hier="236" item="0"/>
          <tpl fld="4" item="4"/>
        </tpls>
      </n>
      <m>
        <tpls c="4">
          <tpl fld="7" item="372"/>
          <tpl fld="6" item="2"/>
          <tpl hier="236" item="0"/>
          <tpl fld="4" item="4"/>
        </tpls>
      </m>
      <n v="13" in="1">
        <tpls c="4">
          <tpl fld="7" item="446"/>
          <tpl fld="6" item="1"/>
          <tpl hier="236" item="0"/>
          <tpl fld="4" item="6"/>
        </tpls>
      </n>
      <n v="1" in="3">
        <tpls c="3">
          <tpl fld="7" item="763"/>
          <tpl fld="6" item="3"/>
          <tpl hier="236" item="0"/>
        </tpls>
      </n>
      <n v="1" in="2">
        <tpls c="4">
          <tpl fld="7" item="523"/>
          <tpl fld="6" item="2"/>
          <tpl hier="236" item="0"/>
          <tpl fld="4" item="1"/>
        </tpls>
      </n>
      <m>
        <tpls c="4">
          <tpl fld="7" item="385"/>
          <tpl fld="6" item="1"/>
          <tpl hier="236" item="0"/>
          <tpl fld="4" item="4"/>
        </tpls>
      </m>
      <m>
        <tpls c="4">
          <tpl fld="7" item="458"/>
          <tpl fld="6" item="2"/>
          <tpl hier="236" item="0"/>
          <tpl fld="4" item="1"/>
        </tpls>
      </m>
      <m>
        <tpls c="4">
          <tpl fld="7" item="604"/>
          <tpl fld="6" item="2"/>
          <tpl hier="236" item="0"/>
          <tpl fld="1" item="0"/>
        </tpls>
      </m>
      <m>
        <tpls c="4">
          <tpl fld="7" item="390"/>
          <tpl fld="6" item="1"/>
          <tpl hier="236" item="0"/>
          <tpl fld="4" item="1"/>
        </tpls>
      </m>
      <m>
        <tpls c="4">
          <tpl fld="7" item="983"/>
          <tpl fld="6" item="1"/>
          <tpl hier="236" item="0"/>
          <tpl fld="1" item="0"/>
        </tpls>
      </m>
      <m>
        <tpls c="4">
          <tpl fld="7" item="393"/>
          <tpl fld="6" item="2"/>
          <tpl hier="236" item="0"/>
          <tpl fld="4" item="4"/>
        </tpls>
      </m>
      <m>
        <tpls c="3">
          <tpl fld="7" item="767"/>
          <tpl fld="6" item="3"/>
          <tpl hier="236" item="0"/>
        </tpls>
      </m>
      <n v="14" in="1">
        <tpls c="4">
          <tpl fld="7" item="686"/>
          <tpl fld="6" item="1"/>
          <tpl hier="236" item="0"/>
          <tpl fld="4" item="4"/>
        </tpls>
      </n>
      <m>
        <tpls c="4">
          <tpl fld="7" item="687"/>
          <tpl fld="6" item="2"/>
          <tpl hier="236" item="0"/>
          <tpl fld="4" item="5"/>
        </tpls>
      </m>
      <n v="1" in="2">
        <tpls c="4">
          <tpl fld="7" item="540"/>
          <tpl fld="6" item="2"/>
          <tpl hier="236" item="0"/>
          <tpl fld="4" item="6"/>
        </tpls>
      </n>
      <m>
        <tpls c="4">
          <tpl fld="7" item="771"/>
          <tpl fld="6" item="1"/>
          <tpl hier="236" item="0"/>
          <tpl fld="4" item="5"/>
        </tpls>
      </m>
      <n v="4" in="1">
        <tpls c="4">
          <tpl fld="7" item="543"/>
          <tpl fld="6" item="1"/>
          <tpl hier="236" item="0"/>
          <tpl fld="4" item="6"/>
        </tpls>
      </n>
      <m>
        <tpls c="4">
          <tpl fld="7" item="881"/>
          <tpl fld="6" item="2"/>
          <tpl hier="236" item="0"/>
          <tpl fld="4" item="1"/>
        </tpls>
      </m>
      <m>
        <tpls c="4">
          <tpl fld="7" item="985"/>
          <tpl fld="6" item="2"/>
          <tpl hier="236" item="0"/>
          <tpl fld="1" item="0"/>
        </tpls>
      </m>
      <m>
        <tpls c="4">
          <tpl fld="7" item="123"/>
          <tpl fld="6" item="2"/>
          <tpl hier="236" item="0"/>
          <tpl fld="4" item="1"/>
        </tpls>
      </m>
      <m>
        <tpls c="4">
          <tpl fld="7" item="177"/>
          <tpl fld="6" item="2"/>
          <tpl hier="236" item="0"/>
          <tpl fld="4" item="4"/>
        </tpls>
      </m>
      <m>
        <tpls c="4">
          <tpl fld="7" item="351"/>
          <tpl fld="6" item="2"/>
          <tpl hier="236" item="0"/>
          <tpl fld="4" item="6"/>
        </tpls>
      </m>
      <n v="2" in="2">
        <tpls c="4">
          <tpl fld="7" item="362"/>
          <tpl fld="6" item="2"/>
          <tpl hier="236" item="0"/>
          <tpl fld="4" item="1"/>
        </tpls>
      </n>
      <n v="1" in="3">
        <tpls c="3">
          <tpl fld="7" item="516"/>
          <tpl fld="6" item="3"/>
          <tpl hier="236" item="0"/>
        </tpls>
      </n>
      <m>
        <tpls c="4">
          <tpl fld="7" item="387"/>
          <tpl fld="6" item="2"/>
          <tpl hier="236" item="0"/>
          <tpl fld="4" item="1"/>
        </tpls>
      </m>
      <m>
        <tpls c="4">
          <tpl fld="7" item="534"/>
          <tpl fld="6" item="2"/>
          <tpl hier="236" item="0"/>
          <tpl fld="4" item="4"/>
        </tpls>
      </m>
      <n v="2" in="2">
        <tpls c="4">
          <tpl fld="7" item="688"/>
          <tpl fld="6" item="2"/>
          <tpl hier="236" item="0"/>
          <tpl fld="4" item="6"/>
        </tpls>
      </n>
      <n v="2" in="1">
        <tpls c="4">
          <tpl fld="7" item="772"/>
          <tpl fld="6" item="1"/>
          <tpl hier="236" item="0"/>
          <tpl fld="4" item="6"/>
        </tpls>
      </n>
      <m>
        <tpls c="4">
          <tpl fld="7" item="545"/>
          <tpl fld="6" item="1"/>
          <tpl hier="236" item="0"/>
          <tpl fld="4" item="5"/>
        </tpls>
      </m>
      <m>
        <tpls c="4">
          <tpl fld="7" item="547"/>
          <tpl fld="6" item="2"/>
          <tpl hier="236" item="0"/>
          <tpl fld="4" item="1"/>
        </tpls>
      </m>
      <n v="0.25" in="2">
        <tpls c="4">
          <tpl fld="7" item="776"/>
          <tpl fld="6" item="2"/>
          <tpl hier="236" item="0"/>
          <tpl fld="1" item="0"/>
        </tpls>
      </n>
      <n v="3" in="1">
        <tpls c="4">
          <tpl fld="7" item="882"/>
          <tpl fld="6" item="1"/>
          <tpl hier="236" item="0"/>
          <tpl fld="4" item="1"/>
        </tpls>
      </n>
      <n v="3" in="1">
        <tpls c="4">
          <tpl fld="7" item="986"/>
          <tpl fld="6" item="1"/>
          <tpl hier="236" item="0"/>
          <tpl fld="1" item="0"/>
        </tpls>
      </n>
      <m>
        <tpls c="4">
          <tpl fld="7" item="618"/>
          <tpl fld="6" item="2"/>
          <tpl hier="236" item="0"/>
          <tpl fld="4" item="4"/>
        </tpls>
      </m>
      <m>
        <tpls c="3">
          <tpl fld="7" item="619"/>
          <tpl fld="6" item="3"/>
          <tpl hier="236" item="0"/>
        </tpls>
      </m>
      <n v="2" in="1">
        <tpls c="4">
          <tpl fld="7" item="700"/>
          <tpl fld="6" item="1"/>
          <tpl hier="236" item="0"/>
          <tpl fld="4" item="4"/>
        </tpls>
      </n>
      <m>
        <tpls c="4">
          <tpl fld="7" item="557"/>
          <tpl fld="6" item="2"/>
          <tpl hier="236" item="0"/>
          <tpl fld="4" item="5"/>
        </tpls>
      </m>
      <m>
        <tpls c="4">
          <tpl fld="7" item="702"/>
          <tpl fld="6" item="2"/>
          <tpl hier="236" item="0"/>
          <tpl fld="4" item="6"/>
        </tpls>
      </m>
      <n v="1" in="1">
        <tpls c="4">
          <tpl fld="7" item="560"/>
          <tpl fld="6" item="1"/>
          <tpl hier="236" item="0"/>
          <tpl fld="4" item="5"/>
        </tpls>
      </n>
      <n v="2" in="1">
        <tpls c="4">
          <tpl fld="7" item="786"/>
          <tpl fld="6" item="1"/>
          <tpl hier="236" item="0"/>
          <tpl fld="4" item="6"/>
        </tpls>
      </n>
      <m>
        <tpls c="4">
          <tpl fld="7" item="563"/>
          <tpl fld="6" item="2"/>
          <tpl hier="236" item="0"/>
          <tpl fld="4" item="1"/>
        </tpls>
      </m>
      <n v="3.3" in="2">
        <tpls c="4">
          <tpl fld="7" item="788"/>
          <tpl fld="6" item="2"/>
          <tpl hier="236" item="0"/>
          <tpl fld="1" item="0"/>
        </tpls>
      </n>
      <m>
        <tpls c="4">
          <tpl fld="7" item="628"/>
          <tpl fld="6" item="2"/>
          <tpl hier="236" item="0"/>
          <tpl fld="4" item="6"/>
        </tpls>
      </m>
      <m>
        <tpls c="4">
          <tpl fld="7" item="791"/>
          <tpl fld="6" item="2"/>
          <tpl hier="236" item="0"/>
          <tpl fld="4" item="6"/>
        </tpls>
      </m>
      <m>
        <tpls c="4">
          <tpl fld="7" item="631"/>
          <tpl fld="6" item="2"/>
          <tpl hier="236" item="0"/>
          <tpl fld="4" item="6"/>
        </tpls>
      </m>
      <m>
        <tpls c="4">
          <tpl fld="7" item="712"/>
          <tpl fld="6" item="1"/>
          <tpl hier="236" item="0"/>
          <tpl fld="4" item="5"/>
        </tpls>
      </m>
      <m>
        <tpls c="4">
          <tpl fld="7" item="713"/>
          <tpl fld="6" item="1"/>
          <tpl hier="236" item="0"/>
          <tpl fld="4" item="6"/>
        </tpls>
      </m>
      <m>
        <tpls c="4">
          <tpl fld="7" item="796"/>
          <tpl fld="6" item="2"/>
          <tpl hier="236" item="0"/>
          <tpl fld="4" item="1"/>
        </tpls>
      </m>
      <m>
        <tpls c="4">
          <tpl fld="7" item="576"/>
          <tpl fld="6" item="2"/>
          <tpl hier="236" item="0"/>
          <tpl fld="1" item="0"/>
        </tpls>
      </m>
      <m>
        <tpls c="4">
          <tpl fld="7" item="798"/>
          <tpl fld="6" item="1"/>
          <tpl hier="236" item="0"/>
          <tpl fld="4" item="1"/>
        </tpls>
      </m>
      <m>
        <tpls c="4">
          <tpl fld="7" item="579"/>
          <tpl fld="6" item="1"/>
          <tpl hier="236" item="0"/>
          <tpl fld="1" item="0"/>
        </tpls>
      </m>
      <n v="0" in="1">
        <tpls c="6">
          <tpl fld="3" item="4"/>
          <tpl fld="11" item="0"/>
          <tpl fld="6" item="1"/>
          <tpl hier="236" item="0"/>
          <tpl fld="4" item="7"/>
          <tpl fld="10" item="5"/>
        </tpls>
      </n>
      <m>
        <tpls c="4">
          <tpl fld="7" item="753"/>
          <tpl fld="6" item="2"/>
          <tpl hier="236" item="0"/>
          <tpl fld="4" item="1"/>
        </tpls>
      </m>
      <m>
        <tpls c="4">
          <tpl fld="7" item="102"/>
          <tpl fld="6" item="2"/>
          <tpl hier="236" item="0"/>
          <tpl fld="4" item="1"/>
        </tpls>
      </m>
      <m>
        <tpls c="4">
          <tpl fld="7" item="359"/>
          <tpl fld="6" item="2"/>
          <tpl hier="236" item="0"/>
          <tpl fld="4" item="1"/>
        </tpls>
      </m>
      <n v="1" in="3">
        <tpls c="3">
          <tpl fld="7" item="513"/>
          <tpl fld="6" item="3"/>
          <tpl hier="236" item="0"/>
        </tpls>
      </n>
      <n v="2" in="1">
        <tpls c="4">
          <tpl fld="7" item="603"/>
          <tpl fld="6" item="1"/>
          <tpl hier="236" item="0"/>
          <tpl fld="4" item="6"/>
        </tpls>
      </n>
      <m>
        <tpls c="4">
          <tpl fld="7" item="462"/>
          <tpl fld="6" item="2"/>
          <tpl hier="236" item="0"/>
          <tpl fld="1" item="0"/>
        </tpls>
      </m>
      <m>
        <tpls c="3">
          <tpl fld="7" item="687"/>
          <tpl fld="6" item="3"/>
          <tpl hier="236" item="0"/>
        </tpls>
      </m>
      <m>
        <tpls c="4">
          <tpl fld="7" item="542"/>
          <tpl fld="6" item="1"/>
          <tpl hier="236" item="0"/>
          <tpl fld="1" item="0"/>
        </tpls>
      </m>
      <m>
        <tpls c="4">
          <tpl fld="7" item="881"/>
          <tpl fld="6" item="2"/>
          <tpl hier="236" item="0"/>
          <tpl fld="4" item="6"/>
        </tpls>
      </m>
      <m>
        <tpls c="4">
          <tpl fld="7" item="693"/>
          <tpl fld="6" item="2"/>
          <tpl hier="236" item="0"/>
          <tpl fld="4" item="4"/>
        </tpls>
      </m>
      <n v="7" in="1">
        <tpls c="4">
          <tpl fld="7" item="548"/>
          <tpl fld="6" item="1"/>
          <tpl hier="236" item="0"/>
          <tpl fld="1" item="0"/>
        </tpls>
      </n>
      <m>
        <tpls c="4">
          <tpl fld="7" item="777"/>
          <tpl fld="6" item="2"/>
          <tpl hier="236" item="0"/>
          <tpl fld="4" item="4"/>
        </tpls>
      </m>
      <m>
        <tpls c="3">
          <tpl fld="7" item="551"/>
          <tpl fld="6" item="3"/>
          <tpl hier="236" item="0"/>
        </tpls>
      </m>
      <m>
        <tpls c="4">
          <tpl fld="7" item="1089"/>
          <tpl fld="6" item="1"/>
          <tpl hier="236" item="0"/>
          <tpl fld="4" item="4"/>
        </tpls>
      </m>
      <m>
        <tpls c="4">
          <tpl fld="7" item="1270"/>
          <tpl fld="6" item="2"/>
          <tpl hier="236" item="0"/>
          <tpl fld="4" item="5"/>
        </tpls>
      </m>
      <m>
        <tpls c="4">
          <tpl fld="7" item="883"/>
          <tpl fld="6" item="2"/>
          <tpl hier="236" item="0"/>
          <tpl fld="4" item="6"/>
        </tpls>
      </m>
      <m>
        <tpls c="4">
          <tpl fld="7" item="621"/>
          <tpl fld="6" item="1"/>
          <tpl hier="236" item="0"/>
          <tpl fld="4" item="5"/>
        </tpls>
      </m>
      <n v="2" in="1">
        <tpls c="4">
          <tpl fld="7" item="622"/>
          <tpl fld="6" item="1"/>
          <tpl hier="236" item="0"/>
          <tpl fld="4" item="6"/>
        </tpls>
      </n>
      <m>
        <tpls c="4">
          <tpl fld="7" item="703"/>
          <tpl fld="6" item="2"/>
          <tpl hier="236" item="0"/>
          <tpl fld="4" item="1"/>
        </tpls>
      </m>
      <n v="1" in="2">
        <tpls c="4">
          <tpl fld="7" item="561"/>
          <tpl fld="6" item="2"/>
          <tpl hier="236" item="0"/>
          <tpl fld="1" item="0"/>
        </tpls>
      </n>
      <n v="4" in="1">
        <tpls c="4">
          <tpl fld="7" item="705"/>
          <tpl fld="6" item="1"/>
          <tpl hier="236" item="0"/>
          <tpl fld="4" item="1"/>
        </tpls>
      </n>
      <n v="38" in="1">
        <tpls c="4">
          <tpl fld="7" item="564"/>
          <tpl fld="6" item="1"/>
          <tpl hier="236" item="0"/>
          <tpl fld="1" item="0"/>
        </tpls>
      </n>
      <n v="4" in="1">
        <tpls c="4">
          <tpl fld="7" item="885"/>
          <tpl fld="6" item="1"/>
          <tpl hier="236" item="0"/>
          <tpl fld="4" item="1"/>
        </tpls>
      </n>
      <n v="4" in="1">
        <tpls c="4">
          <tpl fld="7" item="709"/>
          <tpl fld="6" item="1"/>
          <tpl hier="236" item="0"/>
          <tpl fld="4" item="1"/>
        </tpls>
      </n>
      <m>
        <tpls c="4">
          <tpl fld="7" item="1239"/>
          <tpl fld="6" item="1"/>
          <tpl hier="236" item="0"/>
          <tpl fld="4" item="1"/>
        </tpls>
      </m>
      <m>
        <tpls c="4">
          <tpl fld="7" item="632"/>
          <tpl fld="6" item="2"/>
          <tpl hier="236" item="0"/>
          <tpl fld="4" item="1"/>
        </tpls>
      </m>
      <m>
        <tpls c="4">
          <tpl fld="7" item="633"/>
          <tpl fld="6" item="2"/>
          <tpl hier="236" item="0"/>
          <tpl fld="1" item="0"/>
        </tpls>
      </m>
      <m>
        <tpls c="4">
          <tpl fld="7" item="634"/>
          <tpl fld="6" item="1"/>
          <tpl hier="236" item="0"/>
          <tpl fld="4" item="1"/>
        </tpls>
      </m>
      <n v="4" in="1">
        <tpls c="4">
          <tpl fld="7" item="715"/>
          <tpl fld="6" item="1"/>
          <tpl hier="236" item="0"/>
          <tpl fld="1" item="0"/>
        </tpls>
      </n>
      <m>
        <tpls c="4">
          <tpl fld="7" item="716"/>
          <tpl fld="6" item="2"/>
          <tpl hier="236" item="0"/>
          <tpl fld="4" item="4"/>
        </tpls>
      </m>
      <m>
        <tpls c="3">
          <tpl fld="7" item="799"/>
          <tpl fld="6" item="3"/>
          <tpl hier="236" item="0"/>
        </tpls>
      </m>
      <n v="3628" in="1">
        <tpls c="5">
          <tpl fld="11" item="0"/>
          <tpl fld="6" item="1"/>
          <tpl hier="236" item="0"/>
          <tpl fld="4" item="3"/>
          <tpl fld="10" item="2"/>
        </tpls>
      </n>
      <m>
        <tpls c="4">
          <tpl fld="7" item="58"/>
          <tpl fld="6" item="2"/>
          <tpl hier="236" item="0"/>
          <tpl fld="4" item="1"/>
        </tpls>
      </m>
      <m>
        <tpls c="4">
          <tpl fld="7" item="211"/>
          <tpl fld="6" item="1"/>
          <tpl hier="236" item="0"/>
          <tpl fld="4" item="6"/>
        </tpls>
      </m>
      <n v="2" in="2">
        <tpls c="4">
          <tpl fld="7" item="360"/>
          <tpl fld="6" item="2"/>
          <tpl hier="236" item="0"/>
          <tpl fld="4" item="1"/>
        </tpls>
      </n>
      <n v="1" in="3">
        <tpls c="3">
          <tpl fld="7" item="514"/>
          <tpl fld="6" item="3"/>
          <tpl hier="236" item="0"/>
        </tpls>
      </n>
      <n v="5" in="1">
        <tpls c="4">
          <tpl fld="7" item="683"/>
          <tpl fld="6" item="1"/>
          <tpl hier="236" item="0"/>
          <tpl fld="4" item="6"/>
        </tpls>
      </n>
      <n v="1" in="1">
        <tpls c="4">
          <tpl fld="7" item="533"/>
          <tpl fld="6" item="1"/>
          <tpl hier="236" item="0"/>
          <tpl fld="4" item="1"/>
        </tpls>
      </n>
      <n v="30" in="1">
        <tpls c="4">
          <tpl fld="7" item="539"/>
          <tpl fld="6" item="1"/>
          <tpl hier="236" item="0"/>
          <tpl fld="4" item="4"/>
        </tpls>
      </n>
      <m>
        <tpls c="4">
          <tpl fld="7" item="610"/>
          <tpl fld="6" item="1"/>
          <tpl hier="236" item="0"/>
          <tpl fld="4" item="5"/>
        </tpls>
      </m>
      <m>
        <tpls c="4">
          <tpl fld="7" item="612"/>
          <tpl fld="6" item="1"/>
          <tpl hier="236" item="0"/>
          <tpl fld="4" item="6"/>
        </tpls>
      </m>
      <n v="4" in="1">
        <tpls c="4">
          <tpl fld="7" item="775"/>
          <tpl fld="6" item="1"/>
          <tpl hier="236" item="0"/>
          <tpl fld="4" item="4"/>
        </tpls>
      </n>
      <n v="8" in="1">
        <tpls c="4">
          <tpl fld="7" item="776"/>
          <tpl fld="6" item="1"/>
          <tpl hier="236" item="0"/>
          <tpl fld="4" item="4"/>
        </tpls>
      </n>
      <m>
        <tpls c="4">
          <tpl fld="7" item="777"/>
          <tpl fld="6" item="2"/>
          <tpl hier="236" item="0"/>
          <tpl fld="4" item="5"/>
        </tpls>
      </m>
      <m>
        <tpls c="4">
          <tpl fld="7" item="551"/>
          <tpl fld="6" item="2"/>
          <tpl hier="236" item="0"/>
          <tpl fld="4" item="6"/>
        </tpls>
      </m>
      <m>
        <tpls c="4">
          <tpl fld="7" item="1089"/>
          <tpl fld="6" item="1"/>
          <tpl hier="236" item="0"/>
          <tpl fld="4" item="5"/>
        </tpls>
      </m>
      <m>
        <tpls c="4">
          <tpl fld="7" item="88"/>
          <tpl fld="6" item="2"/>
          <tpl hier="236" item="0"/>
          <tpl fld="4" item="4"/>
        </tpls>
      </m>
      <m>
        <tpls c="4">
          <tpl fld="7" item="199"/>
          <tpl fld="6" item="1"/>
          <tpl hier="236" item="0"/>
          <tpl fld="4" item="4"/>
        </tpls>
      </m>
      <m>
        <tpls c="4">
          <tpl fld="7" item="478"/>
          <tpl fld="6" item="1"/>
          <tpl hier="236" item="0"/>
          <tpl fld="4" item="4"/>
        </tpls>
      </m>
      <m>
        <tpls c="3">
          <tpl fld="7" item="97"/>
          <tpl fld="6" item="3"/>
          <tpl hier="236" item="0"/>
        </tpls>
      </m>
      <n v="8" in="1">
        <tpls c="4">
          <tpl fld="7" item="1084"/>
          <tpl fld="6" item="1"/>
          <tpl hier="236" item="0"/>
          <tpl fld="4" item="4"/>
        </tpls>
      </n>
      <n v="2" in="1">
        <tpls c="4">
          <tpl fld="7" item="984"/>
          <tpl fld="6" item="1"/>
          <tpl hier="236" item="0"/>
          <tpl fld="4" item="6"/>
        </tpls>
      </n>
      <n v="8" in="1">
        <tpls c="4">
          <tpl fld="7" item="505"/>
          <tpl fld="6" item="1"/>
          <tpl hier="236" item="0"/>
          <tpl fld="4" item="4"/>
        </tpls>
      </n>
      <n v="7" in="1">
        <tpls c="4">
          <tpl fld="7" item="537"/>
          <tpl fld="6" item="1"/>
          <tpl hier="236" item="0"/>
          <tpl fld="1" item="0"/>
        </tpls>
      </n>
      <m>
        <tpls c="4">
          <tpl fld="7" item="155"/>
          <tpl fld="6" item="1"/>
          <tpl hier="236" item="0"/>
          <tpl fld="4" item="5"/>
        </tpls>
      </m>
      <m>
        <tpls c="4">
          <tpl fld="7" item="314"/>
          <tpl fld="6" item="1"/>
          <tpl hier="236" item="0"/>
          <tpl fld="4" item="4"/>
        </tpls>
      </m>
      <m>
        <tpls c="4">
          <tpl fld="7" item="427"/>
          <tpl fld="6" item="1"/>
          <tpl hier="236" item="0"/>
          <tpl fld="4" item="6"/>
        </tpls>
      </m>
      <m>
        <tpls c="4">
          <tpl fld="7" item="369"/>
          <tpl fld="6" item="2"/>
          <tpl hier="236" item="0"/>
          <tpl fld="4" item="4"/>
        </tpls>
      </m>
      <n v="12" in="1">
        <tpls c="4">
          <tpl fld="7" item="382"/>
          <tpl fld="6" item="1"/>
          <tpl hier="236" item="0"/>
          <tpl fld="4" item="4"/>
        </tpls>
      </n>
      <m>
        <tpls c="4">
          <tpl fld="7" item="461"/>
          <tpl fld="6" item="2"/>
          <tpl hier="236" item="0"/>
          <tpl fld="4" item="1"/>
        </tpls>
      </m>
      <m>
        <tpls c="4">
          <tpl fld="7" item="686"/>
          <tpl fld="6" item="2"/>
          <tpl hier="236" item="0"/>
          <tpl fld="4" item="4"/>
        </tpls>
      </m>
      <m>
        <tpls c="4">
          <tpl fld="7" item="543"/>
          <tpl fld="6" item="2"/>
          <tpl hier="236" item="0"/>
          <tpl fld="4" item="6"/>
        </tpls>
      </m>
      <m>
        <tpls c="4">
          <tpl fld="7" item="484"/>
          <tpl fld="6" item="1"/>
          <tpl hier="236" item="0"/>
          <tpl fld="4" item="6"/>
        </tpls>
      </m>
      <n v="10" in="1">
        <tpls c="4">
          <tpl fld="7" item="458"/>
          <tpl fld="6" item="1"/>
          <tpl hier="236" item="0"/>
          <tpl fld="1" item="0"/>
        </tpls>
      </n>
      <m>
        <tpls c="4">
          <tpl fld="7" item="545"/>
          <tpl fld="6" item="2"/>
          <tpl hier="236" item="0"/>
          <tpl fld="1" item="0"/>
        </tpls>
      </m>
      <m>
        <tpls c="4">
          <tpl fld="7" item="986"/>
          <tpl fld="6" item="2"/>
          <tpl hier="236" item="0"/>
          <tpl fld="1" item="0"/>
        </tpls>
      </m>
      <m>
        <tpls c="3">
          <tpl fld="7" item="701"/>
          <tpl fld="6" item="3"/>
          <tpl hier="236" item="0"/>
        </tpls>
      </m>
      <m>
        <tpls c="4">
          <tpl fld="7" item="563"/>
          <tpl fld="6" item="1"/>
          <tpl hier="236" item="0"/>
          <tpl fld="4" item="5"/>
        </tpls>
      </m>
      <n v="6" in="1">
        <tpls c="4">
          <tpl fld="7" item="711"/>
          <tpl fld="6" item="1"/>
          <tpl hier="236" item="0"/>
          <tpl fld="4" item="4"/>
        </tpls>
      </n>
      <n v="1" in="1">
        <tpls c="4">
          <tpl fld="7" item="797"/>
          <tpl fld="6" item="1"/>
          <tpl hier="236" item="0"/>
          <tpl fld="4" item="6"/>
        </tpls>
      </n>
      <m>
        <tpls c="4">
          <tpl fld="7" item="339"/>
          <tpl fld="6" item="2"/>
          <tpl hier="236" item="0"/>
          <tpl fld="4" item="1"/>
        </tpls>
      </m>
      <m>
        <tpls c="4">
          <tpl fld="7" item="456"/>
          <tpl fld="6" item="2"/>
          <tpl hier="236" item="0"/>
          <tpl fld="4" item="4"/>
        </tpls>
      </m>
      <m>
        <tpls c="4">
          <tpl fld="7" item="612"/>
          <tpl fld="6" item="2"/>
          <tpl hier="236" item="0"/>
          <tpl fld="4" item="1"/>
        </tpls>
      </m>
      <m>
        <tpls c="4">
          <tpl fld="7" item="551"/>
          <tpl fld="6" item="1"/>
          <tpl hier="236" item="0"/>
          <tpl fld="1" item="0"/>
        </tpls>
      </m>
      <m>
        <tpls c="4">
          <tpl fld="7" item="621"/>
          <tpl fld="6" item="2"/>
          <tpl hier="236" item="0"/>
          <tpl fld="4" item="5"/>
        </tpls>
      </m>
      <n v="0.7" in="2">
        <tpls c="4">
          <tpl fld="7" item="787"/>
          <tpl fld="6" item="2"/>
          <tpl hier="236" item="0"/>
          <tpl fld="4" item="1"/>
        </tpls>
      </n>
      <m>
        <tpls c="4">
          <tpl fld="7" item="570"/>
          <tpl fld="6" item="2"/>
          <tpl hier="236" item="0"/>
          <tpl fld="4" item="1"/>
        </tpls>
      </m>
      <m>
        <tpls c="4">
          <tpl fld="7" item="715"/>
          <tpl fld="6" item="2"/>
          <tpl hier="236" item="0"/>
          <tpl fld="1" item="0"/>
        </tpls>
      </m>
      <m>
        <tpls c="4">
          <tpl fld="7" item="717"/>
          <tpl fld="6" item="1"/>
          <tpl hier="236" item="0"/>
          <tpl fld="4" item="5"/>
        </tpls>
      </m>
      <m>
        <tpls c="4">
          <tpl fld="7" item="131"/>
          <tpl fld="6" item="1"/>
          <tpl hier="236" item="0"/>
          <tpl fld="4" item="4"/>
        </tpls>
      </m>
      <m>
        <tpls c="4">
          <tpl fld="7" item="306"/>
          <tpl fld="6" item="2"/>
          <tpl hier="236" item="0"/>
          <tpl fld="4" item="4"/>
        </tpls>
      </m>
      <m>
        <tpls c="4">
          <tpl fld="7" item="429"/>
          <tpl fld="6" item="2"/>
          <tpl hier="236" item="0"/>
          <tpl fld="4" item="4"/>
        </tpls>
      </m>
      <n v="31" in="1">
        <tpls c="4">
          <tpl fld="7" item="446"/>
          <tpl fld="6" item="1"/>
          <tpl hier="236" item="0"/>
          <tpl fld="4" item="4"/>
        </tpls>
      </n>
      <n v="3" in="1">
        <tpls c="4">
          <tpl fld="7" item="460"/>
          <tpl fld="6" item="1"/>
          <tpl hier="236" item="0"/>
          <tpl fld="1" item="0"/>
        </tpls>
      </n>
      <n v="1" in="2">
        <tpls c="4">
          <tpl fld="7" item="607"/>
          <tpl fld="6" item="2"/>
          <tpl hier="236" item="0"/>
          <tpl fld="4" item="1"/>
        </tpls>
      </n>
      <m>
        <tpls c="4">
          <tpl fld="7" item="772"/>
          <tpl fld="6" item="2"/>
          <tpl hier="236" item="0"/>
          <tpl fld="4" item="6"/>
        </tpls>
      </m>
      <m>
        <tpls c="4">
          <tpl fld="7" item="985"/>
          <tpl fld="6" item="2"/>
          <tpl hier="236" item="0"/>
          <tpl fld="4" item="6"/>
        </tpls>
      </m>
      <n v="1" in="1">
        <tpls c="4">
          <tpl fld="7" item="548"/>
          <tpl fld="6" item="1"/>
          <tpl hier="236" item="0"/>
          <tpl fld="4" item="6"/>
        </tpls>
      </n>
      <m>
        <tpls c="4">
          <tpl fld="7" item="882"/>
          <tpl fld="6" item="2"/>
          <tpl hier="236" item="0"/>
          <tpl fld="1" item="0"/>
        </tpls>
      </m>
      <n v="1" in="2">
        <tpls c="4">
          <tpl fld="7" item="697"/>
          <tpl fld="6" item="2"/>
          <tpl hier="236" item="0"/>
          <tpl fld="1" item="0"/>
        </tpls>
      </n>
      <m>
        <tpls c="4">
          <tpl fld="7" item="780"/>
          <tpl fld="6" item="1"/>
          <tpl hier="236" item="0"/>
          <tpl fld="4" item="5"/>
        </tpls>
      </m>
      <n v="1" in="1">
        <tpls c="4">
          <tpl fld="7" item="555"/>
          <tpl fld="6" item="1"/>
          <tpl hier="236" item="0"/>
          <tpl fld="4" item="6"/>
        </tpls>
      </n>
      <m>
        <tpls c="4">
          <tpl fld="7" item="987"/>
          <tpl fld="6" item="2"/>
          <tpl hier="236" item="0"/>
          <tpl fld="4" item="1"/>
        </tpls>
      </m>
      <m>
        <tpls c="4">
          <tpl fld="7" item="1090"/>
          <tpl fld="6" item="2"/>
          <tpl hier="236" item="0"/>
          <tpl fld="1" item="0"/>
        </tpls>
      </m>
      <n v="2" in="1">
        <tpls c="4">
          <tpl fld="7" item="1187"/>
          <tpl fld="6" item="1"/>
          <tpl hier="236" item="0"/>
          <tpl fld="4" item="1"/>
        </tpls>
      </n>
      <n v="6" in="1">
        <tpls c="4">
          <tpl fld="7" item="624"/>
          <tpl fld="6" item="1"/>
          <tpl hier="236" item="0"/>
          <tpl fld="1" item="0"/>
        </tpls>
      </n>
      <m>
        <tpls c="4">
          <tpl fld="7" item="625"/>
          <tpl fld="6" item="2"/>
          <tpl hier="236" item="0"/>
          <tpl fld="4" item="4"/>
        </tpls>
      </m>
      <m>
        <tpls c="3">
          <tpl fld="7" item="706"/>
          <tpl fld="6" item="3"/>
          <tpl hier="236" item="0"/>
        </tpls>
      </m>
      <m>
        <tpls c="4">
          <tpl fld="7" item="707"/>
          <tpl fld="6" item="2"/>
          <tpl hier="236" item="0"/>
          <tpl fld="4" item="5"/>
        </tpls>
      </m>
      <m>
        <tpls c="4">
          <tpl fld="7" item="989"/>
          <tpl fld="6" item="2"/>
          <tpl hier="236" item="0"/>
          <tpl fld="4" item="5"/>
        </tpls>
      </m>
      <m>
        <tpls c="4">
          <tpl fld="7" item="710"/>
          <tpl fld="6" item="2"/>
          <tpl hier="236" item="0"/>
          <tpl fld="4" item="5"/>
        </tpls>
      </m>
      <n v="3" in="1">
        <tpls c="4">
          <tpl fld="7" item="571"/>
          <tpl fld="6" item="1"/>
          <tpl hier="236" item="0"/>
          <tpl fld="4" item="1"/>
        </tpls>
      </n>
      <n v="6" in="1">
        <tpls c="4">
          <tpl fld="7" item="990"/>
          <tpl fld="6" item="1"/>
          <tpl hier="236" item="0"/>
          <tpl fld="1" item="0"/>
        </tpls>
      </n>
      <m>
        <tpls c="4">
          <tpl fld="7" item="574"/>
          <tpl fld="6" item="2"/>
          <tpl hier="236" item="0"/>
          <tpl fld="4" item="4"/>
        </tpls>
      </m>
      <m>
        <tpls c="3">
          <tpl fld="7" item="635"/>
          <tpl fld="6" item="3"/>
          <tpl hier="236" item="0"/>
        </tpls>
      </m>
      <m>
        <tpls c="4">
          <tpl fld="7" item="577"/>
          <tpl fld="6" item="1"/>
          <tpl hier="236" item="0"/>
          <tpl fld="4" item="4"/>
        </tpls>
      </m>
      <m>
        <tpls c="4">
          <tpl fld="7" item="637"/>
          <tpl fld="6" item="2"/>
          <tpl hier="236" item="0"/>
          <tpl fld="4" item="5"/>
        </tpls>
      </m>
      <m>
        <tpls c="4">
          <tpl fld="7" item="718"/>
          <tpl fld="6" item="2"/>
          <tpl hier="236" item="0"/>
          <tpl fld="4" item="6"/>
        </tpls>
      </m>
      <m>
        <tpls c="4">
          <tpl fld="7" item="719"/>
          <tpl fld="6" item="1"/>
          <tpl hier="236" item="0"/>
          <tpl fld="4" item="5"/>
        </tpls>
      </m>
      <n v="1" in="1">
        <tpls c="4">
          <tpl fld="7" item="802"/>
          <tpl fld="6" item="1"/>
          <tpl hier="236" item="0"/>
          <tpl fld="4" item="6"/>
        </tpls>
      </n>
      <m>
        <tpls c="4">
          <tpl fld="7" item="803"/>
          <tpl fld="6" item="2"/>
          <tpl hier="236" item="0"/>
          <tpl fld="4" item="1"/>
        </tpls>
      </m>
      <m>
        <tpls c="4">
          <tpl fld="7" item="804"/>
          <tpl fld="6" item="2"/>
          <tpl hier="236" item="0"/>
          <tpl fld="1" item="0"/>
        </tpls>
      </m>
      <m>
        <tpls c="4">
          <tpl fld="7" item="435"/>
          <tpl fld="6" item="1"/>
          <tpl hier="236" item="0"/>
          <tpl fld="4" item="4"/>
        </tpls>
      </m>
      <m>
        <tpls c="4">
          <tpl fld="7" item="770"/>
          <tpl fld="6" item="2"/>
          <tpl hier="236" item="0"/>
          <tpl fld="4" item="6"/>
        </tpls>
      </m>
      <n v="0.15" in="2">
        <tpls c="4">
          <tpl fld="7" item="1238"/>
          <tpl fld="6" item="2"/>
          <tpl hier="236" item="0"/>
          <tpl fld="1" item="0"/>
        </tpls>
      </n>
      <m>
        <tpls c="3">
          <tpl fld="7" item="699"/>
          <tpl fld="6" item="3"/>
          <tpl hier="236" item="0"/>
        </tpls>
      </m>
      <m>
        <tpls c="4">
          <tpl fld="7" item="785"/>
          <tpl fld="6" item="1"/>
          <tpl hier="236" item="0"/>
          <tpl fld="4" item="5"/>
        </tpls>
      </m>
      <m>
        <tpls c="4">
          <tpl fld="7" item="708"/>
          <tpl fld="6" item="2"/>
          <tpl hier="236" item="0"/>
          <tpl fld="1" item="0"/>
        </tpls>
      </m>
      <m>
        <tpls c="4">
          <tpl fld="7" item="795"/>
          <tpl fld="6" item="1"/>
          <tpl hier="236" item="0"/>
          <tpl fld="4" item="6"/>
        </tpls>
      </m>
      <n v="7" in="1">
        <tpls c="4">
          <tpl fld="7" item="1094"/>
          <tpl fld="6" item="1"/>
          <tpl hier="236" item="0"/>
          <tpl fld="1" item="0"/>
        </tpls>
      </n>
      <n v="2" in="1">
        <tpls c="4">
          <tpl fld="7" item="888"/>
          <tpl fld="6" item="1"/>
          <tpl hier="236" item="0"/>
          <tpl fld="1" item="0"/>
        </tpls>
      </n>
      <m>
        <tpls c="4">
          <tpl fld="7" item="721"/>
          <tpl fld="6" item="2"/>
          <tpl hier="236" item="0"/>
          <tpl fld="4" item="4"/>
        </tpls>
      </m>
      <m>
        <tpls c="4">
          <tpl fld="7" item="1214"/>
          <tpl fld="6" item="2"/>
          <tpl hier="236" item="0"/>
          <tpl fld="4" item="1"/>
        </tpls>
      </m>
      <m>
        <tpls c="4">
          <tpl fld="7" item="889"/>
          <tpl fld="6" item="2"/>
          <tpl hier="236" item="0"/>
          <tpl fld="4" item="1"/>
        </tpls>
      </m>
      <n v="0.3" in="2">
        <tpls c="4">
          <tpl fld="7" item="993"/>
          <tpl fld="6" item="2"/>
          <tpl hier="236" item="0"/>
          <tpl fld="1" item="0"/>
        </tpls>
      </n>
      <n v="1" in="1">
        <tpls c="4">
          <tpl fld="7" item="726"/>
          <tpl fld="6" item="1"/>
          <tpl hier="236" item="0"/>
          <tpl fld="4" item="1"/>
        </tpls>
      </n>
      <n v="9" in="1">
        <tpls c="4">
          <tpl fld="7" item="890"/>
          <tpl fld="6" item="1"/>
          <tpl hier="236" item="0"/>
          <tpl fld="1" item="0"/>
        </tpls>
      </n>
      <m>
        <tpls c="4">
          <tpl fld="7" item="729"/>
          <tpl fld="6" item="2"/>
          <tpl hier="236" item="0"/>
          <tpl fld="4" item="4"/>
        </tpls>
      </m>
      <m>
        <tpls c="3">
          <tpl fld="7" item="1282"/>
          <tpl fld="6" item="3"/>
          <tpl hier="236" item="0"/>
        </tpls>
      </m>
      <m>
        <tpls c="4">
          <tpl fld="7" item="732"/>
          <tpl fld="6" item="1"/>
          <tpl hier="236" item="0"/>
          <tpl fld="4" item="4"/>
        </tpls>
      </m>
      <m>
        <tpls c="4">
          <tpl fld="7" item="815"/>
          <tpl fld="6" item="2"/>
          <tpl hier="236" item="0"/>
          <tpl fld="4" item="5"/>
        </tpls>
      </m>
      <m>
        <tpls c="4">
          <tpl fld="7" item="655"/>
          <tpl fld="6" item="2"/>
          <tpl hier="236" item="0"/>
          <tpl fld="4" item="6"/>
        </tpls>
      </m>
      <m>
        <tpls c="4">
          <tpl fld="7" item="818"/>
          <tpl fld="6" item="1"/>
          <tpl hier="236" item="0"/>
          <tpl fld="4" item="5"/>
        </tpls>
      </m>
      <n v="1" in="1">
        <tpls c="4">
          <tpl fld="7" item="658"/>
          <tpl fld="6" item="1"/>
          <tpl hier="236" item="0"/>
          <tpl fld="4" item="6"/>
        </tpls>
      </n>
      <m>
        <tpls c="4">
          <tpl fld="7" item="821"/>
          <tpl fld="6" item="2"/>
          <tpl hier="236" item="0"/>
          <tpl fld="4" item="1"/>
        </tpls>
      </m>
      <m>
        <tpls c="4">
          <tpl fld="7" item="997"/>
          <tpl fld="6" item="2"/>
          <tpl hier="236" item="0"/>
          <tpl fld="1" item="0"/>
        </tpls>
      </m>
      <n v="1" in="1">
        <tpls c="4">
          <tpl fld="7" item="742"/>
          <tpl fld="6" item="1"/>
          <tpl hier="236" item="0"/>
          <tpl fld="4" item="1"/>
        </tpls>
      </n>
      <n v="11" in="1">
        <tpls c="4">
          <tpl fld="7" item="894"/>
          <tpl fld="6" item="1"/>
          <tpl hier="236" item="0"/>
          <tpl fld="1" item="0"/>
        </tpls>
      </n>
      <n v="1" in="1">
        <tpls c="4">
          <tpl fld="7" item="1101"/>
          <tpl fld="6" item="1"/>
          <tpl hier="236" item="0"/>
          <tpl fld="4" item="5"/>
        </tpls>
      </n>
      <n v="1" in="1">
        <tpls c="4">
          <tpl fld="7" item="895"/>
          <tpl fld="6" item="1"/>
          <tpl hier="236" item="0"/>
          <tpl fld="1" item="0"/>
        </tpls>
      </n>
      <m>
        <tpls c="3">
          <tpl fld="7" item="1216"/>
          <tpl fld="6" item="3"/>
          <tpl hier="236" item="0"/>
        </tpls>
      </m>
      <m>
        <tpls c="4">
          <tpl fld="7" item="1003"/>
          <tpl fld="6" item="2"/>
          <tpl hier="236" item="0"/>
          <tpl fld="4" item="1"/>
        </tpls>
      </m>
      <n v="8" in="1">
        <tpls c="4">
          <tpl fld="7" item="1243"/>
          <tpl fld="6" item="1"/>
          <tpl hier="236" item="0"/>
          <tpl fld="4" item="4"/>
        </tpls>
      </n>
      <m>
        <tpls c="4">
          <tpl fld="7" item="904"/>
          <tpl fld="6" item="2"/>
          <tpl hier="236" item="0"/>
          <tpl fld="4" item="4"/>
        </tpls>
      </m>
      <n v="1" in="1">
        <tpls c="4">
          <tpl fld="7" item="845"/>
          <tpl fld="6" item="1"/>
          <tpl hier="236" item="0"/>
          <tpl fld="4" item="6"/>
        </tpls>
      </n>
      <m>
        <tpls c="3">
          <tpl fld="7" item="1219"/>
          <tpl fld="6" item="3"/>
          <tpl hier="236" item="0"/>
        </tpls>
      </m>
      <m>
        <tpls c="4">
          <tpl fld="7" item="1015"/>
          <tpl fld="6" item="2"/>
          <tpl hier="236" item="0"/>
          <tpl fld="4" item="1"/>
        </tpls>
      </m>
      <n v="2" in="1">
        <tpls c="4">
          <tpl fld="7" item="1246"/>
          <tpl fld="6" item="1"/>
          <tpl hier="236" item="0"/>
          <tpl fld="4" item="4"/>
        </tpls>
      </n>
      <m>
        <tpls c="4">
          <tpl fld="7" item="916"/>
          <tpl fld="6" item="2"/>
          <tpl hier="236" item="0"/>
          <tpl fld="4" item="4"/>
        </tpls>
      </m>
      <m>
        <tpls c="4">
          <tpl fld="7" item="861"/>
          <tpl fld="6" item="1"/>
          <tpl hier="236" item="0"/>
          <tpl fld="4" item="6"/>
        </tpls>
      </m>
      <m>
        <tpls c="3">
          <tpl fld="7" item="1222"/>
          <tpl fld="6" item="3"/>
          <tpl hier="236" item="0"/>
        </tpls>
      </m>
      <m>
        <tpls c="4">
          <tpl fld="7" item="1027"/>
          <tpl fld="6" item="2"/>
          <tpl hier="236" item="0"/>
          <tpl fld="4" item="1"/>
        </tpls>
      </m>
      <n v="12" in="1">
        <tpls c="4">
          <tpl fld="7" item="1249"/>
          <tpl fld="6" item="1"/>
          <tpl hier="236" item="0"/>
          <tpl fld="4" item="4"/>
        </tpls>
      </n>
      <m>
        <tpls c="4">
          <tpl fld="7" item="1035"/>
          <tpl fld="6" item="2"/>
          <tpl hier="236" item="0"/>
          <tpl fld="4" item="1"/>
        </tpls>
      </m>
      <m>
        <tpls c="4">
          <tpl fld="7" item="1043"/>
          <tpl fld="6" item="2"/>
          <tpl hier="236" item="0"/>
          <tpl fld="4" item="1"/>
        </tpls>
      </m>
      <m>
        <tpls c="4">
          <tpl fld="7" item="1051"/>
          <tpl fld="6" item="2"/>
          <tpl hier="236" item="0"/>
          <tpl fld="4" item="1"/>
        </tpls>
      </m>
      <m>
        <tpls c="4">
          <tpl fld="7" item="1059"/>
          <tpl fld="6" item="2"/>
          <tpl hier="236" item="0"/>
          <tpl fld="4" item="1"/>
        </tpls>
      </m>
      <m>
        <tpls c="4">
          <tpl fld="7" item="1067"/>
          <tpl fld="6" item="2"/>
          <tpl hier="236" item="0"/>
          <tpl fld="4" item="1"/>
        </tpls>
      </m>
      <m>
        <tpls c="4">
          <tpl fld="7" item="1075"/>
          <tpl fld="6" item="2"/>
          <tpl hier="236" item="0"/>
          <tpl fld="4" item="1"/>
        </tpls>
      </m>
      <n v="0.3" in="2">
        <tpls c="4">
          <tpl fld="7" item="1180"/>
          <tpl fld="6" item="2"/>
          <tpl hier="236" item="0"/>
          <tpl fld="1" item="0"/>
        </tpls>
      </n>
      <m>
        <tpls c="4">
          <tpl fld="7" item="914"/>
          <tpl fld="6" item="2"/>
          <tpl hier="236" item="0"/>
          <tpl fld="1" item="0"/>
        </tpls>
      </m>
      <m>
        <tpls c="4">
          <tpl fld="7" item="902"/>
          <tpl fld="6" item="2"/>
          <tpl hier="236" item="0"/>
          <tpl fld="1" item="0"/>
        </tpls>
      </m>
      <m>
        <tpls c="4">
          <tpl fld="7" item="456"/>
          <tpl fld="6" item="2"/>
          <tpl hier="236" item="0"/>
          <tpl fld="1" item="0"/>
        </tpls>
      </m>
      <m>
        <tpls c="4">
          <tpl fld="7" item="440"/>
          <tpl fld="6" item="2"/>
          <tpl hier="236" item="0"/>
          <tpl fld="1" item="0"/>
        </tpls>
      </m>
      <m>
        <tpls c="4">
          <tpl fld="7" item="424"/>
          <tpl fld="6" item="2"/>
          <tpl hier="236" item="0"/>
          <tpl fld="1" item="0"/>
        </tpls>
      </m>
      <m>
        <tpls c="4">
          <tpl fld="7" item="420"/>
          <tpl fld="6" item="2"/>
          <tpl hier="236" item="0"/>
          <tpl fld="1" item="0"/>
        </tpls>
      </m>
      <m>
        <tpls c="4">
          <tpl fld="7" item="288"/>
          <tpl fld="6" item="2"/>
          <tpl hier="236" item="0"/>
          <tpl fld="1" item="0"/>
        </tpls>
      </m>
      <m>
        <tpls c="4">
          <tpl fld="7" item="43"/>
          <tpl fld="6" item="2"/>
          <tpl hier="236" item="0"/>
          <tpl fld="1" item="0"/>
        </tpls>
      </m>
      <m>
        <tpls c="4">
          <tpl fld="7" item="238"/>
          <tpl fld="6" item="2"/>
          <tpl hier="236" item="0"/>
          <tpl fld="1" item="0"/>
        </tpls>
      </m>
      <m>
        <tpls c="4">
          <tpl fld="7" item="27"/>
          <tpl fld="6" item="2"/>
          <tpl hier="236" item="0"/>
          <tpl fld="1" item="0"/>
        </tpls>
      </m>
      <m>
        <tpls c="4">
          <tpl fld="7" item="232"/>
          <tpl fld="6" item="2"/>
          <tpl hier="236" item="0"/>
          <tpl fld="1" item="0"/>
        </tpls>
      </m>
      <m>
        <tpls c="4">
          <tpl fld="7" item="1026"/>
          <tpl fld="6" item="2"/>
          <tpl hier="236" item="0"/>
          <tpl fld="4" item="5"/>
        </tpls>
      </m>
      <n v="3" in="1">
        <tpls c="4">
          <tpl fld="7" item="758"/>
          <tpl fld="6" item="1"/>
          <tpl hier="236" item="0"/>
          <tpl fld="4" item="6"/>
        </tpls>
      </n>
      <n v="3" in="1">
        <tpls c="4">
          <tpl fld="7" item="607"/>
          <tpl fld="6" item="1"/>
          <tpl hier="236" item="0"/>
          <tpl fld="4" item="5"/>
        </tpls>
      </n>
      <n v="5" in="1">
        <tpls c="6">
          <tpl fld="11" item="0"/>
          <tpl fld="2" item="1"/>
          <tpl fld="6" item="1"/>
          <tpl hier="236" item="0"/>
          <tpl fld="4" item="7"/>
          <tpl fld="10" item="5"/>
        </tpls>
      </n>
      <m>
        <tpls c="4">
          <tpl fld="7" item="202"/>
          <tpl fld="6" item="2"/>
          <tpl hier="236" item="0"/>
          <tpl fld="4" item="4"/>
        </tpls>
      </m>
      <m>
        <tpls c="4">
          <tpl fld="7" item="408"/>
          <tpl fld="6" item="1"/>
          <tpl hier="236" item="0"/>
          <tpl fld="4" item="4"/>
        </tpls>
      </m>
      <m>
        <tpls c="4">
          <tpl fld="7" item="208"/>
          <tpl fld="6" item="2"/>
          <tpl hier="236" item="0"/>
          <tpl fld="4" item="1"/>
        </tpls>
      </m>
      <m>
        <tpls c="4">
          <tpl fld="7" item="760"/>
          <tpl fld="6" item="2"/>
          <tpl hier="236" item="0"/>
          <tpl fld="4" item="4"/>
        </tpls>
      </m>
      <m>
        <tpls c="4">
          <tpl fld="7" item="542"/>
          <tpl fld="6" item="2"/>
          <tpl hier="236" item="0"/>
          <tpl fld="4" item="1"/>
        </tpls>
      </m>
      <n v="0.3" in="2">
        <tpls c="4">
          <tpl fld="7" item="508"/>
          <tpl fld="6" item="2"/>
          <tpl hier="236" item="0"/>
          <tpl fld="4" item="4"/>
        </tpls>
      </n>
      <m>
        <tpls c="4">
          <tpl fld="7" item="768"/>
          <tpl fld="6" item="2"/>
          <tpl hier="236" item="0"/>
          <tpl fld="4" item="4"/>
        </tpls>
      </m>
      <m>
        <tpls c="4">
          <tpl fld="7" item="158"/>
          <tpl fld="6" item="1"/>
          <tpl hier="236" item="0"/>
          <tpl fld="4" item="5"/>
        </tpls>
      </m>
      <m>
        <tpls c="3">
          <tpl fld="7" item="674"/>
          <tpl fld="6" item="3"/>
          <tpl hier="236" item="0"/>
        </tpls>
      </m>
      <m>
        <tpls c="4">
          <tpl fld="7" item="357"/>
          <tpl fld="6" item="2"/>
          <tpl hier="236" item="0"/>
          <tpl fld="4" item="4"/>
        </tpls>
      </m>
      <n v="4" in="1">
        <tpls c="4">
          <tpl fld="7" item="370"/>
          <tpl fld="6" item="1"/>
          <tpl hier="236" item="0"/>
          <tpl fld="4" item="4"/>
        </tpls>
      </n>
      <n v="1" in="2">
        <tpls c="4">
          <tpl fld="7" item="524"/>
          <tpl fld="6" item="2"/>
          <tpl hier="236" item="0"/>
          <tpl fld="4" item="1"/>
        </tpls>
      </n>
      <m>
        <tpls c="4">
          <tpl fld="7" item="766"/>
          <tpl fld="6" item="1"/>
          <tpl hier="236" item="0"/>
          <tpl fld="1" item="0"/>
        </tpls>
      </m>
      <m>
        <tpls c="4">
          <tpl fld="7" item="768"/>
          <tpl fld="6" item="2"/>
          <tpl hier="236" item="0"/>
          <tpl fld="4" item="5"/>
        </tpls>
      </m>
      <m>
        <tpls c="4">
          <tpl fld="7" item="611"/>
          <tpl fld="6" item="2"/>
          <tpl hier="236" item="0"/>
          <tpl fld="4" item="1"/>
        </tpls>
      </m>
      <m>
        <tpls c="4">
          <tpl fld="7" item="85"/>
          <tpl fld="6" item="1"/>
          <tpl hier="236" item="0"/>
          <tpl fld="4" item="6"/>
        </tpls>
      </m>
      <m>
        <tpls c="4">
          <tpl fld="7" item="530"/>
          <tpl fld="6" item="2"/>
          <tpl hier="236" item="0"/>
          <tpl fld="4" item="4"/>
        </tpls>
      </m>
      <m>
        <tpls c="4">
          <tpl fld="7" item="774"/>
          <tpl fld="6" item="2"/>
          <tpl hier="236" item="0"/>
          <tpl fld="1" item="0"/>
        </tpls>
      </m>
      <n v="1" in="2">
        <tpls c="4">
          <tpl fld="7" item="697"/>
          <tpl fld="6" item="2"/>
          <tpl hier="236" item="0"/>
          <tpl fld="4" item="4"/>
        </tpls>
      </n>
      <m>
        <tpls c="4">
          <tpl fld="7" item="783"/>
          <tpl fld="6" item="2"/>
          <tpl hier="236" item="0"/>
          <tpl fld="4" item="6"/>
        </tpls>
      </m>
      <m>
        <tpls c="4">
          <tpl fld="7" item="1091"/>
          <tpl fld="6" item="2"/>
          <tpl hier="236" item="0"/>
          <tpl fld="1" item="0"/>
        </tpls>
      </m>
      <m>
        <tpls c="4">
          <tpl fld="7" item="793"/>
          <tpl fld="6" item="1"/>
          <tpl hier="236" item="0"/>
          <tpl fld="4" item="5"/>
        </tpls>
      </m>
      <n v="1" in="1">
        <tpls c="4">
          <tpl fld="7" item="887"/>
          <tpl fld="6" item="1"/>
          <tpl hier="236" item="0"/>
          <tpl fld="4" item="1"/>
        </tpls>
      </n>
      <m>
        <tpls c="4">
          <tpl fld="7" item="181"/>
          <tpl fld="6" item="2"/>
          <tpl hier="236" item="0"/>
          <tpl fld="4" item="4"/>
        </tpls>
      </m>
      <n v="1" in="2">
        <tpls c="4">
          <tpl fld="7" item="458"/>
          <tpl fld="6" item="2"/>
          <tpl hier="236" item="0"/>
          <tpl fld="1" item="0"/>
        </tpls>
      </n>
      <m>
        <tpls c="4">
          <tpl fld="7" item="692"/>
          <tpl fld="6" item="2"/>
          <tpl hier="236" item="0"/>
          <tpl fld="4" item="1"/>
        </tpls>
      </m>
      <n v="4" in="1">
        <tpls c="4">
          <tpl fld="7" item="617"/>
          <tpl fld="6" item="1"/>
          <tpl hier="236" item="0"/>
          <tpl fld="4" item="4"/>
        </tpls>
      </n>
      <n v="1" in="1">
        <tpls c="4">
          <tpl fld="7" item="701"/>
          <tpl fld="6" item="1"/>
          <tpl hier="236" item="0"/>
          <tpl fld="4" item="6"/>
        </tpls>
      </n>
      <m>
        <tpls c="4">
          <tpl fld="7" item="563"/>
          <tpl fld="6" item="1"/>
          <tpl hier="236" item="0"/>
          <tpl fld="1" item="0"/>
        </tpls>
      </m>
      <n v="1" in="2">
        <tpls c="4">
          <tpl fld="7" item="711"/>
          <tpl fld="6" item="2"/>
          <tpl hier="236" item="0"/>
          <tpl fld="4" item="1"/>
        </tpls>
      </n>
      <m>
        <tpls c="4">
          <tpl fld="7" item="797"/>
          <tpl fld="6" item="2"/>
          <tpl hier="236" item="0"/>
          <tpl fld="4" item="4"/>
        </tpls>
      </m>
      <m>
        <tpls c="4">
          <tpl fld="7" item="717"/>
          <tpl fld="6" item="2"/>
          <tpl hier="236" item="0"/>
          <tpl fld="4" item="5"/>
        </tpls>
      </m>
      <m>
        <tpls c="4">
          <tpl fld="7" item="140"/>
          <tpl fld="6" item="1"/>
          <tpl hier="236" item="0"/>
          <tpl fld="4" item="4"/>
        </tpls>
      </m>
      <m>
        <tpls c="4">
          <tpl fld="7" item="93"/>
          <tpl fld="6" item="1"/>
          <tpl hier="236" item="0"/>
          <tpl fld="4" item="6"/>
        </tpls>
      </m>
      <n v="14" in="1">
        <tpls c="4">
          <tpl fld="7" item="430"/>
          <tpl fld="6" item="1"/>
          <tpl hier="236" item="0"/>
          <tpl fld="4" item="4"/>
        </tpls>
      </n>
      <n v="1" in="3">
        <tpls c="3">
          <tpl fld="7" item="518"/>
          <tpl fld="6" item="3"/>
          <tpl hier="236" item="0"/>
        </tpls>
      </n>
      <m>
        <tpls c="4">
          <tpl fld="7" item="531"/>
          <tpl fld="6" item="1"/>
          <tpl hier="236" item="0"/>
          <tpl fld="4" item="4"/>
        </tpls>
      </m>
      <m>
        <tpls c="4">
          <tpl fld="7" item="687"/>
          <tpl fld="6" item="1"/>
          <tpl hier="236" item="0"/>
          <tpl fld="1" item="0"/>
        </tpls>
      </m>
      <m>
        <tpls c="4">
          <tpl fld="7" item="1212"/>
          <tpl fld="6" item="2"/>
          <tpl hier="236" item="0"/>
          <tpl fld="4" item="1"/>
        </tpls>
      </m>
      <n v="0.95" in="2">
        <tpls c="4">
          <tpl fld="7" item="546"/>
          <tpl fld="6" item="2"/>
          <tpl hier="236" item="0"/>
          <tpl fld="4" item="1"/>
        </tpls>
      </n>
      <m>
        <tpls c="4">
          <tpl fld="7" item="548"/>
          <tpl fld="6" item="2"/>
          <tpl hier="236" item="0"/>
          <tpl fld="4" item="6"/>
        </tpls>
      </m>
      <m>
        <tpls c="4">
          <tpl fld="7" item="550"/>
          <tpl fld="6" item="2"/>
          <tpl hier="236" item="0"/>
          <tpl fld="4" item="6"/>
        </tpls>
      </m>
      <n v="2" in="1">
        <tpls c="4">
          <tpl fld="7" item="552"/>
          <tpl fld="6" item="1"/>
          <tpl hier="236" item="0"/>
          <tpl fld="4" item="6"/>
        </tpls>
      </n>
      <m>
        <tpls c="4">
          <tpl fld="7" item="780"/>
          <tpl fld="6" item="2"/>
          <tpl hier="236" item="0"/>
          <tpl fld="4" item="5"/>
        </tpls>
      </m>
      <m>
        <tpls c="4">
          <tpl fld="7" item="555"/>
          <tpl fld="6" item="2"/>
          <tpl hier="236" item="0"/>
          <tpl fld="4" item="6"/>
        </tpls>
      </m>
      <m>
        <tpls c="4">
          <tpl fld="7" item="987"/>
          <tpl fld="6" item="1"/>
          <tpl hier="236" item="0"/>
          <tpl fld="4" item="5"/>
        </tpls>
      </m>
      <m>
        <tpls c="4">
          <tpl fld="7" item="558"/>
          <tpl fld="6" item="1"/>
          <tpl hier="236" item="0"/>
          <tpl fld="4" item="6"/>
        </tpls>
      </m>
      <m>
        <tpls c="4">
          <tpl fld="7" item="623"/>
          <tpl fld="6" item="2"/>
          <tpl hier="236" item="0"/>
          <tpl fld="4" item="1"/>
        </tpls>
      </m>
      <m>
        <tpls c="4">
          <tpl fld="7" item="624"/>
          <tpl fld="6" item="2"/>
          <tpl hier="236" item="0"/>
          <tpl fld="1" item="0"/>
        </tpls>
      </m>
      <n v="3" in="1">
        <tpls c="4">
          <tpl fld="7" item="625"/>
          <tpl fld="6" item="1"/>
          <tpl hier="236" item="0"/>
          <tpl fld="4" item="1"/>
        </tpls>
      </n>
      <n v="39" in="1">
        <tpls c="4">
          <tpl fld="7" item="706"/>
          <tpl fld="6" item="1"/>
          <tpl hier="236" item="0"/>
          <tpl fld="1" item="0"/>
        </tpls>
      </n>
      <m>
        <tpls c="4">
          <tpl fld="7" item="789"/>
          <tpl fld="6" item="1"/>
          <tpl hier="236" item="0"/>
          <tpl fld="4" item="5"/>
        </tpls>
      </m>
      <m>
        <tpls c="4">
          <tpl fld="7" item="629"/>
          <tpl fld="6" item="1"/>
          <tpl hier="236" item="0"/>
          <tpl fld="4" item="5"/>
        </tpls>
      </m>
      <m>
        <tpls c="4">
          <tpl fld="7" item="792"/>
          <tpl fld="6" item="1"/>
          <tpl hier="236" item="0"/>
          <tpl fld="4" item="5"/>
        </tpls>
      </m>
      <m>
        <tpls c="4">
          <tpl fld="7" item="886"/>
          <tpl fld="6" item="2"/>
          <tpl hier="236" item="0"/>
          <tpl fld="4" item="1"/>
        </tpls>
      </m>
      <m>
        <tpls c="4">
          <tpl fld="7" item="990"/>
          <tpl fld="6" item="2"/>
          <tpl hier="236" item="0"/>
          <tpl fld="1" item="0"/>
        </tpls>
      </m>
      <m>
        <tpls c="4">
          <tpl fld="7" item="574"/>
          <tpl fld="6" item="1"/>
          <tpl hier="236" item="0"/>
          <tpl fld="4" item="1"/>
        </tpls>
      </m>
      <n v="0" in="1">
        <tpls c="6">
          <tpl fld="11" item="0"/>
          <tpl fld="5" item="2"/>
          <tpl fld="6" item="1"/>
          <tpl hier="236" item="0"/>
          <tpl fld="4" item="7"/>
          <tpl fld="10" item="3"/>
        </tpls>
      </n>
      <m>
        <tpls c="6">
          <tpl fld="11" item="0"/>
          <tpl fld="5" item="2"/>
          <tpl fld="6" item="1"/>
          <tpl hier="236" item="0"/>
          <tpl fld="4" item="7"/>
          <tpl fld="10" item="8"/>
        </tpls>
      </m>
      <n v="892" in="1">
        <tpls c="6">
          <tpl fld="11" item="0"/>
          <tpl fld="2" item="1"/>
          <tpl fld="6" item="1"/>
          <tpl hier="236" item="0"/>
          <tpl fld="4" item="7"/>
          <tpl fld="10" item="8"/>
        </tpls>
      </n>
      <n v="2" in="2">
        <tpls c="6">
          <tpl fld="3" item="0"/>
          <tpl fld="11" item="0"/>
          <tpl fld="6" item="2"/>
          <tpl hier="236" item="0"/>
          <tpl fld="4" item="3"/>
          <tpl fld="10" item="1"/>
        </tpls>
      </n>
      <n v="42.878716216216212" in="2">
        <tpls c="6">
          <tpl fld="11" item="0"/>
          <tpl fld="5" item="1"/>
          <tpl fld="6" item="2"/>
          <tpl hier="236" item="0"/>
          <tpl fld="4" item="6"/>
          <tpl fld="10" item="7"/>
        </tpls>
      </n>
      <n v="15" in="1">
        <tpls c="6">
          <tpl fld="11" item="0"/>
          <tpl fld="6" item="1"/>
          <tpl fld="8" item="0"/>
          <tpl hier="236" item="0"/>
          <tpl fld="4" item="7"/>
          <tpl fld="10" item="1"/>
        </tpls>
      </n>
      <m>
        <tpls c="6">
          <tpl fld="3" item="0"/>
          <tpl fld="11" item="0"/>
          <tpl fld="6" item="2"/>
          <tpl hier="236" item="0"/>
          <tpl fld="4" item="6"/>
          <tpl fld="10" item="7"/>
        </tpls>
      </m>
      <n v="3" in="1">
        <tpls c="4">
          <tpl fld="7" item="1167"/>
          <tpl fld="6" item="1"/>
          <tpl hier="236" item="0"/>
          <tpl fld="4" item="6"/>
        </tpls>
      </n>
      <n v="1904" in="1">
        <tpls c="6">
          <tpl fld="11" item="0"/>
          <tpl fld="6" item="1"/>
          <tpl fld="8" item="1"/>
          <tpl hier="236" item="0"/>
          <tpl fld="4" item="1"/>
          <tpl fld="9" item="4"/>
        </tpls>
      </n>
      <m>
        <tpls c="3">
          <tpl fld="7" item="406"/>
          <tpl fld="6" item="3"/>
          <tpl hier="236" item="0"/>
        </tpls>
      </m>
      <m>
        <tpls c="3">
          <tpl fld="7" item="755"/>
          <tpl fld="6" item="3"/>
          <tpl hier="236" item="0"/>
        </tpls>
      </m>
      <m>
        <tpls c="4">
          <tpl fld="7" item="46"/>
          <tpl fld="6" item="1"/>
          <tpl hier="236" item="0"/>
          <tpl fld="4" item="6"/>
        </tpls>
      </m>
      <n v="8.2486486486486488" in="2">
        <tpls c="6">
          <tpl fld="3" item="1"/>
          <tpl fld="11" item="0"/>
          <tpl fld="6" item="2"/>
          <tpl hier="236" item="0"/>
          <tpl fld="4" item="7"/>
          <tpl fld="10" item="3"/>
        </tpls>
      </n>
      <m>
        <tpls c="4">
          <tpl fld="7" item="149"/>
          <tpl fld="6" item="2"/>
          <tpl hier="236" item="0"/>
          <tpl fld="4" item="1"/>
        </tpls>
      </m>
      <m>
        <tpls c="4">
          <tpl fld="7" item="86"/>
          <tpl fld="6" item="2"/>
          <tpl hier="236" item="0"/>
          <tpl fld="4" item="4"/>
        </tpls>
      </m>
      <n v="1" in="1">
        <tpls c="4">
          <tpl fld="7" item="1060"/>
          <tpl fld="6" item="1"/>
          <tpl hier="236" item="0"/>
          <tpl fld="4" item="5"/>
        </tpls>
      </n>
      <m>
        <tpls c="3">
          <tpl fld="7" item="150"/>
          <tpl fld="6" item="3"/>
          <tpl hier="236" item="0"/>
        </tpls>
      </m>
      <m>
        <tpls c="4">
          <tpl fld="7" item="87"/>
          <tpl fld="6" item="2"/>
          <tpl hier="236" item="0"/>
          <tpl fld="4" item="4"/>
        </tpls>
      </m>
      <m>
        <tpls c="4">
          <tpl fld="7" item="262"/>
          <tpl fld="6" item="1"/>
          <tpl hier="236" item="0"/>
          <tpl fld="4" item="6"/>
        </tpls>
      </m>
      <n v="0.3" in="2">
        <tpls c="6">
          <tpl fld="11" item="0"/>
          <tpl fld="2" item="4"/>
          <tpl fld="6" item="2"/>
          <tpl hier="236" item="0"/>
          <tpl fld="4" item="7"/>
          <tpl fld="10" item="7"/>
        </tpls>
      </n>
      <m>
        <tpls c="4">
          <tpl fld="7" item="159"/>
          <tpl fld="6" item="2"/>
          <tpl hier="236" item="0"/>
          <tpl fld="4" item="6"/>
        </tpls>
      </m>
      <m>
        <tpls c="4">
          <tpl fld="7" item="467"/>
          <tpl fld="6" item="2"/>
          <tpl hier="236" item="0"/>
          <tpl fld="4" item="6"/>
        </tpls>
      </m>
      <m>
        <tpls c="3">
          <tpl fld="7" item="341"/>
          <tpl fld="6" item="3"/>
          <tpl hier="236" item="0"/>
        </tpls>
      </m>
      <m>
        <tpls c="4">
          <tpl fld="7" item="51"/>
          <tpl fld="6" item="1"/>
          <tpl hier="236" item="0"/>
          <tpl fld="4" item="5"/>
        </tpls>
      </m>
      <n v="1" in="1">
        <tpls c="4">
          <tpl fld="7" item="524"/>
          <tpl fld="6" item="1"/>
          <tpl hier="236" item="0"/>
          <tpl fld="4" item="6"/>
        </tpls>
      </n>
      <m>
        <tpls c="4">
          <tpl fld="7" item="268"/>
          <tpl fld="6" item="2"/>
          <tpl hier="236" item="0"/>
          <tpl fld="4" item="1"/>
        </tpls>
      </m>
      <n v="0" in="1">
        <tpls c="4">
          <tpl fld="7" item="383"/>
          <tpl fld="6" item="1"/>
          <tpl hier="236" item="0"/>
          <tpl fld="4" item="6"/>
        </tpls>
      </n>
      <m>
        <tpls c="4">
          <tpl fld="7" item="58"/>
          <tpl fld="6" item="1"/>
          <tpl hier="236" item="0"/>
          <tpl fld="4" item="6"/>
        </tpls>
      </m>
      <m>
        <tpls c="4">
          <tpl fld="7" item="269"/>
          <tpl fld="6" item="2"/>
          <tpl hier="236" item="0"/>
          <tpl fld="4" item="6"/>
        </tpls>
      </m>
      <m>
        <tpls c="4">
          <tpl fld="7" item="292"/>
          <tpl fld="6" item="1"/>
          <tpl hier="236" item="0"/>
          <tpl fld="4" item="4"/>
        </tpls>
      </m>
      <m>
        <tpls c="4">
          <tpl fld="7" item="594"/>
          <tpl fld="6" item="1"/>
          <tpl hier="236" item="0"/>
          <tpl fld="4" item="6"/>
        </tpls>
      </m>
      <m>
        <tpls c="4">
          <tpl fld="7" item="116"/>
          <tpl fld="6" item="2"/>
          <tpl hier="236" item="0"/>
          <tpl fld="4" item="1"/>
        </tpls>
      </m>
      <m>
        <tpls c="4">
          <tpl fld="7" item="39"/>
          <tpl fld="6" item="1"/>
          <tpl hier="236" item="0"/>
          <tpl fld="4" item="4"/>
        </tpls>
      </m>
      <m>
        <tpls c="4">
          <tpl fld="7" item="159"/>
          <tpl fld="6" item="1"/>
          <tpl hier="236" item="0"/>
          <tpl fld="4" item="4"/>
        </tpls>
      </m>
      <m>
        <tpls c="4">
          <tpl fld="7" item="175"/>
          <tpl fld="6" item="1"/>
          <tpl hier="236" item="0"/>
          <tpl fld="4" item="6"/>
        </tpls>
      </m>
      <m>
        <tpls c="4">
          <tpl fld="7" item="84"/>
          <tpl fld="6" item="2"/>
          <tpl hier="236" item="0"/>
          <tpl fld="4" item="4"/>
        </tpls>
      </m>
      <m>
        <tpls c="4">
          <tpl fld="7" item="350"/>
          <tpl fld="6" item="1"/>
          <tpl hier="236" item="0"/>
          <tpl fld="4" item="4"/>
        </tpls>
      </m>
      <m>
        <tpls c="4">
          <tpl fld="7" item="753"/>
          <tpl fld="6" item="1"/>
          <tpl hier="236" item="0"/>
          <tpl fld="4" item="5"/>
        </tpls>
      </m>
      <m>
        <tpls c="4">
          <tpl fld="7" item="102"/>
          <tpl fld="6" item="1"/>
          <tpl hier="236" item="0"/>
          <tpl fld="4" item="6"/>
        </tpls>
      </m>
      <n v="1" in="3">
        <tpls c="3">
          <tpl fld="7" item="359"/>
          <tpl fld="6" item="3"/>
          <tpl hier="236" item="0"/>
        </tpls>
      </n>
      <n v="2" in="1">
        <tpls c="4">
          <tpl fld="7" item="513"/>
          <tpl fld="6" item="1"/>
          <tpl hier="236" item="0"/>
          <tpl fld="4" item="6"/>
        </tpls>
      </n>
      <m>
        <tpls c="4">
          <tpl fld="7" item="603"/>
          <tpl fld="6" item="2"/>
          <tpl hier="236" item="0"/>
          <tpl fld="4" item="4"/>
        </tpls>
      </m>
      <m>
        <tpls c="4">
          <tpl fld="7" item="983"/>
          <tpl fld="6" item="1"/>
          <tpl hier="236" item="0"/>
          <tpl fld="4" item="4"/>
        </tpls>
      </m>
      <m>
        <tpls c="4">
          <tpl fld="7" item="687"/>
          <tpl fld="6" item="1"/>
          <tpl hier="236" item="0"/>
          <tpl fld="4" item="6"/>
        </tpls>
      </m>
      <n v="114" in="1">
        <tpls c="6">
          <tpl fld="3" item="0"/>
          <tpl fld="11" item="0"/>
          <tpl fld="6" item="1"/>
          <tpl hier="236" item="0"/>
          <tpl fld="4" item="7"/>
          <tpl fld="10" item="3"/>
        </tpls>
      </n>
      <m>
        <tpls c="4">
          <tpl fld="7" item="164"/>
          <tpl fld="6" item="2"/>
          <tpl hier="236" item="0"/>
          <tpl fld="4" item="1"/>
        </tpls>
      </m>
      <m>
        <tpls c="4">
          <tpl fld="7" item="210"/>
          <tpl fld="6" item="2"/>
          <tpl hier="236" item="0"/>
          <tpl fld="4" item="4"/>
        </tpls>
      </m>
      <n v="1" in="3">
        <tpls c="3">
          <tpl fld="7" item="430"/>
          <tpl fld="6" item="3"/>
          <tpl hier="236" item="0"/>
        </tpls>
      </n>
      <n v="2" in="1">
        <tpls c="4">
          <tpl fld="7" item="372"/>
          <tpl fld="6" item="1"/>
          <tpl hier="236" item="0"/>
          <tpl fld="4" item="6"/>
        </tpls>
      </n>
      <m>
        <tpls c="4">
          <tpl fld="7" item="526"/>
          <tpl fld="6" item="2"/>
          <tpl hier="236" item="0"/>
          <tpl fld="4" item="4"/>
        </tpls>
      </m>
      <m>
        <tpls c="4">
          <tpl fld="7" item="983"/>
          <tpl fld="6" item="1"/>
          <tpl hier="236" item="0"/>
          <tpl fld="4" item="5"/>
        </tpls>
      </m>
      <n v="7.5" in="2">
        <tpls c="6">
          <tpl fld="11" item="0"/>
          <tpl fld="5" item="2"/>
          <tpl fld="6" item="2"/>
          <tpl hier="236" item="0"/>
          <tpl fld="4" item="6"/>
          <tpl fld="10" item="2"/>
        </tpls>
      </n>
      <n v="2.75" in="2">
        <tpls c="6">
          <tpl fld="3" item="1"/>
          <tpl fld="11" item="0"/>
          <tpl fld="6" item="2"/>
          <tpl hier="236" item="0"/>
          <tpl fld="4" item="1"/>
          <tpl fld="9" item="2"/>
        </tpls>
      </n>
      <m>
        <tpls c="4">
          <tpl fld="7" item="876"/>
          <tpl fld="6" item="2"/>
          <tpl hier="236" item="0"/>
          <tpl fld="4" item="1"/>
        </tpls>
      </m>
      <m>
        <tpls c="4">
          <tpl fld="7" item="9"/>
          <tpl fld="6" item="1"/>
          <tpl hier="236" item="0"/>
          <tpl fld="4" item="4"/>
        </tpls>
      </m>
      <m>
        <tpls c="4">
          <tpl fld="7" item="51"/>
          <tpl fld="6" item="1"/>
          <tpl hier="236" item="0"/>
          <tpl fld="4" item="6"/>
        </tpls>
      </m>
      <m>
        <tpls c="3">
          <tpl fld="7" item="175"/>
          <tpl fld="6" item="3"/>
          <tpl hier="236" item="0"/>
        </tpls>
      </m>
      <m>
        <tpls c="4">
          <tpl fld="7" item="192"/>
          <tpl fld="6" item="2"/>
          <tpl hier="236" item="0"/>
          <tpl fld="1" item="0"/>
        </tpls>
      </m>
      <m>
        <tpls c="4">
          <tpl fld="7" item="205"/>
          <tpl fld="6" item="2"/>
          <tpl hier="236" item="0"/>
          <tpl fld="4" item="4"/>
        </tpls>
      </m>
      <m>
        <tpls c="4">
          <tpl fld="7" item="220"/>
          <tpl fld="6" item="1"/>
          <tpl hier="236" item="0"/>
          <tpl fld="1" item="0"/>
        </tpls>
      </m>
      <m>
        <tpls c="4">
          <tpl fld="7" item="249"/>
          <tpl fld="6" item="2"/>
          <tpl hier="236" item="0"/>
          <tpl fld="4" item="1"/>
        </tpls>
      </m>
      <m>
        <tpls c="4">
          <tpl fld="7" item="152"/>
          <tpl fld="6" item="2"/>
          <tpl hier="236" item="0"/>
          <tpl fld="4" item="4"/>
        </tpls>
      </m>
      <m>
        <tpls c="4">
          <tpl fld="7" item="160"/>
          <tpl fld="6" item="2"/>
          <tpl hier="236" item="0"/>
          <tpl fld="4" item="4"/>
        </tpls>
      </m>
      <m>
        <tpls c="4">
          <tpl fld="7" item="65"/>
          <tpl fld="6" item="2"/>
          <tpl hier="236" item="0"/>
          <tpl fld="4" item="4"/>
        </tpls>
      </m>
      <m>
        <tpls c="4">
          <tpl fld="7" item="78"/>
          <tpl fld="6" item="1"/>
          <tpl hier="236" item="0"/>
          <tpl fld="4" item="4"/>
        </tpls>
      </m>
      <n v="0" in="1">
        <tpls c="4">
          <tpl fld="7" item="418"/>
          <tpl fld="6" item="1"/>
          <tpl hier="236" item="0"/>
          <tpl fld="4" item="4"/>
        </tpls>
      </n>
      <m>
        <tpls c="4">
          <tpl fld="7" item="211"/>
          <tpl fld="6" item="2"/>
          <tpl hier="236" item="0"/>
          <tpl fld="4" item="1"/>
        </tpls>
      </m>
      <m>
        <tpls c="4">
          <tpl fld="7" item="50"/>
          <tpl fld="6" item="1"/>
          <tpl hier="236" item="0"/>
          <tpl fld="4" item="5"/>
        </tpls>
      </m>
      <m>
        <tpls c="4">
          <tpl fld="7" item="99"/>
          <tpl fld="6" item="2"/>
          <tpl hier="236" item="0"/>
          <tpl fld="4" item="4"/>
        </tpls>
      </m>
      <m>
        <tpls c="4">
          <tpl fld="7" item="498"/>
          <tpl fld="6" item="1"/>
          <tpl hier="236" item="0"/>
          <tpl fld="4" item="6"/>
        </tpls>
      </m>
      <m>
        <tpls c="4">
          <tpl fld="7" item="679"/>
          <tpl fld="6" item="2"/>
          <tpl hier="236" item="0"/>
          <tpl fld="4" item="4"/>
        </tpls>
      </m>
      <n v="14" in="1">
        <tpls c="4">
          <tpl fld="7" item="764"/>
          <tpl fld="6" item="1"/>
          <tpl hier="236" item="0"/>
          <tpl fld="4" item="4"/>
        </tpls>
      </n>
      <m>
        <tpls c="4">
          <tpl fld="7" item="766"/>
          <tpl fld="6" item="1"/>
          <tpl hier="236" item="0"/>
          <tpl fld="4" item="4"/>
        </tpls>
      </m>
      <n v="2" in="1">
        <tpls c="4">
          <tpl fld="7" item="768"/>
          <tpl fld="6" item="1"/>
          <tpl hier="236" item="0"/>
          <tpl fld="4" item="6"/>
        </tpls>
      </n>
      <n v="17" in="1">
        <tpls c="4">
          <tpl fld="7" item="1212"/>
          <tpl fld="6" item="1"/>
          <tpl hier="236" item="0"/>
          <tpl fld="1" item="0"/>
        </tpls>
      </n>
      <m>
        <tpls c="4">
          <tpl fld="7" item="267"/>
          <tpl fld="6" item="2"/>
          <tpl hier="236" item="0"/>
          <tpl fld="4" item="1"/>
        </tpls>
      </m>
      <m>
        <tpls c="4">
          <tpl fld="7" item="674"/>
          <tpl fld="6" item="2"/>
          <tpl hier="236" item="0"/>
          <tpl fld="4" item="1"/>
        </tpls>
      </m>
      <m>
        <tpls c="4">
          <tpl fld="7" item="357"/>
          <tpl fld="6" item="1"/>
          <tpl hier="236" item="0"/>
          <tpl fld="4" item="6"/>
        </tpls>
      </m>
      <m>
        <tpls c="4">
          <tpl fld="7" item="511"/>
          <tpl fld="6" item="2"/>
          <tpl hier="236" item="0"/>
          <tpl fld="4" item="4"/>
        </tpls>
      </m>
      <n v="6" in="1">
        <tpls c="4">
          <tpl fld="7" item="524"/>
          <tpl fld="6" item="1"/>
          <tpl hier="236" item="0"/>
          <tpl fld="4" item="4"/>
        </tpls>
      </n>
      <m>
        <tpls c="4">
          <tpl fld="7" item="766"/>
          <tpl fld="6" item="1"/>
          <tpl hier="236" item="0"/>
          <tpl fld="4" item="5"/>
        </tpls>
      </m>
      <n v="1" in="1">
        <tpls c="4">
          <tpl fld="7" item="768"/>
          <tpl fld="6" item="1"/>
          <tpl hier="236" item="0"/>
          <tpl fld="4" item="1"/>
        </tpls>
      </n>
      <m>
        <tpls c="4">
          <tpl fld="7" item="146"/>
          <tpl fld="6" item="2"/>
          <tpl hier="236" item="0"/>
          <tpl fld="4" item="4"/>
        </tpls>
      </m>
      <m>
        <tpls c="4">
          <tpl fld="7" item="269"/>
          <tpl fld="6" item="1"/>
          <tpl hier="236" item="0"/>
          <tpl fld="1" item="0"/>
        </tpls>
      </m>
      <m>
        <tpls c="4">
          <tpl fld="7" item="345"/>
          <tpl fld="6" item="2"/>
          <tpl hier="236" item="0"/>
          <tpl fld="4" item="1"/>
        </tpls>
      </m>
      <m>
        <tpls c="4">
          <tpl fld="7" item="43"/>
          <tpl fld="6" item="1"/>
          <tpl hier="236" item="0"/>
          <tpl fld="4" item="4"/>
        </tpls>
      </m>
      <m>
        <tpls c="4">
          <tpl fld="7" item="196"/>
          <tpl fld="6" item="2"/>
          <tpl hier="236" item="0"/>
          <tpl fld="4" item="1"/>
        </tpls>
      </m>
      <m>
        <tpls c="4">
          <tpl fld="7" item="757"/>
          <tpl fld="6" item="2"/>
          <tpl hier="236" item="0"/>
          <tpl fld="4" item="4"/>
        </tpls>
      </m>
      <n v="3" in="1">
        <tpls c="4">
          <tpl fld="7" item="1086"/>
          <tpl fld="6" item="1"/>
          <tpl hier="236" item="0"/>
          <tpl fld="4" item="6"/>
        </tpls>
      </n>
      <m>
        <tpls c="4">
          <tpl fld="7" item="496"/>
          <tpl fld="6" item="2"/>
          <tpl hier="236" item="0"/>
          <tpl fld="4" item="4"/>
        </tpls>
      </m>
      <m>
        <tpls c="4">
          <tpl fld="7" item="767"/>
          <tpl fld="6" item="2"/>
          <tpl hier="236" item="0"/>
          <tpl fld="4" item="1"/>
        </tpls>
      </m>
      <m>
        <tpls c="4">
          <tpl fld="7" item="147"/>
          <tpl fld="6" item="1"/>
          <tpl hier="236" item="0"/>
          <tpl fld="4" item="4"/>
        </tpls>
      </m>
      <m>
        <tpls c="4">
          <tpl fld="7" item="305"/>
          <tpl fld="6" item="2"/>
          <tpl hier="236" item="0"/>
          <tpl fld="4" item="4"/>
        </tpls>
      </m>
      <m>
        <tpls c="4">
          <tpl fld="7" item="354"/>
          <tpl fld="6" item="2"/>
          <tpl hier="236" item="0"/>
          <tpl fld="4" item="4"/>
        </tpls>
      </m>
      <n v="5" in="1">
        <tpls c="4">
          <tpl fld="7" item="367"/>
          <tpl fld="6" item="1"/>
          <tpl hier="236" item="0"/>
          <tpl fld="4" item="4"/>
        </tpls>
      </n>
      <m>
        <tpls c="4">
          <tpl fld="7" item="521"/>
          <tpl fld="6" item="2"/>
          <tpl hier="236" item="0"/>
          <tpl fld="4" item="1"/>
        </tpls>
      </m>
      <m>
        <tpls c="4">
          <tpl fld="7" item="460"/>
          <tpl fld="6" item="2"/>
          <tpl hier="236" item="0"/>
          <tpl fld="4" item="1"/>
        </tpls>
      </m>
      <m>
        <tpls c="4">
          <tpl fld="7" item="395"/>
          <tpl fld="6" item="2"/>
          <tpl hier="236" item="0"/>
          <tpl fld="4" item="4"/>
        </tpls>
      </m>
      <m>
        <tpls c="4">
          <tpl fld="7" item="542"/>
          <tpl fld="6" item="2"/>
          <tpl hier="236" item="0"/>
          <tpl fld="4" item="6"/>
        </tpls>
      </m>
      <m>
        <tpls c="4">
          <tpl fld="7" item="43"/>
          <tpl fld="6" item="2"/>
          <tpl hier="236" item="0"/>
          <tpl fld="4" item="1"/>
        </tpls>
      </m>
      <n v="2" in="1">
        <tpls c="4">
          <tpl fld="7" item="1085"/>
          <tpl fld="6" item="1"/>
          <tpl hier="236" item="0"/>
          <tpl fld="4" item="6"/>
        </tpls>
      </n>
      <m>
        <tpls c="4">
          <tpl fld="7" item="691"/>
          <tpl fld="6" item="2"/>
          <tpl hier="236" item="0"/>
          <tpl fld="4" item="6"/>
        </tpls>
      </m>
      <m>
        <tpls c="4">
          <tpl fld="7" item="616"/>
          <tpl fld="6" item="2"/>
          <tpl hier="236" item="0"/>
          <tpl fld="1" item="0"/>
        </tpls>
      </m>
      <m>
        <tpls c="3">
          <tpl fld="7" item="782"/>
          <tpl fld="6" item="3"/>
          <tpl hier="236" item="0"/>
        </tpls>
      </m>
      <n v="2" in="1">
        <tpls c="4">
          <tpl fld="7" item="562"/>
          <tpl fld="6" item="1"/>
          <tpl hier="236" item="0"/>
          <tpl fld="4" item="5"/>
        </tpls>
      </n>
      <m>
        <tpls c="4">
          <tpl fld="7" item="569"/>
          <tpl fld="6" item="2"/>
          <tpl hier="236" item="0"/>
          <tpl fld="4" item="6"/>
        </tpls>
      </m>
      <m>
        <tpls c="4">
          <tpl fld="7" item="1276"/>
          <tpl fld="6" item="1"/>
          <tpl hier="236" item="0"/>
          <tpl fld="4" item="6"/>
        </tpls>
      </m>
      <m>
        <tpls c="4">
          <tpl fld="7" item="139"/>
          <tpl fld="6" item="2"/>
          <tpl hier="236" item="0"/>
          <tpl fld="4" item="4"/>
        </tpls>
      </m>
      <n v="1" in="1">
        <tpls c="4">
          <tpl fld="7" item="601"/>
          <tpl fld="6" item="1"/>
          <tpl hier="236" item="0"/>
          <tpl fld="4" item="6"/>
        </tpls>
      </n>
      <n v="1.3" in="2">
        <tpls c="4">
          <tpl fld="7" item="543"/>
          <tpl fld="6" item="2"/>
          <tpl hier="236" item="0"/>
          <tpl fld="1" item="0"/>
        </tpls>
      </n>
      <n v="7" in="1">
        <tpls c="4">
          <tpl fld="7" item="550"/>
          <tpl fld="6" item="1"/>
          <tpl hier="236" item="0"/>
          <tpl fld="1" item="0"/>
        </tpls>
      </n>
      <m>
        <tpls c="4">
          <tpl fld="7" item="700"/>
          <tpl fld="6" item="2"/>
          <tpl hier="236" item="0"/>
          <tpl fld="4" item="5"/>
        </tpls>
      </m>
      <m>
        <tpls c="4">
          <tpl fld="7" item="988"/>
          <tpl fld="6" item="2"/>
          <tpl hier="236" item="0"/>
          <tpl fld="4" item="1"/>
        </tpls>
      </m>
      <m>
        <tpls c="4">
          <tpl fld="7" item="1092"/>
          <tpl fld="6" item="1"/>
          <tpl hier="236" item="0"/>
          <tpl fld="4" item="1"/>
        </tpls>
      </m>
      <m>
        <tpls c="4">
          <tpl fld="7" item="796"/>
          <tpl fld="6" item="2"/>
          <tpl hier="236" item="0"/>
          <tpl fld="1" item="0"/>
        </tpls>
      </m>
      <m>
        <tpls c="4">
          <tpl fld="7" item="177"/>
          <tpl fld="6" item="2"/>
          <tpl hier="236" item="0"/>
          <tpl fld="4" item="1"/>
        </tpls>
      </m>
      <m>
        <tpls c="4">
          <tpl fld="7" item="194"/>
          <tpl fld="6" item="2"/>
          <tpl hier="236" item="0"/>
          <tpl fld="4" item="4"/>
        </tpls>
      </m>
      <m>
        <tpls c="4">
          <tpl fld="7" item="336"/>
          <tpl fld="6" item="1"/>
          <tpl hier="236" item="0"/>
          <tpl fld="4" item="4"/>
        </tpls>
      </m>
      <m>
        <tpls c="4">
          <tpl fld="7" item="200"/>
          <tpl fld="6" item="2"/>
          <tpl hier="236" item="0"/>
          <tpl fld="4" item="1"/>
        </tpls>
      </m>
      <n v="1.65" in="2">
        <tpls c="4">
          <tpl fld="7" item="758"/>
          <tpl fld="6" item="2"/>
          <tpl hier="236" item="0"/>
          <tpl fld="4" item="4"/>
        </tpls>
      </n>
      <n v="22" in="1">
        <tpls c="4">
          <tpl fld="7" item="607"/>
          <tpl fld="6" item="1"/>
          <tpl hier="236" item="0"/>
          <tpl fld="1" item="0"/>
        </tpls>
      </n>
      <m>
        <tpls c="4">
          <tpl fld="7" item="500"/>
          <tpl fld="6" item="2"/>
          <tpl hier="236" item="0"/>
          <tpl fld="4" item="4"/>
        </tpls>
      </m>
      <m>
        <tpls c="4">
          <tpl fld="7" item="395"/>
          <tpl fld="6" item="2"/>
          <tpl hier="236" item="0"/>
          <tpl fld="4" item="6"/>
        </tpls>
      </m>
      <m>
        <tpls c="4">
          <tpl fld="7" item="151"/>
          <tpl fld="6" item="1"/>
          <tpl hier="236" item="0"/>
          <tpl fld="4" item="5"/>
        </tpls>
      </m>
      <m>
        <tpls c="4">
          <tpl fld="7" item="309"/>
          <tpl fld="6" item="2"/>
          <tpl hier="236" item="0"/>
          <tpl fld="4" item="4"/>
        </tpls>
      </m>
      <m>
        <tpls c="4">
          <tpl fld="7" item="355"/>
          <tpl fld="6" item="2"/>
          <tpl hier="236" item="0"/>
          <tpl fld="4" item="4"/>
        </tpls>
      </m>
      <n v="2" in="1">
        <tpls c="4">
          <tpl fld="7" item="368"/>
          <tpl fld="6" item="1"/>
          <tpl hier="236" item="0"/>
          <tpl fld="4" item="4"/>
        </tpls>
      </n>
      <n v="4" in="1">
        <tpls c="4">
          <tpl fld="7" item="445"/>
          <tpl fld="6" item="1"/>
          <tpl hier="236" item="0"/>
          <tpl fld="4" item="6"/>
        </tpls>
      </n>
      <n v="4" in="2">
        <tpls c="4">
          <tpl fld="7" item="379"/>
          <tpl fld="6" item="2"/>
          <tpl hier="236" item="0"/>
          <tpl fld="4" item="4"/>
        </tpls>
      </n>
      <m>
        <tpls c="4">
          <tpl fld="7" item="383"/>
          <tpl fld="6" item="2"/>
          <tpl hier="236" item="0"/>
          <tpl fld="4" item="4"/>
        </tpls>
      </m>
      <m>
        <tpls c="4">
          <tpl fld="7" item="528"/>
          <tpl fld="6" item="1"/>
          <tpl hier="236" item="0"/>
          <tpl fld="4" item="6"/>
        </tpls>
      </m>
      <n v="2" in="1">
        <tpls c="4">
          <tpl fld="7" item="389"/>
          <tpl fld="6" item="1"/>
          <tpl hier="236" item="0"/>
          <tpl fld="4" item="4"/>
        </tpls>
      </n>
      <n v="2" in="1">
        <tpls c="4">
          <tpl fld="7" item="532"/>
          <tpl fld="6" item="1"/>
          <tpl hier="236" item="0"/>
          <tpl fld="4" item="6"/>
        </tpls>
      </n>
      <n v="2" in="1">
        <tpls c="4">
          <tpl fld="7" item="605"/>
          <tpl fld="6" item="1"/>
          <tpl hier="236" item="0"/>
          <tpl fld="1" item="0"/>
        </tpls>
      </n>
      <n v="0" in="1">
        <tpls c="4">
          <tpl fld="7" item="536"/>
          <tpl fld="6" item="1"/>
          <tpl hier="236" item="0"/>
          <tpl fld="4" item="6"/>
        </tpls>
      </n>
      <n v="4" in="1">
        <tpls c="4">
          <tpl fld="7" item="1186"/>
          <tpl fld="6" item="1"/>
          <tpl hier="236" item="0"/>
          <tpl fld="1" item="0"/>
        </tpls>
      </n>
      <m>
        <tpls c="4">
          <tpl fld="7" item="608"/>
          <tpl fld="6" item="2"/>
          <tpl hier="236" item="0"/>
          <tpl fld="4" item="5"/>
        </tpls>
      </m>
      <n v="34" in="1">
        <tpls c="4">
          <tpl fld="7" item="1087"/>
          <tpl fld="6" item="1"/>
          <tpl hier="236" item="0"/>
          <tpl fld="1" item="0"/>
        </tpls>
      </n>
      <m>
        <tpls c="4">
          <tpl fld="7" item="611"/>
          <tpl fld="6" item="2"/>
          <tpl hier="236" item="0"/>
          <tpl fld="4" item="5"/>
        </tpls>
      </m>
      <m>
        <tpls c="4">
          <tpl fld="7" item="774"/>
          <tpl fld="6" item="2"/>
          <tpl hier="236" item="0"/>
          <tpl fld="4" item="1"/>
        </tpls>
      </m>
      <m>
        <tpls c="3">
          <tpl fld="7" item="250"/>
          <tpl fld="6" item="3"/>
          <tpl hier="236" item="0"/>
        </tpls>
      </m>
      <m>
        <tpls c="4">
          <tpl fld="7" item="1083"/>
          <tpl fld="6" item="2"/>
          <tpl hier="236" item="0"/>
          <tpl fld="4" item="1"/>
        </tpls>
      </m>
      <m>
        <tpls c="4">
          <tpl fld="7" item="358"/>
          <tpl fld="6" item="2"/>
          <tpl hier="236" item="0"/>
          <tpl fld="4" item="1"/>
        </tpls>
      </m>
      <n v="22" in="1">
        <tpls c="4">
          <tpl fld="7" item="448"/>
          <tpl fld="6" item="1"/>
          <tpl hier="236" item="0"/>
          <tpl fld="4" item="4"/>
        </tpls>
      </n>
      <m>
        <tpls c="4">
          <tpl fld="7" item="684"/>
          <tpl fld="6" item="1"/>
          <tpl hier="236" item="0"/>
          <tpl fld="4" item="6"/>
        </tpls>
      </m>
      <m>
        <tpls c="4">
          <tpl fld="7" item="538"/>
          <tpl fld="6" item="2"/>
          <tpl hier="236" item="0"/>
          <tpl fld="4" item="4"/>
        </tpls>
      </m>
      <m>
        <tpls c="4">
          <tpl fld="7" item="1212"/>
          <tpl fld="6" item="1"/>
          <tpl hier="236" item="0"/>
          <tpl fld="4" item="5"/>
        </tpls>
      </m>
      <m>
        <tpls c="4">
          <tpl fld="7" item="985"/>
          <tpl fld="6" item="2"/>
          <tpl hier="236" item="0"/>
          <tpl fld="4" item="5"/>
        </tpls>
      </m>
      <n v="0.3" in="2">
        <tpls c="4">
          <tpl fld="7" item="548"/>
          <tpl fld="6" item="2"/>
          <tpl hier="236" item="0"/>
          <tpl fld="4" item="1"/>
        </tpls>
      </n>
      <m>
        <tpls c="4">
          <tpl fld="7" item="550"/>
          <tpl fld="6" item="2"/>
          <tpl hier="236" item="0"/>
          <tpl fld="4" item="5"/>
        </tpls>
      </m>
      <m>
        <tpls c="4">
          <tpl fld="7" item="552"/>
          <tpl fld="6" item="2"/>
          <tpl hier="236" item="0"/>
          <tpl fld="4" item="1"/>
        </tpls>
      </m>
      <m>
        <tpls c="4">
          <tpl fld="7" item="1270"/>
          <tpl fld="6" item="2"/>
          <tpl hier="236" item="0"/>
          <tpl fld="4" item="4"/>
        </tpls>
      </m>
      <m>
        <tpls c="4">
          <tpl fld="7" item="556"/>
          <tpl fld="6" item="2"/>
          <tpl hier="236" item="0"/>
          <tpl fld="4" item="1"/>
        </tpls>
      </m>
      <m>
        <tpls c="4">
          <tpl fld="7" item="1090"/>
          <tpl fld="6" item="2"/>
          <tpl hier="236" item="0"/>
          <tpl fld="4" item="4"/>
        </tpls>
      </m>
      <m>
        <tpls c="4">
          <tpl fld="7" item="623"/>
          <tpl fld="6" item="2"/>
          <tpl hier="236" item="0"/>
          <tpl fld="4" item="6"/>
        </tpls>
      </m>
      <n v="1" in="2">
        <tpls c="4">
          <tpl fld="7" item="988"/>
          <tpl fld="6" item="2"/>
          <tpl hier="236" item="0"/>
          <tpl fld="4" item="4"/>
        </tpls>
      </n>
      <n v="1" in="2">
        <tpls c="4">
          <tpl fld="7" item="626"/>
          <tpl fld="6" item="2"/>
          <tpl hier="236" item="0"/>
          <tpl fld="4" item="6"/>
        </tpls>
      </n>
      <n v="12" in="1">
        <tpls c="4">
          <tpl fld="7" item="885"/>
          <tpl fld="6" item="1"/>
          <tpl hier="236" item="0"/>
          <tpl fld="4" item="4"/>
        </tpls>
      </n>
      <n v="16" in="1">
        <tpls c="4">
          <tpl fld="7" item="630"/>
          <tpl fld="6" item="1"/>
          <tpl hier="236" item="0"/>
          <tpl fld="4" item="4"/>
        </tpls>
      </n>
      <m>
        <tpls c="3">
          <tpl fld="7" item="571"/>
          <tpl fld="6" item="3"/>
          <tpl hier="236" item="0"/>
        </tpls>
      </m>
      <m>
        <tpls c="4">
          <tpl fld="7" item="633"/>
          <tpl fld="6" item="1"/>
          <tpl hier="236" item="0"/>
          <tpl fld="4" item="5"/>
        </tpls>
      </m>
      <m>
        <tpls c="3">
          <tpl fld="7" item="575"/>
          <tpl fld="6" item="3"/>
          <tpl hier="236" item="0"/>
        </tpls>
      </m>
      <m>
        <tpls c="4">
          <tpl fld="7" item="636"/>
          <tpl fld="6" item="1"/>
          <tpl hier="236" item="0"/>
          <tpl fld="4" item="5"/>
        </tpls>
      </m>
      <m>
        <tpls c="4">
          <tpl fld="7" item="717"/>
          <tpl fld="6" item="1"/>
          <tpl hier="236" item="0"/>
          <tpl fld="4" item="1"/>
        </tpls>
      </m>
      <m>
        <tpls c="4">
          <tpl fld="7" item="750"/>
          <tpl fld="6" item="1"/>
          <tpl hier="236" item="0"/>
          <tpl fld="4" item="5"/>
        </tpls>
      </m>
      <m>
        <tpls c="3">
          <tpl fld="7" item="296"/>
          <tpl fld="6" item="3"/>
          <tpl hier="236" item="0"/>
        </tpls>
      </m>
      <m>
        <tpls c="4">
          <tpl fld="7" item="355"/>
          <tpl fld="6" item="2"/>
          <tpl hier="236" item="0"/>
          <tpl fld="4" item="1"/>
        </tpls>
      </m>
      <n v="5" in="1">
        <tpls c="4">
          <tpl fld="7" item="445"/>
          <tpl fld="6" item="1"/>
          <tpl hier="236" item="0"/>
          <tpl fld="4" item="4"/>
        </tpls>
      </n>
      <m>
        <tpls c="4">
          <tpl fld="7" item="388"/>
          <tpl fld="6" item="2"/>
          <tpl hier="236" item="0"/>
          <tpl fld="4" item="5"/>
        </tpls>
      </m>
      <m>
        <tpls c="4">
          <tpl fld="7" item="1086"/>
          <tpl fld="6" item="2"/>
          <tpl hier="236" item="0"/>
          <tpl fld="1" item="0"/>
        </tpls>
      </m>
      <n v="2" in="1">
        <tpls c="4">
          <tpl fld="7" item="690"/>
          <tpl fld="6" item="1"/>
          <tpl hier="236" item="0"/>
          <tpl fld="4" item="1"/>
        </tpls>
      </n>
      <n v="1" in="1">
        <tpls c="4">
          <tpl fld="7" item="774"/>
          <tpl fld="6" item="1"/>
          <tpl hier="236" item="0"/>
          <tpl fld="4" item="4"/>
        </tpls>
      </n>
      <m>
        <tpls c="4">
          <tpl fld="7" item="614"/>
          <tpl fld="6" item="1"/>
          <tpl hier="236" item="0"/>
          <tpl fld="4" item="1"/>
        </tpls>
      </m>
      <m>
        <tpls c="4">
          <tpl fld="7" item="882"/>
          <tpl fld="6" item="1"/>
          <tpl hier="236" item="0"/>
          <tpl fld="4" item="5"/>
        </tpls>
      </m>
      <m>
        <tpls c="4">
          <tpl fld="7" item="617"/>
          <tpl fld="6" item="1"/>
          <tpl hier="236" item="0"/>
          <tpl fld="4" item="1"/>
        </tpls>
      </m>
      <n v="4" in="1">
        <tpls c="4">
          <tpl fld="7" item="780"/>
          <tpl fld="6" item="1"/>
          <tpl hier="236" item="0"/>
          <tpl fld="4" item="4"/>
        </tpls>
      </n>
      <m>
        <tpls c="4">
          <tpl fld="7" item="620"/>
          <tpl fld="6" item="1"/>
          <tpl hier="236" item="0"/>
          <tpl fld="4" item="1"/>
        </tpls>
      </m>
      <n v="2" in="1">
        <tpls c="4">
          <tpl fld="7" item="783"/>
          <tpl fld="6" item="1"/>
          <tpl hier="236" item="0"/>
          <tpl fld="4" item="4"/>
        </tpls>
      </n>
      <m>
        <tpls c="4">
          <tpl fld="7" item="1187"/>
          <tpl fld="6" item="1"/>
          <tpl hier="236" item="0"/>
          <tpl fld="4" item="6"/>
        </tpls>
      </m>
      <m>
        <tpls c="4">
          <tpl fld="7" item="786"/>
          <tpl fld="6" item="1"/>
          <tpl hier="236" item="0"/>
          <tpl fld="4" item="4"/>
        </tpls>
      </m>
      <m>
        <tpls c="4">
          <tpl fld="7" item="1091"/>
          <tpl fld="6" item="1"/>
          <tpl hier="236" item="0"/>
          <tpl fld="4" item="6"/>
        </tpls>
      </m>
      <m>
        <tpls c="4">
          <tpl fld="7" item="707"/>
          <tpl fld="6" item="2"/>
          <tpl hier="236" item="0"/>
          <tpl fld="4" item="1"/>
        </tpls>
      </m>
      <m>
        <tpls c="4">
          <tpl fld="7" item="791"/>
          <tpl fld="6" item="2"/>
          <tpl hier="236" item="0"/>
          <tpl fld="4" item="1"/>
        </tpls>
      </m>
      <m>
        <tpls c="4">
          <tpl fld="7" item="711"/>
          <tpl fld="6" item="2"/>
          <tpl hier="236" item="0"/>
          <tpl fld="4" item="5"/>
        </tpls>
      </m>
      <m>
        <tpls c="4">
          <tpl fld="7" item="990"/>
          <tpl fld="6" item="2"/>
          <tpl hier="236" item="0"/>
          <tpl fld="4" item="1"/>
        </tpls>
      </m>
      <m>
        <tpls c="4">
          <tpl fld="7" item="714"/>
          <tpl fld="6" item="2"/>
          <tpl hier="236" item="0"/>
          <tpl fld="4" item="5"/>
        </tpls>
      </m>
      <m>
        <tpls c="4">
          <tpl fld="7" item="887"/>
          <tpl fld="6" item="2"/>
          <tpl hier="236" item="0"/>
          <tpl fld="4" item="1"/>
        </tpls>
      </m>
      <n v="161" in="1">
        <tpls c="6">
          <tpl fld="3" item="3"/>
          <tpl fld="11" item="0"/>
          <tpl fld="6" item="1"/>
          <tpl hier="236" item="0"/>
          <tpl fld="4" item="7"/>
          <tpl fld="10" item="0"/>
        </tpls>
      </n>
      <m>
        <tpls c="4">
          <tpl fld="7" item="273"/>
          <tpl fld="6" item="1"/>
          <tpl hier="236" item="0"/>
          <tpl fld="1" item="0"/>
        </tpls>
      </m>
      <m>
        <tpls c="4">
          <tpl fld="7" item="249"/>
          <tpl fld="6" item="2"/>
          <tpl hier="236" item="0"/>
          <tpl fld="4" item="4"/>
        </tpls>
      </m>
      <m>
        <tpls c="4">
          <tpl fld="7" item="272"/>
          <tpl fld="6" item="2"/>
          <tpl hier="236" item="0"/>
          <tpl fld="4" item="6"/>
        </tpls>
      </m>
      <m>
        <tpls c="4">
          <tpl fld="7" item="300"/>
          <tpl fld="6" item="1"/>
          <tpl hier="236" item="0"/>
          <tpl fld="4" item="4"/>
        </tpls>
      </m>
      <n v="170" in="1">
        <tpls c="6">
          <tpl fld="11" item="0"/>
          <tpl fld="2" item="1"/>
          <tpl fld="6" item="1"/>
          <tpl hier="236" item="0"/>
          <tpl fld="4" item="1"/>
          <tpl fld="9" item="3"/>
        </tpls>
      </n>
      <m>
        <tpls c="4">
          <tpl fld="7" item="23"/>
          <tpl fld="6" item="1"/>
          <tpl hier="236" item="0"/>
          <tpl fld="4" item="4"/>
        </tpls>
      </m>
      <m>
        <tpls c="4">
          <tpl fld="7" item="44"/>
          <tpl fld="6" item="1"/>
          <tpl hier="236" item="0"/>
          <tpl fld="4" item="4"/>
        </tpls>
      </m>
      <m>
        <tpls c="4">
          <tpl fld="7" item="54"/>
          <tpl fld="6" item="1"/>
          <tpl hier="236" item="0"/>
          <tpl fld="4" item="4"/>
        </tpls>
      </m>
      <m>
        <tpls c="4">
          <tpl fld="7" item="71"/>
          <tpl fld="6" item="1"/>
          <tpl hier="236" item="0"/>
          <tpl fld="4" item="4"/>
        </tpls>
      </m>
      <m>
        <tpls c="4">
          <tpl fld="7" item="306"/>
          <tpl fld="6" item="1"/>
          <tpl hier="236" item="0"/>
          <tpl fld="4" item="6"/>
        </tpls>
      </m>
      <n v="3933" in="1">
        <tpls c="5">
          <tpl fld="11" item="0"/>
          <tpl fld="6" item="1"/>
          <tpl hier="236" item="0"/>
          <tpl fld="4" item="1"/>
          <tpl fld="9" item="4"/>
        </tpls>
      </n>
      <m>
        <tpls c="4">
          <tpl fld="7" item="72"/>
          <tpl fld="6" item="2"/>
          <tpl hier="236" item="0"/>
          <tpl fld="4" item="1"/>
        </tpls>
      </m>
      <m>
        <tpls c="4">
          <tpl fld="7" item="427"/>
          <tpl fld="6" item="2"/>
          <tpl hier="236" item="0"/>
          <tpl fld="4" item="1"/>
        </tpls>
      </m>
      <m>
        <tpls c="4">
          <tpl fld="7" item="443"/>
          <tpl fld="6" item="2"/>
          <tpl hier="236" item="0"/>
          <tpl fld="4" item="1"/>
        </tpls>
      </m>
      <m>
        <tpls c="4">
          <tpl fld="7" item="458"/>
          <tpl fld="6" item="1"/>
          <tpl hier="236" item="0"/>
          <tpl fld="4" item="6"/>
        </tpls>
      </m>
      <m>
        <tpls c="3">
          <tpl fld="7" item="686"/>
          <tpl fld="6" item="3"/>
          <tpl hier="236" item="0"/>
        </tpls>
      </m>
      <n v="1319" in="1">
        <tpls c="6">
          <tpl fld="11" item="0"/>
          <tpl fld="6" item="1"/>
          <tpl fld="8" item="1"/>
          <tpl hier="236" item="0"/>
          <tpl fld="4" item="6"/>
          <tpl fld="10" item="0"/>
        </tpls>
      </n>
      <m>
        <tpls c="4">
          <tpl fld="7" item="73"/>
          <tpl fld="6" item="2"/>
          <tpl hier="236" item="0"/>
          <tpl fld="4" item="1"/>
        </tpls>
      </m>
      <m>
        <tpls c="4">
          <tpl fld="7" item="596"/>
          <tpl fld="6" item="2"/>
          <tpl hier="236" item="0"/>
          <tpl fld="4" item="1"/>
        </tpls>
      </m>
      <n v="0.3" in="2">
        <tpls c="4">
          <tpl fld="7" item="600"/>
          <tpl fld="6" item="2"/>
          <tpl hier="236" item="0"/>
          <tpl fld="4" item="1"/>
        </tpls>
      </n>
      <n v="1" in="1">
        <tpls c="4">
          <tpl fld="7" item="458"/>
          <tpl fld="6" item="1"/>
          <tpl hier="236" item="0"/>
          <tpl fld="4" item="1"/>
        </tpls>
      </n>
      <n v="0.25" in="2">
        <tpls c="4">
          <tpl fld="7" item="465"/>
          <tpl fld="6" item="2"/>
          <tpl hier="236" item="0"/>
          <tpl fld="4" item="4"/>
        </tpls>
      </n>
      <n v="1" in="1">
        <tpls c="4">
          <tpl fld="7" item="768"/>
          <tpl fld="6" item="1"/>
          <tpl hier="236" item="0"/>
          <tpl fld="4" item="4"/>
        </tpls>
      </n>
      <m>
        <tpls c="4">
          <tpl fld="7" item="880"/>
          <tpl fld="6" item="2"/>
          <tpl hier="236" item="0"/>
          <tpl fld="4" item="6"/>
        </tpls>
      </m>
      <m>
        <tpls c="4">
          <tpl fld="7" item="4"/>
          <tpl fld="6" item="1"/>
          <tpl hier="236" item="0"/>
          <tpl fld="4" item="4"/>
        </tpls>
      </m>
      <m>
        <tpls c="3">
          <tpl fld="7" item="253"/>
          <tpl fld="6" item="3"/>
          <tpl hier="236" item="0"/>
        </tpls>
      </m>
      <m>
        <tpls c="4">
          <tpl fld="7" item="157"/>
          <tpl fld="6" item="1"/>
          <tpl hier="236" item="0"/>
          <tpl fld="4" item="5"/>
        </tpls>
      </m>
      <m>
        <tpls c="4">
          <tpl fld="7" item="876"/>
          <tpl fld="6" item="1"/>
          <tpl hier="236" item="0"/>
          <tpl fld="4" item="4"/>
        </tpls>
      </m>
      <m>
        <tpls c="3">
          <tpl fld="7" item="291"/>
          <tpl fld="6" item="3"/>
          <tpl hier="236" item="0"/>
        </tpls>
      </m>
      <m>
        <tpls c="3">
          <tpl fld="7" item="195"/>
          <tpl fld="6" item="3"/>
          <tpl hier="236" item="0"/>
        </tpls>
      </m>
      <m>
        <tpls c="3">
          <tpl fld="7" item="207"/>
          <tpl fld="6" item="3"/>
          <tpl hier="236" item="0"/>
        </tpls>
      </m>
      <m>
        <tpls c="3">
          <tpl fld="7" item="756"/>
          <tpl fld="6" item="3"/>
          <tpl hier="236" item="0"/>
        </tpls>
      </m>
      <m>
        <tpls c="3">
          <tpl fld="7" item="323"/>
          <tpl fld="6" item="3"/>
          <tpl hier="236" item="0"/>
        </tpls>
      </m>
      <m>
        <tpls c="4">
          <tpl fld="7" item="495"/>
          <tpl fld="6" item="2"/>
          <tpl hier="236" item="0"/>
          <tpl fld="4" item="1"/>
        </tpls>
      </m>
      <m>
        <tpls c="4">
          <tpl fld="7" item="357"/>
          <tpl fld="6" item="1"/>
          <tpl hier="236" item="0"/>
          <tpl fld="4" item="4"/>
        </tpls>
      </m>
      <n v="1.3" in="2">
        <tpls c="4">
          <tpl fld="7" item="360"/>
          <tpl fld="6" item="2"/>
          <tpl hier="236" item="0"/>
          <tpl fld="4" item="4"/>
        </tpls>
      </n>
      <n v="1" in="1">
        <tpls c="4">
          <tpl fld="7" item="434"/>
          <tpl fld="6" item="1"/>
          <tpl hier="236" item="0"/>
          <tpl fld="4" item="6"/>
        </tpls>
      </n>
      <n v="1" in="3">
        <tpls c="3">
          <tpl fld="7" item="760"/>
          <tpl fld="6" item="3"/>
          <tpl hier="236" item="0"/>
        </tpls>
      </n>
      <m>
        <tpls c="4">
          <tpl fld="7" item="511"/>
          <tpl fld="6" item="2"/>
          <tpl hier="236" item="0"/>
          <tpl fld="4" item="1"/>
        </tpls>
      </m>
      <n v="1" in="1">
        <tpls c="4">
          <tpl fld="7" item="373"/>
          <tpl fld="6" item="1"/>
          <tpl hier="236" item="0"/>
          <tpl fld="4" item="4"/>
        </tpls>
      </n>
      <n v="5.8868243243243246" in="2">
        <tpls c="4">
          <tpl fld="7" item="376"/>
          <tpl fld="6" item="2"/>
          <tpl hier="236" item="0"/>
          <tpl fld="4" item="4"/>
        </tpls>
      </n>
      <m>
        <tpls c="4">
          <tpl fld="7" item="450"/>
          <tpl fld="6" item="1"/>
          <tpl hier="236" item="0"/>
          <tpl fld="4" item="6"/>
        </tpls>
      </m>
      <m>
        <tpls c="3">
          <tpl fld="7" item="764"/>
          <tpl fld="6" item="3"/>
          <tpl hier="236" item="0"/>
        </tpls>
      </m>
      <m>
        <tpls c="4">
          <tpl fld="7" item="527"/>
          <tpl fld="6" item="2"/>
          <tpl hier="236" item="0"/>
          <tpl fld="4" item="1"/>
        </tpls>
      </m>
      <n v="1" in="1">
        <tpls c="4">
          <tpl fld="7" item="879"/>
          <tpl fld="6" item="1"/>
          <tpl hier="236" item="0"/>
          <tpl fld="1" item="0"/>
        </tpls>
      </n>
      <m>
        <tpls c="4">
          <tpl fld="7" item="389"/>
          <tpl fld="6" item="2"/>
          <tpl hier="236" item="0"/>
          <tpl fld="4" item="4"/>
        </tpls>
      </m>
      <m>
        <tpls c="3">
          <tpl fld="7" item="766"/>
          <tpl fld="6" item="3"/>
          <tpl hier="236" item="0"/>
        </tpls>
      </m>
      <m>
        <tpls c="4">
          <tpl fld="7" item="392"/>
          <tpl fld="6" item="1"/>
          <tpl hier="236" item="0"/>
          <tpl fld="4" item="4"/>
        </tpls>
      </m>
      <m>
        <tpls c="4">
          <tpl fld="7" item="464"/>
          <tpl fld="6" item="2"/>
          <tpl hier="236" item="0"/>
          <tpl fld="4" item="5"/>
        </tpls>
      </m>
      <m>
        <tpls c="4">
          <tpl fld="7" item="536"/>
          <tpl fld="6" item="2"/>
          <tpl hier="236" item="0"/>
          <tpl fld="4" item="6"/>
        </tpls>
      </m>
      <m>
        <tpls c="4">
          <tpl fld="7" item="768"/>
          <tpl fld="6" item="1"/>
          <tpl hier="236" item="0"/>
          <tpl fld="4" item="5"/>
        </tpls>
      </m>
      <n v="22" in="1">
        <tpls c="4">
          <tpl fld="7" item="539"/>
          <tpl fld="6" item="1"/>
          <tpl hier="236" item="0"/>
          <tpl fld="4" item="6"/>
        </tpls>
      </n>
      <m>
        <tpls c="4">
          <tpl fld="7" item="984"/>
          <tpl fld="6" item="2"/>
          <tpl hier="236" item="0"/>
          <tpl fld="4" item="1"/>
        </tpls>
      </m>
      <n v="2" in="2">
        <tpls c="4">
          <tpl fld="7" item="1087"/>
          <tpl fld="6" item="2"/>
          <tpl hier="236" item="0"/>
          <tpl fld="1" item="0"/>
        </tpls>
      </n>
      <n v="4" in="1">
        <tpls c="4">
          <tpl fld="7" item="1212"/>
          <tpl fld="6" item="1"/>
          <tpl hier="236" item="0"/>
          <tpl fld="4" item="1"/>
        </tpls>
      </n>
      <n v="5" in="1">
        <tpls c="4">
          <tpl fld="7" item="612"/>
          <tpl fld="6" item="1"/>
          <tpl hier="236" item="0"/>
          <tpl fld="1" item="0"/>
        </tpls>
      </n>
      <m>
        <tpls c="4">
          <tpl fld="7" item="613"/>
          <tpl fld="6" item="2"/>
          <tpl hier="236" item="0"/>
          <tpl fld="4" item="4"/>
        </tpls>
      </m>
      <m>
        <tpls c="4">
          <tpl fld="7" item="37"/>
          <tpl fld="6" item="2"/>
          <tpl hier="236" item="0"/>
          <tpl fld="4" item="1"/>
        </tpls>
      </m>
      <m>
        <tpls c="4">
          <tpl fld="7" item="190"/>
          <tpl fld="6" item="1"/>
          <tpl hier="236" item="0"/>
          <tpl fld="4" item="4"/>
        </tpls>
      </m>
      <m>
        <tpls c="4">
          <tpl fld="7" item="423"/>
          <tpl fld="6" item="2"/>
          <tpl hier="236" item="0"/>
          <tpl fld="4" item="4"/>
        </tpls>
      </m>
      <n v="2" in="1">
        <tpls c="4">
          <tpl fld="7" item="436"/>
          <tpl fld="6" item="1"/>
          <tpl hier="236" item="0"/>
          <tpl fld="4" item="4"/>
        </tpls>
      </n>
      <n v="0.4" in="2">
        <tpls c="4">
          <tpl fld="7" item="378"/>
          <tpl fld="6" item="2"/>
          <tpl hier="236" item="0"/>
          <tpl fld="4" item="1"/>
        </tpls>
      </n>
      <m>
        <tpls c="4">
          <tpl fld="7" item="459"/>
          <tpl fld="6" item="2"/>
          <tpl hier="236" item="0"/>
          <tpl fld="1" item="0"/>
        </tpls>
      </m>
      <m>
        <tpls c="3">
          <tpl fld="7" item="465"/>
          <tpl fld="6" item="3"/>
          <tpl hier="236" item="0"/>
        </tpls>
      </m>
      <n v="5" in="1">
        <tpls c="4">
          <tpl fld="7" item="984"/>
          <tpl fld="6" item="1"/>
          <tpl hier="236" item="0"/>
          <tpl fld="1" item="0"/>
        </tpls>
      </n>
      <m>
        <tpls c="3">
          <tpl fld="7" item="611"/>
          <tpl fld="6" item="3"/>
          <tpl hier="236" item="0"/>
        </tpls>
      </m>
      <m>
        <tpls c="4">
          <tpl fld="7" item="774"/>
          <tpl fld="6" item="2"/>
          <tpl hier="236" item="0"/>
          <tpl fld="4" item="4"/>
        </tpls>
      </m>
      <m>
        <tpls c="4">
          <tpl fld="7" item="1088"/>
          <tpl fld="6" item="1"/>
          <tpl hier="236" item="0"/>
          <tpl fld="1" item="0"/>
        </tpls>
      </m>
      <m>
        <tpls c="4">
          <tpl fld="7" item="615"/>
          <tpl fld="6" item="2"/>
          <tpl hier="236" item="0"/>
          <tpl fld="4" item="4"/>
        </tpls>
      </m>
      <m>
        <tpls c="3">
          <tpl fld="7" item="616"/>
          <tpl fld="6" item="3"/>
          <tpl hier="236" item="0"/>
        </tpls>
      </m>
      <n v="5" in="1">
        <tpls c="4">
          <tpl fld="7" item="697"/>
          <tpl fld="6" item="1"/>
          <tpl hier="236" item="0"/>
          <tpl fld="4" item="4"/>
        </tpls>
      </n>
      <m>
        <tpls c="4">
          <tpl fld="7" item="553"/>
          <tpl fld="6" item="2"/>
          <tpl hier="236" item="0"/>
          <tpl fld="4" item="5"/>
        </tpls>
      </m>
      <m>
        <tpls c="4">
          <tpl fld="7" item="699"/>
          <tpl fld="6" item="2"/>
          <tpl hier="236" item="0"/>
          <tpl fld="4" item="6"/>
        </tpls>
      </m>
      <m>
        <tpls c="4">
          <tpl fld="7" item="556"/>
          <tpl fld="6" item="1"/>
          <tpl hier="236" item="0"/>
          <tpl fld="4" item="5"/>
        </tpls>
      </m>
      <n v="1" in="1">
        <tpls c="4">
          <tpl fld="7" item="783"/>
          <tpl fld="6" item="1"/>
          <tpl hier="236" item="0"/>
          <tpl fld="4" item="6"/>
        </tpls>
      </n>
      <m>
        <tpls c="4">
          <tpl fld="7" item="559"/>
          <tpl fld="6" item="2"/>
          <tpl hier="236" item="0"/>
          <tpl fld="4" item="1"/>
        </tpls>
      </m>
      <m>
        <tpls c="4">
          <tpl fld="7" item="785"/>
          <tpl fld="6" item="2"/>
          <tpl hier="236" item="0"/>
          <tpl fld="1" item="0"/>
        </tpls>
      </m>
      <n v="9" in="1">
        <tpls c="4">
          <tpl fld="7" item="988"/>
          <tpl fld="6" item="1"/>
          <tpl hier="236" item="0"/>
          <tpl fld="4" item="1"/>
        </tpls>
      </n>
      <m>
        <tpls c="4">
          <tpl fld="7" item="1091"/>
          <tpl fld="6" item="1"/>
          <tpl hier="236" item="0"/>
          <tpl fld="1" item="0"/>
        </tpls>
      </m>
      <m>
        <tpls c="4">
          <tpl fld="7" item="627"/>
          <tpl fld="6" item="2"/>
          <tpl hier="236" item="0"/>
          <tpl fld="4" item="6"/>
        </tpls>
      </m>
      <m>
        <tpls c="4">
          <tpl fld="7" item="790"/>
          <tpl fld="6" item="2"/>
          <tpl hier="236" item="0"/>
          <tpl fld="4" item="6"/>
        </tpls>
      </m>
      <m>
        <tpls c="4">
          <tpl fld="7" item="630"/>
          <tpl fld="6" item="2"/>
          <tpl hier="236" item="0"/>
          <tpl fld="4" item="6"/>
        </tpls>
      </m>
      <m>
        <tpls c="4">
          <tpl fld="7" item="793"/>
          <tpl fld="6" item="2"/>
          <tpl hier="236" item="0"/>
          <tpl fld="4" item="1"/>
        </tpls>
      </m>
      <n v="0.2" in="2">
        <tpls c="4">
          <tpl fld="7" item="572"/>
          <tpl fld="6" item="2"/>
          <tpl hier="236" item="0"/>
          <tpl fld="1" item="0"/>
        </tpls>
      </n>
      <m>
        <tpls c="4">
          <tpl fld="7" item="795"/>
          <tpl fld="6" item="1"/>
          <tpl hier="236" item="0"/>
          <tpl fld="4" item="1"/>
        </tpls>
      </m>
      <m>
        <tpls c="4">
          <tpl fld="7" item="575"/>
          <tpl fld="6" item="1"/>
          <tpl hier="236" item="0"/>
          <tpl fld="1" item="0"/>
        </tpls>
      </m>
      <m>
        <tpls c="4">
          <tpl fld="7" item="887"/>
          <tpl fld="6" item="2"/>
          <tpl hier="236" item="0"/>
          <tpl fld="4" item="4"/>
        </tpls>
      </m>
      <m>
        <tpls c="3">
          <tpl fld="7" item="578"/>
          <tpl fld="6" item="3"/>
          <tpl hier="236" item="0"/>
        </tpls>
      </m>
      <m>
        <tpls c="4">
          <tpl fld="7" item="638"/>
          <tpl fld="6" item="1"/>
          <tpl hier="236" item="0"/>
          <tpl fld="4" item="4"/>
        </tpls>
      </m>
      <m>
        <tpls c="4">
          <tpl fld="7" item="127"/>
          <tpl fld="6" item="1"/>
          <tpl hier="236" item="0"/>
          <tpl fld="4" item="4"/>
        </tpls>
      </m>
      <m>
        <tpls c="4">
          <tpl fld="7" item="178"/>
          <tpl fld="6" item="1"/>
          <tpl hier="236" item="0"/>
          <tpl fld="4" item="4"/>
        </tpls>
      </m>
      <m>
        <tpls c="4">
          <tpl fld="7" item="351"/>
          <tpl fld="6" item="2"/>
          <tpl hier="236" item="0"/>
          <tpl fld="4" item="4"/>
        </tpls>
      </m>
      <m>
        <tpls c="4">
          <tpl fld="7" item="433"/>
          <tpl fld="6" item="1"/>
          <tpl hier="236" item="0"/>
          <tpl fld="4" item="4"/>
        </tpls>
      </m>
      <n v="7.0556756756756744" in="2">
        <tpls c="4">
          <tpl fld="7" item="375"/>
          <tpl fld="6" item="2"/>
          <tpl hier="236" item="0"/>
          <tpl fld="4" item="1"/>
        </tpls>
      </n>
      <m>
        <tpls c="4">
          <tpl fld="7" item="387"/>
          <tpl fld="6" item="1"/>
          <tpl hier="236" item="0"/>
          <tpl fld="4" item="5"/>
        </tpls>
      </m>
      <n v="0" in="1">
        <tpls c="4">
          <tpl fld="7" item="534"/>
          <tpl fld="6" item="1"/>
          <tpl hier="236" item="0"/>
          <tpl fld="4" item="1"/>
        </tpls>
      </n>
      <n v="1" in="2">
        <tpls c="4">
          <tpl fld="7" item="688"/>
          <tpl fld="6" item="2"/>
          <tpl hier="236" item="0"/>
          <tpl fld="4" item="5"/>
        </tpls>
      </n>
      <n v="1" in="1">
        <tpls c="4">
          <tpl fld="7" item="772"/>
          <tpl fld="6" item="1"/>
          <tpl hier="236" item="0"/>
          <tpl fld="4" item="5"/>
        </tpls>
      </n>
      <n v="1" in="1">
        <tpls c="4">
          <tpl fld="7" item="545"/>
          <tpl fld="6" item="1"/>
          <tpl hier="236" item="0"/>
          <tpl fld="1" item="0"/>
        </tpls>
      </n>
      <m>
        <tpls c="3">
          <tpl fld="7" item="547"/>
          <tpl fld="6" item="3"/>
          <tpl hier="236" item="0"/>
        </tpls>
      </m>
      <n v="5" in="1">
        <tpls c="4">
          <tpl fld="7" item="1238"/>
          <tpl fld="6" item="1"/>
          <tpl hier="236" item="0"/>
          <tpl fld="4" item="4"/>
        </tpls>
      </n>
      <m>
        <tpls c="4">
          <tpl fld="7" item="882"/>
          <tpl fld="6" item="2"/>
          <tpl hier="236" item="0"/>
          <tpl fld="4" item="5"/>
        </tpls>
      </m>
      <m>
        <tpls c="4">
          <tpl fld="7" item="986"/>
          <tpl fld="6" item="2"/>
          <tpl hier="236" item="0"/>
          <tpl fld="4" item="6"/>
        </tpls>
      </m>
      <m>
        <tpls c="4">
          <tpl fld="7" item="618"/>
          <tpl fld="6" item="1"/>
          <tpl hier="236" item="0"/>
          <tpl fld="4" item="5"/>
        </tpls>
      </m>
      <m>
        <tpls c="4">
          <tpl fld="7" item="619"/>
          <tpl fld="6" item="1"/>
          <tpl hier="236" item="0"/>
          <tpl fld="4" item="6"/>
        </tpls>
      </m>
      <m>
        <tpls c="4">
          <tpl fld="7" item="700"/>
          <tpl fld="6" item="2"/>
          <tpl hier="236" item="0"/>
          <tpl fld="4" item="1"/>
        </tpls>
      </m>
      <m>
        <tpls c="4">
          <tpl fld="7" item="557"/>
          <tpl fld="6" item="2"/>
          <tpl hier="236" item="0"/>
          <tpl fld="1" item="0"/>
        </tpls>
      </m>
      <m>
        <tpls c="4">
          <tpl fld="7" item="702"/>
          <tpl fld="6" item="1"/>
          <tpl hier="236" item="0"/>
          <tpl fld="4" item="1"/>
        </tpls>
      </m>
      <n v="3" in="1">
        <tpls c="4">
          <tpl fld="7" item="560"/>
          <tpl fld="6" item="1"/>
          <tpl hier="236" item="0"/>
          <tpl fld="1" item="0"/>
        </tpls>
      </n>
      <m>
        <tpls c="4">
          <tpl fld="7" item="786"/>
          <tpl fld="6" item="2"/>
          <tpl hier="236" item="0"/>
          <tpl fld="4" item="4"/>
        </tpls>
      </m>
      <m>
        <tpls c="3">
          <tpl fld="7" item="563"/>
          <tpl fld="6" item="3"/>
          <tpl hier="236" item="0"/>
        </tpls>
      </m>
      <n v="21" in="1">
        <tpls c="4">
          <tpl fld="7" item="1213"/>
          <tpl fld="6" item="1"/>
          <tpl hier="236" item="0"/>
          <tpl fld="4" item="4"/>
        </tpls>
      </n>
      <n v="3" in="1">
        <tpls c="4">
          <tpl fld="7" item="628"/>
          <tpl fld="6" item="1"/>
          <tpl hier="236" item="0"/>
          <tpl fld="4" item="1"/>
        </tpls>
      </n>
      <m>
        <tpls c="4">
          <tpl fld="7" item="791"/>
          <tpl fld="6" item="1"/>
          <tpl hier="236" item="0"/>
          <tpl fld="4" item="1"/>
        </tpls>
      </m>
      <m>
        <tpls c="4">
          <tpl fld="7" item="631"/>
          <tpl fld="6" item="1"/>
          <tpl hier="236" item="0"/>
          <tpl fld="4" item="1"/>
        </tpls>
      </m>
      <n v="1" in="1">
        <tpls c="4">
          <tpl fld="7" item="712"/>
          <tpl fld="6" item="1"/>
          <tpl hier="236" item="0"/>
          <tpl fld="1" item="0"/>
        </tpls>
      </n>
      <n v="0.96621621621621623" in="2">
        <tpls c="4">
          <tpl fld="7" item="713"/>
          <tpl fld="6" item="2"/>
          <tpl hier="236" item="0"/>
          <tpl fld="4" item="4"/>
        </tpls>
      </n>
      <m>
        <tpls c="3">
          <tpl fld="7" item="796"/>
          <tpl fld="6" item="3"/>
          <tpl hier="236" item="0"/>
        </tpls>
      </m>
      <n v="9" in="1">
        <tpls c="4">
          <tpl fld="7" item="797"/>
          <tpl fld="6" item="1"/>
          <tpl hier="236" item="0"/>
          <tpl fld="4" item="4"/>
        </tpls>
      </n>
      <m>
        <tpls c="4">
          <tpl fld="7" item="798"/>
          <tpl fld="6" item="2"/>
          <tpl hier="236" item="0"/>
          <tpl fld="4" item="5"/>
        </tpls>
      </m>
      <m>
        <tpls c="4">
          <tpl fld="7" item="579"/>
          <tpl fld="6" item="2"/>
          <tpl hier="236" item="0"/>
          <tpl fld="4" item="6"/>
        </tpls>
      </m>
      <m>
        <tpls c="4">
          <tpl fld="7" item="29"/>
          <tpl fld="6" item="2"/>
          <tpl hier="236" item="0"/>
          <tpl fld="4" item="1"/>
        </tpls>
      </m>
      <m>
        <tpls c="4">
          <tpl fld="7" item="182"/>
          <tpl fld="6" item="1"/>
          <tpl hier="236" item="0"/>
          <tpl fld="4" item="4"/>
        </tpls>
      </m>
      <m>
        <tpls c="4">
          <tpl fld="7" item="422"/>
          <tpl fld="6" item="2"/>
          <tpl hier="236" item="0"/>
          <tpl fld="4" item="4"/>
        </tpls>
      </m>
      <n v="11" in="1">
        <tpls c="4">
          <tpl fld="7" item="434"/>
          <tpl fld="6" item="1"/>
          <tpl hier="236" item="0"/>
          <tpl fld="4" item="4"/>
        </tpls>
      </n>
      <n v="10.837837837837839" in="2">
        <tpls c="4">
          <tpl fld="7" item="376"/>
          <tpl fld="6" item="2"/>
          <tpl hier="236" item="0"/>
          <tpl fld="4" item="1"/>
        </tpls>
      </n>
      <m>
        <tpls c="4">
          <tpl fld="7" item="879"/>
          <tpl fld="6" item="1"/>
          <tpl hier="236" item="0"/>
          <tpl fld="4" item="6"/>
        </tpls>
      </m>
      <n v="1" in="1">
        <tpls c="4">
          <tpl fld="7" item="464"/>
          <tpl fld="6" item="1"/>
          <tpl hier="236" item="0"/>
          <tpl fld="1" item="0"/>
        </tpls>
      </n>
      <n v="21" in="1">
        <tpls c="4">
          <tpl fld="7" item="540"/>
          <tpl fld="6" item="1"/>
          <tpl hier="236" item="0"/>
          <tpl fld="4" item="1"/>
        </tpls>
      </n>
      <n v="1.3" in="2">
        <tpls c="4">
          <tpl fld="7" item="543"/>
          <tpl fld="6" item="2"/>
          <tpl hier="236" item="0"/>
          <tpl fld="4" item="4"/>
        </tpls>
      </n>
      <m>
        <tpls c="3">
          <tpl fld="7" item="692"/>
          <tpl fld="6" item="3"/>
          <tpl hier="236" item="0"/>
        </tpls>
      </m>
      <m>
        <tpls c="4">
          <tpl fld="7" item="547"/>
          <tpl fld="6" item="2"/>
          <tpl hier="236" item="0"/>
          <tpl fld="4" item="6"/>
        </tpls>
      </m>
      <m>
        <tpls c="4">
          <tpl fld="7" item="1238"/>
          <tpl fld="6" item="1"/>
          <tpl hier="236" item="0"/>
          <tpl fld="4" item="5"/>
        </tpls>
      </m>
      <m>
        <tpls c="4">
          <tpl fld="7" item="550"/>
          <tpl fld="6" item="1"/>
          <tpl hier="236" item="0"/>
          <tpl fld="4" item="6"/>
        </tpls>
      </m>
      <m>
        <tpls c="4">
          <tpl fld="7" item="617"/>
          <tpl fld="6" item="2"/>
          <tpl hier="236" item="0"/>
          <tpl fld="4" item="1"/>
        </tpls>
      </m>
      <m>
        <tpls c="3">
          <tpl fld="7" item="969"/>
          <tpl fld="6" item="3"/>
          <tpl hier="236" item="0"/>
        </tpls>
      </m>
      <m>
        <tpls c="4">
          <tpl fld="7" item="336"/>
          <tpl fld="6" item="2"/>
          <tpl hier="236" item="0"/>
          <tpl fld="4" item="6"/>
        </tpls>
      </m>
      <n v="0.44999999999999996" in="2">
        <tpls c="6">
          <tpl fld="3" item="1"/>
          <tpl fld="11" item="0"/>
          <tpl fld="6" item="2"/>
          <tpl hier="236" item="0"/>
          <tpl fld="4" item="4"/>
          <tpl fld="10" item="1"/>
        </tpls>
      </n>
      <m>
        <tpls c="4">
          <tpl fld="7" item="480"/>
          <tpl fld="6" item="1"/>
          <tpl hier="236" item="0"/>
          <tpl fld="4" item="4"/>
        </tpls>
      </m>
      <m>
        <tpls c="4">
          <tpl fld="7" item="30"/>
          <tpl fld="6" item="2"/>
          <tpl hier="236" item="0"/>
          <tpl fld="4" item="1"/>
        </tpls>
      </m>
      <m>
        <tpls c="4">
          <tpl fld="7" item="447"/>
          <tpl fld="6" item="2"/>
          <tpl hier="236" item="0"/>
          <tpl fld="4" item="1"/>
        </tpls>
      </m>
      <m>
        <tpls c="4">
          <tpl fld="7" item="31"/>
          <tpl fld="6" item="2"/>
          <tpl hier="236" item="0"/>
          <tpl fld="4" item="1"/>
        </tpls>
      </m>
      <n v="0.75" in="2">
        <tpls c="4">
          <tpl fld="7" item="601"/>
          <tpl fld="6" item="2"/>
          <tpl hier="236" item="0"/>
          <tpl fld="4" item="1"/>
        </tpls>
      </n>
      <m>
        <tpls c="3">
          <tpl fld="7" item="539"/>
          <tpl fld="6" item="3"/>
          <tpl hier="236" item="0"/>
        </tpls>
      </m>
      <m>
        <tpls c="4">
          <tpl fld="7" item="273"/>
          <tpl fld="6" item="1"/>
          <tpl hier="236" item="0"/>
          <tpl fld="4" item="5"/>
        </tpls>
      </m>
      <m>
        <tpls c="4">
          <tpl fld="7" item="319"/>
          <tpl fld="6" item="2"/>
          <tpl hier="236" item="0"/>
          <tpl fld="4" item="1"/>
        </tpls>
      </m>
      <n v="1" in="3">
        <tpls c="3">
          <tpl fld="7" item="981"/>
          <tpl fld="6" item="3"/>
          <tpl hier="236" item="0"/>
        </tpls>
      </n>
      <n v="2" in="1">
        <tpls c="4">
          <tpl fld="7" item="443"/>
          <tpl fld="6" item="1"/>
          <tpl hier="236" item="0"/>
          <tpl fld="4" item="6"/>
        </tpls>
      </n>
      <m>
        <tpls c="4">
          <tpl fld="7" item="385"/>
          <tpl fld="6" item="2"/>
          <tpl hier="236" item="0"/>
          <tpl fld="4" item="4"/>
        </tpls>
      </m>
      <m>
        <tpls c="4">
          <tpl fld="7" item="983"/>
          <tpl fld="6" item="2"/>
          <tpl hier="236" item="0"/>
          <tpl fld="1" item="0"/>
        </tpls>
      </m>
      <m>
        <tpls c="3">
          <tpl fld="7" item="769"/>
          <tpl fld="6" item="3"/>
          <tpl hier="236" item="0"/>
        </tpls>
      </m>
      <m>
        <tpls c="4">
          <tpl fld="7" item="881"/>
          <tpl fld="6" item="1"/>
          <tpl hier="236" item="0"/>
          <tpl fld="4" item="5"/>
        </tpls>
      </m>
      <m>
        <tpls c="4">
          <tpl fld="7" item="214"/>
          <tpl fld="6" item="2"/>
          <tpl hier="236" item="0"/>
          <tpl fld="4" item="1"/>
        </tpls>
      </m>
      <m>
        <tpls c="4">
          <tpl fld="7" item="393"/>
          <tpl fld="6" item="2"/>
          <tpl hier="236" item="0"/>
          <tpl fld="4" item="5"/>
        </tpls>
      </m>
      <m>
        <tpls c="4">
          <tpl fld="7" item="547"/>
          <tpl fld="6" item="1"/>
          <tpl hier="236" item="0"/>
          <tpl fld="4" item="5"/>
        </tpls>
      </m>
      <n v="1" in="1">
        <tpls c="4">
          <tpl fld="7" item="618"/>
          <tpl fld="6" item="1"/>
          <tpl hier="236" item="0"/>
          <tpl fld="4" item="1"/>
        </tpls>
      </n>
      <n v="4" in="1">
        <tpls c="4">
          <tpl fld="7" item="784"/>
          <tpl fld="6" item="1"/>
          <tpl hier="236" item="0"/>
          <tpl fld="4" item="4"/>
        </tpls>
      </n>
      <n v="9" in="1">
        <tpls c="4">
          <tpl fld="7" item="1213"/>
          <tpl fld="6" item="1"/>
          <tpl hier="236" item="0"/>
          <tpl fld="4" item="6"/>
        </tpls>
      </n>
      <m>
        <tpls c="4">
          <tpl fld="7" item="712"/>
          <tpl fld="6" item="2"/>
          <tpl hier="236" item="0"/>
          <tpl fld="4" item="5"/>
        </tpls>
      </m>
      <m>
        <tpls c="4">
          <tpl fld="7" item="991"/>
          <tpl fld="6" item="2"/>
          <tpl hier="236" item="0"/>
          <tpl fld="4" item="1"/>
        </tpls>
      </m>
      <m>
        <tpls c="4">
          <tpl fld="7" item="103"/>
          <tpl fld="6" item="1"/>
          <tpl hier="236" item="0"/>
          <tpl fld="4" item="6"/>
        </tpls>
      </m>
      <m>
        <tpls c="4">
          <tpl fld="7" item="533"/>
          <tpl fld="6" item="2"/>
          <tpl hier="236" item="0"/>
          <tpl fld="4" item="4"/>
        </tpls>
      </m>
      <m>
        <tpls c="4">
          <tpl fld="7" item="693"/>
          <tpl fld="6" item="2"/>
          <tpl hier="236" item="0"/>
          <tpl fld="1" item="0"/>
        </tpls>
      </m>
      <m>
        <tpls c="4">
          <tpl fld="7" item="1089"/>
          <tpl fld="6" item="2"/>
          <tpl hier="236" item="0"/>
          <tpl fld="4" item="4"/>
        </tpls>
      </m>
      <m>
        <tpls c="4">
          <tpl fld="7" item="622"/>
          <tpl fld="6" item="2"/>
          <tpl hier="236" item="0"/>
          <tpl fld="4" item="6"/>
        </tpls>
      </m>
      <n v="0.5" in="2">
        <tpls c="4">
          <tpl fld="7" item="564"/>
          <tpl fld="6" item="2"/>
          <tpl hier="236" item="0"/>
          <tpl fld="1" item="0"/>
        </tpls>
      </n>
      <m>
        <tpls c="4">
          <tpl fld="7" item="632"/>
          <tpl fld="6" item="1"/>
          <tpl hier="236" item="0"/>
          <tpl fld="4" item="5"/>
        </tpls>
      </m>
      <m>
        <tpls c="4">
          <tpl fld="7" item="577"/>
          <tpl fld="6" item="2"/>
          <tpl hier="236" item="0"/>
          <tpl fld="4" item="6"/>
        </tpls>
      </m>
      <m>
        <tpls c="4">
          <tpl fld="7" item="579"/>
          <tpl fld="6" item="1"/>
          <tpl hier="236" item="0"/>
          <tpl fld="4" item="6"/>
        </tpls>
      </m>
      <m>
        <tpls c="4">
          <tpl fld="7" item="44"/>
          <tpl fld="6" item="2"/>
          <tpl hier="236" item="0"/>
          <tpl fld="4" item="1"/>
        </tpls>
      </m>
      <m>
        <tpls c="4">
          <tpl fld="7" item="209"/>
          <tpl fld="6" item="1"/>
          <tpl hier="236" item="0"/>
          <tpl fld="4" item="4"/>
        </tpls>
      </m>
      <m>
        <tpls c="4">
          <tpl fld="7" item="433"/>
          <tpl fld="6" item="2"/>
          <tpl hier="236" item="0"/>
          <tpl fld="4" item="4"/>
        </tpls>
      </m>
      <m>
        <tpls c="4">
          <tpl fld="7" item="380"/>
          <tpl fld="6" item="2"/>
          <tpl hier="236" item="0"/>
          <tpl fld="4" item="1"/>
        </tpls>
      </m>
      <m>
        <tpls c="4">
          <tpl fld="7" item="391"/>
          <tpl fld="6" item="2"/>
          <tpl hier="236" item="0"/>
          <tpl fld="4" item="5"/>
        </tpls>
      </m>
      <n v="54" in="1">
        <tpls c="4">
          <tpl fld="7" item="540"/>
          <tpl fld="6" item="1"/>
          <tpl hier="236" item="0"/>
          <tpl fld="4" item="4"/>
        </tpls>
      </n>
      <m>
        <tpls c="4">
          <tpl fld="7" item="691"/>
          <tpl fld="6" item="2"/>
          <tpl hier="236" item="0"/>
          <tpl fld="4" item="5"/>
        </tpls>
      </m>
      <n v="7" in="1">
        <tpls c="4">
          <tpl fld="7" item="693"/>
          <tpl fld="6" item="1"/>
          <tpl hier="236" item="0"/>
          <tpl fld="4" item="4"/>
        </tpls>
      </n>
      <m>
        <tpls c="4">
          <tpl fld="7" item="1238"/>
          <tpl fld="6" item="2"/>
          <tpl hier="236" item="0"/>
          <tpl fld="4" item="1"/>
        </tpls>
      </m>
      <m>
        <tpls c="4">
          <tpl fld="7" item="696"/>
          <tpl fld="6" item="2"/>
          <tpl hier="236" item="0"/>
          <tpl fld="4" item="1"/>
        </tpls>
      </m>
      <m>
        <tpls c="4">
          <tpl fld="7" item="779"/>
          <tpl fld="6" item="1"/>
          <tpl hier="236" item="0"/>
          <tpl fld="4" item="1"/>
        </tpls>
      </m>
      <m>
        <tpls c="4">
          <tpl fld="7" item="1270"/>
          <tpl fld="6" item="2"/>
          <tpl hier="236" item="0"/>
          <tpl fld="1" item="0"/>
        </tpls>
      </m>
      <m>
        <tpls c="4">
          <tpl fld="7" item="883"/>
          <tpl fld="6" item="1"/>
          <tpl hier="236" item="0"/>
          <tpl fld="4" item="1"/>
        </tpls>
      </m>
      <n v="2" in="1">
        <tpls c="4">
          <tpl fld="7" item="621"/>
          <tpl fld="6" item="1"/>
          <tpl hier="236" item="0"/>
          <tpl fld="1" item="0"/>
        </tpls>
      </n>
      <m>
        <tpls c="4">
          <tpl fld="7" item="622"/>
          <tpl fld="6" item="2"/>
          <tpl hier="236" item="0"/>
          <tpl fld="4" item="4"/>
        </tpls>
      </m>
      <m>
        <tpls c="3">
          <tpl fld="7" item="703"/>
          <tpl fld="6" item="3"/>
          <tpl hier="236" item="0"/>
        </tpls>
      </m>
      <n v="7" in="1">
        <tpls c="4">
          <tpl fld="7" item="704"/>
          <tpl fld="6" item="1"/>
          <tpl hier="236" item="0"/>
          <tpl fld="4" item="4"/>
        </tpls>
      </n>
      <m>
        <tpls c="4">
          <tpl fld="7" item="705"/>
          <tpl fld="6" item="2"/>
          <tpl hier="236" item="0"/>
          <tpl fld="4" item="5"/>
        </tpls>
      </m>
      <m>
        <tpls c="4">
          <tpl fld="7" item="564"/>
          <tpl fld="6" item="2"/>
          <tpl hier="236" item="0"/>
          <tpl fld="4" item="6"/>
        </tpls>
      </m>
      <m>
        <tpls c="4">
          <tpl fld="7" item="885"/>
          <tpl fld="6" item="2"/>
          <tpl hier="236" item="0"/>
          <tpl fld="4" item="5"/>
        </tpls>
      </m>
      <m>
        <tpls c="4">
          <tpl fld="7" item="709"/>
          <tpl fld="6" item="2"/>
          <tpl hier="236" item="0"/>
          <tpl fld="4" item="5"/>
        </tpls>
      </m>
      <m>
        <tpls c="4">
          <tpl fld="7" item="1239"/>
          <tpl fld="6" item="2"/>
          <tpl hier="236" item="0"/>
          <tpl fld="4" item="5"/>
        </tpls>
      </m>
      <m>
        <tpls c="3">
          <tpl fld="7" item="632"/>
          <tpl fld="6" item="3"/>
          <tpl hier="236" item="0"/>
        </tpls>
      </m>
      <n v="8" in="1">
        <tpls c="4">
          <tpl fld="7" item="573"/>
          <tpl fld="6" item="1"/>
          <tpl hier="236" item="0"/>
          <tpl fld="4" item="4"/>
        </tpls>
      </n>
      <m>
        <tpls c="4">
          <tpl fld="7" item="634"/>
          <tpl fld="6" item="2"/>
          <tpl hier="236" item="0"/>
          <tpl fld="4" item="5"/>
        </tpls>
      </m>
      <m>
        <tpls c="4">
          <tpl fld="7" item="715"/>
          <tpl fld="6" item="2"/>
          <tpl hier="236" item="0"/>
          <tpl fld="4" item="6"/>
        </tpls>
      </m>
      <m>
        <tpls c="4">
          <tpl fld="7" item="716"/>
          <tpl fld="6" item="1"/>
          <tpl hier="236" item="0"/>
          <tpl fld="4" item="5"/>
        </tpls>
      </m>
      <m>
        <tpls c="4">
          <tpl fld="7" item="799"/>
          <tpl fld="6" item="1"/>
          <tpl hier="236" item="0"/>
          <tpl fld="4" item="6"/>
        </tpls>
      </m>
      <m>
        <tpls c="4">
          <tpl fld="7" item="800"/>
          <tpl fld="6" item="2"/>
          <tpl hier="236" item="0"/>
          <tpl fld="4" item="1"/>
        </tpls>
      </m>
      <m>
        <tpls c="4">
          <tpl fld="7" item="801"/>
          <tpl fld="6" item="2"/>
          <tpl hier="236" item="0"/>
          <tpl fld="1" item="0"/>
        </tpls>
      </m>
      <m>
        <tpls c="4">
          <tpl fld="7" item="583"/>
          <tpl fld="6" item="1"/>
          <tpl hier="236" item="0"/>
          <tpl fld="4" item="1"/>
        </tpls>
      </m>
      <n v="39" in="1">
        <tpls c="4">
          <tpl fld="7" item="1095"/>
          <tpl fld="6" item="1"/>
          <tpl hier="236" item="0"/>
          <tpl fld="1" item="0"/>
        </tpls>
      </n>
      <m>
        <tpls c="4">
          <tpl fld="7" item="33"/>
          <tpl fld="6" item="2"/>
          <tpl hier="236" item="0"/>
          <tpl fld="4" item="1"/>
        </tpls>
      </m>
      <n v="0.97635135135135132" in="2">
        <tpls c="4">
          <tpl fld="7" item="377"/>
          <tpl fld="6" item="2"/>
          <tpl hier="236" item="0"/>
          <tpl fld="4" item="1"/>
        </tpls>
      </n>
      <n v="5" in="1">
        <tpls c="4">
          <tpl fld="7" item="1212"/>
          <tpl fld="6" item="1"/>
          <tpl hier="236" item="0"/>
          <tpl fld="4" item="6"/>
        </tpls>
      </n>
      <n v="2" in="1">
        <tpls c="4">
          <tpl fld="7" item="550"/>
          <tpl fld="6" item="1"/>
          <tpl hier="236" item="0"/>
          <tpl fld="4" item="1"/>
        </tpls>
      </n>
      <m>
        <tpls c="4">
          <tpl fld="7" item="556"/>
          <tpl fld="6" item="1"/>
          <tpl hier="236" item="0"/>
          <tpl fld="4" item="4"/>
        </tpls>
      </m>
      <n v="36" in="1">
        <tpls c="4">
          <tpl fld="7" item="988"/>
          <tpl fld="6" item="1"/>
          <tpl hier="236" item="0"/>
          <tpl fld="4" item="6"/>
        </tpls>
      </n>
      <m>
        <tpls c="4">
          <tpl fld="7" item="1092"/>
          <tpl fld="6" item="2"/>
          <tpl hier="236" item="0"/>
          <tpl fld="1" item="0"/>
        </tpls>
      </m>
      <m>
        <tpls c="4">
          <tpl fld="7" item="575"/>
          <tpl fld="6" item="2"/>
          <tpl hier="236" item="0"/>
          <tpl fld="4" item="1"/>
        </tpls>
      </m>
      <m>
        <tpls c="4">
          <tpl fld="7" item="800"/>
          <tpl fld="6" item="1"/>
          <tpl hier="236" item="0"/>
          <tpl fld="4" item="1"/>
        </tpls>
      </m>
      <m>
        <tpls c="4">
          <tpl fld="7" item="640"/>
          <tpl fld="6" item="1"/>
          <tpl hier="236" item="0"/>
          <tpl fld="1" item="0"/>
        </tpls>
      </m>
      <n v="13" in="1">
        <tpls c="4">
          <tpl fld="7" item="803"/>
          <tpl fld="6" item="1"/>
          <tpl hier="236" item="0"/>
          <tpl fld="4" item="6"/>
        </tpls>
      </n>
      <m>
        <tpls c="4">
          <tpl fld="7" item="586"/>
          <tpl fld="6" item="1"/>
          <tpl hier="236" item="0"/>
          <tpl fld="4" item="1"/>
        </tpls>
      </m>
      <n v="1" in="1">
        <tpls c="4">
          <tpl fld="7" item="644"/>
          <tpl fld="6" item="1"/>
          <tpl hier="236" item="0"/>
          <tpl fld="1" item="0"/>
        </tpls>
      </n>
      <m>
        <tpls c="4">
          <tpl fld="7" item="725"/>
          <tpl fld="6" item="2"/>
          <tpl hier="236" item="0"/>
          <tpl fld="4" item="4"/>
        </tpls>
      </m>
      <m>
        <tpls c="3">
          <tpl fld="7" item="1240"/>
          <tpl fld="6" item="3"/>
          <tpl hier="236" item="0"/>
        </tpls>
      </m>
      <n v="3" in="1">
        <tpls c="4">
          <tpl fld="7" item="728"/>
          <tpl fld="6" item="1"/>
          <tpl hier="236" item="0"/>
          <tpl fld="4" item="4"/>
        </tpls>
      </n>
      <m>
        <tpls c="4">
          <tpl fld="7" item="811"/>
          <tpl fld="6" item="2"/>
          <tpl hier="236" item="0"/>
          <tpl fld="4" item="5"/>
        </tpls>
      </m>
      <m>
        <tpls c="4">
          <tpl fld="7" item="651"/>
          <tpl fld="6" item="2"/>
          <tpl hier="236" item="0"/>
          <tpl fld="4" item="6"/>
        </tpls>
      </m>
      <m>
        <tpls c="4">
          <tpl fld="7" item="814"/>
          <tpl fld="6" item="1"/>
          <tpl hier="236" item="0"/>
          <tpl fld="4" item="5"/>
        </tpls>
      </m>
      <m>
        <tpls c="4">
          <tpl fld="7" item="654"/>
          <tpl fld="6" item="1"/>
          <tpl hier="236" item="0"/>
          <tpl fld="4" item="6"/>
        </tpls>
      </m>
      <m>
        <tpls c="4">
          <tpl fld="7" item="817"/>
          <tpl fld="6" item="2"/>
          <tpl hier="236" item="0"/>
          <tpl fld="4" item="1"/>
        </tpls>
      </m>
      <m>
        <tpls c="4">
          <tpl fld="7" item="996"/>
          <tpl fld="6" item="2"/>
          <tpl hier="236" item="0"/>
          <tpl fld="1" item="0"/>
        </tpls>
      </m>
      <m>
        <tpls c="4">
          <tpl fld="7" item="738"/>
          <tpl fld="6" item="1"/>
          <tpl hier="236" item="0"/>
          <tpl fld="4" item="1"/>
        </tpls>
      </m>
      <n v="2" in="1">
        <tpls c="4">
          <tpl fld="7" item="893"/>
          <tpl fld="6" item="1"/>
          <tpl hier="236" item="0"/>
          <tpl fld="1" item="0"/>
        </tpls>
      </n>
      <m>
        <tpls c="4">
          <tpl fld="7" item="741"/>
          <tpl fld="6" item="2"/>
          <tpl hier="236" item="0"/>
          <tpl fld="4" item="4"/>
        </tpls>
      </m>
      <m>
        <tpls c="3">
          <tpl fld="7" item="1241"/>
          <tpl fld="6" item="3"/>
          <tpl hier="236" item="0"/>
        </tpls>
      </m>
      <m>
        <tpls c="4">
          <tpl fld="7" item="744"/>
          <tpl fld="6" item="1"/>
          <tpl hier="236" item="0"/>
          <tpl fld="4" item="5"/>
        </tpls>
      </m>
      <m>
        <tpls c="4">
          <tpl fld="7" item="746"/>
          <tpl fld="6" item="1"/>
          <tpl hier="236" item="0"/>
          <tpl fld="4" item="5"/>
        </tpls>
      </m>
      <m>
        <tpls c="4">
          <tpl fld="7" item="748"/>
          <tpl fld="6" item="2"/>
          <tpl hier="236" item="0"/>
          <tpl fld="4" item="4"/>
        </tpls>
      </m>
      <m>
        <tpls c="4">
          <tpl fld="7" item="833"/>
          <tpl fld="6" item="1"/>
          <tpl hier="236" item="0"/>
          <tpl fld="4" item="6"/>
        </tpls>
      </m>
      <m>
        <tpls c="3">
          <tpl fld="7" item="1191"/>
          <tpl fld="6" item="3"/>
          <tpl hier="236" item="0"/>
        </tpls>
      </m>
      <m>
        <tpls c="4">
          <tpl fld="7" item="1006"/>
          <tpl fld="6" item="2"/>
          <tpl hier="236" item="0"/>
          <tpl fld="4" item="1"/>
        </tpls>
      </m>
      <n v="1" in="1">
        <tpls c="4">
          <tpl fld="7" item="1218"/>
          <tpl fld="6" item="1"/>
          <tpl hier="236" item="0"/>
          <tpl fld="4" item="4"/>
        </tpls>
      </n>
      <m>
        <tpls c="4">
          <tpl fld="7" item="907"/>
          <tpl fld="6" item="2"/>
          <tpl hier="236" item="0"/>
          <tpl fld="4" item="4"/>
        </tpls>
      </m>
      <n v="2" in="1">
        <tpls c="4">
          <tpl fld="7" item="849"/>
          <tpl fld="6" item="1"/>
          <tpl hier="236" item="0"/>
          <tpl fld="4" item="6"/>
        </tpls>
      </n>
      <m>
        <tpls c="3">
          <tpl fld="7" item="1194"/>
          <tpl fld="6" item="3"/>
          <tpl hier="236" item="0"/>
        </tpls>
      </m>
      <m>
        <tpls c="4">
          <tpl fld="7" item="1018"/>
          <tpl fld="6" item="2"/>
          <tpl hier="236" item="0"/>
          <tpl fld="4" item="1"/>
        </tpls>
      </m>
      <n v="4" in="1">
        <tpls c="4">
          <tpl fld="7" item="1221"/>
          <tpl fld="6" item="1"/>
          <tpl hier="236" item="0"/>
          <tpl fld="4" item="4"/>
        </tpls>
      </n>
      <m>
        <tpls c="4">
          <tpl fld="7" item="919"/>
          <tpl fld="6" item="2"/>
          <tpl hier="236" item="0"/>
          <tpl fld="4" item="4"/>
        </tpls>
      </m>
      <m>
        <tpls c="4">
          <tpl fld="7" item="865"/>
          <tpl fld="6" item="1"/>
          <tpl hier="236" item="0"/>
          <tpl fld="4" item="6"/>
        </tpls>
      </m>
      <m>
        <tpls c="3">
          <tpl fld="7" item="1197"/>
          <tpl fld="6" item="3"/>
          <tpl hier="236" item="0"/>
        </tpls>
      </m>
      <m>
        <tpls c="4">
          <tpl fld="7" item="1030"/>
          <tpl fld="6" item="2"/>
          <tpl hier="236" item="0"/>
          <tpl fld="4" item="1"/>
        </tpls>
      </m>
      <m>
        <tpls c="4">
          <tpl fld="7" item="1037"/>
          <tpl fld="6" item="2"/>
          <tpl hier="236" item="0"/>
          <tpl fld="4" item="1"/>
        </tpls>
      </m>
      <m>
        <tpls c="4">
          <tpl fld="7" item="1045"/>
          <tpl fld="6" item="2"/>
          <tpl hier="236" item="0"/>
          <tpl fld="4" item="1"/>
        </tpls>
      </m>
      <m>
        <tpls c="4">
          <tpl fld="7" item="1053"/>
          <tpl fld="6" item="2"/>
          <tpl hier="236" item="0"/>
          <tpl fld="4" item="1"/>
        </tpls>
      </m>
      <m>
        <tpls c="4">
          <tpl fld="7" item="1061"/>
          <tpl fld="6" item="2"/>
          <tpl hier="236" item="0"/>
          <tpl fld="4" item="1"/>
        </tpls>
      </m>
      <m>
        <tpls c="4">
          <tpl fld="7" item="1069"/>
          <tpl fld="6" item="2"/>
          <tpl hier="236" item="0"/>
          <tpl fld="4" item="1"/>
        </tpls>
      </m>
      <m>
        <tpls c="4">
          <tpl fld="7" item="1077"/>
          <tpl fld="6" item="2"/>
          <tpl hier="236" item="0"/>
          <tpl fld="4" item="1"/>
        </tpls>
      </m>
      <m>
        <tpls c="4">
          <tpl fld="7" item="923"/>
          <tpl fld="6" item="2"/>
          <tpl hier="236" item="0"/>
          <tpl fld="1" item="0"/>
        </tpls>
      </m>
      <n v="0.81486486486486487" in="2">
        <tpls c="4">
          <tpl fld="7" item="911"/>
          <tpl fld="6" item="2"/>
          <tpl hier="236" item="0"/>
          <tpl fld="1" item="0"/>
        </tpls>
      </n>
      <n v="0.75" in="2">
        <tpls c="4">
          <tpl fld="7" item="899"/>
          <tpl fld="6" item="2"/>
          <tpl hier="236" item="0"/>
          <tpl fld="1" item="0"/>
        </tpls>
      </n>
      <m>
        <tpls c="4">
          <tpl fld="7" item="452"/>
          <tpl fld="6" item="2"/>
          <tpl hier="236" item="0"/>
          <tpl fld="1" item="0"/>
        </tpls>
      </m>
      <m>
        <tpls c="4">
          <tpl fld="7" item="436"/>
          <tpl fld="6" item="2"/>
          <tpl hier="236" item="0"/>
          <tpl fld="1" item="0"/>
        </tpls>
      </m>
      <m>
        <tpls c="4">
          <tpl fld="7" item="105"/>
          <tpl fld="6" item="2"/>
          <tpl hier="236" item="0"/>
          <tpl fld="1" item="0"/>
        </tpls>
      </m>
      <m>
        <tpls c="4">
          <tpl fld="7" item="300"/>
          <tpl fld="6" item="2"/>
          <tpl hier="236" item="0"/>
          <tpl fld="1" item="0"/>
        </tpls>
      </m>
      <m>
        <tpls c="4">
          <tpl fld="7" item="284"/>
          <tpl fld="6" item="2"/>
          <tpl hier="236" item="0"/>
          <tpl fld="1" item="0"/>
        </tpls>
      </m>
      <m>
        <tpls c="4">
          <tpl fld="7" item="876"/>
          <tpl fld="6" item="2"/>
          <tpl hier="236" item="0"/>
          <tpl fld="1" item="0"/>
        </tpls>
      </m>
      <m>
        <tpls c="4">
          <tpl fld="7" item="39"/>
          <tpl fld="6" item="2"/>
          <tpl hier="236" item="0"/>
          <tpl fld="1" item="0"/>
        </tpls>
      </m>
      <m>
        <tpls c="4">
          <tpl fld="7" item="21"/>
          <tpl fld="6" item="2"/>
          <tpl hier="236" item="0"/>
          <tpl fld="1" item="0"/>
        </tpls>
      </m>
      <m>
        <tpls c="4">
          <tpl fld="7" item="121"/>
          <tpl fld="6" item="2"/>
          <tpl hier="236" item="0"/>
          <tpl fld="1" item="0"/>
        </tpls>
      </m>
      <m>
        <tpls c="6">
          <tpl fld="11" item="0"/>
          <tpl fld="2" item="3"/>
          <tpl fld="6" item="2"/>
          <tpl hier="236" item="0"/>
          <tpl fld="4" item="7"/>
          <tpl fld="10" item="4"/>
        </tpls>
      </m>
      <m>
        <tpls c="4">
          <tpl fld="7" item="442"/>
          <tpl fld="6" item="2"/>
          <tpl hier="236" item="0"/>
          <tpl fld="4" item="4"/>
        </tpls>
      </m>
      <m>
        <tpls c="3">
          <tpl fld="7" item="1073"/>
          <tpl fld="6" item="3"/>
          <tpl hier="236" item="0"/>
        </tpls>
      </m>
      <m>
        <tpls c="4">
          <tpl fld="7" item="478"/>
          <tpl fld="6" item="1"/>
          <tpl hier="236" item="0"/>
          <tpl fld="4" item="6"/>
        </tpls>
      </m>
      <n v="0.3" in="2">
        <tpls c="6">
          <tpl fld="11" item="0"/>
          <tpl fld="6" item="2"/>
          <tpl fld="8" item="1"/>
          <tpl hier="236" item="0"/>
          <tpl fld="4" item="7"/>
          <tpl fld="10" item="4"/>
        </tpls>
      </n>
      <m>
        <tpls c="4">
          <tpl fld="7" item="276"/>
          <tpl fld="6" item="2"/>
          <tpl hier="236" item="0"/>
          <tpl fld="4" item="1"/>
        </tpls>
      </m>
      <m>
        <tpls c="4">
          <tpl fld="7" item="406"/>
          <tpl fld="6" item="1"/>
          <tpl hier="236" item="0"/>
          <tpl fld="4" item="5"/>
        </tpls>
      </m>
      <n v="12" in="1">
        <tpls c="4">
          <tpl fld="7" item="1085"/>
          <tpl fld="6" item="1"/>
          <tpl hier="236" item="0"/>
          <tpl fld="4" item="4"/>
        </tpls>
      </n>
      <m>
        <tpls c="4">
          <tpl fld="7" item="151"/>
          <tpl fld="6" item="2"/>
          <tpl hier="236" item="0"/>
          <tpl fld="4" item="1"/>
        </tpls>
      </m>
      <m>
        <tpls c="4">
          <tpl fld="7" item="521"/>
          <tpl fld="6" item="1"/>
          <tpl hier="236" item="0"/>
          <tpl fld="4" item="4"/>
        </tpls>
      </m>
      <n v="1.6" in="2">
        <tpls c="4">
          <tpl fld="7" item="608"/>
          <tpl fld="6" item="2"/>
          <tpl hier="236" item="0"/>
          <tpl fld="4" item="4"/>
        </tpls>
      </n>
      <m>
        <tpls c="4">
          <tpl fld="7" item="340"/>
          <tpl fld="6" item="1"/>
          <tpl hier="236" item="0"/>
          <tpl fld="4" item="4"/>
        </tpls>
      </m>
      <m>
        <tpls c="3">
          <tpl fld="7" item="320"/>
          <tpl fld="6" item="3"/>
          <tpl hier="236" item="0"/>
        </tpls>
      </m>
      <n v="1" in="1">
        <tpls c="4">
          <tpl fld="7" item="431"/>
          <tpl fld="6" item="1"/>
          <tpl hier="236" item="0"/>
          <tpl fld="4" item="6"/>
        </tpls>
      </n>
      <m>
        <tpls c="4">
          <tpl fld="7" item="373"/>
          <tpl fld="6" item="2"/>
          <tpl hier="236" item="0"/>
          <tpl fld="4" item="4"/>
        </tpls>
      </m>
      <n v="3" in="1">
        <tpls c="4">
          <tpl fld="7" item="386"/>
          <tpl fld="6" item="1"/>
          <tpl hier="236" item="0"/>
          <tpl fld="4" item="4"/>
        </tpls>
      </n>
      <m>
        <tpls c="4">
          <tpl fld="7" item="392"/>
          <tpl fld="6" item="2"/>
          <tpl hier="236" item="0"/>
          <tpl fld="4" item="4"/>
        </tpls>
      </m>
      <n v="1" in="2">
        <tpls c="4">
          <tpl fld="7" item="539"/>
          <tpl fld="6" item="2"/>
          <tpl hier="236" item="0"/>
          <tpl fld="4" item="6"/>
        </tpls>
      </n>
      <n v="0.7" in="2">
        <tpls c="4">
          <tpl fld="7" item="612"/>
          <tpl fld="6" item="2"/>
          <tpl hier="236" item="0"/>
          <tpl fld="1" item="0"/>
        </tpls>
      </n>
      <m>
        <tpls c="4">
          <tpl fld="7" item="424"/>
          <tpl fld="6" item="1"/>
          <tpl hier="236" item="0"/>
          <tpl fld="4" item="4"/>
        </tpls>
      </m>
      <m>
        <tpls c="4">
          <tpl fld="7" item="767"/>
          <tpl fld="6" item="2"/>
          <tpl hier="236" item="0"/>
          <tpl fld="4" item="6"/>
        </tpls>
      </m>
      <m>
        <tpls c="4">
          <tpl fld="7" item="1088"/>
          <tpl fld="6" item="2"/>
          <tpl hier="236" item="0"/>
          <tpl fld="1" item="0"/>
        </tpls>
      </m>
      <m>
        <tpls c="3">
          <tpl fld="7" item="698"/>
          <tpl fld="6" item="3"/>
          <tpl hier="236" item="0"/>
        </tpls>
      </m>
      <m>
        <tpls c="4">
          <tpl fld="7" item="559"/>
          <tpl fld="6" item="1"/>
          <tpl hier="236" item="0"/>
          <tpl fld="4" item="5"/>
        </tpls>
      </m>
      <n v="0" in="1">
        <tpls c="4">
          <tpl fld="7" item="565"/>
          <tpl fld="6" item="1"/>
          <tpl hier="236" item="0"/>
          <tpl fld="4" item="4"/>
        </tpls>
      </n>
      <m>
        <tpls c="4">
          <tpl fld="7" item="794"/>
          <tpl fld="6" item="1"/>
          <tpl hier="236" item="0"/>
          <tpl fld="4" item="6"/>
        </tpls>
      </m>
      <m>
        <tpls c="4">
          <tpl fld="7" item="578"/>
          <tpl fld="6" item="1"/>
          <tpl hier="236" item="0"/>
          <tpl fld="1" item="0"/>
        </tpls>
      </m>
      <m>
        <tpls c="4">
          <tpl fld="7" item="422"/>
          <tpl fld="6" item="1"/>
          <tpl hier="236" item="0"/>
          <tpl fld="4" item="4"/>
        </tpls>
      </m>
      <m>
        <tpls c="3">
          <tpl fld="7" item="464"/>
          <tpl fld="6" item="3"/>
          <tpl hier="236" item="0"/>
        </tpls>
      </m>
      <n v="7" in="1">
        <tpls c="4">
          <tpl fld="7" item="547"/>
          <tpl fld="6" item="1"/>
          <tpl hier="236" item="0"/>
          <tpl fld="1" item="0"/>
        </tpls>
      </n>
      <m>
        <tpls c="4">
          <tpl fld="7" item="618"/>
          <tpl fld="6" item="2"/>
          <tpl hier="236" item="0"/>
          <tpl fld="4" item="5"/>
        </tpls>
      </m>
      <n v="0.3" in="2">
        <tpls c="4">
          <tpl fld="7" item="784"/>
          <tpl fld="6" item="2"/>
          <tpl hier="236" item="0"/>
          <tpl fld="4" item="1"/>
        </tpls>
      </n>
      <m>
        <tpls c="4">
          <tpl fld="7" item="1213"/>
          <tpl fld="6" item="2"/>
          <tpl hier="236" item="0"/>
          <tpl fld="4" item="4"/>
        </tpls>
      </m>
      <m>
        <tpls c="4">
          <tpl fld="7" item="712"/>
          <tpl fld="6" item="2"/>
          <tpl hier="236" item="0"/>
          <tpl fld="1" item="0"/>
        </tpls>
      </m>
      <m>
        <tpls c="4">
          <tpl fld="7" item="716"/>
          <tpl fld="6" item="1"/>
          <tpl hier="236" item="0"/>
          <tpl fld="4" item="4"/>
        </tpls>
      </m>
      <n v="7" in="1">
        <tpls c="4">
          <tpl fld="7" item="1094"/>
          <tpl fld="6" item="1"/>
          <tpl hier="236" item="0"/>
          <tpl fld="4" item="4"/>
        </tpls>
      </n>
      <m>
        <tpls c="4">
          <tpl fld="7" item="46"/>
          <tpl fld="6" item="2"/>
          <tpl hier="236" item="0"/>
          <tpl fld="4" item="1"/>
        </tpls>
      </m>
      <m>
        <tpls c="3">
          <tpl fld="7" item="210"/>
          <tpl fld="6" item="3"/>
          <tpl hier="236" item="0"/>
        </tpls>
      </m>
      <m>
        <tpls c="4">
          <tpl fld="7" item="364"/>
          <tpl fld="6" item="2"/>
          <tpl hier="236" item="0"/>
          <tpl fld="4" item="1"/>
        </tpls>
      </m>
      <n v="1" in="3">
        <tpls c="3">
          <tpl fld="7" item="522"/>
          <tpl fld="6" item="3"/>
          <tpl hier="236" item="0"/>
        </tpls>
      </n>
      <m>
        <tpls c="4">
          <tpl fld="7" item="983"/>
          <tpl fld="6" item="1"/>
          <tpl hier="236" item="0"/>
          <tpl fld="4" item="6"/>
        </tpls>
      </m>
      <m>
        <tpls c="4">
          <tpl fld="7" item="770"/>
          <tpl fld="6" item="1"/>
          <tpl hier="236" item="0"/>
          <tpl fld="4" item="5"/>
        </tpls>
      </m>
      <m>
        <tpls c="4">
          <tpl fld="7" item="544"/>
          <tpl fld="6" item="2"/>
          <tpl hier="236" item="0"/>
          <tpl fld="4" item="4"/>
        </tpls>
      </m>
      <n v="7" in="1">
        <tpls c="4">
          <tpl fld="7" item="693"/>
          <tpl fld="6" item="1"/>
          <tpl hier="236" item="0"/>
          <tpl fld="1" item="0"/>
        </tpls>
      </n>
      <m>
        <tpls c="4">
          <tpl fld="7" item="1238"/>
          <tpl fld="6" item="2"/>
          <tpl hier="236" item="0"/>
          <tpl fld="4" item="5"/>
        </tpls>
      </m>
      <n v="2" in="1">
        <tpls c="4">
          <tpl fld="7" item="696"/>
          <tpl fld="6" item="1"/>
          <tpl hier="236" item="0"/>
          <tpl fld="4" item="5"/>
        </tpls>
      </n>
      <m>
        <tpls c="4">
          <tpl fld="7" item="1089"/>
          <tpl fld="6" item="2"/>
          <tpl hier="236" item="0"/>
          <tpl fld="4" item="1"/>
        </tpls>
      </m>
      <m>
        <tpls c="4">
          <tpl fld="7" item="554"/>
          <tpl fld="6" item="1"/>
          <tpl hier="236" item="0"/>
          <tpl fld="4" item="6"/>
        </tpls>
      </m>
      <m>
        <tpls c="4">
          <tpl fld="7" item="620"/>
          <tpl fld="6" item="2"/>
          <tpl hier="236" item="0"/>
          <tpl fld="4" item="1"/>
        </tpls>
      </m>
      <m>
        <tpls c="4">
          <tpl fld="7" item="621"/>
          <tpl fld="6" item="2"/>
          <tpl hier="236" item="0"/>
          <tpl fld="1" item="0"/>
        </tpls>
      </m>
      <m>
        <tpls c="4">
          <tpl fld="7" item="622"/>
          <tpl fld="6" item="1"/>
          <tpl hier="236" item="0"/>
          <tpl fld="4" item="1"/>
        </tpls>
      </m>
      <n v="2" in="1">
        <tpls c="4">
          <tpl fld="7" item="703"/>
          <tpl fld="6" item="1"/>
          <tpl hier="236" item="0"/>
          <tpl fld="1" item="0"/>
        </tpls>
      </n>
      <m>
        <tpls c="4">
          <tpl fld="7" item="704"/>
          <tpl fld="6" item="2"/>
          <tpl hier="236" item="0"/>
          <tpl fld="4" item="4"/>
        </tpls>
      </m>
      <m>
        <tpls c="3">
          <tpl fld="7" item="787"/>
          <tpl fld="6" item="3"/>
          <tpl hier="236" item="0"/>
        </tpls>
      </m>
      <n v="25" in="1">
        <tpls c="4">
          <tpl fld="7" item="788"/>
          <tpl fld="6" item="1"/>
          <tpl hier="236" item="0"/>
          <tpl fld="4" item="4"/>
        </tpls>
      </n>
      <n v="2" in="1">
        <tpls c="4">
          <tpl fld="7" item="566"/>
          <tpl fld="6" item="1"/>
          <tpl hier="236" item="0"/>
          <tpl fld="4" item="5"/>
        </tpls>
      </n>
      <m>
        <tpls c="4">
          <tpl fld="7" item="568"/>
          <tpl fld="6" item="1"/>
          <tpl hier="236" item="0"/>
          <tpl fld="4" item="5"/>
        </tpls>
      </m>
      <m>
        <tpls c="4">
          <tpl fld="7" item="570"/>
          <tpl fld="6" item="1"/>
          <tpl hier="236" item="0"/>
          <tpl fld="4" item="5"/>
        </tpls>
      </m>
      <n v="6" in="1">
        <tpls c="4">
          <tpl fld="7" item="632"/>
          <tpl fld="6" item="1"/>
          <tpl hier="236" item="0"/>
          <tpl fld="1" item="0"/>
        </tpls>
      </n>
      <m>
        <tpls c="4">
          <tpl fld="7" item="573"/>
          <tpl fld="6" item="2"/>
          <tpl hier="236" item="0"/>
          <tpl fld="4" item="4"/>
        </tpls>
      </m>
      <m>
        <tpls c="3">
          <tpl fld="7" item="714"/>
          <tpl fld="6" item="3"/>
          <tpl hier="236" item="0"/>
        </tpls>
      </m>
      <m>
        <tpls c="4">
          <tpl fld="7" item="576"/>
          <tpl fld="6" item="1"/>
          <tpl hier="236" item="0"/>
          <tpl fld="4" item="4"/>
        </tpls>
      </m>
      <m>
        <tpls c="4">
          <tpl fld="7" item="716"/>
          <tpl fld="6" item="2"/>
          <tpl hier="236" item="0"/>
          <tpl fld="4" item="5"/>
        </tpls>
      </m>
      <n v="9" in="1">
        <tpls c="6">
          <tpl fld="11" item="0"/>
          <tpl fld="2" item="3"/>
          <tpl fld="6" item="1"/>
          <tpl hier="236" item="0"/>
          <tpl fld="4" item="1"/>
          <tpl fld="9" item="0"/>
        </tpls>
      </n>
      <n v="1063" in="1">
        <tpls c="5">
          <tpl fld="11" item="0"/>
          <tpl fld="6" item="1"/>
          <tpl hier="236" item="0"/>
          <tpl fld="4" item="6"/>
          <tpl fld="10" item="4"/>
        </tpls>
      </n>
      <m>
        <tpls c="4">
          <tpl fld="7" item="1037"/>
          <tpl fld="6" item="1"/>
          <tpl hier="236" item="0"/>
          <tpl fld="4" item="6"/>
        </tpls>
      </m>
      <m>
        <tpls c="3">
          <tpl fld="7" item="1236"/>
          <tpl fld="6" item="3"/>
          <tpl hier="236" item="0"/>
        </tpls>
      </m>
      <n v="37" in="1">
        <tpls c="6">
          <tpl fld="3" item="3"/>
          <tpl fld="11" item="0"/>
          <tpl fld="6" item="1"/>
          <tpl hier="236" item="0"/>
          <tpl fld="4" item="7"/>
          <tpl fld="10" item="4"/>
        </tpls>
      </n>
      <n v="6.1989189189189196" in="2">
        <tpls c="6">
          <tpl fld="3" item="0"/>
          <tpl fld="11" item="0"/>
          <tpl fld="6" item="2"/>
          <tpl hier="236" item="0"/>
          <tpl fld="4" item="3"/>
          <tpl fld="10" item="7"/>
        </tpls>
      </n>
      <m>
        <tpls c="4">
          <tpl fld="7" item="117"/>
          <tpl fld="6" item="2"/>
          <tpl hier="236" item="0"/>
          <tpl fld="4" item="6"/>
        </tpls>
      </m>
      <n v="3.5999999999999996" in="2">
        <tpls c="6">
          <tpl fld="11" item="0"/>
          <tpl fld="5" item="1"/>
          <tpl fld="6" item="2"/>
          <tpl hier="236" item="0"/>
          <tpl fld="4" item="1"/>
          <tpl fld="9" item="0"/>
        </tpls>
      </n>
      <n v="3.3" in="2">
        <tpls c="6">
          <tpl fld="11" item="0"/>
          <tpl fld="6" item="2"/>
          <tpl fld="8" item="1"/>
          <tpl hier="236" item="0"/>
          <tpl fld="4" item="1"/>
          <tpl fld="9" item="0"/>
        </tpls>
      </n>
      <m>
        <tpls c="4">
          <tpl fld="7" item="60"/>
          <tpl fld="6" item="2"/>
          <tpl hier="236" item="0"/>
          <tpl fld="4" item="1"/>
        </tpls>
      </m>
      <m>
        <tpls c="4">
          <tpl fld="7" item="117"/>
          <tpl fld="6" item="1"/>
          <tpl hier="236" item="0"/>
          <tpl fld="1" item="0"/>
        </tpls>
      </m>
      <m>
        <tpls c="6">
          <tpl fld="3" item="4"/>
          <tpl fld="11" item="0"/>
          <tpl fld="6" item="2"/>
          <tpl hier="236" item="0"/>
          <tpl fld="4" item="3"/>
          <tpl fld="10" item="8"/>
        </tpls>
      </m>
      <n v="0" in="1">
        <tpls c="6">
          <tpl fld="3" item="4"/>
          <tpl fld="11" item="0"/>
          <tpl fld="6" item="1"/>
          <tpl hier="236" item="0"/>
          <tpl fld="4" item="7"/>
          <tpl fld="10" item="1"/>
        </tpls>
      </n>
      <m>
        <tpls c="4">
          <tpl fld="7" item="339"/>
          <tpl fld="6" item="1"/>
          <tpl hier="236" item="0"/>
          <tpl fld="1" item="0"/>
        </tpls>
      </m>
      <m>
        <tpls c="4">
          <tpl fld="7" item="397"/>
          <tpl fld="6" item="1"/>
          <tpl hier="236" item="0"/>
          <tpl fld="4" item="5"/>
        </tpls>
      </m>
      <n v="267" in="1">
        <tpls c="5">
          <tpl fld="11" item="0"/>
          <tpl fld="5" item="4"/>
          <tpl fld="6" item="1"/>
          <tpl hier="236" item="0"/>
          <tpl fld="4" item="5"/>
        </tpls>
      </n>
      <n v="6.8" in="2">
        <tpls c="6">
          <tpl fld="3" item="1"/>
          <tpl fld="11" item="0"/>
          <tpl fld="6" item="2"/>
          <tpl hier="236" item="0"/>
          <tpl fld="4" item="3"/>
          <tpl fld="10" item="5"/>
        </tpls>
      </n>
      <m>
        <tpls c="4">
          <tpl fld="7" item="59"/>
          <tpl fld="6" item="2"/>
          <tpl hier="236" item="0"/>
          <tpl fld="4" item="1"/>
        </tpls>
      </m>
      <m>
        <tpls c="4">
          <tpl fld="7" item="468"/>
          <tpl fld="6" item="1"/>
          <tpl hier="236" item="0"/>
          <tpl fld="4" item="5"/>
        </tpls>
      </m>
      <m>
        <tpls c="4">
          <tpl fld="7" item="672"/>
          <tpl fld="6" item="2"/>
          <tpl hier="236" item="0"/>
          <tpl fld="4" item="1"/>
        </tpls>
      </m>
      <m>
        <tpls c="4">
          <tpl fld="7" item="592"/>
          <tpl fld="6" item="2"/>
          <tpl hier="236" item="0"/>
          <tpl fld="4" item="1"/>
        </tpls>
      </m>
      <m>
        <tpls c="4">
          <tpl fld="7" item="487"/>
          <tpl fld="6" item="1"/>
          <tpl hier="236" item="0"/>
          <tpl fld="4" item="6"/>
        </tpls>
      </m>
      <m>
        <tpls c="4">
          <tpl fld="7" item="477"/>
          <tpl fld="6" item="2"/>
          <tpl hier="236" item="0"/>
          <tpl fld="4" item="4"/>
        </tpls>
      </m>
      <m>
        <tpls c="4">
          <tpl fld="7" item="307"/>
          <tpl fld="6" item="1"/>
          <tpl hier="236" item="0"/>
          <tpl fld="4" item="6"/>
        </tpls>
      </m>
      <m>
        <tpls c="4">
          <tpl fld="7" item="428"/>
          <tpl fld="6" item="2"/>
          <tpl hier="236" item="0"/>
          <tpl fld="4" item="1"/>
        </tpls>
      </m>
      <n v="4" in="1">
        <tpls c="4">
          <tpl fld="7" item="1186"/>
          <tpl fld="6" item="1"/>
          <tpl hier="236" item="0"/>
          <tpl fld="4" item="4"/>
        </tpls>
      </n>
      <m>
        <tpls c="4">
          <tpl fld="7" item="676"/>
          <tpl fld="6" item="2"/>
          <tpl hier="236" item="0"/>
          <tpl fld="4" item="1"/>
        </tpls>
      </m>
      <n v="9.9804054054054046" in="2">
        <tpls c="6">
          <tpl fld="3" item="0"/>
          <tpl fld="11" item="0"/>
          <tpl fld="6" item="2"/>
          <tpl hier="236" item="0"/>
          <tpl fld="4" item="3"/>
          <tpl fld="10" item="2"/>
        </tpls>
      </n>
      <m>
        <tpls c="4">
          <tpl fld="7" item="45"/>
          <tpl fld="6" item="2"/>
          <tpl hier="236" item="0"/>
          <tpl fld="4" item="6"/>
        </tpls>
      </m>
      <m>
        <tpls c="4">
          <tpl fld="7" item="281"/>
          <tpl fld="6" item="2"/>
          <tpl hier="236" item="0"/>
          <tpl fld="4" item="4"/>
        </tpls>
      </m>
      <m>
        <tpls c="3">
          <tpl fld="7" item="303"/>
          <tpl fld="6" item="3"/>
          <tpl hier="236" item="0"/>
        </tpls>
      </m>
      <m>
        <tpls c="6">
          <tpl fld="3" item="2"/>
          <tpl fld="11" item="0"/>
          <tpl fld="6" item="2"/>
          <tpl hier="236" item="0"/>
          <tpl fld="4" item="7"/>
          <tpl fld="10" item="3"/>
        </tpls>
      </m>
      <m>
        <tpls c="4">
          <tpl fld="7" item="31"/>
          <tpl fld="6" item="1"/>
          <tpl hier="236" item="0"/>
          <tpl fld="4" item="4"/>
        </tpls>
      </m>
      <m>
        <tpls c="4">
          <tpl fld="7" item="262"/>
          <tpl fld="6" item="1"/>
          <tpl hier="236" item="0"/>
          <tpl fld="4" item="4"/>
        </tpls>
      </m>
      <m>
        <tpls c="4">
          <tpl fld="7" item="164"/>
          <tpl fld="6" item="1"/>
          <tpl hier="236" item="0"/>
          <tpl fld="4" item="4"/>
        </tpls>
      </m>
      <m>
        <tpls c="4">
          <tpl fld="7" item="76"/>
          <tpl fld="6" item="2"/>
          <tpl hier="236" item="0"/>
          <tpl fld="4" item="4"/>
        </tpls>
      </m>
      <m>
        <tpls c="4">
          <tpl fld="7" item="489"/>
          <tpl fld="6" item="2"/>
          <tpl hier="236" item="0"/>
          <tpl fld="4" item="4"/>
        </tpls>
      </m>
      <m>
        <tpls c="4">
          <tpl fld="7" item="136"/>
          <tpl fld="6" item="2"/>
          <tpl hier="236" item="0"/>
          <tpl fld="4" item="4"/>
        </tpls>
      </m>
      <m>
        <tpls c="4">
          <tpl fld="7" item="191"/>
          <tpl fld="6" item="1"/>
          <tpl hier="236" item="0"/>
          <tpl fld="4" item="4"/>
        </tpls>
      </m>
      <m>
        <tpls c="4">
          <tpl fld="7" item="595"/>
          <tpl fld="6" item="2"/>
          <tpl hier="236" item="0"/>
          <tpl fld="4" item="4"/>
        </tpls>
      </m>
      <n v="7" in="1">
        <tpls c="4">
          <tpl fld="7" item="678"/>
          <tpl fld="6" item="1"/>
          <tpl hier="236" item="0"/>
          <tpl fld="4" item="4"/>
        </tpls>
      </n>
      <m>
        <tpls c="4">
          <tpl fld="7" item="449"/>
          <tpl fld="6" item="2"/>
          <tpl hier="236" item="0"/>
          <tpl fld="4" item="1"/>
        </tpls>
      </m>
      <m>
        <tpls c="4">
          <tpl fld="7" item="604"/>
          <tpl fld="6" item="2"/>
          <tpl hier="236" item="0"/>
          <tpl fld="4" item="4"/>
        </tpls>
      </m>
      <m>
        <tpls c="4">
          <tpl fld="7" item="465"/>
          <tpl fld="6" item="2"/>
          <tpl hier="236" item="0"/>
          <tpl fld="4" item="6"/>
        </tpls>
      </m>
      <n v="2" in="2">
        <tpls c="4">
          <tpl fld="7" item="689"/>
          <tpl fld="6" item="2"/>
          <tpl hier="236" item="0"/>
          <tpl fld="1" item="0"/>
        </tpls>
      </n>
      <m>
        <tpls c="4">
          <tpl fld="7" item="39"/>
          <tpl fld="6" item="2"/>
          <tpl hier="236" item="0"/>
          <tpl fld="4" item="1"/>
        </tpls>
      </m>
      <m>
        <tpls c="3">
          <tpl fld="7" item="192"/>
          <tpl fld="6" item="3"/>
          <tpl hier="236" item="0"/>
        </tpls>
      </m>
      <m>
        <tpls c="4">
          <tpl fld="7" item="494"/>
          <tpl fld="6" item="2"/>
          <tpl hier="236" item="0"/>
          <tpl fld="4" item="4"/>
        </tpls>
      </m>
      <m>
        <tpls c="4">
          <tpl fld="7" item="507"/>
          <tpl fld="6" item="1"/>
          <tpl hier="236" item="0"/>
          <tpl fld="4" item="4"/>
        </tpls>
      </m>
      <n v="2" in="2">
        <tpls c="4">
          <tpl fld="7" item="763"/>
          <tpl fld="6" item="2"/>
          <tpl hier="236" item="0"/>
          <tpl fld="4" item="1"/>
        </tpls>
      </n>
      <m>
        <tpls c="4">
          <tpl fld="7" item="604"/>
          <tpl fld="6" item="2"/>
          <tpl hier="236" item="0"/>
          <tpl fld="4" item="5"/>
        </tpls>
      </m>
      <m>
        <tpls c="3">
          <tpl fld="7" item="1058"/>
          <tpl fld="6" item="3"/>
          <tpl hier="236" item="0"/>
        </tpls>
      </m>
      <n v="2029" in="1">
        <tpls c="6">
          <tpl fld="11" item="0"/>
          <tpl fld="6" item="1"/>
          <tpl fld="8" item="0"/>
          <tpl hier="236" item="0"/>
          <tpl fld="4" item="1"/>
          <tpl fld="9" item="4"/>
        </tpls>
      </n>
      <m>
        <tpls c="4">
          <tpl fld="7" item="150"/>
          <tpl fld="6" item="1"/>
          <tpl hier="236" item="0"/>
          <tpl fld="1" item="0"/>
        </tpls>
      </m>
      <m>
        <tpls c="4">
          <tpl fld="7" item="195"/>
          <tpl fld="6" item="1"/>
          <tpl hier="236" item="0"/>
          <tpl fld="4" item="6"/>
        </tpls>
      </m>
      <m>
        <tpls c="4">
          <tpl fld="7" item="153"/>
          <tpl fld="6" item="2"/>
          <tpl hier="236" item="0"/>
          <tpl fld="4" item="6"/>
        </tpls>
      </m>
      <m>
        <tpls c="4">
          <tpl fld="7" item="164"/>
          <tpl fld="6" item="2"/>
          <tpl hier="236" item="0"/>
          <tpl fld="4" item="6"/>
        </tpls>
      </m>
      <m>
        <tpls c="4">
          <tpl fld="7" item="292"/>
          <tpl fld="6" item="2"/>
          <tpl hier="236" item="0"/>
          <tpl fld="4" item="4"/>
        </tpls>
      </m>
      <m>
        <tpls c="4">
          <tpl fld="7" item="91"/>
          <tpl fld="6" item="2"/>
          <tpl hier="236" item="0"/>
          <tpl fld="4" item="1"/>
        </tpls>
      </m>
      <n v="10.8" in="2">
        <tpls c="6">
          <tpl fld="3" item="1"/>
          <tpl fld="11" item="0"/>
          <tpl fld="6" item="2"/>
          <tpl hier="236" item="0"/>
          <tpl fld="4" item="6"/>
          <tpl fld="10" item="2"/>
        </tpls>
      </n>
      <m>
        <tpls c="4">
          <tpl fld="7" item="26"/>
          <tpl fld="6" item="1"/>
          <tpl hier="236" item="0"/>
          <tpl fld="4" item="4"/>
        </tpls>
      </m>
      <m>
        <tpls c="4">
          <tpl fld="7" item="39"/>
          <tpl fld="6" item="2"/>
          <tpl hier="236" item="0"/>
          <tpl fld="4" item="4"/>
        </tpls>
      </m>
      <m>
        <tpls c="4">
          <tpl fld="7" item="156"/>
          <tpl fld="6" item="2"/>
          <tpl hier="236" item="0"/>
          <tpl fld="4" item="4"/>
        </tpls>
      </m>
      <m>
        <tpls c="4">
          <tpl fld="7" item="164"/>
          <tpl fld="6" item="2"/>
          <tpl hier="236" item="0"/>
          <tpl fld="4" item="4"/>
        </tpls>
      </m>
      <m>
        <tpls c="3">
          <tpl fld="7" item="754"/>
          <tpl fld="6" item="3"/>
          <tpl hier="236" item="0"/>
        </tpls>
      </m>
      <m>
        <tpls c="4">
          <tpl fld="7" item="192"/>
          <tpl fld="6" item="2"/>
          <tpl hier="236" item="0"/>
          <tpl fld="4" item="6"/>
        </tpls>
      </m>
      <n v="1" in="1">
        <tpls c="4">
          <tpl fld="7" item="313"/>
          <tpl fld="6" item="1"/>
          <tpl hier="236" item="0"/>
          <tpl fld="4" item="6"/>
        </tpls>
      </n>
      <m>
        <tpls c="4">
          <tpl fld="7" item="137"/>
          <tpl fld="6" item="1"/>
          <tpl hier="236" item="0"/>
          <tpl fld="4" item="4"/>
        </tpls>
      </m>
      <m>
        <tpls c="4">
          <tpl fld="7" item="182"/>
          <tpl fld="6" item="2"/>
          <tpl hier="236" item="0"/>
          <tpl fld="4" item="4"/>
        </tpls>
      </m>
      <m>
        <tpls c="4">
          <tpl fld="7" item="323"/>
          <tpl fld="6" item="1"/>
          <tpl hier="236" item="0"/>
          <tpl fld="4" item="4"/>
        </tpls>
      </m>
      <n v="1.3" in="2">
        <tpls c="4">
          <tpl fld="7" item="434"/>
          <tpl fld="6" item="2"/>
          <tpl hier="236" item="0"/>
          <tpl fld="4" item="1"/>
        </tpls>
      </n>
      <n v="1" in="3">
        <tpls c="3">
          <tpl fld="7" item="376"/>
          <tpl fld="6" item="3"/>
          <tpl hier="236" item="0"/>
        </tpls>
      </n>
      <m>
        <tpls c="4">
          <tpl fld="7" item="879"/>
          <tpl fld="6" item="2"/>
          <tpl hier="236" item="0"/>
          <tpl fld="4" item="4"/>
        </tpls>
      </m>
      <m>
        <tpls c="4">
          <tpl fld="7" item="464"/>
          <tpl fld="6" item="2"/>
          <tpl hier="236" item="0"/>
          <tpl fld="4" item="6"/>
        </tpls>
      </m>
      <m>
        <tpls c="4">
          <tpl fld="7" item="770"/>
          <tpl fld="6" item="2"/>
          <tpl hier="236" item="0"/>
          <tpl fld="1" item="0"/>
        </tpls>
      </m>
      <m>
        <tpls c="4">
          <tpl fld="7" item="138"/>
          <tpl fld="6" item="1"/>
          <tpl hier="236" item="0"/>
          <tpl fld="4" item="4"/>
        </tpls>
      </m>
      <m>
        <tpls c="4">
          <tpl fld="7" item="183"/>
          <tpl fld="6" item="2"/>
          <tpl hier="236" item="0"/>
          <tpl fld="4" item="4"/>
        </tpls>
      </m>
      <n v="1" in="1">
        <tpls c="4">
          <tpl fld="7" item="107"/>
          <tpl fld="6" item="1"/>
          <tpl hier="236" item="0"/>
          <tpl fld="4" item="4"/>
        </tpls>
      </n>
      <n v="1" in="2">
        <tpls c="4">
          <tpl fld="7" item="1084"/>
          <tpl fld="6" item="2"/>
          <tpl hier="236" item="0"/>
          <tpl fld="4" item="1"/>
        </tpls>
      </n>
      <n v="1" in="3">
        <tpls c="3">
          <tpl fld="7" item="447"/>
          <tpl fld="6" item="3"/>
          <tpl hier="236" item="0"/>
        </tpls>
      </n>
      <m>
        <tpls c="4">
          <tpl fld="7" item="879"/>
          <tpl fld="6" item="2"/>
          <tpl hier="236" item="0"/>
          <tpl fld="4" item="5"/>
        </tpls>
      </m>
      <m>
        <tpls c="4">
          <tpl fld="7" item="685"/>
          <tpl fld="6" item="2"/>
          <tpl hier="236" item="0"/>
          <tpl fld="4" item="1"/>
        </tpls>
      </m>
      <m>
        <tpls c="6">
          <tpl fld="3" item="0"/>
          <tpl fld="11" item="0"/>
          <tpl fld="6" item="2"/>
          <tpl hier="236" item="0"/>
          <tpl fld="4" item="7"/>
          <tpl fld="10" item="1"/>
        </tpls>
      </m>
      <n v="33.9" in="2">
        <tpls c="6">
          <tpl fld="11" item="0"/>
          <tpl fld="2" item="1"/>
          <tpl fld="6" item="2"/>
          <tpl hier="236" item="0"/>
          <tpl fld="4" item="1"/>
          <tpl fld="9" item="2"/>
        </tpls>
      </n>
      <m>
        <tpls c="4">
          <tpl fld="7" item="49"/>
          <tpl fld="6" item="2"/>
          <tpl hier="236" item="0"/>
          <tpl fld="4" item="6"/>
        </tpls>
      </m>
      <m>
        <tpls c="6">
          <tpl fld="11" item="0"/>
          <tpl fld="6" item="2"/>
          <tpl fld="8" item="0"/>
          <tpl hier="236" item="0"/>
          <tpl fld="4" item="4"/>
          <tpl fld="10" item="1"/>
        </tpls>
      </m>
      <m>
        <tpls c="4">
          <tpl fld="7" item="278"/>
          <tpl fld="6" item="2"/>
          <tpl hier="236" item="0"/>
          <tpl fld="4" item="1"/>
        </tpls>
      </m>
      <m>
        <tpls c="4">
          <tpl fld="7" item="477"/>
          <tpl fld="6" item="1"/>
          <tpl hier="236" item="0"/>
          <tpl fld="4" item="5"/>
        </tpls>
      </m>
      <n v="0.75" in="2">
        <tpls c="4">
          <tpl fld="7" item="451"/>
          <tpl fld="6" item="2"/>
          <tpl hier="236" item="0"/>
          <tpl fld="4" item="1"/>
        </tpls>
      </n>
      <m>
        <tpls c="4">
          <tpl fld="7" item="153"/>
          <tpl fld="6" item="2"/>
          <tpl hier="236" item="0"/>
          <tpl fld="4" item="1"/>
        </tpls>
      </m>
      <m>
        <tpls c="4">
          <tpl fld="7" item="602"/>
          <tpl fld="6" item="2"/>
          <tpl hier="236" item="0"/>
          <tpl fld="4" item="1"/>
        </tpls>
      </m>
      <n v="18" in="1">
        <tpls c="4">
          <tpl fld="7" item="608"/>
          <tpl fld="6" item="1"/>
          <tpl hier="236" item="0"/>
          <tpl fld="4" item="1"/>
        </tpls>
      </n>
      <m>
        <tpls c="4">
          <tpl fld="7" item="592"/>
          <tpl fld="6" item="1"/>
          <tpl hier="236" item="0"/>
          <tpl fld="4" item="4"/>
        </tpls>
      </m>
      <m>
        <tpls c="4">
          <tpl fld="7" item="104"/>
          <tpl fld="6" item="1"/>
          <tpl hier="236" item="0"/>
          <tpl fld="4" item="6"/>
        </tpls>
      </m>
      <n v="1" in="3">
        <tpls c="3">
          <tpl fld="7" item="597"/>
          <tpl fld="6" item="3"/>
          <tpl hier="236" item="0"/>
        </tpls>
      </n>
      <n v="6" in="1">
        <tpls c="4">
          <tpl fld="7" item="444"/>
          <tpl fld="6" item="1"/>
          <tpl hier="236" item="0"/>
          <tpl fld="4" item="6"/>
        </tpls>
      </n>
      <m>
        <tpls c="4">
          <tpl fld="7" item="386"/>
          <tpl fld="6" item="2"/>
          <tpl hier="236" item="0"/>
          <tpl fld="4" item="4"/>
        </tpls>
      </m>
      <m>
        <tpls c="4">
          <tpl fld="7" item="392"/>
          <tpl fld="6" item="1"/>
          <tpl hier="236" item="0"/>
          <tpl fld="4" item="1"/>
        </tpls>
      </m>
      <n v="19" in="1">
        <tpls c="4">
          <tpl fld="7" item="880"/>
          <tpl fld="6" item="1"/>
          <tpl hier="236" item="0"/>
          <tpl fld="4" item="4"/>
        </tpls>
      </n>
      <m>
        <tpls c="4">
          <tpl fld="7" item="545"/>
          <tpl fld="6" item="1"/>
          <tpl hier="236" item="0"/>
          <tpl fld="4" item="6"/>
        </tpls>
      </m>
      <m>
        <tpls c="4">
          <tpl fld="7" item="354"/>
          <tpl fld="6" item="2"/>
          <tpl hier="236" item="0"/>
          <tpl fld="4" item="1"/>
        </tpls>
      </m>
      <m>
        <tpls c="4">
          <tpl fld="7" item="395"/>
          <tpl fld="6" item="2"/>
          <tpl hier="236" item="0"/>
          <tpl fld="4" item="1"/>
        </tpls>
      </m>
      <m>
        <tpls c="4">
          <tpl fld="7" item="614"/>
          <tpl fld="6" item="1"/>
          <tpl hier="236" item="0"/>
          <tpl fld="4" item="6"/>
        </tpls>
      </m>
      <n v="9" in="1">
        <tpls c="4">
          <tpl fld="7" item="698"/>
          <tpl fld="6" item="1"/>
          <tpl hier="236" item="0"/>
          <tpl fld="1" item="0"/>
        </tpls>
      </n>
      <m>
        <tpls c="4">
          <tpl fld="7" item="559"/>
          <tpl fld="6" item="2"/>
          <tpl hier="236" item="0"/>
          <tpl fld="4" item="5"/>
        </tpls>
      </m>
      <m>
        <tpls c="4">
          <tpl fld="7" item="565"/>
          <tpl fld="6" item="2"/>
          <tpl hier="236" item="0"/>
          <tpl fld="4" item="6"/>
        </tpls>
      </m>
      <m>
        <tpls c="4">
          <tpl fld="7" item="794"/>
          <tpl fld="6" item="2"/>
          <tpl hier="236" item="0"/>
          <tpl fld="4" item="6"/>
        </tpls>
      </m>
      <m>
        <tpls c="4">
          <tpl fld="7" item="578"/>
          <tpl fld="6" item="2"/>
          <tpl hier="236" item="0"/>
          <tpl fld="1" item="0"/>
        </tpls>
      </m>
      <m>
        <tpls c="4">
          <tpl fld="7" item="215"/>
          <tpl fld="6" item="2"/>
          <tpl hier="236" item="0"/>
          <tpl fld="4" item="1"/>
        </tpls>
      </m>
      <m>
        <tpls c="4">
          <tpl fld="7" item="685"/>
          <tpl fld="6" item="2"/>
          <tpl hier="236" item="0"/>
          <tpl fld="4" item="6"/>
        </tpls>
      </m>
      <m>
        <tpls c="4">
          <tpl fld="7" item="547"/>
          <tpl fld="6" item="2"/>
          <tpl hier="236" item="0"/>
          <tpl fld="1" item="0"/>
        </tpls>
      </m>
      <m>
        <tpls c="3">
          <tpl fld="7" item="553"/>
          <tpl fld="6" item="3"/>
          <tpl hier="236" item="0"/>
        </tpls>
      </m>
      <m>
        <tpls c="4">
          <tpl fld="7" item="784"/>
          <tpl fld="6" item="1"/>
          <tpl hier="236" item="0"/>
          <tpl fld="4" item="5"/>
        </tpls>
      </m>
      <n v="3" in="1">
        <tpls c="4">
          <tpl fld="7" item="1213"/>
          <tpl fld="6" item="1"/>
          <tpl hier="236" item="0"/>
          <tpl fld="4" item="1"/>
        </tpls>
      </n>
      <n v="0" in="1">
        <tpls c="4">
          <tpl fld="7" item="572"/>
          <tpl fld="6" item="1"/>
          <tpl hier="236" item="0"/>
          <tpl fld="4" item="6"/>
        </tpls>
      </n>
      <n v="335" in="1">
        <tpls c="6">
          <tpl fld="11" item="0"/>
          <tpl fld="6" item="1"/>
          <tpl fld="8" item="0"/>
          <tpl hier="236" item="0"/>
          <tpl fld="4" item="7"/>
          <tpl fld="10" item="7"/>
        </tpls>
      </n>
      <m>
        <tpls c="4">
          <tpl fld="7" item="479"/>
          <tpl fld="6" item="1"/>
          <tpl hier="236" item="0"/>
          <tpl fld="4" item="6"/>
        </tpls>
      </m>
      <m>
        <tpls c="4">
          <tpl fld="7" item="750"/>
          <tpl fld="6" item="1"/>
          <tpl hier="236" item="0"/>
          <tpl fld="4" item="4"/>
        </tpls>
      </m>
      <m>
        <tpls c="4">
          <tpl fld="7" item="67"/>
          <tpl fld="6" item="1"/>
          <tpl hier="236" item="0"/>
          <tpl fld="4" item="4"/>
        </tpls>
      </m>
      <m>
        <tpls c="4">
          <tpl fld="7" item="409"/>
          <tpl fld="6" item="1"/>
          <tpl hier="236" item="0"/>
          <tpl fld="4" item="5"/>
        </tpls>
      </m>
      <m>
        <tpls c="4">
          <tpl fld="7" item="455"/>
          <tpl fld="6" item="2"/>
          <tpl hier="236" item="0"/>
          <tpl fld="4" item="1"/>
        </tpls>
      </m>
      <m>
        <tpls c="4">
          <tpl fld="7" item="163"/>
          <tpl fld="6" item="2"/>
          <tpl hier="236" item="0"/>
          <tpl fld="4" item="1"/>
        </tpls>
      </m>
      <n v="1" in="2">
        <tpls c="4">
          <tpl fld="7" item="603"/>
          <tpl fld="6" item="2"/>
          <tpl hier="236" item="0"/>
          <tpl fld="4" item="1"/>
        </tpls>
      </n>
      <n v="428" in="1">
        <tpls c="6">
          <tpl fld="11" item="0"/>
          <tpl fld="2" item="1"/>
          <tpl fld="6" item="1"/>
          <tpl hier="236" item="0"/>
          <tpl fld="4" item="3"/>
          <tpl fld="10" item="4"/>
        </tpls>
      </n>
      <m>
        <tpls c="4">
          <tpl fld="7" item="672"/>
          <tpl fld="6" item="1"/>
          <tpl hier="236" item="0"/>
          <tpl fld="4" item="6"/>
        </tpls>
      </m>
      <m>
        <tpls c="4">
          <tpl fld="7" item="213"/>
          <tpl fld="6" item="1"/>
          <tpl hier="236" item="0"/>
          <tpl fld="4" item="4"/>
        </tpls>
      </m>
      <n v="1" in="3">
        <tpls c="3">
          <tpl fld="7" item="677"/>
          <tpl fld="6" item="3"/>
          <tpl hier="236" item="0"/>
        </tpls>
      </n>
      <m>
        <tpls c="4">
          <tpl fld="7" item="514"/>
          <tpl fld="6" item="2"/>
          <tpl hier="236" item="0"/>
          <tpl fld="4" item="1"/>
        </tpls>
      </m>
      <n v="3.3314864864864866" in="2">
        <tpls c="4">
          <tpl fld="7" item="518"/>
          <tpl fld="6" item="2"/>
          <tpl hier="236" item="0"/>
          <tpl fld="4" item="1"/>
        </tpls>
      </n>
      <m>
        <tpls c="4">
          <tpl fld="7" item="522"/>
          <tpl fld="6" item="2"/>
          <tpl hier="236" item="0"/>
          <tpl fld="4" item="1"/>
        </tpls>
      </m>
      <m>
        <tpls c="3">
          <tpl fld="7" item="683"/>
          <tpl fld="6" item="3"/>
          <tpl hier="236" item="0"/>
        </tpls>
      </m>
      <m>
        <tpls c="4">
          <tpl fld="7" item="529"/>
          <tpl fld="6" item="2"/>
          <tpl hier="236" item="0"/>
          <tpl fld="4" item="6"/>
        </tpls>
      </m>
      <m>
        <tpls c="4">
          <tpl fld="7" item="684"/>
          <tpl fld="6" item="2"/>
          <tpl hier="236" item="0"/>
          <tpl fld="1" item="0"/>
        </tpls>
      </m>
      <m>
        <tpls c="4">
          <tpl fld="7" item="533"/>
          <tpl fld="6" item="2"/>
          <tpl hier="236" item="0"/>
          <tpl fld="4" item="6"/>
        </tpls>
      </m>
      <m>
        <tpls c="4">
          <tpl fld="7" item="685"/>
          <tpl fld="6" item="2"/>
          <tpl hier="236" item="0"/>
          <tpl fld="1" item="0"/>
        </tpls>
      </m>
      <m>
        <tpls c="3">
          <tpl fld="7" item="606"/>
          <tpl fld="6" item="3"/>
          <tpl hier="236" item="0"/>
        </tpls>
      </m>
      <m>
        <tpls c="4">
          <tpl fld="7" item="769"/>
          <tpl fld="6" item="2"/>
          <tpl hier="236" item="0"/>
          <tpl fld="1" item="0"/>
        </tpls>
      </m>
      <m>
        <tpls c="3">
          <tpl fld="7" item="609"/>
          <tpl fld="6" item="3"/>
          <tpl hier="236" item="0"/>
        </tpls>
      </m>
      <m>
        <tpls c="4">
          <tpl fld="7" item="690"/>
          <tpl fld="6" item="1"/>
          <tpl hier="236" item="0"/>
          <tpl fld="4" item="5"/>
        </tpls>
      </m>
      <m>
        <tpls c="3">
          <tpl fld="7" item="612"/>
          <tpl fld="6" item="3"/>
          <tpl hier="236" item="0"/>
        </tpls>
      </m>
      <m>
        <tpls c="4">
          <tpl fld="7" item="693"/>
          <tpl fld="6" item="1"/>
          <tpl hier="236" item="0"/>
          <tpl fld="4" item="5"/>
        </tpls>
      </m>
      <m>
        <tpls c="4">
          <tpl fld="7" item="53"/>
          <tpl fld="6" item="2"/>
          <tpl hier="236" item="0"/>
          <tpl fld="4" item="1"/>
        </tpls>
      </m>
      <m>
        <tpls c="4">
          <tpl fld="7" item="324"/>
          <tpl fld="6" item="1"/>
          <tpl hier="236" item="0"/>
          <tpl fld="4" item="6"/>
        </tpls>
      </m>
      <n v="1" in="1">
        <tpls c="4">
          <tpl fld="7" item="1237"/>
          <tpl fld="6" item="1"/>
          <tpl hier="236" item="0"/>
          <tpl fld="4" item="6"/>
        </tpls>
      </n>
      <n v="0" in="1">
        <tpls c="4">
          <tpl fld="7" item="1263"/>
          <tpl fld="6" item="1"/>
          <tpl hier="236" item="0"/>
          <tpl fld="4" item="6"/>
        </tpls>
      </n>
      <m>
        <tpls c="4">
          <tpl fld="7" item="535"/>
          <tpl fld="6" item="1"/>
          <tpl hier="236" item="0"/>
          <tpl fld="4" item="1"/>
        </tpls>
      </m>
      <n v="15" in="1">
        <tpls c="4">
          <tpl fld="7" item="541"/>
          <tpl fld="6" item="1"/>
          <tpl hier="236" item="0"/>
          <tpl fld="4" item="1"/>
        </tpls>
      </n>
      <m>
        <tpls c="4">
          <tpl fld="7" item="881"/>
          <tpl fld="6" item="1"/>
          <tpl hier="236" item="0"/>
          <tpl fld="4" item="4"/>
        </tpls>
      </m>
      <m>
        <tpls c="3">
          <tpl fld="7" item="1088"/>
          <tpl fld="6" item="3"/>
          <tpl hier="236" item="0"/>
        </tpls>
      </m>
      <m>
        <tpls c="4">
          <tpl fld="7" item="549"/>
          <tpl fld="6" item="1"/>
          <tpl hier="236" item="0"/>
          <tpl fld="4" item="5"/>
        </tpls>
      </m>
      <m>
        <tpls c="4">
          <tpl fld="7" item="778"/>
          <tpl fld="6" item="1"/>
          <tpl hier="236" item="0"/>
          <tpl fld="4" item="1"/>
        </tpls>
      </m>
      <m>
        <tpls c="4">
          <tpl fld="7" item="553"/>
          <tpl fld="6" item="1"/>
          <tpl hier="236" item="0"/>
          <tpl fld="4" item="5"/>
        </tpls>
      </m>
      <m>
        <tpls c="4">
          <tpl fld="7" item="781"/>
          <tpl fld="6" item="1"/>
          <tpl hier="236" item="0"/>
          <tpl fld="4" item="1"/>
        </tpls>
      </m>
      <n v="1" in="1">
        <tpls c="4">
          <tpl fld="7" item="621"/>
          <tpl fld="6" item="1"/>
          <tpl hier="236" item="0"/>
          <tpl fld="4" item="4"/>
        </tpls>
      </n>
      <n v="1" in="1">
        <tpls c="4">
          <tpl fld="7" item="784"/>
          <tpl fld="6" item="1"/>
          <tpl hier="236" item="0"/>
          <tpl fld="4" item="1"/>
        </tpls>
      </n>
      <n v="5" in="1">
        <tpls c="4">
          <tpl fld="7" item="624"/>
          <tpl fld="6" item="1"/>
          <tpl hier="236" item="0"/>
          <tpl fld="4" item="4"/>
        </tpls>
      </n>
      <n v="13" in="1">
        <tpls c="4">
          <tpl fld="7" item="705"/>
          <tpl fld="6" item="1"/>
          <tpl hier="236" item="0"/>
          <tpl fld="4" item="6"/>
        </tpls>
      </n>
      <m>
        <tpls c="4">
          <tpl fld="7" item="627"/>
          <tpl fld="6" item="1"/>
          <tpl hier="236" item="0"/>
          <tpl fld="4" item="4"/>
        </tpls>
      </m>
      <n v="11" in="1">
        <tpls c="4">
          <tpl fld="7" item="989"/>
          <tpl fld="6" item="1"/>
          <tpl hier="236" item="0"/>
          <tpl fld="4" item="4"/>
        </tpls>
      </n>
      <n v="14" in="1">
        <tpls c="4">
          <tpl fld="7" item="1239"/>
          <tpl fld="6" item="1"/>
          <tpl hier="236" item="0"/>
          <tpl fld="4" item="4"/>
        </tpls>
      </n>
      <n v="0" in="1">
        <tpls c="4">
          <tpl fld="7" item="572"/>
          <tpl fld="6" item="1"/>
          <tpl hier="236" item="0"/>
          <tpl fld="1" item="0"/>
        </tpls>
      </n>
      <m>
        <tpls c="4">
          <tpl fld="7" item="1093"/>
          <tpl fld="6" item="2"/>
          <tpl hier="236" item="0"/>
          <tpl fld="4" item="5"/>
        </tpls>
      </m>
      <m>
        <tpls c="4">
          <tpl fld="7" item="715"/>
          <tpl fld="6" item="2"/>
          <tpl hier="236" item="0"/>
          <tpl fld="4" item="1"/>
        </tpls>
      </m>
      <m>
        <tpls c="4">
          <tpl fld="7" item="991"/>
          <tpl fld="6" item="2"/>
          <tpl hier="236" item="0"/>
          <tpl fld="4" item="5"/>
        </tpls>
      </m>
      <m>
        <tpls c="4">
          <tpl fld="7" item="718"/>
          <tpl fld="6" item="2"/>
          <tpl hier="236" item="0"/>
          <tpl fld="4" item="1"/>
        </tpls>
      </m>
      <m>
        <tpls c="4">
          <tpl fld="7" item="336"/>
          <tpl fld="6" item="2"/>
          <tpl hier="236" item="0"/>
          <tpl fld="4" item="1"/>
        </tpls>
      </m>
      <m>
        <tpls c="3">
          <tpl fld="7" item="105"/>
          <tpl fld="6" item="3"/>
          <tpl hier="236" item="0"/>
        </tpls>
      </m>
      <n v="2" in="1">
        <tpls c="4">
          <tpl fld="7" item="598"/>
          <tpl fld="6" item="1"/>
          <tpl hier="236" item="0"/>
          <tpl fld="4" item="6"/>
        </tpls>
      </n>
      <n v="1" in="1">
        <tpls c="4">
          <tpl fld="7" item="602"/>
          <tpl fld="6" item="1"/>
          <tpl hier="236" item="0"/>
          <tpl fld="4" item="6"/>
        </tpls>
      </n>
      <n v="1" in="1">
        <tpls c="4">
          <tpl fld="7" item="605"/>
          <tpl fld="6" item="1"/>
          <tpl hier="236" item="0"/>
          <tpl fld="4" item="6"/>
        </tpls>
      </n>
      <n v="3" in="1">
        <tpls c="4">
          <tpl fld="7" item="984"/>
          <tpl fld="6" item="1"/>
          <tpl hier="236" item="0"/>
          <tpl fld="4" item="4"/>
        </tpls>
      </n>
      <m>
        <tpls c="3">
          <tpl fld="7" item="544"/>
          <tpl fld="6" item="3"/>
          <tpl hier="236" item="0"/>
        </tpls>
      </m>
      <m>
        <tpls c="4">
          <tpl fld="7" item="775"/>
          <tpl fld="6" item="2"/>
          <tpl hier="236" item="0"/>
          <tpl fld="4" item="5"/>
        </tpls>
      </m>
      <m>
        <tpls c="4">
          <tpl fld="7" item="615"/>
          <tpl fld="6" item="2"/>
          <tpl hier="236" item="0"/>
          <tpl fld="4" item="1"/>
        </tpls>
      </m>
      <m>
        <tpls c="4">
          <tpl fld="7" item="696"/>
          <tpl fld="6" item="2"/>
          <tpl hier="236" item="0"/>
          <tpl fld="4" item="4"/>
        </tpls>
      </m>
      <m>
        <tpls c="4">
          <tpl fld="7" item="618"/>
          <tpl fld="6" item="2"/>
          <tpl hier="236" item="0"/>
          <tpl fld="4" item="1"/>
        </tpls>
      </m>
      <m>
        <tpls c="4">
          <tpl fld="7" item="699"/>
          <tpl fld="6" item="2"/>
          <tpl hier="236" item="0"/>
          <tpl fld="4" item="4"/>
        </tpls>
      </m>
      <m>
        <tpls c="4">
          <tpl fld="7" item="782"/>
          <tpl fld="6" item="2"/>
          <tpl hier="236" item="0"/>
          <tpl fld="4" item="6"/>
        </tpls>
      </m>
      <m>
        <tpls c="4">
          <tpl fld="7" item="702"/>
          <tpl fld="6" item="2"/>
          <tpl hier="236" item="0"/>
          <tpl fld="4" item="4"/>
        </tpls>
      </m>
      <m>
        <tpls c="4">
          <tpl fld="7" item="785"/>
          <tpl fld="6" item="2"/>
          <tpl hier="236" item="0"/>
          <tpl fld="4" item="6"/>
        </tpls>
      </m>
      <m>
        <tpls c="4">
          <tpl fld="7" item="562"/>
          <tpl fld="6" item="2"/>
          <tpl hier="236" item="0"/>
          <tpl fld="1" item="0"/>
        </tpls>
      </m>
      <m>
        <tpls c="4">
          <tpl fld="7" item="788"/>
          <tpl fld="6" item="2"/>
          <tpl hier="236" item="0"/>
          <tpl fld="4" item="6"/>
        </tpls>
      </m>
      <m>
        <tpls c="4">
          <tpl fld="7" item="790"/>
          <tpl fld="6" item="2"/>
          <tpl hier="236" item="0"/>
          <tpl fld="4" item="1"/>
        </tpls>
      </m>
      <m>
        <tpls c="4">
          <tpl fld="7" item="710"/>
          <tpl fld="6" item="2"/>
          <tpl hier="236" item="0"/>
          <tpl fld="4" item="1"/>
        </tpls>
      </m>
      <m>
        <tpls c="3">
          <tpl fld="7" item="712"/>
          <tpl fld="6" item="3"/>
          <tpl hier="236" item="0"/>
        </tpls>
      </m>
      <m>
        <tpls c="4">
          <tpl fld="7" item="795"/>
          <tpl fld="6" item="1"/>
          <tpl hier="236" item="0"/>
          <tpl fld="4" item="5"/>
        </tpls>
      </m>
      <m>
        <tpls c="4">
          <tpl fld="7" item="1276"/>
          <tpl fld="6" item="1"/>
          <tpl hier="236" item="0"/>
          <tpl fld="4" item="1"/>
        </tpls>
      </m>
      <n v="438" in="1">
        <tpls c="6">
          <tpl fld="3" item="2"/>
          <tpl fld="11" item="0"/>
          <tpl fld="6" item="1"/>
          <tpl hier="236" item="0"/>
          <tpl fld="4" item="6"/>
          <tpl fld="10" item="8"/>
        </tpls>
      </n>
      <m>
        <tpls c="4">
          <tpl fld="7" item="135"/>
          <tpl fld="6" item="2"/>
          <tpl hier="236" item="0"/>
          <tpl fld="4" item="1"/>
        </tpls>
      </m>
      <m>
        <tpls c="4">
          <tpl fld="7" item="85"/>
          <tpl fld="6" item="1"/>
          <tpl hier="236" item="0"/>
          <tpl fld="4" item="4"/>
        </tpls>
      </m>
      <m>
        <tpls c="4">
          <tpl fld="7" item="408"/>
          <tpl fld="6" item="1"/>
          <tpl hier="236" item="0"/>
          <tpl fld="4" item="6"/>
        </tpls>
      </m>
      <m>
        <tpls c="4">
          <tpl fld="7" item="287"/>
          <tpl fld="6" item="2"/>
          <tpl hier="236" item="0"/>
          <tpl fld="4" item="4"/>
        </tpls>
      </m>
      <m>
        <tpls c="4">
          <tpl fld="7" item="198"/>
          <tpl fld="6" item="2"/>
          <tpl hier="236" item="0"/>
          <tpl fld="4" item="4"/>
        </tpls>
      </m>
      <m>
        <tpls c="4">
          <tpl fld="7" item="396"/>
          <tpl fld="6" item="2"/>
          <tpl hier="236" item="0"/>
          <tpl fld="4" item="6"/>
        </tpls>
      </m>
      <m>
        <tpls c="4">
          <tpl fld="7" item="143"/>
          <tpl fld="6" item="1"/>
          <tpl hier="236" item="0"/>
          <tpl fld="4" item="6"/>
        </tpls>
      </m>
      <m>
        <tpls c="4">
          <tpl fld="7" item="48"/>
          <tpl fld="6" item="1"/>
          <tpl hier="236" item="0"/>
          <tpl fld="4" item="4"/>
        </tpls>
      </m>
      <m>
        <tpls c="3">
          <tpl fld="7" item="482"/>
          <tpl fld="6" item="3"/>
          <tpl hier="236" item="0"/>
        </tpls>
      </m>
      <m>
        <tpls c="3">
          <tpl fld="7" item="486"/>
          <tpl fld="6" item="3"/>
          <tpl hier="236" item="0"/>
        </tpls>
      </m>
      <m>
        <tpls c="4">
          <tpl fld="7" item="204"/>
          <tpl fld="6" item="2"/>
          <tpl hier="236" item="0"/>
          <tpl fld="4" item="1"/>
        </tpls>
      </m>
      <m>
        <tpls c="4">
          <tpl fld="7" item="478"/>
          <tpl fld="6" item="1"/>
          <tpl hier="236" item="0"/>
          <tpl fld="4" item="5"/>
        </tpls>
      </m>
      <m>
        <tpls c="4">
          <tpl fld="7" item="421"/>
          <tpl fld="6" item="1"/>
          <tpl hier="236" item="0"/>
          <tpl fld="4" item="6"/>
        </tpls>
      </m>
      <m>
        <tpls c="4">
          <tpl fld="7" item="759"/>
          <tpl fld="6" item="2"/>
          <tpl hier="236" item="0"/>
          <tpl fld="4" item="4"/>
        </tpls>
      </m>
      <m>
        <tpls c="4">
          <tpl fld="7" item="523"/>
          <tpl fld="6" item="1"/>
          <tpl hier="236" item="0"/>
          <tpl fld="4" item="6"/>
        </tpls>
      </m>
      <m>
        <tpls c="4">
          <tpl fld="7" item="983"/>
          <tpl fld="6" item="1"/>
          <tpl hier="236" item="0"/>
          <tpl fld="4" item="1"/>
        </tpls>
      </m>
      <m>
        <tpls c="4">
          <tpl fld="7" item="540"/>
          <tpl fld="6" item="2"/>
          <tpl hier="236" item="0"/>
          <tpl fld="4" item="5"/>
        </tpls>
      </m>
      <m>
        <tpls c="4">
          <tpl fld="7" item="157"/>
          <tpl fld="6" item="2"/>
          <tpl hier="236" item="0"/>
          <tpl fld="4" item="1"/>
        </tpls>
      </m>
      <m>
        <tpls c="4">
          <tpl fld="7" item="103"/>
          <tpl fld="6" item="1"/>
          <tpl hier="236" item="0"/>
          <tpl fld="4" item="4"/>
        </tpls>
      </m>
      <n v="1" in="2">
        <tpls c="4">
          <tpl fld="7" item="504"/>
          <tpl fld="6" item="2"/>
          <tpl hier="236" item="0"/>
          <tpl fld="4" item="4"/>
        </tpls>
      </n>
      <n v="1" in="1">
        <tpls c="4">
          <tpl fld="7" item="382"/>
          <tpl fld="6" item="1"/>
          <tpl hier="236" item="0"/>
          <tpl fld="4" item="6"/>
        </tpls>
      </n>
      <m>
        <tpls c="3">
          <tpl fld="7" item="533"/>
          <tpl fld="6" item="3"/>
          <tpl hier="236" item="0"/>
        </tpls>
      </m>
      <m>
        <tpls c="4">
          <tpl fld="7" item="1086"/>
          <tpl fld="6" item="1"/>
          <tpl hier="236" item="0"/>
          <tpl fld="4" item="4"/>
        </tpls>
      </m>
      <m>
        <tpls c="4">
          <tpl fld="7" item="687"/>
          <tpl fld="6" item="1"/>
          <tpl hier="236" item="0"/>
          <tpl fld="4" item="4"/>
        </tpls>
      </m>
      <m>
        <tpls c="6">
          <tpl fld="3" item="2"/>
          <tpl fld="11" item="0"/>
          <tpl fld="6" item="1"/>
          <tpl hier="236" item="0"/>
          <tpl fld="4" item="7"/>
          <tpl fld="10" item="6"/>
        </tpls>
      </m>
      <m>
        <tpls c="4">
          <tpl fld="7" item="28"/>
          <tpl fld="6" item="2"/>
          <tpl hier="236" item="0"/>
          <tpl fld="4" item="1"/>
        </tpls>
      </m>
      <m>
        <tpls c="4">
          <tpl fld="7" item="152"/>
          <tpl fld="6" item="1"/>
          <tpl hier="236" item="0"/>
          <tpl fld="4" item="5"/>
        </tpls>
      </m>
      <m>
        <tpls c="4">
          <tpl fld="7" item="162"/>
          <tpl fld="6" item="1"/>
          <tpl hier="236" item="0"/>
          <tpl fld="4" item="5"/>
        </tpls>
      </m>
      <m>
        <tpls c="4">
          <tpl fld="7" item="176"/>
          <tpl fld="6" item="2"/>
          <tpl hier="236" item="0"/>
          <tpl fld="4" item="4"/>
        </tpls>
      </m>
      <m>
        <tpls c="4">
          <tpl fld="7" item="189"/>
          <tpl fld="6" item="1"/>
          <tpl hier="236" item="0"/>
          <tpl fld="4" item="4"/>
        </tpls>
      </m>
      <m>
        <tpls c="4">
          <tpl fld="7" item="310"/>
          <tpl fld="6" item="1"/>
          <tpl hier="236" item="0"/>
          <tpl fld="4" item="4"/>
        </tpls>
      </m>
      <m>
        <tpls c="4">
          <tpl fld="7" item="209"/>
          <tpl fld="6" item="2"/>
          <tpl hier="236" item="0"/>
          <tpl fld="4" item="4"/>
        </tpls>
      </m>
      <m>
        <tpls c="4">
          <tpl fld="7" item="213"/>
          <tpl fld="6" item="2"/>
          <tpl hier="236" item="0"/>
          <tpl fld="4" item="4"/>
        </tpls>
      </m>
      <m>
        <tpls c="4">
          <tpl fld="7" item="352"/>
          <tpl fld="6" item="2"/>
          <tpl hier="236" item="0"/>
          <tpl fld="4" item="4"/>
        </tpls>
      </m>
      <m>
        <tpls c="4">
          <tpl fld="7" item="426"/>
          <tpl fld="6" item="1"/>
          <tpl hier="236" item="0"/>
          <tpl fld="4" item="6"/>
        </tpls>
      </m>
      <n v="1" in="3">
        <tpls c="3">
          <tpl fld="7" item="758"/>
          <tpl fld="6" item="3"/>
          <tpl hier="236" item="0"/>
        </tpls>
      </n>
      <n v="2" in="2">
        <tpls c="4">
          <tpl fld="7" item="503"/>
          <tpl fld="6" item="2"/>
          <tpl hier="236" item="0"/>
          <tpl fld="4" item="1"/>
        </tpls>
      </n>
      <n v="4" in="1">
        <tpls c="4">
          <tpl fld="7" item="365"/>
          <tpl fld="6" item="1"/>
          <tpl hier="236" item="0"/>
          <tpl fld="4" item="4"/>
        </tpls>
      </n>
      <n v="0.95" in="2">
        <tpls c="4">
          <tpl fld="7" item="368"/>
          <tpl fld="6" item="2"/>
          <tpl hier="236" item="0"/>
          <tpl fld="4" item="4"/>
        </tpls>
      </n>
      <m>
        <tpls c="4">
          <tpl fld="7" item="442"/>
          <tpl fld="6" item="1"/>
          <tpl hier="236" item="0"/>
          <tpl fld="4" item="6"/>
        </tpls>
      </m>
      <n v="1" in="3">
        <tpls c="3">
          <tpl fld="7" item="762"/>
          <tpl fld="6" item="3"/>
          <tpl hier="236" item="0"/>
        </tpls>
      </n>
      <n v="3" in="2">
        <tpls c="4">
          <tpl fld="7" item="519"/>
          <tpl fld="6" item="2"/>
          <tpl hier="236" item="0"/>
          <tpl fld="4" item="1"/>
        </tpls>
      </n>
      <n v="3" in="1">
        <tpls c="4">
          <tpl fld="7" item="381"/>
          <tpl fld="6" item="1"/>
          <tpl hier="236" item="0"/>
          <tpl fld="4" item="4"/>
        </tpls>
      </n>
      <m>
        <tpls c="4">
          <tpl fld="7" item="384"/>
          <tpl fld="6" item="2"/>
          <tpl hier="236" item="0"/>
          <tpl fld="4" item="4"/>
        </tpls>
      </m>
      <m>
        <tpls c="4">
          <tpl fld="7" item="528"/>
          <tpl fld="6" item="2"/>
          <tpl hier="236" item="0"/>
          <tpl fld="4" item="6"/>
        </tpls>
      </m>
      <m>
        <tpls c="4">
          <tpl fld="7" item="459"/>
          <tpl fld="6" item="1"/>
          <tpl hier="236" item="0"/>
          <tpl fld="4" item="5"/>
        </tpls>
      </m>
      <m>
        <tpls c="4">
          <tpl fld="7" item="531"/>
          <tpl fld="6" item="1"/>
          <tpl hier="236" item="0"/>
          <tpl fld="4" item="6"/>
        </tpls>
      </m>
      <m>
        <tpls c="4">
          <tpl fld="7" item="462"/>
          <tpl fld="6" item="2"/>
          <tpl hier="236" item="0"/>
          <tpl fld="4" item="1"/>
        </tpls>
      </m>
      <m>
        <tpls c="4">
          <tpl fld="7" item="605"/>
          <tpl fld="6" item="2"/>
          <tpl hier="236" item="0"/>
          <tpl fld="1" item="0"/>
        </tpls>
      </m>
      <m>
        <tpls c="4">
          <tpl fld="7" item="394"/>
          <tpl fld="6" item="1"/>
          <tpl hier="236" item="0"/>
          <tpl fld="4" item="1"/>
        </tpls>
      </m>
      <m>
        <tpls c="4">
          <tpl fld="7" item="606"/>
          <tpl fld="6" item="1"/>
          <tpl hier="236" item="0"/>
          <tpl fld="1" item="0"/>
        </tpls>
      </m>
      <n v="1.2" in="2">
        <tpls c="4">
          <tpl fld="7" item="607"/>
          <tpl fld="6" item="2"/>
          <tpl hier="236" item="0"/>
          <tpl fld="4" item="4"/>
        </tpls>
      </n>
      <m>
        <tpls c="3">
          <tpl fld="7" item="688"/>
          <tpl fld="6" item="3"/>
          <tpl hier="236" item="0"/>
        </tpls>
      </m>
      <n v="20" in="1">
        <tpls c="4">
          <tpl fld="7" item="689"/>
          <tpl fld="6" item="1"/>
          <tpl hier="236" item="0"/>
          <tpl fld="4" item="4"/>
        </tpls>
      </n>
      <m>
        <tpls c="4">
          <tpl fld="7" item="690"/>
          <tpl fld="6" item="2"/>
          <tpl hier="236" item="0"/>
          <tpl fld="4" item="5"/>
        </tpls>
      </m>
      <m>
        <tpls c="4">
          <tpl fld="7" item="544"/>
          <tpl fld="6" item="2"/>
          <tpl hier="236" item="0"/>
          <tpl fld="4" item="6"/>
        </tpls>
      </m>
      <m>
        <tpls c="4">
          <tpl fld="7" item="774"/>
          <tpl fld="6" item="1"/>
          <tpl hier="236" item="0"/>
          <tpl fld="4" item="5"/>
        </tpls>
      </m>
      <n v="190" in="1">
        <tpls c="6">
          <tpl fld="3" item="0"/>
          <tpl fld="11" item="0"/>
          <tpl fld="6" item="1"/>
          <tpl hier="236" item="0"/>
          <tpl fld="4" item="4"/>
          <tpl fld="10" item="3"/>
        </tpls>
      </n>
      <m>
        <tpls c="4">
          <tpl fld="7" item="55"/>
          <tpl fld="6" item="2"/>
          <tpl hier="236" item="0"/>
          <tpl fld="4" item="1"/>
        </tpls>
      </m>
      <m>
        <tpls c="4">
          <tpl fld="7" item="318"/>
          <tpl fld="6" item="2"/>
          <tpl hier="236" item="0"/>
          <tpl fld="4" item="1"/>
        </tpls>
      </m>
      <n v="1" in="3">
        <tpls c="3">
          <tpl fld="7" item="500"/>
          <tpl fld="6" item="3"/>
          <tpl hier="236" item="0"/>
        </tpls>
      </n>
      <n v="2" in="1">
        <tpls c="4">
          <tpl fld="7" item="878"/>
          <tpl fld="6" item="1"/>
          <tpl hier="236" item="0"/>
          <tpl fld="4" item="6"/>
        </tpls>
      </n>
      <m>
        <tpls c="4">
          <tpl fld="7" item="455"/>
          <tpl fld="6" item="2"/>
          <tpl hier="236" item="0"/>
          <tpl fld="4" item="4"/>
        </tpls>
      </m>
      <n v="1" in="1">
        <tpls c="4">
          <tpl fld="7" item="462"/>
          <tpl fld="6" item="1"/>
          <tpl hier="236" item="0"/>
          <tpl fld="1" item="0"/>
        </tpls>
      </n>
      <m>
        <tpls c="4">
          <tpl fld="7" item="607"/>
          <tpl fld="6" item="2"/>
          <tpl hier="236" item="0"/>
          <tpl fld="4" item="5"/>
        </tpls>
      </m>
      <m>
        <tpls c="4">
          <tpl fld="7" item="542"/>
          <tpl fld="6" item="2"/>
          <tpl hier="236" item="0"/>
          <tpl fld="4" item="4"/>
        </tpls>
      </m>
      <m>
        <tpls c="4">
          <tpl fld="7" item="881"/>
          <tpl fld="6" item="1"/>
          <tpl hier="236" item="0"/>
          <tpl fld="1" item="0"/>
        </tpls>
      </m>
      <m>
        <tpls c="4">
          <tpl fld="7" item="693"/>
          <tpl fld="6" item="1"/>
          <tpl hier="236" item="0"/>
          <tpl fld="4" item="6"/>
        </tpls>
      </m>
      <m>
        <tpls c="4">
          <tpl fld="7" item="548"/>
          <tpl fld="6" item="1"/>
          <tpl hier="236" item="0"/>
          <tpl fld="4" item="5"/>
        </tpls>
      </m>
      <n v="3" in="1">
        <tpls c="4">
          <tpl fld="7" item="777"/>
          <tpl fld="6" item="1"/>
          <tpl hier="236" item="0"/>
          <tpl fld="4" item="6"/>
        </tpls>
      </n>
      <m>
        <tpls c="4">
          <tpl fld="7" item="551"/>
          <tpl fld="6" item="2"/>
          <tpl hier="236" item="0"/>
          <tpl fld="4" item="1"/>
        </tpls>
      </m>
      <m>
        <tpls c="4">
          <tpl fld="7" item="779"/>
          <tpl fld="6" item="2"/>
          <tpl hier="236" item="0"/>
          <tpl fld="1" item="0"/>
        </tpls>
      </m>
      <m>
        <tpls c="4">
          <tpl fld="7" item="1270"/>
          <tpl fld="6" item="1"/>
          <tpl hier="236" item="0"/>
          <tpl fld="4" item="1"/>
        </tpls>
      </m>
      <n v="2" in="1">
        <tpls c="4">
          <tpl fld="7" item="883"/>
          <tpl fld="6" item="1"/>
          <tpl hier="236" item="0"/>
          <tpl fld="1" item="0"/>
        </tpls>
      </n>
      <m>
        <tpls c="4">
          <tpl fld="7" item="621"/>
          <tpl fld="6" item="2"/>
          <tpl hier="236" item="0"/>
          <tpl fld="4" item="4"/>
        </tpls>
      </m>
      <m>
        <tpls c="3">
          <tpl fld="7" item="622"/>
          <tpl fld="6" item="3"/>
          <tpl hier="236" item="0"/>
        </tpls>
      </m>
      <m>
        <tpls c="4">
          <tpl fld="7" item="703"/>
          <tpl fld="6" item="1"/>
          <tpl hier="236" item="0"/>
          <tpl fld="4" item="4"/>
        </tpls>
      </m>
      <m>
        <tpls c="4">
          <tpl fld="7" item="561"/>
          <tpl fld="6" item="2"/>
          <tpl hier="236" item="0"/>
          <tpl fld="4" item="5"/>
        </tpls>
      </m>
      <m>
        <tpls c="4">
          <tpl fld="7" item="705"/>
          <tpl fld="6" item="2"/>
          <tpl hier="236" item="0"/>
          <tpl fld="4" item="6"/>
        </tpls>
      </m>
      <n v="1" in="1">
        <tpls c="4">
          <tpl fld="7" item="564"/>
          <tpl fld="6" item="1"/>
          <tpl hier="236" item="0"/>
          <tpl fld="4" item="5"/>
        </tpls>
      </n>
      <m>
        <tpls c="4">
          <tpl fld="7" item="885"/>
          <tpl fld="6" item="2"/>
          <tpl hier="236" item="0"/>
          <tpl fld="4" item="6"/>
        </tpls>
      </m>
      <m>
        <tpls c="4">
          <tpl fld="7" item="709"/>
          <tpl fld="6" item="2"/>
          <tpl hier="236" item="0"/>
          <tpl fld="4" item="6"/>
        </tpls>
      </m>
      <m>
        <tpls c="4">
          <tpl fld="7" item="1239"/>
          <tpl fld="6" item="2"/>
          <tpl hier="236" item="0"/>
          <tpl fld="4" item="6"/>
        </tpls>
      </m>
      <n v="4" in="1">
        <tpls c="4">
          <tpl fld="7" item="632"/>
          <tpl fld="6" item="1"/>
          <tpl hier="236" item="0"/>
          <tpl fld="4" item="4"/>
        </tpls>
      </n>
      <m>
        <tpls c="4">
          <tpl fld="7" item="633"/>
          <tpl fld="6" item="2"/>
          <tpl hier="236" item="0"/>
          <tpl fld="4" item="5"/>
        </tpls>
      </m>
      <m>
        <tpls c="4">
          <tpl fld="7" item="634"/>
          <tpl fld="6" item="2"/>
          <tpl hier="236" item="0"/>
          <tpl fld="4" item="6"/>
        </tpls>
      </m>
      <m>
        <tpls c="4">
          <tpl fld="7" item="715"/>
          <tpl fld="6" item="1"/>
          <tpl hier="236" item="0"/>
          <tpl fld="4" item="5"/>
        </tpls>
      </m>
      <m>
        <tpls c="4">
          <tpl fld="7" item="716"/>
          <tpl fld="6" item="1"/>
          <tpl hier="236" item="0"/>
          <tpl fld="4" item="6"/>
        </tpls>
      </m>
      <m>
        <tpls c="4">
          <tpl fld="7" item="799"/>
          <tpl fld="6" item="2"/>
          <tpl hier="236" item="0"/>
          <tpl fld="4" item="1"/>
        </tpls>
      </m>
      <m>
        <tpls c="4">
          <tpl fld="7" item="580"/>
          <tpl fld="6" item="2"/>
          <tpl hier="236" item="0"/>
          <tpl fld="1" item="0"/>
        </tpls>
      </m>
      <m>
        <tpls c="4">
          <tpl fld="7" item="591"/>
          <tpl fld="6" item="2"/>
          <tpl hier="236" item="0"/>
          <tpl fld="4" item="1"/>
        </tpls>
      </m>
      <m>
        <tpls c="4">
          <tpl fld="7" item="594"/>
          <tpl fld="6" item="2"/>
          <tpl hier="236" item="0"/>
          <tpl fld="4" item="1"/>
        </tpls>
      </m>
      <m>
        <tpls c="3">
          <tpl fld="7" item="497"/>
          <tpl fld="6" item="3"/>
          <tpl hier="236" item="0"/>
        </tpls>
      </m>
      <m>
        <tpls c="4">
          <tpl fld="7" item="599"/>
          <tpl fld="6" item="1"/>
          <tpl hier="236" item="0"/>
          <tpl fld="4" item="6"/>
        </tpls>
      </m>
      <m>
        <tpls c="4">
          <tpl fld="7" item="452"/>
          <tpl fld="6" item="2"/>
          <tpl hier="236" item="0"/>
          <tpl fld="4" item="4"/>
        </tpls>
      </m>
      <m>
        <tpls c="4">
          <tpl fld="7" item="390"/>
          <tpl fld="6" item="2"/>
          <tpl hier="236" item="0"/>
          <tpl fld="4" item="1"/>
        </tpls>
      </m>
      <m>
        <tpls c="4">
          <tpl fld="7" item="537"/>
          <tpl fld="6" item="2"/>
          <tpl hier="236" item="0"/>
          <tpl fld="4" item="4"/>
        </tpls>
      </m>
      <m>
        <tpls c="4">
          <tpl fld="7" item="689"/>
          <tpl fld="6" item="2"/>
          <tpl hier="236" item="0"/>
          <tpl fld="4" item="6"/>
        </tpls>
      </m>
      <m>
        <tpls c="4">
          <tpl fld="7" item="544"/>
          <tpl fld="6" item="1"/>
          <tpl hier="236" item="0"/>
          <tpl fld="4" item="1"/>
        </tpls>
      </m>
      <n v="2" in="1">
        <tpls c="4">
          <tpl fld="7" item="546"/>
          <tpl fld="6" item="1"/>
          <tpl hier="236" item="0"/>
          <tpl fld="4" item="5"/>
        </tpls>
      </n>
      <m>
        <tpls c="4">
          <tpl fld="7" item="694"/>
          <tpl fld="6" item="2"/>
          <tpl hier="236" item="0"/>
          <tpl fld="4" item="1"/>
        </tpls>
      </m>
      <m>
        <tpls c="4">
          <tpl fld="7" item="549"/>
          <tpl fld="6" item="2"/>
          <tpl hier="236" item="0"/>
          <tpl fld="1" item="0"/>
        </tpls>
      </m>
      <n v="1" in="1">
        <tpls c="4">
          <tpl fld="7" item="696"/>
          <tpl fld="6" item="1"/>
          <tpl hier="236" item="0"/>
          <tpl fld="4" item="1"/>
        </tpls>
      </n>
      <n v="3" in="1">
        <tpls c="4">
          <tpl fld="7" item="552"/>
          <tpl fld="6" item="1"/>
          <tpl hier="236" item="0"/>
          <tpl fld="1" item="0"/>
        </tpls>
      </n>
      <m>
        <tpls c="4">
          <tpl fld="7" item="780"/>
          <tpl fld="6" item="2"/>
          <tpl hier="236" item="0"/>
          <tpl fld="4" item="4"/>
        </tpls>
      </m>
      <m>
        <tpls c="3">
          <tpl fld="7" item="555"/>
          <tpl fld="6" item="3"/>
          <tpl hier="236" item="0"/>
        </tpls>
      </m>
      <n v="1" in="1">
        <tpls c="4">
          <tpl fld="7" item="987"/>
          <tpl fld="6" item="1"/>
          <tpl hier="236" item="0"/>
          <tpl fld="4" item="4"/>
        </tpls>
      </n>
      <m>
        <tpls c="4">
          <tpl fld="7" item="1090"/>
          <tpl fld="6" item="2"/>
          <tpl hier="236" item="0"/>
          <tpl fld="4" item="5"/>
        </tpls>
      </m>
      <m>
        <tpls c="4">
          <tpl fld="7" item="1187"/>
          <tpl fld="6" item="2"/>
          <tpl hier="236" item="0"/>
          <tpl fld="4" item="6"/>
        </tpls>
      </m>
      <m>
        <tpls c="4">
          <tpl fld="7" item="624"/>
          <tpl fld="6" item="1"/>
          <tpl hier="236" item="0"/>
          <tpl fld="4" item="5"/>
        </tpls>
      </m>
      <n v="3" in="1">
        <tpls c="4">
          <tpl fld="7" item="625"/>
          <tpl fld="6" item="1"/>
          <tpl hier="236" item="0"/>
          <tpl fld="4" item="6"/>
        </tpls>
      </n>
      <m>
        <tpls c="4">
          <tpl fld="7" item="706"/>
          <tpl fld="6" item="2"/>
          <tpl hier="236" item="0"/>
          <tpl fld="4" item="1"/>
        </tpls>
      </m>
      <n v="2" in="1">
        <tpls c="4">
          <tpl fld="7" item="707"/>
          <tpl fld="6" item="1"/>
          <tpl hier="236" item="0"/>
          <tpl fld="4" item="1"/>
        </tpls>
      </n>
      <n v="3" in="1">
        <tpls c="4">
          <tpl fld="7" item="989"/>
          <tpl fld="6" item="1"/>
          <tpl hier="236" item="0"/>
          <tpl fld="4" item="1"/>
        </tpls>
      </n>
      <n v="1" in="1">
        <tpls c="4">
          <tpl fld="7" item="710"/>
          <tpl fld="6" item="1"/>
          <tpl hier="236" item="0"/>
          <tpl fld="4" item="1"/>
        </tpls>
      </n>
      <m>
        <tpls c="4">
          <tpl fld="7" item="571"/>
          <tpl fld="6" item="2"/>
          <tpl hier="236" item="0"/>
          <tpl fld="4" item="6"/>
        </tpls>
      </m>
      <m>
        <tpls c="4">
          <tpl fld="7" item="990"/>
          <tpl fld="6" item="1"/>
          <tpl hier="236" item="0"/>
          <tpl fld="4" item="5"/>
        </tpls>
      </m>
      <m>
        <tpls c="4">
          <tpl fld="7" item="574"/>
          <tpl fld="6" item="1"/>
          <tpl hier="236" item="0"/>
          <tpl fld="4" item="6"/>
        </tpls>
      </m>
      <m>
        <tpls c="4">
          <tpl fld="7" item="635"/>
          <tpl fld="6" item="2"/>
          <tpl hier="236" item="0"/>
          <tpl fld="4" item="1"/>
        </tpls>
      </m>
      <m>
        <tpls c="4">
          <tpl fld="7" item="636"/>
          <tpl fld="6" item="2"/>
          <tpl hier="236" item="0"/>
          <tpl fld="1" item="0"/>
        </tpls>
      </m>
      <n v="2" in="1">
        <tpls c="4">
          <tpl fld="7" item="637"/>
          <tpl fld="6" item="1"/>
          <tpl hier="236" item="0"/>
          <tpl fld="4" item="1"/>
        </tpls>
      </n>
      <n v="3" in="1">
        <tpls c="4">
          <tpl fld="7" item="718"/>
          <tpl fld="6" item="1"/>
          <tpl hier="236" item="0"/>
          <tpl fld="1" item="0"/>
        </tpls>
      </n>
      <m>
        <tpls c="4">
          <tpl fld="7" item="50"/>
          <tpl fld="6" item="2"/>
          <tpl hier="236" item="0"/>
          <tpl fld="4" item="1"/>
        </tpls>
      </m>
      <m>
        <tpls c="4">
          <tpl fld="7" item="99"/>
          <tpl fld="6" item="1"/>
          <tpl hier="236" item="0"/>
          <tpl fld="4" item="6"/>
        </tpls>
      </m>
      <m>
        <tpls c="3">
          <tpl fld="7" item="498"/>
          <tpl fld="6" item="3"/>
          <tpl hier="236" item="0"/>
        </tpls>
      </m>
      <m>
        <tpls c="4">
          <tpl fld="7" item="679"/>
          <tpl fld="6" item="1"/>
          <tpl hier="236" item="0"/>
          <tpl fld="4" item="6"/>
        </tpls>
      </m>
      <m>
        <tpls c="4">
          <tpl fld="7" item="453"/>
          <tpl fld="6" item="2"/>
          <tpl hier="236" item="0"/>
          <tpl fld="4" item="4"/>
        </tpls>
      </m>
      <m>
        <tpls c="4">
          <tpl fld="7" item="461"/>
          <tpl fld="6" item="2"/>
          <tpl hier="236" item="0"/>
          <tpl fld="1" item="0"/>
        </tpls>
      </m>
      <m>
        <tpls c="3">
          <tpl fld="7" item="768"/>
          <tpl fld="6" item="3"/>
          <tpl hier="236" item="0"/>
        </tpls>
      </m>
      <n v="20" in="1">
        <tpls c="4">
          <tpl fld="7" item="771"/>
          <tpl fld="6" item="1"/>
          <tpl hier="236" item="0"/>
          <tpl fld="1" item="0"/>
        </tpls>
      </n>
      <n v="1" in="1">
        <tpls c="4">
          <tpl fld="7" item="773"/>
          <tpl fld="6" item="1"/>
          <tpl hier="236" item="0"/>
          <tpl fld="4" item="6"/>
        </tpls>
      </n>
      <m>
        <tpls c="4">
          <tpl fld="7" item="613"/>
          <tpl fld="6" item="2"/>
          <tpl hier="236" item="0"/>
          <tpl fld="4" item="1"/>
        </tpls>
      </m>
      <n v="11" in="1">
        <tpls c="4">
          <tpl fld="7" item="694"/>
          <tpl fld="6" item="1"/>
          <tpl hier="236" item="0"/>
          <tpl fld="1" item="0"/>
        </tpls>
      </n>
      <m>
        <tpls c="4">
          <tpl fld="7" item="695"/>
          <tpl fld="6" item="2"/>
          <tpl hier="236" item="0"/>
          <tpl fld="4" item="4"/>
        </tpls>
      </m>
      <m>
        <tpls c="3">
          <tpl fld="7" item="778"/>
          <tpl fld="6" item="3"/>
          <tpl hier="236" item="0"/>
        </tpls>
      </m>
      <n v="1" in="1">
        <tpls c="4">
          <tpl fld="7" item="779"/>
          <tpl fld="6" item="1"/>
          <tpl hier="236" item="0"/>
          <tpl fld="4" item="4"/>
        </tpls>
      </n>
      <m>
        <tpls c="4">
          <tpl fld="7" item="259"/>
          <tpl fld="6" item="1"/>
          <tpl hier="236" item="0"/>
          <tpl fld="1" item="0"/>
        </tpls>
      </m>
      <m>
        <tpls c="4">
          <tpl fld="7" item="76"/>
          <tpl fld="6" item="1"/>
          <tpl hier="236" item="0"/>
          <tpl fld="4" item="6"/>
        </tpls>
      </m>
      <m>
        <tpls c="4">
          <tpl fld="7" item="147"/>
          <tpl fld="6" item="1"/>
          <tpl hier="236" item="0"/>
          <tpl fld="4" item="6"/>
        </tpls>
      </m>
      <n v="0" in="1">
        <tpls c="4">
          <tpl fld="7" item="192"/>
          <tpl fld="6" item="1"/>
          <tpl hier="236" item="0"/>
          <tpl fld="4" item="4"/>
        </tpls>
      </n>
      <m>
        <tpls c="4">
          <tpl fld="7" item="323"/>
          <tpl fld="6" item="2"/>
          <tpl hier="236" item="0"/>
          <tpl fld="4" item="4"/>
        </tpls>
      </m>
      <n v="1" in="1">
        <tpls c="4">
          <tpl fld="7" item="685"/>
          <tpl fld="6" item="1"/>
          <tpl hier="236" item="0"/>
          <tpl fld="4" item="4"/>
        </tpls>
      </n>
      <m>
        <tpls c="4">
          <tpl fld="7" item="107"/>
          <tpl fld="6" item="2"/>
          <tpl hier="236" item="0"/>
          <tpl fld="4" item="4"/>
        </tpls>
      </m>
      <m>
        <tpls c="4">
          <tpl fld="7" item="685"/>
          <tpl fld="6" item="1"/>
          <tpl hier="236" item="0"/>
          <tpl fld="4" item="5"/>
        </tpls>
      </m>
      <m>
        <tpls c="4">
          <tpl fld="7" item="333"/>
          <tpl fld="6" item="1"/>
          <tpl hier="236" item="0"/>
          <tpl fld="4" item="6"/>
        </tpls>
      </m>
      <m>
        <tpls c="4">
          <tpl fld="7" item="301"/>
          <tpl fld="6" item="2"/>
          <tpl hier="236" item="0"/>
          <tpl fld="4" item="4"/>
        </tpls>
      </m>
      <m>
        <tpls c="4">
          <tpl fld="7" item="353"/>
          <tpl fld="6" item="2"/>
          <tpl hier="236" item="0"/>
          <tpl fld="4" item="4"/>
        </tpls>
      </m>
      <n v="4" in="1">
        <tpls c="4">
          <tpl fld="7" item="366"/>
          <tpl fld="6" item="1"/>
          <tpl hier="236" item="0"/>
          <tpl fld="4" item="4"/>
        </tpls>
      </n>
      <n v="0.75" in="2">
        <tpls c="4">
          <tpl fld="7" item="520"/>
          <tpl fld="6" item="2"/>
          <tpl hier="236" item="0"/>
          <tpl fld="4" item="1"/>
        </tpls>
      </n>
      <m>
        <tpls c="4">
          <tpl fld="7" item="530"/>
          <tpl fld="6" item="1"/>
          <tpl hier="236" item="0"/>
          <tpl fld="4" item="6"/>
        </tpls>
      </m>
      <n v="6" in="1">
        <tpls c="4">
          <tpl fld="7" item="767"/>
          <tpl fld="6" item="1"/>
          <tpl hier="236" item="0"/>
          <tpl fld="1" item="0"/>
        </tpls>
      </n>
      <m>
        <tpls c="4">
          <tpl fld="7" item="771"/>
          <tpl fld="6" item="2"/>
          <tpl hier="236" item="0"/>
          <tpl fld="4" item="5"/>
        </tpls>
      </m>
      <m>
        <tpls c="4">
          <tpl fld="7" item="135"/>
          <tpl fld="6" item="2"/>
          <tpl hier="236" item="0"/>
          <tpl fld="4" item="4"/>
        </tpls>
      </m>
      <n v="4" in="1">
        <tpls c="4">
          <tpl fld="7" item="982"/>
          <tpl fld="6" item="1"/>
          <tpl hier="236" item="0"/>
          <tpl fld="4" item="6"/>
        </tpls>
      </n>
      <n v="7" in="1">
        <tpls c="4">
          <tpl fld="7" item="543"/>
          <tpl fld="6" item="1"/>
          <tpl hier="236" item="0"/>
          <tpl fld="4" item="4"/>
        </tpls>
      </n>
      <m>
        <tpls c="4">
          <tpl fld="7" item="550"/>
          <tpl fld="6" item="2"/>
          <tpl hier="236" item="0"/>
          <tpl fld="4" item="1"/>
        </tpls>
      </m>
      <m>
        <tpls c="4">
          <tpl fld="7" item="700"/>
          <tpl fld="6" item="2"/>
          <tpl hier="236" item="0"/>
          <tpl fld="4" item="4"/>
        </tpls>
      </m>
      <m>
        <tpls c="4">
          <tpl fld="7" item="786"/>
          <tpl fld="6" item="2"/>
          <tpl hier="236" item="0"/>
          <tpl fld="4" item="6"/>
        </tpls>
      </m>
      <n v="2" in="1">
        <tpls c="4">
          <tpl fld="7" item="1092"/>
          <tpl fld="6" item="1"/>
          <tpl hier="236" item="0"/>
          <tpl fld="4" item="4"/>
        </tpls>
      </n>
      <n v="1" in="1">
        <tpls c="4">
          <tpl fld="7" item="796"/>
          <tpl fld="6" item="1"/>
          <tpl hier="236" item="0"/>
          <tpl fld="4" item="5"/>
        </tpls>
      </n>
      <n v="24.677027027027027" in="2">
        <tpls c="6">
          <tpl fld="11" item="0"/>
          <tpl fld="6" item="2"/>
          <tpl fld="8" item="1"/>
          <tpl hier="236" item="0"/>
          <tpl fld="4" item="6"/>
          <tpl fld="10" item="4"/>
        </tpls>
      </n>
      <n v="1" in="1">
        <tpls c="4">
          <tpl fld="7" item="600"/>
          <tpl fld="6" item="1"/>
          <tpl hier="236" item="0"/>
          <tpl fld="4" item="6"/>
        </tpls>
      </n>
      <m>
        <tpls c="4">
          <tpl fld="7" item="610"/>
          <tpl fld="6" item="1"/>
          <tpl hier="236" item="0"/>
          <tpl fld="4" item="6"/>
        </tpls>
      </m>
      <n v="5" in="1">
        <tpls c="4">
          <tpl fld="7" item="777"/>
          <tpl fld="6" item="1"/>
          <tpl hier="236" item="0"/>
          <tpl fld="4" item="1"/>
        </tpls>
      </n>
      <m>
        <tpls c="4">
          <tpl fld="7" item="620"/>
          <tpl fld="6" item="1"/>
          <tpl hier="236" item="0"/>
          <tpl fld="4" item="4"/>
        </tpls>
      </m>
      <n v="5" in="1">
        <tpls c="4">
          <tpl fld="7" item="704"/>
          <tpl fld="6" item="1"/>
          <tpl hier="236" item="0"/>
          <tpl fld="4" item="6"/>
        </tpls>
      </n>
      <m>
        <tpls c="4">
          <tpl fld="7" item="568"/>
          <tpl fld="6" item="2"/>
          <tpl hier="236" item="0"/>
          <tpl fld="4" item="1"/>
        </tpls>
      </m>
      <m>
        <tpls c="4">
          <tpl fld="7" item="714"/>
          <tpl fld="6" item="2"/>
          <tpl hier="236" item="0"/>
          <tpl fld="4" item="1"/>
        </tpls>
      </m>
      <m>
        <tpls c="4">
          <tpl fld="7" item="578"/>
          <tpl fld="6" item="2"/>
          <tpl hier="236" item="0"/>
          <tpl fld="4" item="6"/>
        </tpls>
      </m>
      <n v="608" in="1">
        <tpls c="6">
          <tpl fld="11" item="0"/>
          <tpl fld="2" item="1"/>
          <tpl fld="6" item="1"/>
          <tpl hier="236" item="0"/>
          <tpl fld="4" item="4"/>
          <tpl fld="10" item="6"/>
        </tpls>
      </n>
      <m>
        <tpls c="4">
          <tpl fld="7" item="71"/>
          <tpl fld="6" item="2"/>
          <tpl hier="236" item="0"/>
          <tpl fld="4" item="1"/>
        </tpls>
      </m>
      <m>
        <tpls c="4">
          <tpl fld="7" item="425"/>
          <tpl fld="6" item="2"/>
          <tpl hier="236" item="0"/>
          <tpl fld="4" item="4"/>
        </tpls>
      </m>
      <m>
        <tpls c="4">
          <tpl fld="7" item="442"/>
          <tpl fld="6" item="1"/>
          <tpl hier="236" item="0"/>
          <tpl fld="4" item="4"/>
        </tpls>
      </m>
      <m>
        <tpls c="4">
          <tpl fld="7" item="387"/>
          <tpl fld="6" item="2"/>
          <tpl hier="236" item="0"/>
          <tpl fld="4" item="5"/>
        </tpls>
      </m>
      <m>
        <tpls c="4">
          <tpl fld="7" item="395"/>
          <tpl fld="6" item="2"/>
          <tpl hier="236" item="0"/>
          <tpl fld="4" item="5"/>
        </tpls>
      </m>
      <m>
        <tpls c="4">
          <tpl fld="7" item="542"/>
          <tpl fld="6" item="1"/>
          <tpl hier="236" item="0"/>
          <tpl fld="4" item="4"/>
        </tpls>
      </m>
      <n v="1" in="1">
        <tpls c="4">
          <tpl fld="7" item="545"/>
          <tpl fld="6" item="1"/>
          <tpl hier="236" item="0"/>
          <tpl fld="4" item="1"/>
        </tpls>
      </n>
      <m>
        <tpls c="4">
          <tpl fld="7" item="614"/>
          <tpl fld="6" item="1"/>
          <tpl hier="236" item="0"/>
          <tpl fld="4" item="5"/>
        </tpls>
      </m>
      <m>
        <tpls c="4">
          <tpl fld="7" item="777"/>
          <tpl fld="6" item="2"/>
          <tpl hier="236" item="0"/>
          <tpl fld="4" item="1"/>
        </tpls>
      </m>
      <n v="2" in="1">
        <tpls c="4">
          <tpl fld="7" item="986"/>
          <tpl fld="6" item="1"/>
          <tpl hier="236" item="0"/>
          <tpl fld="4" item="1"/>
        </tpls>
      </n>
      <n v="7" in="1">
        <tpls c="4">
          <tpl fld="7" item="698"/>
          <tpl fld="6" item="1"/>
          <tpl hier="236" item="0"/>
          <tpl fld="4" item="4"/>
        </tpls>
      </n>
      <m>
        <tpls c="4">
          <tpl fld="7" item="699"/>
          <tpl fld="6" item="2"/>
          <tpl hier="236" item="0"/>
          <tpl fld="4" item="5"/>
        </tpls>
      </m>
      <m>
        <tpls c="4">
          <tpl fld="7" item="556"/>
          <tpl fld="6" item="2"/>
          <tpl hier="236" item="0"/>
          <tpl fld="4" item="6"/>
        </tpls>
      </m>
      <m>
        <tpls c="4">
          <tpl fld="7" item="783"/>
          <tpl fld="6" item="1"/>
          <tpl hier="236" item="0"/>
          <tpl fld="4" item="5"/>
        </tpls>
      </m>
      <m>
        <tpls c="4">
          <tpl fld="7" item="559"/>
          <tpl fld="6" item="1"/>
          <tpl hier="236" item="0"/>
          <tpl fld="4" item="6"/>
        </tpls>
      </m>
      <m>
        <tpls c="4">
          <tpl fld="7" item="884"/>
          <tpl fld="6" item="2"/>
          <tpl hier="236" item="0"/>
          <tpl fld="4" item="1"/>
        </tpls>
      </m>
      <n v="1" in="2">
        <tpls c="4">
          <tpl fld="7" item="988"/>
          <tpl fld="6" item="2"/>
          <tpl hier="236" item="0"/>
          <tpl fld="1" item="0"/>
        </tpls>
      </n>
      <m>
        <tpls c="4">
          <tpl fld="7" item="1091"/>
          <tpl fld="6" item="1"/>
          <tpl hier="236" item="0"/>
          <tpl fld="4" item="1"/>
        </tpls>
      </m>
      <m>
        <tpls c="4">
          <tpl fld="7" item="627"/>
          <tpl fld="6" item="2"/>
          <tpl hier="236" item="0"/>
          <tpl fld="4" item="5"/>
        </tpls>
      </m>
      <m>
        <tpls c="4">
          <tpl fld="7" item="790"/>
          <tpl fld="6" item="2"/>
          <tpl hier="236" item="0"/>
          <tpl fld="4" item="5"/>
        </tpls>
      </m>
      <m>
        <tpls c="4">
          <tpl fld="7" item="630"/>
          <tpl fld="6" item="2"/>
          <tpl hier="236" item="0"/>
          <tpl fld="4" item="5"/>
        </tpls>
      </m>
      <m>
        <tpls c="4">
          <tpl fld="7" item="793"/>
          <tpl fld="6" item="1"/>
          <tpl hier="236" item="0"/>
          <tpl fld="4" item="6"/>
        </tpls>
      </m>
      <m>
        <tpls c="4">
          <tpl fld="7" item="794"/>
          <tpl fld="6" item="2"/>
          <tpl hier="236" item="0"/>
          <tpl fld="4" item="1"/>
        </tpls>
      </m>
      <m>
        <tpls c="4">
          <tpl fld="7" item="795"/>
          <tpl fld="6" item="2"/>
          <tpl hier="236" item="0"/>
          <tpl fld="1" item="0"/>
        </tpls>
      </m>
      <m>
        <tpls c="4">
          <tpl fld="7" item="575"/>
          <tpl fld="6" item="1"/>
          <tpl hier="236" item="0"/>
          <tpl fld="4" item="1"/>
        </tpls>
      </m>
      <n v="4" in="1">
        <tpls c="4">
          <tpl fld="7" item="887"/>
          <tpl fld="6" item="1"/>
          <tpl hier="236" item="0"/>
          <tpl fld="1" item="0"/>
        </tpls>
      </n>
      <m>
        <tpls c="4">
          <tpl fld="7" item="578"/>
          <tpl fld="6" item="2"/>
          <tpl hier="236" item="0"/>
          <tpl fld="4" item="4"/>
        </tpls>
      </m>
      <m>
        <tpls c="3">
          <tpl fld="7" item="638"/>
          <tpl fld="6" item="3"/>
          <tpl hier="236" item="0"/>
        </tpls>
      </m>
      <n v="3" in="1">
        <tpls c="4">
          <tpl fld="7" item="581"/>
          <tpl fld="6" item="1"/>
          <tpl hier="236" item="0"/>
          <tpl fld="4" item="4"/>
        </tpls>
      </n>
      <m>
        <tpls c="4">
          <tpl fld="7" item="640"/>
          <tpl fld="6" item="2"/>
          <tpl hier="236" item="0"/>
          <tpl fld="4" item="5"/>
        </tpls>
      </m>
      <m>
        <tpls c="4">
          <tpl fld="7" item="721"/>
          <tpl fld="6" item="2"/>
          <tpl hier="236" item="0"/>
          <tpl fld="4" item="6"/>
        </tpls>
      </m>
      <n v="1" in="1">
        <tpls c="4">
          <tpl fld="7" item="722"/>
          <tpl fld="6" item="1"/>
          <tpl hier="236" item="0"/>
          <tpl fld="4" item="5"/>
        </tpls>
      </n>
      <m>
        <tpls c="4">
          <tpl fld="7" item="1211"/>
          <tpl fld="6" item="2"/>
          <tpl hier="236" item="0"/>
          <tpl fld="4" item="4"/>
        </tpls>
      </m>
      <m>
        <tpls c="4">
          <tpl fld="7" item="535"/>
          <tpl fld="6" item="2"/>
          <tpl hier="236" item="0"/>
          <tpl fld="4" item="4"/>
        </tpls>
      </m>
      <m>
        <tpls c="4">
          <tpl fld="7" item="1088"/>
          <tpl fld="6" item="2"/>
          <tpl hier="236" item="0"/>
          <tpl fld="4" item="1"/>
        </tpls>
      </m>
      <m>
        <tpls c="4">
          <tpl fld="7" item="553"/>
          <tpl fld="6" item="2"/>
          <tpl hier="236" item="0"/>
          <tpl fld="4" item="4"/>
        </tpls>
      </m>
      <m>
        <tpls c="4">
          <tpl fld="7" item="784"/>
          <tpl fld="6" item="2"/>
          <tpl hier="236" item="0"/>
          <tpl fld="4" item="6"/>
        </tpls>
      </m>
      <m>
        <tpls c="4">
          <tpl fld="7" item="1213"/>
          <tpl fld="6" item="2"/>
          <tpl hier="236" item="0"/>
          <tpl fld="1" item="0"/>
        </tpls>
      </m>
      <m>
        <tpls c="4">
          <tpl fld="7" item="572"/>
          <tpl fld="6" item="1"/>
          <tpl hier="236" item="0"/>
          <tpl fld="4" item="5"/>
        </tpls>
      </m>
      <m>
        <tpls c="4">
          <tpl fld="7" item="991"/>
          <tpl fld="6" item="1"/>
          <tpl hier="236" item="0"/>
          <tpl fld="4" item="1"/>
        </tpls>
      </m>
      <m>
        <tpls c="4">
          <tpl fld="7" item="719"/>
          <tpl fld="6" item="2"/>
          <tpl hier="236" item="0"/>
          <tpl fld="4" item="6"/>
        </tpls>
      </m>
      <m>
        <tpls c="4">
          <tpl fld="7" item="992"/>
          <tpl fld="6" item="2"/>
          <tpl hier="236" item="0"/>
          <tpl fld="4" item="4"/>
        </tpls>
      </m>
      <m>
        <tpls c="3">
          <tpl fld="7" item="722"/>
          <tpl fld="6" item="3"/>
          <tpl hier="236" item="0"/>
        </tpls>
      </m>
      <m>
        <tpls c="4">
          <tpl fld="7" item="805"/>
          <tpl fld="6" item="2"/>
          <tpl hier="236" item="0"/>
          <tpl fld="4" item="6"/>
        </tpls>
      </m>
      <n v="1" in="1">
        <tpls c="4">
          <tpl fld="7" item="806"/>
          <tpl fld="6" item="1"/>
          <tpl hier="236" item="0"/>
          <tpl fld="4" item="5"/>
        </tpls>
      </n>
      <n v="4" in="1">
        <tpls c="4">
          <tpl fld="7" item="646"/>
          <tpl fld="6" item="1"/>
          <tpl hier="236" item="0"/>
          <tpl fld="4" item="6"/>
        </tpls>
      </n>
      <m>
        <tpls c="4">
          <tpl fld="7" item="809"/>
          <tpl fld="6" item="2"/>
          <tpl hier="236" item="0"/>
          <tpl fld="4" item="1"/>
        </tpls>
      </m>
      <m>
        <tpls c="4">
          <tpl fld="7" item="994"/>
          <tpl fld="6" item="2"/>
          <tpl hier="236" item="0"/>
          <tpl fld="1" item="0"/>
        </tpls>
      </m>
      <n v="3" in="1">
        <tpls c="4">
          <tpl fld="7" item="730"/>
          <tpl fld="6" item="1"/>
          <tpl hier="236" item="0"/>
          <tpl fld="4" item="1"/>
        </tpls>
      </n>
      <n v="4" in="1">
        <tpls c="4">
          <tpl fld="7" item="891"/>
          <tpl fld="6" item="1"/>
          <tpl hier="236" item="0"/>
          <tpl fld="1" item="0"/>
        </tpls>
      </n>
      <m>
        <tpls c="4">
          <tpl fld="7" item="733"/>
          <tpl fld="6" item="2"/>
          <tpl hier="236" item="0"/>
          <tpl fld="4" item="4"/>
        </tpls>
      </m>
      <m>
        <tpls c="3">
          <tpl fld="7" item="1189"/>
          <tpl fld="6" item="3"/>
          <tpl hier="236" item="0"/>
        </tpls>
      </m>
      <n v="1" in="1">
        <tpls c="4">
          <tpl fld="7" item="736"/>
          <tpl fld="6" item="1"/>
          <tpl hier="236" item="0"/>
          <tpl fld="4" item="4"/>
        </tpls>
      </n>
      <m>
        <tpls c="4">
          <tpl fld="7" item="819"/>
          <tpl fld="6" item="2"/>
          <tpl hier="236" item="0"/>
          <tpl fld="4" item="5"/>
        </tpls>
      </m>
      <m>
        <tpls c="4">
          <tpl fld="7" item="659"/>
          <tpl fld="6" item="2"/>
          <tpl hier="236" item="0"/>
          <tpl fld="4" item="6"/>
        </tpls>
      </m>
      <m>
        <tpls c="4">
          <tpl fld="7" item="822"/>
          <tpl fld="6" item="1"/>
          <tpl hier="236" item="0"/>
          <tpl fld="4" item="5"/>
        </tpls>
      </m>
      <m>
        <tpls c="4">
          <tpl fld="7" item="662"/>
          <tpl fld="6" item="1"/>
          <tpl hier="236" item="0"/>
          <tpl fld="4" item="6"/>
        </tpls>
      </m>
      <n v="1" in="2">
        <tpls c="4">
          <tpl fld="7" item="825"/>
          <tpl fld="6" item="2"/>
          <tpl hier="236" item="0"/>
          <tpl fld="4" item="1"/>
        </tpls>
      </n>
      <m>
        <tpls c="4">
          <tpl fld="7" item="745"/>
          <tpl fld="6" item="1"/>
          <tpl hier="236" item="0"/>
          <tpl fld="4" item="5"/>
        </tpls>
      </m>
      <n v="1" in="1">
        <tpls c="4">
          <tpl fld="7" item="747"/>
          <tpl fld="6" item="1"/>
          <tpl hier="236" item="0"/>
          <tpl fld="4" item="5"/>
        </tpls>
      </n>
      <m>
        <tpls c="4">
          <tpl fld="7" item="1000"/>
          <tpl fld="6" item="2"/>
          <tpl hier="236" item="0"/>
          <tpl fld="4" item="1"/>
        </tpls>
      </m>
      <m>
        <tpls c="4">
          <tpl fld="7" item="1271"/>
          <tpl fld="6" item="1"/>
          <tpl hier="236" item="0"/>
          <tpl fld="4" item="4"/>
        </tpls>
      </m>
      <m>
        <tpls c="4">
          <tpl fld="7" item="901"/>
          <tpl fld="6" item="2"/>
          <tpl hier="236" item="0"/>
          <tpl fld="4" item="4"/>
        </tpls>
      </m>
      <m>
        <tpls c="4">
          <tpl fld="7" item="841"/>
          <tpl fld="6" item="1"/>
          <tpl hier="236" item="0"/>
          <tpl fld="4" item="6"/>
        </tpls>
      </m>
      <m>
        <tpls c="3">
          <tpl fld="7" item="1244"/>
          <tpl fld="6" item="3"/>
          <tpl hier="236" item="0"/>
        </tpls>
      </m>
      <m>
        <tpls c="4">
          <tpl fld="7" item="1012"/>
          <tpl fld="6" item="2"/>
          <tpl hier="236" item="0"/>
          <tpl fld="4" item="1"/>
        </tpls>
      </m>
      <m>
        <tpls c="4">
          <tpl fld="7" item="1265"/>
          <tpl fld="6" item="1"/>
          <tpl hier="236" item="0"/>
          <tpl fld="4" item="4"/>
        </tpls>
      </m>
      <m>
        <tpls c="4">
          <tpl fld="7" item="913"/>
          <tpl fld="6" item="2"/>
          <tpl hier="236" item="0"/>
          <tpl fld="4" item="4"/>
        </tpls>
      </m>
      <n v="3" in="1">
        <tpls c="4">
          <tpl fld="7" item="857"/>
          <tpl fld="6" item="1"/>
          <tpl hier="236" item="0"/>
          <tpl fld="4" item="6"/>
        </tpls>
      </n>
      <m>
        <tpls c="3">
          <tpl fld="7" item="1247"/>
          <tpl fld="6" item="3"/>
          <tpl hier="236" item="0"/>
        </tpls>
      </m>
      <m>
        <tpls c="4">
          <tpl fld="7" item="1024"/>
          <tpl fld="6" item="2"/>
          <tpl hier="236" item="0"/>
          <tpl fld="4" item="1"/>
        </tpls>
      </m>
      <n v="4" in="1">
        <tpls c="4">
          <tpl fld="7" item="1286"/>
          <tpl fld="6" item="1"/>
          <tpl hier="236" item="0"/>
          <tpl fld="4" item="4"/>
        </tpls>
      </n>
      <m>
        <tpls c="4">
          <tpl fld="7" item="925"/>
          <tpl fld="6" item="2"/>
          <tpl hier="236" item="0"/>
          <tpl fld="4" item="4"/>
        </tpls>
      </m>
      <m>
        <tpls c="4">
          <tpl fld="7" item="1033"/>
          <tpl fld="6" item="2"/>
          <tpl hier="236" item="0"/>
          <tpl fld="4" item="1"/>
        </tpls>
      </m>
      <m>
        <tpls c="4">
          <tpl fld="7" item="1041"/>
          <tpl fld="6" item="2"/>
          <tpl hier="236" item="0"/>
          <tpl fld="4" item="1"/>
        </tpls>
      </m>
      <m>
        <tpls c="4">
          <tpl fld="7" item="1049"/>
          <tpl fld="6" item="2"/>
          <tpl hier="236" item="0"/>
          <tpl fld="4" item="1"/>
        </tpls>
      </m>
      <m>
        <tpls c="4">
          <tpl fld="7" item="1057"/>
          <tpl fld="6" item="2"/>
          <tpl hier="236" item="0"/>
          <tpl fld="4" item="1"/>
        </tpls>
      </m>
      <m>
        <tpls c="4">
          <tpl fld="7" item="1065"/>
          <tpl fld="6" item="2"/>
          <tpl hier="236" item="0"/>
          <tpl fld="4" item="1"/>
        </tpls>
      </m>
      <m>
        <tpls c="4">
          <tpl fld="7" item="1073"/>
          <tpl fld="6" item="2"/>
          <tpl hier="236" item="0"/>
          <tpl fld="4" item="1"/>
        </tpls>
      </m>
      <m>
        <tpls c="4">
          <tpl fld="7" item="1081"/>
          <tpl fld="6" item="2"/>
          <tpl hier="236" item="0"/>
          <tpl fld="4" item="1"/>
        </tpls>
      </m>
      <m>
        <tpls c="4">
          <tpl fld="7" item="917"/>
          <tpl fld="6" item="2"/>
          <tpl hier="236" item="0"/>
          <tpl fld="1" item="0"/>
        </tpls>
      </m>
      <m>
        <tpls c="4">
          <tpl fld="7" item="905"/>
          <tpl fld="6" item="2"/>
          <tpl hier="236" item="0"/>
          <tpl fld="1" item="0"/>
        </tpls>
      </m>
      <m>
        <tpls c="4">
          <tpl fld="7" item="312"/>
          <tpl fld="6" item="2"/>
          <tpl hier="236" item="0"/>
          <tpl fld="1" item="0"/>
        </tpls>
      </m>
      <n v="4.2079729729729731" in="2">
        <tpls c="4">
          <tpl fld="7" item="444"/>
          <tpl fld="6" item="2"/>
          <tpl hier="236" item="0"/>
          <tpl fld="1" item="0"/>
        </tpls>
      </n>
      <m>
        <tpls c="4">
          <tpl fld="7" item="428"/>
          <tpl fld="6" item="2"/>
          <tpl hier="236" item="0"/>
          <tpl fld="1" item="0"/>
        </tpls>
      </m>
      <m>
        <tpls c="4">
          <tpl fld="7" item="202"/>
          <tpl fld="6" item="2"/>
          <tpl hier="236" item="0"/>
          <tpl fld="1" item="0"/>
        </tpls>
      </m>
      <m>
        <tpls c="4">
          <tpl fld="7" item="292"/>
          <tpl fld="6" item="2"/>
          <tpl hier="236" item="0"/>
          <tpl fld="1" item="0"/>
        </tpls>
      </m>
      <m>
        <tpls c="4">
          <tpl fld="7" item="260"/>
          <tpl fld="6" item="2"/>
          <tpl hier="236" item="0"/>
          <tpl fld="1" item="0"/>
        </tpls>
      </m>
      <m>
        <tpls c="4">
          <tpl fld="7" item="591"/>
          <tpl fld="6" item="2"/>
          <tpl hier="236" item="0"/>
          <tpl fld="1" item="0"/>
        </tpls>
      </m>
      <m>
        <tpls c="4">
          <tpl fld="7" item="31"/>
          <tpl fld="6" item="2"/>
          <tpl hier="236" item="0"/>
          <tpl fld="1" item="0"/>
        </tpls>
      </m>
      <m>
        <tpls c="4">
          <tpl fld="7" item="236"/>
          <tpl fld="6" item="2"/>
          <tpl hier="236" item="0"/>
          <tpl fld="1" item="0"/>
        </tpls>
      </m>
      <m>
        <tpls c="4">
          <tpl fld="7" item="1029"/>
          <tpl fld="6" item="2"/>
          <tpl hier="236" item="0"/>
          <tpl fld="4" item="5"/>
        </tpls>
      </m>
      <m>
        <tpls c="4">
          <tpl fld="7" item="350"/>
          <tpl fld="6" item="2"/>
          <tpl hier="236" item="0"/>
          <tpl fld="4" item="1"/>
        </tpls>
      </m>
      <m>
        <tpls c="3">
          <tpl fld="7" item="462"/>
          <tpl fld="6" item="3"/>
          <tpl hier="236" item="0"/>
        </tpls>
      </m>
      <m>
        <tpls c="4">
          <tpl fld="7" item="267"/>
          <tpl fld="6" item="1"/>
          <tpl hier="236" item="0"/>
          <tpl fld="1" item="0"/>
        </tpls>
      </m>
      <m>
        <tpls c="4">
          <tpl fld="7" item="486"/>
          <tpl fld="6" item="2"/>
          <tpl hier="236" item="0"/>
          <tpl fld="4" item="1"/>
        </tpls>
      </m>
      <m>
        <tpls c="4">
          <tpl fld="7" item="406"/>
          <tpl fld="6" item="1"/>
          <tpl hier="236" item="0"/>
          <tpl fld="4" item="4"/>
        </tpls>
      </m>
      <m>
        <tpls c="4">
          <tpl fld="7" item="755"/>
          <tpl fld="6" item="1"/>
          <tpl hier="236" item="0"/>
          <tpl fld="4" item="4"/>
        </tpls>
      </m>
      <m>
        <tpls c="4">
          <tpl fld="7" item="495"/>
          <tpl fld="6" item="1"/>
          <tpl hier="236" item="0"/>
          <tpl fld="4" item="6"/>
        </tpls>
      </m>
      <m>
        <tpls c="4">
          <tpl fld="7" item="536"/>
          <tpl fld="6" item="2"/>
          <tpl hier="236" item="0"/>
          <tpl fld="4" item="5"/>
        </tpls>
      </m>
      <m>
        <tpls c="4">
          <tpl fld="7" item="354"/>
          <tpl fld="6" item="1"/>
          <tpl hier="236" item="0"/>
          <tpl fld="4" item="6"/>
        </tpls>
      </m>
      <m>
        <tpls c="4">
          <tpl fld="7" item="465"/>
          <tpl fld="6" item="1"/>
          <tpl hier="236" item="0"/>
          <tpl fld="4" item="1"/>
        </tpls>
      </m>
      <m>
        <tpls c="4">
          <tpl fld="7" item="334"/>
          <tpl fld="6" item="1"/>
          <tpl hier="236" item="0"/>
          <tpl fld="4" item="6"/>
        </tpls>
      </m>
      <m>
        <tpls c="4">
          <tpl fld="7" item="88"/>
          <tpl fld="6" item="1"/>
          <tpl hier="236" item="0"/>
          <tpl fld="4" item="6"/>
        </tpls>
      </m>
      <m>
        <tpls c="4">
          <tpl fld="7" item="354"/>
          <tpl fld="6" item="1"/>
          <tpl hier="236" item="0"/>
          <tpl fld="4" item="4"/>
        </tpls>
      </m>
      <m>
        <tpls c="4">
          <tpl fld="7" item="508"/>
          <tpl fld="6" item="2"/>
          <tpl hier="236" item="0"/>
          <tpl fld="4" item="1"/>
        </tpls>
      </m>
      <n v="1" in="3">
        <tpls c="3">
          <tpl fld="7" item="1085"/>
          <tpl fld="6" item="3"/>
          <tpl hier="236" item="0"/>
        </tpls>
      </n>
      <n v="3" in="1">
        <tpls c="4">
          <tpl fld="7" item="389"/>
          <tpl fld="6" item="1"/>
          <tpl hier="236" item="0"/>
          <tpl fld="4" item="1"/>
        </tpls>
      </n>
      <n v="1" in="1">
        <tpls c="4">
          <tpl fld="7" item="395"/>
          <tpl fld="6" item="1"/>
          <tpl hier="236" item="0"/>
          <tpl fld="4" item="4"/>
        </tpls>
      </n>
      <m>
        <tpls c="4">
          <tpl fld="7" item="542"/>
          <tpl fld="6" item="1"/>
          <tpl hier="236" item="0"/>
          <tpl fld="4" item="6"/>
        </tpls>
      </m>
      <m>
        <tpls c="4">
          <tpl fld="7" item="148"/>
          <tpl fld="6" item="1"/>
          <tpl hier="236" item="0"/>
          <tpl fld="4" item="4"/>
        </tpls>
      </m>
      <n v="1" in="3">
        <tpls c="3">
          <tpl fld="7" item="520"/>
          <tpl fld="6" item="3"/>
          <tpl hier="236" item="0"/>
        </tpls>
      </n>
      <m>
        <tpls c="4">
          <tpl fld="7" item="611"/>
          <tpl fld="6" item="2"/>
          <tpl hier="236" item="0"/>
          <tpl fld="1" item="0"/>
        </tpls>
      </m>
      <n v="4" in="1">
        <tpls c="4">
          <tpl fld="7" item="616"/>
          <tpl fld="6" item="1"/>
          <tpl hier="236" item="0"/>
          <tpl fld="1" item="0"/>
        </tpls>
      </n>
      <m>
        <tpls c="4">
          <tpl fld="7" item="556"/>
          <tpl fld="6" item="2"/>
          <tpl hier="236" item="0"/>
          <tpl fld="4" item="5"/>
        </tpls>
      </m>
      <m>
        <tpls c="4">
          <tpl fld="7" item="562"/>
          <tpl fld="6" item="2"/>
          <tpl hier="236" item="0"/>
          <tpl fld="4" item="1"/>
        </tpls>
      </m>
      <n v="5" in="1">
        <tpls c="4">
          <tpl fld="7" item="569"/>
          <tpl fld="6" item="1"/>
          <tpl hier="236" item="0"/>
          <tpl fld="4" item="4"/>
        </tpls>
      </n>
      <m>
        <tpls c="4">
          <tpl fld="7" item="575"/>
          <tpl fld="6" item="2"/>
          <tpl hier="236" item="0"/>
          <tpl fld="1" item="0"/>
        </tpls>
      </m>
      <m>
        <tpls c="4">
          <tpl fld="7" item="136"/>
          <tpl fld="6" item="1"/>
          <tpl hier="236" item="0"/>
          <tpl fld="4" item="4"/>
        </tpls>
      </m>
      <n v="1" in="3">
        <tpls c="3">
          <tpl fld="7" item="517"/>
          <tpl fld="6" item="3"/>
          <tpl hier="236" item="0"/>
        </tpls>
      </n>
      <m>
        <tpls c="3">
          <tpl fld="7" item="543"/>
          <tpl fld="6" item="3"/>
          <tpl hier="236" item="0"/>
        </tpls>
      </m>
      <m>
        <tpls c="3">
          <tpl fld="7" item="550"/>
          <tpl fld="6" item="3"/>
          <tpl hier="236" item="0"/>
        </tpls>
      </m>
      <m>
        <tpls c="4">
          <tpl fld="7" item="700"/>
          <tpl fld="6" item="1"/>
          <tpl hier="236" item="0"/>
          <tpl fld="4" item="5"/>
        </tpls>
      </m>
      <m>
        <tpls c="4">
          <tpl fld="7" item="786"/>
          <tpl fld="6" item="1"/>
          <tpl hier="236" item="0"/>
          <tpl fld="4" item="1"/>
        </tpls>
      </m>
      <m>
        <tpls c="4">
          <tpl fld="7" item="1092"/>
          <tpl fld="6" item="2"/>
          <tpl hier="236" item="0"/>
          <tpl fld="4" item="1"/>
        </tpls>
      </m>
      <n v="6" in="1">
        <tpls c="4">
          <tpl fld="7" item="796"/>
          <tpl fld="6" item="1"/>
          <tpl hier="236" item="0"/>
          <tpl fld="1" item="0"/>
        </tpls>
      </n>
      <m>
        <tpls c="4">
          <tpl fld="7" item="637"/>
          <tpl fld="6" item="1"/>
          <tpl hier="236" item="0"/>
          <tpl fld="4" item="4"/>
        </tpls>
      </m>
      <n v="0.75" in="2">
        <tpls c="5">
          <tpl fld="3" item="0"/>
          <tpl fld="11" item="0"/>
          <tpl fld="6" item="2"/>
          <tpl hier="236" item="0"/>
          <tpl fld="4" item="2"/>
        </tpls>
      </n>
      <m>
        <tpls c="4">
          <tpl fld="7" item="185"/>
          <tpl fld="6" item="2"/>
          <tpl hier="236" item="0"/>
          <tpl fld="4" item="4"/>
        </tpls>
      </m>
      <m>
        <tpls c="4">
          <tpl fld="7" item="426"/>
          <tpl fld="6" item="1"/>
          <tpl hier="236" item="0"/>
          <tpl fld="4" item="4"/>
        </tpls>
      </m>
      <n v="1" in="2">
        <tpls c="4">
          <tpl fld="7" item="372"/>
          <tpl fld="6" item="2"/>
          <tpl hier="236" item="0"/>
          <tpl fld="4" item="1"/>
        </tpls>
      </n>
      <n v="2" in="1">
        <tpls c="4">
          <tpl fld="7" item="529"/>
          <tpl fld="6" item="1"/>
          <tpl hier="236" item="0"/>
          <tpl fld="4" item="1"/>
        </tpls>
      </n>
      <m>
        <tpls c="4">
          <tpl fld="7" item="606"/>
          <tpl fld="6" item="1"/>
          <tpl hier="236" item="0"/>
          <tpl fld="4" item="6"/>
        </tpls>
      </m>
      <n v="1" in="1">
        <tpls c="4">
          <tpl fld="7" item="542"/>
          <tpl fld="6" item="1"/>
          <tpl hier="236" item="0"/>
          <tpl fld="4" item="1"/>
        </tpls>
      </n>
      <m>
        <tpls c="4">
          <tpl fld="7" item="692"/>
          <tpl fld="6" item="2"/>
          <tpl hier="236" item="0"/>
          <tpl fld="4" item="6"/>
        </tpls>
      </m>
      <m>
        <tpls c="4">
          <tpl fld="7" item="614"/>
          <tpl fld="6" item="2"/>
          <tpl hier="236" item="0"/>
          <tpl fld="4" item="5"/>
        </tpls>
      </m>
      <n v="2" in="1">
        <tpls c="4">
          <tpl fld="7" item="777"/>
          <tpl fld="6" item="1"/>
          <tpl hier="236" item="0"/>
          <tpl fld="4" item="5"/>
        </tpls>
      </n>
      <n v="1" in="1">
        <tpls c="4">
          <tpl fld="7" item="617"/>
          <tpl fld="6" item="1"/>
          <tpl hier="236" item="0"/>
          <tpl fld="4" item="5"/>
        </tpls>
      </n>
      <m>
        <tpls c="4">
          <tpl fld="7" item="698"/>
          <tpl fld="6" item="2"/>
          <tpl hier="236" item="0"/>
          <tpl fld="4" item="4"/>
        </tpls>
      </m>
      <m>
        <tpls c="3">
          <tpl fld="7" item="781"/>
          <tpl fld="6" item="3"/>
          <tpl hier="236" item="0"/>
        </tpls>
      </m>
      <n v="1" in="1">
        <tpls c="4">
          <tpl fld="7" item="782"/>
          <tpl fld="6" item="1"/>
          <tpl hier="236" item="0"/>
          <tpl fld="4" item="4"/>
        </tpls>
      </n>
      <m>
        <tpls c="4">
          <tpl fld="7" item="783"/>
          <tpl fld="6" item="2"/>
          <tpl hier="236" item="0"/>
          <tpl fld="4" item="5"/>
        </tpls>
      </m>
      <m>
        <tpls c="4">
          <tpl fld="7" item="559"/>
          <tpl fld="6" item="2"/>
          <tpl hier="236" item="0"/>
          <tpl fld="4" item="6"/>
        </tpls>
      </m>
      <n v="2" in="1">
        <tpls c="4">
          <tpl fld="7" item="884"/>
          <tpl fld="6" item="1"/>
          <tpl hier="236" item="0"/>
          <tpl fld="4" item="5"/>
        </tpls>
      </n>
      <n v="11" in="1">
        <tpls c="4">
          <tpl fld="7" item="562"/>
          <tpl fld="6" item="1"/>
          <tpl hier="236" item="0"/>
          <tpl fld="4" item="6"/>
        </tpls>
      </n>
      <n v="1.75" in="2">
        <tpls c="4">
          <tpl fld="7" item="626"/>
          <tpl fld="6" item="2"/>
          <tpl hier="236" item="0"/>
          <tpl fld="4" item="1"/>
        </tpls>
      </n>
      <m>
        <tpls c="4">
          <tpl fld="7" item="565"/>
          <tpl fld="6" item="1"/>
          <tpl hier="236" item="0"/>
          <tpl fld="4" item="5"/>
        </tpls>
      </m>
      <n v="1" in="1">
        <tpls c="4">
          <tpl fld="7" item="567"/>
          <tpl fld="6" item="1"/>
          <tpl hier="236" item="0"/>
          <tpl fld="4" item="5"/>
        </tpls>
      </n>
      <n v="2" in="1">
        <tpls c="4">
          <tpl fld="7" item="569"/>
          <tpl fld="6" item="1"/>
          <tpl hier="236" item="0"/>
          <tpl fld="4" item="5"/>
        </tpls>
      </n>
      <m>
        <tpls c="4">
          <tpl fld="7" item="793"/>
          <tpl fld="6" item="2"/>
          <tpl hier="236" item="0"/>
          <tpl fld="4" item="6"/>
        </tpls>
      </m>
      <n v="1" in="1">
        <tpls c="4">
          <tpl fld="7" item="794"/>
          <tpl fld="6" item="1"/>
          <tpl hier="236" item="0"/>
          <tpl fld="4" item="5"/>
        </tpls>
      </n>
      <m>
        <tpls c="4">
          <tpl fld="7" item="1093"/>
          <tpl fld="6" item="1"/>
          <tpl hier="236" item="0"/>
          <tpl fld="4" item="6"/>
        </tpls>
      </m>
      <m>
        <tpls c="4">
          <tpl fld="7" item="1276"/>
          <tpl fld="6" item="2"/>
          <tpl hier="236" item="0"/>
          <tpl fld="4" item="1"/>
        </tpls>
      </m>
      <m>
        <tpls c="4">
          <tpl fld="7" item="887"/>
          <tpl fld="6" item="2"/>
          <tpl hier="236" item="0"/>
          <tpl fld="1" item="0"/>
        </tpls>
      </m>
      <m>
        <tpls c="4">
          <tpl fld="7" item="578"/>
          <tpl fld="6" item="1"/>
          <tpl hier="236" item="0"/>
          <tpl fld="4" item="1"/>
        </tpls>
      </m>
      <m>
        <tpls c="4">
          <tpl fld="7" item="638"/>
          <tpl fld="6" item="1"/>
          <tpl hier="236" item="0"/>
          <tpl fld="1" item="0"/>
        </tpls>
      </m>
      <m>
        <tpls c="4">
          <tpl fld="7" item="581"/>
          <tpl fld="6" item="2"/>
          <tpl hier="236" item="0"/>
          <tpl fld="4" item="4"/>
        </tpls>
      </m>
      <m>
        <tpls c="3">
          <tpl fld="7" item="720"/>
          <tpl fld="6" item="3"/>
          <tpl hier="236" item="0"/>
        </tpls>
      </m>
      <n v="12" in="1">
        <tpls c="4">
          <tpl fld="7" item="584"/>
          <tpl fld="6" item="1"/>
          <tpl hier="236" item="0"/>
          <tpl fld="4" item="4"/>
        </tpls>
      </n>
      <m>
        <tpls c="4">
          <tpl fld="7" item="722"/>
          <tpl fld="6" item="2"/>
          <tpl hier="236" item="0"/>
          <tpl fld="4" item="5"/>
        </tpls>
      </m>
      <m>
        <tpls c="4">
          <tpl fld="7" item="757"/>
          <tpl fld="6" item="1"/>
          <tpl hier="236" item="0"/>
          <tpl fld="4" item="6"/>
        </tpls>
      </m>
      <m>
        <tpls c="3">
          <tpl fld="7" item="1086"/>
          <tpl fld="6" item="3"/>
          <tpl hier="236" item="0"/>
        </tpls>
      </m>
      <m>
        <tpls c="4">
          <tpl fld="7" item="614"/>
          <tpl fld="6" item="1"/>
          <tpl hier="236" item="0"/>
          <tpl fld="1" item="0"/>
        </tpls>
      </m>
      <m>
        <tpls c="4">
          <tpl fld="7" item="698"/>
          <tpl fld="6" item="2"/>
          <tpl hier="236" item="0"/>
          <tpl fld="4" item="5"/>
        </tpls>
      </m>
      <m>
        <tpls c="4">
          <tpl fld="7" item="1187"/>
          <tpl fld="6" item="2"/>
          <tpl hier="236" item="0"/>
          <tpl fld="4" item="1"/>
        </tpls>
      </m>
      <m>
        <tpls c="4">
          <tpl fld="7" item="565"/>
          <tpl fld="6" item="2"/>
          <tpl hier="236" item="0"/>
          <tpl fld="1" item="0"/>
        </tpls>
      </m>
      <m>
        <tpls c="4">
          <tpl fld="7" item="794"/>
          <tpl fld="6" item="2"/>
          <tpl hier="236" item="0"/>
          <tpl fld="1" item="0"/>
        </tpls>
      </m>
      <m>
        <tpls c="3">
          <tpl fld="7" item="637"/>
          <tpl fld="6" item="3"/>
          <tpl hier="236" item="0"/>
        </tpls>
      </m>
      <m>
        <tpls c="4">
          <tpl fld="7" item="801"/>
          <tpl fld="6" item="2"/>
          <tpl hier="236" item="0"/>
          <tpl fld="4" item="1"/>
        </tpls>
      </m>
      <m>
        <tpls c="4">
          <tpl fld="7" item="992"/>
          <tpl fld="6" item="2"/>
          <tpl hier="236" item="0"/>
          <tpl fld="1" item="0"/>
        </tpls>
      </m>
      <m>
        <tpls c="4">
          <tpl fld="7" item="722"/>
          <tpl fld="6" item="2"/>
          <tpl hier="236" item="0"/>
          <tpl fld="4" item="6"/>
        </tpls>
      </m>
      <n v="35" in="1">
        <tpls c="4">
          <tpl fld="7" item="587"/>
          <tpl fld="6" item="1"/>
          <tpl hier="236" item="0"/>
          <tpl fld="4" item="4"/>
        </tpls>
      </n>
      <m>
        <tpls c="4">
          <tpl fld="7" item="806"/>
          <tpl fld="6" item="2"/>
          <tpl hier="236" item="0"/>
          <tpl fld="4" item="5"/>
        </tpls>
      </m>
      <m>
        <tpls c="4">
          <tpl fld="7" item="646"/>
          <tpl fld="6" item="2"/>
          <tpl hier="236" item="0"/>
          <tpl fld="4" item="6"/>
        </tpls>
      </m>
      <m>
        <tpls c="4">
          <tpl fld="7" item="809"/>
          <tpl fld="6" item="1"/>
          <tpl hier="236" item="0"/>
          <tpl fld="4" item="5"/>
        </tpls>
      </m>
      <m>
        <tpls c="4">
          <tpl fld="7" item="649"/>
          <tpl fld="6" item="1"/>
          <tpl hier="236" item="0"/>
          <tpl fld="4" item="6"/>
        </tpls>
      </m>
      <m>
        <tpls c="4">
          <tpl fld="7" item="812"/>
          <tpl fld="6" item="2"/>
          <tpl hier="236" item="0"/>
          <tpl fld="4" item="1"/>
        </tpls>
      </m>
      <m>
        <tpls c="4">
          <tpl fld="7" item="891"/>
          <tpl fld="6" item="2"/>
          <tpl hier="236" item="0"/>
          <tpl fld="1" item="0"/>
        </tpls>
      </m>
      <n v="4" in="1">
        <tpls c="4">
          <tpl fld="7" item="733"/>
          <tpl fld="6" item="1"/>
          <tpl hier="236" item="0"/>
          <tpl fld="4" item="1"/>
        </tpls>
      </n>
      <n v="1" in="1">
        <tpls c="4">
          <tpl fld="7" item="1189"/>
          <tpl fld="6" item="1"/>
          <tpl hier="236" item="0"/>
          <tpl fld="1" item="0"/>
        </tpls>
      </n>
      <m>
        <tpls c="4">
          <tpl fld="7" item="736"/>
          <tpl fld="6" item="2"/>
          <tpl hier="236" item="0"/>
          <tpl fld="4" item="4"/>
        </tpls>
      </m>
      <m>
        <tpls c="3">
          <tpl fld="7" item="1099"/>
          <tpl fld="6" item="3"/>
          <tpl hier="236" item="0"/>
        </tpls>
      </m>
      <m>
        <tpls c="4">
          <tpl fld="7" item="739"/>
          <tpl fld="6" item="1"/>
          <tpl hier="236" item="0"/>
          <tpl fld="4" item="4"/>
        </tpls>
      </m>
      <m>
        <tpls c="4">
          <tpl fld="7" item="822"/>
          <tpl fld="6" item="2"/>
          <tpl hier="236" item="0"/>
          <tpl fld="4" item="5"/>
        </tpls>
      </m>
      <m>
        <tpls c="4">
          <tpl fld="7" item="662"/>
          <tpl fld="6" item="2"/>
          <tpl hier="236" item="0"/>
          <tpl fld="4" item="6"/>
        </tpls>
      </m>
      <m>
        <tpls c="4">
          <tpl fld="7" item="825"/>
          <tpl fld="6" item="1"/>
          <tpl hier="236" item="0"/>
          <tpl fld="4" item="5"/>
        </tpls>
      </m>
      <m>
        <tpls c="4">
          <tpl fld="7" item="745"/>
          <tpl fld="6" item="2"/>
          <tpl hier="236" item="0"/>
          <tpl fld="4" item="5"/>
        </tpls>
      </m>
      <m>
        <tpls c="4">
          <tpl fld="7" item="747"/>
          <tpl fld="6" item="2"/>
          <tpl hier="236" item="0"/>
          <tpl fld="4" item="5"/>
        </tpls>
      </m>
      <m>
        <tpls c="4">
          <tpl fld="7" item="1103"/>
          <tpl fld="6" item="1"/>
          <tpl hier="236" item="0"/>
          <tpl fld="4" item="4"/>
        </tpls>
      </m>
      <m>
        <tpls c="4">
          <tpl fld="7" item="1271"/>
          <tpl fld="6" item="2"/>
          <tpl hier="236" item="0"/>
          <tpl fld="4" item="4"/>
        </tpls>
      </m>
      <m>
        <tpls c="4">
          <tpl fld="7" item="838"/>
          <tpl fld="6" item="1"/>
          <tpl hier="236" item="0"/>
          <tpl fld="4" item="6"/>
        </tpls>
      </m>
      <m>
        <tpls c="3">
          <tpl fld="7" item="1110"/>
          <tpl fld="6" item="3"/>
          <tpl hier="236" item="0"/>
        </tpls>
      </m>
      <m>
        <tpls c="4">
          <tpl fld="7" item="906"/>
          <tpl fld="6" item="2"/>
          <tpl hier="236" item="0"/>
          <tpl fld="4" item="1"/>
        </tpls>
      </m>
      <n v="10" in="1">
        <tpls c="4">
          <tpl fld="7" item="1115"/>
          <tpl fld="6" item="1"/>
          <tpl hier="236" item="0"/>
          <tpl fld="4" item="4"/>
        </tpls>
      </n>
      <m>
        <tpls c="4">
          <tpl fld="7" item="1265"/>
          <tpl fld="6" item="2"/>
          <tpl hier="236" item="0"/>
          <tpl fld="4" item="4"/>
        </tpls>
      </m>
      <m>
        <tpls c="4">
          <tpl fld="7" item="854"/>
          <tpl fld="6" item="1"/>
          <tpl hier="236" item="0"/>
          <tpl fld="4" item="6"/>
        </tpls>
      </m>
      <m>
        <tpls c="3">
          <tpl fld="7" item="1122"/>
          <tpl fld="6" item="3"/>
          <tpl hier="236" item="0"/>
        </tpls>
      </m>
      <n v="1" in="2">
        <tpls c="4">
          <tpl fld="7" item="918"/>
          <tpl fld="6" item="2"/>
          <tpl hier="236" item="0"/>
          <tpl fld="4" item="1"/>
        </tpls>
      </n>
      <n v="1" in="1">
        <tpls c="4">
          <tpl fld="7" item="1127"/>
          <tpl fld="6" item="1"/>
          <tpl hier="236" item="0"/>
          <tpl fld="4" item="4"/>
        </tpls>
      </n>
      <m>
        <tpls c="4">
          <tpl fld="7" item="1286"/>
          <tpl fld="6" item="2"/>
          <tpl hier="236" item="0"/>
          <tpl fld="4" item="4"/>
        </tpls>
      </m>
      <n v="3" in="1">
        <tpls c="4">
          <tpl fld="7" item="870"/>
          <tpl fld="6" item="1"/>
          <tpl hier="236" item="0"/>
          <tpl fld="4" item="6"/>
        </tpls>
      </n>
      <m>
        <tpls c="4">
          <tpl fld="7" item="1250"/>
          <tpl fld="6" item="2"/>
          <tpl hier="236" item="0"/>
          <tpl fld="4" item="1"/>
        </tpls>
      </m>
      <m>
        <tpls c="4">
          <tpl fld="7" item="1252"/>
          <tpl fld="6" item="2"/>
          <tpl hier="236" item="0"/>
          <tpl fld="4" item="1"/>
        </tpls>
      </m>
      <m>
        <tpls c="4">
          <tpl fld="7" item="1254"/>
          <tpl fld="6" item="2"/>
          <tpl hier="236" item="0"/>
          <tpl fld="4" item="1"/>
        </tpls>
      </m>
      <m>
        <tpls c="4">
          <tpl fld="7" item="1256"/>
          <tpl fld="6" item="2"/>
          <tpl hier="236" item="0"/>
          <tpl fld="4" item="1"/>
        </tpls>
      </m>
      <m>
        <tpls c="4">
          <tpl fld="7" item="1258"/>
          <tpl fld="6" item="2"/>
          <tpl hier="236" item="0"/>
          <tpl fld="4" item="1"/>
        </tpls>
      </m>
      <m>
        <tpls c="4">
          <tpl fld="7" item="1260"/>
          <tpl fld="6" item="2"/>
          <tpl hier="236" item="0"/>
          <tpl fld="4" item="1"/>
        </tpls>
      </m>
      <m>
        <tpls c="4">
          <tpl fld="7" item="1262"/>
          <tpl fld="6" item="2"/>
          <tpl hier="236" item="0"/>
          <tpl fld="4" item="1"/>
        </tpls>
      </m>
      <m>
        <tpls c="4">
          <tpl fld="7" item="1020"/>
          <tpl fld="6" item="2"/>
          <tpl hier="236" item="0"/>
          <tpl fld="1" item="0"/>
        </tpls>
      </m>
      <m>
        <tpls c="4">
          <tpl fld="7" item="1008"/>
          <tpl fld="6" item="2"/>
          <tpl hier="236" item="0"/>
          <tpl fld="1" item="0"/>
        </tpls>
      </m>
      <m>
        <tpls c="4">
          <tpl fld="7" item="308"/>
          <tpl fld="6" item="2"/>
          <tpl hier="236" item="0"/>
          <tpl fld="1" item="0"/>
        </tpls>
      </m>
      <n v="1" in="2">
        <tpls c="4">
          <tpl fld="7" item="443"/>
          <tpl fld="6" item="2"/>
          <tpl hier="236" item="0"/>
          <tpl fld="1" item="0"/>
        </tpls>
      </n>
      <m>
        <tpls c="4">
          <tpl fld="7" item="427"/>
          <tpl fld="6" item="2"/>
          <tpl hier="236" item="0"/>
          <tpl fld="1" item="0"/>
        </tpls>
      </m>
      <m>
        <tpls c="4">
          <tpl fld="7" item="198"/>
          <tpl fld="6" item="2"/>
          <tpl hier="236" item="0"/>
          <tpl fld="1" item="0"/>
        </tpls>
      </m>
      <m>
        <tpls c="4">
          <tpl fld="7" item="291"/>
          <tpl fld="6" item="2"/>
          <tpl hier="236" item="0"/>
          <tpl fld="1" item="0"/>
        </tpls>
      </m>
      <m>
        <tpls c="4">
          <tpl fld="7" item="55"/>
          <tpl fld="6" item="2"/>
          <tpl hier="236" item="0"/>
          <tpl fld="1" item="0"/>
        </tpls>
      </m>
      <m>
        <tpls c="4">
          <tpl fld="7" item="1185"/>
          <tpl fld="6" item="2"/>
          <tpl hier="236" item="0"/>
          <tpl fld="1" item="0"/>
        </tpls>
      </m>
      <m>
        <tpls c="4">
          <tpl fld="7" item="30"/>
          <tpl fld="6" item="2"/>
          <tpl hier="236" item="0"/>
          <tpl fld="1" item="0"/>
        </tpls>
      </m>
      <m>
        <tpls c="4">
          <tpl fld="7" item="235"/>
          <tpl fld="6" item="2"/>
          <tpl hier="236" item="0"/>
          <tpl fld="1" item="0"/>
        </tpls>
      </m>
      <m>
        <tpls c="4">
          <tpl fld="7" item="1131"/>
          <tpl fld="6" item="2"/>
          <tpl hier="236" item="0"/>
          <tpl fld="4" item="5"/>
        </tpls>
      </m>
      <m>
        <tpls c="4">
          <tpl fld="7" item="351"/>
          <tpl fld="6" item="2"/>
          <tpl hier="236" item="0"/>
          <tpl fld="4" item="5"/>
        </tpls>
      </m>
      <n v="0" in="1">
        <tpls c="4">
          <tpl fld="7" item="534"/>
          <tpl fld="6" item="1"/>
          <tpl hier="236" item="0"/>
          <tpl fld="4" item="4"/>
        </tpls>
      </n>
      <m>
        <tpls c="4">
          <tpl fld="7" item="227"/>
          <tpl fld="6" item="2"/>
          <tpl hier="236" item="0"/>
          <tpl fld="4" item="1"/>
        </tpls>
      </m>
      <m>
        <tpls c="4">
          <tpl fld="7" item="349"/>
          <tpl fld="6" item="1"/>
          <tpl hier="236" item="0"/>
          <tpl fld="4" item="6"/>
        </tpls>
      </m>
      <n v="140" in="1">
        <tpls c="6">
          <tpl fld="11" item="0"/>
          <tpl fld="5" item="1"/>
          <tpl fld="6" item="1"/>
          <tpl hier="236" item="0"/>
          <tpl fld="4" item="1"/>
          <tpl fld="9" item="1"/>
        </tpls>
      </n>
      <n v="0.75" in="2">
        <tpls c="6">
          <tpl fld="11" item="0"/>
          <tpl fld="2" item="0"/>
          <tpl fld="6" item="2"/>
          <tpl hier="236" item="0"/>
          <tpl fld="4" item="7"/>
          <tpl fld="10" item="7"/>
        </tpls>
      </n>
      <m>
        <tpls c="4">
          <tpl fld="7" item="326"/>
          <tpl fld="6" item="1"/>
          <tpl hier="236" item="0"/>
          <tpl fld="1" item="0"/>
        </tpls>
      </m>
      <m>
        <tpls c="4">
          <tpl fld="7" item="668"/>
          <tpl fld="6" item="1"/>
          <tpl hier="236" item="0"/>
          <tpl fld="1" item="0"/>
        </tpls>
      </m>
      <m>
        <tpls c="4">
          <tpl fld="7" item="5"/>
          <tpl fld="6" item="2"/>
          <tpl hier="236" item="0"/>
          <tpl fld="4" item="1"/>
        </tpls>
      </m>
      <n v="15.748918918918919" in="2">
        <tpls c="6">
          <tpl fld="11" item="0"/>
          <tpl fld="6" item="2"/>
          <tpl fld="8" item="1"/>
          <tpl hier="236" item="0"/>
          <tpl fld="4" item="3"/>
          <tpl fld="10" item="7"/>
        </tpls>
      </n>
      <n v="0" in="1">
        <tpls c="4">
          <tpl fld="7" item="316"/>
          <tpl fld="6" item="1"/>
          <tpl hier="236" item="0"/>
          <tpl fld="4" item="4"/>
        </tpls>
      </n>
      <m>
        <tpls c="4">
          <tpl fld="7" item="115"/>
          <tpl fld="6" item="1"/>
          <tpl hier="236" item="0"/>
          <tpl fld="1" item="0"/>
        </tpls>
      </m>
      <m>
        <tpls c="4">
          <tpl fld="7" item="25"/>
          <tpl fld="6" item="1"/>
          <tpl hier="236" item="0"/>
          <tpl fld="4" item="4"/>
        </tpls>
      </m>
      <m>
        <tpls c="4">
          <tpl fld="7" item="488"/>
          <tpl fld="6" item="2"/>
          <tpl hier="236" item="0"/>
          <tpl fld="4" item="4"/>
        </tpls>
      </m>
      <m>
        <tpls c="4">
          <tpl fld="7" item="433"/>
          <tpl fld="6" item="2"/>
          <tpl hier="236" item="0"/>
          <tpl fld="4" item="1"/>
        </tpls>
      </m>
      <n v="2" in="2">
        <tpls c="4">
          <tpl fld="7" item="540"/>
          <tpl fld="6" item="2"/>
          <tpl hier="236" item="0"/>
          <tpl fld="4" item="1"/>
        </tpls>
      </n>
      <m>
        <tpls c="4">
          <tpl fld="7" item="759"/>
          <tpl fld="6" item="2"/>
          <tpl hier="236" item="0"/>
          <tpl fld="4" item="1"/>
        </tpls>
      </m>
      <m>
        <tpls c="6">
          <tpl fld="11" item="0"/>
          <tpl fld="5" item="0"/>
          <tpl fld="6" item="2"/>
          <tpl hier="236" item="0"/>
          <tpl fld="4" item="6"/>
          <tpl fld="10" item="1"/>
        </tpls>
      </m>
      <m>
        <tpls c="4">
          <tpl fld="7" item="338"/>
          <tpl fld="6" item="2"/>
          <tpl hier="236" item="0"/>
          <tpl fld="4" item="6"/>
        </tpls>
      </m>
      <m>
        <tpls c="4">
          <tpl fld="7" item="118"/>
          <tpl fld="6" item="2"/>
          <tpl hier="236" item="0"/>
          <tpl fld="4" item="4"/>
        </tpls>
      </m>
      <m>
        <tpls c="4">
          <tpl fld="7" item="176"/>
          <tpl fld="6" item="1"/>
          <tpl hier="236" item="0"/>
          <tpl fld="4" item="6"/>
        </tpls>
      </m>
      <m>
        <tpls c="4">
          <tpl fld="7" item="410"/>
          <tpl fld="6" item="1"/>
          <tpl hier="236" item="0"/>
          <tpl fld="4" item="4"/>
        </tpls>
      </m>
      <n v="2" in="2">
        <tpls c="4">
          <tpl fld="7" item="683"/>
          <tpl fld="6" item="2"/>
          <tpl hier="236" item="0"/>
          <tpl fld="4" item="4"/>
        </tpls>
      </n>
      <n v="0" in="1">
        <tpls c="4">
          <tpl fld="7" item="61"/>
          <tpl fld="6" item="1"/>
          <tpl hier="236" item="0"/>
          <tpl fld="4" item="4"/>
        </tpls>
      </n>
      <m>
        <tpls c="4">
          <tpl fld="7" item="527"/>
          <tpl fld="6" item="2"/>
          <tpl hier="236" item="0"/>
          <tpl fld="4" item="4"/>
        </tpls>
      </m>
      <n v="398" in="1">
        <tpls c="5">
          <tpl fld="3" item="1"/>
          <tpl fld="11" item="0"/>
          <tpl fld="6" item="1"/>
          <tpl hier="236" item="0"/>
          <tpl fld="4" item="5"/>
        </tpls>
      </n>
      <n v="1" in="1">
        <tpls c="4">
          <tpl fld="7" item="1237"/>
          <tpl fld="6" item="1"/>
          <tpl hier="236" item="0"/>
          <tpl fld="4" item="4"/>
        </tpls>
      </n>
      <m>
        <tpls c="4">
          <tpl fld="7" item="267"/>
          <tpl fld="6" item="1"/>
          <tpl hier="236" item="0"/>
          <tpl fld="4" item="5"/>
        </tpls>
      </m>
      <n v="2" in="1">
        <tpls c="4">
          <tpl fld="7" item="383"/>
          <tpl fld="6" item="1"/>
          <tpl hier="236" item="0"/>
          <tpl fld="4" item="4"/>
        </tpls>
      </n>
      <m>
        <tpls c="3">
          <tpl fld="7" item="196"/>
          <tpl fld="6" item="3"/>
          <tpl hier="236" item="0"/>
        </tpls>
      </m>
      <m>
        <tpls c="4">
          <tpl fld="7" item="1090"/>
          <tpl fld="6" item="1"/>
          <tpl hier="236" item="0"/>
          <tpl fld="4" item="4"/>
        </tpls>
      </m>
      <m>
        <tpls c="4">
          <tpl fld="7" item="485"/>
          <tpl fld="6" item="1"/>
          <tpl hier="236" item="0"/>
          <tpl fld="4" item="6"/>
        </tpls>
      </m>
      <m>
        <tpls c="4">
          <tpl fld="7" item="701"/>
          <tpl fld="6" item="2"/>
          <tpl hier="236" item="0"/>
          <tpl fld="4" item="6"/>
        </tpls>
      </m>
      <m>
        <tpls c="4">
          <tpl fld="7" item="246"/>
          <tpl fld="6" item="1"/>
          <tpl hier="236" item="0"/>
          <tpl fld="4" item="4"/>
        </tpls>
      </m>
      <n v="15" in="1">
        <tpls c="4">
          <tpl fld="7" item="878"/>
          <tpl fld="6" item="1"/>
          <tpl hier="236" item="0"/>
          <tpl fld="4" item="4"/>
        </tpls>
      </n>
      <m>
        <tpls c="4">
          <tpl fld="7" item="270"/>
          <tpl fld="6" item="1"/>
          <tpl hier="236" item="0"/>
          <tpl fld="4" item="5"/>
        </tpls>
      </m>
      <n v="39" in="1">
        <tpls c="4">
          <tpl fld="7" item="376"/>
          <tpl fld="6" item="1"/>
          <tpl hier="236" item="0"/>
          <tpl fld="4" item="4"/>
        </tpls>
      </n>
      <m>
        <tpls c="4">
          <tpl fld="7" item="460"/>
          <tpl fld="6" item="1"/>
          <tpl hier="236" item="0"/>
          <tpl fld="4" item="5"/>
        </tpls>
      </m>
      <n v="15" in="1">
        <tpls c="4">
          <tpl fld="7" item="607"/>
          <tpl fld="6" item="1"/>
          <tpl hier="236" item="0"/>
          <tpl fld="4" item="4"/>
        </tpls>
      </n>
      <n v="12" in="1">
        <tpls c="4">
          <tpl fld="7" item="613"/>
          <tpl fld="6" item="1"/>
          <tpl hier="236" item="0"/>
          <tpl fld="4" item="4"/>
        </tpls>
      </n>
      <n v="1" in="2">
        <tpls c="4">
          <tpl fld="7" item="451"/>
          <tpl fld="6" item="2"/>
          <tpl hier="236" item="0"/>
          <tpl fld="4" item="4"/>
        </tpls>
      </n>
      <m>
        <tpls c="4">
          <tpl fld="7" item="613"/>
          <tpl fld="6" item="2"/>
          <tpl hier="236" item="0"/>
          <tpl fld="4" item="5"/>
        </tpls>
      </m>
      <m>
        <tpls c="4">
          <tpl fld="7" item="699"/>
          <tpl fld="6" item="1"/>
          <tpl hier="236" item="0"/>
          <tpl fld="4" item="6"/>
        </tpls>
      </m>
      <m>
        <tpls c="4">
          <tpl fld="7" item="562"/>
          <tpl fld="6" item="2"/>
          <tpl hier="236" item="0"/>
          <tpl fld="4" item="5"/>
        </tpls>
      </m>
      <m>
        <tpls c="4">
          <tpl fld="7" item="886"/>
          <tpl fld="6" item="2"/>
          <tpl hier="236" item="0"/>
          <tpl fld="4" item="6"/>
        </tpls>
      </m>
      <m>
        <tpls c="4">
          <tpl fld="7" item="1094"/>
          <tpl fld="6" item="2"/>
          <tpl hier="236" item="0"/>
          <tpl fld="4" item="6"/>
        </tpls>
      </m>
      <m>
        <tpls c="4">
          <tpl fld="7" item="448"/>
          <tpl fld="6" item="2"/>
          <tpl hier="236" item="0"/>
          <tpl fld="4" item="4"/>
        </tpls>
      </m>
      <n v="11" in="1">
        <tpls c="4">
          <tpl fld="7" item="546"/>
          <tpl fld="6" item="1"/>
          <tpl hier="236" item="0"/>
          <tpl fld="4" item="4"/>
        </tpls>
      </n>
      <m>
        <tpls c="4">
          <tpl fld="7" item="554"/>
          <tpl fld="6" item="2"/>
          <tpl hier="236" item="0"/>
          <tpl fld="1" item="0"/>
        </tpls>
      </m>
      <n v="3" in="1">
        <tpls c="4">
          <tpl fld="7" item="988"/>
          <tpl fld="6" item="1"/>
          <tpl hier="236" item="0"/>
          <tpl fld="4" item="5"/>
        </tpls>
      </n>
      <n v="2" in="1">
        <tpls c="4">
          <tpl fld="7" item="571"/>
          <tpl fld="6" item="1"/>
          <tpl hier="236" item="0"/>
          <tpl fld="4" item="6"/>
        </tpls>
      </n>
      <n v="20" in="1">
        <tpls c="5">
          <tpl fld="11" item="0"/>
          <tpl fld="2" item="4"/>
          <tpl fld="6" item="1"/>
          <tpl hier="236" item="0"/>
          <tpl fld="4" item="2"/>
        </tpls>
      </n>
      <m>
        <tpls c="4">
          <tpl fld="7" item="195"/>
          <tpl fld="6" item="1"/>
          <tpl hier="236" item="0"/>
          <tpl fld="4" item="4"/>
        </tpls>
      </m>
      <m>
        <tpls c="4">
          <tpl fld="7" item="56"/>
          <tpl fld="6" item="1"/>
          <tpl hier="236" item="0"/>
          <tpl fld="4" item="4"/>
        </tpls>
      </m>
      <m>
        <tpls c="3">
          <tpl fld="7" item="205"/>
          <tpl fld="6" item="3"/>
          <tpl hier="236" item="0"/>
        </tpls>
      </m>
      <n v="1" in="1">
        <tpls c="4">
          <tpl fld="7" item="769"/>
          <tpl fld="6" item="1"/>
          <tpl hier="236" item="0"/>
          <tpl fld="4" item="4"/>
        </tpls>
      </n>
      <n v="19" in="1">
        <tpls c="4">
          <tpl fld="7" item="517"/>
          <tpl fld="6" item="1"/>
          <tpl hier="236" item="0"/>
          <tpl fld="4" item="4"/>
        </tpls>
      </n>
      <n v="0.35" in="2">
        <tpls c="6">
          <tpl fld="11" item="0"/>
          <tpl fld="6" item="2"/>
          <tpl fld="8" item="0"/>
          <tpl hier="236" item="0"/>
          <tpl fld="4" item="7"/>
          <tpl fld="10" item="4"/>
        </tpls>
      </n>
      <m>
        <tpls c="4">
          <tpl fld="7" item="173"/>
          <tpl fld="6" item="1"/>
          <tpl hier="236" item="0"/>
          <tpl fld="4" item="4"/>
        </tpls>
      </m>
      <m>
        <tpls c="4">
          <tpl fld="7" item="492"/>
          <tpl fld="6" item="1"/>
          <tpl hier="236" item="0"/>
          <tpl fld="4" item="6"/>
        </tpls>
      </m>
      <n v="13" in="1">
        <tpls c="4">
          <tpl fld="7" item="361"/>
          <tpl fld="6" item="1"/>
          <tpl hier="236" item="0"/>
          <tpl fld="4" item="4"/>
        </tpls>
      </n>
      <n v="5.55" in="2">
        <tpls c="4">
          <tpl fld="7" item="515"/>
          <tpl fld="6" item="2"/>
          <tpl hier="236" item="0"/>
          <tpl fld="4" item="1"/>
        </tpls>
      </n>
      <n v="5" in="1">
        <tpls c="4">
          <tpl fld="7" item="765"/>
          <tpl fld="6" item="1"/>
          <tpl hier="236" item="0"/>
          <tpl fld="4" item="1"/>
        </tpls>
      </n>
      <m>
        <tpls c="4">
          <tpl fld="7" item="463"/>
          <tpl fld="6" item="1"/>
          <tpl hier="236" item="0"/>
          <tpl fld="4" item="5"/>
        </tpls>
      </m>
      <n v="13" in="1">
        <tpls c="4">
          <tpl fld="7" item="880"/>
          <tpl fld="6" item="1"/>
          <tpl hier="236" item="0"/>
          <tpl fld="4" item="1"/>
        </tpls>
      </n>
      <n v="3" in="1">
        <tpls c="4">
          <tpl fld="7" item="692"/>
          <tpl fld="6" item="1"/>
          <tpl hier="236" item="0"/>
          <tpl fld="4" item="4"/>
        </tpls>
      </n>
      <m>
        <tpls c="4">
          <tpl fld="7" item="877"/>
          <tpl fld="6" item="1"/>
          <tpl hier="236" item="0"/>
          <tpl fld="4" item="6"/>
        </tpls>
      </m>
      <n v="1" in="1">
        <tpls c="4">
          <tpl fld="7" item="537"/>
          <tpl fld="6" item="1"/>
          <tpl hier="236" item="0"/>
          <tpl fld="4" item="4"/>
        </tpls>
      </n>
      <n v="11" in="1">
        <tpls c="4">
          <tpl fld="7" item="694"/>
          <tpl fld="6" item="1"/>
          <tpl hier="236" item="0"/>
          <tpl fld="4" item="4"/>
        </tpls>
      </n>
      <n v="0" in="1">
        <tpls c="4">
          <tpl fld="7" item="780"/>
          <tpl fld="6" item="1"/>
          <tpl hier="236" item="0"/>
          <tpl fld="4" item="6"/>
        </tpls>
      </n>
      <m>
        <tpls c="4">
          <tpl fld="7" item="1187"/>
          <tpl fld="6" item="1"/>
          <tpl hier="236" item="0"/>
          <tpl fld="1" item="0"/>
        </tpls>
      </m>
      <m>
        <tpls c="4">
          <tpl fld="7" item="707"/>
          <tpl fld="6" item="2"/>
          <tpl hier="236" item="0"/>
          <tpl fld="4" item="6"/>
        </tpls>
      </m>
      <m>
        <tpls c="4">
          <tpl fld="7" item="990"/>
          <tpl fld="6" item="2"/>
          <tpl hier="236" item="0"/>
          <tpl fld="4" item="4"/>
        </tpls>
      </m>
      <m>
        <tpls c="4">
          <tpl fld="7" item="637"/>
          <tpl fld="6" item="2"/>
          <tpl hier="236" item="0"/>
          <tpl fld="4" item="6"/>
        </tpls>
      </m>
      <m>
        <tpls c="4">
          <tpl fld="7" item="595"/>
          <tpl fld="6" item="1"/>
          <tpl hier="236" item="0"/>
          <tpl fld="4" item="6"/>
        </tpls>
      </m>
      <n v="2" in="1">
        <tpls c="4">
          <tpl fld="7" item="465"/>
          <tpl fld="6" item="1"/>
          <tpl hier="236" item="0"/>
          <tpl fld="1" item="0"/>
        </tpls>
      </n>
      <m>
        <tpls c="4">
          <tpl fld="7" item="1088"/>
          <tpl fld="6" item="2"/>
          <tpl hier="236" item="0"/>
          <tpl fld="4" item="6"/>
        </tpls>
      </m>
      <m>
        <tpls c="4">
          <tpl fld="7" item="553"/>
          <tpl fld="6" item="2"/>
          <tpl hier="236" item="0"/>
          <tpl fld="1" item="0"/>
        </tpls>
      </m>
      <m>
        <tpls c="3">
          <tpl fld="7" item="559"/>
          <tpl fld="6" item="3"/>
          <tpl hier="236" item="0"/>
        </tpls>
      </m>
      <m>
        <tpls c="4">
          <tpl fld="7" item="627"/>
          <tpl fld="6" item="1"/>
          <tpl hier="236" item="0"/>
          <tpl fld="4" item="1"/>
        </tpls>
      </m>
      <n v="9" in="1">
        <tpls c="4">
          <tpl fld="7" item="794"/>
          <tpl fld="6" item="1"/>
          <tpl hier="236" item="0"/>
          <tpl fld="4" item="4"/>
        </tpls>
      </n>
      <m>
        <tpls c="4">
          <tpl fld="7" item="578"/>
          <tpl fld="6" item="1"/>
          <tpl hier="236" item="0"/>
          <tpl fld="4" item="6"/>
        </tpls>
      </m>
      <m>
        <tpls c="4">
          <tpl fld="7" item="675"/>
          <tpl fld="6" item="1"/>
          <tpl hier="236" item="0"/>
          <tpl fld="4" item="6"/>
        </tpls>
      </m>
      <m>
        <tpls c="4">
          <tpl fld="7" item="536"/>
          <tpl fld="6" item="2"/>
          <tpl hier="236" item="0"/>
          <tpl fld="4" item="4"/>
        </tpls>
      </m>
      <m>
        <tpls c="4">
          <tpl fld="7" item="614"/>
          <tpl fld="6" item="2"/>
          <tpl hier="236" item="0"/>
          <tpl fld="4" item="1"/>
        </tpls>
      </m>
      <n v="27.83243243243243" in="2">
        <tpls c="6">
          <tpl fld="11" item="0"/>
          <tpl fld="6" item="2"/>
          <tpl fld="8" item="0"/>
          <tpl hier="236" item="0"/>
          <tpl fld="4" item="1"/>
          <tpl fld="9" item="2"/>
        </tpls>
      </n>
      <m>
        <tpls c="4">
          <tpl fld="7" item="183"/>
          <tpl fld="6" item="1"/>
          <tpl hier="236" item="0"/>
          <tpl fld="4" item="4"/>
        </tpls>
      </m>
      <n v="1287" in="1">
        <tpls c="5">
          <tpl fld="11" item="0"/>
          <tpl fld="6" item="1"/>
          <tpl hier="236" item="0"/>
          <tpl fld="4" item="7"/>
          <tpl fld="10" item="7"/>
        </tpls>
      </n>
      <n v="1" in="3">
        <tpls c="3">
          <tpl fld="7" item="982"/>
          <tpl fld="6" item="3"/>
          <tpl hier="236" item="0"/>
        </tpls>
      </n>
      <n v="3" in="1">
        <tpls c="4">
          <tpl fld="7" item="546"/>
          <tpl fld="6" item="1"/>
          <tpl hier="236" item="0"/>
          <tpl fld="4" item="6"/>
        </tpls>
      </n>
      <m>
        <tpls c="4">
          <tpl fld="7" item="619"/>
          <tpl fld="6" item="1"/>
          <tpl hier="236" item="0"/>
          <tpl fld="1" item="0"/>
        </tpls>
      </m>
      <m>
        <tpls c="4">
          <tpl fld="7" item="579"/>
          <tpl fld="6" item="2"/>
          <tpl hier="236" item="0"/>
          <tpl fld="1" item="0"/>
        </tpls>
      </m>
      <m>
        <tpls c="3">
          <tpl fld="7" item="554"/>
          <tpl fld="6" item="3"/>
          <tpl hier="236" item="0"/>
        </tpls>
      </m>
      <m>
        <tpls c="4">
          <tpl fld="7" item="798"/>
          <tpl fld="6" item="1"/>
          <tpl hier="236" item="0"/>
          <tpl fld="4" item="5"/>
        </tpls>
      </m>
      <n v="2" in="1">
        <tpls c="4">
          <tpl fld="7" item="438"/>
          <tpl fld="6" item="1"/>
          <tpl hier="236" item="0"/>
          <tpl fld="4" item="4"/>
        </tpls>
      </n>
      <m>
        <tpls c="4">
          <tpl fld="7" item="881"/>
          <tpl fld="6" item="1"/>
          <tpl hier="236" item="0"/>
          <tpl fld="4" item="6"/>
        </tpls>
      </m>
      <m>
        <tpls c="4">
          <tpl fld="7" item="618"/>
          <tpl fld="6" item="1"/>
          <tpl hier="236" item="0"/>
          <tpl fld="1" item="0"/>
        </tpls>
      </m>
      <m>
        <tpls c="4">
          <tpl fld="7" item="702"/>
          <tpl fld="6" item="2"/>
          <tpl hier="236" item="0"/>
          <tpl fld="4" item="5"/>
        </tpls>
      </m>
      <m>
        <tpls c="4">
          <tpl fld="7" item="1213"/>
          <tpl fld="6" item="2"/>
          <tpl hier="236" item="0"/>
          <tpl fld="4" item="1"/>
        </tpls>
      </m>
      <m>
        <tpls c="4">
          <tpl fld="7" item="712"/>
          <tpl fld="6" item="2"/>
          <tpl hier="236" item="0"/>
          <tpl fld="4" item="6"/>
        </tpls>
      </m>
      <m>
        <tpls c="4">
          <tpl fld="7" item="798"/>
          <tpl fld="6" item="2"/>
          <tpl hier="236" item="0"/>
          <tpl fld="1" item="0"/>
        </tpls>
      </m>
      <m>
        <tpls c="3">
          <tpl fld="7" item="641"/>
          <tpl fld="6" item="3"/>
          <tpl hier="236" item="0"/>
        </tpls>
      </m>
      <m>
        <tpls c="4">
          <tpl fld="7" item="692"/>
          <tpl fld="6" item="2"/>
          <tpl hier="236" item="0"/>
          <tpl fld="4" item="5"/>
        </tpls>
      </m>
      <m>
        <tpls c="4">
          <tpl fld="7" item="711"/>
          <tpl fld="6" item="2"/>
          <tpl hier="236" item="0"/>
          <tpl fld="4" item="6"/>
        </tpls>
      </m>
      <m>
        <tpls c="3">
          <tpl fld="7" item="642"/>
          <tpl fld="6" item="3"/>
          <tpl hier="236" item="0"/>
        </tpls>
      </m>
      <m>
        <tpls c="4">
          <tpl fld="7" item="647"/>
          <tpl fld="6" item="2"/>
          <tpl hier="236" item="0"/>
          <tpl fld="4" item="6"/>
        </tpls>
      </m>
      <m>
        <tpls c="4">
          <tpl fld="7" item="995"/>
          <tpl fld="6" item="2"/>
          <tpl hier="236" item="0"/>
          <tpl fld="1" item="0"/>
        </tpls>
      </m>
      <m>
        <tpls c="3">
          <tpl fld="7" item="1215"/>
          <tpl fld="6" item="3"/>
          <tpl hier="236" item="0"/>
        </tpls>
      </m>
      <m>
        <tpls c="4">
          <tpl fld="7" item="998"/>
          <tpl fld="6" item="1"/>
          <tpl hier="236" item="0"/>
          <tpl fld="4" item="5"/>
        </tpls>
      </m>
      <m>
        <tpls c="4">
          <tpl fld="7" item="837"/>
          <tpl fld="6" item="1"/>
          <tpl hier="236" item="0"/>
          <tpl fld="4" item="6"/>
        </tpls>
      </m>
      <m>
        <tpls c="4">
          <tpl fld="7" item="910"/>
          <tpl fld="6" item="2"/>
          <tpl hier="236" item="0"/>
          <tpl fld="4" item="4"/>
        </tpls>
      </m>
      <m>
        <tpls c="4">
          <tpl fld="7" item="1196"/>
          <tpl fld="6" item="1"/>
          <tpl hier="236" item="0"/>
          <tpl fld="4" item="4"/>
        </tpls>
      </m>
      <m>
        <tpls c="4">
          <tpl fld="7" item="1039"/>
          <tpl fld="6" item="2"/>
          <tpl hier="236" item="0"/>
          <tpl fld="4" item="1"/>
        </tpls>
      </m>
      <m>
        <tpls c="4">
          <tpl fld="7" item="1071"/>
          <tpl fld="6" item="2"/>
          <tpl hier="236" item="0"/>
          <tpl fld="4" item="1"/>
        </tpls>
      </m>
      <m>
        <tpls c="4">
          <tpl fld="7" item="896"/>
          <tpl fld="6" item="2"/>
          <tpl hier="236" item="0"/>
          <tpl fld="1" item="0"/>
        </tpls>
      </m>
      <m>
        <tpls c="4">
          <tpl fld="7" item="296"/>
          <tpl fld="6" item="2"/>
          <tpl hier="236" item="0"/>
          <tpl fld="1" item="0"/>
        </tpls>
      </m>
      <m>
        <tpls c="4">
          <tpl fld="7" item="398"/>
          <tpl fld="6" item="2"/>
          <tpl hier="236" item="0"/>
          <tpl fld="1" item="0"/>
        </tpls>
      </m>
      <m>
        <tpls c="4">
          <tpl fld="7" item="114"/>
          <tpl fld="6" item="2"/>
          <tpl hier="236" item="0"/>
          <tpl fld="4" item="6"/>
        </tpls>
      </m>
      <m>
        <tpls c="4">
          <tpl fld="7" item="304"/>
          <tpl fld="6" item="1"/>
          <tpl hier="236" item="0"/>
          <tpl fld="4" item="4"/>
        </tpls>
      </m>
      <m>
        <tpls c="4">
          <tpl fld="7" item="326"/>
          <tpl fld="6" item="1"/>
          <tpl hier="236" item="0"/>
          <tpl fld="4" item="5"/>
        </tpls>
      </m>
      <m>
        <tpls c="4">
          <tpl fld="7" item="447"/>
          <tpl fld="6" item="1"/>
          <tpl hier="236" item="0"/>
          <tpl fld="4" item="6"/>
        </tpls>
      </m>
      <n v="4" in="1">
        <tpls c="4">
          <tpl fld="7" item="613"/>
          <tpl fld="6" item="1"/>
          <tpl hier="236" item="0"/>
          <tpl fld="4" item="1"/>
        </tpls>
      </n>
      <m>
        <tpls c="4">
          <tpl fld="7" item="781"/>
          <tpl fld="6" item="1"/>
          <tpl hier="236" item="0"/>
          <tpl fld="4" item="4"/>
        </tpls>
      </m>
      <m>
        <tpls c="4">
          <tpl fld="7" item="638"/>
          <tpl fld="6" item="2"/>
          <tpl hier="236" item="0"/>
          <tpl fld="4" item="4"/>
        </tpls>
      </m>
      <m>
        <tpls c="4">
          <tpl fld="7" item="619"/>
          <tpl fld="6" item="2"/>
          <tpl hier="236" item="0"/>
          <tpl fld="4" item="6"/>
        </tpls>
      </m>
      <m>
        <tpls c="3">
          <tpl fld="7" item="991"/>
          <tpl fld="6" item="3"/>
          <tpl hier="236" item="0"/>
        </tpls>
      </m>
      <n v="1" in="2">
        <tpls c="4">
          <tpl fld="7" item="368"/>
          <tpl fld="6" item="2"/>
          <tpl hier="236" item="0"/>
          <tpl fld="4" item="1"/>
        </tpls>
      </n>
      <m>
        <tpls c="4">
          <tpl fld="7" item="881"/>
          <tpl fld="6" item="1"/>
          <tpl hier="236" item="0"/>
          <tpl fld="4" item="1"/>
        </tpls>
      </m>
      <m>
        <tpls c="4">
          <tpl fld="7" item="618"/>
          <tpl fld="6" item="2"/>
          <tpl hier="236" item="0"/>
          <tpl fld="1" item="0"/>
        </tpls>
      </m>
      <m>
        <tpls c="3">
          <tpl fld="7" item="784"/>
          <tpl fld="6" item="3"/>
          <tpl hier="236" item="0"/>
        </tpls>
      </m>
      <n v="2" in="1">
        <tpls c="4">
          <tpl fld="7" item="1213"/>
          <tpl fld="6" item="1"/>
          <tpl hier="236" item="0"/>
          <tpl fld="4" item="5"/>
        </tpls>
      </n>
      <m>
        <tpls c="4">
          <tpl fld="7" item="572"/>
          <tpl fld="6" item="1"/>
          <tpl hier="236" item="0"/>
          <tpl fld="4" item="4"/>
        </tpls>
      </m>
      <m>
        <tpls c="4">
          <tpl fld="7" item="797"/>
          <tpl fld="6" item="1"/>
          <tpl hier="236" item="0"/>
          <tpl fld="4" item="5"/>
        </tpls>
      </m>
      <m>
        <tpls c="4">
          <tpl fld="7" item="799"/>
          <tpl fld="6" item="2"/>
          <tpl hier="236" item="0"/>
          <tpl fld="4" item="6"/>
        </tpls>
      </m>
      <m>
        <tpls c="4">
          <tpl fld="7" item="1188"/>
          <tpl fld="6" item="2"/>
          <tpl hier="236" item="0"/>
          <tpl fld="1" item="0"/>
        </tpls>
      </m>
      <m>
        <tpls c="4">
          <tpl fld="7" item="802"/>
          <tpl fld="6" item="2"/>
          <tpl hier="236" item="0"/>
          <tpl fld="4" item="6"/>
        </tpls>
      </m>
      <m>
        <tpls c="4">
          <tpl fld="7" item="1095"/>
          <tpl fld="6" item="2"/>
          <tpl hier="236" item="0"/>
          <tpl fld="1" item="0"/>
        </tpls>
      </m>
      <m>
        <tpls c="4">
          <tpl fld="7" item="307"/>
          <tpl fld="6" item="1"/>
          <tpl hier="236" item="0"/>
          <tpl fld="4" item="4"/>
        </tpls>
      </m>
      <n v="47" in="1">
        <tpls c="4">
          <tpl fld="7" item="541"/>
          <tpl fld="6" item="1"/>
          <tpl hier="236" item="0"/>
          <tpl fld="1" item="0"/>
        </tpls>
      </n>
      <m>
        <tpls c="3">
          <tpl fld="7" item="696"/>
          <tpl fld="6" item="3"/>
          <tpl hier="236" item="0"/>
        </tpls>
      </m>
      <m>
        <tpls c="4">
          <tpl fld="7" item="1090"/>
          <tpl fld="6" item="1"/>
          <tpl hier="236" item="0"/>
          <tpl fld="4" item="6"/>
        </tpls>
      </m>
      <m>
        <tpls c="4">
          <tpl fld="7" item="567"/>
          <tpl fld="6" item="2"/>
          <tpl hier="236" item="0"/>
          <tpl fld="1" item="0"/>
        </tpls>
      </m>
      <m>
        <tpls c="4">
          <tpl fld="7" item="1276"/>
          <tpl fld="6" item="1"/>
          <tpl hier="236" item="0"/>
          <tpl fld="1" item="0"/>
        </tpls>
      </m>
      <m>
        <tpls c="3">
          <tpl fld="7" item="581"/>
          <tpl fld="6" item="3"/>
          <tpl hier="236" item="0"/>
        </tpls>
      </m>
      <m>
        <tpls c="4">
          <tpl fld="7" item="721"/>
          <tpl fld="6" item="2"/>
          <tpl hier="236" item="0"/>
          <tpl fld="4" item="5"/>
        </tpls>
      </m>
      <m>
        <tpls c="4">
          <tpl fld="7" item="643"/>
          <tpl fld="6" item="2"/>
          <tpl hier="236" item="0"/>
          <tpl fld="4" item="1"/>
        </tpls>
      </m>
      <n v="0.55000000000000004" in="2">
        <tpls c="4">
          <tpl fld="7" item="588"/>
          <tpl fld="6" item="2"/>
          <tpl hier="236" item="0"/>
          <tpl fld="4" item="4"/>
        </tpls>
      </n>
      <m>
        <tpls c="4">
          <tpl fld="7" item="808"/>
          <tpl fld="6" item="2"/>
          <tpl hier="236" item="0"/>
          <tpl fld="4" item="1"/>
        </tpls>
      </m>
      <m>
        <tpls c="4">
          <tpl fld="7" item="728"/>
          <tpl fld="6" item="2"/>
          <tpl hier="236" item="0"/>
          <tpl fld="4" item="4"/>
        </tpls>
      </m>
      <m>
        <tpls c="4">
          <tpl fld="7" item="650"/>
          <tpl fld="6" item="2"/>
          <tpl hier="236" item="0"/>
          <tpl fld="4" item="6"/>
        </tpls>
      </m>
      <m>
        <tpls c="4">
          <tpl fld="7" item="732"/>
          <tpl fld="6" item="2"/>
          <tpl hier="236" item="0"/>
          <tpl fld="4" item="4"/>
        </tpls>
      </m>
      <m>
        <tpls c="4">
          <tpl fld="7" item="654"/>
          <tpl fld="6" item="2"/>
          <tpl hier="236" item="0"/>
          <tpl fld="4" item="6"/>
        </tpls>
      </m>
      <m>
        <tpls c="4">
          <tpl fld="7" item="892"/>
          <tpl fld="6" item="2"/>
          <tpl hier="236" item="0"/>
          <tpl fld="1" item="0"/>
        </tpls>
      </m>
      <m>
        <tpls c="4">
          <tpl fld="7" item="658"/>
          <tpl fld="6" item="2"/>
          <tpl hier="236" item="0"/>
          <tpl fld="4" item="6"/>
        </tpls>
      </m>
      <m>
        <tpls c="4">
          <tpl fld="7" item="893"/>
          <tpl fld="6" item="2"/>
          <tpl hier="236" item="0"/>
          <tpl fld="1" item="0"/>
        </tpls>
      </m>
      <m>
        <tpls c="3">
          <tpl fld="7" item="1100"/>
          <tpl fld="6" item="3"/>
          <tpl hier="236" item="0"/>
        </tpls>
      </m>
      <m>
        <tpls c="4">
          <tpl fld="7" item="894"/>
          <tpl fld="6" item="2"/>
          <tpl hier="236" item="0"/>
          <tpl fld="1" item="0"/>
        </tpls>
      </m>
      <m>
        <tpls c="4">
          <tpl fld="7" item="746"/>
          <tpl fld="6" item="2"/>
          <tpl hier="236" item="0"/>
          <tpl fld="4" item="5"/>
        </tpls>
      </m>
      <m>
        <tpls c="4">
          <tpl fld="7" item="749"/>
          <tpl fld="6" item="2"/>
          <tpl hier="236" item="0"/>
          <tpl fld="4" item="4"/>
        </tpls>
      </m>
      <n v="2" in="1">
        <tpls c="4">
          <tpl fld="7" item="1106"/>
          <tpl fld="6" item="1"/>
          <tpl hier="236" item="0"/>
          <tpl fld="4" item="4"/>
        </tpls>
      </n>
      <m>
        <tpls c="4">
          <tpl fld="7" item="1109"/>
          <tpl fld="6" item="1"/>
          <tpl hier="236" item="0"/>
          <tpl fld="4" item="4"/>
        </tpls>
      </m>
      <m>
        <tpls c="4">
          <tpl fld="7" item="1112"/>
          <tpl fld="6" item="1"/>
          <tpl hier="236" item="0"/>
          <tpl fld="4" item="4"/>
        </tpls>
      </m>
      <n v="0.25" in="2">
        <tpls c="4">
          <tpl fld="7" item="909"/>
          <tpl fld="6" item="2"/>
          <tpl hier="236" item="0"/>
          <tpl fld="4" item="1"/>
        </tpls>
      </n>
      <m>
        <tpls c="4">
          <tpl fld="7" item="912"/>
          <tpl fld="6" item="2"/>
          <tpl hier="236" item="0"/>
          <tpl fld="4" item="1"/>
        </tpls>
      </m>
      <m>
        <tpls c="4">
          <tpl fld="7" item="915"/>
          <tpl fld="6" item="2"/>
          <tpl hier="236" item="0"/>
          <tpl fld="4" item="1"/>
        </tpls>
      </m>
      <m>
        <tpls c="3">
          <tpl fld="7" item="1125"/>
          <tpl fld="6" item="3"/>
          <tpl hier="236" item="0"/>
        </tpls>
      </m>
      <m>
        <tpls c="3">
          <tpl fld="7" item="1128"/>
          <tpl fld="6" item="3"/>
          <tpl hier="236" item="0"/>
        </tpls>
      </m>
      <m>
        <tpls c="3">
          <tpl fld="7" item="1131"/>
          <tpl fld="6" item="3"/>
          <tpl hier="236" item="0"/>
        </tpls>
      </m>
      <m>
        <tpls c="4">
          <tpl fld="7" item="1199"/>
          <tpl fld="6" item="2"/>
          <tpl hier="236" item="0"/>
          <tpl fld="4" item="1"/>
        </tpls>
      </m>
      <m>
        <tpls c="4">
          <tpl fld="7" item="1253"/>
          <tpl fld="6" item="2"/>
          <tpl hier="236" item="0"/>
          <tpl fld="4" item="1"/>
        </tpls>
      </m>
      <m>
        <tpls c="4">
          <tpl fld="7" item="1204"/>
          <tpl fld="6" item="2"/>
          <tpl hier="236" item="0"/>
          <tpl fld="4" item="1"/>
        </tpls>
      </m>
      <m>
        <tpls c="4">
          <tpl fld="7" item="1207"/>
          <tpl fld="6" item="2"/>
          <tpl hier="236" item="0"/>
          <tpl fld="4" item="1"/>
        </tpls>
      </m>
      <m>
        <tpls c="4">
          <tpl fld="7" item="1261"/>
          <tpl fld="6" item="2"/>
          <tpl hier="236" item="0"/>
          <tpl fld="4" item="1"/>
        </tpls>
      </m>
      <m>
        <tpls c="4">
          <tpl fld="7" item="1023"/>
          <tpl fld="6" item="2"/>
          <tpl hier="236" item="0"/>
          <tpl fld="1" item="0"/>
        </tpls>
      </m>
      <m>
        <tpls c="4">
          <tpl fld="7" item="1005"/>
          <tpl fld="6" item="2"/>
          <tpl hier="236" item="0"/>
          <tpl fld="1" item="0"/>
        </tpls>
      </m>
      <n v="1" in="2">
        <tpls c="4">
          <tpl fld="7" item="451"/>
          <tpl fld="6" item="2"/>
          <tpl hier="236" item="0"/>
          <tpl fld="1" item="0"/>
        </tpls>
      </n>
      <n v="1" in="2">
        <tpls c="4">
          <tpl fld="7" item="431"/>
          <tpl fld="6" item="2"/>
          <tpl hier="236" item="0"/>
          <tpl fld="1" item="0"/>
        </tpls>
      </n>
      <m>
        <tpls c="4">
          <tpl fld="7" item="419"/>
          <tpl fld="6" item="2"/>
          <tpl hier="236" item="0"/>
          <tpl fld="1" item="0"/>
        </tpls>
      </m>
      <m>
        <tpls c="4">
          <tpl fld="7" item="283"/>
          <tpl fld="6" item="2"/>
          <tpl hier="236" item="0"/>
          <tpl fld="1" item="0"/>
        </tpls>
      </m>
      <m>
        <tpls c="4">
          <tpl fld="7" item="151"/>
          <tpl fld="6" item="2"/>
          <tpl hier="236" item="0"/>
          <tpl fld="1" item="0"/>
        </tpls>
      </m>
      <m>
        <tpls c="4">
          <tpl fld="7" item="217"/>
          <tpl fld="6" item="2"/>
          <tpl hier="236" item="0"/>
          <tpl fld="1" item="0"/>
        </tpls>
      </m>
      <m>
        <tpls c="4">
          <tpl fld="7" item="119"/>
          <tpl fld="6" item="2"/>
          <tpl hier="236" item="0"/>
          <tpl fld="1" item="0"/>
        </tpls>
      </m>
      <m>
        <tpls c="4">
          <tpl fld="7" item="483"/>
          <tpl fld="6" item="1"/>
          <tpl hier="236" item="0"/>
          <tpl fld="4" item="6"/>
        </tpls>
      </m>
      <n v="7.4499999999999993" in="2">
        <tpls c="6">
          <tpl fld="11" item="0"/>
          <tpl fld="2" item="3"/>
          <tpl fld="6" item="2"/>
          <tpl hier="236" item="0"/>
          <tpl fld="4" item="4"/>
          <tpl fld="10" item="7"/>
        </tpls>
      </n>
      <m>
        <tpls c="4">
          <tpl fld="7" item="284"/>
          <tpl fld="6" item="1"/>
          <tpl hier="236" item="0"/>
          <tpl fld="4" item="4"/>
        </tpls>
      </m>
      <m>
        <tpls c="4">
          <tpl fld="7" item="477"/>
          <tpl fld="6" item="1"/>
          <tpl hier="236" item="0"/>
          <tpl fld="4" item="4"/>
        </tpls>
      </m>
      <m>
        <tpls c="4">
          <tpl fld="7" item="418"/>
          <tpl fld="6" item="2"/>
          <tpl hier="236" item="0"/>
          <tpl fld="4" item="4"/>
        </tpls>
      </m>
      <m>
        <tpls c="3">
          <tpl fld="7" item="357"/>
          <tpl fld="6" item="3"/>
          <tpl hier="236" item="0"/>
        </tpls>
      </m>
      <m>
        <tpls c="4">
          <tpl fld="7" item="768"/>
          <tpl fld="6" item="2"/>
          <tpl hier="236" item="0"/>
          <tpl fld="4" item="6"/>
        </tpls>
      </m>
      <m>
        <tpls c="3">
          <tpl fld="7" item="428"/>
          <tpl fld="6" item="3"/>
          <tpl hier="236" item="0"/>
        </tpls>
      </m>
      <n v="6" in="1">
        <tpls c="4">
          <tpl fld="7" item="536"/>
          <tpl fld="6" item="1"/>
          <tpl hier="236" item="0"/>
          <tpl fld="1" item="0"/>
        </tpls>
      </n>
      <m>
        <tpls c="4">
          <tpl fld="7" item="150"/>
          <tpl fld="6" item="1"/>
          <tpl hier="236" item="0"/>
          <tpl fld="4" item="5"/>
        </tpls>
      </m>
      <m>
        <tpls c="3">
          <tpl fld="7" item="199"/>
          <tpl fld="6" item="3"/>
          <tpl hier="236" item="0"/>
        </tpls>
      </m>
      <m>
        <tpls c="4">
          <tpl fld="7" item="496"/>
          <tpl fld="6" item="2"/>
          <tpl hier="236" item="0"/>
          <tpl fld="4" item="1"/>
        </tpls>
      </m>
      <n v="1" in="3">
        <tpls c="3">
          <tpl fld="7" item="1237"/>
          <tpl fld="6" item="3"/>
          <tpl hier="236" item="0"/>
        </tpls>
      </n>
      <n v="0" in="1">
        <tpls c="4">
          <tpl fld="7" item="451"/>
          <tpl fld="6" item="1"/>
          <tpl hier="236" item="0"/>
          <tpl fld="4" item="6"/>
        </tpls>
      </n>
      <m>
        <tpls c="3">
          <tpl fld="7" item="684"/>
          <tpl fld="6" item="3"/>
          <tpl hier="236" item="0"/>
        </tpls>
      </m>
      <m>
        <tpls c="4">
          <tpl fld="7" item="1086"/>
          <tpl fld="6" item="1"/>
          <tpl hier="236" item="0"/>
          <tpl fld="4" item="5"/>
        </tpls>
      </m>
      <n v="1" in="1">
        <tpls c="4">
          <tpl fld="7" item="610"/>
          <tpl fld="6" item="1"/>
          <tpl hier="236" item="0"/>
          <tpl fld="4" item="1"/>
        </tpls>
      </n>
      <m>
        <tpls c="4">
          <tpl fld="7" item="49"/>
          <tpl fld="6" item="2"/>
          <tpl hier="236" item="0"/>
          <tpl fld="4" item="1"/>
        </tpls>
      </m>
      <n v="2.6" in="2">
        <tpls c="4">
          <tpl fld="7" item="382"/>
          <tpl fld="6" item="2"/>
          <tpl hier="236" item="0"/>
          <tpl fld="4" item="1"/>
        </tpls>
      </n>
      <m>
        <tpls c="4">
          <tpl fld="7" item="773"/>
          <tpl fld="6" item="2"/>
          <tpl hier="236" item="0"/>
          <tpl fld="4" item="1"/>
        </tpls>
      </m>
      <m>
        <tpls c="4">
          <tpl fld="7" item="778"/>
          <tpl fld="6" item="1"/>
          <tpl hier="236" item="0"/>
          <tpl fld="4" item="4"/>
        </tpls>
      </m>
      <m>
        <tpls c="4">
          <tpl fld="7" item="987"/>
          <tpl fld="6" item="1"/>
          <tpl hier="236" item="0"/>
          <tpl fld="4" item="6"/>
        </tpls>
      </m>
      <n v="18" in="1">
        <tpls c="4">
          <tpl fld="7" item="625"/>
          <tpl fld="6" item="1"/>
          <tpl hier="236" item="0"/>
          <tpl fld="1" item="0"/>
        </tpls>
      </n>
      <n v="8" in="1">
        <tpls c="4">
          <tpl fld="7" item="792"/>
          <tpl fld="6" item="1"/>
          <tpl hier="236" item="0"/>
          <tpl fld="4" item="4"/>
        </tpls>
      </n>
      <m>
        <tpls c="4">
          <tpl fld="7" item="635"/>
          <tpl fld="6" item="2"/>
          <tpl hier="236" item="0"/>
          <tpl fld="4" item="4"/>
        </tpls>
      </m>
      <m>
        <tpls c="4">
          <tpl fld="7" item="41"/>
          <tpl fld="6" item="2"/>
          <tpl hier="236" item="0"/>
          <tpl fld="4" item="1"/>
        </tpls>
      </m>
      <n v="2" in="2">
        <tpls c="4">
          <tpl fld="7" item="379"/>
          <tpl fld="6" item="2"/>
          <tpl hier="236" item="0"/>
          <tpl fld="4" item="1"/>
        </tpls>
      </n>
      <m>
        <tpls c="4">
          <tpl fld="7" item="691"/>
          <tpl fld="6" item="2"/>
          <tpl hier="236" item="0"/>
          <tpl fld="4" item="1"/>
        </tpls>
      </m>
      <m>
        <tpls c="4">
          <tpl fld="7" item="616"/>
          <tpl fld="6" item="2"/>
          <tpl hier="236" item="0"/>
          <tpl fld="4" item="6"/>
        </tpls>
      </m>
      <m>
        <tpls c="4">
          <tpl fld="7" item="556"/>
          <tpl fld="6" item="2"/>
          <tpl hier="236" item="0"/>
          <tpl fld="1" item="0"/>
        </tpls>
      </m>
      <m>
        <tpls c="3">
          <tpl fld="7" item="562"/>
          <tpl fld="6" item="3"/>
          <tpl hier="236" item="0"/>
        </tpls>
      </m>
      <m>
        <tpls c="4">
          <tpl fld="7" item="569"/>
          <tpl fld="6" item="2"/>
          <tpl hier="236" item="0"/>
          <tpl fld="4" item="1"/>
        </tpls>
      </m>
      <m>
        <tpls c="4">
          <tpl fld="7" item="1276"/>
          <tpl fld="6" item="1"/>
          <tpl hier="236" item="0"/>
          <tpl fld="4" item="4"/>
        </tpls>
      </m>
      <m>
        <tpls c="4">
          <tpl fld="7" item="637"/>
          <tpl fld="6" item="2"/>
          <tpl hier="236" item="0"/>
          <tpl fld="4" item="4"/>
        </tpls>
      </m>
      <m>
        <tpls c="4">
          <tpl fld="7" item="219"/>
          <tpl fld="6" item="2"/>
          <tpl hier="236" item="0"/>
          <tpl fld="4" item="1"/>
        </tpls>
      </m>
      <m>
        <tpls c="4">
          <tpl fld="7" item="486"/>
          <tpl fld="6" item="1"/>
          <tpl hier="236" item="0"/>
          <tpl fld="4" item="6"/>
        </tpls>
      </m>
      <m>
        <tpls c="4">
          <tpl fld="7" item="356"/>
          <tpl fld="6" item="2"/>
          <tpl hier="236" item="0"/>
          <tpl fld="4" item="1"/>
        </tpls>
      </m>
      <n v="2" in="1">
        <tpls c="4">
          <tpl fld="7" item="680"/>
          <tpl fld="6" item="1"/>
          <tpl hier="236" item="0"/>
          <tpl fld="4" item="6"/>
        </tpls>
      </n>
      <m>
        <tpls c="3">
          <tpl fld="7" item="459"/>
          <tpl fld="6" item="3"/>
          <tpl hier="236" item="0"/>
        </tpls>
      </m>
      <n v="1" in="1">
        <tpls c="4">
          <tpl fld="7" item="537"/>
          <tpl fld="6" item="1"/>
          <tpl hier="236" item="0"/>
          <tpl fld="4" item="1"/>
        </tpls>
      </n>
      <m>
        <tpls c="3">
          <tpl fld="7" item="690"/>
          <tpl fld="6" item="3"/>
          <tpl hier="236" item="0"/>
        </tpls>
      </m>
      <m>
        <tpls c="3">
          <tpl fld="7" item="774"/>
          <tpl fld="6" item="3"/>
          <tpl hier="236" item="0"/>
        </tpls>
      </m>
      <m>
        <tpls c="3">
          <tpl fld="7" item="694"/>
          <tpl fld="6" item="3"/>
          <tpl hier="236" item="0"/>
        </tpls>
      </m>
      <m>
        <tpls c="3">
          <tpl fld="7" item="882"/>
          <tpl fld="6" item="3"/>
          <tpl hier="236" item="0"/>
        </tpls>
      </m>
      <m>
        <tpls c="4">
          <tpl fld="7" item="617"/>
          <tpl fld="6" item="2"/>
          <tpl hier="236" item="0"/>
          <tpl fld="4" item="5"/>
        </tpls>
      </m>
      <n v="3" in="1">
        <tpls c="4">
          <tpl fld="7" item="698"/>
          <tpl fld="6" item="1"/>
          <tpl hier="236" item="0"/>
          <tpl fld="4" item="1"/>
        </tpls>
      </n>
      <m>
        <tpls c="4">
          <tpl fld="7" item="781"/>
          <tpl fld="6" item="1"/>
          <tpl hier="236" item="0"/>
          <tpl fld="1" item="0"/>
        </tpls>
      </m>
      <m>
        <tpls c="4">
          <tpl fld="7" item="782"/>
          <tpl fld="6" item="2"/>
          <tpl hier="236" item="0"/>
          <tpl fld="4" item="4"/>
        </tpls>
      </m>
      <m>
        <tpls c="3">
          <tpl fld="7" item="1090"/>
          <tpl fld="6" item="3"/>
          <tpl hier="236" item="0"/>
        </tpls>
      </m>
      <m>
        <tpls c="4">
          <tpl fld="7" item="1187"/>
          <tpl fld="6" item="1"/>
          <tpl hier="236" item="0"/>
          <tpl fld="4" item="4"/>
        </tpls>
      </m>
      <n v="1" in="2">
        <tpls c="4">
          <tpl fld="7" item="884"/>
          <tpl fld="6" item="2"/>
          <tpl hier="236" item="0"/>
          <tpl fld="4" item="5"/>
        </tpls>
      </n>
      <m>
        <tpls c="4">
          <tpl fld="7" item="562"/>
          <tpl fld="6" item="2"/>
          <tpl hier="236" item="0"/>
          <tpl fld="4" item="6"/>
        </tpls>
      </m>
      <n v="1" in="1">
        <tpls c="4">
          <tpl fld="7" item="626"/>
          <tpl fld="6" item="1"/>
          <tpl hier="236" item="0"/>
          <tpl fld="4" item="5"/>
        </tpls>
      </n>
      <m>
        <tpls c="4">
          <tpl fld="7" item="565"/>
          <tpl fld="6" item="2"/>
          <tpl hier="236" item="0"/>
          <tpl fld="4" item="5"/>
        </tpls>
      </m>
      <m>
        <tpls c="4">
          <tpl fld="7" item="567"/>
          <tpl fld="6" item="2"/>
          <tpl hier="236" item="0"/>
          <tpl fld="4" item="5"/>
        </tpls>
      </m>
      <m>
        <tpls c="4">
          <tpl fld="7" item="569"/>
          <tpl fld="6" item="2"/>
          <tpl hier="236" item="0"/>
          <tpl fld="4" item="5"/>
        </tpls>
      </m>
      <n v="2" in="1">
        <tpls c="4">
          <tpl fld="7" item="571"/>
          <tpl fld="6" item="1"/>
          <tpl hier="236" item="0"/>
          <tpl fld="4" item="4"/>
        </tpls>
      </n>
      <m>
        <tpls c="4">
          <tpl fld="7" item="794"/>
          <tpl fld="6" item="2"/>
          <tpl hier="236" item="0"/>
          <tpl fld="4" item="5"/>
        </tpls>
      </m>
      <m>
        <tpls c="4">
          <tpl fld="7" item="1093"/>
          <tpl fld="6" item="2"/>
          <tpl hier="236" item="0"/>
          <tpl fld="4" item="6"/>
        </tpls>
      </m>
      <m>
        <tpls c="4">
          <tpl fld="7" item="1276"/>
          <tpl fld="6" item="1"/>
          <tpl hier="236" item="0"/>
          <tpl fld="4" item="5"/>
        </tpls>
      </m>
      <m>
        <tpls c="4">
          <tpl fld="7" item="636"/>
          <tpl fld="6" item="1"/>
          <tpl hier="236" item="0"/>
          <tpl fld="4" item="6"/>
        </tpls>
      </m>
      <m>
        <tpls c="4">
          <tpl fld="7" item="637"/>
          <tpl fld="6" item="2"/>
          <tpl hier="236" item="0"/>
          <tpl fld="4" item="1"/>
        </tpls>
      </m>
      <m>
        <tpls c="4">
          <tpl fld="7" item="638"/>
          <tpl fld="6" item="2"/>
          <tpl hier="236" item="0"/>
          <tpl fld="1" item="0"/>
        </tpls>
      </m>
      <n v="0" in="1">
        <tpls c="4">
          <tpl fld="7" item="581"/>
          <tpl fld="6" item="1"/>
          <tpl hier="236" item="0"/>
          <tpl fld="4" item="1"/>
        </tpls>
      </n>
      <m>
        <tpls c="4">
          <tpl fld="7" item="720"/>
          <tpl fld="6" item="1"/>
          <tpl hier="236" item="0"/>
          <tpl fld="1" item="0"/>
        </tpls>
      </m>
      <n v="1" in="2">
        <tpls c="4">
          <tpl fld="7" item="584"/>
          <tpl fld="6" item="2"/>
          <tpl hier="236" item="0"/>
          <tpl fld="4" item="4"/>
        </tpls>
      </n>
      <m>
        <tpls c="3">
          <tpl fld="7" item="804"/>
          <tpl fld="6" item="3"/>
          <tpl hier="236" item="0"/>
        </tpls>
      </m>
      <m>
        <tpls c="3">
          <tpl fld="7" item="499"/>
          <tpl fld="6" item="3"/>
          <tpl hier="236" item="0"/>
        </tpls>
      </m>
      <n v="9" in="1">
        <tpls c="4">
          <tpl fld="7" item="538"/>
          <tpl fld="6" item="1"/>
          <tpl hier="236" item="0"/>
          <tpl fld="4" item="4"/>
        </tpls>
      </n>
      <n v="6" in="1">
        <tpls c="4">
          <tpl fld="7" item="548"/>
          <tpl fld="6" item="1"/>
          <tpl hier="236" item="0"/>
          <tpl fld="4" item="4"/>
        </tpls>
      </n>
      <m>
        <tpls c="4">
          <tpl fld="7" item="1270"/>
          <tpl fld="6" item="1"/>
          <tpl hier="236" item="0"/>
          <tpl fld="4" item="6"/>
        </tpls>
      </m>
      <m>
        <tpls c="4">
          <tpl fld="7" item="623"/>
          <tpl fld="6" item="1"/>
          <tpl hier="236" item="0"/>
          <tpl fld="1" item="0"/>
        </tpls>
      </m>
      <m>
        <tpls c="4">
          <tpl fld="7" item="789"/>
          <tpl fld="6" item="2"/>
          <tpl hier="236" item="0"/>
          <tpl fld="1" item="0"/>
        </tpls>
      </m>
      <m>
        <tpls c="4">
          <tpl fld="7" item="633"/>
          <tpl fld="6" item="2"/>
          <tpl hier="236" item="0"/>
          <tpl fld="4" item="4"/>
        </tpls>
      </m>
      <m>
        <tpls c="4">
          <tpl fld="7" item="717"/>
          <tpl fld="6" item="2"/>
          <tpl hier="236" item="0"/>
          <tpl fld="4" item="6"/>
        </tpls>
      </m>
      <m>
        <tpls c="4">
          <tpl fld="7" item="801"/>
          <tpl fld="6" item="2"/>
          <tpl hier="236" item="0"/>
          <tpl fld="4" item="6"/>
        </tpls>
      </m>
      <m>
        <tpls c="4">
          <tpl fld="7" item="641"/>
          <tpl fld="6" item="2"/>
          <tpl hier="236" item="0"/>
          <tpl fld="4" item="4"/>
        </tpls>
      </m>
      <m>
        <tpls c="4">
          <tpl fld="7" item="804"/>
          <tpl fld="6" item="2"/>
          <tpl hier="236" item="0"/>
          <tpl fld="4" item="1"/>
        </tpls>
      </m>
      <m>
        <tpls c="4">
          <tpl fld="7" item="587"/>
          <tpl fld="6" item="2"/>
          <tpl hier="236" item="0"/>
          <tpl fld="4" item="4"/>
        </tpls>
      </m>
      <m>
        <tpls c="3">
          <tpl fld="7" item="993"/>
          <tpl fld="6" item="3"/>
          <tpl hier="236" item="0"/>
        </tpls>
      </m>
      <n v="6" in="1">
        <tpls c="4">
          <tpl fld="7" item="726"/>
          <tpl fld="6" item="1"/>
          <tpl hier="236" item="0"/>
          <tpl fld="4" item="4"/>
        </tpls>
      </n>
      <m>
        <tpls c="4">
          <tpl fld="7" item="809"/>
          <tpl fld="6" item="2"/>
          <tpl hier="236" item="0"/>
          <tpl fld="4" item="5"/>
        </tpls>
      </m>
      <m>
        <tpls c="4">
          <tpl fld="7" item="649"/>
          <tpl fld="6" item="2"/>
          <tpl hier="236" item="0"/>
          <tpl fld="4" item="6"/>
        </tpls>
      </m>
      <m>
        <tpls c="4">
          <tpl fld="7" item="812"/>
          <tpl fld="6" item="1"/>
          <tpl hier="236" item="0"/>
          <tpl fld="4" item="5"/>
        </tpls>
      </m>
      <m>
        <tpls c="4">
          <tpl fld="7" item="652"/>
          <tpl fld="6" item="1"/>
          <tpl hier="236" item="0"/>
          <tpl fld="4" item="6"/>
        </tpls>
      </m>
      <m>
        <tpls c="4">
          <tpl fld="7" item="815"/>
          <tpl fld="6" item="2"/>
          <tpl hier="236" item="0"/>
          <tpl fld="4" item="1"/>
        </tpls>
      </m>
      <m>
        <tpls c="4">
          <tpl fld="7" item="1189"/>
          <tpl fld="6" item="2"/>
          <tpl hier="236" item="0"/>
          <tpl fld="1" item="0"/>
        </tpls>
      </m>
      <m>
        <tpls c="4">
          <tpl fld="7" item="736"/>
          <tpl fld="6" item="1"/>
          <tpl hier="236" item="0"/>
          <tpl fld="4" item="1"/>
        </tpls>
      </m>
      <m>
        <tpls c="4">
          <tpl fld="7" item="1099"/>
          <tpl fld="6" item="1"/>
          <tpl hier="236" item="0"/>
          <tpl fld="1" item="0"/>
        </tpls>
      </m>
      <m>
        <tpls c="4">
          <tpl fld="7" item="739"/>
          <tpl fld="6" item="2"/>
          <tpl hier="236" item="0"/>
          <tpl fld="4" item="4"/>
        </tpls>
      </m>
      <m>
        <tpls c="3">
          <tpl fld="7" item="997"/>
          <tpl fld="6" item="3"/>
          <tpl hier="236" item="0"/>
        </tpls>
      </m>
      <n v="4" in="1">
        <tpls c="4">
          <tpl fld="7" item="742"/>
          <tpl fld="6" item="1"/>
          <tpl hier="236" item="0"/>
          <tpl fld="4" item="4"/>
        </tpls>
      </n>
      <m>
        <tpls c="4">
          <tpl fld="7" item="825"/>
          <tpl fld="6" item="2"/>
          <tpl hier="236" item="0"/>
          <tpl fld="4" item="5"/>
        </tpls>
      </m>
      <m>
        <tpls c="4">
          <tpl fld="7" item="827"/>
          <tpl fld="6" item="1"/>
          <tpl hier="236" item="0"/>
          <tpl fld="4" item="5"/>
        </tpls>
      </m>
      <m>
        <tpls c="4">
          <tpl fld="7" item="829"/>
          <tpl fld="6" item="1"/>
          <tpl hier="236" item="0"/>
          <tpl fld="4" item="5"/>
        </tpls>
      </m>
      <m>
        <tpls c="4">
          <tpl fld="7" item="1103"/>
          <tpl fld="6" item="2"/>
          <tpl hier="236" item="0"/>
          <tpl fld="4" item="4"/>
        </tpls>
      </m>
      <m>
        <tpls c="4">
          <tpl fld="7" item="835"/>
          <tpl fld="6" item="1"/>
          <tpl hier="236" item="0"/>
          <tpl fld="4" item="6"/>
        </tpls>
      </m>
      <m>
        <tpls c="3">
          <tpl fld="7" item="1005"/>
          <tpl fld="6" item="3"/>
          <tpl hier="236" item="0"/>
        </tpls>
      </m>
      <m>
        <tpls c="4">
          <tpl fld="7" item="1192"/>
          <tpl fld="6" item="2"/>
          <tpl hier="236" item="0"/>
          <tpl fld="4" item="1"/>
        </tpls>
      </m>
      <m>
        <tpls c="4">
          <tpl fld="7" item="1010"/>
          <tpl fld="6" item="1"/>
          <tpl hier="236" item="0"/>
          <tpl fld="4" item="4"/>
        </tpls>
      </m>
      <m>
        <tpls c="4">
          <tpl fld="7" item="1115"/>
          <tpl fld="6" item="2"/>
          <tpl hier="236" item="0"/>
          <tpl fld="4" item="4"/>
        </tpls>
      </m>
      <n v="6" in="1">
        <tpls c="4">
          <tpl fld="7" item="851"/>
          <tpl fld="6" item="1"/>
          <tpl hier="236" item="0"/>
          <tpl fld="4" item="6"/>
        </tpls>
      </n>
      <m>
        <tpls c="3">
          <tpl fld="7" item="1017"/>
          <tpl fld="6" item="3"/>
          <tpl hier="236" item="0"/>
        </tpls>
      </m>
      <m>
        <tpls c="4">
          <tpl fld="7" item="1195"/>
          <tpl fld="6" item="2"/>
          <tpl hier="236" item="0"/>
          <tpl fld="4" item="1"/>
        </tpls>
      </m>
      <n v="3" in="1">
        <tpls c="4">
          <tpl fld="7" item="1022"/>
          <tpl fld="6" item="1"/>
          <tpl hier="236" item="0"/>
          <tpl fld="4" item="4"/>
        </tpls>
      </n>
      <m>
        <tpls c="4">
          <tpl fld="7" item="1127"/>
          <tpl fld="6" item="2"/>
          <tpl hier="236" item="0"/>
          <tpl fld="4" item="4"/>
        </tpls>
      </m>
      <m>
        <tpls c="4">
          <tpl fld="7" item="867"/>
          <tpl fld="6" item="1"/>
          <tpl hier="236" item="0"/>
          <tpl fld="4" item="6"/>
        </tpls>
      </m>
      <m>
        <tpls c="3">
          <tpl fld="7" item="1029"/>
          <tpl fld="6" item="3"/>
          <tpl hier="236" item="0"/>
        </tpls>
      </m>
      <m>
        <tpls c="4">
          <tpl fld="7" item="1034"/>
          <tpl fld="6" item="2"/>
          <tpl hier="236" item="0"/>
          <tpl fld="4" item="1"/>
        </tpls>
      </m>
      <m>
        <tpls c="4">
          <tpl fld="7" item="1042"/>
          <tpl fld="6" item="2"/>
          <tpl hier="236" item="0"/>
          <tpl fld="4" item="1"/>
        </tpls>
      </m>
      <m>
        <tpls c="4">
          <tpl fld="7" item="1050"/>
          <tpl fld="6" item="2"/>
          <tpl hier="236" item="0"/>
          <tpl fld="4" item="1"/>
        </tpls>
      </m>
      <m>
        <tpls c="4">
          <tpl fld="7" item="1058"/>
          <tpl fld="6" item="2"/>
          <tpl hier="236" item="0"/>
          <tpl fld="4" item="1"/>
        </tpls>
      </m>
      <m>
        <tpls c="4">
          <tpl fld="7" item="1066"/>
          <tpl fld="6" item="2"/>
          <tpl hier="236" item="0"/>
          <tpl fld="4" item="1"/>
        </tpls>
      </m>
      <m>
        <tpls c="4">
          <tpl fld="7" item="1074"/>
          <tpl fld="6" item="2"/>
          <tpl hier="236" item="0"/>
          <tpl fld="4" item="1"/>
        </tpls>
      </m>
      <m>
        <tpls c="4">
          <tpl fld="7" item="1081"/>
          <tpl fld="6" item="2"/>
          <tpl hier="236" item="0"/>
          <tpl fld="1" item="0"/>
        </tpls>
      </m>
      <m>
        <tpls c="4">
          <tpl fld="7" item="1122"/>
          <tpl fld="6" item="2"/>
          <tpl hier="236" item="0"/>
          <tpl fld="1" item="0"/>
        </tpls>
      </m>
      <m>
        <tpls c="4">
          <tpl fld="7" item="1110"/>
          <tpl fld="6" item="2"/>
          <tpl hier="236" item="0"/>
          <tpl fld="1" item="0"/>
        </tpls>
      </m>
      <m>
        <tpls c="4">
          <tpl fld="7" item="304"/>
          <tpl fld="6" item="2"/>
          <tpl hier="236" item="0"/>
          <tpl fld="1" item="0"/>
        </tpls>
      </m>
      <m>
        <tpls c="4">
          <tpl fld="7" item="442"/>
          <tpl fld="6" item="2"/>
          <tpl hier="236" item="0"/>
          <tpl fld="1" item="0"/>
        </tpls>
      </m>
      <m>
        <tpls c="4">
          <tpl fld="7" item="426"/>
          <tpl fld="6" item="2"/>
          <tpl hier="236" item="0"/>
          <tpl fld="1" item="0"/>
        </tpls>
      </m>
      <m>
        <tpls c="4">
          <tpl fld="7" item="194"/>
          <tpl fld="6" item="2"/>
          <tpl hier="236" item="0"/>
          <tpl fld="1" item="0"/>
        </tpls>
      </m>
      <m>
        <tpls c="4">
          <tpl fld="7" item="290"/>
          <tpl fld="6" item="2"/>
          <tpl hier="236" item="0"/>
          <tpl fld="1" item="0"/>
        </tpls>
      </m>
      <m>
        <tpls c="4">
          <tpl fld="7" item="51"/>
          <tpl fld="6" item="2"/>
          <tpl hier="236" item="0"/>
          <tpl fld="1" item="0"/>
        </tpls>
      </m>
      <m>
        <tpls c="4">
          <tpl fld="7" item="220"/>
          <tpl fld="6" item="2"/>
          <tpl hier="236" item="0"/>
          <tpl fld="1" item="0"/>
        </tpls>
      </m>
      <m>
        <tpls c="4">
          <tpl fld="7" item="29"/>
          <tpl fld="6" item="2"/>
          <tpl hier="236" item="0"/>
          <tpl fld="1" item="0"/>
        </tpls>
      </m>
      <m>
        <tpls c="4">
          <tpl fld="7" item="234"/>
          <tpl fld="6" item="2"/>
          <tpl hier="236" item="0"/>
          <tpl fld="1" item="0"/>
        </tpls>
      </m>
      <m>
        <tpls c="4">
          <tpl fld="7" item="1197"/>
          <tpl fld="6" item="2"/>
          <tpl hier="236" item="0"/>
          <tpl fld="4" item="5"/>
        </tpls>
      </m>
      <m>
        <tpls c="4">
          <tpl fld="7" item="423"/>
          <tpl fld="6" item="1"/>
          <tpl hier="236" item="0"/>
          <tpl fld="4" item="4"/>
        </tpls>
      </m>
      <m>
        <tpls c="4">
          <tpl fld="7" item="394"/>
          <tpl fld="6" item="2"/>
          <tpl hier="236" item="0"/>
          <tpl fld="4" item="5"/>
        </tpls>
      </m>
      <m>
        <tpls c="4">
          <tpl fld="7" item="1088"/>
          <tpl fld="6" item="1"/>
          <tpl hier="236" item="0"/>
          <tpl fld="4" item="5"/>
        </tpls>
      </m>
      <m>
        <tpls c="4">
          <tpl fld="7" item="553"/>
          <tpl fld="6" item="1"/>
          <tpl hier="236" item="0"/>
          <tpl fld="4" item="1"/>
        </tpls>
      </m>
      <n v="2" in="1">
        <tpls c="4">
          <tpl fld="7" item="559"/>
          <tpl fld="6" item="1"/>
          <tpl hier="236" item="0"/>
          <tpl fld="4" item="4"/>
        </tpls>
      </n>
      <m>
        <tpls c="4">
          <tpl fld="7" item="627"/>
          <tpl fld="6" item="1"/>
          <tpl hier="236" item="0"/>
          <tpl fld="1" item="0"/>
        </tpls>
      </m>
      <m>
        <tpls c="4">
          <tpl fld="7" item="572"/>
          <tpl fld="6" item="2"/>
          <tpl hier="236" item="0"/>
          <tpl fld="4" item="5"/>
        </tpls>
      </m>
      <m>
        <tpls c="4">
          <tpl fld="7" item="578"/>
          <tpl fld="6" item="2"/>
          <tpl hier="236" item="0"/>
          <tpl fld="4" item="1"/>
        </tpls>
      </m>
      <m>
        <tpls c="4">
          <tpl fld="7" item="719"/>
          <tpl fld="6" item="1"/>
          <tpl hier="236" item="0"/>
          <tpl fld="4" item="1"/>
        </tpls>
      </m>
      <n v="5" in="1">
        <tpls c="4">
          <tpl fld="7" item="992"/>
          <tpl fld="6" item="1"/>
          <tpl hier="236" item="0"/>
          <tpl fld="1" item="0"/>
        </tpls>
      </n>
      <n v="11" in="1">
        <tpls c="4">
          <tpl fld="7" item="722"/>
          <tpl fld="6" item="1"/>
          <tpl hier="236" item="0"/>
          <tpl fld="4" item="6"/>
        </tpls>
      </n>
      <n v="6" in="1">
        <tpls c="4">
          <tpl fld="7" item="805"/>
          <tpl fld="6" item="1"/>
          <tpl hier="236" item="0"/>
          <tpl fld="4" item="1"/>
        </tpls>
      </n>
      <n v="31" in="1">
        <tpls c="4">
          <tpl fld="7" item="806"/>
          <tpl fld="6" item="1"/>
          <tpl hier="236" item="0"/>
          <tpl fld="1" item="0"/>
        </tpls>
      </n>
      <m>
        <tpls c="4">
          <tpl fld="7" item="646"/>
          <tpl fld="6" item="2"/>
          <tpl hier="236" item="0"/>
          <tpl fld="4" item="4"/>
        </tpls>
      </m>
      <m>
        <tpls c="3">
          <tpl fld="7" item="809"/>
          <tpl fld="6" item="3"/>
          <tpl hier="236" item="0"/>
        </tpls>
      </m>
      <m>
        <tpls c="4">
          <tpl fld="7" item="649"/>
          <tpl fld="6" item="1"/>
          <tpl hier="236" item="0"/>
          <tpl fld="4" item="4"/>
        </tpls>
      </m>
      <m>
        <tpls c="4">
          <tpl fld="7" item="730"/>
          <tpl fld="6" item="2"/>
          <tpl hier="236" item="0"/>
          <tpl fld="4" item="5"/>
        </tpls>
      </m>
      <m>
        <tpls c="4">
          <tpl fld="7" item="891"/>
          <tpl fld="6" item="2"/>
          <tpl hier="236" item="0"/>
          <tpl fld="4" item="6"/>
        </tpls>
      </m>
      <m>
        <tpls c="4">
          <tpl fld="7" item="733"/>
          <tpl fld="6" item="1"/>
          <tpl hier="236" item="0"/>
          <tpl fld="4" item="5"/>
        </tpls>
      </m>
      <m>
        <tpls c="4">
          <tpl fld="7" item="36"/>
          <tpl fld="6" item="1"/>
          <tpl hier="236" item="0"/>
          <tpl fld="4" item="6"/>
        </tpls>
      </m>
      <n v="1" in="3">
        <tpls c="3">
          <tpl fld="7" item="373"/>
          <tpl fld="6" item="3"/>
          <tpl hier="236" item="0"/>
        </tpls>
      </n>
      <m>
        <tpls c="4">
          <tpl fld="7" item="271"/>
          <tpl fld="6" item="1"/>
          <tpl hier="236" item="0"/>
          <tpl fld="4" item="5"/>
        </tpls>
      </m>
      <n v="2" in="1">
        <tpls c="4">
          <tpl fld="7" item="455"/>
          <tpl fld="6" item="1"/>
          <tpl hier="236" item="0"/>
          <tpl fld="4" item="6"/>
        </tpls>
      </n>
      <m>
        <tpls c="3">
          <tpl fld="7" item="319"/>
          <tpl fld="6" item="3"/>
          <tpl hier="236" item="0"/>
        </tpls>
      </m>
      <n v="6" in="1">
        <tpls c="4">
          <tpl fld="7" item="622"/>
          <tpl fld="6" item="1"/>
          <tpl hier="236" item="0"/>
          <tpl fld="1" item="0"/>
        </tpls>
      </n>
      <m>
        <tpls c="4">
          <tpl fld="7" item="315"/>
          <tpl fld="6" item="1"/>
          <tpl hier="236" item="0"/>
          <tpl fld="4" item="4"/>
        </tpls>
      </m>
      <m>
        <tpls c="3">
          <tpl fld="7" item="558"/>
          <tpl fld="6" item="3"/>
          <tpl hier="236" item="0"/>
        </tpls>
      </m>
      <m>
        <tpls c="4">
          <tpl fld="7" item="799"/>
          <tpl fld="6" item="2"/>
          <tpl hier="236" item="0"/>
          <tpl fld="1" item="0"/>
        </tpls>
      </m>
      <m>
        <tpls c="4">
          <tpl fld="7" item="449"/>
          <tpl fld="6" item="2"/>
          <tpl hier="236" item="0"/>
          <tpl fld="4" item="4"/>
        </tpls>
      </m>
      <n v="12" in="1">
        <tpls c="4">
          <tpl fld="7" item="613"/>
          <tpl fld="6" item="1"/>
          <tpl hier="236" item="0"/>
          <tpl fld="1" item="0"/>
        </tpls>
      </n>
      <m>
        <tpls c="4">
          <tpl fld="7" item="1270"/>
          <tpl fld="6" item="1"/>
          <tpl hier="236" item="0"/>
          <tpl fld="1" item="0"/>
        </tpls>
      </m>
      <m>
        <tpls c="4">
          <tpl fld="7" item="623"/>
          <tpl fld="6" item="2"/>
          <tpl hier="236" item="0"/>
          <tpl fld="4" item="5"/>
        </tpls>
      </m>
      <n v="2" in="1">
        <tpls c="4">
          <tpl fld="7" item="885"/>
          <tpl fld="6" item="1"/>
          <tpl hier="236" item="0"/>
          <tpl fld="4" item="5"/>
        </tpls>
      </n>
      <m>
        <tpls c="4">
          <tpl fld="7" item="633"/>
          <tpl fld="6" item="2"/>
          <tpl hier="236" item="0"/>
          <tpl fld="4" item="6"/>
        </tpls>
      </m>
      <m>
        <tpls c="4">
          <tpl fld="7" item="717"/>
          <tpl fld="6" item="2"/>
          <tpl hier="236" item="0"/>
          <tpl fld="1" item="0"/>
        </tpls>
      </m>
      <m>
        <tpls c="3">
          <tpl fld="7" item="1095"/>
          <tpl fld="6" item="3"/>
          <tpl hier="236" item="0"/>
        </tpls>
      </m>
      <m>
        <tpls c="4">
          <tpl fld="7" item="882"/>
          <tpl fld="6" item="1"/>
          <tpl hier="236" item="0"/>
          <tpl fld="4" item="6"/>
        </tpls>
      </m>
      <m>
        <tpls c="4">
          <tpl fld="7" item="714"/>
          <tpl fld="6" item="2"/>
          <tpl hier="236" item="0"/>
          <tpl fld="4" item="6"/>
        </tpls>
      </m>
      <m>
        <tpls c="4">
          <tpl fld="7" item="586"/>
          <tpl fld="6" item="2"/>
          <tpl hier="236" item="0"/>
          <tpl fld="4" item="4"/>
        </tpls>
      </m>
      <m>
        <tpls c="4">
          <tpl fld="7" item="648"/>
          <tpl fld="6" item="2"/>
          <tpl hier="236" item="0"/>
          <tpl fld="4" item="6"/>
        </tpls>
      </m>
      <m>
        <tpls c="4">
          <tpl fld="7" item="1098"/>
          <tpl fld="6" item="2"/>
          <tpl hier="236" item="0"/>
          <tpl fld="1" item="0"/>
        </tpls>
      </m>
      <m>
        <tpls c="3">
          <tpl fld="7" item="893"/>
          <tpl fld="6" item="3"/>
          <tpl hier="236" item="0"/>
        </tpls>
      </m>
      <m>
        <tpls c="4">
          <tpl fld="7" item="666"/>
          <tpl fld="6" item="2"/>
          <tpl hier="236" item="0"/>
          <tpl fld="4" item="5"/>
        </tpls>
      </m>
      <m>
        <tpls c="3">
          <tpl fld="7" item="902"/>
          <tpl fld="6" item="3"/>
          <tpl hier="236" item="0"/>
        </tpls>
      </m>
      <n v="3" in="1">
        <tpls c="4">
          <tpl fld="7" item="852"/>
          <tpl fld="6" item="1"/>
          <tpl hier="236" item="0"/>
          <tpl fld="4" item="6"/>
        </tpls>
      </n>
      <m>
        <tpls c="4">
          <tpl fld="7" item="1025"/>
          <tpl fld="6" item="2"/>
          <tpl hier="236" item="0"/>
          <tpl fld="4" item="4"/>
        </tpls>
      </m>
      <m>
        <tpls c="4">
          <tpl fld="7" item="1227"/>
          <tpl fld="6" item="2"/>
          <tpl hier="236" item="0"/>
          <tpl fld="4" item="1"/>
        </tpls>
      </m>
      <m>
        <tpls c="4">
          <tpl fld="7" item="1235"/>
          <tpl fld="6" item="2"/>
          <tpl hier="236" item="0"/>
          <tpl fld="4" item="1"/>
        </tpls>
      </m>
      <m>
        <tpls c="4">
          <tpl fld="7" item="453"/>
          <tpl fld="6" item="2"/>
          <tpl hier="236" item="0"/>
          <tpl fld="1" item="0"/>
        </tpls>
      </m>
      <m>
        <tpls c="4">
          <tpl fld="7" item="285"/>
          <tpl fld="6" item="2"/>
          <tpl hier="236" item="0"/>
          <tpl fld="1" item="0"/>
        </tpls>
      </m>
      <m>
        <tpls c="4">
          <tpl fld="7" item="123"/>
          <tpl fld="6" item="2"/>
          <tpl hier="236" item="0"/>
          <tpl fld="1" item="0"/>
        </tpls>
      </m>
      <m>
        <tpls c="4">
          <tpl fld="7" item="544"/>
          <tpl fld="6" item="1"/>
          <tpl hier="236" item="0"/>
          <tpl fld="4" item="5"/>
        </tpls>
      </m>
      <n v="0.75270270270270279" in="2">
        <tpls c="4">
          <tpl fld="7" item="779"/>
          <tpl fld="6" item="2"/>
          <tpl hier="236" item="0"/>
          <tpl fld="4" item="5"/>
        </tpls>
      </n>
      <m>
        <tpls c="4">
          <tpl fld="7" item="560"/>
          <tpl fld="6" item="2"/>
          <tpl hier="236" item="0"/>
          <tpl fld="4" item="4"/>
        </tpls>
      </m>
      <n v="9" in="1">
        <tpls c="4">
          <tpl fld="7" item="710"/>
          <tpl fld="6" item="1"/>
          <tpl hier="236" item="0"/>
          <tpl fld="1" item="0"/>
        </tpls>
      </n>
      <m>
        <tpls c="3">
          <tpl fld="7" item="716"/>
          <tpl fld="6" item="3"/>
          <tpl hier="236" item="0"/>
        </tpls>
      </m>
      <m>
        <tpls c="3">
          <tpl fld="7" item="888"/>
          <tpl fld="6" item="3"/>
          <tpl hier="236" item="0"/>
        </tpls>
      </m>
      <n v="0.55000000000000004" in="2">
        <tpls c="4">
          <tpl fld="7" item="803"/>
          <tpl fld="6" item="2"/>
          <tpl hier="236" item="0"/>
          <tpl fld="1" item="0"/>
        </tpls>
      </n>
      <n v="33" in="1">
        <tpls c="4">
          <tpl fld="7" item="805"/>
          <tpl fld="6" item="1"/>
          <tpl hier="236" item="0"/>
          <tpl fld="4" item="4"/>
        </tpls>
      </n>
      <m>
        <tpls c="4">
          <tpl fld="7" item="993"/>
          <tpl fld="6" item="2"/>
          <tpl hier="236" item="0"/>
          <tpl fld="4" item="6"/>
        </tpls>
      </m>
      <m>
        <tpls c="4">
          <tpl fld="7" item="1240"/>
          <tpl fld="6" item="2"/>
          <tpl hier="236" item="0"/>
          <tpl fld="4" item="6"/>
        </tpls>
      </m>
      <m>
        <tpls c="4">
          <tpl fld="7" item="994"/>
          <tpl fld="6" item="1"/>
          <tpl hier="236" item="0"/>
          <tpl fld="4" item="6"/>
        </tpls>
      </m>
      <m>
        <tpls c="4">
          <tpl fld="7" item="812"/>
          <tpl fld="6" item="2"/>
          <tpl hier="236" item="0"/>
          <tpl fld="1" item="0"/>
        </tpls>
      </m>
      <m>
        <tpls c="4">
          <tpl fld="7" item="814"/>
          <tpl fld="6" item="2"/>
          <tpl hier="236" item="0"/>
          <tpl fld="1" item="0"/>
        </tpls>
      </m>
      <n v="4" in="1">
        <tpls c="4">
          <tpl fld="7" item="816"/>
          <tpl fld="6" item="1"/>
          <tpl hier="236" item="0"/>
          <tpl fld="1" item="0"/>
        </tpls>
      </n>
      <m>
        <tpls c="4">
          <tpl fld="7" item="656"/>
          <tpl fld="6" item="2"/>
          <tpl hier="236" item="0"/>
          <tpl fld="4" item="4"/>
        </tpls>
      </m>
      <m>
        <tpls c="3">
          <tpl fld="7" item="819"/>
          <tpl fld="6" item="3"/>
          <tpl hier="236" item="0"/>
        </tpls>
      </m>
      <n v="2" in="1">
        <tpls c="4">
          <tpl fld="7" item="659"/>
          <tpl fld="6" item="1"/>
          <tpl hier="236" item="0"/>
          <tpl fld="4" item="4"/>
        </tpls>
      </n>
      <m>
        <tpls c="4">
          <tpl fld="7" item="740"/>
          <tpl fld="6" item="2"/>
          <tpl hier="236" item="0"/>
          <tpl fld="4" item="5"/>
        </tpls>
      </m>
      <m>
        <tpls c="4">
          <tpl fld="7" item="1100"/>
          <tpl fld="6" item="2"/>
          <tpl hier="236" item="0"/>
          <tpl fld="4" item="6"/>
        </tpls>
      </m>
      <n v="1" in="1">
        <tpls c="4">
          <tpl fld="7" item="743"/>
          <tpl fld="6" item="1"/>
          <tpl hier="236" item="0"/>
          <tpl fld="4" item="5"/>
        </tpls>
      </n>
      <n v="41" in="1">
        <tpls c="4">
          <tpl fld="7" item="665"/>
          <tpl fld="6" item="1"/>
          <tpl hier="236" item="0"/>
          <tpl fld="1" item="0"/>
        </tpls>
      </n>
      <n v="50" in="1">
        <tpls c="4">
          <tpl fld="7" item="667"/>
          <tpl fld="6" item="1"/>
          <tpl hier="236" item="0"/>
          <tpl fld="1" item="0"/>
        </tpls>
      </n>
      <m>
        <tpls c="4">
          <tpl fld="7" item="831"/>
          <tpl fld="6" item="2"/>
          <tpl hier="236" item="0"/>
          <tpl fld="4" item="4"/>
        </tpls>
      </m>
      <n v="2" in="1">
        <tpls c="4">
          <tpl fld="7" item="1002"/>
          <tpl fld="6" item="1"/>
          <tpl hier="236" item="0"/>
          <tpl fld="4" item="6"/>
        </tpls>
      </n>
      <m>
        <tpls c="3">
          <tpl fld="7" item="1217"/>
          <tpl fld="6" item="3"/>
          <tpl hier="236" item="0"/>
        </tpls>
      </m>
      <m>
        <tpls c="4">
          <tpl fld="7" item="1007"/>
          <tpl fld="6" item="2"/>
          <tpl hier="236" item="0"/>
          <tpl fld="4" item="1"/>
        </tpls>
      </m>
      <n v="2" in="1">
        <tpls c="4">
          <tpl fld="7" item="844"/>
          <tpl fld="6" item="1"/>
          <tpl hier="236" item="0"/>
          <tpl fld="4" item="4"/>
        </tpls>
      </n>
      <m>
        <tpls c="4">
          <tpl fld="7" item="847"/>
          <tpl fld="6" item="2"/>
          <tpl hier="236" item="0"/>
          <tpl fld="4" item="4"/>
        </tpls>
      </m>
      <n v="0" in="1">
        <tpls c="4">
          <tpl fld="7" item="1014"/>
          <tpl fld="6" item="1"/>
          <tpl hier="236" item="0"/>
          <tpl fld="4" item="6"/>
        </tpls>
      </n>
      <m>
        <tpls c="3">
          <tpl fld="7" item="1220"/>
          <tpl fld="6" item="3"/>
          <tpl hier="236" item="0"/>
        </tpls>
      </m>
      <m>
        <tpls c="4">
          <tpl fld="7" item="1019"/>
          <tpl fld="6" item="2"/>
          <tpl hier="236" item="0"/>
          <tpl fld="4" item="1"/>
        </tpls>
      </m>
      <n v="1" in="1">
        <tpls c="4">
          <tpl fld="7" item="860"/>
          <tpl fld="6" item="1"/>
          <tpl hier="236" item="0"/>
          <tpl fld="4" item="4"/>
        </tpls>
      </n>
      <m>
        <tpls c="4">
          <tpl fld="7" item="863"/>
          <tpl fld="6" item="2"/>
          <tpl hier="236" item="0"/>
          <tpl fld="4" item="4"/>
        </tpls>
      </m>
      <m>
        <tpls c="4">
          <tpl fld="7" item="1026"/>
          <tpl fld="6" item="1"/>
          <tpl hier="236" item="0"/>
          <tpl fld="4" item="6"/>
        </tpls>
      </m>
      <m>
        <tpls c="3">
          <tpl fld="7" item="1223"/>
          <tpl fld="6" item="3"/>
          <tpl hier="236" item="0"/>
        </tpls>
      </m>
      <n v="27" in="1">
        <tpls c="4">
          <tpl fld="7" item="1224"/>
          <tpl fld="6" item="1"/>
          <tpl hier="236" item="0"/>
          <tpl fld="4" item="4"/>
        </tpls>
      </n>
      <n v="7" in="1">
        <tpls c="4">
          <tpl fld="7" item="1143"/>
          <tpl fld="6" item="1"/>
          <tpl hier="236" item="0"/>
          <tpl fld="4" item="4"/>
        </tpls>
      </n>
      <m>
        <tpls c="4">
          <tpl fld="7" item="1151"/>
          <tpl fld="6" item="1"/>
          <tpl hier="236" item="0"/>
          <tpl fld="4" item="4"/>
        </tpls>
      </m>
      <n v="6" in="1">
        <tpls c="4">
          <tpl fld="7" item="1159"/>
          <tpl fld="6" item="1"/>
          <tpl hier="236" item="0"/>
          <tpl fld="4" item="4"/>
        </tpls>
      </n>
      <n v="3" in="1">
        <tpls c="4">
          <tpl fld="7" item="1167"/>
          <tpl fld="6" item="1"/>
          <tpl hier="236" item="0"/>
          <tpl fld="4" item="4"/>
        </tpls>
      </n>
      <n v="1" in="1">
        <tpls c="4">
          <tpl fld="7" item="1175"/>
          <tpl fld="6" item="1"/>
          <tpl hier="236" item="0"/>
          <tpl fld="4" item="4"/>
        </tpls>
      </n>
      <n v="2" in="1">
        <tpls c="4">
          <tpl fld="7" item="1183"/>
          <tpl fld="6" item="1"/>
          <tpl hier="236" item="0"/>
          <tpl fld="4" item="4"/>
        </tpls>
      </n>
      <m>
        <tpls c="4">
          <tpl fld="7" item="861"/>
          <tpl fld="6" item="2"/>
          <tpl hier="236" item="0"/>
          <tpl fld="1" item="0"/>
        </tpls>
      </m>
      <m>
        <tpls c="4">
          <tpl fld="7" item="845"/>
          <tpl fld="6" item="2"/>
          <tpl hier="236" item="0"/>
          <tpl fld="1" item="0"/>
        </tpls>
      </m>
      <m>
        <tpls c="4">
          <tpl fld="7" item="319"/>
          <tpl fld="6" item="2"/>
          <tpl hier="236" item="0"/>
          <tpl fld="1" item="0"/>
        </tpls>
      </m>
      <n v="6.2155405405405402" in="2">
        <tpls c="4">
          <tpl fld="7" item="375"/>
          <tpl fld="6" item="2"/>
          <tpl hier="236" item="0"/>
          <tpl fld="1" item="0"/>
        </tpls>
      </n>
      <m>
        <tpls c="4">
          <tpl fld="7" item="359"/>
          <tpl fld="6" item="2"/>
          <tpl hier="236" item="0"/>
          <tpl fld="1" item="0"/>
        </tpls>
      </m>
      <m>
        <tpls c="4">
          <tpl fld="7" item="209"/>
          <tpl fld="6" item="2"/>
          <tpl hier="236" item="0"/>
          <tpl fld="1" item="0"/>
        </tpls>
      </m>
      <m>
        <tpls c="4">
          <tpl fld="7" item="344"/>
          <tpl fld="6" item="2"/>
          <tpl hier="236" item="0"/>
          <tpl fld="1" item="0"/>
        </tpls>
      </m>
      <m>
        <tpls c="4">
          <tpl fld="7" item="353"/>
          <tpl fld="6" item="2"/>
          <tpl hier="236" item="0"/>
          <tpl fld="4" item="1"/>
        </tpls>
      </m>
      <m>
        <tpls c="4">
          <tpl fld="7" item="767"/>
          <tpl fld="6" item="1"/>
          <tpl hier="236" item="0"/>
          <tpl fld="4" item="6"/>
        </tpls>
      </m>
      <m>
        <tpls c="4">
          <tpl fld="7" item="1088"/>
          <tpl fld="6" item="2"/>
          <tpl hier="236" item="0"/>
          <tpl fld="4" item="5"/>
        </tpls>
      </m>
      <m>
        <tpls c="4">
          <tpl fld="7" item="698"/>
          <tpl fld="6" item="2"/>
          <tpl hier="236" item="0"/>
          <tpl fld="4" item="1"/>
        </tpls>
      </m>
      <m>
        <tpls c="4">
          <tpl fld="7" item="559"/>
          <tpl fld="6" item="2"/>
          <tpl hier="236" item="0"/>
          <tpl fld="4" item="4"/>
        </tpls>
      </m>
      <m>
        <tpls c="4">
          <tpl fld="7" item="627"/>
          <tpl fld="6" item="2"/>
          <tpl hier="236" item="0"/>
          <tpl fld="1" item="0"/>
        </tpls>
      </m>
      <m>
        <tpls c="3">
          <tpl fld="7" item="794"/>
          <tpl fld="6" item="3"/>
          <tpl hier="236" item="0"/>
        </tpls>
      </m>
      <n v="4149" in="1">
        <tpls c="5">
          <tpl fld="11" item="0"/>
          <tpl fld="6" item="1"/>
          <tpl hier="236" item="0"/>
          <tpl fld="4" item="6"/>
          <tpl fld="10" item="8"/>
        </tpls>
      </n>
      <m>
        <tpls c="4">
          <tpl fld="7" item="669"/>
          <tpl fld="6" item="2"/>
          <tpl hier="236" item="0"/>
          <tpl fld="4" item="1"/>
        </tpls>
      </m>
      <m>
        <tpls c="3">
          <tpl fld="7" item="408"/>
          <tpl fld="6" item="3"/>
          <tpl hier="236" item="0"/>
        </tpls>
      </m>
      <m>
        <tpls c="4">
          <tpl fld="7" item="337"/>
          <tpl fld="6" item="1"/>
          <tpl hier="236" item="0"/>
          <tpl fld="1" item="0"/>
        </tpls>
      </m>
      <m>
        <tpls c="3">
          <tpl fld="7" item="158"/>
          <tpl fld="6" item="3"/>
          <tpl hier="236" item="0"/>
        </tpls>
      </m>
      <m>
        <tpls c="4">
          <tpl fld="7" item="284"/>
          <tpl fld="6" item="2"/>
          <tpl hier="236" item="0"/>
          <tpl fld="4" item="4"/>
        </tpls>
      </m>
      <m>
        <tpls c="4">
          <tpl fld="7" item="766"/>
          <tpl fld="6" item="1"/>
          <tpl hier="236" item="0"/>
          <tpl fld="4" item="1"/>
        </tpls>
      </m>
      <m>
        <tpls c="4">
          <tpl fld="7" item="56"/>
          <tpl fld="6" item="2"/>
          <tpl hier="236" item="0"/>
          <tpl fld="4" item="6"/>
        </tpls>
      </m>
      <m>
        <tpls c="4">
          <tpl fld="7" item="151"/>
          <tpl fld="6" item="1"/>
          <tpl hier="236" item="0"/>
          <tpl fld="4" item="4"/>
        </tpls>
      </m>
      <m>
        <tpls c="6">
          <tpl fld="3" item="2"/>
          <tpl fld="11" item="0"/>
          <tpl fld="6" item="2"/>
          <tpl hier="236" item="0"/>
          <tpl fld="4" item="7"/>
          <tpl fld="10" item="2"/>
        </tpls>
      </m>
      <n v="1" in="3">
        <tpls c="3">
          <tpl fld="7" item="375"/>
          <tpl fld="6" item="3"/>
          <tpl hier="236" item="0"/>
        </tpls>
      </n>
      <m>
        <tpls c="4">
          <tpl fld="7" item="133"/>
          <tpl fld="6" item="1"/>
          <tpl hier="236" item="0"/>
          <tpl fld="4" item="4"/>
        </tpls>
      </m>
      <n v="1" in="3">
        <tpls c="3">
          <tpl fld="7" item="446"/>
          <tpl fld="6" item="3"/>
          <tpl hier="236" item="0"/>
        </tpls>
      </n>
      <m>
        <tpls c="4">
          <tpl fld="7" item="332"/>
          <tpl fld="6" item="2"/>
          <tpl hier="236" item="0"/>
          <tpl fld="4" item="4"/>
        </tpls>
      </m>
      <m>
        <tpls c="4">
          <tpl fld="7" item="288"/>
          <tpl fld="6" item="1"/>
          <tpl hier="236" item="0"/>
          <tpl fld="4" item="4"/>
        </tpls>
      </m>
      <m>
        <tpls c="4">
          <tpl fld="7" item="36"/>
          <tpl fld="6" item="1"/>
          <tpl hier="236" item="0"/>
          <tpl fld="4" item="4"/>
        </tpls>
      </m>
      <m>
        <tpls c="4">
          <tpl fld="7" item="81"/>
          <tpl fld="6" item="2"/>
          <tpl hier="236" item="0"/>
          <tpl fld="4" item="4"/>
        </tpls>
      </m>
      <m>
        <tpls c="4">
          <tpl fld="7" item="211"/>
          <tpl fld="6" item="2"/>
          <tpl hier="236" item="0"/>
          <tpl fld="4" item="4"/>
        </tpls>
      </m>
      <m>
        <tpls c="4">
          <tpl fld="7" item="533"/>
          <tpl fld="6" item="2"/>
          <tpl hier="236" item="0"/>
          <tpl fld="4" item="5"/>
        </tpls>
      </m>
      <m>
        <tpls c="4">
          <tpl fld="7" item="320"/>
          <tpl fld="6" item="2"/>
          <tpl hier="236" item="0"/>
          <tpl fld="4" item="1"/>
        </tpls>
      </m>
      <m>
        <tpls c="4">
          <tpl fld="7" item="392"/>
          <tpl fld="6" item="1"/>
          <tpl hier="236" item="0"/>
          <tpl fld="4" item="6"/>
        </tpls>
      </m>
      <m>
        <tpls c="4">
          <tpl fld="7" item="203"/>
          <tpl fld="6" item="1"/>
          <tpl hier="236" item="0"/>
          <tpl fld="4" item="4"/>
        </tpls>
      </m>
      <m>
        <tpls c="4">
          <tpl fld="7" item="610"/>
          <tpl fld="6" item="1"/>
          <tpl hier="236" item="0"/>
          <tpl fld="1" item="0"/>
        </tpls>
      </m>
      <m>
        <tpls c="3">
          <tpl fld="7" item="316"/>
          <tpl fld="6" item="3"/>
          <tpl hier="236" item="0"/>
        </tpls>
      </m>
      <m>
        <tpls c="4">
          <tpl fld="7" item="766"/>
          <tpl fld="6" item="2"/>
          <tpl hier="236" item="0"/>
          <tpl fld="1" item="0"/>
        </tpls>
      </m>
      <m>
        <tpls c="4">
          <tpl fld="7" item="389"/>
          <tpl fld="6" item="2"/>
          <tpl hier="236" item="0"/>
          <tpl fld="4" item="5"/>
        </tpls>
      </m>
      <n v="13" in="1">
        <tpls c="4">
          <tpl fld="7" item="626"/>
          <tpl fld="6" item="1"/>
          <tpl hier="236" item="0"/>
          <tpl fld="4" item="6"/>
        </tpls>
      </n>
      <m>
        <tpls c="4">
          <tpl fld="7" item="529"/>
          <tpl fld="6" item="2"/>
          <tpl hier="236" item="0"/>
          <tpl fld="4" item="4"/>
        </tpls>
      </m>
      <m>
        <tpls c="4">
          <tpl fld="7" item="563"/>
          <tpl fld="6" item="2"/>
          <tpl hier="236" item="0"/>
          <tpl fld="1" item="0"/>
        </tpls>
      </m>
      <n v="6.8418918918918923" in="2">
        <tpls c="6">
          <tpl fld="11" item="0"/>
          <tpl fld="5" item="1"/>
          <tpl fld="6" item="2"/>
          <tpl hier="236" item="0"/>
          <tpl fld="4" item="6"/>
          <tpl fld="10" item="5"/>
        </tpls>
      </n>
      <m>
        <tpls c="6">
          <tpl fld="3" item="0"/>
          <tpl fld="11" item="0"/>
          <tpl fld="6" item="1"/>
          <tpl hier="236" item="0"/>
          <tpl fld="4" item="3"/>
          <tpl fld="10" item="6"/>
        </tpls>
      </m>
      <m>
        <tpls c="4">
          <tpl fld="7" item="101"/>
          <tpl fld="6" item="2"/>
          <tpl hier="236" item="0"/>
          <tpl fld="4" item="4"/>
        </tpls>
      </m>
      <m>
        <tpls c="4">
          <tpl fld="7" item="380"/>
          <tpl fld="6" item="1"/>
          <tpl hier="236" item="0"/>
          <tpl fld="4" item="4"/>
        </tpls>
      </m>
      <n v="0" in="1">
        <tpls c="4">
          <tpl fld="7" item="391"/>
          <tpl fld="6" item="1"/>
          <tpl hier="236" item="0"/>
          <tpl fld="4" item="1"/>
        </tpls>
      </n>
      <m>
        <tpls c="4">
          <tpl fld="7" item="770"/>
          <tpl fld="6" item="1"/>
          <tpl hier="236" item="0"/>
          <tpl fld="4" item="1"/>
        </tpls>
      </m>
      <m>
        <tpls c="4">
          <tpl fld="7" item="45"/>
          <tpl fld="6" item="2"/>
          <tpl hier="236" item="0"/>
          <tpl fld="4" item="1"/>
        </tpls>
      </m>
      <m>
        <tpls c="4">
          <tpl fld="7" item="391"/>
          <tpl fld="6" item="2"/>
          <tpl hier="236" item="0"/>
          <tpl fld="4" item="1"/>
        </tpls>
      </m>
      <n v="1" in="1">
        <tpls c="4">
          <tpl fld="7" item="615"/>
          <tpl fld="6" item="1"/>
          <tpl hier="236" item="0"/>
          <tpl fld="4" item="4"/>
        </tpls>
      </n>
      <n v="1" in="1">
        <tpls c="4">
          <tpl fld="7" item="782"/>
          <tpl fld="6" item="1"/>
          <tpl hier="236" item="0"/>
          <tpl fld="1" item="0"/>
        </tpls>
      </n>
      <m>
        <tpls c="4">
          <tpl fld="7" item="564"/>
          <tpl fld="6" item="2"/>
          <tpl hier="236" item="0"/>
          <tpl fld="4" item="1"/>
        </tpls>
      </m>
      <m>
        <tpls c="4">
          <tpl fld="7" item="795"/>
          <tpl fld="6" item="2"/>
          <tpl hier="236" item="0"/>
          <tpl fld="4" item="4"/>
        </tpls>
      </m>
      <m>
        <tpls c="4">
          <tpl fld="7" item="404"/>
          <tpl fld="6" item="1"/>
          <tpl hier="236" item="0"/>
          <tpl fld="4" item="6"/>
        </tpls>
      </m>
      <m>
        <tpls c="4">
          <tpl fld="7" item="684"/>
          <tpl fld="6" item="2"/>
          <tpl hier="236" item="0"/>
          <tpl fld="4" item="6"/>
        </tpls>
      </m>
      <n v="0.25" in="2">
        <tpls c="4">
          <tpl fld="7" item="776"/>
          <tpl fld="6" item="2"/>
          <tpl hier="236" item="0"/>
          <tpl fld="4" item="6"/>
        </tpls>
      </n>
      <m>
        <tpls c="3">
          <tpl fld="7" item="556"/>
          <tpl fld="6" item="3"/>
          <tpl hier="236" item="0"/>
        </tpls>
      </m>
      <n v="8" in="1">
        <tpls c="4">
          <tpl fld="7" item="626"/>
          <tpl fld="6" item="1"/>
          <tpl hier="236" item="0"/>
          <tpl fld="4" item="1"/>
        </tpls>
      </n>
      <n v="8" in="1">
        <tpls c="4">
          <tpl fld="7" item="713"/>
          <tpl fld="6" item="1"/>
          <tpl hier="236" item="0"/>
          <tpl fld="4" item="4"/>
        </tpls>
      </n>
      <m>
        <tpls c="4">
          <tpl fld="7" item="484"/>
          <tpl fld="6" item="1"/>
          <tpl hier="236" item="0"/>
          <tpl fld="4" item="4"/>
        </tpls>
      </m>
      <m>
        <tpls c="6">
          <tpl fld="3" item="0"/>
          <tpl fld="11" item="0"/>
          <tpl fld="6" item="2"/>
          <tpl hier="236" item="0"/>
          <tpl fld="4" item="4"/>
          <tpl fld="10" item="1"/>
        </tpls>
      </m>
      <m>
        <tpls c="4">
          <tpl fld="7" item="185"/>
          <tpl fld="6" item="1"/>
          <tpl hier="236" item="0"/>
          <tpl fld="4" item="6"/>
        </tpls>
      </m>
      <n v="6" in="1">
        <tpls c="4">
          <tpl fld="7" item="981"/>
          <tpl fld="6" item="1"/>
          <tpl hier="236" item="0"/>
          <tpl fld="4" item="4"/>
        </tpls>
      </n>
      <m>
        <tpls c="3">
          <tpl fld="7" item="244"/>
          <tpl fld="6" item="3"/>
          <tpl hier="236" item="0"/>
        </tpls>
      </m>
      <m>
        <tpls c="4">
          <tpl fld="7" item="461"/>
          <tpl fld="6" item="2"/>
          <tpl hier="236" item="0"/>
          <tpl fld="4" item="4"/>
        </tpls>
      </m>
      <m>
        <tpls c="4">
          <tpl fld="7" item="122"/>
          <tpl fld="6" item="2"/>
          <tpl hier="236" item="0"/>
          <tpl fld="4" item="1"/>
        </tpls>
      </m>
      <m>
        <tpls c="4">
          <tpl fld="7" item="78"/>
          <tpl fld="6" item="2"/>
          <tpl hier="236" item="0"/>
          <tpl fld="4" item="1"/>
        </tpls>
      </m>
      <m>
        <tpls c="4">
          <tpl fld="7" item="1211"/>
          <tpl fld="6" item="1"/>
          <tpl hier="236" item="0"/>
          <tpl fld="4" item="6"/>
        </tpls>
      </m>
      <m>
        <tpls c="4">
          <tpl fld="7" item="364"/>
          <tpl fld="6" item="2"/>
          <tpl hier="236" item="0"/>
          <tpl fld="4" item="4"/>
        </tpls>
      </m>
      <n v="33" in="1">
        <tpls c="4">
          <tpl fld="7" item="377"/>
          <tpl fld="6" item="1"/>
          <tpl hier="236" item="0"/>
          <tpl fld="4" item="4"/>
        </tpls>
      </n>
      <m>
        <tpls c="4">
          <tpl fld="7" item="388"/>
          <tpl fld="6" item="1"/>
          <tpl hier="236" item="0"/>
          <tpl fld="4" item="4"/>
        </tpls>
      </m>
      <m>
        <tpls c="4">
          <tpl fld="7" item="535"/>
          <tpl fld="6" item="1"/>
          <tpl hier="236" item="0"/>
          <tpl fld="4" item="6"/>
        </tpls>
      </m>
      <n v="70" in="1">
        <tpls c="4">
          <tpl fld="7" item="609"/>
          <tpl fld="6" item="1"/>
          <tpl hier="236" item="0"/>
          <tpl fld="1" item="0"/>
        </tpls>
      </n>
      <m>
        <tpls c="4">
          <tpl fld="7" item="693"/>
          <tpl fld="6" item="2"/>
          <tpl hier="236" item="0"/>
          <tpl fld="4" item="5"/>
        </tpls>
      </m>
      <n v="1" in="2">
        <tpls c="4">
          <tpl fld="7" item="439"/>
          <tpl fld="6" item="2"/>
          <tpl hier="236" item="0"/>
          <tpl fld="4" item="4"/>
        </tpls>
      </n>
      <n v="1" in="1">
        <tpls c="4">
          <tpl fld="7" item="689"/>
          <tpl fld="6" item="1"/>
          <tpl hier="236" item="0"/>
          <tpl fld="4" item="5"/>
        </tpls>
      </n>
      <m>
        <tpls c="4">
          <tpl fld="7" item="549"/>
          <tpl fld="6" item="2"/>
          <tpl hier="236" item="0"/>
          <tpl fld="4" item="5"/>
        </tpls>
      </m>
      <m>
        <tpls c="4">
          <tpl fld="7" item="555"/>
          <tpl fld="6" item="2"/>
          <tpl hier="236" item="0"/>
          <tpl fld="4" item="1"/>
        </tpls>
      </m>
      <m>
        <tpls c="4">
          <tpl fld="7" item="624"/>
          <tpl fld="6" item="2"/>
          <tpl hier="236" item="0"/>
          <tpl fld="4" item="4"/>
        </tpls>
      </m>
      <m>
        <tpls c="4">
          <tpl fld="7" item="989"/>
          <tpl fld="6" item="2"/>
          <tpl hier="236" item="0"/>
          <tpl fld="4" item="6"/>
        </tpls>
      </m>
      <m>
        <tpls c="3">
          <tpl fld="7" item="574"/>
          <tpl fld="6" item="3"/>
          <tpl hier="236" item="0"/>
        </tpls>
      </m>
      <m>
        <tpls c="4">
          <tpl fld="7" item="718"/>
          <tpl fld="6" item="1"/>
          <tpl hier="236" item="0"/>
          <tpl fld="4" item="5"/>
        </tpls>
      </m>
      <m>
        <tpls c="4">
          <tpl fld="7" item="436"/>
          <tpl fld="6" item="2"/>
          <tpl hier="236" item="0"/>
          <tpl fld="4" item="4"/>
        </tpls>
      </m>
      <m>
        <tpls c="4">
          <tpl fld="7" item="984"/>
          <tpl fld="6" item="1"/>
          <tpl hier="236" item="0"/>
          <tpl fld="4" item="1"/>
        </tpls>
      </m>
      <n v="1" in="1">
        <tpls c="4">
          <tpl fld="7" item="615"/>
          <tpl fld="6" item="1"/>
          <tpl hier="236" item="0"/>
          <tpl fld="4" item="5"/>
        </tpls>
      </n>
      <m>
        <tpls c="4">
          <tpl fld="7" item="699"/>
          <tpl fld="6" item="1"/>
          <tpl hier="236" item="0"/>
          <tpl fld="4" item="1"/>
        </tpls>
      </m>
      <n v="2" in="1">
        <tpls c="4">
          <tpl fld="7" item="884"/>
          <tpl fld="6" item="1"/>
          <tpl hier="236" item="0"/>
          <tpl fld="4" item="4"/>
        </tpls>
      </n>
      <m>
        <tpls c="4">
          <tpl fld="7" item="790"/>
          <tpl fld="6" item="1"/>
          <tpl hier="236" item="0"/>
          <tpl fld="4" item="1"/>
        </tpls>
      </m>
      <m>
        <tpls c="4">
          <tpl fld="7" item="795"/>
          <tpl fld="6" item="2"/>
          <tpl hier="236" item="0"/>
          <tpl fld="4" item="5"/>
        </tpls>
      </m>
      <m>
        <tpls c="4">
          <tpl fld="7" item="638"/>
          <tpl fld="6" item="2"/>
          <tpl hier="236" item="0"/>
          <tpl fld="4" item="1"/>
        </tpls>
      </m>
      <n v="2" in="2">
        <tpls c="4">
          <tpl fld="7" item="437"/>
          <tpl fld="6" item="2"/>
          <tpl hier="236" item="0"/>
          <tpl fld="4" item="4"/>
        </tpls>
      </n>
      <n v="5" in="2">
        <tpls c="4">
          <tpl fld="7" item="609"/>
          <tpl fld="6" item="2"/>
          <tpl hier="236" item="0"/>
          <tpl fld="4" item="6"/>
        </tpls>
      </n>
      <m>
        <tpls c="4">
          <tpl fld="7" item="615"/>
          <tpl fld="6" item="2"/>
          <tpl hier="236" item="0"/>
          <tpl fld="1" item="0"/>
        </tpls>
      </m>
      <m>
        <tpls c="4">
          <tpl fld="7" item="480"/>
          <tpl fld="6" item="1"/>
          <tpl hier="236" item="0"/>
          <tpl fld="4" item="6"/>
        </tpls>
      </m>
      <n v="2" in="1">
        <tpls c="4">
          <tpl fld="7" item="879"/>
          <tpl fld="6" item="1"/>
          <tpl hier="236" item="0"/>
          <tpl fld="4" item="1"/>
        </tpls>
      </n>
      <m>
        <tpls c="4">
          <tpl fld="7" item="180"/>
          <tpl fld="6" item="2"/>
          <tpl hier="236" item="0"/>
          <tpl fld="4" item="4"/>
        </tpls>
      </m>
      <n v="1" in="1">
        <tpls c="4">
          <tpl fld="7" item="458"/>
          <tpl fld="6" item="1"/>
          <tpl hier="236" item="0"/>
          <tpl fld="4" item="5"/>
        </tpls>
      </n>
      <n v="1" in="3">
        <tpls c="3">
          <tpl fld="7" item="504"/>
          <tpl fld="6" item="3"/>
          <tpl hier="236" item="0"/>
        </tpls>
      </n>
      <n v="0.35" in="2">
        <tpls c="4">
          <tpl fld="7" item="560"/>
          <tpl fld="6" item="2"/>
          <tpl hier="236" item="0"/>
          <tpl fld="4" item="5"/>
        </tpls>
      </n>
      <n v="1" in="3">
        <tpls c="3">
          <tpl fld="7" item="501"/>
          <tpl fld="6" item="3"/>
          <tpl hier="236" item="0"/>
        </tpls>
      </n>
      <m>
        <tpls c="4">
          <tpl fld="7" item="703"/>
          <tpl fld="6" item="1"/>
          <tpl hier="236" item="0"/>
          <tpl fld="4" item="5"/>
        </tpls>
      </m>
      <m>
        <tpls c="4">
          <tpl fld="7" item="638"/>
          <tpl fld="6" item="1"/>
          <tpl hier="236" item="0"/>
          <tpl fld="4" item="5"/>
        </tpls>
      </m>
      <m>
        <tpls c="4">
          <tpl fld="7" item="384"/>
          <tpl fld="6" item="2"/>
          <tpl hier="236" item="0"/>
          <tpl fld="4" item="1"/>
        </tpls>
      </m>
      <n v="1" in="1">
        <tpls c="4">
          <tpl fld="7" item="547"/>
          <tpl fld="6" item="1"/>
          <tpl hier="236" item="0"/>
          <tpl fld="4" item="6"/>
        </tpls>
      </n>
      <m>
        <tpls c="4">
          <tpl fld="7" item="619"/>
          <tpl fld="6" item="2"/>
          <tpl hier="236" item="0"/>
          <tpl fld="4" item="4"/>
        </tpls>
      </m>
      <m>
        <tpls c="4">
          <tpl fld="7" item="560"/>
          <tpl fld="6" item="2"/>
          <tpl hier="236" item="0"/>
          <tpl fld="4" item="6"/>
        </tpls>
      </m>
      <m>
        <tpls c="4">
          <tpl fld="7" item="628"/>
          <tpl fld="6" item="2"/>
          <tpl hier="236" item="0"/>
          <tpl fld="4" item="5"/>
        </tpls>
      </m>
      <m>
        <tpls c="4">
          <tpl fld="7" item="713"/>
          <tpl fld="6" item="1"/>
          <tpl hier="236" item="0"/>
          <tpl fld="4" item="5"/>
        </tpls>
      </m>
      <m>
        <tpls c="4">
          <tpl fld="7" item="579"/>
          <tpl fld="6" item="1"/>
          <tpl hier="236" item="0"/>
          <tpl fld="4" item="1"/>
        </tpls>
      </m>
      <n v="24" in="1">
        <tpls c="4">
          <tpl fld="7" item="585"/>
          <tpl fld="6" item="1"/>
          <tpl hier="236" item="0"/>
          <tpl fld="4" item="4"/>
        </tpls>
      </n>
      <n v="5" in="1">
        <tpls c="4">
          <tpl fld="7" item="617"/>
          <tpl fld="6" item="1"/>
          <tpl hier="236" item="0"/>
          <tpl fld="1" item="0"/>
        </tpls>
      </n>
      <m>
        <tpls c="4">
          <tpl fld="7" item="797"/>
          <tpl fld="6" item="2"/>
          <tpl hier="236" item="0"/>
          <tpl fld="1" item="0"/>
        </tpls>
      </m>
      <m>
        <tpls c="3">
          <tpl fld="7" item="723"/>
          <tpl fld="6" item="3"/>
          <tpl hier="236" item="0"/>
        </tpls>
      </m>
      <n v="2" in="1">
        <tpls c="4">
          <tpl fld="7" item="810"/>
          <tpl fld="6" item="1"/>
          <tpl hier="236" item="0"/>
          <tpl fld="4" item="5"/>
        </tpls>
      </n>
      <m>
        <tpls c="4">
          <tpl fld="7" item="734"/>
          <tpl fld="6" item="1"/>
          <tpl hier="236" item="0"/>
          <tpl fld="4" item="1"/>
        </tpls>
      </m>
      <n v="3" in="1">
        <tpls c="4">
          <tpl fld="7" item="740"/>
          <tpl fld="6" item="1"/>
          <tpl hier="236" item="0"/>
          <tpl fld="4" item="4"/>
        </tpls>
      </n>
      <m>
        <tpls c="4">
          <tpl fld="7" item="1264"/>
          <tpl fld="6" item="1"/>
          <tpl hier="236" item="0"/>
          <tpl fld="4" item="5"/>
        </tpls>
      </m>
      <m>
        <tpls c="3">
          <tpl fld="7" item="1277"/>
          <tpl fld="6" item="3"/>
          <tpl hier="236" item="0"/>
        </tpls>
      </m>
      <n v="1" in="1">
        <tpls c="4">
          <tpl fld="7" item="853"/>
          <tpl fld="6" item="1"/>
          <tpl hier="236" item="0"/>
          <tpl fld="4" item="6"/>
        </tpls>
      </n>
      <m>
        <tpls c="4">
          <tpl fld="7" item="922"/>
          <tpl fld="6" item="2"/>
          <tpl hier="236" item="0"/>
          <tpl fld="4" item="4"/>
        </tpls>
      </m>
      <m>
        <tpls c="4">
          <tpl fld="7" item="1047"/>
          <tpl fld="6" item="2"/>
          <tpl hier="236" item="0"/>
          <tpl fld="4" item="1"/>
        </tpls>
      </m>
      <m>
        <tpls c="4">
          <tpl fld="7" item="1079"/>
          <tpl fld="6" item="2"/>
          <tpl hier="236" item="0"/>
          <tpl fld="4" item="1"/>
        </tpls>
      </m>
      <m>
        <tpls c="4">
          <tpl fld="7" item="448"/>
          <tpl fld="6" item="2"/>
          <tpl hier="236" item="0"/>
          <tpl fld="1" item="0"/>
        </tpls>
      </m>
      <m>
        <tpls c="4">
          <tpl fld="7" item="280"/>
          <tpl fld="6" item="2"/>
          <tpl hier="236" item="0"/>
          <tpl fld="1" item="0"/>
        </tpls>
      </m>
      <m>
        <tpls c="4">
          <tpl fld="7" item="978"/>
          <tpl fld="6" item="2"/>
          <tpl hier="236" item="0"/>
          <tpl fld="4" item="5"/>
        </tpls>
      </m>
      <m>
        <tpls c="4">
          <tpl fld="7" item="279"/>
          <tpl fld="6" item="1"/>
          <tpl hier="236" item="0"/>
          <tpl fld="4" item="4"/>
        </tpls>
      </m>
      <n v="2" in="1">
        <tpls c="4">
          <tpl fld="7" item="389"/>
          <tpl fld="6" item="1"/>
          <tpl hier="236" item="0"/>
          <tpl fld="1" item="0"/>
        </tpls>
      </n>
      <m>
        <tpls c="4">
          <tpl fld="7" item="980"/>
          <tpl fld="6" item="1"/>
          <tpl hier="236" item="0"/>
          <tpl fld="4" item="6"/>
        </tpls>
      </m>
      <m>
        <tpls c="4">
          <tpl fld="7" item="879"/>
          <tpl fld="6" item="2"/>
          <tpl hier="236" item="0"/>
          <tpl fld="1" item="0"/>
        </tpls>
      </m>
      <m>
        <tpls c="4">
          <tpl fld="7" item="366"/>
          <tpl fld="6" item="2"/>
          <tpl hier="236" item="0"/>
          <tpl fld="4" item="1"/>
        </tpls>
      </m>
      <n v="1" in="1">
        <tpls c="4">
          <tpl fld="7" item="884"/>
          <tpl fld="6" item="1"/>
          <tpl hier="236" item="0"/>
          <tpl fld="4" item="6"/>
        </tpls>
      </n>
      <n v="0.3" in="2">
        <tpls c="4">
          <tpl fld="7" item="363"/>
          <tpl fld="6" item="2"/>
          <tpl hier="236" item="0"/>
          <tpl fld="4" item="1"/>
        </tpls>
      </n>
      <m>
        <tpls c="4">
          <tpl fld="7" item="560"/>
          <tpl fld="6" item="2"/>
          <tpl hier="236" item="0"/>
          <tpl fld="1" item="0"/>
        </tpls>
      </m>
      <m>
        <tpls c="4">
          <tpl fld="7" item="638"/>
          <tpl fld="6" item="2"/>
          <tpl hier="236" item="0"/>
          <tpl fld="4" item="5"/>
        </tpls>
      </m>
      <m>
        <tpls c="3">
          <tpl fld="7" item="526"/>
          <tpl fld="6" item="3"/>
          <tpl hier="236" item="0"/>
        </tpls>
      </m>
      <m>
        <tpls c="4">
          <tpl fld="7" item="1088"/>
          <tpl fld="6" item="1"/>
          <tpl hier="236" item="0"/>
          <tpl fld="4" item="4"/>
        </tpls>
      </m>
      <m>
        <tpls c="4">
          <tpl fld="7" item="619"/>
          <tpl fld="6" item="1"/>
          <tpl hier="236" item="0"/>
          <tpl fld="4" item="1"/>
        </tpls>
      </m>
      <n v="5" in="1">
        <tpls c="4">
          <tpl fld="7" item="785"/>
          <tpl fld="6" item="1"/>
          <tpl hier="236" item="0"/>
          <tpl fld="4" item="4"/>
        </tpls>
      </n>
      <m>
        <tpls c="4">
          <tpl fld="7" item="708"/>
          <tpl fld="6" item="1"/>
          <tpl hier="236" item="0"/>
          <tpl fld="4" item="5"/>
        </tpls>
      </m>
      <m>
        <tpls c="4">
          <tpl fld="7" item="713"/>
          <tpl fld="6" item="2"/>
          <tpl hier="236" item="0"/>
          <tpl fld="4" item="5"/>
        </tpls>
      </m>
      <m>
        <tpls c="4">
          <tpl fld="7" item="577"/>
          <tpl fld="6" item="2"/>
          <tpl hier="236" item="0"/>
          <tpl fld="4" item="4"/>
        </tpls>
      </m>
      <m>
        <tpls c="4">
          <tpl fld="7" item="1094"/>
          <tpl fld="6" item="2"/>
          <tpl hier="236" item="0"/>
          <tpl fld="4" item="1"/>
        </tpls>
      </m>
      <m>
        <tpls c="4">
          <tpl fld="7" item="719"/>
          <tpl fld="6" item="2"/>
          <tpl hier="236" item="0"/>
          <tpl fld="4" item="5"/>
        </tpls>
      </m>
      <m>
        <tpls c="4">
          <tpl fld="7" item="992"/>
          <tpl fld="6" item="2"/>
          <tpl hier="236" item="0"/>
          <tpl fld="4" item="1"/>
        </tpls>
      </m>
      <m>
        <tpls c="4">
          <tpl fld="7" item="585"/>
          <tpl fld="6" item="2"/>
          <tpl hier="236" item="0"/>
          <tpl fld="4" item="4"/>
        </tpls>
      </m>
      <n v="1" in="2">
        <tpls c="4">
          <tpl fld="7" item="438"/>
          <tpl fld="6" item="2"/>
          <tpl hier="236" item="0"/>
          <tpl fld="4" item="4"/>
        </tpls>
      </n>
      <m>
        <tpls c="4">
          <tpl fld="7" item="544"/>
          <tpl fld="6" item="1"/>
          <tpl hier="236" item="0"/>
          <tpl fld="4" item="4"/>
        </tpls>
      </m>
      <n v="1" in="1">
        <tpls c="4">
          <tpl fld="7" item="552"/>
          <tpl fld="6" item="1"/>
          <tpl hier="236" item="0"/>
          <tpl fld="4" item="4"/>
        </tpls>
      </n>
      <m>
        <tpls c="4">
          <tpl fld="7" item="884"/>
          <tpl fld="6" item="2"/>
          <tpl hier="236" item="0"/>
          <tpl fld="1" item="0"/>
        </tpls>
      </m>
      <n v="1" in="2">
        <tpls c="4">
          <tpl fld="7" item="569"/>
          <tpl fld="6" item="2"/>
          <tpl hier="236" item="0"/>
          <tpl fld="1" item="0"/>
        </tpls>
      </n>
      <m>
        <tpls c="4">
          <tpl fld="7" item="636"/>
          <tpl fld="6" item="2"/>
          <tpl hier="236" item="0"/>
          <tpl fld="4" item="4"/>
        </tpls>
      </m>
      <m>
        <tpls c="4">
          <tpl fld="7" item="582"/>
          <tpl fld="6" item="2"/>
          <tpl hier="236" item="0"/>
          <tpl fld="4" item="1"/>
        </tpls>
      </m>
      <n v="0" in="1">
        <tpls c="4">
          <tpl fld="7" item="803"/>
          <tpl fld="6" item="1"/>
          <tpl hier="236" item="0"/>
          <tpl fld="4" item="1"/>
        </tpls>
      </n>
      <n v="23" in="1">
        <tpls c="4">
          <tpl fld="7" item="723"/>
          <tpl fld="6" item="1"/>
          <tpl hier="236" item="0"/>
          <tpl fld="1" item="0"/>
        </tpls>
      </n>
      <n v="2" in="1">
        <tpls c="4">
          <tpl fld="7" item="645"/>
          <tpl fld="6" item="1"/>
          <tpl hier="236" item="0"/>
          <tpl fld="4" item="6"/>
        </tpls>
      </n>
      <m>
        <tpls c="4">
          <tpl fld="7" item="1240"/>
          <tpl fld="6" item="1"/>
          <tpl hier="236" item="0"/>
          <tpl fld="1" item="0"/>
        </tpls>
      </m>
      <m>
        <tpls c="4">
          <tpl fld="7" item="810"/>
          <tpl fld="6" item="2"/>
          <tpl hier="236" item="0"/>
          <tpl fld="4" item="5"/>
        </tpls>
      </m>
      <n v="1" in="1">
        <tpls c="4">
          <tpl fld="7" item="1282"/>
          <tpl fld="6" item="1"/>
          <tpl hier="236" item="0"/>
          <tpl fld="1" item="0"/>
        </tpls>
      </n>
      <m>
        <tpls c="4">
          <tpl fld="7" item="814"/>
          <tpl fld="6" item="2"/>
          <tpl hier="236" item="0"/>
          <tpl fld="4" item="5"/>
        </tpls>
      </m>
      <m>
        <tpls c="4">
          <tpl fld="7" item="816"/>
          <tpl fld="6" item="2"/>
          <tpl hier="236" item="0"/>
          <tpl fld="4" item="1"/>
        </tpls>
      </m>
      <m>
        <tpls c="4">
          <tpl fld="7" item="818"/>
          <tpl fld="6" item="2"/>
          <tpl hier="236" item="0"/>
          <tpl fld="4" item="5"/>
        </tpls>
      </m>
      <m>
        <tpls c="4">
          <tpl fld="7" item="820"/>
          <tpl fld="6" item="2"/>
          <tpl hier="236" item="0"/>
          <tpl fld="4" item="1"/>
        </tpls>
      </m>
      <m>
        <tpls c="4">
          <tpl fld="7" item="740"/>
          <tpl fld="6" item="2"/>
          <tpl hier="236" item="0"/>
          <tpl fld="4" item="4"/>
        </tpls>
      </m>
      <m>
        <tpls c="4">
          <tpl fld="7" item="824"/>
          <tpl fld="6" item="2"/>
          <tpl hier="236" item="0"/>
          <tpl fld="4" item="1"/>
        </tpls>
      </m>
      <m>
        <tpls c="4">
          <tpl fld="7" item="744"/>
          <tpl fld="6" item="2"/>
          <tpl hier="236" item="0"/>
          <tpl fld="4" item="5"/>
        </tpls>
      </m>
      <m>
        <tpls c="4">
          <tpl fld="7" item="1264"/>
          <tpl fld="6" item="2"/>
          <tpl hier="236" item="0"/>
          <tpl fld="4" item="5"/>
        </tpls>
      </m>
      <m>
        <tpls c="4">
          <tpl fld="7" item="897"/>
          <tpl fld="6" item="2"/>
          <tpl hier="236" item="0"/>
          <tpl fld="4" item="1"/>
        </tpls>
      </m>
      <m>
        <tpls c="4">
          <tpl fld="7" item="900"/>
          <tpl fld="6" item="2"/>
          <tpl hier="236" item="0"/>
          <tpl fld="4" item="1"/>
        </tpls>
      </m>
      <m>
        <tpls c="4">
          <tpl fld="7" item="903"/>
          <tpl fld="6" item="2"/>
          <tpl hier="236" item="0"/>
          <tpl fld="4" item="1"/>
        </tpls>
      </m>
      <m>
        <tpls c="3">
          <tpl fld="7" item="1113"/>
          <tpl fld="6" item="3"/>
          <tpl hier="236" item="0"/>
        </tpls>
      </m>
      <m>
        <tpls c="3">
          <tpl fld="7" item="1116"/>
          <tpl fld="6" item="3"/>
          <tpl hier="236" item="0"/>
        </tpls>
      </m>
      <m>
        <tpls c="3">
          <tpl fld="7" item="1119"/>
          <tpl fld="6" item="3"/>
          <tpl hier="236" item="0"/>
        </tpls>
      </m>
      <m>
        <tpls c="4">
          <tpl fld="7" item="858"/>
          <tpl fld="6" item="1"/>
          <tpl hier="236" item="0"/>
          <tpl fld="4" item="6"/>
        </tpls>
      </m>
      <m>
        <tpls c="4">
          <tpl fld="7" item="862"/>
          <tpl fld="6" item="1"/>
          <tpl hier="236" item="0"/>
          <tpl fld="4" item="6"/>
        </tpls>
      </m>
      <m>
        <tpls c="4">
          <tpl fld="7" item="866"/>
          <tpl fld="6" item="1"/>
          <tpl hier="236" item="0"/>
          <tpl fld="4" item="6"/>
        </tpls>
      </m>
      <n v="1" in="2">
        <tpls c="4">
          <tpl fld="7" item="1249"/>
          <tpl fld="6" item="2"/>
          <tpl hier="236" item="0"/>
          <tpl fld="4" item="4"/>
        </tpls>
      </n>
      <m>
        <tpls c="4">
          <tpl fld="7" item="1251"/>
          <tpl fld="6" item="2"/>
          <tpl hier="236" item="0"/>
          <tpl fld="4" item="1"/>
        </tpls>
      </m>
      <m>
        <tpls c="4">
          <tpl fld="7" item="1202"/>
          <tpl fld="6" item="2"/>
          <tpl hier="236" item="0"/>
          <tpl fld="4" item="1"/>
        </tpls>
      </m>
      <m>
        <tpls c="4">
          <tpl fld="7" item="1205"/>
          <tpl fld="6" item="2"/>
          <tpl hier="236" item="0"/>
          <tpl fld="4" item="1"/>
        </tpls>
      </m>
      <m>
        <tpls c="4">
          <tpl fld="7" item="1259"/>
          <tpl fld="6" item="2"/>
          <tpl hier="236" item="0"/>
          <tpl fld="4" item="1"/>
        </tpls>
      </m>
      <m>
        <tpls c="4">
          <tpl fld="7" item="1210"/>
          <tpl fld="6" item="2"/>
          <tpl hier="236" item="0"/>
          <tpl fld="4" item="1"/>
        </tpls>
      </m>
      <m>
        <tpls c="4">
          <tpl fld="7" item="1017"/>
          <tpl fld="6" item="2"/>
          <tpl hier="236" item="0"/>
          <tpl fld="1" item="0"/>
        </tpls>
      </m>
      <m>
        <tpls c="4">
          <tpl fld="7" item="1002"/>
          <tpl fld="6" item="2"/>
          <tpl hier="236" item="0"/>
          <tpl fld="1" item="0"/>
        </tpls>
      </m>
      <n v="1" in="2">
        <tpls c="4">
          <tpl fld="7" item="447"/>
          <tpl fld="6" item="2"/>
          <tpl hier="236" item="0"/>
          <tpl fld="1" item="0"/>
        </tpls>
      </n>
      <m>
        <tpls c="4">
          <tpl fld="7" item="423"/>
          <tpl fld="6" item="2"/>
          <tpl hier="236" item="0"/>
          <tpl fld="1" item="0"/>
        </tpls>
      </m>
      <m>
        <tpls c="4">
          <tpl fld="7" item="299"/>
          <tpl fld="6" item="2"/>
          <tpl hier="236" item="0"/>
          <tpl fld="1" item="0"/>
        </tpls>
      </m>
      <m>
        <tpls c="4">
          <tpl fld="7" item="272"/>
          <tpl fld="6" item="2"/>
          <tpl hier="236" item="0"/>
          <tpl fld="1" item="0"/>
        </tpls>
      </m>
      <m>
        <tpls c="4">
          <tpl fld="7" item="42"/>
          <tpl fld="6" item="2"/>
          <tpl hier="236" item="0"/>
          <tpl fld="1" item="0"/>
        </tpls>
      </m>
      <m>
        <tpls c="4">
          <tpl fld="7" item="223"/>
          <tpl fld="6" item="2"/>
          <tpl hier="236" item="0"/>
          <tpl fld="1" item="0"/>
        </tpls>
      </m>
      <m>
        <tpls c="4">
          <tpl fld="7" item="1210"/>
          <tpl fld="6" item="2"/>
          <tpl hier="236" item="0"/>
          <tpl fld="4" item="5"/>
        </tpls>
      </m>
      <n v="1" in="3">
        <tpls c="3">
          <tpl fld="7" item="503"/>
          <tpl fld="6" item="3"/>
          <tpl hier="236" item="0"/>
        </tpls>
      </n>
      <n v="712" in="1">
        <tpls c="5">
          <tpl fld="11" item="0"/>
          <tpl fld="6" item="1"/>
          <tpl hier="236" item="0"/>
          <tpl fld="4" item="4"/>
          <tpl fld="10" item="4"/>
        </tpls>
      </n>
      <m>
        <tpls c="4">
          <tpl fld="7" item="192"/>
          <tpl fld="6" item="2"/>
          <tpl hier="236" item="0"/>
          <tpl fld="4" item="4"/>
        </tpls>
      </m>
      <m>
        <tpls c="4">
          <tpl fld="7" item="479"/>
          <tpl fld="6" item="1"/>
          <tpl hier="236" item="0"/>
          <tpl fld="4" item="4"/>
        </tpls>
      </m>
      <m>
        <tpls c="4">
          <tpl fld="7" item="756"/>
          <tpl fld="6" item="1"/>
          <tpl hier="236" item="0"/>
          <tpl fld="4" item="4"/>
        </tpls>
      </m>
      <n v="1" in="1">
        <tpls c="4">
          <tpl fld="7" item="511"/>
          <tpl fld="6" item="1"/>
          <tpl hier="236" item="0"/>
          <tpl fld="4" item="6"/>
        </tpls>
      </n>
      <n v="0.5" in="2">
        <tpls c="4">
          <tpl fld="7" item="1212"/>
          <tpl fld="6" item="2"/>
          <tpl hier="236" item="0"/>
          <tpl fld="1" item="0"/>
        </tpls>
      </n>
      <n v="1" in="1">
        <tpls c="4">
          <tpl fld="7" item="370"/>
          <tpl fld="6" item="1"/>
          <tpl hier="236" item="0"/>
          <tpl fld="4" item="6"/>
        </tpls>
      </n>
      <n v="12" in="1">
        <tpls c="4">
          <tpl fld="7" item="538"/>
          <tpl fld="6" item="1"/>
          <tpl hier="236" item="0"/>
          <tpl fld="1" item="0"/>
        </tpls>
      </n>
      <m>
        <tpls c="4">
          <tpl fld="7" item="269"/>
          <tpl fld="6" item="1"/>
          <tpl hier="236" item="0"/>
          <tpl fld="4" item="5"/>
        </tpls>
      </m>
      <m>
        <tpls c="4">
          <tpl fld="7" item="491"/>
          <tpl fld="6" item="1"/>
          <tpl hier="236" item="0"/>
          <tpl fld="4" item="6"/>
        </tpls>
      </m>
      <m>
        <tpls c="4">
          <tpl fld="7" item="358"/>
          <tpl fld="6" item="1"/>
          <tpl hier="236" item="0"/>
          <tpl fld="4" item="4"/>
        </tpls>
      </m>
      <n v="1" in="2">
        <tpls c="4">
          <tpl fld="7" item="512"/>
          <tpl fld="6" item="2"/>
          <tpl hier="236" item="0"/>
          <tpl fld="4" item="1"/>
        </tpls>
      </n>
      <m>
        <tpls c="3">
          <tpl fld="7" item="1263"/>
          <tpl fld="6" item="3"/>
          <tpl hier="236" item="0"/>
        </tpls>
      </m>
      <n v="1" in="1">
        <tpls c="4">
          <tpl fld="7" item="391"/>
          <tpl fld="6" item="1"/>
          <tpl hier="236" item="0"/>
          <tpl fld="4" item="4"/>
        </tpls>
      </n>
      <n v="3" in="1">
        <tpls c="4">
          <tpl fld="7" item="538"/>
          <tpl fld="6" item="1"/>
          <tpl hier="236" item="0"/>
          <tpl fld="4" item="6"/>
        </tpls>
      </n>
      <m>
        <tpls c="4">
          <tpl fld="7" item="691"/>
          <tpl fld="6" item="1"/>
          <tpl hier="236" item="0"/>
          <tpl fld="1" item="0"/>
        </tpls>
      </m>
      <m>
        <tpls c="4">
          <tpl fld="7" item="314"/>
          <tpl fld="6" item="2"/>
          <tpl hier="236" item="0"/>
          <tpl fld="4" item="4"/>
        </tpls>
      </m>
      <m>
        <tpls c="3">
          <tpl fld="7" item="461"/>
          <tpl fld="6" item="3"/>
          <tpl hier="236" item="0"/>
        </tpls>
      </m>
      <m>
        <tpls c="4">
          <tpl fld="7" item="546"/>
          <tpl fld="6" item="2"/>
          <tpl hier="236" item="0"/>
          <tpl fld="4" item="5"/>
        </tpls>
      </m>
      <m>
        <tpls c="4">
          <tpl fld="7" item="552"/>
          <tpl fld="6" item="2"/>
          <tpl hier="236" item="0"/>
          <tpl fld="4" item="5"/>
        </tpls>
      </m>
      <m>
        <tpls c="4">
          <tpl fld="7" item="558"/>
          <tpl fld="6" item="2"/>
          <tpl hier="236" item="0"/>
          <tpl fld="4" item="1"/>
        </tpls>
      </m>
      <m>
        <tpls c="4">
          <tpl fld="7" item="706"/>
          <tpl fld="6" item="2"/>
          <tpl hier="236" item="0"/>
          <tpl fld="4" item="4"/>
        </tpls>
      </m>
      <m>
        <tpls c="4">
          <tpl fld="7" item="571"/>
          <tpl fld="6" item="2"/>
          <tpl hier="236" item="0"/>
          <tpl fld="1" item="0"/>
        </tpls>
      </m>
      <m>
        <tpls c="3">
          <tpl fld="7" item="577"/>
          <tpl fld="6" item="3"/>
          <tpl hier="236" item="0"/>
        </tpls>
      </m>
      <m>
        <tpls c="4">
          <tpl fld="7" item="302"/>
          <tpl fld="6" item="2"/>
          <tpl hier="236" item="0"/>
          <tpl fld="4" item="4"/>
        </tpls>
      </m>
      <m>
        <tpls c="4">
          <tpl fld="7" item="530"/>
          <tpl fld="6" item="1"/>
          <tpl hier="236" item="0"/>
          <tpl fld="4" item="1"/>
        </tpls>
      </m>
      <n v="2" in="1">
        <tpls c="4">
          <tpl fld="7" item="985"/>
          <tpl fld="6" item="1"/>
          <tpl hier="236" item="0"/>
          <tpl fld="4" item="4"/>
        </tpls>
      </n>
      <m>
        <tpls c="4">
          <tpl fld="7" item="697"/>
          <tpl fld="6" item="1"/>
          <tpl hier="236" item="0"/>
          <tpl fld="4" item="5"/>
        </tpls>
      </m>
      <n v="3" in="1">
        <tpls c="4">
          <tpl fld="7" item="783"/>
          <tpl fld="6" item="1"/>
          <tpl hier="236" item="0"/>
          <tpl fld="4" item="1"/>
        </tpls>
      </n>
      <n v="30" in="1">
        <tpls c="4">
          <tpl fld="7" item="626"/>
          <tpl fld="6" item="1"/>
          <tpl hier="236" item="0"/>
          <tpl fld="4" item="4"/>
        </tpls>
      </n>
      <n v="9" in="1">
        <tpls c="4">
          <tpl fld="7" item="793"/>
          <tpl fld="6" item="1"/>
          <tpl hier="236" item="0"/>
          <tpl fld="1" item="0"/>
        </tpls>
      </n>
      <m>
        <tpls c="4">
          <tpl fld="7" item="887"/>
          <tpl fld="6" item="2"/>
          <tpl hier="236" item="0"/>
          <tpl fld="4" item="5"/>
        </tpls>
      </m>
      <m>
        <tpls c="4">
          <tpl fld="7" item="799"/>
          <tpl fld="6" item="1"/>
          <tpl hier="236" item="0"/>
          <tpl fld="1" item="0"/>
        </tpls>
      </m>
      <m>
        <tpls c="4">
          <tpl fld="7" item="143"/>
          <tpl fld="6" item="2"/>
          <tpl hier="236" item="0"/>
          <tpl fld="4" item="4"/>
        </tpls>
      </m>
      <m>
        <tpls c="3">
          <tpl fld="7" item="204"/>
          <tpl fld="6" item="3"/>
          <tpl hier="236" item="0"/>
        </tpls>
      </m>
      <n v="1" in="3">
        <tpls c="3">
          <tpl fld="7" item="502"/>
          <tpl fld="6" item="3"/>
          <tpl hier="236" item="0"/>
        </tpls>
      </n>
      <n v="2" in="1">
        <tpls c="4">
          <tpl fld="7" item="681"/>
          <tpl fld="6" item="1"/>
          <tpl hier="236" item="0"/>
          <tpl fld="4" item="6"/>
        </tpls>
      </n>
      <m>
        <tpls c="4">
          <tpl fld="7" item="390"/>
          <tpl fld="6" item="1"/>
          <tpl hier="236" item="0"/>
          <tpl fld="4" item="5"/>
        </tpls>
      </m>
      <m>
        <tpls c="4">
          <tpl fld="7" item="880"/>
          <tpl fld="6" item="1"/>
          <tpl hier="236" item="0"/>
          <tpl fld="4" item="5"/>
        </tpls>
      </m>
      <m>
        <tpls c="4">
          <tpl fld="7" item="1212"/>
          <tpl fld="6" item="2"/>
          <tpl hier="236" item="0"/>
          <tpl fld="4" item="5"/>
        </tpls>
      </m>
      <n v="14" in="1">
        <tpls c="4">
          <tpl fld="7" item="546"/>
          <tpl fld="6" item="1"/>
          <tpl hier="236" item="0"/>
          <tpl fld="1" item="0"/>
        </tpls>
      </n>
      <m>
        <tpls c="4">
          <tpl fld="7" item="776"/>
          <tpl fld="6" item="2"/>
          <tpl hier="236" item="0"/>
          <tpl fld="4" item="4"/>
        </tpls>
      </m>
      <n v="4" in="1">
        <tpls c="4">
          <tpl fld="7" item="616"/>
          <tpl fld="6" item="1"/>
          <tpl hier="236" item="0"/>
          <tpl fld="4" item="4"/>
        </tpls>
      </n>
      <m>
        <tpls c="4">
          <tpl fld="7" item="552"/>
          <tpl fld="6" item="2"/>
          <tpl hier="236" item="0"/>
          <tpl fld="4" item="6"/>
        </tpls>
      </m>
      <m>
        <tpls c="3">
          <tpl fld="7" item="1270"/>
          <tpl fld="6" item="3"/>
          <tpl hier="236" item="0"/>
        </tpls>
      </m>
      <n v="1" in="1">
        <tpls c="4">
          <tpl fld="7" item="883"/>
          <tpl fld="6" item="1"/>
          <tpl hier="236" item="0"/>
          <tpl fld="4" item="4"/>
        </tpls>
      </n>
      <m>
        <tpls c="4">
          <tpl fld="7" item="987"/>
          <tpl fld="6" item="2"/>
          <tpl hier="236" item="0"/>
          <tpl fld="4" item="5"/>
        </tpls>
      </m>
      <m>
        <tpls c="4">
          <tpl fld="7" item="558"/>
          <tpl fld="6" item="2"/>
          <tpl hier="236" item="0"/>
          <tpl fld="4" item="6"/>
        </tpls>
      </m>
      <m>
        <tpls c="4">
          <tpl fld="7" item="623"/>
          <tpl fld="6" item="1"/>
          <tpl hier="236" item="0"/>
          <tpl fld="4" item="5"/>
        </tpls>
      </m>
      <n v="8" in="1">
        <tpls c="4">
          <tpl fld="7" item="561"/>
          <tpl fld="6" item="1"/>
          <tpl hier="236" item="0"/>
          <tpl fld="4" item="6"/>
        </tpls>
      </n>
      <m>
        <tpls c="4">
          <tpl fld="7" item="705"/>
          <tpl fld="6" item="2"/>
          <tpl hier="236" item="0"/>
          <tpl fld="4" item="1"/>
        </tpls>
      </m>
      <m>
        <tpls c="4">
          <tpl fld="7" item="706"/>
          <tpl fld="6" item="2"/>
          <tpl hier="236" item="0"/>
          <tpl fld="1" item="0"/>
        </tpls>
      </m>
      <m>
        <tpls c="4">
          <tpl fld="7" item="789"/>
          <tpl fld="6" item="2"/>
          <tpl hier="236" item="0"/>
          <tpl fld="4" item="5"/>
        </tpls>
      </m>
      <m>
        <tpls c="4">
          <tpl fld="7" item="629"/>
          <tpl fld="6" item="2"/>
          <tpl hier="236" item="0"/>
          <tpl fld="4" item="5"/>
        </tpls>
      </m>
      <m>
        <tpls c="4">
          <tpl fld="7" item="792"/>
          <tpl fld="6" item="2"/>
          <tpl hier="236" item="0"/>
          <tpl fld="4" item="5"/>
        </tpls>
      </m>
      <m>
        <tpls c="4">
          <tpl fld="7" item="886"/>
          <tpl fld="6" item="1"/>
          <tpl hier="236" item="0"/>
          <tpl fld="4" item="5"/>
        </tpls>
      </m>
      <n v="2" in="1">
        <tpls c="4">
          <tpl fld="7" item="633"/>
          <tpl fld="6" item="1"/>
          <tpl hier="236" item="0"/>
          <tpl fld="4" item="6"/>
        </tpls>
      </n>
      <m>
        <tpls c="4">
          <tpl fld="7" item="634"/>
          <tpl fld="6" item="2"/>
          <tpl hier="236" item="0"/>
          <tpl fld="4" item="1"/>
        </tpls>
      </m>
      <m>
        <tpls c="4">
          <tpl fld="7" item="635"/>
          <tpl fld="6" item="2"/>
          <tpl hier="236" item="0"/>
          <tpl fld="1" item="0"/>
        </tpls>
      </m>
      <m>
        <tpls c="4">
          <tpl fld="7" item="577"/>
          <tpl fld="6" item="1"/>
          <tpl hier="236" item="0"/>
          <tpl fld="4" item="1"/>
        </tpls>
      </m>
      <m>
        <tpls c="4">
          <tpl fld="7" item="717"/>
          <tpl fld="6" item="1"/>
          <tpl hier="236" item="0"/>
          <tpl fld="1" item="0"/>
        </tpls>
      </m>
      <m>
        <tpls c="4">
          <tpl fld="7" item="580"/>
          <tpl fld="6" item="2"/>
          <tpl hier="236" item="0"/>
          <tpl fld="4" item="4"/>
        </tpls>
      </m>
      <m>
        <tpls c="3">
          <tpl fld="7" item="801"/>
          <tpl fld="6" item="3"/>
          <tpl hier="236" item="0"/>
        </tpls>
      </m>
      <n v="8" in="1">
        <tpls c="4">
          <tpl fld="7" item="583"/>
          <tpl fld="6" item="1"/>
          <tpl hier="236" item="0"/>
          <tpl fld="4" item="4"/>
        </tpls>
      </n>
      <m>
        <tpls c="4">
          <tpl fld="7" item="803"/>
          <tpl fld="6" item="2"/>
          <tpl hier="236" item="0"/>
          <tpl fld="4" item="5"/>
        </tpls>
      </m>
      <m>
        <tpls c="4">
          <tpl fld="7" item="1214"/>
          <tpl fld="6" item="2"/>
          <tpl hier="236" item="0"/>
          <tpl fld="4" item="6"/>
        </tpls>
      </m>
      <m>
        <tpls c="4">
          <tpl fld="7" item="761"/>
          <tpl fld="6" item="1"/>
          <tpl hier="236" item="0"/>
          <tpl fld="4" item="6"/>
        </tpls>
      </m>
      <n v="1" in="1">
        <tpls c="4">
          <tpl fld="7" item="1087"/>
          <tpl fld="6" item="1"/>
          <tpl hier="236" item="0"/>
          <tpl fld="4" item="5"/>
        </tpls>
      </n>
      <m>
        <tpls c="4">
          <tpl fld="7" item="695"/>
          <tpl fld="6" item="2"/>
          <tpl hier="236" item="0"/>
          <tpl fld="4" item="5"/>
        </tpls>
      </m>
      <m>
        <tpls c="4">
          <tpl fld="7" item="883"/>
          <tpl fld="6" item="2"/>
          <tpl hier="236" item="0"/>
          <tpl fld="4" item="1"/>
        </tpls>
      </m>
      <n v="1" in="2">
        <tpls c="4">
          <tpl fld="7" item="561"/>
          <tpl fld="6" item="2"/>
          <tpl hier="236" item="0"/>
          <tpl fld="4" item="4"/>
        </tpls>
      </n>
      <m>
        <tpls c="4">
          <tpl fld="7" item="629"/>
          <tpl fld="6" item="2"/>
          <tpl hier="236" item="0"/>
          <tpl fld="1" item="0"/>
        </tpls>
      </m>
      <m>
        <tpls c="3">
          <tpl fld="7" item="634"/>
          <tpl fld="6" item="3"/>
          <tpl hier="236" item="0"/>
        </tpls>
      </m>
      <m>
        <tpls c="4">
          <tpl fld="7" item="580"/>
          <tpl fld="6" item="1"/>
          <tpl hier="236" item="0"/>
          <tpl fld="4" item="6"/>
        </tpls>
      </m>
      <n v="1" in="1">
        <tpls c="4">
          <tpl fld="7" item="582"/>
          <tpl fld="6" item="1"/>
          <tpl hier="236" item="0"/>
          <tpl fld="1" item="0"/>
        </tpls>
      </n>
      <n v="2" in="1">
        <tpls c="4">
          <tpl fld="7" item="584"/>
          <tpl fld="6" item="1"/>
          <tpl hier="236" item="0"/>
          <tpl fld="4" item="6"/>
        </tpls>
      </n>
      <m>
        <tpls c="4">
          <tpl fld="7" item="586"/>
          <tpl fld="6" item="1"/>
          <tpl hier="236" item="0"/>
          <tpl fld="4" item="4"/>
        </tpls>
      </m>
      <m>
        <tpls c="4">
          <tpl fld="7" item="889"/>
          <tpl fld="6" item="2"/>
          <tpl hier="236" item="0"/>
          <tpl fld="4" item="5"/>
        </tpls>
      </m>
      <m>
        <tpls c="4">
          <tpl fld="7" item="645"/>
          <tpl fld="6" item="2"/>
          <tpl hier="236" item="0"/>
          <tpl fld="4" item="6"/>
        </tpls>
      </m>
      <n v="1" in="1">
        <tpls c="4">
          <tpl fld="7" item="808"/>
          <tpl fld="6" item="1"/>
          <tpl hier="236" item="0"/>
          <tpl fld="4" item="5"/>
        </tpls>
      </n>
      <m>
        <tpls c="4">
          <tpl fld="7" item="648"/>
          <tpl fld="6" item="1"/>
          <tpl hier="236" item="0"/>
          <tpl fld="4" item="6"/>
        </tpls>
      </m>
      <m>
        <tpls c="4">
          <tpl fld="7" item="811"/>
          <tpl fld="6" item="2"/>
          <tpl hier="236" item="0"/>
          <tpl fld="4" item="1"/>
        </tpls>
      </m>
      <m>
        <tpls c="4">
          <tpl fld="7" item="1282"/>
          <tpl fld="6" item="2"/>
          <tpl hier="236" item="0"/>
          <tpl fld="1" item="0"/>
        </tpls>
      </m>
      <m>
        <tpls c="4">
          <tpl fld="7" item="732"/>
          <tpl fld="6" item="1"/>
          <tpl hier="236" item="0"/>
          <tpl fld="4" item="1"/>
        </tpls>
      </m>
      <n v="3" in="1">
        <tpls c="4">
          <tpl fld="7" item="1098"/>
          <tpl fld="6" item="1"/>
          <tpl hier="236" item="0"/>
          <tpl fld="1" item="0"/>
        </tpls>
      </n>
      <m>
        <tpls c="4">
          <tpl fld="7" item="735"/>
          <tpl fld="6" item="2"/>
          <tpl hier="236" item="0"/>
          <tpl fld="4" item="4"/>
        </tpls>
      </m>
      <m>
        <tpls c="3">
          <tpl fld="7" item="996"/>
          <tpl fld="6" item="3"/>
          <tpl hier="236" item="0"/>
        </tpls>
      </m>
      <m>
        <tpls c="4">
          <tpl fld="7" item="738"/>
          <tpl fld="6" item="1"/>
          <tpl hier="236" item="0"/>
          <tpl fld="4" item="4"/>
        </tpls>
      </m>
      <m>
        <tpls c="4">
          <tpl fld="7" item="821"/>
          <tpl fld="6" item="2"/>
          <tpl hier="236" item="0"/>
          <tpl fld="4" item="5"/>
        </tpls>
      </m>
      <m>
        <tpls c="4">
          <tpl fld="7" item="661"/>
          <tpl fld="6" item="2"/>
          <tpl hier="236" item="0"/>
          <tpl fld="4" item="6"/>
        </tpls>
      </m>
      <m>
        <tpls c="4">
          <tpl fld="7" item="824"/>
          <tpl fld="6" item="1"/>
          <tpl hier="236" item="0"/>
          <tpl fld="4" item="5"/>
        </tpls>
      </m>
      <m>
        <tpls c="4">
          <tpl fld="7" item="664"/>
          <tpl fld="6" item="1"/>
          <tpl hier="236" item="0"/>
          <tpl fld="4" item="5"/>
        </tpls>
      </m>
      <m>
        <tpls c="4">
          <tpl fld="7" item="666"/>
          <tpl fld="6" item="1"/>
          <tpl hier="236" item="0"/>
          <tpl fld="4" item="5"/>
        </tpls>
      </m>
      <m>
        <tpls c="4">
          <tpl fld="7" item="999"/>
          <tpl fld="6" item="1"/>
          <tpl hier="236" item="0"/>
          <tpl fld="4" item="6"/>
        </tpls>
      </m>
      <n v="7" in="1">
        <tpls c="4">
          <tpl fld="7" item="1001"/>
          <tpl fld="6" item="1"/>
          <tpl hier="236" item="0"/>
          <tpl fld="4" item="4"/>
        </tpls>
      </n>
      <m>
        <tpls c="4">
          <tpl fld="7" item="1106"/>
          <tpl fld="6" item="2"/>
          <tpl hier="236" item="0"/>
          <tpl fld="4" item="4"/>
        </tpls>
      </m>
      <n v="0" in="1">
        <tpls c="4">
          <tpl fld="7" item="839"/>
          <tpl fld="6" item="1"/>
          <tpl hier="236" item="0"/>
          <tpl fld="4" item="6"/>
        </tpls>
      </n>
      <m>
        <tpls c="3">
          <tpl fld="7" item="1008"/>
          <tpl fld="6" item="3"/>
          <tpl hier="236" item="0"/>
        </tpls>
      </m>
      <m>
        <tpls c="4">
          <tpl fld="7" item="1284"/>
          <tpl fld="6" item="2"/>
          <tpl hier="236" item="0"/>
          <tpl fld="4" item="1"/>
        </tpls>
      </m>
      <m>
        <tpls c="4">
          <tpl fld="7" item="1013"/>
          <tpl fld="6" item="1"/>
          <tpl hier="236" item="0"/>
          <tpl fld="4" item="4"/>
        </tpls>
      </m>
      <m>
        <tpls c="4">
          <tpl fld="7" item="1118"/>
          <tpl fld="6" item="2"/>
          <tpl hier="236" item="0"/>
          <tpl fld="4" item="4"/>
        </tpls>
      </m>
      <n v="1" in="1">
        <tpls c="4">
          <tpl fld="7" item="855"/>
          <tpl fld="6" item="1"/>
          <tpl hier="236" item="0"/>
          <tpl fld="4" item="6"/>
        </tpls>
      </n>
      <m>
        <tpls c="3">
          <tpl fld="7" item="1020"/>
          <tpl fld="6" item="3"/>
          <tpl hier="236" item="0"/>
        </tpls>
      </m>
      <m>
        <tpls c="4">
          <tpl fld="7" item="1278"/>
          <tpl fld="6" item="2"/>
          <tpl hier="236" item="0"/>
          <tpl fld="4" item="1"/>
        </tpls>
      </m>
      <n v="1" in="1">
        <tpls c="4">
          <tpl fld="7" item="1025"/>
          <tpl fld="6" item="1"/>
          <tpl hier="236" item="0"/>
          <tpl fld="4" item="4"/>
        </tpls>
      </n>
      <m>
        <tpls c="4">
          <tpl fld="7" item="1130"/>
          <tpl fld="6" item="2"/>
          <tpl hier="236" item="0"/>
          <tpl fld="4" item="4"/>
        </tpls>
      </m>
      <n v="13" in="1">
        <tpls c="4">
          <tpl fld="7" item="871"/>
          <tpl fld="6" item="1"/>
          <tpl hier="236" item="0"/>
          <tpl fld="4" item="6"/>
        </tpls>
      </n>
      <m>
        <tpls c="4">
          <tpl fld="7" item="1036"/>
          <tpl fld="6" item="2"/>
          <tpl hier="236" item="0"/>
          <tpl fld="4" item="1"/>
        </tpls>
      </m>
      <m>
        <tpls c="4">
          <tpl fld="7" item="1044"/>
          <tpl fld="6" item="2"/>
          <tpl hier="236" item="0"/>
          <tpl fld="4" item="1"/>
        </tpls>
      </m>
      <m>
        <tpls c="4">
          <tpl fld="7" item="1052"/>
          <tpl fld="6" item="2"/>
          <tpl hier="236" item="0"/>
          <tpl fld="4" item="1"/>
        </tpls>
      </m>
      <m>
        <tpls c="4">
          <tpl fld="7" item="1060"/>
          <tpl fld="6" item="2"/>
          <tpl hier="236" item="0"/>
          <tpl fld="4" item="1"/>
        </tpls>
      </m>
      <m>
        <tpls c="4">
          <tpl fld="7" item="1068"/>
          <tpl fld="6" item="2"/>
          <tpl hier="236" item="0"/>
          <tpl fld="4" item="1"/>
        </tpls>
      </m>
      <m>
        <tpls c="4">
          <tpl fld="7" item="1076"/>
          <tpl fld="6" item="2"/>
          <tpl hier="236" item="0"/>
          <tpl fld="4" item="1"/>
        </tpls>
      </m>
      <m>
        <tpls c="4">
          <tpl fld="7" item="1131"/>
          <tpl fld="6" item="2"/>
          <tpl hier="236" item="0"/>
          <tpl fld="1" item="0"/>
        </tpls>
      </m>
      <m>
        <tpls c="4">
          <tpl fld="7" item="1119"/>
          <tpl fld="6" item="2"/>
          <tpl hier="236" item="0"/>
          <tpl fld="1" item="0"/>
        </tpls>
      </m>
      <m>
        <tpls c="4">
          <tpl fld="7" item="1107"/>
          <tpl fld="6" item="2"/>
          <tpl hier="236" item="0"/>
          <tpl fld="1" item="0"/>
        </tpls>
      </m>
      <m>
        <tpls c="4">
          <tpl fld="7" item="454"/>
          <tpl fld="6" item="2"/>
          <tpl hier="236" item="0"/>
          <tpl fld="1" item="0"/>
        </tpls>
      </m>
      <n v="1" in="2">
        <tpls c="4">
          <tpl fld="7" item="438"/>
          <tpl fld="6" item="2"/>
          <tpl hier="236" item="0"/>
          <tpl fld="1" item="0"/>
        </tpls>
      </n>
      <m>
        <tpls c="4">
          <tpl fld="7" item="1211"/>
          <tpl fld="6" item="2"/>
          <tpl hier="236" item="0"/>
          <tpl fld="1" item="0"/>
        </tpls>
      </m>
      <m>
        <tpls c="4">
          <tpl fld="7" item="418"/>
          <tpl fld="6" item="2"/>
          <tpl hier="236" item="0"/>
          <tpl fld="1" item="0"/>
        </tpls>
      </m>
      <m>
        <tpls c="4">
          <tpl fld="7" item="286"/>
          <tpl fld="6" item="2"/>
          <tpl hier="236" item="0"/>
          <tpl fld="1" item="0"/>
        </tpls>
      </m>
      <m>
        <tpls c="4">
          <tpl fld="7" item="340"/>
          <tpl fld="6" item="2"/>
          <tpl hier="236" item="0"/>
          <tpl fld="1" item="0"/>
        </tpls>
      </m>
      <m>
        <tpls c="4">
          <tpl fld="7" item="41"/>
          <tpl fld="6" item="2"/>
          <tpl hier="236" item="0"/>
          <tpl fld="1" item="0"/>
        </tpls>
      </m>
      <m>
        <tpls c="4">
          <tpl fld="7" item="25"/>
          <tpl fld="6" item="2"/>
          <tpl hier="236" item="0"/>
          <tpl fld="1" item="0"/>
        </tpls>
      </m>
      <m>
        <tpls c="4">
          <tpl fld="7" item="111"/>
          <tpl fld="6" item="2"/>
          <tpl hier="236" item="0"/>
          <tpl fld="1" item="0"/>
        </tpls>
      </m>
      <m>
        <tpls c="4">
          <tpl fld="7" item="1222"/>
          <tpl fld="6" item="2"/>
          <tpl hier="236" item="0"/>
          <tpl fld="4" item="5"/>
        </tpls>
      </m>
      <m>
        <tpls c="4">
          <tpl fld="7" item="365"/>
          <tpl fld="6" item="2"/>
          <tpl hier="236" item="0"/>
          <tpl fld="4" item="1"/>
        </tpls>
      </m>
      <m>
        <tpls c="4">
          <tpl fld="7" item="984"/>
          <tpl fld="6" item="2"/>
          <tpl hier="236" item="0"/>
          <tpl fld="4" item="4"/>
        </tpls>
      </m>
      <n v="2" in="1">
        <tpls c="4">
          <tpl fld="7" item="615"/>
          <tpl fld="6" item="1"/>
          <tpl hier="236" item="0"/>
          <tpl fld="4" item="6"/>
        </tpls>
      </n>
      <m>
        <tpls c="4">
          <tpl fld="7" item="699"/>
          <tpl fld="6" item="1"/>
          <tpl hier="236" item="0"/>
          <tpl fld="1" item="0"/>
        </tpls>
      </m>
      <m>
        <tpls c="4">
          <tpl fld="7" item="785"/>
          <tpl fld="6" item="2"/>
          <tpl hier="236" item="0"/>
          <tpl fld="4" item="5"/>
        </tpls>
      </m>
      <m>
        <tpls c="4">
          <tpl fld="7" item="790"/>
          <tpl fld="6" item="1"/>
          <tpl hier="236" item="0"/>
          <tpl fld="1" item="0"/>
        </tpls>
      </m>
      <m>
        <tpls c="4">
          <tpl fld="7" item="795"/>
          <tpl fld="6" item="2"/>
          <tpl hier="236" item="0"/>
          <tpl fld="4" item="6"/>
        </tpls>
      </m>
      <m>
        <tpls c="4">
          <tpl fld="7" item="1094"/>
          <tpl fld="6" item="2"/>
          <tpl hier="236" item="0"/>
          <tpl fld="1" item="0"/>
        </tpls>
      </m>
      <n v="1" in="1">
        <tpls c="4">
          <tpl fld="7" item="888"/>
          <tpl fld="6" item="1"/>
          <tpl hier="236" item="0"/>
          <tpl fld="4" item="1"/>
        </tpls>
      </n>
      <n v="2" in="1">
        <tpls c="4">
          <tpl fld="7" item="721"/>
          <tpl fld="6" item="1"/>
          <tpl hier="236" item="0"/>
          <tpl fld="4" item="5"/>
        </tpls>
      </n>
      <m>
        <tpls c="3">
          <tpl fld="7" item="1214"/>
          <tpl fld="6" item="3"/>
          <tpl hier="236" item="0"/>
        </tpls>
      </m>
      <m>
        <tpls c="3">
          <tpl fld="7" item="889"/>
          <tpl fld="6" item="3"/>
          <tpl hier="236" item="0"/>
        </tpls>
      </m>
      <n v="21" in="1">
        <tpls c="4">
          <tpl fld="7" item="645"/>
          <tpl fld="6" item="1"/>
          <tpl hier="236" item="0"/>
          <tpl fld="4" item="4"/>
        </tpls>
      </n>
      <m>
        <tpls c="4">
          <tpl fld="7" item="726"/>
          <tpl fld="6" item="2"/>
          <tpl hier="236" item="0"/>
          <tpl fld="4" item="5"/>
        </tpls>
      </m>
      <m>
        <tpls c="4">
          <tpl fld="7" item="890"/>
          <tpl fld="6" item="2"/>
          <tpl hier="236" item="0"/>
          <tpl fld="4" item="6"/>
        </tpls>
      </m>
      <m>
        <tpls c="4">
          <tpl fld="7" item="729"/>
          <tpl fld="6" item="1"/>
          <tpl hier="236" item="0"/>
          <tpl fld="4" item="5"/>
        </tpls>
      </m>
      <n v="1" in="1">
        <tpls c="4">
          <tpl fld="7" item="1282"/>
          <tpl fld="6" item="1"/>
          <tpl hier="236" item="0"/>
          <tpl fld="4" item="6"/>
        </tpls>
      </n>
      <m>
        <tpls c="4">
          <tpl fld="7" item="732"/>
          <tpl fld="6" item="2"/>
          <tpl hier="236" item="0"/>
          <tpl fld="4" item="1"/>
        </tpls>
      </m>
      <m>
        <tpls c="4">
          <tpl fld="7" item="815"/>
          <tpl fld="6" item="2"/>
          <tpl hier="236" item="0"/>
          <tpl fld="1" item="0"/>
        </tpls>
      </m>
      <n v="5" in="1">
        <tpls c="6">
          <tpl fld="11" item="0"/>
          <tpl fld="2" item="1"/>
          <tpl fld="6" item="1"/>
          <tpl hier="236" item="0"/>
          <tpl fld="4" item="7"/>
          <tpl fld="10" item="1"/>
        </tpls>
      </n>
      <m>
        <tpls c="4">
          <tpl fld="7" item="108"/>
          <tpl fld="6" item="1"/>
          <tpl hier="236" item="0"/>
          <tpl fld="1" item="0"/>
        </tpls>
      </m>
      <m>
        <tpls c="4">
          <tpl fld="7" item="318"/>
          <tpl fld="6" item="1"/>
          <tpl hier="236" item="0"/>
          <tpl fld="4" item="4"/>
        </tpls>
      </m>
      <m>
        <tpls c="4">
          <tpl fld="7" item="462"/>
          <tpl fld="6" item="1"/>
          <tpl hier="236" item="0"/>
          <tpl fld="4" item="5"/>
        </tpls>
      </m>
      <n v="2" in="1">
        <tpls c="4">
          <tpl fld="7" item="533"/>
          <tpl fld="6" item="1"/>
          <tpl hier="236" item="0"/>
          <tpl fld="4" item="4"/>
        </tpls>
      </n>
      <m>
        <tpls c="4">
          <tpl fld="7" item="564"/>
          <tpl fld="6" item="2"/>
          <tpl hier="236" item="0"/>
          <tpl fld="4" item="5"/>
        </tpls>
      </m>
      <m>
        <tpls c="4">
          <tpl fld="7" item="461"/>
          <tpl fld="6" item="1"/>
          <tpl hier="236" item="0"/>
          <tpl fld="1" item="0"/>
        </tpls>
      </m>
      <m>
        <tpls c="4">
          <tpl fld="7" item="706"/>
          <tpl fld="6" item="1"/>
          <tpl hier="236" item="0"/>
          <tpl fld="4" item="5"/>
        </tpls>
      </m>
      <m>
        <tpls c="4">
          <tpl fld="7" item="405"/>
          <tpl fld="6" item="1"/>
          <tpl hier="236" item="0"/>
          <tpl fld="4" item="6"/>
        </tpls>
      </m>
      <m>
        <tpls c="4">
          <tpl fld="7" item="532"/>
          <tpl fld="6" item="2"/>
          <tpl hier="236" item="0"/>
          <tpl fld="4" item="4"/>
        </tpls>
      </m>
      <n v="1" in="1">
        <tpls c="4">
          <tpl fld="7" item="776"/>
          <tpl fld="6" item="1"/>
          <tpl hier="236" item="0"/>
          <tpl fld="4" item="1"/>
        </tpls>
      </n>
      <m>
        <tpls c="4">
          <tpl fld="7" item="883"/>
          <tpl fld="6" item="2"/>
          <tpl hier="236" item="0"/>
          <tpl fld="4" item="4"/>
        </tpls>
      </m>
      <m>
        <tpls c="4">
          <tpl fld="7" item="561"/>
          <tpl fld="6" item="2"/>
          <tpl hier="236" item="0"/>
          <tpl fld="4" item="6"/>
        </tpls>
      </m>
      <m>
        <tpls c="4">
          <tpl fld="7" item="709"/>
          <tpl fld="6" item="1"/>
          <tpl hier="236" item="0"/>
          <tpl fld="4" item="5"/>
        </tpls>
      </m>
      <m>
        <tpls c="4">
          <tpl fld="7" item="634"/>
          <tpl fld="6" item="1"/>
          <tpl hier="236" item="0"/>
          <tpl fld="4" item="5"/>
        </tpls>
      </m>
      <n v="1" in="1">
        <tpls c="4">
          <tpl fld="7" item="580"/>
          <tpl fld="6" item="1"/>
          <tpl hier="236" item="0"/>
          <tpl fld="4" item="1"/>
        </tpls>
      </n>
      <m>
        <tpls c="4">
          <tpl fld="7" item="112"/>
          <tpl fld="6" item="1"/>
          <tpl hier="236" item="0"/>
          <tpl fld="1" item="0"/>
        </tpls>
      </m>
      <m>
        <tpls c="4">
          <tpl fld="7" item="620"/>
          <tpl fld="6" item="1"/>
          <tpl hier="236" item="0"/>
          <tpl fld="1" item="0"/>
        </tpls>
      </m>
      <n v="3" in="1">
        <tpls c="4">
          <tpl fld="7" item="800"/>
          <tpl fld="6" item="1"/>
          <tpl hier="236" item="0"/>
          <tpl fld="4" item="4"/>
        </tpls>
      </n>
      <m>
        <tpls c="3">
          <tpl fld="7" item="644"/>
          <tpl fld="6" item="3"/>
          <tpl hier="236" item="0"/>
        </tpls>
      </m>
      <n v="3" in="1">
        <tpls c="4">
          <tpl fld="7" item="811"/>
          <tpl fld="6" item="1"/>
          <tpl hier="236" item="0"/>
          <tpl fld="4" item="5"/>
        </tpls>
      </n>
      <m>
        <tpls c="4">
          <tpl fld="7" item="735"/>
          <tpl fld="6" item="1"/>
          <tpl hier="236" item="0"/>
          <tpl fld="4" item="1"/>
        </tpls>
      </m>
      <m>
        <tpls c="4">
          <tpl fld="7" item="741"/>
          <tpl fld="6" item="1"/>
          <tpl hier="236" item="0"/>
          <tpl fld="4" item="4"/>
        </tpls>
      </m>
      <m>
        <tpls c="4">
          <tpl fld="7" item="748"/>
          <tpl fld="6" item="1"/>
          <tpl hier="236" item="0"/>
          <tpl fld="4" item="4"/>
        </tpls>
      </m>
      <m>
        <tpls c="4">
          <tpl fld="7" item="1111"/>
          <tpl fld="6" item="2"/>
          <tpl hier="236" item="0"/>
          <tpl fld="4" item="1"/>
        </tpls>
      </m>
      <m>
        <tpls c="3">
          <tpl fld="7" item="914"/>
          <tpl fld="6" item="3"/>
          <tpl hier="236" item="0"/>
        </tpls>
      </m>
      <m>
        <tpls c="4">
          <tpl fld="7" item="868"/>
          <tpl fld="6" item="1"/>
          <tpl hier="236" item="0"/>
          <tpl fld="4" item="6"/>
        </tpls>
      </m>
      <n v="0.57770270270270274" in="2">
        <tpls c="4">
          <tpl fld="7" item="1229"/>
          <tpl fld="6" item="2"/>
          <tpl hier="236" item="0"/>
          <tpl fld="4" item="1"/>
        </tpls>
      </n>
      <m>
        <tpls c="4">
          <tpl fld="7" item="1197"/>
          <tpl fld="6" item="2"/>
          <tpl hier="236" item="0"/>
          <tpl fld="1" item="0"/>
        </tpls>
      </m>
      <n v="2" in="2">
        <tpls c="4">
          <tpl fld="7" item="437"/>
          <tpl fld="6" item="2"/>
          <tpl hier="236" item="0"/>
          <tpl fld="1" item="0"/>
        </tpls>
      </n>
      <m>
        <tpls c="4">
          <tpl fld="7" item="481"/>
          <tpl fld="6" item="2"/>
          <tpl hier="236" item="0"/>
          <tpl fld="1" item="0"/>
        </tpls>
      </m>
      <m>
        <tpls c="4">
          <tpl fld="7" item="920"/>
          <tpl fld="6" item="2"/>
          <tpl hier="236" item="0"/>
          <tpl fld="4" item="5"/>
        </tpls>
      </m>
      <m>
        <tpls c="3">
          <tpl fld="7" item="693"/>
          <tpl fld="6" item="3"/>
          <tpl hier="236" item="0"/>
        </tpls>
      </m>
      <m>
        <tpls c="4">
          <tpl fld="7" item="619"/>
          <tpl fld="6" item="2"/>
          <tpl hier="236" item="0"/>
          <tpl fld="4" item="1"/>
        </tpls>
      </m>
      <m>
        <tpls c="4">
          <tpl fld="7" item="625"/>
          <tpl fld="6" item="2"/>
          <tpl hier="236" item="0"/>
          <tpl fld="4" item="1"/>
        </tpls>
      </m>
      <m>
        <tpls c="4">
          <tpl fld="7" item="886"/>
          <tpl fld="6" item="2"/>
          <tpl hier="236" item="0"/>
          <tpl fld="1" item="0"/>
        </tpls>
      </m>
      <m>
        <tpls c="4">
          <tpl fld="7" item="579"/>
          <tpl fld="6" item="1"/>
          <tpl hier="236" item="0"/>
          <tpl fld="4" item="5"/>
        </tpls>
      </m>
      <m>
        <tpls c="4">
          <tpl fld="7" item="720"/>
          <tpl fld="6" item="2"/>
          <tpl hier="236" item="0"/>
          <tpl fld="4" item="1"/>
        </tpls>
      </m>
      <n v="6" in="1">
        <tpls c="4">
          <tpl fld="7" item="585"/>
          <tpl fld="6" item="1"/>
          <tpl hier="236" item="0"/>
          <tpl fld="4" item="6"/>
        </tpls>
      </n>
      <m>
        <tpls c="4">
          <tpl fld="7" item="587"/>
          <tpl fld="6" item="2"/>
          <tpl hier="236" item="0"/>
          <tpl fld="4" item="5"/>
        </tpls>
      </m>
      <m>
        <tpls c="4">
          <tpl fld="7" item="725"/>
          <tpl fld="6" item="2"/>
          <tpl hier="236" item="0"/>
          <tpl fld="4" item="5"/>
        </tpls>
      </m>
      <m>
        <tpls c="4">
          <tpl fld="7" item="727"/>
          <tpl fld="6" item="1"/>
          <tpl hier="236" item="0"/>
          <tpl fld="4" item="5"/>
        </tpls>
      </m>
      <m>
        <tpls c="4">
          <tpl fld="7" item="729"/>
          <tpl fld="6" item="2"/>
          <tpl hier="236" item="0"/>
          <tpl fld="4" item="1"/>
        </tpls>
      </m>
      <m>
        <tpls c="4">
          <tpl fld="7" item="731"/>
          <tpl fld="6" item="2"/>
          <tpl hier="236" item="0"/>
          <tpl fld="4" item="1"/>
        </tpls>
      </m>
      <m>
        <tpls c="4">
          <tpl fld="7" item="653"/>
          <tpl fld="6" item="1"/>
          <tpl hier="236" item="0"/>
          <tpl fld="4" item="1"/>
        </tpls>
      </m>
      <n v="1" in="1">
        <tpls c="4">
          <tpl fld="7" item="655"/>
          <tpl fld="6" item="1"/>
          <tpl hier="236" item="0"/>
          <tpl fld="4" item="4"/>
        </tpls>
      </n>
      <m>
        <tpls c="4">
          <tpl fld="7" item="736"/>
          <tpl fld="6" item="2"/>
          <tpl hier="236" item="0"/>
          <tpl fld="4" item="5"/>
        </tpls>
      </m>
      <m>
        <tpls c="4">
          <tpl fld="7" item="1099"/>
          <tpl fld="6" item="2"/>
          <tpl hier="236" item="0"/>
          <tpl fld="4" item="6"/>
        </tpls>
      </m>
      <m>
        <tpls c="4">
          <tpl fld="7" item="739"/>
          <tpl fld="6" item="1"/>
          <tpl hier="236" item="0"/>
          <tpl fld="4" item="5"/>
        </tpls>
      </m>
      <m>
        <tpls c="4">
          <tpl fld="7" item="997"/>
          <tpl fld="6" item="1"/>
          <tpl hier="236" item="0"/>
          <tpl fld="4" item="6"/>
        </tpls>
      </m>
      <m>
        <tpls c="4">
          <tpl fld="7" item="742"/>
          <tpl fld="6" item="2"/>
          <tpl hier="236" item="0"/>
          <tpl fld="4" item="1"/>
        </tpls>
      </m>
      <n v="0.5" in="2">
        <tpls c="4">
          <tpl fld="7" item="825"/>
          <tpl fld="6" item="2"/>
          <tpl hier="236" item="0"/>
          <tpl fld="1" item="0"/>
        </tpls>
      </n>
      <n v="38" in="1">
        <tpls c="4">
          <tpl fld="7" item="827"/>
          <tpl fld="6" item="1"/>
          <tpl hier="236" item="0"/>
          <tpl fld="1" item="0"/>
        </tpls>
      </n>
      <n v="29" in="1">
        <tpls c="4">
          <tpl fld="7" item="829"/>
          <tpl fld="6" item="1"/>
          <tpl hier="236" item="0"/>
          <tpl fld="1" item="0"/>
        </tpls>
      </n>
      <m>
        <tpls c="4">
          <tpl fld="7" item="832"/>
          <tpl fld="6" item="1"/>
          <tpl hier="236" item="0"/>
          <tpl fld="4" item="4"/>
        </tpls>
      </m>
      <m>
        <tpls c="4">
          <tpl fld="7" item="835"/>
          <tpl fld="6" item="2"/>
          <tpl hier="236" item="0"/>
          <tpl fld="4" item="4"/>
        </tpls>
      </m>
      <m>
        <tpls c="4">
          <tpl fld="7" item="1005"/>
          <tpl fld="6" item="1"/>
          <tpl hier="236" item="0"/>
          <tpl fld="4" item="6"/>
        </tpls>
      </m>
      <m>
        <tpls c="3">
          <tpl fld="7" item="1192"/>
          <tpl fld="6" item="3"/>
          <tpl hier="236" item="0"/>
        </tpls>
      </m>
      <m>
        <tpls c="4">
          <tpl fld="7" item="1010"/>
          <tpl fld="6" item="2"/>
          <tpl hier="236" item="0"/>
          <tpl fld="4" item="1"/>
        </tpls>
      </m>
      <n v="15" in="1">
        <tpls c="4">
          <tpl fld="7" item="848"/>
          <tpl fld="6" item="1"/>
          <tpl hier="236" item="0"/>
          <tpl fld="4" item="4"/>
        </tpls>
      </n>
      <n v="2.5945945945945947" in="2">
        <tpls c="4">
          <tpl fld="7" item="851"/>
          <tpl fld="6" item="2"/>
          <tpl hier="236" item="0"/>
          <tpl fld="4" item="4"/>
        </tpls>
      </n>
      <m>
        <tpls c="4">
          <tpl fld="7" item="1017"/>
          <tpl fld="6" item="1"/>
          <tpl hier="236" item="0"/>
          <tpl fld="4" item="6"/>
        </tpls>
      </m>
      <m>
        <tpls c="3">
          <tpl fld="7" item="1195"/>
          <tpl fld="6" item="3"/>
          <tpl hier="236" item="0"/>
        </tpls>
      </m>
      <m>
        <tpls c="4">
          <tpl fld="7" item="1022"/>
          <tpl fld="6" item="2"/>
          <tpl hier="236" item="0"/>
          <tpl fld="4" item="1"/>
        </tpls>
      </m>
      <m>
        <tpls c="4">
          <tpl fld="7" item="864"/>
          <tpl fld="6" item="1"/>
          <tpl hier="236" item="0"/>
          <tpl fld="4" item="4"/>
        </tpls>
      </m>
      <m>
        <tpls c="4">
          <tpl fld="7" item="867"/>
          <tpl fld="6" item="2"/>
          <tpl hier="236" item="0"/>
          <tpl fld="4" item="4"/>
        </tpls>
      </m>
      <n v="4" in="1">
        <tpls c="4">
          <tpl fld="7" item="1029"/>
          <tpl fld="6" item="1"/>
          <tpl hier="236" item="0"/>
          <tpl fld="4" item="6"/>
        </tpls>
      </n>
      <m>
        <tpls c="4">
          <tpl fld="7" item="1137"/>
          <tpl fld="6" item="1"/>
          <tpl hier="236" item="0"/>
          <tpl fld="4" item="4"/>
        </tpls>
      </m>
      <m>
        <tpls c="4">
          <tpl fld="7" item="1145"/>
          <tpl fld="6" item="1"/>
          <tpl hier="236" item="0"/>
          <tpl fld="4" item="4"/>
        </tpls>
      </m>
      <n v="1" in="1">
        <tpls c="4">
          <tpl fld="7" item="1153"/>
          <tpl fld="6" item="1"/>
          <tpl hier="236" item="0"/>
          <tpl fld="4" item="4"/>
        </tpls>
      </n>
      <n v="2" in="1">
        <tpls c="4">
          <tpl fld="7" item="1161"/>
          <tpl fld="6" item="1"/>
          <tpl hier="236" item="0"/>
          <tpl fld="4" item="4"/>
        </tpls>
      </n>
      <n v="2" in="1">
        <tpls c="4">
          <tpl fld="7" item="1169"/>
          <tpl fld="6" item="1"/>
          <tpl hier="236" item="0"/>
          <tpl fld="4" item="4"/>
        </tpls>
      </n>
      <n v="17" in="1">
        <tpls c="4">
          <tpl fld="7" item="1177"/>
          <tpl fld="6" item="1"/>
          <tpl hier="236" item="0"/>
          <tpl fld="4" item="4"/>
        </tpls>
      </n>
      <m>
        <tpls c="4">
          <tpl fld="7" item="977"/>
          <tpl fld="6" item="2"/>
          <tpl hier="236" item="0"/>
          <tpl fld="1" item="0"/>
        </tpls>
      </m>
      <m>
        <tpls c="4">
          <tpl fld="7" item="857"/>
          <tpl fld="6" item="2"/>
          <tpl hier="236" item="0"/>
          <tpl fld="1" item="0"/>
        </tpls>
      </m>
      <m>
        <tpls c="4">
          <tpl fld="7" item="841"/>
          <tpl fld="6" item="2"/>
          <tpl hier="236" item="0"/>
          <tpl fld="1" item="0"/>
        </tpls>
      </m>
      <m>
        <tpls c="4">
          <tpl fld="7" item="303"/>
          <tpl fld="6" item="2"/>
          <tpl hier="236" item="0"/>
          <tpl fld="1" item="0"/>
        </tpls>
      </m>
      <m>
        <tpls c="4">
          <tpl fld="7" item="371"/>
          <tpl fld="6" item="2"/>
          <tpl hier="236" item="0"/>
          <tpl fld="1" item="0"/>
        </tpls>
      </m>
      <m>
        <tpls c="4">
          <tpl fld="7" item="355"/>
          <tpl fld="6" item="2"/>
          <tpl hier="236" item="0"/>
          <tpl fld="1" item="0"/>
        </tpls>
      </m>
      <m>
        <tpls c="4">
          <tpl fld="7" item="193"/>
          <tpl fld="6" item="2"/>
          <tpl hier="236" item="0"/>
          <tpl fld="1" item="0"/>
        </tpls>
      </m>
      <m>
        <tpls c="4">
          <tpl fld="7" item="343"/>
          <tpl fld="6" item="2"/>
          <tpl hier="236" item="0"/>
          <tpl fld="1" item="0"/>
        </tpls>
      </m>
      <n v="1" in="3">
        <tpls c="3">
          <tpl fld="7" item="507"/>
          <tpl fld="6" item="3"/>
          <tpl hier="236" item="0"/>
        </tpls>
      </n>
      <n v="1" in="2">
        <tpls c="4">
          <tpl fld="7" item="609"/>
          <tpl fld="6" item="2"/>
          <tpl hier="236" item="0"/>
          <tpl fld="4" item="1"/>
        </tpls>
      </n>
      <m>
        <tpls c="4">
          <tpl fld="7" item="615"/>
          <tpl fld="6" item="2"/>
          <tpl hier="236" item="0"/>
          <tpl fld="4" item="6"/>
        </tpls>
      </m>
      <m>
        <tpls c="4">
          <tpl fld="7" item="699"/>
          <tpl fld="6" item="2"/>
          <tpl hier="236" item="0"/>
          <tpl fld="1" item="0"/>
        </tpls>
      </m>
      <m>
        <tpls c="3">
          <tpl fld="7" item="884"/>
          <tpl fld="6" item="3"/>
          <tpl hier="236" item="0"/>
        </tpls>
      </m>
      <m>
        <tpls c="4">
          <tpl fld="7" item="790"/>
          <tpl fld="6" item="2"/>
          <tpl hier="236" item="0"/>
          <tpl fld="1" item="0"/>
        </tpls>
      </m>
      <m>
        <tpls c="4">
          <tpl fld="7" item="1093"/>
          <tpl fld="6" item="1"/>
          <tpl hier="236" item="0"/>
          <tpl fld="4" item="4"/>
        </tpls>
      </m>
      <n v="6320" in="1">
        <tpls c="6">
          <tpl fld="11" item="0"/>
          <tpl fld="6" item="1"/>
          <tpl fld="8" item="1"/>
          <tpl hier="236" item="0"/>
          <tpl fld="4" item="4"/>
          <tpl fld="10" item="8"/>
        </tpls>
      </n>
      <n v="199" in="1">
        <tpls c="6">
          <tpl fld="11" item="0"/>
          <tpl fld="6" item="1"/>
          <tpl fld="8" item="1"/>
          <tpl hier="236" item="0"/>
          <tpl fld="4" item="7"/>
          <tpl fld="10" item="0"/>
        </tpls>
      </n>
      <n v="2628" in="1">
        <tpls c="6">
          <tpl fld="11" item="0"/>
          <tpl fld="2" item="1"/>
          <tpl fld="6" item="1"/>
          <tpl hier="236" item="0"/>
          <tpl fld="4" item="4"/>
          <tpl fld="10" item="7"/>
        </tpls>
      </n>
      <m>
        <tpls c="4">
          <tpl fld="7" item="1069"/>
          <tpl fld="6" item="1"/>
          <tpl hier="236" item="0"/>
          <tpl fld="4" item="5"/>
        </tpls>
      </m>
      <n v="0" in="1">
        <tpls c="6">
          <tpl fld="11" item="0"/>
          <tpl fld="5" item="3"/>
          <tpl fld="6" item="1"/>
          <tpl hier="236" item="0"/>
          <tpl fld="4" item="7"/>
          <tpl fld="10" item="1"/>
        </tpls>
      </n>
      <m>
        <tpls c="4">
          <tpl fld="7" item="33"/>
          <tpl fld="6" item="2"/>
          <tpl hier="236" item="0"/>
          <tpl fld="4" item="4"/>
        </tpls>
      </m>
      <m>
        <tpls c="4">
          <tpl fld="7" item="100"/>
          <tpl fld="6" item="2"/>
          <tpl hier="236" item="0"/>
          <tpl fld="4" item="1"/>
        </tpls>
      </m>
      <m>
        <tpls c="4">
          <tpl fld="7" item="82"/>
          <tpl fld="6" item="1"/>
          <tpl hier="236" item="0"/>
          <tpl fld="4" item="6"/>
        </tpls>
      </m>
      <m>
        <tpls c="4">
          <tpl fld="7" item="270"/>
          <tpl fld="6" item="1"/>
          <tpl hier="236" item="0"/>
          <tpl fld="4" item="4"/>
        </tpls>
      </m>
      <m>
        <tpls c="4">
          <tpl fld="7" item="178"/>
          <tpl fld="6" item="2"/>
          <tpl hier="236" item="0"/>
          <tpl fld="4" item="4"/>
        </tpls>
      </m>
      <m>
        <tpls c="4">
          <tpl fld="7" item="387"/>
          <tpl fld="6" item="1"/>
          <tpl hier="236" item="0"/>
          <tpl fld="1" item="0"/>
        </tpls>
      </m>
      <m>
        <tpls c="4">
          <tpl fld="7" item="179"/>
          <tpl fld="6" item="2"/>
          <tpl hier="236" item="0"/>
          <tpl fld="4" item="4"/>
        </tpls>
      </m>
      <n v="10" in="1">
        <tpls c="4">
          <tpl fld="7" item="458"/>
          <tpl fld="6" item="1"/>
          <tpl hier="236" item="0"/>
          <tpl fld="4" item="4"/>
        </tpls>
      </n>
      <m>
        <tpls c="4">
          <tpl fld="7" item="291"/>
          <tpl fld="6" item="1"/>
          <tpl hier="236" item="0"/>
          <tpl fld="4" item="6"/>
        </tpls>
      </m>
      <m>
        <tpls c="3">
          <tpl fld="7" item="304"/>
          <tpl fld="6" item="3"/>
          <tpl hier="236" item="0"/>
        </tpls>
      </m>
      <m>
        <tpls c="4">
          <tpl fld="7" item="154"/>
          <tpl fld="6" item="2"/>
          <tpl hier="236" item="0"/>
          <tpl fld="4" item="4"/>
        </tpls>
      </m>
      <m>
        <tpls c="4">
          <tpl fld="7" item="348"/>
          <tpl fld="6" item="2"/>
          <tpl hier="236" item="0"/>
          <tpl fld="4" item="4"/>
        </tpls>
      </m>
      <n v="1" in="3">
        <tpls c="3">
          <tpl fld="7" item="360"/>
          <tpl fld="6" item="3"/>
          <tpl hier="236" item="0"/>
        </tpls>
      </n>
      <n v="3.3" in="2">
        <tpls c="4">
          <tpl fld="7" item="539"/>
          <tpl fld="6" item="2"/>
          <tpl hier="236" item="0"/>
          <tpl fld="4" item="1"/>
        </tpls>
      </n>
      <n v="1" in="3">
        <tpls c="3">
          <tpl fld="7" item="431"/>
          <tpl fld="6" item="3"/>
          <tpl hier="236" item="0"/>
        </tpls>
      </n>
      <n v="52" in="1">
        <tpls c="4">
          <tpl fld="7" item="539"/>
          <tpl fld="6" item="1"/>
          <tpl hier="236" item="0"/>
          <tpl fld="1" item="0"/>
        </tpls>
      </n>
      <m>
        <tpls c="4">
          <tpl fld="7" item="51"/>
          <tpl fld="6" item="1"/>
          <tpl hier="236" item="0"/>
          <tpl fld="4" item="4"/>
        </tpls>
      </m>
      <m>
        <tpls c="4">
          <tpl fld="7" item="509"/>
          <tpl fld="6" item="1"/>
          <tpl hier="236" item="0"/>
          <tpl fld="4" item="4"/>
        </tpls>
      </m>
      <m>
        <tpls c="4">
          <tpl fld="7" item="428"/>
          <tpl fld="6" item="1"/>
          <tpl hier="236" item="0"/>
          <tpl fld="4" item="6"/>
        </tpls>
      </m>
      <m>
        <tpls c="3">
          <tpl fld="7" item="1186"/>
          <tpl fld="6" item="3"/>
          <tpl hier="236" item="0"/>
        </tpls>
      </m>
      <m>
        <tpls c="4">
          <tpl fld="7" item="985"/>
          <tpl fld="6" item="2"/>
          <tpl hier="236" item="0"/>
          <tpl fld="4" item="4"/>
        </tpls>
      </m>
      <m>
        <tpls c="4">
          <tpl fld="7" item="793"/>
          <tpl fld="6" item="2"/>
          <tpl hier="236" item="0"/>
          <tpl fld="4" item="5"/>
        </tpls>
      </m>
      <n v="3" in="1">
        <tpls c="4">
          <tpl fld="7" item="692"/>
          <tpl fld="6" item="1"/>
          <tpl hier="236" item="0"/>
          <tpl fld="1" item="0"/>
        </tpls>
      </n>
      <m>
        <tpls c="4">
          <tpl fld="7" item="711"/>
          <tpl fld="6" item="1"/>
          <tpl hier="236" item="0"/>
          <tpl fld="4" item="5"/>
        </tpls>
      </m>
      <m>
        <tpls c="4">
          <tpl fld="7" item="338"/>
          <tpl fld="6" item="1"/>
          <tpl hier="236" item="0"/>
          <tpl fld="4" item="4"/>
        </tpls>
      </m>
      <n v="12" in="1">
        <tpls c="4">
          <tpl fld="7" item="513"/>
          <tpl fld="6" item="1"/>
          <tpl hier="236" item="0"/>
          <tpl fld="4" item="4"/>
        </tpls>
      </n>
      <n v="0" in="1">
        <tpls c="4">
          <tpl fld="7" item="429"/>
          <tpl fld="6" item="1"/>
          <tpl hier="236" item="0"/>
          <tpl fld="4" item="6"/>
        </tpls>
      </n>
      <n v="9" in="1">
        <tpls c="4">
          <tpl fld="7" item="384"/>
          <tpl fld="6" item="1"/>
          <tpl hier="236" item="0"/>
          <tpl fld="4" item="4"/>
        </tpls>
      </n>
      <m>
        <tpls c="4">
          <tpl fld="7" item="464"/>
          <tpl fld="6" item="1"/>
          <tpl hier="236" item="0"/>
          <tpl fld="4" item="5"/>
        </tpls>
      </m>
      <m>
        <tpls c="4">
          <tpl fld="7" item="610"/>
          <tpl fld="6" item="1"/>
          <tpl hier="236" item="0"/>
          <tpl fld="4" item="4"/>
        </tpls>
      </m>
      <m>
        <tpls c="4">
          <tpl fld="7" item="317"/>
          <tpl fld="6" item="1"/>
          <tpl hier="236" item="0"/>
          <tpl fld="4" item="4"/>
        </tpls>
      </m>
      <m>
        <tpls c="4">
          <tpl fld="7" item="770"/>
          <tpl fld="6" item="2"/>
          <tpl hier="236" item="0"/>
          <tpl fld="4" item="5"/>
        </tpls>
      </m>
      <m>
        <tpls c="4">
          <tpl fld="7" item="696"/>
          <tpl fld="6" item="1"/>
          <tpl hier="236" item="0"/>
          <tpl fld="4" item="6"/>
        </tpls>
      </m>
      <m>
        <tpls c="4">
          <tpl fld="7" item="558"/>
          <tpl fld="6" item="2"/>
          <tpl hier="236" item="0"/>
          <tpl fld="4" item="5"/>
        </tpls>
      </m>
      <m>
        <tpls c="4">
          <tpl fld="7" item="790"/>
          <tpl fld="6" item="1"/>
          <tpl hier="236" item="0"/>
          <tpl fld="4" item="4"/>
        </tpls>
      </m>
      <m>
        <tpls c="4">
          <tpl fld="7" item="1276"/>
          <tpl fld="6" item="2"/>
          <tpl hier="236" item="0"/>
          <tpl fld="4" item="6"/>
        </tpls>
      </m>
      <m>
        <tpls c="3">
          <tpl fld="7" item="200"/>
          <tpl fld="6" item="3"/>
          <tpl hier="236" item="0"/>
        </tpls>
      </m>
      <n v="62" in="1">
        <tpls c="4">
          <tpl fld="7" item="608"/>
          <tpl fld="6" item="1"/>
          <tpl hier="236" item="0"/>
          <tpl fld="1" item="0"/>
        </tpls>
      </n>
      <m>
        <tpls c="4">
          <tpl fld="7" item="550"/>
          <tpl fld="6" item="2"/>
          <tpl hier="236" item="0"/>
          <tpl fld="1" item="0"/>
        </tpls>
      </m>
      <m>
        <tpls c="4">
          <tpl fld="7" item="1090"/>
          <tpl fld="6" item="1"/>
          <tpl hier="236" item="0"/>
          <tpl fld="4" item="5"/>
        </tpls>
      </m>
      <m>
        <tpls c="4">
          <tpl fld="7" item="628"/>
          <tpl fld="6" item="2"/>
          <tpl hier="236" item="0"/>
          <tpl fld="4" item="1"/>
        </tpls>
      </m>
      <m>
        <tpls c="4">
          <tpl fld="7" item="575"/>
          <tpl fld="6" item="1"/>
          <tpl hier="236" item="0"/>
          <tpl fld="4" item="6"/>
        </tpls>
      </m>
      <m>
        <tpls c="4">
          <tpl fld="7" item="152"/>
          <tpl fld="6" item="2"/>
          <tpl hier="236" item="0"/>
          <tpl fld="4" item="6"/>
        </tpls>
      </m>
      <m>
        <tpls c="4">
          <tpl fld="7" item="32"/>
          <tpl fld="6" item="2"/>
          <tpl hier="236" item="0"/>
          <tpl fld="4" item="4"/>
        </tpls>
      </m>
      <m>
        <tpls c="3">
          <tpl fld="7" item="93"/>
          <tpl fld="6" item="3"/>
          <tpl hier="236" item="0"/>
        </tpls>
      </m>
      <n v="27" in="1">
        <tpls c="4">
          <tpl fld="7" item="982"/>
          <tpl fld="6" item="1"/>
          <tpl hier="236" item="0"/>
          <tpl fld="4" item="4"/>
        </tpls>
      </n>
      <m>
        <tpls c="3">
          <tpl fld="7" item="206"/>
          <tpl fld="6" item="3"/>
          <tpl hier="236" item="0"/>
        </tpls>
      </m>
      <m>
        <tpls c="3">
          <tpl fld="7" item="536"/>
          <tpl fld="6" item="3"/>
          <tpl hier="236" item="0"/>
        </tpls>
      </m>
      <m>
        <tpls c="3">
          <tpl fld="7" item="257"/>
          <tpl fld="6" item="3"/>
          <tpl hier="236" item="0"/>
        </tpls>
      </m>
      <m>
        <tpls c="4">
          <tpl fld="7" item="418"/>
          <tpl fld="6" item="2"/>
          <tpl hier="236" item="0"/>
          <tpl fld="4" item="1"/>
        </tpls>
      </m>
      <m>
        <tpls c="3">
          <tpl fld="7" item="757"/>
          <tpl fld="6" item="3"/>
          <tpl hier="236" item="0"/>
        </tpls>
      </m>
      <n v="3" in="1">
        <tpls c="4">
          <tpl fld="7" item="438"/>
          <tpl fld="6" item="1"/>
          <tpl hier="236" item="0"/>
          <tpl fld="4" item="6"/>
        </tpls>
      </n>
      <m>
        <tpls c="4">
          <tpl fld="7" item="380"/>
          <tpl fld="6" item="2"/>
          <tpl hier="236" item="0"/>
          <tpl fld="4" item="4"/>
        </tpls>
      </m>
      <m>
        <tpls c="4">
          <tpl fld="7" item="460"/>
          <tpl fld="6" item="2"/>
          <tpl hier="236" item="0"/>
          <tpl fld="4" item="5"/>
        </tpls>
      </m>
      <n v="0.3" in="2">
        <tpls c="4">
          <tpl fld="7" item="1086"/>
          <tpl fld="6" item="2"/>
          <tpl hier="236" item="0"/>
          <tpl fld="4" item="1"/>
        </tpls>
      </n>
      <m>
        <tpls c="4">
          <tpl fld="7" item="610"/>
          <tpl fld="6" item="2"/>
          <tpl hier="236" item="0"/>
          <tpl fld="4" item="4"/>
        </tpls>
      </m>
      <m>
        <tpls c="4">
          <tpl fld="7" item="47"/>
          <tpl fld="6" item="2"/>
          <tpl hier="236" item="0"/>
          <tpl fld="4" item="1"/>
        </tpls>
      </m>
      <n v="3" in="1">
        <tpls c="4">
          <tpl fld="7" item="452"/>
          <tpl fld="6" item="1"/>
          <tpl hier="236" item="0"/>
          <tpl fld="4" item="4"/>
        </tpls>
      </n>
      <m>
        <tpls c="4">
          <tpl fld="7" item="544"/>
          <tpl fld="6" item="1"/>
          <tpl hier="236" item="0"/>
          <tpl fld="1" item="0"/>
        </tpls>
      </m>
      <m>
        <tpls c="4">
          <tpl fld="7" item="696"/>
          <tpl fld="6" item="2"/>
          <tpl hier="236" item="0"/>
          <tpl fld="4" item="6"/>
        </tpls>
      </m>
      <m>
        <tpls c="4">
          <tpl fld="7" item="782"/>
          <tpl fld="6" item="2"/>
          <tpl hier="236" item="0"/>
          <tpl fld="1" item="0"/>
        </tpls>
      </m>
      <m>
        <tpls c="3">
          <tpl fld="7" item="625"/>
          <tpl fld="6" item="3"/>
          <tpl hier="236" item="0"/>
        </tpls>
      </m>
      <n v="1" in="2">
        <tpls c="4">
          <tpl fld="7" item="710"/>
          <tpl fld="6" item="2"/>
          <tpl hier="236" item="0"/>
          <tpl fld="4" item="6"/>
        </tpls>
      </n>
      <m>
        <tpls c="4">
          <tpl fld="7" item="635"/>
          <tpl fld="6" item="1"/>
          <tpl hier="236" item="0"/>
          <tpl fld="4" item="4"/>
        </tpls>
      </m>
      <m>
        <tpls c="3">
          <tpl fld="7" item="254"/>
          <tpl fld="6" item="3"/>
          <tpl hier="236" item="0"/>
        </tpls>
      </m>
      <n v="1" in="1">
        <tpls c="4">
          <tpl fld="7" item="449"/>
          <tpl fld="6" item="1"/>
          <tpl hier="236" item="0"/>
          <tpl fld="4" item="4"/>
        </tpls>
      </n>
      <m>
        <tpls c="4">
          <tpl fld="7" item="611"/>
          <tpl fld="6" item="2"/>
          <tpl hier="236" item="0"/>
          <tpl fld="4" item="4"/>
        </tpls>
      </m>
      <m>
        <tpls c="4">
          <tpl fld="7" item="616"/>
          <tpl fld="6" item="1"/>
          <tpl hier="236" item="0"/>
          <tpl fld="4" item="6"/>
        </tpls>
      </m>
      <m>
        <tpls c="4">
          <tpl fld="7" item="556"/>
          <tpl fld="6" item="1"/>
          <tpl hier="236" item="0"/>
          <tpl fld="1" item="0"/>
        </tpls>
      </m>
      <m>
        <tpls c="4">
          <tpl fld="7" item="988"/>
          <tpl fld="6" item="2"/>
          <tpl hier="236" item="0"/>
          <tpl fld="4" item="5"/>
        </tpls>
      </m>
      <n v="4" in="1">
        <tpls c="4">
          <tpl fld="7" item="630"/>
          <tpl fld="6" item="1"/>
          <tpl hier="236" item="0"/>
          <tpl fld="4" item="1"/>
        </tpls>
      </n>
      <m>
        <tpls c="4">
          <tpl fld="7" item="575"/>
          <tpl fld="6" item="2"/>
          <tpl hier="236" item="0"/>
          <tpl fld="4" item="6"/>
        </tpls>
      </m>
      <m>
        <tpls c="3">
          <tpl fld="7" item="258"/>
          <tpl fld="6" item="3"/>
          <tpl hier="236" item="0"/>
        </tpls>
      </m>
      <n v="7" in="1">
        <tpls c="4">
          <tpl fld="7" item="450"/>
          <tpl fld="6" item="1"/>
          <tpl hier="236" item="0"/>
          <tpl fld="4" item="4"/>
        </tpls>
      </n>
      <m>
        <tpls c="4">
          <tpl fld="7" item="691"/>
          <tpl fld="6" item="1"/>
          <tpl hier="236" item="0"/>
          <tpl fld="4" item="6"/>
        </tpls>
      </m>
      <n v="1" in="1">
        <tpls c="4">
          <tpl fld="7" item="616"/>
          <tpl fld="6" item="1"/>
          <tpl hier="236" item="0"/>
          <tpl fld="4" item="1"/>
        </tpls>
      </n>
      <m>
        <tpls c="4">
          <tpl fld="7" item="402"/>
          <tpl fld="6" item="1"/>
          <tpl hier="236" item="0"/>
          <tpl fld="4" item="4"/>
        </tpls>
      </m>
      <m>
        <tpls c="4">
          <tpl fld="7" item="184"/>
          <tpl fld="6" item="1"/>
          <tpl hier="236" item="0"/>
          <tpl fld="4" item="4"/>
        </tpls>
      </m>
      <m>
        <tpls c="4">
          <tpl fld="7" item="214"/>
          <tpl fld="6" item="1"/>
          <tpl hier="236" item="0"/>
          <tpl fld="4" item="4"/>
        </tpls>
      </m>
      <n v="1" in="1">
        <tpls c="4">
          <tpl fld="7" item="393"/>
          <tpl fld="6" item="1"/>
          <tpl hier="236" item="0"/>
          <tpl fld="4" item="1"/>
        </tpls>
      </n>
      <n v="2" in="2">
        <tpls c="4">
          <tpl fld="7" item="540"/>
          <tpl fld="6" item="2"/>
          <tpl hier="236" item="0"/>
          <tpl fld="4" item="4"/>
        </tpls>
      </n>
      <n v="1" in="1">
        <tpls c="4">
          <tpl fld="7" item="708"/>
          <tpl fld="6" item="1"/>
          <tpl hier="236" item="0"/>
          <tpl fld="4" item="4"/>
        </tpls>
      </n>
      <m>
        <tpls c="4">
          <tpl fld="7" item="769"/>
          <tpl fld="6" item="2"/>
          <tpl hier="236" item="0"/>
          <tpl fld="4" item="6"/>
        </tpls>
      </m>
      <m>
        <tpls c="4">
          <tpl fld="7" item="566"/>
          <tpl fld="6" item="2"/>
          <tpl hier="236" item="0"/>
          <tpl fld="4" item="1"/>
        </tpls>
      </m>
      <m>
        <tpls c="4">
          <tpl fld="7" item="54"/>
          <tpl fld="6" item="2"/>
          <tpl hier="236" item="0"/>
          <tpl fld="4" item="1"/>
        </tpls>
      </m>
      <m>
        <tpls c="4">
          <tpl fld="7" item="393"/>
          <tpl fld="6" item="2"/>
          <tpl hier="236" item="0"/>
          <tpl fld="4" item="1"/>
        </tpls>
      </m>
      <m>
        <tpls c="4">
          <tpl fld="7" item="549"/>
          <tpl fld="6" item="1"/>
          <tpl hier="236" item="0"/>
          <tpl fld="4" item="6"/>
        </tpls>
      </m>
      <m>
        <tpls c="3">
          <tpl fld="7" item="700"/>
          <tpl fld="6" item="3"/>
          <tpl hier="236" item="0"/>
        </tpls>
      </m>
      <m>
        <tpls c="4">
          <tpl fld="7" item="786"/>
          <tpl fld="6" item="1"/>
          <tpl hier="236" item="0"/>
          <tpl fld="4" item="5"/>
        </tpls>
      </m>
      <m>
        <tpls c="4">
          <tpl fld="7" item="791"/>
          <tpl fld="6" item="2"/>
          <tpl hier="236" item="0"/>
          <tpl fld="4" item="5"/>
        </tpls>
      </m>
      <m>
        <tpls c="4">
          <tpl fld="7" item="796"/>
          <tpl fld="6" item="1"/>
          <tpl hier="236" item="0"/>
          <tpl fld="4" item="6"/>
        </tpls>
      </m>
      <n v="1" in="1">
        <tpls c="4">
          <tpl fld="7" item="1188"/>
          <tpl fld="6" item="1"/>
          <tpl hier="236" item="0"/>
          <tpl fld="1" item="0"/>
        </tpls>
      </n>
      <m>
        <tpls c="4">
          <tpl fld="7" item="186"/>
          <tpl fld="6" item="1"/>
          <tpl hier="236" item="0"/>
          <tpl fld="4" item="4"/>
        </tpls>
      </m>
      <m>
        <tpls c="4">
          <tpl fld="7" item="701"/>
          <tpl fld="6" item="2"/>
          <tpl hier="236" item="0"/>
          <tpl fld="4" item="5"/>
        </tpls>
      </m>
      <m>
        <tpls c="4">
          <tpl fld="7" item="639"/>
          <tpl fld="6" item="1"/>
          <tpl hier="236" item="0"/>
          <tpl fld="4" item="1"/>
        </tpls>
      </m>
      <n v="28" in="1">
        <tpls c="4">
          <tpl fld="7" item="588"/>
          <tpl fld="6" item="1"/>
          <tpl hier="236" item="0"/>
          <tpl fld="4" item="4"/>
        </tpls>
      </n>
      <m>
        <tpls c="4">
          <tpl fld="7" item="650"/>
          <tpl fld="6" item="1"/>
          <tpl hier="236" item="0"/>
          <tpl fld="4" item="6"/>
        </tpls>
      </m>
      <n v="0" in="1">
        <tpls c="4">
          <tpl fld="7" item="892"/>
          <tpl fld="6" item="1"/>
          <tpl hier="236" item="0"/>
          <tpl fld="1" item="0"/>
        </tpls>
      </n>
      <m>
        <tpls c="4">
          <tpl fld="7" item="823"/>
          <tpl fld="6" item="2"/>
          <tpl hier="236" item="0"/>
          <tpl fld="4" item="5"/>
        </tpls>
      </m>
      <n v="2" in="1">
        <tpls c="4">
          <tpl fld="7" item="749"/>
          <tpl fld="6" item="1"/>
          <tpl hier="236" item="0"/>
          <tpl fld="4" item="4"/>
        </tpls>
      </n>
      <m>
        <tpls c="4">
          <tpl fld="7" item="1009"/>
          <tpl fld="6" item="2"/>
          <tpl hier="236" item="0"/>
          <tpl fld="4" item="1"/>
        </tpls>
      </m>
      <m>
        <tpls c="3">
          <tpl fld="7" item="1272"/>
          <tpl fld="6" item="3"/>
          <tpl hier="236" item="0"/>
        </tpls>
      </m>
      <n v="1" in="1">
        <tpls c="4">
          <tpl fld="7" item="869"/>
          <tpl fld="6" item="1"/>
          <tpl hier="236" item="0"/>
          <tpl fld="4" item="6"/>
        </tpls>
      </n>
      <m>
        <tpls c="4">
          <tpl fld="7" item="1055"/>
          <tpl fld="6" item="2"/>
          <tpl hier="236" item="0"/>
          <tpl fld="4" item="1"/>
        </tpls>
      </m>
      <m>
        <tpls c="4">
          <tpl fld="7" item="920"/>
          <tpl fld="6" item="2"/>
          <tpl hier="236" item="0"/>
          <tpl fld="1" item="0"/>
        </tpls>
      </m>
      <n v="3" in="2">
        <tpls c="4">
          <tpl fld="7" item="432"/>
          <tpl fld="6" item="2"/>
          <tpl hier="236" item="0"/>
          <tpl fld="1" item="0"/>
        </tpls>
      </n>
      <m>
        <tpls c="4">
          <tpl fld="7" item="155"/>
          <tpl fld="6" item="2"/>
          <tpl hier="236" item="0"/>
          <tpl fld="1" item="0"/>
        </tpls>
      </m>
      <m>
        <tpls c="4">
          <tpl fld="7" item="409"/>
          <tpl fld="6" item="2"/>
          <tpl hier="236" item="0"/>
          <tpl fld="4" item="1"/>
        </tpls>
      </m>
      <m>
        <tpls c="4">
          <tpl fld="7" item="246"/>
          <tpl fld="6" item="2"/>
          <tpl hier="236" item="0"/>
          <tpl fld="4" item="1"/>
        </tpls>
      </m>
      <m>
        <tpls c="4">
          <tpl fld="7" item="305"/>
          <tpl fld="6" item="1"/>
          <tpl hier="236" item="0"/>
          <tpl fld="4" item="4"/>
        </tpls>
      </m>
      <m>
        <tpls c="4">
          <tpl fld="7" item="107"/>
          <tpl fld="6" item="2"/>
          <tpl hier="236" item="0"/>
          <tpl fld="4" item="1"/>
        </tpls>
      </m>
      <m>
        <tpls c="3">
          <tpl fld="7" item="685"/>
          <tpl fld="6" item="3"/>
          <tpl hier="236" item="0"/>
        </tpls>
      </m>
      <n v="26" in="1">
        <tpls c="4">
          <tpl fld="7" item="609"/>
          <tpl fld="6" item="1"/>
          <tpl hier="236" item="0"/>
          <tpl fld="4" item="6"/>
        </tpls>
      </n>
      <n v="5" in="1">
        <tpls c="4">
          <tpl fld="7" item="567"/>
          <tpl fld="6" item="1"/>
          <tpl hier="236" item="0"/>
          <tpl fld="4" item="4"/>
        </tpls>
      </n>
      <n v="70" in="1">
        <tpls c="4">
          <tpl fld="7" item="540"/>
          <tpl fld="6" item="1"/>
          <tpl hier="236" item="0"/>
          <tpl fld="1" item="0"/>
        </tpls>
      </n>
      <m>
        <tpls c="4">
          <tpl fld="7" item="708"/>
          <tpl fld="6" item="2"/>
          <tpl hier="236" item="0"/>
          <tpl fld="4" item="1"/>
        </tpls>
      </m>
      <m>
        <tpls c="4">
          <tpl fld="7" item="56"/>
          <tpl fld="6" item="2"/>
          <tpl hier="236" item="0"/>
          <tpl fld="4" item="1"/>
        </tpls>
      </m>
      <m>
        <tpls c="4">
          <tpl fld="7" item="535"/>
          <tpl fld="6" item="1"/>
          <tpl hier="236" item="0"/>
          <tpl fld="4" item="4"/>
        </tpls>
      </m>
      <m>
        <tpls c="4">
          <tpl fld="7" item="549"/>
          <tpl fld="6" item="2"/>
          <tpl hier="236" item="0"/>
          <tpl fld="4" item="6"/>
        </tpls>
      </m>
      <n v="2" in="1">
        <tpls c="4">
          <tpl fld="7" item="700"/>
          <tpl fld="6" item="1"/>
          <tpl hier="236" item="0"/>
          <tpl fld="1" item="0"/>
        </tpls>
      </n>
      <m>
        <tpls c="4">
          <tpl fld="7" item="786"/>
          <tpl fld="6" item="2"/>
          <tpl hier="236" item="0"/>
          <tpl fld="4" item="5"/>
        </tpls>
      </m>
      <n v="1" in="1">
        <tpls c="4">
          <tpl fld="7" item="1092"/>
          <tpl fld="6" item="1"/>
          <tpl hier="236" item="0"/>
          <tpl fld="4" item="5"/>
        </tpls>
      </n>
      <m>
        <tpls c="4">
          <tpl fld="7" item="796"/>
          <tpl fld="6" item="2"/>
          <tpl hier="236" item="0"/>
          <tpl fld="4" item="6"/>
        </tpls>
      </m>
      <m>
        <tpls c="4">
          <tpl fld="7" item="991"/>
          <tpl fld="6" item="1"/>
          <tpl hier="236" item="0"/>
          <tpl fld="4" item="6"/>
        </tpls>
      </m>
      <m>
        <tpls c="4">
          <tpl fld="7" item="580"/>
          <tpl fld="6" item="1"/>
          <tpl hier="236" item="0"/>
          <tpl fld="4" item="4"/>
        </tpls>
      </m>
      <n v="1" in="1">
        <tpls c="4">
          <tpl fld="7" item="888"/>
          <tpl fld="6" item="1"/>
          <tpl hier="236" item="0"/>
          <tpl fld="4" item="6"/>
        </tpls>
      </n>
      <n v="3" in="1">
        <tpls c="4">
          <tpl fld="7" item="641"/>
          <tpl fld="6" item="1"/>
          <tpl hier="236" item="0"/>
          <tpl fld="1" item="0"/>
        </tpls>
      </n>
      <m>
        <tpls c="4">
          <tpl fld="7" item="1214"/>
          <tpl fld="6" item="1"/>
          <tpl hier="236" item="0"/>
          <tpl fld="4" item="6"/>
        </tpls>
      </m>
      <n v="2" in="1">
        <tpls c="4">
          <tpl fld="7" item="451"/>
          <tpl fld="6" item="1"/>
          <tpl hier="236" item="0"/>
          <tpl fld="4" item="4"/>
        </tpls>
      </n>
      <n v="2" in="1">
        <tpls c="4">
          <tpl fld="7" item="985"/>
          <tpl fld="6" item="1"/>
          <tpl hier="236" item="0"/>
          <tpl fld="4" item="1"/>
        </tpls>
      </n>
      <m>
        <tpls c="4">
          <tpl fld="7" item="781"/>
          <tpl fld="6" item="2"/>
          <tpl hier="236" item="0"/>
          <tpl fld="4" item="6"/>
        </tpls>
      </m>
      <n v="5" in="1">
        <tpls c="4">
          <tpl fld="7" item="562"/>
          <tpl fld="6" item="1"/>
          <tpl hier="236" item="0"/>
          <tpl fld="4" item="1"/>
        </tpls>
      </n>
      <m>
        <tpls c="4">
          <tpl fld="7" item="571"/>
          <tpl fld="6" item="2"/>
          <tpl hier="236" item="0"/>
          <tpl fld="4" item="1"/>
        </tpls>
      </m>
      <n v="2" in="1">
        <tpls c="4">
          <tpl fld="7" item="718"/>
          <tpl fld="6" item="1"/>
          <tpl hier="236" item="0"/>
          <tpl fld="4" item="4"/>
        </tpls>
      </n>
      <m>
        <tpls c="4">
          <tpl fld="7" item="720"/>
          <tpl fld="6" item="1"/>
          <tpl hier="236" item="0"/>
          <tpl fld="4" item="4"/>
        </tpls>
      </m>
      <n v="7" in="1">
        <tpls c="4">
          <tpl fld="7" item="642"/>
          <tpl fld="6" item="1"/>
          <tpl hier="236" item="0"/>
          <tpl fld="4" item="1"/>
        </tpls>
      </n>
      <m>
        <tpls c="4">
          <tpl fld="7" item="889"/>
          <tpl fld="6" item="1"/>
          <tpl hier="236" item="0"/>
          <tpl fld="4" item="5"/>
        </tpls>
      </m>
      <n v="1" in="1">
        <tpls c="4">
          <tpl fld="7" item="725"/>
          <tpl fld="6" item="1"/>
          <tpl hier="236" item="0"/>
          <tpl fld="4" item="1"/>
        </tpls>
      </n>
      <m>
        <tpls c="4">
          <tpl fld="7" item="727"/>
          <tpl fld="6" item="1"/>
          <tpl hier="236" item="0"/>
          <tpl fld="4" item="4"/>
        </tpls>
      </m>
      <n v="3" in="1">
        <tpls c="4">
          <tpl fld="7" item="729"/>
          <tpl fld="6" item="1"/>
          <tpl hier="236" item="0"/>
          <tpl fld="4" item="1"/>
        </tpls>
      </n>
      <n v="2" in="1">
        <tpls c="4">
          <tpl fld="7" item="731"/>
          <tpl fld="6" item="1"/>
          <tpl hier="236" item="0"/>
          <tpl fld="4" item="4"/>
        </tpls>
      </n>
      <n v="2" in="1">
        <tpls c="4">
          <tpl fld="7" item="653"/>
          <tpl fld="6" item="1"/>
          <tpl hier="236" item="0"/>
          <tpl fld="4" item="6"/>
        </tpls>
      </n>
      <m>
        <tpls c="4">
          <tpl fld="7" item="735"/>
          <tpl fld="6" item="1"/>
          <tpl hier="236" item="0"/>
          <tpl fld="4" item="4"/>
        </tpls>
      </m>
      <m>
        <tpls c="4">
          <tpl fld="7" item="657"/>
          <tpl fld="6" item="1"/>
          <tpl hier="236" item="0"/>
          <tpl fld="4" item="6"/>
        </tpls>
      </m>
      <m>
        <tpls c="4">
          <tpl fld="7" item="1215"/>
          <tpl fld="6" item="1"/>
          <tpl hier="236" item="0"/>
          <tpl fld="1" item="0"/>
        </tpls>
      </m>
      <m>
        <tpls c="4">
          <tpl fld="7" item="661"/>
          <tpl fld="6" item="1"/>
          <tpl hier="236" item="0"/>
          <tpl fld="4" item="6"/>
        </tpls>
      </m>
      <m>
        <tpls c="4">
          <tpl fld="7" item="1241"/>
          <tpl fld="6" item="1"/>
          <tpl hier="236" item="0"/>
          <tpl fld="1" item="0"/>
        </tpls>
      </m>
      <m>
        <tpls c="4">
          <tpl fld="7" item="998"/>
          <tpl fld="6" item="2"/>
          <tpl hier="236" item="0"/>
          <tpl fld="4" item="5"/>
        </tpls>
      </m>
      <m>
        <tpls c="4">
          <tpl fld="7" item="895"/>
          <tpl fld="6" item="2"/>
          <tpl hier="236" item="0"/>
          <tpl fld="1" item="0"/>
        </tpls>
      </m>
      <m>
        <tpls c="3">
          <tpl fld="7" item="1104"/>
          <tpl fld="6" item="3"/>
          <tpl hier="236" item="0"/>
        </tpls>
      </m>
      <m>
        <tpls c="3">
          <tpl fld="7" item="1107"/>
          <tpl fld="6" item="3"/>
          <tpl hier="236" item="0"/>
        </tpls>
      </m>
      <m>
        <tpls c="4">
          <tpl fld="7" item="842"/>
          <tpl fld="6" item="1"/>
          <tpl hier="236" item="0"/>
          <tpl fld="4" item="6"/>
        </tpls>
      </m>
      <n v="1" in="1">
        <tpls c="4">
          <tpl fld="7" item="846"/>
          <tpl fld="6" item="1"/>
          <tpl hier="236" item="0"/>
          <tpl fld="4" item="6"/>
        </tpls>
      </n>
      <n v="2" in="1">
        <tpls c="4">
          <tpl fld="7" item="850"/>
          <tpl fld="6" item="1"/>
          <tpl hier="236" item="0"/>
          <tpl fld="4" item="6"/>
        </tpls>
      </n>
      <m>
        <tpls c="4">
          <tpl fld="7" item="1246"/>
          <tpl fld="6" item="2"/>
          <tpl hier="236" item="0"/>
          <tpl fld="4" item="4"/>
        </tpls>
      </m>
      <m>
        <tpls c="4">
          <tpl fld="7" item="1221"/>
          <tpl fld="6" item="2"/>
          <tpl hier="236" item="0"/>
          <tpl fld="4" item="4"/>
        </tpls>
      </m>
      <m>
        <tpls c="4">
          <tpl fld="7" item="1196"/>
          <tpl fld="6" item="2"/>
          <tpl hier="236" item="0"/>
          <tpl fld="4" item="4"/>
        </tpls>
      </m>
      <n v="1" in="1">
        <tpls c="4">
          <tpl fld="7" item="1130"/>
          <tpl fld="6" item="1"/>
          <tpl hier="236" item="0"/>
          <tpl fld="4" item="4"/>
        </tpls>
      </n>
      <m>
        <tpls c="4">
          <tpl fld="7" item="872"/>
          <tpl fld="6" item="2"/>
          <tpl hier="236" item="0"/>
          <tpl fld="4" item="1"/>
        </tpls>
      </m>
      <m>
        <tpls c="4">
          <tpl fld="7" item="1200"/>
          <tpl fld="6" item="2"/>
          <tpl hier="236" item="0"/>
          <tpl fld="4" item="1"/>
        </tpls>
      </m>
      <m>
        <tpls c="4">
          <tpl fld="7" item="1203"/>
          <tpl fld="6" item="2"/>
          <tpl hier="236" item="0"/>
          <tpl fld="4" item="1"/>
        </tpls>
      </m>
      <m>
        <tpls c="4">
          <tpl fld="7" item="1257"/>
          <tpl fld="6" item="2"/>
          <tpl hier="236" item="0"/>
          <tpl fld="4" item="1"/>
        </tpls>
      </m>
      <m>
        <tpls c="4">
          <tpl fld="7" item="1208"/>
          <tpl fld="6" item="2"/>
          <tpl hier="236" item="0"/>
          <tpl fld="4" item="1"/>
        </tpls>
      </m>
      <m>
        <tpls c="4">
          <tpl fld="7" item="1029"/>
          <tpl fld="6" item="2"/>
          <tpl hier="236" item="0"/>
          <tpl fld="1" item="0"/>
        </tpls>
      </m>
      <m>
        <tpls c="4">
          <tpl fld="7" item="1014"/>
          <tpl fld="6" item="2"/>
          <tpl hier="236" item="0"/>
          <tpl fld="1" item="0"/>
        </tpls>
      </m>
      <m>
        <tpls c="4">
          <tpl fld="7" item="1102"/>
          <tpl fld="6" item="2"/>
          <tpl hier="236" item="0"/>
          <tpl fld="1" item="0"/>
        </tpls>
      </m>
      <n v="1" in="2">
        <tpls c="4">
          <tpl fld="7" item="439"/>
          <tpl fld="6" item="2"/>
          <tpl hier="236" item="0"/>
          <tpl fld="1" item="0"/>
        </tpls>
      </n>
      <m>
        <tpls c="4">
          <tpl fld="7" item="101"/>
          <tpl fld="6" item="2"/>
          <tpl hier="236" item="0"/>
          <tpl fld="1" item="0"/>
        </tpls>
      </m>
      <m>
        <tpls c="4">
          <tpl fld="7" item="295"/>
          <tpl fld="6" item="2"/>
          <tpl hier="236" item="0"/>
          <tpl fld="1" item="0"/>
        </tpls>
      </m>
      <m>
        <tpls c="4">
          <tpl fld="7" item="411"/>
          <tpl fld="6" item="2"/>
          <tpl hier="236" item="0"/>
          <tpl fld="1" item="0"/>
        </tpls>
      </m>
      <m>
        <tpls c="4">
          <tpl fld="7" item="38"/>
          <tpl fld="6" item="2"/>
          <tpl hier="236" item="0"/>
          <tpl fld="1" item="0"/>
        </tpls>
      </m>
      <m>
        <tpls c="4">
          <tpl fld="7" item="7"/>
          <tpl fld="6" item="2"/>
          <tpl hier="236" item="0"/>
          <tpl fld="1" item="0"/>
        </tpls>
      </m>
      <m>
        <tpls c="4">
          <tpl fld="7" item="1128"/>
          <tpl fld="6" item="2"/>
          <tpl hier="236" item="0"/>
          <tpl fld="4" item="5"/>
        </tpls>
      </m>
      <m>
        <tpls c="4">
          <tpl fld="7" item="762"/>
          <tpl fld="6" item="1"/>
          <tpl hier="236" item="0"/>
          <tpl fld="4" item="6"/>
        </tpls>
      </m>
      <m>
        <tpls c="4">
          <tpl fld="7" item="340"/>
          <tpl fld="6" item="2"/>
          <tpl hier="236" item="0"/>
          <tpl fld="4" item="1"/>
        </tpls>
      </m>
      <m>
        <tpls c="4">
          <tpl fld="7" item="112"/>
          <tpl fld="6" item="2"/>
          <tpl hier="236" item="0"/>
          <tpl fld="4" item="1"/>
        </tpls>
      </m>
      <m>
        <tpls c="4">
          <tpl fld="7" item="173"/>
          <tpl fld="6" item="1"/>
          <tpl hier="236" item="0"/>
          <tpl fld="4" item="6"/>
        </tpls>
      </m>
      <m>
        <tpls c="4">
          <tpl fld="7" item="408"/>
          <tpl fld="6" item="1"/>
          <tpl hier="236" item="0"/>
          <tpl fld="4" item="5"/>
        </tpls>
      </m>
      <n v="0.75" in="2">
        <tpls c="4">
          <tpl fld="7" item="764"/>
          <tpl fld="6" item="2"/>
          <tpl hier="236" item="0"/>
          <tpl fld="4" item="4"/>
        </tpls>
      </n>
      <m>
        <tpls c="4">
          <tpl fld="7" item="159"/>
          <tpl fld="6" item="2"/>
          <tpl hier="236" item="0"/>
          <tpl fld="4" item="1"/>
        </tpls>
      </m>
      <m>
        <tpls c="4">
          <tpl fld="7" item="524"/>
          <tpl fld="6" item="2"/>
          <tpl hier="236" item="0"/>
          <tpl fld="4" item="4"/>
        </tpls>
      </m>
      <n v="9.6499999999999986" in="2">
        <tpls c="6">
          <tpl fld="3" item="3"/>
          <tpl fld="11" item="0"/>
          <tpl fld="6" item="2"/>
          <tpl hier="236" item="0"/>
          <tpl fld="4" item="7"/>
          <tpl fld="10" item="8"/>
        </tpls>
      </n>
      <m>
        <tpls c="4">
          <tpl fld="7" item="66"/>
          <tpl fld="6" item="2"/>
          <tpl hier="236" item="0"/>
          <tpl fld="4" item="1"/>
        </tpls>
      </m>
      <m>
        <tpls c="3">
          <tpl fld="7" item="321"/>
          <tpl fld="6" item="3"/>
          <tpl hier="236" item="0"/>
        </tpls>
      </m>
      <n v="1" in="2">
        <tpls c="4">
          <tpl fld="7" item="361"/>
          <tpl fld="6" item="2"/>
          <tpl hier="236" item="0"/>
          <tpl fld="4" item="4"/>
        </tpls>
      </n>
      <n v="23" in="1">
        <tpls c="4">
          <tpl fld="7" item="374"/>
          <tpl fld="6" item="1"/>
          <tpl hier="236" item="0"/>
          <tpl fld="4" item="4"/>
        </tpls>
      </n>
      <m>
        <tpls c="4">
          <tpl fld="7" item="765"/>
          <tpl fld="6" item="2"/>
          <tpl hier="236" item="0"/>
          <tpl fld="1" item="0"/>
        </tpls>
      </m>
      <m>
        <tpls c="4">
          <tpl fld="7" item="463"/>
          <tpl fld="6" item="2"/>
          <tpl hier="236" item="0"/>
          <tpl fld="4" item="5"/>
        </tpls>
      </m>
      <n v="2" in="2">
        <tpls c="4">
          <tpl fld="7" item="608"/>
          <tpl fld="6" item="2"/>
          <tpl hier="236" item="0"/>
          <tpl fld="4" item="1"/>
        </tpls>
      </n>
      <m>
        <tpls c="4">
          <tpl fld="7" item="692"/>
          <tpl fld="6" item="2"/>
          <tpl hier="236" item="0"/>
          <tpl fld="4" item="4"/>
        </tpls>
      </m>
      <m>
        <tpls c="4">
          <tpl fld="7" item="427"/>
          <tpl fld="6" item="2"/>
          <tpl hier="236" item="0"/>
          <tpl fld="4" item="4"/>
        </tpls>
      </m>
      <m>
        <tpls c="4">
          <tpl fld="7" item="686"/>
          <tpl fld="6" item="1"/>
          <tpl hier="236" item="0"/>
          <tpl fld="4" item="5"/>
        </tpls>
      </m>
      <m>
        <tpls c="4">
          <tpl fld="7" item="694"/>
          <tpl fld="6" item="2"/>
          <tpl hier="236" item="0"/>
          <tpl fld="4" item="4"/>
        </tpls>
      </m>
      <m>
        <tpls c="4">
          <tpl fld="7" item="780"/>
          <tpl fld="6" item="2"/>
          <tpl hier="236" item="0"/>
          <tpl fld="4" item="6"/>
        </tpls>
      </m>
      <m>
        <tpls c="4">
          <tpl fld="7" item="1187"/>
          <tpl fld="6" item="2"/>
          <tpl hier="236" item="0"/>
          <tpl fld="1" item="0"/>
        </tpls>
      </m>
      <n v="14" in="1">
        <tpls c="4">
          <tpl fld="7" item="789"/>
          <tpl fld="6" item="1"/>
          <tpl hier="236" item="0"/>
          <tpl fld="4" item="4"/>
        </tpls>
      </n>
      <m>
        <tpls c="4">
          <tpl fld="7" item="990"/>
          <tpl fld="6" item="1"/>
          <tpl hier="236" item="0"/>
          <tpl fld="4" item="1"/>
        </tpls>
      </m>
      <m>
        <tpls c="4">
          <tpl fld="7" item="717"/>
          <tpl fld="6" item="1"/>
          <tpl hier="236" item="0"/>
          <tpl fld="4" item="4"/>
        </tpls>
      </m>
      <m>
        <tpls c="4">
          <tpl fld="7" item="424"/>
          <tpl fld="6" item="2"/>
          <tpl hier="236" item="0"/>
          <tpl fld="4" item="4"/>
        </tpls>
      </m>
      <n v="6" in="1">
        <tpls c="4">
          <tpl fld="7" item="536"/>
          <tpl fld="6" item="1"/>
          <tpl hier="236" item="0"/>
          <tpl fld="4" item="4"/>
        </tpls>
      </n>
      <m>
        <tpls c="4">
          <tpl fld="7" item="614"/>
          <tpl fld="6" item="1"/>
          <tpl hier="236" item="0"/>
          <tpl fld="4" item="4"/>
        </tpls>
      </m>
      <n v="2" in="1">
        <tpls c="4">
          <tpl fld="7" item="698"/>
          <tpl fld="6" item="1"/>
          <tpl hier="236" item="0"/>
          <tpl fld="4" item="6"/>
        </tpls>
      </n>
      <n v="2" in="1">
        <tpls c="4">
          <tpl fld="7" item="559"/>
          <tpl fld="6" item="1"/>
          <tpl hier="236" item="0"/>
          <tpl fld="1" item="0"/>
        </tpls>
      </n>
      <m>
        <tpls c="4">
          <tpl fld="7" item="565"/>
          <tpl fld="6" item="2"/>
          <tpl hier="236" item="0"/>
          <tpl fld="4" item="1"/>
        </tpls>
      </m>
      <m>
        <tpls c="4">
          <tpl fld="7" item="794"/>
          <tpl fld="6" item="2"/>
          <tpl hier="236" item="0"/>
          <tpl fld="4" item="4"/>
        </tpls>
      </m>
      <m>
        <tpls c="4">
          <tpl fld="7" item="716"/>
          <tpl fld="6" item="1"/>
          <tpl hier="236" item="0"/>
          <tpl fld="4" item="1"/>
        </tpls>
      </m>
      <m>
        <tpls c="4">
          <tpl fld="7" item="1094"/>
          <tpl fld="6" item="2"/>
          <tpl hier="236" item="0"/>
          <tpl fld="4" item="4"/>
        </tpls>
      </m>
      <m>
        <tpls c="4">
          <tpl fld="7" item="48"/>
          <tpl fld="6" item="2"/>
          <tpl hier="236" item="0"/>
          <tpl fld="4" item="1"/>
        </tpls>
      </m>
      <m>
        <tpls c="4">
          <tpl fld="7" item="212"/>
          <tpl fld="6" item="2"/>
          <tpl hier="236" item="0"/>
          <tpl fld="4" item="4"/>
        </tpls>
      </m>
      <n v="1" in="3">
        <tpls c="3">
          <tpl fld="7" item="506"/>
          <tpl fld="6" item="3"/>
          <tpl hier="236" item="0"/>
        </tpls>
      </n>
      <n v="0" in="1">
        <tpls c="4">
          <tpl fld="7" item="682"/>
          <tpl fld="6" item="1"/>
          <tpl hier="236" item="0"/>
          <tpl fld="4" item="6"/>
        </tpls>
      </n>
      <m>
        <tpls c="3">
          <tpl fld="7" item="463"/>
          <tpl fld="6" item="3"/>
          <tpl hier="236" item="0"/>
        </tpls>
      </m>
      <m>
        <tpls c="3">
          <tpl fld="7" item="984"/>
          <tpl fld="6" item="3"/>
          <tpl hier="236" item="0"/>
        </tpls>
      </m>
      <m>
        <tpls c="4">
          <tpl fld="7" item="544"/>
          <tpl fld="6" item="2"/>
          <tpl hier="236" item="0"/>
          <tpl fld="4" item="5"/>
        </tpls>
      </m>
      <n v="1" in="1">
        <tpls c="4">
          <tpl fld="7" item="775"/>
          <tpl fld="6" item="1"/>
          <tpl hier="236" item="0"/>
          <tpl fld="4" item="5"/>
        </tpls>
      </n>
      <m>
        <tpls c="3">
          <tpl fld="7" item="615"/>
          <tpl fld="6" item="3"/>
          <tpl hier="236" item="0"/>
        </tpls>
      </m>
      <m>
        <tpls c="4">
          <tpl fld="7" item="696"/>
          <tpl fld="6" item="2"/>
          <tpl hier="236" item="0"/>
          <tpl fld="4" item="5"/>
        </tpls>
      </m>
      <m>
        <tpls c="4">
          <tpl fld="7" item="1089"/>
          <tpl fld="6" item="2"/>
          <tpl hier="236" item="0"/>
          <tpl fld="4" item="5"/>
        </tpls>
      </m>
      <m>
        <tpls c="4">
          <tpl fld="7" item="554"/>
          <tpl fld="6" item="2"/>
          <tpl hier="236" item="0"/>
          <tpl fld="4" item="6"/>
        </tpls>
      </m>
      <m>
        <tpls c="4">
          <tpl fld="7" item="620"/>
          <tpl fld="6" item="1"/>
          <tpl hier="236" item="0"/>
          <tpl fld="4" item="5"/>
        </tpls>
      </m>
      <m>
        <tpls c="4">
          <tpl fld="7" item="557"/>
          <tpl fld="6" item="1"/>
          <tpl hier="236" item="0"/>
          <tpl fld="4" item="6"/>
        </tpls>
      </m>
      <m>
        <tpls c="4">
          <tpl fld="7" item="702"/>
          <tpl fld="6" item="2"/>
          <tpl hier="236" item="0"/>
          <tpl fld="4" item="1"/>
        </tpls>
      </m>
      <m>
        <tpls c="4">
          <tpl fld="7" item="703"/>
          <tpl fld="6" item="2"/>
          <tpl hier="236" item="0"/>
          <tpl fld="1" item="0"/>
        </tpls>
      </m>
      <n v="4" in="1">
        <tpls c="4">
          <tpl fld="7" item="704"/>
          <tpl fld="6" item="1"/>
          <tpl hier="236" item="0"/>
          <tpl fld="4" item="1"/>
        </tpls>
      </n>
      <n v="54" in="1">
        <tpls c="4">
          <tpl fld="7" item="787"/>
          <tpl fld="6" item="1"/>
          <tpl hier="236" item="0"/>
          <tpl fld="1" item="0"/>
        </tpls>
      </n>
      <n v="3.3" in="2">
        <tpls c="4">
          <tpl fld="7" item="788"/>
          <tpl fld="6" item="2"/>
          <tpl hier="236" item="0"/>
          <tpl fld="4" item="4"/>
        </tpls>
      </n>
      <m>
        <tpls c="4">
          <tpl fld="7" item="566"/>
          <tpl fld="6" item="2"/>
          <tpl hier="236" item="0"/>
          <tpl fld="4" item="5"/>
        </tpls>
      </m>
      <m>
        <tpls c="4">
          <tpl fld="7" item="568"/>
          <tpl fld="6" item="2"/>
          <tpl hier="236" item="0"/>
          <tpl fld="4" item="5"/>
        </tpls>
      </m>
      <m>
        <tpls c="4">
          <tpl fld="7" item="570"/>
          <tpl fld="6" item="2"/>
          <tpl hier="236" item="0"/>
          <tpl fld="4" item="5"/>
        </tpls>
      </m>
      <m>
        <tpls c="4">
          <tpl fld="7" item="632"/>
          <tpl fld="6" item="2"/>
          <tpl hier="236" item="0"/>
          <tpl fld="1" item="0"/>
        </tpls>
      </m>
      <n v="1" in="1">
        <tpls c="4">
          <tpl fld="7" item="573"/>
          <tpl fld="6" item="1"/>
          <tpl hier="236" item="0"/>
          <tpl fld="4" item="1"/>
        </tpls>
      </n>
      <n v="6" in="1">
        <tpls c="4">
          <tpl fld="7" item="714"/>
          <tpl fld="6" item="1"/>
          <tpl hier="236" item="0"/>
          <tpl fld="1" item="0"/>
        </tpls>
      </n>
      <m>
        <tpls c="4">
          <tpl fld="7" item="576"/>
          <tpl fld="6" item="2"/>
          <tpl hier="236" item="0"/>
          <tpl fld="4" item="4"/>
        </tpls>
      </m>
      <m>
        <tpls c="3">
          <tpl fld="7" item="798"/>
          <tpl fld="6" item="3"/>
          <tpl hier="236" item="0"/>
        </tpls>
      </m>
      <m>
        <tpls c="4">
          <tpl fld="7" item="579"/>
          <tpl fld="6" item="1"/>
          <tpl hier="236" item="0"/>
          <tpl fld="4" item="4"/>
        </tpls>
      </m>
      <m>
        <tpls c="4">
          <tpl fld="7" item="800"/>
          <tpl fld="6" item="2"/>
          <tpl hier="236" item="0"/>
          <tpl fld="4" item="5"/>
        </tpls>
      </m>
      <m>
        <tpls c="4">
          <tpl fld="7" item="888"/>
          <tpl fld="6" item="2"/>
          <tpl hier="236" item="0"/>
          <tpl fld="4" item="6"/>
        </tpls>
      </m>
      <m>
        <tpls c="4">
          <tpl fld="7" item="992"/>
          <tpl fld="6" item="1"/>
          <tpl hier="236" item="0"/>
          <tpl fld="4" item="5"/>
        </tpls>
      </m>
      <n v="6" in="1">
        <tpls c="4">
          <tpl fld="7" item="642"/>
          <tpl fld="6" item="1"/>
          <tpl hier="236" item="0"/>
          <tpl fld="4" item="6"/>
        </tpls>
      </n>
      <m>
        <tpls c="4">
          <tpl fld="7" item="479"/>
          <tpl fld="6" item="2"/>
          <tpl hier="236" item="0"/>
          <tpl fld="4" item="1"/>
        </tpls>
      </m>
      <m>
        <tpls c="4">
          <tpl fld="7" item="454"/>
          <tpl fld="6" item="2"/>
          <tpl hier="236" item="0"/>
          <tpl fld="4" item="4"/>
        </tpls>
      </m>
      <m>
        <tpls c="4">
          <tpl fld="7" item="773"/>
          <tpl fld="6" item="2"/>
          <tpl hier="236" item="0"/>
          <tpl fld="1" item="0"/>
        </tpls>
      </m>
      <m>
        <tpls c="4">
          <tpl fld="7" item="778"/>
          <tpl fld="6" item="2"/>
          <tpl hier="236" item="0"/>
          <tpl fld="4" item="6"/>
        </tpls>
      </m>
      <m>
        <tpls c="4">
          <tpl fld="7" item="987"/>
          <tpl fld="6" item="2"/>
          <tpl hier="236" item="0"/>
          <tpl fld="1" item="0"/>
        </tpls>
      </m>
      <m>
        <tpls c="3">
          <tpl fld="7" item="705"/>
          <tpl fld="6" item="3"/>
          <tpl hier="236" item="0"/>
        </tpls>
      </m>
      <m>
        <tpls c="4">
          <tpl fld="7" item="792"/>
          <tpl fld="6" item="2"/>
          <tpl hier="236" item="0"/>
          <tpl fld="1" item="0"/>
        </tpls>
      </m>
      <n v="4" in="1">
        <tpls c="4">
          <tpl fld="7" item="715"/>
          <tpl fld="6" item="1"/>
          <tpl hier="236" item="0"/>
          <tpl fld="4" item="4"/>
        </tpls>
      </n>
      <m>
        <tpls c="4">
          <tpl fld="7" item="1188"/>
          <tpl fld="6" item="1"/>
          <tpl hier="236" item="0"/>
          <tpl fld="4" item="1"/>
        </tpls>
      </m>
      <m>
        <tpls c="4">
          <tpl fld="7" item="720"/>
          <tpl fld="6" item="1"/>
          <tpl hier="236" item="0"/>
          <tpl fld="4" item="5"/>
        </tpls>
      </m>
      <n v="18" in="1">
        <tpls c="4">
          <tpl fld="7" item="1095"/>
          <tpl fld="6" item="1"/>
          <tpl hier="236" item="0"/>
          <tpl fld="4" item="6"/>
        </tpls>
      </n>
      <m>
        <tpls c="4">
          <tpl fld="7" item="643"/>
          <tpl fld="6" item="1"/>
          <tpl hier="236" item="0"/>
          <tpl fld="4" item="5"/>
        </tpls>
      </m>
      <m>
        <tpls c="4">
          <tpl fld="7" item="724"/>
          <tpl fld="6" item="1"/>
          <tpl hier="236" item="0"/>
          <tpl fld="4" item="6"/>
        </tpls>
      </m>
      <m>
        <tpls c="4">
          <tpl fld="7" item="807"/>
          <tpl fld="6" item="2"/>
          <tpl hier="236" item="0"/>
          <tpl fld="4" item="1"/>
        </tpls>
      </m>
      <m>
        <tpls c="4">
          <tpl fld="7" item="1240"/>
          <tpl fld="6" item="2"/>
          <tpl hier="236" item="0"/>
          <tpl fld="1" item="0"/>
        </tpls>
      </m>
      <n v="1" in="1">
        <tpls c="4">
          <tpl fld="7" item="728"/>
          <tpl fld="6" item="1"/>
          <tpl hier="236" item="0"/>
          <tpl fld="4" item="1"/>
        </tpls>
      </n>
      <n v="9" in="1">
        <tpls c="4">
          <tpl fld="7" item="1097"/>
          <tpl fld="6" item="1"/>
          <tpl hier="236" item="0"/>
          <tpl fld="1" item="0"/>
        </tpls>
      </n>
      <m>
        <tpls c="4">
          <tpl fld="7" item="731"/>
          <tpl fld="6" item="2"/>
          <tpl hier="236" item="0"/>
          <tpl fld="4" item="4"/>
        </tpls>
      </m>
      <m>
        <tpls c="3">
          <tpl fld="7" item="995"/>
          <tpl fld="6" item="3"/>
          <tpl hier="236" item="0"/>
        </tpls>
      </m>
      <m>
        <tpls c="4">
          <tpl fld="7" item="734"/>
          <tpl fld="6" item="1"/>
          <tpl hier="236" item="0"/>
          <tpl fld="4" item="4"/>
        </tpls>
      </m>
      <m>
        <tpls c="4">
          <tpl fld="7" item="817"/>
          <tpl fld="6" item="2"/>
          <tpl hier="236" item="0"/>
          <tpl fld="4" item="5"/>
        </tpls>
      </m>
      <m>
        <tpls c="4">
          <tpl fld="7" item="657"/>
          <tpl fld="6" item="2"/>
          <tpl hier="236" item="0"/>
          <tpl fld="4" item="6"/>
        </tpls>
      </m>
      <m>
        <tpls c="4">
          <tpl fld="7" item="820"/>
          <tpl fld="6" item="1"/>
          <tpl hier="236" item="0"/>
          <tpl fld="4" item="5"/>
        </tpls>
      </m>
      <m>
        <tpls c="4">
          <tpl fld="7" item="660"/>
          <tpl fld="6" item="1"/>
          <tpl hier="236" item="0"/>
          <tpl fld="4" item="6"/>
        </tpls>
      </m>
      <m>
        <tpls c="4">
          <tpl fld="7" item="823"/>
          <tpl fld="6" item="2"/>
          <tpl hier="236" item="0"/>
          <tpl fld="4" item="1"/>
        </tpls>
      </m>
      <m>
        <tpls c="4">
          <tpl fld="7" item="1241"/>
          <tpl fld="6" item="2"/>
          <tpl hier="236" item="0"/>
          <tpl fld="1" item="0"/>
        </tpls>
      </m>
      <m>
        <tpls c="4">
          <tpl fld="7" item="826"/>
          <tpl fld="6" item="1"/>
          <tpl hier="236" item="0"/>
          <tpl fld="4" item="5"/>
        </tpls>
      </m>
      <m>
        <tpls c="4">
          <tpl fld="7" item="828"/>
          <tpl fld="6" item="1"/>
          <tpl hier="236" item="0"/>
          <tpl fld="4" item="5"/>
        </tpls>
      </m>
      <m>
        <tpls c="3">
          <tpl fld="7" item="1102"/>
          <tpl fld="6" item="3"/>
          <tpl hier="236" item="0"/>
        </tpls>
      </m>
      <m>
        <tpls c="4">
          <tpl fld="7" item="1242"/>
          <tpl fld="6" item="2"/>
          <tpl hier="236" item="0"/>
          <tpl fld="4" item="1"/>
        </tpls>
      </m>
      <m>
        <tpls c="4">
          <tpl fld="7" item="1004"/>
          <tpl fld="6" item="1"/>
          <tpl hier="236" item="0"/>
          <tpl fld="4" item="4"/>
        </tpls>
      </m>
      <m>
        <tpls c="4">
          <tpl fld="7" item="1109"/>
          <tpl fld="6" item="2"/>
          <tpl hier="236" item="0"/>
          <tpl fld="4" item="4"/>
        </tpls>
      </m>
      <n v="0" in="1">
        <tpls c="4">
          <tpl fld="7" item="843"/>
          <tpl fld="6" item="1"/>
          <tpl hier="236" item="0"/>
          <tpl fld="4" item="6"/>
        </tpls>
      </n>
      <m>
        <tpls c="3">
          <tpl fld="7" item="1011"/>
          <tpl fld="6" item="3"/>
          <tpl hier="236" item="0"/>
        </tpls>
      </m>
      <m>
        <tpls c="4">
          <tpl fld="7" item="1245"/>
          <tpl fld="6" item="2"/>
          <tpl hier="236" item="0"/>
          <tpl fld="4" item="1"/>
        </tpls>
      </m>
      <n v="14" in="1">
        <tpls c="4">
          <tpl fld="7" item="1016"/>
          <tpl fld="6" item="1"/>
          <tpl hier="236" item="0"/>
          <tpl fld="4" item="4"/>
        </tpls>
      </n>
      <m>
        <tpls c="4">
          <tpl fld="7" item="1121"/>
          <tpl fld="6" item="2"/>
          <tpl hier="236" item="0"/>
          <tpl fld="4" item="4"/>
        </tpls>
      </m>
      <n v="1" in="1">
        <tpls c="4">
          <tpl fld="7" item="859"/>
          <tpl fld="6" item="1"/>
          <tpl hier="236" item="0"/>
          <tpl fld="4" item="6"/>
        </tpls>
      </n>
      <m>
        <tpls c="3">
          <tpl fld="7" item="1023"/>
          <tpl fld="6" item="3"/>
          <tpl hier="236" item="0"/>
        </tpls>
      </m>
      <m>
        <tpls c="4">
          <tpl fld="7" item="1248"/>
          <tpl fld="6" item="2"/>
          <tpl hier="236" item="0"/>
          <tpl fld="4" item="1"/>
        </tpls>
      </m>
      <n v="2" in="1">
        <tpls c="4">
          <tpl fld="7" item="1028"/>
          <tpl fld="6" item="1"/>
          <tpl hier="236" item="0"/>
          <tpl fld="4" item="4"/>
        </tpls>
      </n>
      <m>
        <tpls c="4">
          <tpl fld="7" item="927"/>
          <tpl fld="6" item="2"/>
          <tpl hier="236" item="0"/>
          <tpl fld="4" item="1"/>
        </tpls>
      </m>
      <m>
        <tpls c="4">
          <tpl fld="7" item="1038"/>
          <tpl fld="6" item="2"/>
          <tpl hier="236" item="0"/>
          <tpl fld="4" item="1"/>
        </tpls>
      </m>
      <m>
        <tpls c="4">
          <tpl fld="7" item="1046"/>
          <tpl fld="6" item="2"/>
          <tpl hier="236" item="0"/>
          <tpl fld="4" item="1"/>
        </tpls>
      </m>
      <m>
        <tpls c="4">
          <tpl fld="7" item="1054"/>
          <tpl fld="6" item="2"/>
          <tpl hier="236" item="0"/>
          <tpl fld="4" item="1"/>
        </tpls>
      </m>
      <m>
        <tpls c="4">
          <tpl fld="7" item="1062"/>
          <tpl fld="6" item="2"/>
          <tpl hier="236" item="0"/>
          <tpl fld="4" item="1"/>
        </tpls>
      </m>
      <m>
        <tpls c="4">
          <tpl fld="7" item="1070"/>
          <tpl fld="6" item="2"/>
          <tpl hier="236" item="0"/>
          <tpl fld="4" item="1"/>
        </tpls>
      </m>
      <m>
        <tpls c="4">
          <tpl fld="7" item="1078"/>
          <tpl fld="6" item="2"/>
          <tpl hier="236" item="0"/>
          <tpl fld="4" item="1"/>
        </tpls>
      </m>
      <m>
        <tpls c="4">
          <tpl fld="7" item="1128"/>
          <tpl fld="6" item="2"/>
          <tpl hier="236" item="0"/>
          <tpl fld="1" item="0"/>
        </tpls>
      </m>
      <n v="1" in="2">
        <tpls c="4">
          <tpl fld="7" item="1116"/>
          <tpl fld="6" item="2"/>
          <tpl hier="236" item="0"/>
          <tpl fld="1" item="0"/>
        </tpls>
      </n>
      <n v="1" in="2">
        <tpls c="4">
          <tpl fld="7" item="1104"/>
          <tpl fld="6" item="2"/>
          <tpl hier="236" item="0"/>
          <tpl fld="1" item="0"/>
        </tpls>
      </n>
      <n v="0.85" in="2">
        <tpls c="4">
          <tpl fld="7" item="450"/>
          <tpl fld="6" item="2"/>
          <tpl hier="236" item="0"/>
          <tpl fld="1" item="0"/>
        </tpls>
      </n>
      <n v="1" in="2">
        <tpls c="4">
          <tpl fld="7" item="434"/>
          <tpl fld="6" item="2"/>
          <tpl hier="236" item="0"/>
          <tpl fld="1" item="0"/>
        </tpls>
      </n>
      <m>
        <tpls c="4">
          <tpl fld="7" item="97"/>
          <tpl fld="6" item="2"/>
          <tpl hier="236" item="0"/>
          <tpl fld="1" item="0"/>
        </tpls>
      </m>
      <m>
        <tpls c="4">
          <tpl fld="7" item="298"/>
          <tpl fld="6" item="2"/>
          <tpl hier="236" item="0"/>
          <tpl fld="1" item="0"/>
        </tpls>
      </m>
      <m>
        <tpls c="4">
          <tpl fld="7" item="282"/>
          <tpl fld="6" item="2"/>
          <tpl hier="236" item="0"/>
          <tpl fld="1" item="0"/>
        </tpls>
      </m>
      <m>
        <tpls c="4">
          <tpl fld="7" item="163"/>
          <tpl fld="6" item="2"/>
          <tpl hier="236" item="0"/>
          <tpl fld="1" item="0"/>
        </tpls>
      </m>
      <m>
        <tpls c="4">
          <tpl fld="7" item="37"/>
          <tpl fld="6" item="2"/>
          <tpl hier="236" item="0"/>
          <tpl fld="1" item="0"/>
        </tpls>
      </m>
      <m>
        <tpls c="4">
          <tpl fld="7" item="399"/>
          <tpl fld="6" item="2"/>
          <tpl hier="236" item="0"/>
          <tpl fld="1" item="0"/>
        </tpls>
      </m>
      <m>
        <tpls c="4">
          <tpl fld="7" item="750"/>
          <tpl fld="6" item="2"/>
          <tpl hier="236" item="0"/>
          <tpl fld="1" item="0"/>
        </tpls>
      </m>
      <m>
        <tpls c="4">
          <tpl fld="7" item="144"/>
          <tpl fld="6" item="1"/>
          <tpl hier="236" item="0"/>
          <tpl fld="4" item="4"/>
        </tpls>
      </m>
      <n v="1" in="3">
        <tpls c="3">
          <tpl fld="7" item="519"/>
          <tpl fld="6" item="3"/>
          <tpl hier="236" item="0"/>
        </tpls>
      </n>
      <n v="1" in="1">
        <tpls c="4">
          <tpl fld="7" item="611"/>
          <tpl fld="6" item="1"/>
          <tpl hier="236" item="0"/>
          <tpl fld="4" item="4"/>
        </tpls>
      </n>
      <m>
        <tpls c="4">
          <tpl fld="7" item="616"/>
          <tpl fld="6" item="2"/>
          <tpl hier="236" item="0"/>
          <tpl fld="4" item="1"/>
        </tpls>
      </m>
      <m>
        <tpls c="4">
          <tpl fld="7" item="556"/>
          <tpl fld="6" item="2"/>
          <tpl hier="236" item="0"/>
          <tpl fld="4" item="4"/>
        </tpls>
      </m>
      <m>
        <tpls c="4">
          <tpl fld="7" item="988"/>
          <tpl fld="6" item="2"/>
          <tpl hier="236" item="0"/>
          <tpl fld="4" item="6"/>
        </tpls>
      </m>
      <n v="17" in="1">
        <tpls c="4">
          <tpl fld="7" item="630"/>
          <tpl fld="6" item="1"/>
          <tpl hier="236" item="0"/>
          <tpl fld="1" item="0"/>
        </tpls>
      </n>
      <n v="1" in="1">
        <tpls c="4">
          <tpl fld="7" item="575"/>
          <tpl fld="6" item="1"/>
          <tpl hier="236" item="0"/>
          <tpl fld="4" item="5"/>
        </tpls>
      </n>
      <m>
        <tpls c="4">
          <tpl fld="7" item="800"/>
          <tpl fld="6" item="2"/>
          <tpl hier="236" item="0"/>
          <tpl fld="1" item="0"/>
        </tpls>
      </m>
      <m>
        <tpls c="4">
          <tpl fld="7" item="640"/>
          <tpl fld="6" item="2"/>
          <tpl hier="236" item="0"/>
          <tpl fld="4" item="6"/>
        </tpls>
      </m>
      <m>
        <tpls c="4">
          <tpl fld="7" item="803"/>
          <tpl fld="6" item="2"/>
          <tpl hier="236" item="0"/>
          <tpl fld="4" item="4"/>
        </tpls>
      </m>
      <m>
        <tpls c="4">
          <tpl fld="7" item="586"/>
          <tpl fld="6" item="2"/>
          <tpl hier="236" item="0"/>
          <tpl fld="4" item="5"/>
        </tpls>
      </m>
      <m>
        <tpls c="4">
          <tpl fld="7" item="644"/>
          <tpl fld="6" item="2"/>
          <tpl hier="236" item="0"/>
          <tpl fld="4" item="6"/>
        </tpls>
      </m>
      <m>
        <tpls c="4">
          <tpl fld="7" item="725"/>
          <tpl fld="6" item="1"/>
          <tpl hier="236" item="0"/>
          <tpl fld="4" item="5"/>
        </tpls>
      </m>
      <m>
        <tpls c="4">
          <tpl fld="7" item="1240"/>
          <tpl fld="6" item="1"/>
          <tpl hier="236" item="0"/>
          <tpl fld="4" item="6"/>
        </tpls>
      </m>
      <m>
        <tpls c="4">
          <tpl fld="7" item="728"/>
          <tpl fld="6" item="2"/>
          <tpl hier="236" item="0"/>
          <tpl fld="4" item="1"/>
        </tpls>
      </m>
      <n v="0.25" in="2">
        <tpls c="4">
          <tpl fld="7" item="811"/>
          <tpl fld="6" item="2"/>
          <tpl hier="236" item="0"/>
          <tpl fld="1" item="0"/>
        </tpls>
      </n>
      <n v="2" in="1">
        <tpls c="4">
          <tpl fld="7" item="651"/>
          <tpl fld="6" item="1"/>
          <tpl hier="236" item="0"/>
          <tpl fld="4" item="1"/>
        </tpls>
      </n>
      <m>
        <tpls c="4">
          <tpl fld="7" item="814"/>
          <tpl fld="6" item="1"/>
          <tpl hier="236" item="0"/>
          <tpl fld="1" item="0"/>
        </tpls>
      </m>
      <m>
        <tpls c="4">
          <tpl fld="7" item="654"/>
          <tpl fld="6" item="2"/>
          <tpl hier="236" item="0"/>
          <tpl fld="4" item="4"/>
        </tpls>
      </m>
      <m>
        <tpls c="4">
          <tpl fld="7" item="409"/>
          <tpl fld="6" item="1"/>
          <tpl hier="236" item="0"/>
          <tpl fld="4" item="4"/>
        </tpls>
      </m>
      <n v="1" in="3">
        <tpls c="3">
          <tpl fld="7" item="444"/>
          <tpl fld="6" item="3"/>
          <tpl hier="236" item="0"/>
        </tpls>
      </n>
      <m>
        <tpls c="4">
          <tpl fld="7" item="500"/>
          <tpl fld="6" item="2"/>
          <tpl hier="236" item="0"/>
          <tpl fld="4" item="1"/>
        </tpls>
      </m>
      <n v="6" in="1">
        <tpls c="4">
          <tpl fld="7" item="607"/>
          <tpl fld="6" item="1"/>
          <tpl hier="236" item="0"/>
          <tpl fld="4" item="1"/>
        </tpls>
      </n>
      <n v="1" in="1">
        <tpls c="4">
          <tpl fld="7" item="693"/>
          <tpl fld="6" item="1"/>
          <tpl hier="236" item="0"/>
          <tpl fld="4" item="1"/>
        </tpls>
      </n>
      <m>
        <tpls c="4">
          <tpl fld="7" item="632"/>
          <tpl fld="6" item="2"/>
          <tpl hier="236" item="0"/>
          <tpl fld="4" item="4"/>
        </tpls>
      </m>
      <n v="1" in="2">
        <tpls c="4">
          <tpl fld="7" item="546"/>
          <tpl fld="6" item="2"/>
          <tpl hier="236" item="0"/>
          <tpl fld="1" item="0"/>
        </tpls>
      </n>
      <n v="7" in="1">
        <tpls c="4">
          <tpl fld="7" item="886"/>
          <tpl fld="6" item="1"/>
          <tpl hier="236" item="0"/>
          <tpl fld="4" item="4"/>
        </tpls>
      </n>
      <m>
        <tpls c="4">
          <tpl fld="7" item="100"/>
          <tpl fld="6" item="2"/>
          <tpl hier="236" item="0"/>
          <tpl fld="4" item="4"/>
        </tpls>
      </m>
      <n v="2.6" in="2">
        <tpls c="4">
          <tpl fld="7" item="608"/>
          <tpl fld="6" item="2"/>
          <tpl hier="236" item="0"/>
          <tpl fld="1" item="0"/>
        </tpls>
      </n>
      <m>
        <tpls c="4">
          <tpl fld="7" item="616"/>
          <tpl fld="6" item="2"/>
          <tpl hier="236" item="0"/>
          <tpl fld="4" item="4"/>
        </tpls>
      </m>
      <m>
        <tpls c="3">
          <tpl fld="7" item="621"/>
          <tpl fld="6" item="3"/>
          <tpl hier="236" item="0"/>
        </tpls>
      </m>
      <n v="2" in="1">
        <tpls c="4">
          <tpl fld="7" item="705"/>
          <tpl fld="6" item="1"/>
          <tpl hier="236" item="0"/>
          <tpl fld="4" item="5"/>
        </tpls>
      </n>
      <n v="1" in="1">
        <tpls c="4">
          <tpl fld="7" item="1239"/>
          <tpl fld="6" item="1"/>
          <tpl hier="236" item="0"/>
          <tpl fld="4" item="5"/>
        </tpls>
      </n>
      <m>
        <tpls c="4">
          <tpl fld="7" item="715"/>
          <tpl fld="6" item="1"/>
          <tpl hier="236" item="0"/>
          <tpl fld="4" item="6"/>
        </tpls>
      </m>
      <m>
        <tpls c="4">
          <tpl fld="7" item="801"/>
          <tpl fld="6" item="1"/>
          <tpl hier="236" item="0"/>
          <tpl fld="1" item="0"/>
        </tpls>
      </m>
      <n v="1" in="3">
        <tpls c="3">
          <tpl fld="7" item="515"/>
          <tpl fld="6" item="3"/>
          <tpl hier="236" item="0"/>
        </tpls>
      </n>
      <m>
        <tpls c="4">
          <tpl fld="7" item="704"/>
          <tpl fld="6" item="2"/>
          <tpl hier="236" item="0"/>
          <tpl fld="4" item="5"/>
        </tpls>
      </m>
      <m>
        <tpls c="4">
          <tpl fld="7" item="640"/>
          <tpl fld="6" item="1"/>
          <tpl hier="236" item="0"/>
          <tpl fld="4" item="4"/>
        </tpls>
      </m>
      <n v="20" in="1">
        <tpls c="4">
          <tpl fld="7" item="725"/>
          <tpl fld="6" item="1"/>
          <tpl hier="236" item="0"/>
          <tpl fld="4" item="4"/>
        </tpls>
      </n>
      <n v="0" in="1">
        <tpls c="4">
          <tpl fld="7" item="651"/>
          <tpl fld="6" item="1"/>
          <tpl hier="236" item="0"/>
          <tpl fld="4" item="6"/>
        </tpls>
      </n>
      <n v="2" in="1">
        <tpls c="4">
          <tpl fld="7" item="996"/>
          <tpl fld="6" item="1"/>
          <tpl hier="236" item="0"/>
          <tpl fld="1" item="0"/>
        </tpls>
      </n>
      <m>
        <tpls c="4">
          <tpl fld="7" item="824"/>
          <tpl fld="6" item="2"/>
          <tpl hier="236" item="0"/>
          <tpl fld="4" item="5"/>
        </tpls>
      </m>
      <n v="1" in="2">
        <tpls c="4">
          <tpl fld="7" item="1001"/>
          <tpl fld="6" item="2"/>
          <tpl hier="236" item="0"/>
          <tpl fld="4" item="4"/>
        </tpls>
      </n>
      <n v="3" in="1">
        <tpls c="4">
          <tpl fld="7" item="907"/>
          <tpl fld="6" item="1"/>
          <tpl hier="236" item="0"/>
          <tpl fld="4" item="4"/>
        </tpls>
      </n>
      <m>
        <tpls c="4">
          <tpl fld="7" item="1123"/>
          <tpl fld="6" item="2"/>
          <tpl hier="236" item="0"/>
          <tpl fld="4" item="1"/>
        </tpls>
      </m>
      <m>
        <tpls c="4">
          <tpl fld="7" item="926"/>
          <tpl fld="6" item="2"/>
          <tpl hier="236" item="0"/>
          <tpl fld="4" item="1"/>
        </tpls>
      </m>
      <m>
        <tpls c="4">
          <tpl fld="7" item="1231"/>
          <tpl fld="6" item="2"/>
          <tpl hier="236" item="0"/>
          <tpl fld="4" item="1"/>
        </tpls>
      </m>
      <m>
        <tpls c="4">
          <tpl fld="7" item="1194"/>
          <tpl fld="6" item="2"/>
          <tpl hier="236" item="0"/>
          <tpl fld="1" item="0"/>
        </tpls>
      </m>
      <m>
        <tpls c="4">
          <tpl fld="7" item="422"/>
          <tpl fld="6" item="2"/>
          <tpl hier="236" item="0"/>
          <tpl fld="1" item="0"/>
        </tpls>
      </m>
      <m>
        <tpls c="4">
          <tpl fld="7" item="40"/>
          <tpl fld="6" item="2"/>
          <tpl hier="236" item="0"/>
          <tpl fld="1" item="0"/>
        </tpls>
      </m>
      <n v="4" in="1">
        <tpls c="4">
          <tpl fld="7" item="439"/>
          <tpl fld="6" item="1"/>
          <tpl hier="236" item="0"/>
          <tpl fld="4" item="4"/>
        </tpls>
      </n>
      <m>
        <tpls c="4">
          <tpl fld="7" item="776"/>
          <tpl fld="6" item="2"/>
          <tpl hier="236" item="0"/>
          <tpl fld="4" item="5"/>
        </tpls>
      </m>
      <m>
        <tpls c="4">
          <tpl fld="7" item="782"/>
          <tpl fld="6" item="2"/>
          <tpl hier="236" item="0"/>
          <tpl fld="4" item="5"/>
        </tpls>
      </m>
      <n v="0.5" in="2">
        <tpls c="4">
          <tpl fld="7" item="564"/>
          <tpl fld="6" item="2"/>
          <tpl hier="236" item="0"/>
          <tpl fld="4" item="4"/>
        </tpls>
      </n>
      <m>
        <tpls c="3">
          <tpl fld="7" item="713"/>
          <tpl fld="6" item="3"/>
          <tpl hier="236" item="0"/>
        </tpls>
      </m>
      <m>
        <tpls c="4">
          <tpl fld="7" item="1188"/>
          <tpl fld="6" item="2"/>
          <tpl hier="236" item="0"/>
          <tpl fld="4" item="4"/>
        </tpls>
      </m>
      <n v="10" in="1">
        <tpls c="4">
          <tpl fld="7" item="583"/>
          <tpl fld="6" item="1"/>
          <tpl hier="236" item="0"/>
          <tpl fld="1" item="0"/>
        </tpls>
      </n>
      <n v="3" in="1">
        <tpls c="4">
          <tpl fld="7" item="804"/>
          <tpl fld="6" item="1"/>
          <tpl hier="236" item="0"/>
          <tpl fld="4" item="1"/>
        </tpls>
      </n>
      <m>
        <tpls c="4">
          <tpl fld="7" item="724"/>
          <tpl fld="6" item="1"/>
          <tpl hier="236" item="0"/>
          <tpl fld="4" item="4"/>
        </tpls>
      </m>
      <m>
        <tpls c="4">
          <tpl fld="7" item="1096"/>
          <tpl fld="6" item="2"/>
          <tpl hier="236" item="0"/>
          <tpl fld="4" item="6"/>
        </tpls>
      </m>
      <n v="0" in="1">
        <tpls c="4">
          <tpl fld="7" item="890"/>
          <tpl fld="6" item="1"/>
          <tpl hier="236" item="0"/>
          <tpl fld="4" item="6"/>
        </tpls>
      </n>
      <m>
        <tpls c="4">
          <tpl fld="7" item="1097"/>
          <tpl fld="6" item="1"/>
          <tpl hier="236" item="0"/>
          <tpl fld="4" item="6"/>
        </tpls>
      </m>
      <n v="1" in="2">
        <tpls c="4">
          <tpl fld="7" item="813"/>
          <tpl fld="6" item="2"/>
          <tpl hier="236" item="0"/>
          <tpl fld="1" item="0"/>
        </tpls>
      </n>
      <n v="2" in="1">
        <tpls c="4">
          <tpl fld="7" item="815"/>
          <tpl fld="6" item="1"/>
          <tpl hier="236" item="0"/>
          <tpl fld="1" item="0"/>
        </tpls>
      </n>
      <m>
        <tpls c="4">
          <tpl fld="7" item="735"/>
          <tpl fld="6" item="1"/>
          <tpl hier="236" item="0"/>
          <tpl fld="4" item="5"/>
        </tpls>
      </m>
      <m>
        <tpls c="4">
          <tpl fld="7" item="996"/>
          <tpl fld="6" item="1"/>
          <tpl hier="236" item="0"/>
          <tpl fld="4" item="6"/>
        </tpls>
      </m>
      <m>
        <tpls c="4">
          <tpl fld="7" item="738"/>
          <tpl fld="6" item="2"/>
          <tpl hier="236" item="0"/>
          <tpl fld="4" item="1"/>
        </tpls>
      </m>
      <m>
        <tpls c="4">
          <tpl fld="7" item="821"/>
          <tpl fld="6" item="2"/>
          <tpl hier="236" item="0"/>
          <tpl fld="1" item="0"/>
        </tpls>
      </m>
      <m>
        <tpls c="4">
          <tpl fld="7" item="661"/>
          <tpl fld="6" item="1"/>
          <tpl hier="236" item="0"/>
          <tpl fld="4" item="1"/>
        </tpls>
      </m>
      <n v="2" in="1">
        <tpls c="4">
          <tpl fld="7" item="824"/>
          <tpl fld="6" item="1"/>
          <tpl hier="236" item="0"/>
          <tpl fld="1" item="0"/>
        </tpls>
      </n>
      <n v="22" in="1">
        <tpls c="4">
          <tpl fld="7" item="664"/>
          <tpl fld="6" item="1"/>
          <tpl hier="236" item="0"/>
          <tpl fld="1" item="0"/>
        </tpls>
      </n>
      <n v="50" in="1">
        <tpls c="4">
          <tpl fld="7" item="666"/>
          <tpl fld="6" item="1"/>
          <tpl hier="236" item="0"/>
          <tpl fld="1" item="0"/>
        </tpls>
      </n>
      <m>
        <tpls c="4">
          <tpl fld="7" item="999"/>
          <tpl fld="6" item="2"/>
          <tpl hier="236" item="0"/>
          <tpl fld="4" item="6"/>
        </tpls>
      </m>
      <n v="0.29729729729729731" in="2">
        <tpls c="4">
          <tpl fld="7" item="1001"/>
          <tpl fld="6" item="2"/>
          <tpl hier="236" item="0"/>
          <tpl fld="4" item="1"/>
        </tpls>
      </n>
      <n v="5" in="1">
        <tpls c="4">
          <tpl fld="7" item="836"/>
          <tpl fld="6" item="1"/>
          <tpl hier="236" item="0"/>
          <tpl fld="4" item="4"/>
        </tpls>
      </n>
      <m>
        <tpls c="4">
          <tpl fld="7" item="839"/>
          <tpl fld="6" item="2"/>
          <tpl hier="236" item="0"/>
          <tpl fld="4" item="4"/>
        </tpls>
      </m>
      <n v="1" in="1">
        <tpls c="4">
          <tpl fld="7" item="1008"/>
          <tpl fld="6" item="1"/>
          <tpl hier="236" item="0"/>
          <tpl fld="4" item="6"/>
        </tpls>
      </n>
      <m>
        <tpls c="3">
          <tpl fld="7" item="1284"/>
          <tpl fld="6" item="3"/>
          <tpl hier="236" item="0"/>
        </tpls>
      </m>
      <m>
        <tpls c="4">
          <tpl fld="7" item="1013"/>
          <tpl fld="6" item="2"/>
          <tpl hier="236" item="0"/>
          <tpl fld="4" item="1"/>
        </tpls>
      </m>
      <n v="23" in="1">
        <tpls c="4">
          <tpl fld="7" item="852"/>
          <tpl fld="6" item="1"/>
          <tpl hier="236" item="0"/>
          <tpl fld="4" item="4"/>
        </tpls>
      </n>
      <m>
        <tpls c="4">
          <tpl fld="7" item="855"/>
          <tpl fld="6" item="2"/>
          <tpl hier="236" item="0"/>
          <tpl fld="4" item="4"/>
        </tpls>
      </m>
      <m>
        <tpls c="4">
          <tpl fld="7" item="1020"/>
          <tpl fld="6" item="1"/>
          <tpl hier="236" item="0"/>
          <tpl fld="4" item="6"/>
        </tpls>
      </m>
      <m>
        <tpls c="3">
          <tpl fld="7" item="1278"/>
          <tpl fld="6" item="3"/>
          <tpl hier="236" item="0"/>
        </tpls>
      </m>
      <m>
        <tpls c="4">
          <tpl fld="7" item="1025"/>
          <tpl fld="6" item="2"/>
          <tpl hier="236" item="0"/>
          <tpl fld="4" item="1"/>
        </tpls>
      </m>
      <m>
        <tpls c="4">
          <tpl fld="7" item="868"/>
          <tpl fld="6" item="1"/>
          <tpl hier="236" item="0"/>
          <tpl fld="4" item="4"/>
        </tpls>
      </m>
      <m>
        <tpls c="4">
          <tpl fld="7" item="871"/>
          <tpl fld="6" item="2"/>
          <tpl hier="236" item="0"/>
          <tpl fld="4" item="4"/>
        </tpls>
      </m>
      <n v="1" in="1">
        <tpls c="4">
          <tpl fld="7" item="1139"/>
          <tpl fld="6" item="1"/>
          <tpl hier="236" item="0"/>
          <tpl fld="4" item="4"/>
        </tpls>
      </n>
      <n v="2" in="1">
        <tpls c="4">
          <tpl fld="7" item="1147"/>
          <tpl fld="6" item="1"/>
          <tpl hier="236" item="0"/>
          <tpl fld="4" item="4"/>
        </tpls>
      </n>
      <n v="34" in="1">
        <tpls c="4">
          <tpl fld="7" item="1155"/>
          <tpl fld="6" item="1"/>
          <tpl hier="236" item="0"/>
          <tpl fld="4" item="4"/>
        </tpls>
      </n>
      <m>
        <tpls c="4">
          <tpl fld="7" item="1163"/>
          <tpl fld="6" item="1"/>
          <tpl hier="236" item="0"/>
          <tpl fld="4" item="4"/>
        </tpls>
      </m>
      <n v="1" in="1">
        <tpls c="4">
          <tpl fld="7" item="1171"/>
          <tpl fld="6" item="1"/>
          <tpl hier="236" item="0"/>
          <tpl fld="4" item="4"/>
        </tpls>
      </n>
      <m>
        <tpls c="4">
          <tpl fld="7" item="1179"/>
          <tpl fld="6" item="1"/>
          <tpl hier="236" item="0"/>
          <tpl fld="4" item="4"/>
        </tpls>
      </m>
      <n v="0.94932432432432434" in="2">
        <tpls c="4">
          <tpl fld="7" item="869"/>
          <tpl fld="6" item="2"/>
          <tpl hier="236" item="0"/>
          <tpl fld="1" item="0"/>
        </tpls>
      </n>
      <n v="1" in="2">
        <tpls c="4">
          <tpl fld="7" item="853"/>
          <tpl fld="6" item="2"/>
          <tpl hier="236" item="0"/>
          <tpl fld="1" item="0"/>
        </tpls>
      </n>
      <m>
        <tpls c="4">
          <tpl fld="7" item="837"/>
          <tpl fld="6" item="2"/>
          <tpl hier="236" item="0"/>
          <tpl fld="1" item="0"/>
        </tpls>
      </m>
      <m>
        <tpls c="4">
          <tpl fld="7" item="383"/>
          <tpl fld="6" item="2"/>
          <tpl hier="236" item="0"/>
          <tpl fld="1" item="0"/>
        </tpls>
      </m>
      <n v="1.1891891891891893" in="2">
        <tpls c="4">
          <tpl fld="7" item="367"/>
          <tpl fld="6" item="2"/>
          <tpl hier="236" item="0"/>
          <tpl fld="1" item="0"/>
        </tpls>
      </n>
      <m>
        <tpls c="4">
          <tpl fld="7" item="215"/>
          <tpl fld="6" item="2"/>
          <tpl hier="236" item="0"/>
          <tpl fld="1" item="0"/>
        </tpls>
      </m>
      <m>
        <tpls c="4">
          <tpl fld="7" item="347"/>
          <tpl fld="6" item="2"/>
          <tpl hier="236" item="0"/>
          <tpl fld="1" item="0"/>
        </tpls>
      </m>
      <m>
        <tpls c="4">
          <tpl fld="7" item="147"/>
          <tpl fld="6" item="2"/>
          <tpl hier="236" item="0"/>
          <tpl fld="4" item="4"/>
        </tpls>
      </m>
      <n v="3" in="1">
        <tpls c="4">
          <tpl fld="7" item="763"/>
          <tpl fld="6" item="1"/>
          <tpl hier="236" item="0"/>
          <tpl fld="4" item="6"/>
        </tpls>
      </n>
      <n v="1" in="1">
        <tpls c="4">
          <tpl fld="7" item="611"/>
          <tpl fld="6" item="1"/>
          <tpl hier="236" item="0"/>
          <tpl fld="4" item="1"/>
        </tpls>
      </n>
      <m>
        <tpls c="4">
          <tpl fld="7" item="616"/>
          <tpl fld="6" item="1"/>
          <tpl hier="236" item="0"/>
          <tpl fld="4" item="5"/>
        </tpls>
      </m>
      <m>
        <tpls c="4">
          <tpl fld="7" item="556"/>
          <tpl fld="6" item="1"/>
          <tpl hier="236" item="0"/>
          <tpl fld="4" item="1"/>
        </tpls>
      </m>
      <n v="26" in="1">
        <tpls c="4">
          <tpl fld="7" item="562"/>
          <tpl fld="6" item="1"/>
          <tpl hier="236" item="0"/>
          <tpl fld="4" item="4"/>
        </tpls>
      </n>
      <m>
        <tpls c="4">
          <tpl fld="7" item="630"/>
          <tpl fld="6" item="2"/>
          <tpl hier="236" item="0"/>
          <tpl fld="1" item="0"/>
        </tpls>
      </m>
      <m>
        <tpls c="4">
          <tpl fld="7" item="575"/>
          <tpl fld="6" item="2"/>
          <tpl hier="236" item="0"/>
          <tpl fld="4" item="5"/>
        </tpls>
      </m>
      <n v="1" in="1">
        <tpls c="4">
          <tpl fld="7" item="1188"/>
          <tpl fld="6" item="1"/>
          <tpl hier="236" item="0"/>
          <tpl fld="4" item="4"/>
        </tpls>
      </n>
      <m>
        <tpls c="4">
          <tpl fld="7" item="640"/>
          <tpl fld="6" item="1"/>
          <tpl hier="236" item="0"/>
          <tpl fld="4" item="1"/>
        </tpls>
      </m>
      <n v="22" in="1">
        <tpls c="4">
          <tpl fld="7" item="803"/>
          <tpl fld="6" item="1"/>
          <tpl hier="236" item="0"/>
          <tpl fld="1" item="0"/>
        </tpls>
      </n>
      <m>
        <tpls c="4">
          <tpl fld="7" item="586"/>
          <tpl fld="6" item="2"/>
          <tpl hier="236" item="0"/>
          <tpl fld="1" item="0"/>
        </tpls>
      </m>
      <m>
        <tpls c="4">
          <tpl fld="7" item="644"/>
          <tpl fld="6" item="1"/>
          <tpl hier="236" item="0"/>
          <tpl fld="4" item="1"/>
        </tpls>
      </m>
      <n v="23" in="1">
        <tpls c="4">
          <tpl fld="7" item="725"/>
          <tpl fld="6" item="1"/>
          <tpl hier="236" item="0"/>
          <tpl fld="1" item="0"/>
        </tpls>
      </n>
      <m>
        <tpls c="4">
          <tpl fld="7" item="1240"/>
          <tpl fld="6" item="2"/>
          <tpl hier="236" item="0"/>
          <tpl fld="4" item="4"/>
        </tpls>
      </m>
      <m>
        <tpls c="3">
          <tpl fld="7" item="728"/>
          <tpl fld="6" item="3"/>
          <tpl hier="236" item="0"/>
        </tpls>
      </m>
      <n v="9" in="1">
        <tpls c="4">
          <tpl fld="7" item="1097"/>
          <tpl fld="6" item="1"/>
          <tpl hier="236" item="0"/>
          <tpl fld="4" item="4"/>
        </tpls>
      </n>
      <m>
        <tpls c="4">
          <tpl fld="7" item="651"/>
          <tpl fld="6" item="2"/>
          <tpl hier="236" item="0"/>
          <tpl fld="4" item="5"/>
        </tpls>
      </m>
      <m>
        <tpls c="4">
          <tpl fld="7" item="814"/>
          <tpl fld="6" item="2"/>
          <tpl hier="236" item="0"/>
          <tpl fld="4" item="6"/>
        </tpls>
      </m>
      <m>
        <tpls c="4">
          <tpl fld="7" item="654"/>
          <tpl fld="6" item="1"/>
          <tpl hier="236" item="0"/>
          <tpl fld="4" item="5"/>
        </tpls>
      </m>
      <m>
        <tpls c="4">
          <tpl fld="7" item="817"/>
          <tpl fld="6" item="1"/>
          <tpl hier="236" item="0"/>
          <tpl fld="4" item="6"/>
        </tpls>
      </m>
      <m>
        <tpls c="4">
          <tpl fld="7" item="657"/>
          <tpl fld="6" item="2"/>
          <tpl hier="236" item="0"/>
          <tpl fld="4" item="1"/>
        </tpls>
      </m>
      <m>
        <tpls c="4">
          <tpl fld="7" item="738"/>
          <tpl fld="6" item="2"/>
          <tpl hier="236" item="0"/>
          <tpl fld="1" item="0"/>
        </tpls>
      </m>
      <n v="0" in="1">
        <tpls c="4">
          <tpl fld="7" item="893"/>
          <tpl fld="6" item="1"/>
          <tpl hier="236" item="0"/>
          <tpl fld="4" item="1"/>
        </tpls>
      </n>
      <m>
        <tpls c="4">
          <tpl fld="7" item="741"/>
          <tpl fld="6" item="1"/>
          <tpl hier="236" item="0"/>
          <tpl fld="1" item="0"/>
        </tpls>
      </m>
      <m>
        <tpls c="4">
          <tpl fld="7" item="1241"/>
          <tpl fld="6" item="2"/>
          <tpl hier="236" item="0"/>
          <tpl fld="4" item="4"/>
        </tpls>
      </m>
      <m>
        <tpls c="4">
          <tpl fld="7" item="744"/>
          <tpl fld="6" item="2"/>
          <tpl hier="236" item="0"/>
          <tpl fld="4" item="6"/>
        </tpls>
      </m>
      <m>
        <tpls c="4">
          <tpl fld="7" item="746"/>
          <tpl fld="6" item="2"/>
          <tpl hier="236" item="0"/>
          <tpl fld="4" item="6"/>
        </tpls>
      </m>
      <m>
        <tpls c="4">
          <tpl fld="7" item="830"/>
          <tpl fld="6" item="2"/>
          <tpl hier="236" item="0"/>
          <tpl fld="4" item="1"/>
        </tpls>
      </m>
      <n v="1" in="1">
        <tpls c="4">
          <tpl fld="7" item="1104"/>
          <tpl fld="6" item="1"/>
          <tpl hier="236" item="0"/>
          <tpl fld="4" item="4"/>
        </tpls>
      </n>
      <m>
        <tpls c="4">
          <tpl fld="7" item="1191"/>
          <tpl fld="6" item="2"/>
          <tpl hier="236" item="0"/>
          <tpl fld="4" item="4"/>
        </tpls>
      </m>
      <m>
        <tpls c="4">
          <tpl fld="7" item="1006"/>
          <tpl fld="6" item="1"/>
          <tpl hier="236" item="0"/>
          <tpl fld="4" item="6"/>
        </tpls>
      </m>
      <m>
        <tpls c="3">
          <tpl fld="7" item="1218"/>
          <tpl fld="6" item="3"/>
          <tpl hier="236" item="0"/>
        </tpls>
      </m>
      <m>
        <tpls c="4">
          <tpl fld="7" item="846"/>
          <tpl fld="6" item="2"/>
          <tpl hier="236" item="0"/>
          <tpl fld="4" item="1"/>
        </tpls>
      </m>
      <n v="40" in="1">
        <tpls c="4">
          <tpl fld="7" item="1116"/>
          <tpl fld="6" item="1"/>
          <tpl hier="236" item="0"/>
          <tpl fld="4" item="4"/>
        </tpls>
      </n>
      <m>
        <tpls c="4">
          <tpl fld="7" item="1194"/>
          <tpl fld="6" item="2"/>
          <tpl hier="236" item="0"/>
          <tpl fld="4" item="4"/>
        </tpls>
      </m>
      <n v="3" in="1">
        <tpls c="4">
          <tpl fld="7" item="1018"/>
          <tpl fld="6" item="1"/>
          <tpl hier="236" item="0"/>
          <tpl fld="4" item="6"/>
        </tpls>
      </n>
      <m>
        <tpls c="3">
          <tpl fld="7" item="1221"/>
          <tpl fld="6" item="3"/>
          <tpl hier="236" item="0"/>
        </tpls>
      </m>
      <m>
        <tpls c="4">
          <tpl fld="7" item="862"/>
          <tpl fld="6" item="2"/>
          <tpl hier="236" item="0"/>
          <tpl fld="4" item="1"/>
        </tpls>
      </m>
      <m>
        <tpls c="4">
          <tpl fld="7" item="1128"/>
          <tpl fld="6" item="1"/>
          <tpl hier="236" item="0"/>
          <tpl fld="4" item="4"/>
        </tpls>
      </m>
      <m>
        <tpls c="4">
          <tpl fld="7" item="1197"/>
          <tpl fld="6" item="2"/>
          <tpl hier="236" item="0"/>
          <tpl fld="4" item="4"/>
        </tpls>
      </m>
      <m>
        <tpls c="4">
          <tpl fld="7" item="1133"/>
          <tpl fld="6" item="2"/>
          <tpl hier="236" item="0"/>
          <tpl fld="4" item="1"/>
        </tpls>
      </m>
      <m>
        <tpls c="4">
          <tpl fld="7" item="1140"/>
          <tpl fld="6" item="2"/>
          <tpl hier="236" item="0"/>
          <tpl fld="4" item="1"/>
        </tpls>
      </m>
      <m>
        <tpls c="4">
          <tpl fld="7" item="1148"/>
          <tpl fld="6" item="2"/>
          <tpl hier="236" item="0"/>
          <tpl fld="4" item="1"/>
        </tpls>
      </m>
      <m>
        <tpls c="4">
          <tpl fld="7" item="1156"/>
          <tpl fld="6" item="2"/>
          <tpl hier="236" item="0"/>
          <tpl fld="4" item="1"/>
        </tpls>
      </m>
      <m>
        <tpls c="4">
          <tpl fld="7" item="1164"/>
          <tpl fld="6" item="2"/>
          <tpl hier="236" item="0"/>
          <tpl fld="4" item="1"/>
        </tpls>
      </m>
      <m>
        <tpls c="4">
          <tpl fld="7" item="1172"/>
          <tpl fld="6" item="2"/>
          <tpl hier="236" item="0"/>
          <tpl fld="4" item="1"/>
        </tpls>
      </m>
      <m>
        <tpls c="4">
          <tpl fld="7" item="1180"/>
          <tpl fld="6" item="2"/>
          <tpl hier="236" item="0"/>
          <tpl fld="4" item="1"/>
        </tpls>
      </m>
      <m>
        <tpls c="4">
          <tpl fld="7" item="1286"/>
          <tpl fld="6" item="2"/>
          <tpl hier="236" item="0"/>
          <tpl fld="1" item="0"/>
        </tpls>
      </m>
      <m>
        <tpls c="4">
          <tpl fld="7" item="1265"/>
          <tpl fld="6" item="2"/>
          <tpl hier="236" item="0"/>
          <tpl fld="1" item="0"/>
        </tpls>
      </m>
      <m>
        <tpls c="4">
          <tpl fld="7" item="1271"/>
          <tpl fld="6" item="2"/>
          <tpl hier="236" item="0"/>
          <tpl fld="1" item="0"/>
        </tpls>
      </m>
      <m>
        <tpls c="4">
          <tpl fld="7" item="522"/>
          <tpl fld="6" item="2"/>
          <tpl hier="236" item="0"/>
          <tpl fld="1" item="0"/>
        </tpls>
      </m>
      <n v="2" in="2">
        <tpls c="4">
          <tpl fld="7" item="506"/>
          <tpl fld="6" item="2"/>
          <tpl hier="236" item="0"/>
          <tpl fld="1" item="0"/>
        </tpls>
      </n>
      <m>
        <tpls c="4">
          <tpl fld="7" item="103"/>
          <tpl fld="6" item="2"/>
          <tpl hier="236" item="0"/>
          <tpl fld="1" item="0"/>
        </tpls>
      </m>
      <m>
        <tpls c="4">
          <tpl fld="7" item="191"/>
          <tpl fld="6" item="2"/>
          <tpl hier="236" item="0"/>
          <tpl fld="1" item="0"/>
        </tpls>
      </m>
      <m>
        <tpls c="4">
          <tpl fld="7" item="175"/>
          <tpl fld="6" item="2"/>
          <tpl hier="236" item="0"/>
          <tpl fld="1" item="0"/>
        </tpls>
      </m>
      <m>
        <tpls c="4">
          <tpl fld="7" item="59"/>
          <tpl fld="6" item="2"/>
          <tpl hier="236" item="0"/>
          <tpl fld="1" item="0"/>
        </tpls>
      </m>
      <m>
        <tpls c="4">
          <tpl fld="7" item="405"/>
          <tpl fld="6" item="2"/>
          <tpl hier="236" item="0"/>
          <tpl fld="1" item="0"/>
        </tpls>
      </m>
      <m>
        <tpls c="4">
          <tpl fld="7" item="222"/>
          <tpl fld="6" item="2"/>
          <tpl hier="236" item="0"/>
          <tpl fld="1" item="0"/>
        </tpls>
      </m>
      <m>
        <tpls c="4">
          <tpl fld="7" item="120"/>
          <tpl fld="6" item="2"/>
          <tpl hier="236" item="0"/>
          <tpl fld="1" item="0"/>
        </tpls>
      </m>
      <m>
        <tpls c="4">
          <tpl fld="7" item="919"/>
          <tpl fld="6" item="2"/>
          <tpl hier="236" item="0"/>
          <tpl fld="4" item="5"/>
        </tpls>
      </m>
      <m>
        <tpls c="4">
          <tpl fld="7" item="907"/>
          <tpl fld="6" item="2"/>
          <tpl hier="236" item="0"/>
          <tpl fld="4" item="5"/>
        </tpls>
      </m>
      <m>
        <tpls c="4">
          <tpl fld="7" item="748"/>
          <tpl fld="6" item="2"/>
          <tpl hier="236" item="0"/>
          <tpl fld="4" item="5"/>
        </tpls>
      </m>
      <m>
        <tpls c="4">
          <tpl fld="7" item="517"/>
          <tpl fld="6" item="2"/>
          <tpl hier="236" item="0"/>
          <tpl fld="4" item="5"/>
        </tpls>
      </m>
      <n v="1" in="1">
        <tpls c="4">
          <tpl fld="7" item="760"/>
          <tpl fld="6" item="1"/>
          <tpl hier="236" item="0"/>
          <tpl fld="4" item="6"/>
        </tpls>
      </n>
      <n v="3" in="1">
        <tpls c="4">
          <tpl fld="7" item="884"/>
          <tpl fld="6" item="1"/>
          <tpl hier="236" item="0"/>
          <tpl fld="1" item="0"/>
        </tpls>
      </n>
      <m>
        <tpls c="4">
          <tpl fld="7" item="888"/>
          <tpl fld="6" item="2"/>
          <tpl hier="236" item="0"/>
          <tpl fld="1" item="0"/>
        </tpls>
      </m>
      <m>
        <tpls c="3">
          <tpl fld="7" item="645"/>
          <tpl fld="6" item="3"/>
          <tpl hier="236" item="0"/>
        </tpls>
      </m>
      <m>
        <tpls c="4">
          <tpl fld="7" item="1282"/>
          <tpl fld="6" item="1"/>
          <tpl hier="236" item="0"/>
          <tpl fld="4" item="5"/>
        </tpls>
      </m>
      <m>
        <tpls c="4">
          <tpl fld="7" item="818"/>
          <tpl fld="6" item="1"/>
          <tpl hier="236" item="0"/>
          <tpl fld="4" item="1"/>
        </tpls>
      </m>
      <m>
        <tpls c="4">
          <tpl fld="7" item="824"/>
          <tpl fld="6" item="1"/>
          <tpl hier="236" item="0"/>
          <tpl fld="4" item="4"/>
        </tpls>
      </m>
      <n v="11" in="1">
        <tpls c="4">
          <tpl fld="7" item="897"/>
          <tpl fld="6" item="1"/>
          <tpl hier="236" item="0"/>
          <tpl fld="4" item="4"/>
        </tpls>
      </n>
      <m>
        <tpls c="4">
          <tpl fld="7" item="1113"/>
          <tpl fld="6" item="2"/>
          <tpl hier="236" item="0"/>
          <tpl fld="4" item="1"/>
        </tpls>
      </m>
      <m>
        <tpls c="3">
          <tpl fld="7" item="858"/>
          <tpl fld="6" item="3"/>
          <tpl hier="236" item="0"/>
        </tpls>
      </m>
      <n v="17" in="1">
        <tpls c="4">
          <tpl fld="7" item="1249"/>
          <tpl fld="6" item="1"/>
          <tpl hier="236" item="0"/>
          <tpl fld="4" item="6"/>
        </tpls>
      </n>
      <n v="4" in="1">
        <tpls c="4">
          <tpl fld="7" item="1205"/>
          <tpl fld="6" item="1"/>
          <tpl hier="236" item="0"/>
          <tpl fld="4" item="4"/>
        </tpls>
      </n>
      <m>
        <tpls c="4">
          <tpl fld="7" item="1120"/>
          <tpl fld="6" item="2"/>
          <tpl hier="236" item="0"/>
          <tpl fld="1" item="0"/>
        </tpls>
      </m>
      <m>
        <tpls c="4">
          <tpl fld="7" item="595"/>
          <tpl fld="6" item="2"/>
          <tpl hier="236" item="0"/>
          <tpl fld="1" item="0"/>
        </tpls>
      </m>
      <m>
        <tpls c="4">
          <tpl fld="7" item="171"/>
          <tpl fld="6" item="2"/>
          <tpl hier="236" item="0"/>
          <tpl fld="1" item="0"/>
        </tpls>
      </m>
      <m>
        <tpls c="4">
          <tpl fld="7" item="402"/>
          <tpl fld="6" item="2"/>
          <tpl hier="236" item="0"/>
          <tpl fld="1" item="0"/>
        </tpls>
      </m>
      <m>
        <tpls c="4">
          <tpl fld="7" item="866"/>
          <tpl fld="6" item="2"/>
          <tpl hier="236" item="0"/>
          <tpl fld="4" item="5"/>
        </tpls>
      </m>
      <m>
        <tpls c="4">
          <tpl fld="7" item="1009"/>
          <tpl fld="6" item="2"/>
          <tpl hier="236" item="0"/>
          <tpl fld="4" item="5"/>
        </tpls>
      </m>
      <m>
        <tpls c="4">
          <tpl fld="7" item="455"/>
          <tpl fld="6" item="2"/>
          <tpl hier="236" item="0"/>
          <tpl fld="4" item="5"/>
        </tpls>
      </m>
      <m>
        <tpls c="4">
          <tpl fld="7" item="363"/>
          <tpl fld="6" item="2"/>
          <tpl hier="236" item="0"/>
          <tpl fld="4" item="5"/>
        </tpls>
      </m>
      <m>
        <tpls c="4">
          <tpl fld="7" item="204"/>
          <tpl fld="6" item="2"/>
          <tpl hier="236" item="0"/>
          <tpl fld="4" item="5"/>
        </tpls>
      </m>
      <m>
        <tpls c="4">
          <tpl fld="7" item="298"/>
          <tpl fld="6" item="2"/>
          <tpl hier="236" item="0"/>
          <tpl fld="4" item="5"/>
        </tpls>
      </m>
      <m>
        <tpls c="4">
          <tpl fld="7" item="282"/>
          <tpl fld="6" item="2"/>
          <tpl hier="236" item="0"/>
          <tpl fld="4" item="5"/>
        </tpls>
      </m>
      <m>
        <tpls c="4">
          <tpl fld="7" item="753"/>
          <tpl fld="6" item="2"/>
          <tpl hier="236" item="0"/>
          <tpl fld="4" item="5"/>
        </tpls>
      </m>
      <m>
        <tpls c="4">
          <tpl fld="7" item="37"/>
          <tpl fld="6" item="2"/>
          <tpl hier="236" item="0"/>
          <tpl fld="4" item="5"/>
        </tpls>
      </m>
      <m>
        <tpls c="4">
          <tpl fld="7" item="122"/>
          <tpl fld="6" item="2"/>
          <tpl hier="236" item="0"/>
          <tpl fld="4" item="5"/>
        </tpls>
      </m>
      <m>
        <tpls c="4">
          <tpl fld="7" item="223"/>
          <tpl fld="6" item="2"/>
          <tpl hier="236" item="0"/>
          <tpl fld="4" item="5"/>
        </tpls>
      </m>
      <m>
        <tpls c="4">
          <tpl fld="7" item="1123"/>
          <tpl fld="6" item="2"/>
          <tpl hier="236" item="0"/>
          <tpl fld="4" item="6"/>
        </tpls>
      </m>
      <m>
        <tpls c="4">
          <tpl fld="7" item="1111"/>
          <tpl fld="6" item="2"/>
          <tpl hier="236" item="0"/>
          <tpl fld="4" item="6"/>
        </tpls>
      </m>
      <m>
        <tpls c="4">
          <tpl fld="7" item="454"/>
          <tpl fld="6" item="2"/>
          <tpl hier="236" item="0"/>
          <tpl fld="4" item="6"/>
        </tpls>
      </m>
      <m>
        <tpls c="4">
          <tpl fld="7" item="438"/>
          <tpl fld="6" item="2"/>
          <tpl hier="236" item="0"/>
          <tpl fld="4" item="6"/>
        </tpls>
      </m>
      <m>
        <tpls c="4">
          <tpl fld="7" item="1211"/>
          <tpl fld="6" item="2"/>
          <tpl hier="236" item="0"/>
          <tpl fld="4" item="6"/>
        </tpls>
      </m>
      <m>
        <tpls c="4">
          <tpl fld="7" item="199"/>
          <tpl fld="6" item="2"/>
          <tpl hier="236" item="0"/>
          <tpl fld="4" item="6"/>
        </tpls>
      </m>
      <m>
        <tpls c="4">
          <tpl fld="7" item="75"/>
          <tpl fld="6" item="2"/>
          <tpl hier="236" item="0"/>
          <tpl fld="4" item="6"/>
        </tpls>
      </m>
      <m>
        <tpls c="4">
          <tpl fld="7" item="276"/>
          <tpl fld="6" item="2"/>
          <tpl hier="236" item="0"/>
          <tpl fld="4" item="6"/>
        </tpls>
      </m>
      <m>
        <tpls c="4">
          <tpl fld="7" item="28"/>
          <tpl fld="6" item="2"/>
          <tpl hier="236" item="0"/>
          <tpl fld="4" item="6"/>
        </tpls>
      </m>
      <m>
        <tpls c="4">
          <tpl fld="7" item="227"/>
          <tpl fld="6" item="2"/>
          <tpl hier="236" item="0"/>
          <tpl fld="4" item="6"/>
        </tpls>
      </m>
      <m>
        <tpls c="4">
          <tpl fld="7" item="1121"/>
          <tpl fld="6" item="1"/>
          <tpl hier="236" item="0"/>
          <tpl fld="4" item="5"/>
        </tpls>
      </m>
      <m>
        <tpls c="4">
          <tpl fld="7" item="1109"/>
          <tpl fld="6" item="1"/>
          <tpl hier="236" item="0"/>
          <tpl fld="4" item="5"/>
        </tpls>
      </m>
      <m>
        <tpls c="4">
          <tpl fld="7" item="381"/>
          <tpl fld="6" item="1"/>
          <tpl hier="236" item="0"/>
          <tpl fld="4" item="5"/>
        </tpls>
      </m>
      <m>
        <tpls c="4">
          <tpl fld="7" item="365"/>
          <tpl fld="6" item="1"/>
          <tpl hier="236" item="0"/>
          <tpl fld="4" item="5"/>
        </tpls>
      </m>
      <m>
        <tpls c="4">
          <tpl fld="7" item="213"/>
          <tpl fld="6" item="1"/>
          <tpl hier="236" item="0"/>
          <tpl fld="4" item="5"/>
        </tpls>
      </m>
      <m>
        <tpls c="4">
          <tpl fld="7" item="197"/>
          <tpl fld="6" item="1"/>
          <tpl hier="236" item="0"/>
          <tpl fld="4" item="5"/>
        </tpls>
      </m>
      <m>
        <tpls c="6">
          <tpl fld="11" item="0"/>
          <tpl fld="5" item="4"/>
          <tpl fld="6" item="2"/>
          <tpl hier="236" item="0"/>
          <tpl fld="4" item="3"/>
          <tpl fld="10" item="0"/>
        </tpls>
      </m>
      <m>
        <tpls c="4">
          <tpl fld="7" item="270"/>
          <tpl fld="6" item="1"/>
          <tpl hier="236" item="0"/>
          <tpl fld="4" item="6"/>
        </tpls>
      </m>
      <m>
        <tpls c="4">
          <tpl fld="7" item="179"/>
          <tpl fld="6" item="1"/>
          <tpl hier="236" item="0"/>
          <tpl fld="4" item="6"/>
        </tpls>
      </m>
      <n v="1" in="1">
        <tpls c="4">
          <tpl fld="7" item="393"/>
          <tpl fld="6" item="1"/>
          <tpl hier="236" item="0"/>
          <tpl fld="4" item="6"/>
        </tpls>
      </n>
      <m>
        <tpls c="5">
          <tpl fld="11" item="0"/>
          <tpl fld="6" item="1"/>
          <tpl hier="236" item="0"/>
          <tpl fld="4" item="7"/>
          <tpl fld="10" item="6"/>
        </tpls>
      </m>
      <m>
        <tpls c="4">
          <tpl fld="7" item="264"/>
          <tpl fld="6" item="1"/>
          <tpl hier="236" item="0"/>
          <tpl fld="4" item="5"/>
        </tpls>
      </m>
      <m>
        <tpls c="4">
          <tpl fld="7" item="611"/>
          <tpl fld="6" item="1"/>
          <tpl hier="236" item="0"/>
          <tpl fld="4" item="5"/>
        </tpls>
      </m>
      <n v="2" in="1">
        <tpls c="4">
          <tpl fld="7" item="797"/>
          <tpl fld="6" item="1"/>
          <tpl hier="236" item="0"/>
          <tpl fld="4" item="1"/>
        </tpls>
      </n>
      <m>
        <tpls c="3">
          <tpl fld="7" item="879"/>
          <tpl fld="6" item="3"/>
          <tpl hier="236" item="0"/>
        </tpls>
      </m>
      <m>
        <tpls c="4">
          <tpl fld="7" item="544"/>
          <tpl fld="6" item="2"/>
          <tpl hier="236" item="0"/>
          <tpl fld="4" item="1"/>
        </tpls>
      </m>
      <m>
        <tpls c="4">
          <tpl fld="7" item="577"/>
          <tpl fld="6" item="2"/>
          <tpl hier="236" item="0"/>
          <tpl fld="1" item="0"/>
        </tpls>
      </m>
      <m>
        <tpls c="3">
          <tpl fld="7" item="560"/>
          <tpl fld="6" item="3"/>
          <tpl hier="236" item="0"/>
        </tpls>
      </m>
      <m>
        <tpls c="4">
          <tpl fld="7" item="46"/>
          <tpl fld="6" item="1"/>
          <tpl hier="236" item="0"/>
          <tpl fld="4" item="4"/>
        </tpls>
      </m>
      <m>
        <tpls c="4">
          <tpl fld="7" item="1186"/>
          <tpl fld="6" item="2"/>
          <tpl hier="236" item="0"/>
          <tpl fld="4" item="5"/>
        </tpls>
      </m>
      <n v="1" in="3">
        <tpls c="3">
          <tpl fld="7" item="761"/>
          <tpl fld="6" item="3"/>
          <tpl hier="236" item="0"/>
        </tpls>
      </n>
      <m>
        <tpls c="3">
          <tpl fld="7" item="691"/>
          <tpl fld="6" item="3"/>
          <tpl hier="236" item="0"/>
        </tpls>
      </m>
      <m>
        <tpls c="4">
          <tpl fld="7" item="552"/>
          <tpl fld="6" item="1"/>
          <tpl hier="236" item="0"/>
          <tpl fld="4" item="5"/>
        </tpls>
      </m>
      <m>
        <tpls c="4">
          <tpl fld="7" item="636"/>
          <tpl fld="6" item="2"/>
          <tpl hier="236" item="0"/>
          <tpl fld="4" item="5"/>
        </tpls>
      </m>
      <m>
        <tpls c="4">
          <tpl fld="7" item="697"/>
          <tpl fld="6" item="2"/>
          <tpl hier="236" item="0"/>
          <tpl fld="4" item="1"/>
        </tpls>
      </m>
      <m>
        <tpls c="4">
          <tpl fld="7" item="887"/>
          <tpl fld="6" item="1"/>
          <tpl hier="236" item="0"/>
          <tpl fld="4" item="5"/>
        </tpls>
      </m>
      <n v="7" in="1">
        <tpls c="4">
          <tpl fld="7" item="697"/>
          <tpl fld="6" item="1"/>
          <tpl hier="236" item="0"/>
          <tpl fld="1" item="0"/>
        </tpls>
      </n>
      <m>
        <tpls c="4">
          <tpl fld="7" item="770"/>
          <tpl fld="6" item="1"/>
          <tpl hier="236" item="0"/>
          <tpl fld="4" item="4"/>
        </tpls>
      </m>
      <n v="1" in="1">
        <tpls c="4">
          <tpl fld="7" item="573"/>
          <tpl fld="6" item="1"/>
          <tpl hier="236" item="0"/>
          <tpl fld="4" item="6"/>
        </tpls>
      </n>
      <n v="1" in="1">
        <tpls c="4">
          <tpl fld="7" item="701"/>
          <tpl fld="6" item="1"/>
          <tpl hier="236" item="0"/>
          <tpl fld="4" item="4"/>
        </tpls>
      </n>
      <m>
        <tpls c="4">
          <tpl fld="7" item="582"/>
          <tpl fld="6" item="2"/>
          <tpl hier="236" item="0"/>
          <tpl fld="4" item="4"/>
        </tpls>
      </m>
      <m>
        <tpls c="4">
          <tpl fld="7" item="807"/>
          <tpl fld="6" item="2"/>
          <tpl hier="236" item="0"/>
          <tpl fld="4" item="5"/>
        </tpls>
      </m>
      <m>
        <tpls c="4">
          <tpl fld="7" item="898"/>
          <tpl fld="6" item="2"/>
          <tpl hier="236" item="0"/>
          <tpl fld="4" item="4"/>
        </tpls>
      </m>
      <m>
        <tpls c="4">
          <tpl fld="7" item="1063"/>
          <tpl fld="6" item="2"/>
          <tpl hier="236" item="0"/>
          <tpl fld="4" item="1"/>
        </tpls>
      </m>
      <n v="12" in="1">
        <tpls c="4">
          <tpl fld="7" item="455"/>
          <tpl fld="6" item="1"/>
          <tpl hier="236" item="0"/>
          <tpl fld="4" item="4"/>
        </tpls>
      </n>
      <m>
        <tpls c="4">
          <tpl fld="7" item="984"/>
          <tpl fld="6" item="1"/>
          <tpl hier="236" item="0"/>
          <tpl fld="4" item="5"/>
        </tpls>
      </m>
      <n v="1" in="1">
        <tpls c="4">
          <tpl fld="7" item="713"/>
          <tpl fld="6" item="1"/>
          <tpl hier="236" item="0"/>
          <tpl fld="4" item="1"/>
        </tpls>
      </n>
      <m>
        <tpls c="4">
          <tpl fld="7" item="701"/>
          <tpl fld="6" item="2"/>
          <tpl hier="236" item="0"/>
          <tpl fld="4" item="4"/>
        </tpls>
      </m>
      <m>
        <tpls c="3">
          <tpl fld="7" item="717"/>
          <tpl fld="6" item="3"/>
          <tpl hier="236" item="0"/>
        </tpls>
      </m>
      <m>
        <tpls c="4">
          <tpl fld="7" item="477"/>
          <tpl fld="6" item="2"/>
          <tpl hier="236" item="0"/>
          <tpl fld="4" item="1"/>
        </tpls>
      </m>
      <n v="43" in="1">
        <tpls c="4">
          <tpl fld="7" item="626"/>
          <tpl fld="6" item="1"/>
          <tpl hier="236" item="0"/>
          <tpl fld="1" item="0"/>
        </tpls>
      </n>
      <m>
        <tpls c="4">
          <tpl fld="7" item="1214"/>
          <tpl fld="6" item="1"/>
          <tpl hier="236" item="0"/>
          <tpl fld="1" item="0"/>
        </tpls>
      </m>
      <m>
        <tpls c="3">
          <tpl fld="7" item="1097"/>
          <tpl fld="6" item="3"/>
          <tpl hier="236" item="0"/>
        </tpls>
      </m>
      <m>
        <tpls c="4">
          <tpl fld="7" item="737"/>
          <tpl fld="6" item="1"/>
          <tpl hier="236" item="0"/>
          <tpl fld="4" item="1"/>
        </tpls>
      </m>
      <m>
        <tpls c="4">
          <tpl fld="7" item="1101"/>
          <tpl fld="6" item="2"/>
          <tpl hier="236" item="0"/>
          <tpl fld="4" item="5"/>
        </tpls>
      </m>
      <m>
        <tpls c="4">
          <tpl fld="7" item="1218"/>
          <tpl fld="6" item="2"/>
          <tpl hier="236" item="0"/>
          <tpl fld="4" item="4"/>
        </tpls>
      </m>
      <n v="1" in="1">
        <tpls c="4">
          <tpl fld="7" item="1124"/>
          <tpl fld="6" item="1"/>
          <tpl hier="236" item="0"/>
          <tpl fld="4" item="4"/>
        </tpls>
      </n>
      <m>
        <tpls c="4">
          <tpl fld="7" item="1201"/>
          <tpl fld="6" item="2"/>
          <tpl hier="236" item="0"/>
          <tpl fld="4" item="1"/>
        </tpls>
      </m>
      <m>
        <tpls c="4">
          <tpl fld="7" item="1026"/>
          <tpl fld="6" item="2"/>
          <tpl hier="236" item="0"/>
          <tpl fld="1" item="0"/>
        </tpls>
      </m>
      <m>
        <tpls c="4">
          <tpl fld="7" item="85"/>
          <tpl fld="6" item="2"/>
          <tpl hier="236" item="0"/>
          <tpl fld="1" item="0"/>
        </tpls>
      </m>
      <m>
        <tpls c="4">
          <tpl fld="7" item="115"/>
          <tpl fld="6" item="2"/>
          <tpl hier="236" item="0"/>
          <tpl fld="1" item="0"/>
        </tpls>
      </m>
      <m>
        <tpls c="4">
          <tpl fld="7" item="33"/>
          <tpl fld="6" item="1"/>
          <tpl hier="236" item="0"/>
          <tpl fld="4" item="4"/>
        </tpls>
      </m>
      <m>
        <tpls c="4">
          <tpl fld="7" item="316"/>
          <tpl fld="6" item="2"/>
          <tpl hier="236" item="0"/>
          <tpl fld="4" item="1"/>
        </tpls>
      </m>
      <m>
        <tpls c="3">
          <tpl fld="7" item="324"/>
          <tpl fld="6" item="3"/>
          <tpl hier="236" item="0"/>
        </tpls>
      </m>
      <m>
        <tpls c="4">
          <tpl fld="7" item="535"/>
          <tpl fld="6" item="2"/>
          <tpl hier="236" item="0"/>
          <tpl fld="4" item="6"/>
        </tpls>
      </m>
      <m>
        <tpls c="3">
          <tpl fld="7" item="771"/>
          <tpl fld="6" item="3"/>
          <tpl hier="236" item="0"/>
        </tpls>
      </m>
      <n v="0" in="1">
        <tpls c="4">
          <tpl fld="7" item="629"/>
          <tpl fld="6" item="1"/>
          <tpl hier="236" item="0"/>
          <tpl fld="4" item="4"/>
        </tpls>
      </n>
      <n v="2" in="1">
        <tpls c="4">
          <tpl fld="7" item="609"/>
          <tpl fld="6" item="1"/>
          <tpl hier="236" item="0"/>
          <tpl fld="4" item="5"/>
        </tpls>
      </n>
      <m>
        <tpls c="4">
          <tpl fld="7" item="567"/>
          <tpl fld="6" item="2"/>
          <tpl hier="236" item="0"/>
          <tpl fld="4" item="1"/>
        </tpls>
      </m>
      <m>
        <tpls c="4">
          <tpl fld="7" item="482"/>
          <tpl fld="6" item="1"/>
          <tpl hier="236" item="0"/>
          <tpl fld="4" item="6"/>
        </tpls>
      </m>
      <m>
        <tpls c="4">
          <tpl fld="7" item="394"/>
          <tpl fld="6" item="1"/>
          <tpl hier="236" item="0"/>
          <tpl fld="4" item="5"/>
        </tpls>
      </m>
      <m>
        <tpls c="4">
          <tpl fld="7" item="695"/>
          <tpl fld="6" item="1"/>
          <tpl hier="236" item="0"/>
          <tpl fld="4" item="4"/>
        </tpls>
      </m>
      <m>
        <tpls c="4">
          <tpl fld="7" item="700"/>
          <tpl fld="6" item="2"/>
          <tpl hier="236" item="0"/>
          <tpl fld="1" item="0"/>
        </tpls>
      </m>
      <m>
        <tpls c="3">
          <tpl fld="7" item="988"/>
          <tpl fld="6" item="3"/>
          <tpl hier="236" item="0"/>
        </tpls>
      </m>
      <m>
        <tpls c="4">
          <tpl fld="7" item="1092"/>
          <tpl fld="6" item="2"/>
          <tpl hier="236" item="0"/>
          <tpl fld="4" item="5"/>
        </tpls>
      </m>
      <m>
        <tpls c="4">
          <tpl fld="7" item="575"/>
          <tpl fld="6" item="1"/>
          <tpl hier="236" item="0"/>
          <tpl fld="4" item="4"/>
        </tpls>
      </m>
      <m>
        <tpls c="4">
          <tpl fld="7" item="639"/>
          <tpl fld="6" item="1"/>
          <tpl hier="236" item="0"/>
          <tpl fld="4" item="6"/>
        </tpls>
      </m>
      <m>
        <tpls c="4">
          <tpl fld="7" item="208"/>
          <tpl fld="6" item="2"/>
          <tpl hier="236" item="0"/>
          <tpl fld="4" item="4"/>
        </tpls>
      </m>
      <m>
        <tpls c="4">
          <tpl fld="7" item="558"/>
          <tpl fld="6" item="1"/>
          <tpl hier="236" item="0"/>
          <tpl fld="4" item="1"/>
        </tpls>
      </m>
      <m>
        <tpls c="4">
          <tpl fld="7" item="581"/>
          <tpl fld="6" item="2"/>
          <tpl hier="236" item="0"/>
          <tpl fld="4" item="6"/>
        </tpls>
      </m>
      <n v="2" in="1">
        <tpls c="4">
          <tpl fld="7" item="588"/>
          <tpl fld="6" item="1"/>
          <tpl hier="236" item="0"/>
          <tpl fld="4" item="1"/>
        </tpls>
      </n>
      <n v="7" in="1">
        <tpls c="4">
          <tpl fld="7" item="730"/>
          <tpl fld="6" item="1"/>
          <tpl hier="236" item="0"/>
          <tpl fld="4" item="4"/>
        </tpls>
      </n>
      <m>
        <tpls c="4">
          <tpl fld="7" item="656"/>
          <tpl fld="6" item="1"/>
          <tpl hier="236" item="0"/>
          <tpl fld="4" item="6"/>
        </tpls>
      </m>
      <n v="6" in="1">
        <tpls c="4">
          <tpl fld="7" item="1100"/>
          <tpl fld="6" item="1"/>
          <tpl hier="236" item="0"/>
          <tpl fld="1" item="0"/>
        </tpls>
      </n>
      <n v="2" in="1">
        <tpls c="4">
          <tpl fld="7" item="831"/>
          <tpl fld="6" item="1"/>
          <tpl hier="236" item="0"/>
          <tpl fld="4" item="6"/>
        </tpls>
      </n>
      <m>
        <tpls c="4">
          <tpl fld="7" item="1112"/>
          <tpl fld="6" item="2"/>
          <tpl hier="236" item="0"/>
          <tpl fld="4" item="4"/>
        </tpls>
      </m>
      <n v="4" in="1">
        <tpls c="4">
          <tpl fld="7" item="1019"/>
          <tpl fld="6" item="1"/>
          <tpl hier="236" item="0"/>
          <tpl fld="4" item="4"/>
        </tpls>
      </n>
      <m>
        <tpls c="4">
          <tpl fld="7" item="1223"/>
          <tpl fld="6" item="2"/>
          <tpl hier="236" item="0"/>
          <tpl fld="4" item="1"/>
        </tpls>
      </m>
      <m>
        <tpls c="4">
          <tpl fld="7" item="1056"/>
          <tpl fld="6" item="2"/>
          <tpl hier="236" item="0"/>
          <tpl fld="4" item="1"/>
        </tpls>
      </m>
      <m>
        <tpls c="4">
          <tpl fld="7" item="1125"/>
          <tpl fld="6" item="2"/>
          <tpl hier="236" item="0"/>
          <tpl fld="1" item="0"/>
        </tpls>
      </m>
      <n v="2.9695945945945947" in="2">
        <tpls c="4">
          <tpl fld="7" item="430"/>
          <tpl fld="6" item="2"/>
          <tpl hier="236" item="0"/>
          <tpl fld="1" item="0"/>
        </tpls>
      </n>
      <m>
        <tpls c="4">
          <tpl fld="7" item="753"/>
          <tpl fld="6" item="2"/>
          <tpl hier="236" item="0"/>
          <tpl fld="1" item="0"/>
        </tpls>
      </m>
      <m>
        <tpls c="4">
          <tpl fld="7" item="189"/>
          <tpl fld="6" item="2"/>
          <tpl hier="236" item="0"/>
          <tpl fld="4" item="4"/>
        </tpls>
      </m>
      <m>
        <tpls c="3">
          <tpl fld="7" item="783"/>
          <tpl fld="6" item="3"/>
          <tpl hier="236" item="0"/>
        </tpls>
      </m>
      <m>
        <tpls c="4">
          <tpl fld="7" item="639"/>
          <tpl fld="6" item="2"/>
          <tpl hier="236" item="0"/>
          <tpl fld="4" item="5"/>
        </tpls>
      </m>
      <m>
        <tpls c="4">
          <tpl fld="7" item="588"/>
          <tpl fld="6" item="2"/>
          <tpl hier="236" item="0"/>
          <tpl fld="4" item="1"/>
        </tpls>
      </m>
      <m>
        <tpls c="4">
          <tpl fld="7" item="650"/>
          <tpl fld="6" item="2"/>
          <tpl hier="236" item="0"/>
          <tpl fld="4" item="4"/>
        </tpls>
      </m>
      <n v="1064" in="1">
        <tpls c="4">
          <tpl fld="11" item="0"/>
          <tpl fld="6" item="1"/>
          <tpl hier="236" item="0"/>
          <tpl fld="4" item="0"/>
        </tpls>
      </n>
      <m>
        <tpls c="4">
          <tpl fld="7" item="1089"/>
          <tpl fld="6" item="1"/>
          <tpl hier="236" item="0"/>
          <tpl fld="4" item="6"/>
        </tpls>
      </m>
      <n v="2" in="1">
        <tpls c="4">
          <tpl fld="7" item="677"/>
          <tpl fld="6" item="1"/>
          <tpl hier="236" item="0"/>
          <tpl fld="4" item="6"/>
        </tpls>
      </n>
      <n v="8" in="1">
        <tpls c="4">
          <tpl fld="7" item="564"/>
          <tpl fld="6" item="1"/>
          <tpl hier="236" item="0"/>
          <tpl fld="4" item="6"/>
        </tpls>
      </n>
      <n v="1.75" in="2">
        <tpls c="4">
          <tpl fld="7" item="690"/>
          <tpl fld="6" item="2"/>
          <tpl hier="236" item="0"/>
          <tpl fld="4" item="4"/>
        </tpls>
      </n>
      <m>
        <tpls c="4">
          <tpl fld="7" item="814"/>
          <tpl fld="6" item="2"/>
          <tpl hier="236" item="0"/>
          <tpl fld="4" item="1"/>
        </tpls>
      </m>
      <m>
        <tpls c="4">
          <tpl fld="7" item="1013"/>
          <tpl fld="6" item="2"/>
          <tpl hier="236" item="0"/>
          <tpl fld="4" item="4"/>
        </tpls>
      </m>
      <m>
        <tpls c="4">
          <tpl fld="7" item="1191"/>
          <tpl fld="6" item="2"/>
          <tpl hier="236" item="0"/>
          <tpl fld="1" item="0"/>
        </tpls>
      </m>
      <n v="6" in="1">
        <tpls c="4">
          <tpl fld="7" item="696"/>
          <tpl fld="6" item="1"/>
          <tpl hier="236" item="0"/>
          <tpl fld="1" item="0"/>
        </tpls>
      </n>
      <m>
        <tpls c="4">
          <tpl fld="7" item="581"/>
          <tpl fld="6" item="2"/>
          <tpl hier="236" item="0"/>
          <tpl fld="4" item="5"/>
        </tpls>
      </m>
      <m>
        <tpls c="4">
          <tpl fld="7" item="726"/>
          <tpl fld="6" item="1"/>
          <tpl hier="236" item="0"/>
          <tpl fld="4" item="5"/>
        </tpls>
      </m>
      <m>
        <tpls c="4">
          <tpl fld="7" item="654"/>
          <tpl fld="6" item="1"/>
          <tpl hier="236" item="0"/>
          <tpl fld="4" item="1"/>
        </tpls>
      </m>
      <m>
        <tpls c="4">
          <tpl fld="7" item="660"/>
          <tpl fld="6" item="2"/>
          <tpl hier="236" item="0"/>
          <tpl fld="4" item="4"/>
        </tpls>
      </m>
      <m>
        <tpls c="4">
          <tpl fld="7" item="828"/>
          <tpl fld="6" item="1"/>
          <tpl hier="236" item="0"/>
          <tpl fld="1" item="0"/>
        </tpls>
      </m>
      <m>
        <tpls c="4">
          <tpl fld="7" item="840"/>
          <tpl fld="6" item="1"/>
          <tpl hier="236" item="0"/>
          <tpl fld="4" item="4"/>
        </tpls>
      </m>
      <m>
        <tpls c="4">
          <tpl fld="7" item="1016"/>
          <tpl fld="6" item="2"/>
          <tpl hier="236" item="0"/>
          <tpl fld="4" item="1"/>
        </tpls>
      </m>
      <m>
        <tpls c="3">
          <tpl fld="7" item="1248"/>
          <tpl fld="6" item="3"/>
          <tpl hier="236" item="0"/>
        </tpls>
      </m>
      <m>
        <tpls c="4">
          <tpl fld="7" item="1149"/>
          <tpl fld="6" item="1"/>
          <tpl hier="236" item="0"/>
          <tpl fld="4" item="4"/>
        </tpls>
      </m>
      <n v="12" in="1">
        <tpls c="4">
          <tpl fld="7" item="1181"/>
          <tpl fld="6" item="1"/>
          <tpl hier="236" item="0"/>
          <tpl fld="4" item="4"/>
        </tpls>
      </n>
      <n v="5" in="2">
        <tpls c="4">
          <tpl fld="7" item="379"/>
          <tpl fld="6" item="2"/>
          <tpl hier="236" item="0"/>
          <tpl fld="1" item="0"/>
        </tpls>
      </n>
      <m>
        <tpls c="4">
          <tpl fld="7" item="192"/>
          <tpl fld="6" item="2"/>
          <tpl hier="236" item="0"/>
          <tpl fld="4" item="1"/>
        </tpls>
      </m>
      <n v="3" in="1">
        <tpls c="4">
          <tpl fld="7" item="783"/>
          <tpl fld="6" item="1"/>
          <tpl hier="236" item="0"/>
          <tpl fld="1" item="0"/>
        </tpls>
      </n>
      <m>
        <tpls c="4">
          <tpl fld="7" item="578"/>
          <tpl fld="6" item="1"/>
          <tpl hier="236" item="0"/>
          <tpl fld="4" item="5"/>
        </tpls>
      </m>
      <m>
        <tpls c="4">
          <tpl fld="7" item="888"/>
          <tpl fld="6" item="2"/>
          <tpl hier="236" item="0"/>
          <tpl fld="4" item="5"/>
        </tpls>
      </m>
      <n v="3" in="1">
        <tpls c="4">
          <tpl fld="7" item="642"/>
          <tpl fld="6" item="1"/>
          <tpl hier="236" item="0"/>
          <tpl fld="4" item="5"/>
        </tpls>
      </n>
      <m>
        <tpls c="4">
          <tpl fld="7" item="805"/>
          <tpl fld="6" item="2"/>
          <tpl hier="236" item="0"/>
          <tpl fld="4" item="5"/>
        </tpls>
      </m>
      <m>
        <tpls c="4">
          <tpl fld="7" item="645"/>
          <tpl fld="6" item="2"/>
          <tpl hier="236" item="0"/>
          <tpl fld="4" item="1"/>
        </tpls>
      </m>
      <m>
        <tpls c="4">
          <tpl fld="7" item="647"/>
          <tpl fld="6" item="2"/>
          <tpl hier="236" item="0"/>
          <tpl fld="4" item="5"/>
        </tpls>
      </m>
      <m>
        <tpls c="4">
          <tpl fld="7" item="649"/>
          <tpl fld="6" item="2"/>
          <tpl hier="236" item="0"/>
          <tpl fld="4" item="1"/>
        </tpls>
      </m>
      <m>
        <tpls c="4">
          <tpl fld="7" item="1282"/>
          <tpl fld="6" item="2"/>
          <tpl hier="236" item="0"/>
          <tpl fld="4" item="4"/>
        </tpls>
      </m>
      <m>
        <tpls c="4">
          <tpl fld="7" item="653"/>
          <tpl fld="6" item="2"/>
          <tpl hier="236" item="0"/>
          <tpl fld="4" item="1"/>
        </tpls>
      </m>
      <m>
        <tpls c="4">
          <tpl fld="7" item="1189"/>
          <tpl fld="6" item="2"/>
          <tpl hier="236" item="0"/>
          <tpl fld="4" item="4"/>
        </tpls>
      </m>
      <m>
        <tpls c="4">
          <tpl fld="7" item="818"/>
          <tpl fld="6" item="2"/>
          <tpl hier="236" item="0"/>
          <tpl fld="4" item="6"/>
        </tpls>
      </m>
      <m>
        <tpls c="4">
          <tpl fld="7" item="1215"/>
          <tpl fld="6" item="2"/>
          <tpl hier="236" item="0"/>
          <tpl fld="4" item="4"/>
        </tpls>
      </m>
      <m>
        <tpls c="4">
          <tpl fld="7" item="822"/>
          <tpl fld="6" item="2"/>
          <tpl hier="236" item="0"/>
          <tpl fld="4" item="6"/>
        </tpls>
      </m>
      <m>
        <tpls c="4">
          <tpl fld="7" item="742"/>
          <tpl fld="6" item="2"/>
          <tpl hier="236" item="0"/>
          <tpl fld="1" item="0"/>
        </tpls>
      </m>
      <m>
        <tpls c="4">
          <tpl fld="7" item="998"/>
          <tpl fld="6" item="2"/>
          <tpl hier="236" item="0"/>
          <tpl fld="4" item="6"/>
        </tpls>
      </m>
      <m>
        <tpls c="4">
          <tpl fld="7" item="747"/>
          <tpl fld="6" item="2"/>
          <tpl hier="236" item="0"/>
          <tpl fld="4" item="6"/>
        </tpls>
      </m>
      <m>
        <tpls c="4">
          <tpl fld="7" item="1216"/>
          <tpl fld="6" item="2"/>
          <tpl hier="236" item="0"/>
          <tpl fld="4" item="4"/>
        </tpls>
      </m>
      <n v="4" in="1">
        <tpls c="4">
          <tpl fld="7" item="1107"/>
          <tpl fld="6" item="1"/>
          <tpl hier="236" item="0"/>
          <tpl fld="4" item="4"/>
        </tpls>
      </n>
      <n v="1" in="1">
        <tpls c="4">
          <tpl fld="7" item="1110"/>
          <tpl fld="6" item="1"/>
          <tpl hier="236" item="0"/>
          <tpl fld="4" item="4"/>
        </tpls>
      </n>
      <m>
        <tpls c="4">
          <tpl fld="7" item="1113"/>
          <tpl fld="6" item="1"/>
          <tpl hier="236" item="0"/>
          <tpl fld="4" item="4"/>
        </tpls>
      </m>
      <m>
        <tpls c="4">
          <tpl fld="7" item="850"/>
          <tpl fld="6" item="2"/>
          <tpl hier="236" item="0"/>
          <tpl fld="4" item="1"/>
        </tpls>
      </m>
      <m>
        <tpls c="4">
          <tpl fld="7" item="854"/>
          <tpl fld="6" item="2"/>
          <tpl hier="236" item="0"/>
          <tpl fld="4" item="1"/>
        </tpls>
      </m>
      <m>
        <tpls c="4">
          <tpl fld="7" item="858"/>
          <tpl fld="6" item="2"/>
          <tpl hier="236" item="0"/>
          <tpl fld="4" item="1"/>
        </tpls>
      </m>
      <m>
        <tpls c="3">
          <tpl fld="7" item="1196"/>
          <tpl fld="6" item="3"/>
          <tpl hier="236" item="0"/>
        </tpls>
      </m>
      <m>
        <tpls c="3">
          <tpl fld="7" item="1286"/>
          <tpl fld="6" item="3"/>
          <tpl hier="236" item="0"/>
        </tpls>
      </m>
      <m>
        <tpls c="3">
          <tpl fld="7" item="1249"/>
          <tpl fld="6" item="3"/>
          <tpl hier="236" item="0"/>
        </tpls>
      </m>
      <m>
        <tpls c="4">
          <tpl fld="7" item="1142"/>
          <tpl fld="6" item="2"/>
          <tpl hier="236" item="0"/>
          <tpl fld="4" item="1"/>
        </tpls>
      </m>
      <m>
        <tpls c="4">
          <tpl fld="7" item="1152"/>
          <tpl fld="6" item="2"/>
          <tpl hier="236" item="0"/>
          <tpl fld="4" item="1"/>
        </tpls>
      </m>
      <m>
        <tpls c="4">
          <tpl fld="7" item="1162"/>
          <tpl fld="6" item="2"/>
          <tpl hier="236" item="0"/>
          <tpl fld="4" item="1"/>
        </tpls>
      </m>
      <m>
        <tpls c="4">
          <tpl fld="7" item="1174"/>
          <tpl fld="6" item="2"/>
          <tpl hier="236" item="0"/>
          <tpl fld="4" item="1"/>
        </tpls>
      </m>
      <m>
        <tpls c="4">
          <tpl fld="7" item="1184"/>
          <tpl fld="6" item="2"/>
          <tpl hier="236" item="0"/>
          <tpl fld="4" item="1"/>
        </tpls>
      </m>
      <m>
        <tpls c="4">
          <tpl fld="7" item="1246"/>
          <tpl fld="6" item="2"/>
          <tpl hier="236" item="0"/>
          <tpl fld="1" item="0"/>
        </tpls>
      </m>
      <m>
        <tpls c="4">
          <tpl fld="7" item="749"/>
          <tpl fld="6" item="2"/>
          <tpl hier="236" item="0"/>
          <tpl fld="1" item="0"/>
        </tpls>
      </m>
      <m>
        <tpls c="4">
          <tpl fld="7" item="514"/>
          <tpl fld="6" item="2"/>
          <tpl hier="236" item="0"/>
          <tpl fld="1" item="0"/>
        </tpls>
      </m>
      <m>
        <tpls c="4">
          <tpl fld="7" item="494"/>
          <tpl fld="6" item="2"/>
          <tpl hier="236" item="0"/>
          <tpl fld="1" item="0"/>
        </tpls>
      </m>
      <m>
        <tpls c="4">
          <tpl fld="7" item="187"/>
          <tpl fld="6" item="2"/>
          <tpl hier="236" item="0"/>
          <tpl fld="1" item="0"/>
        </tpls>
      </m>
      <m>
        <tpls c="4">
          <tpl fld="7" item="57"/>
          <tpl fld="6" item="2"/>
          <tpl hier="236" item="0"/>
          <tpl fld="1" item="0"/>
        </tpls>
      </m>
      <m>
        <tpls c="4">
          <tpl fld="7" item="130"/>
          <tpl fld="6" item="2"/>
          <tpl hier="236" item="0"/>
          <tpl fld="1" item="0"/>
        </tpls>
      </m>
      <m>
        <tpls c="4">
          <tpl fld="7" item="9"/>
          <tpl fld="6" item="2"/>
          <tpl hier="236" item="0"/>
          <tpl fld="1" item="0"/>
        </tpls>
      </m>
      <m>
        <tpls c="4">
          <tpl fld="7" item="925"/>
          <tpl fld="6" item="2"/>
          <tpl hier="236" item="0"/>
          <tpl fld="4" item="5"/>
        </tpls>
      </m>
      <m>
        <tpls c="4">
          <tpl fld="7" item="910"/>
          <tpl fld="6" item="2"/>
          <tpl hier="236" item="0"/>
          <tpl fld="4" item="5"/>
        </tpls>
      </m>
      <m>
        <tpls c="4">
          <tpl fld="7" item="90"/>
          <tpl fld="6" item="2"/>
          <tpl hier="236" item="0"/>
          <tpl fld="4" item="5"/>
        </tpls>
      </m>
      <m>
        <tpls c="4">
          <tpl fld="7" item="509"/>
          <tpl fld="6" item="2"/>
          <tpl hier="236" item="0"/>
          <tpl fld="4" item="5"/>
        </tpls>
      </m>
      <m>
        <tpls c="4">
          <tpl fld="7" item="781"/>
          <tpl fld="6" item="1"/>
          <tpl hier="236" item="0"/>
          <tpl fld="4" item="6"/>
        </tpls>
      </m>
      <m>
        <tpls c="4">
          <tpl fld="7" item="721"/>
          <tpl fld="6" item="1"/>
          <tpl hier="236" item="0"/>
          <tpl fld="4" item="1"/>
        </tpls>
      </m>
      <m>
        <tpls c="4">
          <tpl fld="7" item="890"/>
          <tpl fld="6" item="2"/>
          <tpl hier="236" item="0"/>
          <tpl fld="4" item="5"/>
        </tpls>
      </m>
      <m>
        <tpls c="4">
          <tpl fld="7" item="655"/>
          <tpl fld="6" item="2"/>
          <tpl hier="236" item="0"/>
          <tpl fld="1" item="0"/>
        </tpls>
      </m>
      <m>
        <tpls c="4">
          <tpl fld="7" item="894"/>
          <tpl fld="6" item="2"/>
          <tpl hier="236" item="0"/>
          <tpl fld="4" item="5"/>
        </tpls>
      </m>
      <n v="1" in="1">
        <tpls c="4">
          <tpl fld="7" item="1243"/>
          <tpl fld="6" item="1"/>
          <tpl hier="236" item="0"/>
          <tpl fld="4" item="6"/>
        </tpls>
      </n>
      <n v="1" in="1">
        <tpls c="4">
          <tpl fld="7" item="1246"/>
          <tpl fld="6" item="1"/>
          <tpl hier="236" item="0"/>
          <tpl fld="4" item="6"/>
        </tpls>
      </n>
      <n v="0" in="1">
        <tpls c="4">
          <tpl fld="7" item="1199"/>
          <tpl fld="6" item="1"/>
          <tpl hier="236" item="0"/>
          <tpl fld="4" item="4"/>
        </tpls>
      </n>
      <n v="37" in="1">
        <tpls c="4">
          <tpl fld="7" item="1209"/>
          <tpl fld="6" item="1"/>
          <tpl hier="236" item="0"/>
          <tpl fld="4" item="4"/>
        </tpls>
      </n>
      <m>
        <tpls c="4">
          <tpl fld="7" item="599"/>
          <tpl fld="6" item="2"/>
          <tpl hier="236" item="0"/>
          <tpl fld="1" item="0"/>
        </tpls>
      </m>
      <m>
        <tpls c="4">
          <tpl fld="7" item="154"/>
          <tpl fld="6" item="2"/>
          <tpl hier="236" item="0"/>
          <tpl fld="1" item="0"/>
        </tpls>
      </m>
      <m>
        <tpls c="4">
          <tpl fld="7" item="118"/>
          <tpl fld="6" item="2"/>
          <tpl hier="236" item="0"/>
          <tpl fld="1" item="0"/>
        </tpls>
      </m>
      <m>
        <tpls c="4">
          <tpl fld="7" item="849"/>
          <tpl fld="6" item="2"/>
          <tpl hier="236" item="0"/>
          <tpl fld="4" item="5"/>
        </tpls>
      </m>
      <m>
        <tpls c="4">
          <tpl fld="7" item="379"/>
          <tpl fld="6" item="2"/>
          <tpl hier="236" item="0"/>
          <tpl fld="4" item="5"/>
        </tpls>
      </m>
      <m>
        <tpls c="4">
          <tpl fld="7" item="355"/>
          <tpl fld="6" item="2"/>
          <tpl hier="236" item="0"/>
          <tpl fld="4" item="5"/>
        </tpls>
      </m>
      <m>
        <tpls c="4">
          <tpl fld="7" item="306"/>
          <tpl fld="6" item="2"/>
          <tpl hier="236" item="0"/>
          <tpl fld="4" item="5"/>
        </tpls>
      </m>
      <m>
        <tpls c="4">
          <tpl fld="7" item="51"/>
          <tpl fld="6" item="2"/>
          <tpl hier="236" item="0"/>
          <tpl fld="4" item="5"/>
        </tpls>
      </m>
      <m>
        <tpls c="4">
          <tpl fld="7" item="22"/>
          <tpl fld="6" item="2"/>
          <tpl hier="236" item="0"/>
          <tpl fld="4" item="5"/>
        </tpls>
      </m>
      <m>
        <tpls c="4">
          <tpl fld="7" item="241"/>
          <tpl fld="6" item="2"/>
          <tpl hier="236" item="0"/>
          <tpl fld="4" item="5"/>
        </tpls>
      </m>
      <m>
        <tpls c="4">
          <tpl fld="7" item="1132"/>
          <tpl fld="6" item="2"/>
          <tpl hier="236" item="0"/>
          <tpl fld="4" item="6"/>
        </tpls>
      </m>
      <m>
        <tpls c="4">
          <tpl fld="7" item="1117"/>
          <tpl fld="6" item="2"/>
          <tpl hier="236" item="0"/>
          <tpl fld="4" item="6"/>
        </tpls>
      </m>
      <m>
        <tpls c="4">
          <tpl fld="7" item="1190"/>
          <tpl fld="6" item="2"/>
          <tpl hier="236" item="0"/>
          <tpl fld="4" item="6"/>
        </tpls>
      </m>
      <m>
        <tpls c="4">
          <tpl fld="7" item="434"/>
          <tpl fld="6" item="2"/>
          <tpl hier="236" item="0"/>
          <tpl fld="4" item="6"/>
        </tpls>
      </m>
      <m>
        <tpls c="4">
          <tpl fld="7" item="207"/>
          <tpl fld="6" item="2"/>
          <tpl hier="236" item="0"/>
          <tpl fld="4" item="6"/>
        </tpls>
      </m>
      <m>
        <tpls c="4">
          <tpl fld="7" item="79"/>
          <tpl fld="6" item="2"/>
          <tpl hier="236" item="0"/>
          <tpl fld="4" item="6"/>
        </tpls>
      </m>
      <m>
        <tpls c="4">
          <tpl fld="7" item="34"/>
          <tpl fld="6" item="2"/>
          <tpl hier="236" item="0"/>
          <tpl fld="4" item="6"/>
        </tpls>
      </m>
      <m>
        <tpls c="4">
          <tpl fld="7" item="19"/>
          <tpl fld="6" item="2"/>
          <tpl hier="236" item="0"/>
          <tpl fld="4" item="6"/>
        </tpls>
      </m>
      <m>
        <tpls c="4">
          <tpl fld="7" item="1124"/>
          <tpl fld="6" item="1"/>
          <tpl hier="236" item="0"/>
          <tpl fld="4" item="5"/>
        </tpls>
      </m>
      <n v="2" in="1">
        <tpls c="4">
          <tpl fld="7" item="1106"/>
          <tpl fld="6" item="1"/>
          <tpl hier="236" item="0"/>
          <tpl fld="4" item="5"/>
        </tpls>
      </n>
      <m>
        <tpls c="4">
          <tpl fld="7" item="373"/>
          <tpl fld="6" item="1"/>
          <tpl hier="236" item="0"/>
          <tpl fld="4" item="5"/>
        </tpls>
      </m>
      <m>
        <tpls c="4">
          <tpl fld="7" item="353"/>
          <tpl fld="6" item="1"/>
          <tpl hier="236" item="0"/>
          <tpl fld="4" item="5"/>
        </tpls>
      </m>
      <m>
        <tpls c="4">
          <tpl fld="7" item="193"/>
          <tpl fld="6" item="1"/>
          <tpl hier="236" item="0"/>
          <tpl fld="4" item="5"/>
        </tpls>
      </m>
      <m>
        <tpls c="4">
          <tpl fld="7" item="69"/>
          <tpl fld="6" item="1"/>
          <tpl hier="236" item="0"/>
          <tpl fld="4" item="5"/>
        </tpls>
      </m>
      <m>
        <tpls c="4">
          <tpl fld="7" item="253"/>
          <tpl fld="6" item="1"/>
          <tpl hier="236" item="0"/>
          <tpl fld="4" item="5"/>
        </tpls>
      </m>
      <m>
        <tpls c="4">
          <tpl fld="7" item="129"/>
          <tpl fld="6" item="1"/>
          <tpl hier="236" item="0"/>
          <tpl fld="4" item="5"/>
        </tpls>
      </m>
      <n v="1" in="1">
        <tpls c="4">
          <tpl fld="7" item="1074"/>
          <tpl fld="6" item="1"/>
          <tpl hier="236" item="0"/>
          <tpl fld="4" item="1"/>
        </tpls>
      </n>
      <m>
        <tpls c="4">
          <tpl fld="7" item="1058"/>
          <tpl fld="6" item="1"/>
          <tpl hier="236" item="0"/>
          <tpl fld="4" item="1"/>
        </tpls>
      </m>
      <m>
        <tpls c="4">
          <tpl fld="7" item="1042"/>
          <tpl fld="6" item="1"/>
          <tpl hier="236" item="0"/>
          <tpl fld="4" item="1"/>
        </tpls>
      </m>
      <n v="1" in="1">
        <tpls c="4">
          <tpl fld="7" item="1180"/>
          <tpl fld="6" item="1"/>
          <tpl hier="236" item="0"/>
          <tpl fld="4" item="1"/>
        </tpls>
      </n>
      <n v="2" in="1">
        <tpls c="4">
          <tpl fld="7" item="1018"/>
          <tpl fld="6" item="1"/>
          <tpl hier="236" item="0"/>
          <tpl fld="4" item="1"/>
        </tpls>
      </n>
      <m>
        <tpls c="4">
          <tpl fld="7" item="1006"/>
          <tpl fld="6" item="1"/>
          <tpl hier="236" item="0"/>
          <tpl fld="4" item="1"/>
        </tpls>
      </m>
      <n v="7" in="1">
        <tpls c="4">
          <tpl fld="7" item="527"/>
          <tpl fld="6" item="1"/>
          <tpl hier="236" item="0"/>
          <tpl fld="4" item="1"/>
        </tpls>
      </n>
      <n v="1" in="1">
        <tpls c="4">
          <tpl fld="7" item="511"/>
          <tpl fld="6" item="1"/>
          <tpl hier="236" item="0"/>
          <tpl fld="4" item="1"/>
        </tpls>
      </n>
      <m>
        <tpls c="4">
          <tpl fld="7" item="495"/>
          <tpl fld="6" item="1"/>
          <tpl hier="236" item="0"/>
          <tpl fld="4" item="1"/>
        </tpls>
      </m>
      <m>
        <tpls c="4">
          <tpl fld="7" item="102"/>
          <tpl fld="6" item="1"/>
          <tpl hier="236" item="0"/>
          <tpl fld="4" item="1"/>
        </tpls>
      </m>
      <m>
        <tpls c="4">
          <tpl fld="7" item="289"/>
          <tpl fld="6" item="1"/>
          <tpl hier="236" item="0"/>
          <tpl fld="4" item="1"/>
        </tpls>
      </m>
      <m>
        <tpls c="4">
          <tpl fld="7" item="478"/>
          <tpl fld="6" item="1"/>
          <tpl hier="236" item="0"/>
          <tpl fld="4" item="1"/>
        </tpls>
      </m>
      <m>
        <tpls c="4">
          <tpl fld="7" item="238"/>
          <tpl fld="6" item="1"/>
          <tpl hier="236" item="0"/>
          <tpl fld="4" item="1"/>
        </tpls>
      </m>
      <m>
        <tpls c="4">
          <tpl fld="7" item="28"/>
          <tpl fld="6" item="1"/>
          <tpl hier="236" item="0"/>
          <tpl fld="4" item="1"/>
        </tpls>
      </m>
      <m>
        <tpls c="4">
          <tpl fld="7" item="16"/>
          <tpl fld="6" item="1"/>
          <tpl hier="236" item="0"/>
          <tpl fld="4" item="1"/>
        </tpls>
      </m>
      <n v="1" in="1">
        <tpls c="4">
          <tpl fld="7" item="865"/>
          <tpl fld="6" item="1"/>
          <tpl hier="236" item="0"/>
          <tpl fld="1" item="0"/>
        </tpls>
      </n>
      <n v="2" in="1">
        <tpls c="4">
          <tpl fld="7" item="849"/>
          <tpl fld="6" item="1"/>
          <tpl hier="236" item="0"/>
          <tpl fld="1" item="0"/>
        </tpls>
      </n>
      <m>
        <tpls c="4">
          <tpl fld="7" item="833"/>
          <tpl fld="6" item="1"/>
          <tpl hier="236" item="0"/>
          <tpl fld="1" item="0"/>
        </tpls>
      </m>
      <m>
        <tpls c="4">
          <tpl fld="7" item="773"/>
          <tpl fld="6" item="1"/>
          <tpl hier="236" item="0"/>
          <tpl fld="4" item="5"/>
        </tpls>
      </m>
      <n v="8" in="1">
        <tpls c="4">
          <tpl fld="7" item="792"/>
          <tpl fld="6" item="1"/>
          <tpl hier="236" item="0"/>
          <tpl fld="1" item="0"/>
        </tpls>
      </n>
      <n v="1" in="2">
        <tpls c="4">
          <tpl fld="7" item="1095"/>
          <tpl fld="6" item="2"/>
          <tpl hier="236" item="0"/>
          <tpl fld="4" item="1"/>
        </tpls>
      </n>
      <m>
        <tpls c="4">
          <tpl fld="7" item="1240"/>
          <tpl fld="6" item="2"/>
          <tpl hier="236" item="0"/>
          <tpl fld="4" item="5"/>
        </tpls>
      </m>
      <m>
        <tpls c="4">
          <tpl fld="7" item="995"/>
          <tpl fld="6" item="2"/>
          <tpl hier="236" item="0"/>
          <tpl fld="4" item="1"/>
        </tpls>
      </m>
      <m>
        <tpls c="4">
          <tpl fld="7" item="820"/>
          <tpl fld="6" item="2"/>
          <tpl hier="236" item="0"/>
          <tpl fld="4" item="4"/>
        </tpls>
      </m>
      <m>
        <tpls c="4">
          <tpl fld="7" item="826"/>
          <tpl fld="6" item="2"/>
          <tpl hier="236" item="0"/>
          <tpl fld="4" item="1"/>
        </tpls>
      </m>
      <m>
        <tpls c="4">
          <tpl fld="7" item="900"/>
          <tpl fld="6" item="2"/>
          <tpl hier="236" item="0"/>
          <tpl fld="4" item="4"/>
        </tpls>
      </m>
      <n v="32" in="1">
        <tpls c="4">
          <tpl fld="7" item="1245"/>
          <tpl fld="6" item="1"/>
          <tpl hier="236" item="0"/>
          <tpl fld="4" item="4"/>
        </tpls>
      </n>
      <m>
        <tpls c="4">
          <tpl fld="7" item="1023"/>
          <tpl fld="6" item="2"/>
          <tpl hier="236" item="0"/>
          <tpl fld="4" item="1"/>
        </tpls>
      </m>
      <m>
        <tpls c="4">
          <tpl fld="7" item="1038"/>
          <tpl fld="6" item="1"/>
          <tpl hier="236" item="0"/>
          <tpl fld="4" item="4"/>
        </tpls>
      </m>
      <m>
        <tpls c="4">
          <tpl fld="7" item="1070"/>
          <tpl fld="6" item="1"/>
          <tpl hier="236" item="0"/>
          <tpl fld="4" item="4"/>
        </tpls>
      </m>
      <m>
        <tpls c="4">
          <tpl fld="7" item="1242"/>
          <tpl fld="6" item="2"/>
          <tpl hier="236" item="0"/>
          <tpl fld="1" item="0"/>
        </tpls>
      </m>
      <m>
        <tpls c="4">
          <tpl fld="7" item="82"/>
          <tpl fld="6" item="2"/>
          <tpl hier="236" item="0"/>
          <tpl fld="1" item="0"/>
        </tpls>
      </m>
      <m>
        <tpls c="4">
          <tpl fld="7" item="479"/>
          <tpl fld="6" item="2"/>
          <tpl hier="236" item="0"/>
          <tpl fld="1" item="0"/>
        </tpls>
      </m>
      <m>
        <tpls c="4">
          <tpl fld="7" item="0"/>
          <tpl fld="6" item="2"/>
          <tpl hier="236" item="0"/>
          <tpl fld="1" item="0"/>
        </tpls>
      </m>
      <m>
        <tpls c="3">
          <tpl fld="7" item="483"/>
          <tpl fld="6" item="3"/>
          <tpl hier="236" item="0"/>
        </tpls>
      </m>
      <m>
        <tpls c="4">
          <tpl fld="7" item="386"/>
          <tpl fld="6" item="1"/>
          <tpl hier="236" item="0"/>
          <tpl fld="4" item="6"/>
        </tpls>
      </m>
      <n v="5" in="1">
        <tpls c="4">
          <tpl fld="7" item="362"/>
          <tpl fld="6" item="1"/>
          <tpl hier="236" item="0"/>
          <tpl fld="4" item="4"/>
        </tpls>
      </n>
      <n v="56" in="1">
        <tpls c="4">
          <tpl fld="7" item="688"/>
          <tpl fld="6" item="1"/>
          <tpl hier="236" item="0"/>
          <tpl fld="1" item="0"/>
        </tpls>
      </n>
      <m>
        <tpls c="4">
          <tpl fld="7" item="548"/>
          <tpl fld="6" item="2"/>
          <tpl hier="236" item="0"/>
          <tpl fld="4" item="5"/>
        </tpls>
      </m>
      <m>
        <tpls c="3">
          <tpl fld="7" item="573"/>
          <tpl fld="6" item="3"/>
          <tpl hier="236" item="0"/>
        </tpls>
      </m>
      <m>
        <tpls c="4">
          <tpl fld="7" item="694"/>
          <tpl fld="6" item="1"/>
          <tpl hier="236" item="0"/>
          <tpl fld="4" item="5"/>
        </tpls>
      </m>
      <m>
        <tpls c="4">
          <tpl fld="7" item="990"/>
          <tpl fld="6" item="2"/>
          <tpl hier="236" item="0"/>
          <tpl fld="4" item="5"/>
        </tpls>
      </m>
      <m>
        <tpls c="4">
          <tpl fld="7" item="213"/>
          <tpl fld="6" item="2"/>
          <tpl hier="236" item="0"/>
          <tpl fld="4" item="1"/>
        </tpls>
      </m>
      <m>
        <tpls c="4">
          <tpl fld="7" item="984"/>
          <tpl fld="6" item="2"/>
          <tpl hier="236" item="0"/>
          <tpl fld="1" item="0"/>
        </tpls>
      </m>
      <m>
        <tpls c="4">
          <tpl fld="7" item="778"/>
          <tpl fld="6" item="1"/>
          <tpl hier="236" item="0"/>
          <tpl fld="1" item="0"/>
        </tpls>
      </m>
      <m>
        <tpls c="4">
          <tpl fld="7" item="557"/>
          <tpl fld="6" item="2"/>
          <tpl hier="236" item="0"/>
          <tpl fld="4" item="6"/>
        </tpls>
      </m>
      <m>
        <tpls c="4">
          <tpl fld="7" item="787"/>
          <tpl fld="6" item="2"/>
          <tpl hier="236" item="0"/>
          <tpl fld="1" item="0"/>
        </tpls>
      </m>
      <m>
        <tpls c="4">
          <tpl fld="7" item="631"/>
          <tpl fld="6" item="1"/>
          <tpl hier="236" item="0"/>
          <tpl fld="4" item="5"/>
        </tpls>
      </m>
      <m>
        <tpls c="4">
          <tpl fld="7" item="576"/>
          <tpl fld="6" item="1"/>
          <tpl hier="236" item="0"/>
          <tpl fld="4" item="1"/>
        </tpls>
      </m>
      <m>
        <tpls c="4">
          <tpl fld="7" item="582"/>
          <tpl fld="6" item="1"/>
          <tpl hier="236" item="0"/>
          <tpl fld="4" item="4"/>
        </tpls>
      </m>
      <n v="3" in="1">
        <tpls c="4">
          <tpl fld="7" item="765"/>
          <tpl fld="6" item="1"/>
          <tpl hier="236" item="0"/>
          <tpl fld="1" item="0"/>
        </tpls>
      </n>
      <m>
        <tpls c="4">
          <tpl fld="7" item="787"/>
          <tpl fld="6" item="2"/>
          <tpl hier="236" item="0"/>
          <tpl fld="4" item="6"/>
        </tpls>
      </m>
      <n v="6" in="1">
        <tpls c="4">
          <tpl fld="7" item="802"/>
          <tpl fld="6" item="1"/>
          <tpl hier="236" item="0"/>
          <tpl fld="4" item="4"/>
        </tpls>
      </n>
      <m>
        <tpls c="4">
          <tpl fld="7" item="807"/>
          <tpl fld="6" item="1"/>
          <tpl hier="236" item="0"/>
          <tpl fld="4" item="5"/>
        </tpls>
      </m>
      <n v="1" in="1">
        <tpls c="4">
          <tpl fld="7" item="731"/>
          <tpl fld="6" item="1"/>
          <tpl hier="236" item="0"/>
          <tpl fld="4" item="1"/>
        </tpls>
      </n>
      <m>
        <tpls c="4">
          <tpl fld="7" item="737"/>
          <tpl fld="6" item="1"/>
          <tpl hier="236" item="0"/>
          <tpl fld="4" item="4"/>
        </tpls>
      </m>
      <n v="3" in="1">
        <tpls c="4">
          <tpl fld="7" item="663"/>
          <tpl fld="6" item="1"/>
          <tpl hier="236" item="0"/>
          <tpl fld="4" item="6"/>
        </tpls>
      </n>
      <n v="5" in="1">
        <tpls c="4">
          <tpl fld="7" item="898"/>
          <tpl fld="6" item="1"/>
          <tpl hier="236" item="0"/>
          <tpl fld="4" item="4"/>
        </tpls>
      </n>
      <m>
        <tpls c="4">
          <tpl fld="7" item="1114"/>
          <tpl fld="6" item="2"/>
          <tpl hier="236" item="0"/>
          <tpl fld="4" item="1"/>
        </tpls>
      </m>
      <m>
        <tpls c="3">
          <tpl fld="7" item="917"/>
          <tpl fld="6" item="3"/>
          <tpl hier="236" item="0"/>
        </tpls>
      </m>
      <m>
        <tpls c="4">
          <tpl fld="7" item="873"/>
          <tpl fld="6" item="2"/>
          <tpl hier="236" item="0"/>
          <tpl fld="4" item="1"/>
        </tpls>
      </m>
      <m>
        <tpls c="4">
          <tpl fld="7" item="1268"/>
          <tpl fld="6" item="2"/>
          <tpl hier="236" item="0"/>
          <tpl fld="4" item="1"/>
        </tpls>
      </m>
      <m>
        <tpls c="4">
          <tpl fld="7" item="1219"/>
          <tpl fld="6" item="2"/>
          <tpl hier="236" item="0"/>
          <tpl fld="1" item="0"/>
        </tpls>
      </m>
      <m>
        <tpls c="4">
          <tpl fld="7" item="93"/>
          <tpl fld="6" item="2"/>
          <tpl hier="236" item="0"/>
          <tpl fld="1" item="0"/>
        </tpls>
      </m>
      <m>
        <tpls c="4">
          <tpl fld="7" item="36"/>
          <tpl fld="6" item="2"/>
          <tpl hier="236" item="0"/>
          <tpl fld="1" item="0"/>
        </tpls>
      </m>
      <m>
        <tpls c="4">
          <tpl fld="7" item="381"/>
          <tpl fld="6" item="2"/>
          <tpl hier="236" item="0"/>
          <tpl fld="4" item="1"/>
        </tpls>
      </m>
      <m>
        <tpls c="4">
          <tpl fld="7" item="549"/>
          <tpl fld="6" item="1"/>
          <tpl hier="236" item="0"/>
          <tpl fld="4" item="1"/>
        </tpls>
      </m>
      <n v="1" in="1">
        <tpls c="4">
          <tpl fld="7" item="621"/>
          <tpl fld="6" item="1"/>
          <tpl hier="236" item="0"/>
          <tpl fld="4" item="6"/>
        </tpls>
      </n>
      <m>
        <tpls c="4">
          <tpl fld="7" item="788"/>
          <tpl fld="6" item="2"/>
          <tpl hier="236" item="0"/>
          <tpl fld="4" item="5"/>
        </tpls>
      </m>
      <m>
        <tpls c="4">
          <tpl fld="7" item="574"/>
          <tpl fld="6" item="2"/>
          <tpl hier="236" item="0"/>
          <tpl fld="4" item="1"/>
        </tpls>
      </m>
      <m>
        <tpls c="4">
          <tpl fld="7" item="1188"/>
          <tpl fld="6" item="2"/>
          <tpl hier="236" item="0"/>
          <tpl fld="4" item="5"/>
        </tpls>
      </m>
      <n v="4" in="1">
        <tpls c="4">
          <tpl fld="7" item="992"/>
          <tpl fld="6" item="1"/>
          <tpl hier="236" item="0"/>
          <tpl fld="4" item="4"/>
        </tpls>
      </n>
      <m>
        <tpls c="4">
          <tpl fld="7" item="1214"/>
          <tpl fld="6" item="1"/>
          <tpl hier="236" item="0"/>
          <tpl fld="4" item="1"/>
        </tpls>
      </m>
      <m>
        <tpls c="4">
          <tpl fld="7" item="724"/>
          <tpl fld="6" item="2"/>
          <tpl hier="236" item="0"/>
          <tpl fld="4" item="4"/>
        </tpls>
      </m>
      <n v="2" in="1">
        <tpls c="4">
          <tpl fld="7" item="646"/>
          <tpl fld="6" item="1"/>
          <tpl hier="236" item="0"/>
          <tpl fld="4" item="4"/>
        </tpls>
      </n>
      <n v="5" in="1">
        <tpls c="4">
          <tpl fld="7" item="648"/>
          <tpl fld="6" item="1"/>
          <tpl hier="236" item="0"/>
          <tpl fld="4" item="4"/>
        </tpls>
      </n>
      <m>
        <tpls c="4">
          <tpl fld="7" item="1097"/>
          <tpl fld="6" item="2"/>
          <tpl hier="236" item="0"/>
          <tpl fld="4" item="6"/>
        </tpls>
      </m>
      <n v="2" in="1">
        <tpls c="4">
          <tpl fld="7" item="891"/>
          <tpl fld="6" item="1"/>
          <tpl hier="236" item="0"/>
          <tpl fld="4" item="6"/>
        </tpls>
      </n>
      <m>
        <tpls c="4">
          <tpl fld="7" item="1098"/>
          <tpl fld="6" item="1"/>
          <tpl hier="236" item="0"/>
          <tpl fld="4" item="6"/>
        </tpls>
      </m>
      <m>
        <tpls c="4">
          <tpl fld="7" item="735"/>
          <tpl fld="6" item="2"/>
          <tpl hier="236" item="0"/>
          <tpl fld="4" item="5"/>
        </tpls>
      </m>
      <m>
        <tpls c="4">
          <tpl fld="7" item="996"/>
          <tpl fld="6" item="2"/>
          <tpl hier="236" item="0"/>
          <tpl fld="4" item="6"/>
        </tpls>
      </m>
      <m>
        <tpls c="4">
          <tpl fld="7" item="738"/>
          <tpl fld="6" item="1"/>
          <tpl hier="236" item="0"/>
          <tpl fld="4" item="5"/>
        </tpls>
      </m>
      <n v="1" in="1">
        <tpls c="4">
          <tpl fld="7" item="893"/>
          <tpl fld="6" item="1"/>
          <tpl hier="236" item="0"/>
          <tpl fld="4" item="6"/>
        </tpls>
      </n>
      <m>
        <tpls c="4">
          <tpl fld="7" item="741"/>
          <tpl fld="6" item="2"/>
          <tpl hier="236" item="0"/>
          <tpl fld="4" item="1"/>
        </tpls>
      </m>
      <m>
        <tpls c="4">
          <tpl fld="7" item="824"/>
          <tpl fld="6" item="2"/>
          <tpl hier="236" item="0"/>
          <tpl fld="1" item="0"/>
        </tpls>
      </m>
      <m>
        <tpls c="4">
          <tpl fld="7" item="664"/>
          <tpl fld="6" item="2"/>
          <tpl hier="236" item="0"/>
          <tpl fld="1" item="0"/>
        </tpls>
      </m>
      <m>
        <tpls c="4">
          <tpl fld="7" item="666"/>
          <tpl fld="6" item="2"/>
          <tpl hier="236" item="0"/>
          <tpl fld="1" item="0"/>
        </tpls>
      </m>
      <m>
        <tpls c="4">
          <tpl fld="7" item="748"/>
          <tpl fld="6" item="2"/>
          <tpl hier="236" item="0"/>
          <tpl fld="4" item="1"/>
        </tpls>
      </m>
      <m>
        <tpls c="4">
          <tpl fld="7" item="833"/>
          <tpl fld="6" item="1"/>
          <tpl hier="236" item="0"/>
          <tpl fld="4" item="4"/>
        </tpls>
      </m>
      <m>
        <tpls c="4">
          <tpl fld="7" item="836"/>
          <tpl fld="6" item="2"/>
          <tpl hier="236" item="0"/>
          <tpl fld="4" item="4"/>
        </tpls>
      </m>
      <m>
        <tpls c="4">
          <tpl fld="7" item="902"/>
          <tpl fld="6" item="1"/>
          <tpl hier="236" item="0"/>
          <tpl fld="4" item="6"/>
        </tpls>
      </m>
      <m>
        <tpls c="3">
          <tpl fld="7" item="1111"/>
          <tpl fld="6" item="3"/>
          <tpl hier="236" item="0"/>
        </tpls>
      </m>
      <m>
        <tpls c="4">
          <tpl fld="7" item="907"/>
          <tpl fld="6" item="2"/>
          <tpl hier="236" item="0"/>
          <tpl fld="4" item="1"/>
        </tpls>
      </m>
      <n v="0" in="1">
        <tpls c="4">
          <tpl fld="7" item="849"/>
          <tpl fld="6" item="1"/>
          <tpl hier="236" item="0"/>
          <tpl fld="4" item="4"/>
        </tpls>
      </n>
      <m>
        <tpls c="4">
          <tpl fld="7" item="852"/>
          <tpl fld="6" item="2"/>
          <tpl hier="236" item="0"/>
          <tpl fld="4" item="4"/>
        </tpls>
      </m>
      <n v="1" in="1">
        <tpls c="4">
          <tpl fld="7" item="914"/>
          <tpl fld="6" item="1"/>
          <tpl hier="236" item="0"/>
          <tpl fld="4" item="6"/>
        </tpls>
      </n>
      <m>
        <tpls c="3">
          <tpl fld="7" item="1123"/>
          <tpl fld="6" item="3"/>
          <tpl hier="236" item="0"/>
        </tpls>
      </m>
      <m>
        <tpls c="4">
          <tpl fld="7" item="919"/>
          <tpl fld="6" item="2"/>
          <tpl hier="236" item="0"/>
          <tpl fld="4" item="1"/>
        </tpls>
      </m>
      <n v="1" in="1">
        <tpls c="4">
          <tpl fld="7" item="865"/>
          <tpl fld="6" item="1"/>
          <tpl hier="236" item="0"/>
          <tpl fld="4" item="4"/>
        </tpls>
      </n>
      <m>
        <tpls c="4">
          <tpl fld="7" item="868"/>
          <tpl fld="6" item="2"/>
          <tpl hier="236" item="0"/>
          <tpl fld="4" item="4"/>
        </tpls>
      </m>
      <n v="6" in="1">
        <tpls c="4">
          <tpl fld="7" item="926"/>
          <tpl fld="6" item="1"/>
          <tpl hier="236" item="0"/>
          <tpl fld="4" item="6"/>
        </tpls>
      </n>
      <n v="8" in="1">
        <tpls c="4">
          <tpl fld="7" item="933"/>
          <tpl fld="6" item="1"/>
          <tpl hier="236" item="0"/>
          <tpl fld="4" item="4"/>
        </tpls>
      </n>
      <n v="0" in="1">
        <tpls c="4">
          <tpl fld="7" item="941"/>
          <tpl fld="6" item="1"/>
          <tpl hier="236" item="0"/>
          <tpl fld="4" item="4"/>
        </tpls>
      </n>
      <n v="22" in="1">
        <tpls c="4">
          <tpl fld="7" item="949"/>
          <tpl fld="6" item="1"/>
          <tpl hier="236" item="0"/>
          <tpl fld="4" item="4"/>
        </tpls>
      </n>
      <n v="6" in="1">
        <tpls c="4">
          <tpl fld="7" item="957"/>
          <tpl fld="6" item="1"/>
          <tpl hier="236" item="0"/>
          <tpl fld="4" item="4"/>
        </tpls>
      </n>
      <n v="1" in="1">
        <tpls c="4">
          <tpl fld="7" item="965"/>
          <tpl fld="6" item="1"/>
          <tpl hier="236" item="0"/>
          <tpl fld="4" item="4"/>
        </tpls>
      </n>
      <n v="50" in="1">
        <tpls c="4">
          <tpl fld="7" item="973"/>
          <tpl fld="6" item="1"/>
          <tpl hier="236" item="0"/>
          <tpl fld="4" item="4"/>
        </tpls>
      </n>
      <m>
        <tpls c="4">
          <tpl fld="7" item="868"/>
          <tpl fld="6" item="2"/>
          <tpl hier="236" item="0"/>
          <tpl fld="1" item="0"/>
        </tpls>
      </m>
      <m>
        <tpls c="4">
          <tpl fld="7" item="852"/>
          <tpl fld="6" item="2"/>
          <tpl hier="236" item="0"/>
          <tpl fld="1" item="0"/>
        </tpls>
      </m>
      <m>
        <tpls c="4">
          <tpl fld="7" item="836"/>
          <tpl fld="6" item="2"/>
          <tpl hier="236" item="0"/>
          <tpl fld="1" item="0"/>
        </tpls>
      </m>
      <m>
        <tpls c="4">
          <tpl fld="7" item="382"/>
          <tpl fld="6" item="2"/>
          <tpl hier="236" item="0"/>
          <tpl fld="1" item="0"/>
        </tpls>
      </m>
      <m>
        <tpls c="4">
          <tpl fld="7" item="366"/>
          <tpl fld="6" item="2"/>
          <tpl hier="236" item="0"/>
          <tpl fld="1" item="0"/>
        </tpls>
      </m>
      <m>
        <tpls c="4">
          <tpl fld="7" item="214"/>
          <tpl fld="6" item="2"/>
          <tpl hier="236" item="0"/>
          <tpl fld="1" item="0"/>
        </tpls>
      </m>
      <m>
        <tpls c="4">
          <tpl fld="7" item="346"/>
          <tpl fld="6" item="2"/>
          <tpl hier="236" item="0"/>
          <tpl fld="1" item="0"/>
        </tpls>
      </m>
      <m>
        <tpls c="4">
          <tpl fld="7" item="478"/>
          <tpl fld="6" item="2"/>
          <tpl hier="236" item="0"/>
          <tpl fld="4" item="1"/>
        </tpls>
      </m>
      <m>
        <tpls c="3">
          <tpl fld="7" item="523"/>
          <tpl fld="6" item="3"/>
          <tpl hier="236" item="0"/>
        </tpls>
      </m>
      <m>
        <tpls c="4">
          <tpl fld="7" item="544"/>
          <tpl fld="6" item="2"/>
          <tpl hier="236" item="0"/>
          <tpl fld="1" item="0"/>
        </tpls>
      </m>
      <m>
        <tpls c="4">
          <tpl fld="7" item="696"/>
          <tpl fld="6" item="2"/>
          <tpl hier="236" item="0"/>
          <tpl fld="1" item="0"/>
        </tpls>
      </m>
      <m>
        <tpls c="3">
          <tpl fld="7" item="987"/>
          <tpl fld="6" item="3"/>
          <tpl hier="236" item="0"/>
        </tpls>
      </m>
      <n v="11" in="1">
        <tpls c="4">
          <tpl fld="7" item="625"/>
          <tpl fld="6" item="1"/>
          <tpl hier="236" item="0"/>
          <tpl fld="4" item="5"/>
        </tpls>
      </n>
      <n v="2" in="2">
        <tpls c="4">
          <tpl fld="7" item="710"/>
          <tpl fld="6" item="2"/>
          <tpl hier="236" item="0"/>
          <tpl fld="1" item="0"/>
        </tpls>
      </n>
      <m>
        <tpls c="4">
          <tpl fld="7" item="635"/>
          <tpl fld="6" item="1"/>
          <tpl hier="236" item="0"/>
          <tpl fld="4" item="6"/>
        </tpls>
      </m>
      <m>
        <tpls c="4">
          <tpl fld="7" item="1188"/>
          <tpl fld="6" item="1"/>
          <tpl hier="236" item="0"/>
          <tpl fld="4" item="5"/>
        </tpls>
      </m>
      <m>
        <tpls c="4">
          <tpl fld="7" item="720"/>
          <tpl fld="6" item="1"/>
          <tpl hier="236" item="0"/>
          <tpl fld="4" item="6"/>
        </tpls>
      </m>
      <n v="21" in="1">
        <tpls c="4">
          <tpl fld="7" item="1095"/>
          <tpl fld="6" item="1"/>
          <tpl hier="236" item="0"/>
          <tpl fld="4" item="4"/>
        </tpls>
      </n>
      <n v="18" in="1">
        <tpls c="4">
          <tpl fld="7" item="643"/>
          <tpl fld="6" item="1"/>
          <tpl hier="236" item="0"/>
          <tpl fld="4" item="6"/>
        </tpls>
      </n>
      <m>
        <tpls c="4">
          <tpl fld="7" item="724"/>
          <tpl fld="6" item="2"/>
          <tpl hier="236" item="0"/>
          <tpl fld="4" item="1"/>
        </tpls>
      </m>
      <n v="0.75" in="2">
        <tpls c="4">
          <tpl fld="7" item="725"/>
          <tpl fld="6" item="2"/>
          <tpl hier="236" item="0"/>
          <tpl fld="1" item="0"/>
        </tpls>
      </n>
      <m>
        <tpls c="4">
          <tpl fld="7" item="1240"/>
          <tpl fld="6" item="1"/>
          <tpl hier="236" item="0"/>
          <tpl fld="4" item="1"/>
        </tpls>
      </m>
      <n v="3" in="1">
        <tpls c="4">
          <tpl fld="7" item="728"/>
          <tpl fld="6" item="1"/>
          <tpl hier="236" item="0"/>
          <tpl fld="1" item="0"/>
        </tpls>
      </n>
      <m>
        <tpls c="4">
          <tpl fld="7" item="1097"/>
          <tpl fld="6" item="2"/>
          <tpl hier="236" item="0"/>
          <tpl fld="4" item="4"/>
        </tpls>
      </m>
      <m>
        <tpls c="3">
          <tpl fld="7" item="731"/>
          <tpl fld="6" item="3"/>
          <tpl hier="236" item="0"/>
        </tpls>
      </m>
      <n v="8" in="1">
        <tpls c="4">
          <tpl fld="7" item="995"/>
          <tpl fld="6" item="1"/>
          <tpl hier="236" item="0"/>
          <tpl fld="4" item="4"/>
        </tpls>
      </n>
      <m>
        <tpls c="4">
          <tpl fld="7" item="654"/>
          <tpl fld="6" item="2"/>
          <tpl hier="236" item="0"/>
          <tpl fld="4" item="5"/>
        </tpls>
      </m>
      <m>
        <tpls c="4">
          <tpl fld="7" item="817"/>
          <tpl fld="6" item="2"/>
          <tpl hier="236" item="0"/>
          <tpl fld="4" item="6"/>
        </tpls>
      </m>
      <m>
        <tpls c="4">
          <tpl fld="7" item="657"/>
          <tpl fld="6" item="1"/>
          <tpl hier="236" item="0"/>
          <tpl fld="4" item="5"/>
        </tpls>
      </m>
      <m>
        <tpls c="4">
          <tpl fld="7" item="820"/>
          <tpl fld="6" item="1"/>
          <tpl hier="236" item="0"/>
          <tpl fld="4" item="6"/>
        </tpls>
      </m>
      <m>
        <tpls c="4">
          <tpl fld="7" item="660"/>
          <tpl fld="6" item="2"/>
          <tpl hier="236" item="0"/>
          <tpl fld="4" item="1"/>
        </tpls>
      </m>
      <m>
        <tpls c="4">
          <tpl fld="7" item="741"/>
          <tpl fld="6" item="2"/>
          <tpl hier="236" item="0"/>
          <tpl fld="1" item="0"/>
        </tpls>
      </m>
      <m>
        <tpls c="4">
          <tpl fld="7" item="1241"/>
          <tpl fld="6" item="1"/>
          <tpl hier="236" item="0"/>
          <tpl fld="4" item="1"/>
        </tpls>
      </m>
      <m>
        <tpls c="4">
          <tpl fld="7" item="826"/>
          <tpl fld="6" item="1"/>
          <tpl hier="236" item="0"/>
          <tpl fld="4" item="4"/>
        </tpls>
      </m>
      <m>
        <tpls c="4">
          <tpl fld="7" item="828"/>
          <tpl fld="6" item="1"/>
          <tpl hier="236" item="0"/>
          <tpl fld="4" item="4"/>
        </tpls>
      </m>
      <n v="3" in="1">
        <tpls c="4">
          <tpl fld="7" item="1102"/>
          <tpl fld="6" item="1"/>
          <tpl hier="236" item="0"/>
          <tpl fld="4" item="4"/>
        </tpls>
      </n>
      <n v="1" in="2">
        <tpls c="4">
          <tpl fld="7" item="1104"/>
          <tpl fld="6" item="2"/>
          <tpl hier="236" item="0"/>
          <tpl fld="4" item="4"/>
        </tpls>
      </n>
      <m>
        <tpls c="4">
          <tpl fld="7" item="900"/>
          <tpl fld="6" item="1"/>
          <tpl hier="236" item="0"/>
          <tpl fld="4" item="6"/>
        </tpls>
      </m>
      <m>
        <tpls c="3">
          <tpl fld="7" item="1109"/>
          <tpl fld="6" item="3"/>
          <tpl hier="236" item="0"/>
        </tpls>
      </m>
      <m>
        <tpls c="4">
          <tpl fld="7" item="843"/>
          <tpl fld="6" item="2"/>
          <tpl hier="236" item="0"/>
          <tpl fld="4" item="1"/>
        </tpls>
      </m>
      <n v="2" in="1">
        <tpls c="4">
          <tpl fld="7" item="1011"/>
          <tpl fld="6" item="1"/>
          <tpl hier="236" item="0"/>
          <tpl fld="4" item="4"/>
        </tpls>
      </n>
      <n v="1" in="2">
        <tpls c="4">
          <tpl fld="7" item="1116"/>
          <tpl fld="6" item="2"/>
          <tpl hier="236" item="0"/>
          <tpl fld="4" item="4"/>
        </tpls>
      </n>
      <m>
        <tpls c="4">
          <tpl fld="7" item="912"/>
          <tpl fld="6" item="1"/>
          <tpl hier="236" item="0"/>
          <tpl fld="4" item="6"/>
        </tpls>
      </m>
      <m>
        <tpls c="3">
          <tpl fld="7" item="1121"/>
          <tpl fld="6" item="3"/>
          <tpl hier="236" item="0"/>
        </tpls>
      </m>
      <m>
        <tpls c="4">
          <tpl fld="7" item="859"/>
          <tpl fld="6" item="2"/>
          <tpl hier="236" item="0"/>
          <tpl fld="4" item="1"/>
        </tpls>
      </m>
      <n v="1" in="1">
        <tpls c="4">
          <tpl fld="7" item="1023"/>
          <tpl fld="6" item="1"/>
          <tpl hier="236" item="0"/>
          <tpl fld="4" item="4"/>
        </tpls>
      </n>
      <m>
        <tpls c="4">
          <tpl fld="7" item="1128"/>
          <tpl fld="6" item="2"/>
          <tpl hier="236" item="0"/>
          <tpl fld="4" item="4"/>
        </tpls>
      </m>
      <m>
        <tpls c="4">
          <tpl fld="7" item="924"/>
          <tpl fld="6" item="1"/>
          <tpl hier="236" item="0"/>
          <tpl fld="4" item="6"/>
        </tpls>
      </m>
      <m>
        <tpls c="4">
          <tpl fld="7" item="1266"/>
          <tpl fld="6" item="2"/>
          <tpl hier="236" item="0"/>
          <tpl fld="4" item="1"/>
        </tpls>
      </m>
      <m>
        <tpls c="4">
          <tpl fld="7" item="934"/>
          <tpl fld="6" item="2"/>
          <tpl hier="236" item="0"/>
          <tpl fld="4" item="1"/>
        </tpls>
      </m>
      <m>
        <tpls c="4">
          <tpl fld="7" item="942"/>
          <tpl fld="6" item="2"/>
          <tpl hier="236" item="0"/>
          <tpl fld="4" item="1"/>
        </tpls>
      </m>
      <m>
        <tpls c="4">
          <tpl fld="7" item="950"/>
          <tpl fld="6" item="2"/>
          <tpl hier="236" item="0"/>
          <tpl fld="4" item="1"/>
        </tpls>
      </m>
      <m>
        <tpls c="4">
          <tpl fld="7" item="958"/>
          <tpl fld="6" item="2"/>
          <tpl hier="236" item="0"/>
          <tpl fld="4" item="1"/>
        </tpls>
      </m>
      <m>
        <tpls c="4">
          <tpl fld="7" item="966"/>
          <tpl fld="6" item="2"/>
          <tpl hier="236" item="0"/>
          <tpl fld="4" item="1"/>
        </tpls>
      </m>
      <m>
        <tpls c="4">
          <tpl fld="7" item="974"/>
          <tpl fld="6" item="2"/>
          <tpl hier="236" item="0"/>
          <tpl fld="4" item="1"/>
        </tpls>
      </m>
      <m>
        <tpls c="4">
          <tpl fld="7" item="922"/>
          <tpl fld="6" item="2"/>
          <tpl hier="236" item="0"/>
          <tpl fld="1" item="0"/>
        </tpls>
      </m>
      <m>
        <tpls c="4">
          <tpl fld="7" item="910"/>
          <tpl fld="6" item="2"/>
          <tpl hier="236" item="0"/>
          <tpl fld="1" item="0"/>
        </tpls>
      </m>
      <m>
        <tpls c="4">
          <tpl fld="7" item="898"/>
          <tpl fld="6" item="2"/>
          <tpl hier="236" item="0"/>
          <tpl fld="1" item="0"/>
        </tpls>
      </m>
      <m>
        <tpls c="4">
          <tpl fld="7" item="521"/>
          <tpl fld="6" item="2"/>
          <tpl hier="236" item="0"/>
          <tpl fld="1" item="0"/>
        </tpls>
      </m>
      <n v="1" in="2">
        <tpls c="4">
          <tpl fld="7" item="505"/>
          <tpl fld="6" item="2"/>
          <tpl hier="236" item="0"/>
          <tpl fld="1" item="0"/>
        </tpls>
      </n>
      <m>
        <tpls c="4">
          <tpl fld="7" item="99"/>
          <tpl fld="6" item="2"/>
          <tpl hier="236" item="0"/>
          <tpl fld="1" item="0"/>
        </tpls>
      </m>
      <m>
        <tpls c="4">
          <tpl fld="7" item="190"/>
          <tpl fld="6" item="2"/>
          <tpl hier="236" item="0"/>
          <tpl fld="1" item="0"/>
        </tpls>
      </m>
      <m>
        <tpls c="4">
          <tpl fld="7" item="174"/>
          <tpl fld="6" item="2"/>
          <tpl hier="236" item="0"/>
          <tpl fld="1" item="0"/>
        </tpls>
      </m>
      <m>
        <tpls c="4">
          <tpl fld="7" item="165"/>
          <tpl fld="6" item="2"/>
          <tpl hier="236" item="0"/>
          <tpl fld="1" item="0"/>
        </tpls>
      </m>
      <m>
        <tpls c="4">
          <tpl fld="7" item="334"/>
          <tpl fld="6" item="2"/>
          <tpl hier="236" item="0"/>
          <tpl fld="1" item="0"/>
        </tpls>
      </m>
      <m>
        <tpls c="4">
          <tpl fld="7" item="589"/>
          <tpl fld="6" item="2"/>
          <tpl hier="236" item="0"/>
          <tpl fld="1" item="0"/>
        </tpls>
      </m>
      <m>
        <tpls c="4">
          <tpl fld="7" item="327"/>
          <tpl fld="6" item="2"/>
          <tpl hier="236" item="0"/>
          <tpl fld="1" item="0"/>
        </tpls>
      </m>
      <m>
        <tpls c="4">
          <tpl fld="7" item="1022"/>
          <tpl fld="6" item="2"/>
          <tpl hier="236" item="0"/>
          <tpl fld="4" item="5"/>
        </tpls>
      </m>
      <m>
        <tpls c="4">
          <tpl fld="7" item="1010"/>
          <tpl fld="6" item="2"/>
          <tpl hier="236" item="0"/>
          <tpl fld="4" item="5"/>
        </tpls>
      </m>
      <m>
        <tpls c="4">
          <tpl fld="7" item="102"/>
          <tpl fld="6" item="2"/>
          <tpl hier="236" item="0"/>
          <tpl fld="4" item="5"/>
        </tpls>
      </m>
      <m>
        <tpls c="4">
          <tpl fld="7" item="516"/>
          <tpl fld="6" item="2"/>
          <tpl hier="236" item="0"/>
          <tpl fld="4" item="5"/>
        </tpls>
      </m>
      <n v="0.85" in="2">
        <tpls c="4">
          <tpl fld="7" item="450"/>
          <tpl fld="6" item="2"/>
          <tpl hier="236" item="0"/>
          <tpl fld="4" item="4"/>
        </tpls>
      </n>
      <m>
        <tpls c="4">
          <tpl fld="7" item="562"/>
          <tpl fld="6" item="2"/>
          <tpl hier="236" item="0"/>
          <tpl fld="4" item="4"/>
        </tpls>
      </m>
      <m>
        <tpls c="4">
          <tpl fld="7" item="640"/>
          <tpl fld="6" item="2"/>
          <tpl hier="236" item="0"/>
          <tpl fld="1" item="0"/>
        </tpls>
      </m>
      <n v="0.75" in="2">
        <tpls c="4">
          <tpl fld="7" item="725"/>
          <tpl fld="6" item="2"/>
          <tpl hier="236" item="0"/>
          <tpl fld="4" item="6"/>
        </tpls>
      </n>
      <m>
        <tpls c="4">
          <tpl fld="7" item="651"/>
          <tpl fld="6" item="2"/>
          <tpl hier="236" item="0"/>
          <tpl fld="1" item="0"/>
        </tpls>
      </m>
      <m>
        <tpls c="3">
          <tpl fld="7" item="657"/>
          <tpl fld="6" item="3"/>
          <tpl hier="236" item="0"/>
        </tpls>
      </m>
      <m>
        <tpls c="4">
          <tpl fld="7" item="1241"/>
          <tpl fld="6" item="1"/>
          <tpl hier="236" item="0"/>
          <tpl fld="4" item="5"/>
        </tpls>
      </m>
      <m>
        <tpls c="4">
          <tpl fld="7" item="1104"/>
          <tpl fld="6" item="2"/>
          <tpl hier="236" item="0"/>
          <tpl fld="4" item="1"/>
        </tpls>
      </m>
      <m>
        <tpls c="3">
          <tpl fld="7" item="846"/>
          <tpl fld="6" item="3"/>
          <tpl hier="236" item="0"/>
        </tpls>
      </m>
      <n v="1" in="1">
        <tpls c="4">
          <tpl fld="7" item="1221"/>
          <tpl fld="6" item="1"/>
          <tpl hier="236" item="0"/>
          <tpl fld="4" item="6"/>
        </tpls>
      </n>
      <n v="18" in="1">
        <tpls c="4">
          <tpl fld="7" item="872"/>
          <tpl fld="6" item="1"/>
          <tpl hier="236" item="0"/>
          <tpl fld="4" item="4"/>
        </tpls>
      </n>
      <n v="3" in="1">
        <tpls c="4">
          <tpl fld="7" item="1257"/>
          <tpl fld="6" item="1"/>
          <tpl hier="236" item="0"/>
          <tpl fld="4" item="4"/>
        </tpls>
      </n>
      <m>
        <tpls c="4">
          <tpl fld="7" item="1117"/>
          <tpl fld="6" item="2"/>
          <tpl hier="236" item="0"/>
          <tpl fld="1" item="0"/>
        </tpls>
      </m>
      <m>
        <tpls c="4">
          <tpl fld="7" item="102"/>
          <tpl fld="6" item="2"/>
          <tpl hier="236" item="0"/>
          <tpl fld="1" item="0"/>
        </tpls>
      </m>
      <m>
        <tpls c="4">
          <tpl fld="7" item="169"/>
          <tpl fld="6" item="2"/>
          <tpl hier="236" item="0"/>
          <tpl fld="1" item="0"/>
        </tpls>
      </m>
      <m>
        <tpls c="4">
          <tpl fld="7" item="472"/>
          <tpl fld="6" item="2"/>
          <tpl hier="236" item="0"/>
          <tpl fld="1" item="0"/>
        </tpls>
      </m>
      <m>
        <tpls c="4">
          <tpl fld="7" item="864"/>
          <tpl fld="6" item="2"/>
          <tpl hier="236" item="0"/>
          <tpl fld="4" item="5"/>
        </tpls>
      </m>
      <m>
        <tpls c="4">
          <tpl fld="7" item="1008"/>
          <tpl fld="6" item="2"/>
          <tpl hier="236" item="0"/>
          <tpl fld="4" item="5"/>
        </tpls>
      </m>
      <m>
        <tpls c="4">
          <tpl fld="7" item="383"/>
          <tpl fld="6" item="2"/>
          <tpl hier="236" item="0"/>
          <tpl fld="4" item="5"/>
        </tpls>
      </m>
      <m>
        <tpls c="4">
          <tpl fld="7" item="362"/>
          <tpl fld="6" item="2"/>
          <tpl hier="236" item="0"/>
          <tpl fld="4" item="5"/>
        </tpls>
      </m>
      <m>
        <tpls c="4">
          <tpl fld="7" item="200"/>
          <tpl fld="6" item="2"/>
          <tpl hier="236" item="0"/>
          <tpl fld="4" item="5"/>
        </tpls>
      </m>
      <m>
        <tpls c="4">
          <tpl fld="7" item="297"/>
          <tpl fld="6" item="2"/>
          <tpl hier="236" item="0"/>
          <tpl fld="4" item="5"/>
        </tpls>
      </m>
      <m>
        <tpls c="4">
          <tpl fld="7" item="281"/>
          <tpl fld="6" item="2"/>
          <tpl hier="236" item="0"/>
          <tpl fld="4" item="5"/>
        </tpls>
      </m>
      <m>
        <tpls c="4">
          <tpl fld="7" item="671"/>
          <tpl fld="6" item="2"/>
          <tpl hier="236" item="0"/>
          <tpl fld="4" item="5"/>
        </tpls>
      </m>
      <m>
        <tpls c="4">
          <tpl fld="7" item="36"/>
          <tpl fld="6" item="2"/>
          <tpl hier="236" item="0"/>
          <tpl fld="4" item="5"/>
        </tpls>
      </m>
      <m>
        <tpls c="4">
          <tpl fld="7" item="120"/>
          <tpl fld="6" item="2"/>
          <tpl hier="236" item="0"/>
          <tpl fld="4" item="5"/>
        </tpls>
      </m>
      <m>
        <tpls c="4">
          <tpl fld="7" item="219"/>
          <tpl fld="6" item="2"/>
          <tpl hier="236" item="0"/>
          <tpl fld="4" item="5"/>
        </tpls>
      </m>
      <m>
        <tpls c="4">
          <tpl fld="7" item="1195"/>
          <tpl fld="6" item="2"/>
          <tpl hier="236" item="0"/>
          <tpl fld="4" item="6"/>
        </tpls>
      </m>
      <m>
        <tpls c="4">
          <tpl fld="7" item="1192"/>
          <tpl fld="6" item="2"/>
          <tpl hier="236" item="0"/>
          <tpl fld="4" item="6"/>
        </tpls>
      </m>
      <m>
        <tpls c="4">
          <tpl fld="7" item="453"/>
          <tpl fld="6" item="2"/>
          <tpl hier="236" item="0"/>
          <tpl fld="4" item="6"/>
        </tpls>
      </m>
      <m>
        <tpls c="4">
          <tpl fld="7" item="437"/>
          <tpl fld="6" item="2"/>
          <tpl hier="236" item="0"/>
          <tpl fld="4" item="6"/>
        </tpls>
      </m>
      <m>
        <tpls c="4">
          <tpl fld="7" item="422"/>
          <tpl fld="6" item="2"/>
          <tpl hier="236" item="0"/>
          <tpl fld="4" item="6"/>
        </tpls>
      </m>
      <m>
        <tpls c="4">
          <tpl fld="7" item="198"/>
          <tpl fld="6" item="2"/>
          <tpl hier="236" item="0"/>
          <tpl fld="4" item="6"/>
        </tpls>
      </m>
      <m>
        <tpls c="4">
          <tpl fld="7" item="74"/>
          <tpl fld="6" item="2"/>
          <tpl hier="236" item="0"/>
          <tpl fld="4" item="6"/>
        </tpls>
      </m>
      <m>
        <tpls c="4">
          <tpl fld="7" item="275"/>
          <tpl fld="6" item="2"/>
          <tpl hier="236" item="0"/>
          <tpl fld="4" item="6"/>
        </tpls>
      </m>
      <m>
        <tpls c="4">
          <tpl fld="7" item="26"/>
          <tpl fld="6" item="2"/>
          <tpl hier="236" item="0"/>
          <tpl fld="4" item="6"/>
        </tpls>
      </m>
      <m>
        <tpls c="4">
          <tpl fld="7" item="1249"/>
          <tpl fld="6" item="1"/>
          <tpl hier="236" item="0"/>
          <tpl fld="4" item="5"/>
        </tpls>
      </m>
      <n v="1" in="1">
        <tpls c="4">
          <tpl fld="7" item="1246"/>
          <tpl fld="6" item="1"/>
          <tpl hier="236" item="0"/>
          <tpl fld="4" item="5"/>
        </tpls>
      </n>
      <m>
        <tpls c="4">
          <tpl fld="7" item="1243"/>
          <tpl fld="6" item="1"/>
          <tpl hier="236" item="0"/>
          <tpl fld="4" item="5"/>
        </tpls>
      </m>
      <m>
        <tpls c="4">
          <tpl fld="7" item="380"/>
          <tpl fld="6" item="1"/>
          <tpl hier="236" item="0"/>
          <tpl fld="4" item="5"/>
        </tpls>
      </m>
      <m>
        <tpls c="4">
          <tpl fld="7" item="364"/>
          <tpl fld="6" item="1"/>
          <tpl hier="236" item="0"/>
          <tpl fld="4" item="5"/>
        </tpls>
      </m>
      <m>
        <tpls c="4">
          <tpl fld="7" item="212"/>
          <tpl fld="6" item="1"/>
          <tpl hier="236" item="0"/>
          <tpl fld="4" item="5"/>
        </tpls>
      </m>
      <m>
        <tpls c="4">
          <tpl fld="7" item="196"/>
          <tpl fld="6" item="1"/>
          <tpl hier="236" item="0"/>
          <tpl fld="4" item="5"/>
        </tpls>
      </m>
      <m>
        <tpls c="4">
          <tpl fld="7" item="72"/>
          <tpl fld="6" item="1"/>
          <tpl hier="236" item="0"/>
          <tpl fld="4" item="5"/>
        </tpls>
      </m>
      <m>
        <tpls c="4">
          <tpl fld="7" item="752"/>
          <tpl fld="6" item="1"/>
          <tpl hier="236" item="0"/>
          <tpl fld="4" item="5"/>
        </tpls>
      </m>
      <m>
        <tpls c="4">
          <tpl fld="7" item="132"/>
          <tpl fld="6" item="1"/>
          <tpl hier="236" item="0"/>
          <tpl fld="4" item="5"/>
        </tpls>
      </m>
      <m>
        <tpls c="4">
          <tpl fld="7" item="974"/>
          <tpl fld="6" item="1"/>
          <tpl hier="236" item="0"/>
          <tpl fld="4" item="1"/>
        </tpls>
      </m>
      <m>
        <tpls c="4">
          <tpl fld="7" item="1061"/>
          <tpl fld="6" item="1"/>
          <tpl hier="236" item="0"/>
          <tpl fld="4" item="1"/>
        </tpls>
      </m>
      <m>
        <tpls c="4">
          <tpl fld="7" item="1045"/>
          <tpl fld="6" item="1"/>
          <tpl hier="236" item="0"/>
          <tpl fld="4" item="1"/>
        </tpls>
      </m>
      <m>
        <tpls c="4">
          <tpl fld="7" item="1030"/>
          <tpl fld="6" item="1"/>
          <tpl hier="236" item="0"/>
          <tpl fld="4" item="1"/>
        </tpls>
      </m>
      <n v="1" in="1">
        <tpls c="4">
          <tpl fld="7" item="1123"/>
          <tpl fld="6" item="1"/>
          <tpl hier="236" item="0"/>
          <tpl fld="4" item="1"/>
        </tpls>
      </n>
      <m>
        <tpls c="4">
          <tpl fld="7" item="1111"/>
          <tpl fld="6" item="1"/>
          <tpl hier="236" item="0"/>
          <tpl fld="4" item="1"/>
        </tpls>
      </m>
      <m>
        <tpls c="4">
          <tpl fld="7" item="202"/>
          <tpl fld="6" item="1"/>
          <tpl hier="236" item="0"/>
          <tpl fld="4" item="1"/>
        </tpls>
      </m>
      <m>
        <tpls c="4">
          <tpl fld="7" item="514"/>
          <tpl fld="6" item="1"/>
          <tpl hier="236" item="0"/>
          <tpl fld="4" item="1"/>
        </tpls>
      </m>
      <m>
        <tpls c="4">
          <tpl fld="7" item="498"/>
          <tpl fld="6" item="1"/>
          <tpl hier="236" item="0"/>
          <tpl fld="4" item="1"/>
        </tpls>
      </m>
      <m>
        <tpls c="4">
          <tpl fld="7" item="309"/>
          <tpl fld="6" item="1"/>
          <tpl hier="236" item="0"/>
          <tpl fld="4" item="1"/>
        </tpls>
      </m>
      <m>
        <tpls c="4">
          <tpl fld="7" item="292"/>
          <tpl fld="6" item="1"/>
          <tpl hier="236" item="0"/>
          <tpl fld="4" item="1"/>
        </tpls>
      </m>
      <m>
        <tpls c="4">
          <tpl fld="7" item="151"/>
          <tpl fld="6" item="1"/>
          <tpl hier="236" item="0"/>
          <tpl fld="4" item="1"/>
        </tpls>
      </m>
      <m>
        <tpls c="4">
          <tpl fld="7" item="48"/>
          <tpl fld="6" item="1"/>
          <tpl hier="236" item="0"/>
          <tpl fld="4" item="1"/>
        </tpls>
      </m>
      <m>
        <tpls c="4">
          <tpl fld="7" item="31"/>
          <tpl fld="6" item="1"/>
          <tpl hier="236" item="0"/>
          <tpl fld="4" item="1"/>
        </tpls>
      </m>
      <m>
        <tpls c="4">
          <tpl fld="7" item="19"/>
          <tpl fld="6" item="1"/>
          <tpl hier="236" item="0"/>
          <tpl fld="4" item="1"/>
        </tpls>
      </m>
      <m>
        <tpls c="4">
          <tpl fld="7" item="868"/>
          <tpl fld="6" item="1"/>
          <tpl hier="236" item="0"/>
          <tpl fld="1" item="0"/>
        </tpls>
      </m>
      <n v="26" in="1">
        <tpls c="4">
          <tpl fld="7" item="852"/>
          <tpl fld="6" item="1"/>
          <tpl hier="236" item="0"/>
          <tpl fld="1" item="0"/>
        </tpls>
      </n>
      <n v="5" in="1">
        <tpls c="4">
          <tpl fld="7" item="836"/>
          <tpl fld="6" item="1"/>
          <tpl hier="236" item="0"/>
          <tpl fld="1" item="0"/>
        </tpls>
      </n>
      <m>
        <tpls c="4">
          <tpl fld="7" item="766"/>
          <tpl fld="6" item="1"/>
          <tpl hier="236" item="0"/>
          <tpl fld="4" item="6"/>
        </tpls>
      </m>
      <m>
        <tpls c="4">
          <tpl fld="7" item="706"/>
          <tpl fld="6" item="2"/>
          <tpl hier="236" item="0"/>
          <tpl fld="4" item="6"/>
        </tpls>
      </m>
      <n v="2" in="1">
        <tpls c="4">
          <tpl fld="7" item="583"/>
          <tpl fld="6" item="1"/>
          <tpl hier="236" item="0"/>
          <tpl fld="4" item="6"/>
        </tpls>
      </n>
      <n v="1" in="1">
        <tpls c="4">
          <tpl fld="7" item="1096"/>
          <tpl fld="6" item="1"/>
          <tpl hier="236" item="0"/>
          <tpl fld="4" item="5"/>
        </tpls>
      </n>
      <n v="2" in="1">
        <tpls c="4">
          <tpl fld="7" item="813"/>
          <tpl fld="6" item="1"/>
          <tpl hier="236" item="0"/>
          <tpl fld="4" item="1"/>
        </tpls>
      </n>
      <m>
        <tpls c="4">
          <tpl fld="7" item="819"/>
          <tpl fld="6" item="1"/>
          <tpl hier="236" item="0"/>
          <tpl fld="4" item="4"/>
        </tpls>
      </m>
      <n v="6" in="1">
        <tpls c="4">
          <tpl fld="7" item="743"/>
          <tpl fld="6" item="1"/>
          <tpl hier="236" item="0"/>
          <tpl fld="4" item="6"/>
        </tpls>
      </n>
      <m>
        <tpls c="4">
          <tpl fld="7" item="1002"/>
          <tpl fld="6" item="2"/>
          <tpl hier="236" item="0"/>
          <tpl fld="4" item="1"/>
        </tpls>
      </m>
      <m>
        <tpls c="3">
          <tpl fld="7" item="847"/>
          <tpl fld="6" item="3"/>
          <tpl hier="236" item="0"/>
        </tpls>
      </m>
      <n v="1" in="1">
        <tpls c="4">
          <tpl fld="7" item="1124"/>
          <tpl fld="6" item="1"/>
          <tpl hier="236" item="0"/>
          <tpl fld="4" item="6"/>
        </tpls>
      </n>
      <n v="20" in="1">
        <tpls c="4">
          <tpl fld="7" item="1135"/>
          <tpl fld="6" item="1"/>
          <tpl hier="236" item="0"/>
          <tpl fld="4" item="4"/>
        </tpls>
      </n>
      <m>
        <tpls c="4">
          <tpl fld="7" item="1064"/>
          <tpl fld="6" item="1"/>
          <tpl hier="236" item="0"/>
          <tpl fld="4" item="4"/>
        </tpls>
      </m>
      <m>
        <tpls c="4">
          <tpl fld="7" item="1284"/>
          <tpl fld="6" item="2"/>
          <tpl hier="236" item="0"/>
          <tpl fld="1" item="0"/>
        </tpls>
      </m>
      <m>
        <tpls c="4">
          <tpl fld="7" item="211"/>
          <tpl fld="6" item="2"/>
          <tpl hier="236" item="0"/>
          <tpl fld="1" item="0"/>
        </tpls>
      </m>
      <m>
        <tpls c="4">
          <tpl fld="7" item="275"/>
          <tpl fld="6" item="2"/>
          <tpl hier="236" item="0"/>
          <tpl fld="1" item="0"/>
        </tpls>
      </m>
      <m>
        <tpls c="4">
          <tpl fld="7" item="288"/>
          <tpl fld="6" item="2"/>
          <tpl hier="236" item="0"/>
          <tpl fld="4" item="4"/>
        </tpls>
      </m>
      <m>
        <tpls c="3">
          <tpl fld="7" item="392"/>
          <tpl fld="6" item="3"/>
          <tpl hier="236" item="0"/>
        </tpls>
      </m>
      <m>
        <tpls c="4">
          <tpl fld="7" item="82"/>
          <tpl fld="6" item="2"/>
          <tpl hier="236" item="0"/>
          <tpl fld="4" item="1"/>
        </tpls>
      </m>
      <m>
        <tpls c="4">
          <tpl fld="7" item="459"/>
          <tpl fld="6" item="2"/>
          <tpl hier="236" item="0"/>
          <tpl fld="4" item="5"/>
        </tpls>
      </m>
      <m>
        <tpls c="4">
          <tpl fld="7" item="443"/>
          <tpl fld="6" item="2"/>
          <tpl hier="236" item="0"/>
          <tpl fld="4" item="4"/>
        </tpls>
      </m>
      <m>
        <tpls c="3">
          <tpl fld="7" item="704"/>
          <tpl fld="6" item="3"/>
          <tpl hier="236" item="0"/>
        </tpls>
      </m>
      <m>
        <tpls c="4">
          <tpl fld="7" item="440"/>
          <tpl fld="6" item="2"/>
          <tpl hier="236" item="0"/>
          <tpl fld="4" item="4"/>
        </tpls>
      </m>
      <m>
        <tpls c="4">
          <tpl fld="7" item="624"/>
          <tpl fld="6" item="2"/>
          <tpl hier="236" item="0"/>
          <tpl fld="4" item="5"/>
        </tpls>
      </m>
      <m>
        <tpls c="4">
          <tpl fld="7" item="718"/>
          <tpl fld="6" item="2"/>
          <tpl hier="236" item="0"/>
          <tpl fld="1" item="0"/>
        </tpls>
      </m>
      <m>
        <tpls c="4">
          <tpl fld="7" item="528"/>
          <tpl fld="6" item="2"/>
          <tpl hier="236" item="0"/>
          <tpl fld="4" item="4"/>
        </tpls>
      </m>
      <m>
        <tpls c="4">
          <tpl fld="7" item="1088"/>
          <tpl fld="6" item="1"/>
          <tpl hier="236" item="0"/>
          <tpl fld="4" item="1"/>
        </tpls>
      </m>
      <m>
        <tpls c="4">
          <tpl fld="7" item="699"/>
          <tpl fld="6" item="1"/>
          <tpl hier="236" item="0"/>
          <tpl fld="4" item="5"/>
        </tpls>
      </m>
      <n v="2" in="1">
        <tpls c="4">
          <tpl fld="7" item="785"/>
          <tpl fld="6" item="1"/>
          <tpl hier="236" item="0"/>
          <tpl fld="4" item="1"/>
        </tpls>
      </n>
      <m>
        <tpls c="4">
          <tpl fld="7" item="790"/>
          <tpl fld="6" item="1"/>
          <tpl hier="236" item="0"/>
          <tpl fld="4" item="5"/>
        </tpls>
      </m>
      <m>
        <tpls c="4">
          <tpl fld="7" item="795"/>
          <tpl fld="6" item="1"/>
          <tpl hier="236" item="0"/>
          <tpl fld="1" item="0"/>
        </tpls>
      </m>
      <m>
        <tpls c="4">
          <tpl fld="7" item="1094"/>
          <tpl fld="6" item="2"/>
          <tpl hier="236" item="0"/>
          <tpl fld="4" item="5"/>
        </tpls>
      </m>
      <n v="1" in="2">
        <tpls c="4">
          <tpl fld="7" item="722"/>
          <tpl fld="6" item="2"/>
          <tpl hier="236" item="0"/>
          <tpl fld="4" item="1"/>
        </tpls>
      </n>
      <m>
        <tpls c="4">
          <tpl fld="7" item="1089"/>
          <tpl fld="6" item="2"/>
          <tpl hier="236" item="0"/>
          <tpl fld="1" item="0"/>
        </tpls>
      </m>
      <m>
        <tpls c="4">
          <tpl fld="7" item="798"/>
          <tpl fld="6" item="1"/>
          <tpl hier="236" item="0"/>
          <tpl fld="4" item="6"/>
        </tpls>
      </m>
      <n v="12" in="1">
        <tpls c="4">
          <tpl fld="7" item="805"/>
          <tpl fld="6" item="1"/>
          <tpl hier="236" item="0"/>
          <tpl fld="4" item="6"/>
        </tpls>
      </n>
      <m>
        <tpls c="4">
          <tpl fld="7" item="994"/>
          <tpl fld="6" item="1"/>
          <tpl hier="236" item="0"/>
          <tpl fld="1" item="0"/>
        </tpls>
      </m>
      <m>
        <tpls c="4">
          <tpl fld="7" item="816"/>
          <tpl fld="6" item="2"/>
          <tpl hier="236" item="0"/>
          <tpl fld="4" item="5"/>
        </tpls>
      </m>
      <m>
        <tpls c="4">
          <tpl fld="7" item="822"/>
          <tpl fld="6" item="2"/>
          <tpl hier="236" item="0"/>
          <tpl fld="4" item="1"/>
        </tpls>
      </m>
      <m>
        <tpls c="4">
          <tpl fld="7" item="667"/>
          <tpl fld="6" item="2"/>
          <tpl hier="236" item="0"/>
          <tpl fld="4" item="5"/>
        </tpls>
      </m>
      <m>
        <tpls c="4">
          <tpl fld="7" item="1007"/>
          <tpl fld="6" item="2"/>
          <tpl hier="236" item="0"/>
          <tpl fld="4" item="4"/>
        </tpls>
      </m>
      <n v="1" in="1">
        <tpls c="4">
          <tpl fld="7" item="913"/>
          <tpl fld="6" item="1"/>
          <tpl hier="236" item="0"/>
          <tpl fld="4" item="4"/>
        </tpls>
      </n>
      <m>
        <tpls c="4">
          <tpl fld="7" item="1129"/>
          <tpl fld="6" item="2"/>
          <tpl hier="236" item="0"/>
          <tpl fld="4" item="1"/>
        </tpls>
      </m>
      <m>
        <tpls c="4">
          <tpl fld="7" item="1228"/>
          <tpl fld="6" item="2"/>
          <tpl hier="236" item="0"/>
          <tpl fld="4" item="1"/>
        </tpls>
      </m>
      <m>
        <tpls c="4">
          <tpl fld="7" item="1236"/>
          <tpl fld="6" item="2"/>
          <tpl hier="236" item="0"/>
          <tpl fld="4" item="1"/>
        </tpls>
      </m>
      <m>
        <tpls c="4">
          <tpl fld="7" item="445"/>
          <tpl fld="6" item="2"/>
          <tpl hier="236" item="0"/>
          <tpl fld="1" item="0"/>
        </tpls>
      </m>
      <m>
        <tpls c="4">
          <tpl fld="7" item="264"/>
          <tpl fld="6" item="2"/>
          <tpl hier="236" item="0"/>
          <tpl fld="1" item="0"/>
        </tpls>
      </m>
      <m>
        <tpls c="4">
          <tpl fld="7" item="1235"/>
          <tpl fld="6" item="2"/>
          <tpl hier="236" item="0"/>
          <tpl fld="4" item="5"/>
        </tpls>
      </m>
      <m>
        <tpls c="4">
          <tpl fld="7" item="545"/>
          <tpl fld="6" item="2"/>
          <tpl hier="236" item="0"/>
          <tpl fld="4" item="4"/>
        </tpls>
      </m>
      <m>
        <tpls c="3">
          <tpl fld="7" item="780"/>
          <tpl fld="6" item="3"/>
          <tpl hier="236" item="0"/>
        </tpls>
      </m>
      <n v="5" in="1">
        <tpls c="4">
          <tpl fld="7" item="561"/>
          <tpl fld="6" item="1"/>
          <tpl hier="236" item="0"/>
          <tpl fld="4" item="1"/>
        </tpls>
      </n>
      <m>
        <tpls c="4">
          <tpl fld="7" item="631"/>
          <tpl fld="6" item="1"/>
          <tpl hier="236" item="0"/>
          <tpl fld="1" item="0"/>
        </tpls>
      </m>
      <n v="1" in="1">
        <tpls c="4">
          <tpl fld="7" item="637"/>
          <tpl fld="6" item="1"/>
          <tpl hier="236" item="0"/>
          <tpl fld="1" item="0"/>
        </tpls>
      </n>
      <m>
        <tpls c="4">
          <tpl fld="7" item="582"/>
          <tpl fld="6" item="2"/>
          <tpl hier="236" item="0"/>
          <tpl fld="4" item="6"/>
        </tpls>
      </m>
      <m>
        <tpls c="4">
          <tpl fld="7" item="1095"/>
          <tpl fld="6" item="2"/>
          <tpl hier="236" item="0"/>
          <tpl fld="4" item="5"/>
        </tpls>
      </m>
      <m>
        <tpls c="4">
          <tpl fld="7" item="587"/>
          <tpl fld="6" item="2"/>
          <tpl hier="236" item="0"/>
          <tpl fld="4" item="1"/>
        </tpls>
      </m>
      <n v="0" in="1">
        <tpls c="4">
          <tpl fld="7" item="645"/>
          <tpl fld="6" item="1"/>
          <tpl hier="236" item="0"/>
          <tpl fld="4" item="1"/>
        </tpls>
      </n>
      <m>
        <tpls c="4">
          <tpl fld="7" item="647"/>
          <tpl fld="6" item="2"/>
          <tpl hier="236" item="0"/>
          <tpl fld="4" item="4"/>
        </tpls>
      </m>
      <m>
        <tpls c="4">
          <tpl fld="7" item="649"/>
          <tpl fld="6" item="2"/>
          <tpl hier="236" item="0"/>
          <tpl fld="4" item="4"/>
        </tpls>
      </m>
      <n v="5" in="1">
        <tpls c="4">
          <tpl fld="7" item="651"/>
          <tpl fld="6" item="1"/>
          <tpl hier="236" item="0"/>
          <tpl fld="4" item="4"/>
        </tpls>
      </n>
      <m>
        <tpls c="4">
          <tpl fld="7" item="995"/>
          <tpl fld="6" item="2"/>
          <tpl hier="236" item="0"/>
          <tpl fld="4" item="6"/>
        </tpls>
      </m>
      <m>
        <tpls c="4">
          <tpl fld="7" item="1189"/>
          <tpl fld="6" item="1"/>
          <tpl hier="236" item="0"/>
          <tpl fld="4" item="6"/>
        </tpls>
      </m>
      <m>
        <tpls c="4">
          <tpl fld="7" item="736"/>
          <tpl fld="6" item="2"/>
          <tpl hier="236" item="0"/>
          <tpl fld="4" item="1"/>
        </tpls>
      </m>
      <m>
        <tpls c="4">
          <tpl fld="7" item="819"/>
          <tpl fld="6" item="2"/>
          <tpl hier="236" item="0"/>
          <tpl fld="1" item="0"/>
        </tpls>
      </m>
      <m>
        <tpls c="4">
          <tpl fld="7" item="659"/>
          <tpl fld="6" item="1"/>
          <tpl hier="236" item="0"/>
          <tpl fld="4" item="1"/>
        </tpls>
      </m>
      <n v="4" in="1">
        <tpls c="4">
          <tpl fld="7" item="822"/>
          <tpl fld="6" item="1"/>
          <tpl hier="236" item="0"/>
          <tpl fld="1" item="0"/>
        </tpls>
      </n>
      <m>
        <tpls c="4">
          <tpl fld="7" item="662"/>
          <tpl fld="6" item="2"/>
          <tpl hier="236" item="0"/>
          <tpl fld="4" item="4"/>
        </tpls>
      </m>
      <m>
        <tpls c="3">
          <tpl fld="7" item="825"/>
          <tpl fld="6" item="3"/>
          <tpl hier="236" item="0"/>
        </tpls>
      </m>
      <n v="28" in="1">
        <tpls c="4">
          <tpl fld="7" item="745"/>
          <tpl fld="6" item="1"/>
          <tpl hier="236" item="0"/>
          <tpl fld="1" item="0"/>
        </tpls>
      </n>
      <n v="32" in="1">
        <tpls c="4">
          <tpl fld="7" item="747"/>
          <tpl fld="6" item="1"/>
          <tpl hier="236" item="0"/>
          <tpl fld="1" item="0"/>
        </tpls>
      </n>
      <m>
        <tpls c="3">
          <tpl fld="7" item="1000"/>
          <tpl fld="6" item="3"/>
          <tpl hier="236" item="0"/>
        </tpls>
      </m>
      <m>
        <tpls c="4">
          <tpl fld="7" item="1271"/>
          <tpl fld="6" item="2"/>
          <tpl hier="236" item="0"/>
          <tpl fld="4" item="1"/>
        </tpls>
      </m>
      <m>
        <tpls c="4">
          <tpl fld="7" item="838"/>
          <tpl fld="6" item="1"/>
          <tpl hier="236" item="0"/>
          <tpl fld="4" item="4"/>
        </tpls>
      </m>
      <m>
        <tpls c="4">
          <tpl fld="7" item="841"/>
          <tpl fld="6" item="2"/>
          <tpl hier="236" item="0"/>
          <tpl fld="4" item="4"/>
        </tpls>
      </m>
      <m>
        <tpls c="4">
          <tpl fld="7" item="1244"/>
          <tpl fld="6" item="1"/>
          <tpl hier="236" item="0"/>
          <tpl fld="4" item="6"/>
        </tpls>
      </m>
      <m>
        <tpls c="3">
          <tpl fld="7" item="1012"/>
          <tpl fld="6" item="3"/>
          <tpl hier="236" item="0"/>
        </tpls>
      </m>
      <m>
        <tpls c="4">
          <tpl fld="7" item="1265"/>
          <tpl fld="6" item="2"/>
          <tpl hier="236" item="0"/>
          <tpl fld="4" item="1"/>
        </tpls>
      </m>
      <m>
        <tpls c="4">
          <tpl fld="7" item="854"/>
          <tpl fld="6" item="1"/>
          <tpl hier="236" item="0"/>
          <tpl fld="4" item="4"/>
        </tpls>
      </m>
      <m>
        <tpls c="4">
          <tpl fld="7" item="857"/>
          <tpl fld="6" item="2"/>
          <tpl hier="236" item="0"/>
          <tpl fld="4" item="4"/>
        </tpls>
      </m>
      <n v="1" in="1">
        <tpls c="4">
          <tpl fld="7" item="1247"/>
          <tpl fld="6" item="1"/>
          <tpl hier="236" item="0"/>
          <tpl fld="4" item="6"/>
        </tpls>
      </n>
      <m>
        <tpls c="3">
          <tpl fld="7" item="1024"/>
          <tpl fld="6" item="3"/>
          <tpl hier="236" item="0"/>
        </tpls>
      </m>
      <m>
        <tpls c="4">
          <tpl fld="7" item="1286"/>
          <tpl fld="6" item="2"/>
          <tpl hier="236" item="0"/>
          <tpl fld="4" item="1"/>
        </tpls>
      </m>
      <m>
        <tpls c="4">
          <tpl fld="7" item="870"/>
          <tpl fld="6" item="1"/>
          <tpl hier="236" item="0"/>
          <tpl fld="4" item="4"/>
        </tpls>
      </m>
      <n v="1" in="1">
        <tpls c="4">
          <tpl fld="7" item="1136"/>
          <tpl fld="6" item="1"/>
          <tpl hier="236" item="0"/>
          <tpl fld="4" item="4"/>
        </tpls>
      </n>
      <m>
        <tpls c="4">
          <tpl fld="7" item="1144"/>
          <tpl fld="6" item="1"/>
          <tpl hier="236" item="0"/>
          <tpl fld="4" item="4"/>
        </tpls>
      </m>
      <m>
        <tpls c="4">
          <tpl fld="7" item="1152"/>
          <tpl fld="6" item="1"/>
          <tpl hier="236" item="0"/>
          <tpl fld="4" item="4"/>
        </tpls>
      </m>
      <m>
        <tpls c="4">
          <tpl fld="7" item="1160"/>
          <tpl fld="6" item="1"/>
          <tpl hier="236" item="0"/>
          <tpl fld="4" item="4"/>
        </tpls>
      </m>
      <n v="1" in="1">
        <tpls c="4">
          <tpl fld="7" item="1168"/>
          <tpl fld="6" item="1"/>
          <tpl hier="236" item="0"/>
          <tpl fld="4" item="4"/>
        </tpls>
      </n>
      <n v="1" in="1">
        <tpls c="4">
          <tpl fld="7" item="1176"/>
          <tpl fld="6" item="1"/>
          <tpl hier="236" item="0"/>
          <tpl fld="4" item="4"/>
        </tpls>
      </n>
      <m>
        <tpls c="4">
          <tpl fld="7" item="1184"/>
          <tpl fld="6" item="1"/>
          <tpl hier="236" item="0"/>
          <tpl fld="4" item="4"/>
        </tpls>
      </m>
      <m>
        <tpls c="4">
          <tpl fld="7" item="859"/>
          <tpl fld="6" item="2"/>
          <tpl hier="236" item="0"/>
          <tpl fld="1" item="0"/>
        </tpls>
      </m>
      <m>
        <tpls c="4">
          <tpl fld="7" item="843"/>
          <tpl fld="6" item="2"/>
          <tpl hier="236" item="0"/>
          <tpl fld="1" item="0"/>
        </tpls>
      </m>
      <m>
        <tpls c="4">
          <tpl fld="7" item="311"/>
          <tpl fld="6" item="2"/>
          <tpl hier="236" item="0"/>
          <tpl fld="1" item="0"/>
        </tpls>
      </m>
      <m>
        <tpls c="4">
          <tpl fld="7" item="373"/>
          <tpl fld="6" item="2"/>
          <tpl hier="236" item="0"/>
          <tpl fld="1" item="0"/>
        </tpls>
      </m>
      <m>
        <tpls c="4">
          <tpl fld="7" item="357"/>
          <tpl fld="6" item="2"/>
          <tpl hier="236" item="0"/>
          <tpl fld="1" item="0"/>
        </tpls>
      </m>
      <m>
        <tpls c="4">
          <tpl fld="7" item="201"/>
          <tpl fld="6" item="2"/>
          <tpl hier="236" item="0"/>
          <tpl fld="1" item="0"/>
        </tpls>
      </m>
      <m>
        <tpls c="4">
          <tpl fld="7" item="980"/>
          <tpl fld="6" item="2"/>
          <tpl hier="236" item="0"/>
          <tpl fld="1" item="0"/>
        </tpls>
      </m>
      <n v="2" in="2">
        <tpls c="4">
          <tpl fld="7" item="430"/>
          <tpl fld="6" item="2"/>
          <tpl hier="236" item="0"/>
          <tpl fld="4" item="4"/>
        </tpls>
      </n>
      <m>
        <tpls c="4">
          <tpl fld="7" item="687"/>
          <tpl fld="6" item="2"/>
          <tpl hier="236" item="0"/>
          <tpl fld="1" item="0"/>
        </tpls>
      </m>
      <n v="3" in="1">
        <tpls c="4">
          <tpl fld="7" item="548"/>
          <tpl fld="6" item="1"/>
          <tpl hier="236" item="0"/>
          <tpl fld="4" item="1"/>
        </tpls>
      </n>
      <m>
        <tpls c="4">
          <tpl fld="7" item="554"/>
          <tpl fld="6" item="1"/>
          <tpl hier="236" item="0"/>
          <tpl fld="4" item="4"/>
        </tpls>
      </m>
      <n v="2" in="1">
        <tpls c="4">
          <tpl fld="7" item="703"/>
          <tpl fld="6" item="1"/>
          <tpl hier="236" item="0"/>
          <tpl fld="4" item="6"/>
        </tpls>
      </n>
      <m>
        <tpls c="4">
          <tpl fld="7" item="885"/>
          <tpl fld="6" item="2"/>
          <tpl hier="236" item="0"/>
          <tpl fld="1" item="0"/>
        </tpls>
      </m>
      <m>
        <tpls c="4">
          <tpl fld="7" item="573"/>
          <tpl fld="6" item="2"/>
          <tpl hier="236" item="0"/>
          <tpl fld="4" item="1"/>
        </tpls>
      </m>
      <m>
        <tpls c="4">
          <tpl fld="7" item="799"/>
          <tpl fld="6" item="2"/>
          <tpl hier="236" item="0"/>
          <tpl fld="4" item="4"/>
        </tpls>
      </m>
      <m>
        <tpls c="4">
          <tpl fld="7" item="801"/>
          <tpl fld="6" item="2"/>
          <tpl hier="236" item="0"/>
          <tpl fld="4" item="5"/>
        </tpls>
      </m>
      <m>
        <tpls c="4">
          <tpl fld="7" item="641"/>
          <tpl fld="6" item="2"/>
          <tpl hier="236" item="0"/>
          <tpl fld="4" item="6"/>
        </tpls>
      </m>
      <m>
        <tpls c="4">
          <tpl fld="7" item="804"/>
          <tpl fld="6" item="2"/>
          <tpl hier="236" item="0"/>
          <tpl fld="4" item="4"/>
        </tpls>
      </m>
      <n v="43" in="1">
        <tpls c="4">
          <tpl fld="7" item="587"/>
          <tpl fld="6" item="1"/>
          <tpl hier="236" item="0"/>
          <tpl fld="1" item="0"/>
        </tpls>
      </n>
      <n v="0.3" in="2">
        <tpls c="4">
          <tpl fld="7" item="993"/>
          <tpl fld="6" item="2"/>
          <tpl hier="236" item="0"/>
          <tpl fld="4" item="4"/>
        </tpls>
      </n>
      <m>
        <tpls c="3">
          <tpl fld="7" item="726"/>
          <tpl fld="6" item="3"/>
          <tpl hier="236" item="0"/>
        </tpls>
      </m>
      <n v="9" in="1">
        <tpls c="4">
          <tpl fld="7" item="890"/>
          <tpl fld="6" item="1"/>
          <tpl hier="236" item="0"/>
          <tpl fld="4" item="4"/>
        </tpls>
      </n>
      <m>
        <tpls c="4">
          <tpl fld="7" item="649"/>
          <tpl fld="6" item="2"/>
          <tpl hier="236" item="0"/>
          <tpl fld="4" item="5"/>
        </tpls>
      </m>
      <m>
        <tpls c="4">
          <tpl fld="7" item="812"/>
          <tpl fld="6" item="2"/>
          <tpl hier="236" item="0"/>
          <tpl fld="4" item="6"/>
        </tpls>
      </m>
      <n v="2" in="1">
        <tpls c="4">
          <tpl fld="7" item="652"/>
          <tpl fld="6" item="1"/>
          <tpl hier="236" item="0"/>
          <tpl fld="4" item="5"/>
        </tpls>
      </n>
      <m>
        <tpls c="4">
          <tpl fld="7" item="815"/>
          <tpl fld="6" item="1"/>
          <tpl hier="236" item="0"/>
          <tpl fld="4" item="6"/>
        </tpls>
      </m>
      <m>
        <tpls c="4">
          <tpl fld="7" item="655"/>
          <tpl fld="6" item="2"/>
          <tpl hier="236" item="0"/>
          <tpl fld="4" item="1"/>
        </tpls>
      </m>
      <m>
        <tpls c="4">
          <tpl fld="7" item="736"/>
          <tpl fld="6" item="2"/>
          <tpl hier="236" item="0"/>
          <tpl fld="1" item="0"/>
        </tpls>
      </m>
      <m>
        <tpls c="4">
          <tpl fld="7" item="1099"/>
          <tpl fld="6" item="1"/>
          <tpl hier="236" item="0"/>
          <tpl fld="4" item="1"/>
        </tpls>
      </m>
      <m>
        <tpls c="4">
          <tpl fld="7" item="739"/>
          <tpl fld="6" item="1"/>
          <tpl hier="236" item="0"/>
          <tpl fld="1" item="0"/>
        </tpls>
      </m>
      <m>
        <tpls c="4">
          <tpl fld="7" item="997"/>
          <tpl fld="6" item="2"/>
          <tpl hier="236" item="0"/>
          <tpl fld="4" item="4"/>
        </tpls>
      </m>
      <m>
        <tpls c="3">
          <tpl fld="7" item="742"/>
          <tpl fld="6" item="3"/>
          <tpl hier="236" item="0"/>
        </tpls>
      </m>
      <n v="9" in="1">
        <tpls c="4">
          <tpl fld="7" item="894"/>
          <tpl fld="6" item="1"/>
          <tpl hier="236" item="0"/>
          <tpl fld="4" item="4"/>
        </tpls>
      </n>
      <m>
        <tpls c="4">
          <tpl fld="7" item="827"/>
          <tpl fld="6" item="2"/>
          <tpl hier="236" item="0"/>
          <tpl fld="4" item="6"/>
        </tpls>
      </m>
      <m>
        <tpls c="4">
          <tpl fld="7" item="829"/>
          <tpl fld="6" item="2"/>
          <tpl hier="236" item="0"/>
          <tpl fld="4" item="6"/>
        </tpls>
      </m>
      <m>
        <tpls c="4">
          <tpl fld="7" item="832"/>
          <tpl fld="6" item="2"/>
          <tpl hier="236" item="0"/>
          <tpl fld="4" item="1"/>
        </tpls>
      </m>
      <n v="6" in="1">
        <tpls c="4">
          <tpl fld="7" item="899"/>
          <tpl fld="6" item="1"/>
          <tpl hier="236" item="0"/>
          <tpl fld="4" item="4"/>
        </tpls>
      </n>
      <m>
        <tpls c="4">
          <tpl fld="7" item="1005"/>
          <tpl fld="6" item="2"/>
          <tpl hier="236" item="0"/>
          <tpl fld="4" item="4"/>
        </tpls>
      </m>
      <m>
        <tpls c="4">
          <tpl fld="7" item="1192"/>
          <tpl fld="6" item="1"/>
          <tpl hier="236" item="0"/>
          <tpl fld="4" item="6"/>
        </tpls>
      </m>
      <m>
        <tpls c="3">
          <tpl fld="7" item="1010"/>
          <tpl fld="6" item="3"/>
          <tpl hier="236" item="0"/>
        </tpls>
      </m>
      <n v="1" in="2">
        <tpls c="4">
          <tpl fld="7" item="848"/>
          <tpl fld="6" item="2"/>
          <tpl hier="236" item="0"/>
          <tpl fld="4" item="1"/>
        </tpls>
      </n>
      <n v="24" in="1">
        <tpls c="4">
          <tpl fld="7" item="911"/>
          <tpl fld="6" item="1"/>
          <tpl hier="236" item="0"/>
          <tpl fld="4" item="4"/>
        </tpls>
      </n>
      <m>
        <tpls c="4">
          <tpl fld="7" item="1017"/>
          <tpl fld="6" item="2"/>
          <tpl hier="236" item="0"/>
          <tpl fld="4" item="4"/>
        </tpls>
      </m>
      <m>
        <tpls c="4">
          <tpl fld="7" item="1195"/>
          <tpl fld="6" item="1"/>
          <tpl hier="236" item="0"/>
          <tpl fld="4" item="6"/>
        </tpls>
      </m>
      <m>
        <tpls c="3">
          <tpl fld="7" item="1022"/>
          <tpl fld="6" item="3"/>
          <tpl hier="236" item="0"/>
        </tpls>
      </m>
      <m>
        <tpls c="4">
          <tpl fld="7" item="864"/>
          <tpl fld="6" item="2"/>
          <tpl hier="236" item="0"/>
          <tpl fld="4" item="1"/>
        </tpls>
      </m>
      <n v="1" in="1">
        <tpls c="4">
          <tpl fld="7" item="923"/>
          <tpl fld="6" item="1"/>
          <tpl hier="236" item="0"/>
          <tpl fld="4" item="4"/>
        </tpls>
      </n>
      <m>
        <tpls c="4">
          <tpl fld="7" item="1029"/>
          <tpl fld="6" item="2"/>
          <tpl hier="236" item="0"/>
          <tpl fld="4" item="4"/>
        </tpls>
      </m>
      <m>
        <tpls c="4">
          <tpl fld="7" item="1137"/>
          <tpl fld="6" item="2"/>
          <tpl hier="236" item="0"/>
          <tpl fld="4" item="1"/>
        </tpls>
      </m>
      <m>
        <tpls c="4">
          <tpl fld="7" item="1145"/>
          <tpl fld="6" item="2"/>
          <tpl hier="236" item="0"/>
          <tpl fld="4" item="1"/>
        </tpls>
      </m>
      <m>
        <tpls c="4">
          <tpl fld="7" item="1153"/>
          <tpl fld="6" item="2"/>
          <tpl hier="236" item="0"/>
          <tpl fld="4" item="1"/>
        </tpls>
      </m>
      <m>
        <tpls c="4">
          <tpl fld="7" item="1161"/>
          <tpl fld="6" item="2"/>
          <tpl hier="236" item="0"/>
          <tpl fld="4" item="1"/>
        </tpls>
      </m>
      <m>
        <tpls c="4">
          <tpl fld="7" item="1169"/>
          <tpl fld="6" item="2"/>
          <tpl hier="236" item="0"/>
          <tpl fld="4" item="1"/>
        </tpls>
      </m>
      <m>
        <tpls c="4">
          <tpl fld="7" item="1177"/>
          <tpl fld="6" item="2"/>
          <tpl hier="236" item="0"/>
          <tpl fld="4" item="1"/>
        </tpls>
      </m>
      <m>
        <tpls c="4">
          <tpl fld="7" item="1183"/>
          <tpl fld="6" item="2"/>
          <tpl hier="236" item="0"/>
          <tpl fld="1" item="0"/>
        </tpls>
      </m>
      <m>
        <tpls c="4">
          <tpl fld="7" item="1019"/>
          <tpl fld="6" item="2"/>
          <tpl hier="236" item="0"/>
          <tpl fld="1" item="0"/>
        </tpls>
      </m>
      <m>
        <tpls c="4">
          <tpl fld="7" item="1007"/>
          <tpl fld="6" item="2"/>
          <tpl hier="236" item="0"/>
          <tpl fld="1" item="0"/>
        </tpls>
      </m>
      <m>
        <tpls c="4">
          <tpl fld="7" item="302"/>
          <tpl fld="6" item="2"/>
          <tpl hier="236" item="0"/>
          <tpl fld="1" item="0"/>
        </tpls>
      </m>
      <m>
        <tpls c="4">
          <tpl fld="7" item="512"/>
          <tpl fld="6" item="2"/>
          <tpl hier="236" item="0"/>
          <tpl fld="1" item="0"/>
        </tpls>
      </m>
      <m>
        <tpls c="4">
          <tpl fld="7" item="496"/>
          <tpl fld="6" item="2"/>
          <tpl hier="236" item="0"/>
          <tpl fld="1" item="0"/>
        </tpls>
      </m>
      <m>
        <tpls c="4">
          <tpl fld="7" item="492"/>
          <tpl fld="6" item="2"/>
          <tpl hier="236" item="0"/>
          <tpl fld="1" item="0"/>
        </tpls>
      </m>
      <m>
        <tpls c="4">
          <tpl fld="7" item="181"/>
          <tpl fld="6" item="2"/>
          <tpl hier="236" item="0"/>
          <tpl fld="1" item="0"/>
        </tpls>
      </m>
      <m>
        <tpls c="4">
          <tpl fld="7" item="49"/>
          <tpl fld="6" item="2"/>
          <tpl hier="236" item="0"/>
          <tpl fld="1" item="0"/>
        </tpls>
      </m>
      <m>
        <tpls c="4">
          <tpl fld="7" item="131"/>
          <tpl fld="6" item="2"/>
          <tpl hier="236" item="0"/>
          <tpl fld="1" item="0"/>
        </tpls>
      </m>
      <m>
        <tpls c="4">
          <tpl fld="7" item="473"/>
          <tpl fld="6" item="2"/>
          <tpl hier="236" item="0"/>
          <tpl fld="1" item="0"/>
        </tpls>
      </m>
      <m>
        <tpls c="4">
          <tpl fld="7" item="125"/>
          <tpl fld="6" item="2"/>
          <tpl hier="236" item="0"/>
          <tpl fld="1" item="0"/>
        </tpls>
      </m>
      <m>
        <tpls c="4">
          <tpl fld="7" item="1130"/>
          <tpl fld="6" item="2"/>
          <tpl hier="236" item="0"/>
          <tpl fld="4" item="5"/>
        </tpls>
      </m>
      <m>
        <tpls c="4">
          <tpl fld="7" item="1118"/>
          <tpl fld="6" item="2"/>
          <tpl hier="236" item="0"/>
          <tpl fld="4" item="5"/>
        </tpls>
      </m>
      <m>
        <tpls c="4">
          <tpl fld="7" item="1106"/>
          <tpl fld="6" item="2"/>
          <tpl hier="236" item="0"/>
          <tpl fld="4" item="5"/>
        </tpls>
      </m>
      <m>
        <tpls c="4">
          <tpl fld="7" item="523"/>
          <tpl fld="6" item="2"/>
          <tpl hier="236" item="0"/>
          <tpl fld="4" item="5"/>
        </tpls>
      </m>
      <m>
        <tpls c="4">
          <tpl fld="7" item="507"/>
          <tpl fld="6" item="2"/>
          <tpl hier="236" item="0"/>
          <tpl fld="4" item="5"/>
        </tpls>
      </m>
      <m>
        <tpls c="4">
          <tpl fld="7" item="697"/>
          <tpl fld="6" item="2"/>
          <tpl hier="236" item="0"/>
          <tpl fld="4" item="6"/>
        </tpls>
      </m>
      <m>
        <tpls c="4">
          <tpl fld="7" item="636"/>
          <tpl fld="6" item="1"/>
          <tpl hier="236" item="0"/>
          <tpl fld="4" item="4"/>
        </tpls>
      </m>
      <m>
        <tpls c="4">
          <tpl fld="7" item="723"/>
          <tpl fld="6" item="1"/>
          <tpl hier="236" item="0"/>
          <tpl fld="4" item="5"/>
        </tpls>
      </m>
      <n v="1" in="1">
        <tpls c="4">
          <tpl fld="7" item="810"/>
          <tpl fld="6" item="1"/>
          <tpl hier="236" item="0"/>
          <tpl fld="4" item="1"/>
        </tpls>
      </n>
      <n v="3" in="1">
        <tpls c="4">
          <tpl fld="7" item="816"/>
          <tpl fld="6" item="1"/>
          <tpl hier="236" item="0"/>
          <tpl fld="4" item="4"/>
        </tpls>
      </n>
      <m>
        <tpls c="4">
          <tpl fld="7" item="740"/>
          <tpl fld="6" item="1"/>
          <tpl hier="236" item="0"/>
          <tpl fld="4" item="6"/>
        </tpls>
      </m>
      <n v="13" in="1">
        <tpls c="4">
          <tpl fld="7" item="1264"/>
          <tpl fld="6" item="1"/>
          <tpl hier="236" item="0"/>
          <tpl fld="4" item="1"/>
        </tpls>
      </n>
      <n v="2" in="1">
        <tpls c="4">
          <tpl fld="7" item="903"/>
          <tpl fld="6" item="1"/>
          <tpl hier="236" item="0"/>
          <tpl fld="4" item="4"/>
        </tpls>
      </n>
      <m>
        <tpls c="4">
          <tpl fld="7" item="1119"/>
          <tpl fld="6" item="2"/>
          <tpl hier="236" item="0"/>
          <tpl fld="4" item="1"/>
        </tpls>
      </m>
      <m>
        <tpls c="3">
          <tpl fld="7" item="866"/>
          <tpl fld="6" item="3"/>
          <tpl hier="236" item="0"/>
        </tpls>
      </m>
      <n v="1" in="1">
        <tpls c="4">
          <tpl fld="7" item="1202"/>
          <tpl fld="6" item="1"/>
          <tpl hier="236" item="0"/>
          <tpl fld="4" item="4"/>
        </tpls>
      </n>
      <n v="1" in="1">
        <tpls c="4">
          <tpl fld="7" item="1210"/>
          <tpl fld="6" item="1"/>
          <tpl hier="236" item="0"/>
          <tpl fld="4" item="4"/>
        </tpls>
      </n>
      <n v="0.95945945945945943" in="2">
        <tpls c="4">
          <tpl fld="7" item="601"/>
          <tpl fld="6" item="2"/>
          <tpl hier="236" item="0"/>
          <tpl fld="1" item="0"/>
        </tpls>
      </n>
      <m>
        <tpls c="4">
          <tpl fld="7" item="672"/>
          <tpl fld="6" item="2"/>
          <tpl hier="236" item="0"/>
          <tpl fld="1" item="0"/>
        </tpls>
      </m>
      <m>
        <tpls c="4">
          <tpl fld="7" item="255"/>
          <tpl fld="6" item="2"/>
          <tpl hier="236" item="0"/>
          <tpl fld="1" item="0"/>
        </tpls>
      </m>
      <m>
        <tpls c="4">
          <tpl fld="7" item="229"/>
          <tpl fld="6" item="2"/>
          <tpl hier="236" item="0"/>
          <tpl fld="1" item="0"/>
        </tpls>
      </m>
      <m>
        <tpls c="4">
          <tpl fld="7" item="1015"/>
          <tpl fld="6" item="2"/>
          <tpl hier="236" item="0"/>
          <tpl fld="4" item="5"/>
        </tpls>
      </m>
      <m>
        <tpls c="4">
          <tpl fld="7" item="1102"/>
          <tpl fld="6" item="2"/>
          <tpl hier="236" item="0"/>
          <tpl fld="4" item="5"/>
        </tpls>
      </m>
      <m>
        <tpls c="4">
          <tpl fld="7" item="371"/>
          <tpl fld="6" item="2"/>
          <tpl hier="236" item="0"/>
          <tpl fld="4" item="5"/>
        </tpls>
      </m>
      <m>
        <tpls c="4">
          <tpl fld="7" item="353"/>
          <tpl fld="6" item="2"/>
          <tpl hier="236" item="0"/>
          <tpl fld="4" item="5"/>
        </tpls>
      </m>
      <m>
        <tpls c="4">
          <tpl fld="7" item="314"/>
          <tpl fld="6" item="2"/>
          <tpl hier="236" item="0"/>
          <tpl fld="4" item="5"/>
        </tpls>
      </m>
      <m>
        <tpls c="4">
          <tpl fld="7" item="288"/>
          <tpl fld="6" item="2"/>
          <tpl hier="236" item="0"/>
          <tpl fld="4" item="5"/>
        </tpls>
      </m>
      <m>
        <tpls c="4">
          <tpl fld="7" item="151"/>
          <tpl fld="6" item="2"/>
          <tpl hier="236" item="0"/>
          <tpl fld="4" item="5"/>
        </tpls>
      </m>
      <m>
        <tpls c="4">
          <tpl fld="7" item="331"/>
          <tpl fld="6" item="2"/>
          <tpl hier="236" item="0"/>
          <tpl fld="4" item="5"/>
        </tpls>
      </m>
      <m>
        <tpls c="4">
          <tpl fld="7" item="27"/>
          <tpl fld="6" item="2"/>
          <tpl hier="236" item="0"/>
          <tpl fld="4" item="5"/>
        </tpls>
      </m>
      <m>
        <tpls c="4">
          <tpl fld="7" item="589"/>
          <tpl fld="6" item="2"/>
          <tpl hier="236" item="0"/>
          <tpl fld="4" item="5"/>
        </tpls>
      </m>
      <m>
        <tpls c="4">
          <tpl fld="7" item="921"/>
          <tpl fld="6" item="2"/>
          <tpl hier="236" item="0"/>
          <tpl fld="4" item="6"/>
        </tpls>
      </m>
      <m>
        <tpls c="4">
          <tpl fld="7" item="909"/>
          <tpl fld="6" item="2"/>
          <tpl hier="236" item="0"/>
          <tpl fld="4" item="6"/>
        </tpls>
      </m>
      <m>
        <tpls c="4">
          <tpl fld="7" item="897"/>
          <tpl fld="6" item="2"/>
          <tpl hier="236" item="0"/>
          <tpl fld="4" item="6"/>
        </tpls>
      </m>
      <n v="1.9579729729729727" in="2">
        <tpls c="4">
          <tpl fld="7" item="444"/>
          <tpl fld="6" item="2"/>
          <tpl hier="236" item="0"/>
          <tpl fld="4" item="6"/>
        </tpls>
      </n>
      <m>
        <tpls c="4">
          <tpl fld="7" item="428"/>
          <tpl fld="6" item="2"/>
          <tpl hier="236" item="0"/>
          <tpl fld="4" item="6"/>
        </tpls>
      </m>
      <m>
        <tpls c="4">
          <tpl fld="7" item="205"/>
          <tpl fld="6" item="2"/>
          <tpl hier="236" item="0"/>
          <tpl fld="4" item="6"/>
        </tpls>
      </m>
      <m>
        <tpls c="4">
          <tpl fld="7" item="81"/>
          <tpl fld="6" item="2"/>
          <tpl hier="236" item="0"/>
          <tpl fld="4" item="6"/>
        </tpls>
      </m>
      <m>
        <tpls c="4">
          <tpl fld="7" item="65"/>
          <tpl fld="6" item="2"/>
          <tpl hier="236" item="0"/>
          <tpl fld="4" item="6"/>
        </tpls>
      </m>
      <m>
        <tpls c="4">
          <tpl fld="7" item="670"/>
          <tpl fld="6" item="2"/>
          <tpl hier="236" item="0"/>
          <tpl fld="4" item="6"/>
        </tpls>
      </m>
      <m>
        <tpls c="4">
          <tpl fld="7" item="17"/>
          <tpl fld="6" item="2"/>
          <tpl hier="236" item="0"/>
          <tpl fld="4" item="6"/>
        </tpls>
      </m>
      <m>
        <tpls c="4">
          <tpl fld="7" item="919"/>
          <tpl fld="6" item="1"/>
          <tpl hier="236" item="0"/>
          <tpl fld="4" item="5"/>
        </tpls>
      </m>
      <m>
        <tpls c="4">
          <tpl fld="7" item="907"/>
          <tpl fld="6" item="1"/>
          <tpl hier="236" item="0"/>
          <tpl fld="4" item="5"/>
        </tpls>
      </m>
      <m>
        <tpls c="4">
          <tpl fld="7" item="748"/>
          <tpl fld="6" item="1"/>
          <tpl hier="236" item="0"/>
          <tpl fld="4" item="5"/>
        </tpls>
      </m>
      <m>
        <tpls c="4">
          <tpl fld="7" item="371"/>
          <tpl fld="6" item="1"/>
          <tpl hier="236" item="0"/>
          <tpl fld="4" item="5"/>
        </tpls>
      </m>
      <m>
        <tpls c="4">
          <tpl fld="7" item="355"/>
          <tpl fld="6" item="1"/>
          <tpl hier="236" item="0"/>
          <tpl fld="4" item="5"/>
        </tpls>
      </m>
      <m>
        <tpls c="4">
          <tpl fld="7" item="203"/>
          <tpl fld="6" item="1"/>
          <tpl hier="236" item="0"/>
          <tpl fld="4" item="5"/>
        </tpls>
      </m>
      <m>
        <tpls c="4">
          <tpl fld="7" item="79"/>
          <tpl fld="6" item="1"/>
          <tpl hier="236" item="0"/>
          <tpl fld="4" item="5"/>
        </tpls>
      </m>
      <m>
        <tpls c="4">
          <tpl fld="7" item="279"/>
          <tpl fld="6" item="1"/>
          <tpl hier="236" item="0"/>
          <tpl fld="4" item="5"/>
        </tpls>
      </m>
      <m>
        <tpls c="4">
          <tpl fld="7" item="29"/>
          <tpl fld="6" item="1"/>
          <tpl hier="236" item="0"/>
          <tpl fld="4" item="5"/>
        </tpls>
      </m>
      <m>
        <tpls c="4">
          <tpl fld="7" item="123"/>
          <tpl fld="6" item="1"/>
          <tpl hier="236" item="0"/>
          <tpl fld="4" item="5"/>
        </tpls>
      </m>
      <n v="0" in="1">
        <tpls c="4">
          <tpl fld="7" item="1068"/>
          <tpl fld="6" item="1"/>
          <tpl hier="236" item="0"/>
          <tpl fld="4" item="1"/>
        </tpls>
      </n>
      <m>
        <tpls c="4">
          <tpl fld="7" item="1052"/>
          <tpl fld="6" item="1"/>
          <tpl hier="236" item="0"/>
          <tpl fld="4" item="1"/>
        </tpls>
      </m>
      <n v="1" in="1">
        <tpls c="4">
          <tpl fld="7" item="1036"/>
          <tpl fld="6" item="1"/>
          <tpl hier="236" item="0"/>
          <tpl fld="4" item="1"/>
        </tpls>
      </n>
      <m>
        <tpls c="4">
          <tpl fld="7" item="1248"/>
          <tpl fld="6" item="1"/>
          <tpl hier="236" item="0"/>
          <tpl fld="4" item="1"/>
        </tpls>
      </m>
      <n v="7" in="1">
        <tpls c="4">
          <tpl fld="7" item="1245"/>
          <tpl fld="6" item="1"/>
          <tpl hier="236" item="0"/>
          <tpl fld="4" item="1"/>
        </tpls>
      </n>
      <n v="5" in="1">
        <tpls c="4">
          <tpl fld="7" item="1242"/>
          <tpl fld="6" item="1"/>
          <tpl hier="236" item="0"/>
          <tpl fld="4" item="1"/>
        </tpls>
      </n>
      <m>
        <tpls c="4">
          <tpl fld="7" item="521"/>
          <tpl fld="6" item="1"/>
          <tpl hier="236" item="0"/>
          <tpl fld="4" item="1"/>
        </tpls>
      </m>
      <n v="5" in="1">
        <tpls c="4">
          <tpl fld="7" item="505"/>
          <tpl fld="6" item="1"/>
          <tpl hier="236" item="0"/>
          <tpl fld="4" item="1"/>
        </tpls>
      </n>
      <m>
        <tpls c="4">
          <tpl fld="7" item="674"/>
          <tpl fld="6" item="1"/>
          <tpl hier="236" item="0"/>
          <tpl fld="4" item="1"/>
        </tpls>
      </m>
      <m>
        <tpls c="4">
          <tpl fld="7" item="299"/>
          <tpl fld="6" item="1"/>
          <tpl hier="236" item="0"/>
          <tpl fld="4" item="1"/>
        </tpls>
      </m>
      <m>
        <tpls c="4">
          <tpl fld="7" item="283"/>
          <tpl fld="6" item="1"/>
          <tpl hier="236" item="0"/>
          <tpl fld="4" item="1"/>
        </tpls>
      </m>
      <m>
        <tpls c="4">
          <tpl fld="7" item="275"/>
          <tpl fld="6" item="1"/>
          <tpl hier="236" item="0"/>
          <tpl fld="4" item="1"/>
        </tpls>
      </m>
      <m>
        <tpls c="4">
          <tpl fld="7" item="38"/>
          <tpl fld="6" item="1"/>
          <tpl hier="236" item="0"/>
          <tpl fld="4" item="1"/>
        </tpls>
      </m>
      <m>
        <tpls c="4">
          <tpl fld="7" item="113"/>
          <tpl fld="6" item="1"/>
          <tpl hier="236" item="0"/>
          <tpl fld="4" item="1"/>
        </tpls>
      </m>
      <m>
        <tpls c="4">
          <tpl fld="7" item="118"/>
          <tpl fld="6" item="1"/>
          <tpl hier="236" item="0"/>
          <tpl fld="4" item="1"/>
        </tpls>
      </m>
      <n v="5" in="1">
        <tpls c="4">
          <tpl fld="7" item="859"/>
          <tpl fld="6" item="1"/>
          <tpl hier="236" item="0"/>
          <tpl fld="1" item="0"/>
        </tpls>
      </n>
      <n v="0" in="1">
        <tpls c="4">
          <tpl fld="7" item="843"/>
          <tpl fld="6" item="1"/>
          <tpl hier="236" item="0"/>
          <tpl fld="1" item="0"/>
        </tpls>
      </n>
      <n v="9" in="1">
        <tpls c="4">
          <tpl fld="7" item="384"/>
          <tpl fld="6" item="1"/>
          <tpl hier="236" item="0"/>
          <tpl fld="1" item="0"/>
        </tpls>
      </n>
      <m>
        <tpls c="4">
          <tpl fld="7" item="780"/>
          <tpl fld="6" item="2"/>
          <tpl hier="236" item="0"/>
          <tpl fld="1" item="0"/>
        </tpls>
      </m>
      <m>
        <tpls c="4">
          <tpl fld="7" item="717"/>
          <tpl fld="6" item="1"/>
          <tpl hier="236" item="0"/>
          <tpl fld="4" item="6"/>
        </tpls>
      </m>
      <n v="8" in="1">
        <tpls c="4">
          <tpl fld="7" item="587"/>
          <tpl fld="6" item="1"/>
          <tpl hier="236" item="0"/>
          <tpl fld="4" item="6"/>
        </tpls>
      </n>
      <m>
        <tpls c="4">
          <tpl fld="7" item="649"/>
          <tpl fld="6" item="1"/>
          <tpl hier="236" item="0"/>
          <tpl fld="1" item="0"/>
        </tpls>
      </m>
      <m>
        <tpls c="4">
          <tpl fld="7" item="1189"/>
          <tpl fld="6" item="2"/>
          <tpl hier="236" item="0"/>
          <tpl fld="4" item="5"/>
        </tpls>
      </m>
      <m>
        <tpls c="4">
          <tpl fld="7" item="997"/>
          <tpl fld="6" item="2"/>
          <tpl hier="236" item="0"/>
          <tpl fld="4" item="1"/>
        </tpls>
      </m>
      <m>
        <tpls c="4">
          <tpl fld="7" item="829"/>
          <tpl fld="6" item="2"/>
          <tpl hier="236" item="0"/>
          <tpl fld="4" item="1"/>
        </tpls>
      </m>
      <n v="4" in="1">
        <tpls c="4">
          <tpl fld="7" item="1192"/>
          <tpl fld="6" item="1"/>
          <tpl hier="236" item="0"/>
          <tpl fld="4" item="4"/>
        </tpls>
      </n>
      <m>
        <tpls c="4">
          <tpl fld="7" item="1017"/>
          <tpl fld="6" item="2"/>
          <tpl hier="236" item="0"/>
          <tpl fld="4" item="1"/>
        </tpls>
      </m>
      <m>
        <tpls c="3">
          <tpl fld="7" item="867"/>
          <tpl fld="6" item="3"/>
          <tpl hier="236" item="0"/>
        </tpls>
      </m>
      <m>
        <tpls c="4">
          <tpl fld="7" item="1050"/>
          <tpl fld="6" item="1"/>
          <tpl hier="236" item="0"/>
          <tpl fld="4" item="4"/>
        </tpls>
      </m>
      <m>
        <tpls c="4">
          <tpl fld="7" item="1262"/>
          <tpl fld="6" item="2"/>
          <tpl hier="236" item="0"/>
          <tpl fld="1" item="0"/>
        </tpls>
      </m>
      <n v="4" in="2">
        <tpls c="4">
          <tpl fld="7" item="878"/>
          <tpl fld="6" item="2"/>
          <tpl hier="236" item="0"/>
          <tpl fld="1" item="0"/>
        </tpls>
      </n>
      <m>
        <tpls c="4">
          <tpl fld="7" item="65"/>
          <tpl fld="6" item="2"/>
          <tpl hier="236" item="0"/>
          <tpl fld="1" item="0"/>
        </tpls>
      </m>
      <m>
        <tpls c="4">
          <tpl fld="7" item="144"/>
          <tpl fld="6" item="2"/>
          <tpl hier="236" item="0"/>
          <tpl fld="1" item="0"/>
        </tpls>
      </m>
      <m>
        <tpls c="4">
          <tpl fld="7" item="467"/>
          <tpl fld="6" item="2"/>
          <tpl hier="236" item="0"/>
          <tpl fld="1" item="0"/>
        </tpls>
      </m>
      <m>
        <tpls c="4">
          <tpl fld="7" item="850"/>
          <tpl fld="6" item="2"/>
          <tpl hier="236" item="0"/>
          <tpl fld="4" item="5"/>
        </tpls>
      </m>
      <m>
        <tpls c="4">
          <tpl fld="7" item="101"/>
          <tpl fld="6" item="2"/>
          <tpl hier="236" item="0"/>
          <tpl fld="4" item="5"/>
        </tpls>
      </m>
      <m>
        <tpls c="4">
          <tpl fld="7" item="440"/>
          <tpl fld="6" item="2"/>
          <tpl hier="236" item="0"/>
          <tpl fld="4" item="5"/>
        </tpls>
      </m>
      <m>
        <tpls c="4">
          <tpl fld="7" item="493"/>
          <tpl fld="6" item="2"/>
          <tpl hier="236" item="0"/>
          <tpl fld="4" item="5"/>
        </tpls>
      </m>
      <m>
        <tpls c="4">
          <tpl fld="7" item="309"/>
          <tpl fld="6" item="2"/>
          <tpl hier="236" item="0"/>
          <tpl fld="4" item="5"/>
        </tpls>
      </m>
      <m>
        <tpls c="4">
          <tpl fld="7" item="413"/>
          <tpl fld="6" item="2"/>
          <tpl hier="236" item="0"/>
          <tpl fld="4" item="5"/>
        </tpls>
      </m>
      <m>
        <tpls c="4">
          <tpl fld="7" item="170"/>
          <tpl fld="6" item="2"/>
          <tpl hier="236" item="0"/>
          <tpl fld="4" item="5"/>
        </tpls>
      </m>
      <m>
        <tpls c="4">
          <tpl fld="7" item="258"/>
          <tpl fld="6" item="2"/>
          <tpl hier="236" item="0"/>
          <tpl fld="4" item="5"/>
        </tpls>
      </m>
      <m>
        <tpls c="4">
          <tpl fld="7" item="402"/>
          <tpl fld="6" item="2"/>
          <tpl hier="236" item="0"/>
          <tpl fld="4" item="5"/>
        </tpls>
      </m>
      <m>
        <tpls c="4">
          <tpl fld="7" item="326"/>
          <tpl fld="6" item="2"/>
          <tpl hier="236" item="0"/>
          <tpl fld="4" item="5"/>
        </tpls>
      </m>
      <m>
        <tpls c="4">
          <tpl fld="7" item="920"/>
          <tpl fld="6" item="2"/>
          <tpl hier="236" item="0"/>
          <tpl fld="4" item="6"/>
        </tpls>
      </m>
      <m>
        <tpls c="4">
          <tpl fld="7" item="908"/>
          <tpl fld="6" item="2"/>
          <tpl hier="236" item="0"/>
          <tpl fld="4" item="6"/>
        </tpls>
      </m>
      <m>
        <tpls c="4">
          <tpl fld="7" item="896"/>
          <tpl fld="6" item="2"/>
          <tpl hier="236" item="0"/>
          <tpl fld="4" item="6"/>
        </tpls>
      </m>
      <m>
        <tpls c="4">
          <tpl fld="7" item="372"/>
          <tpl fld="6" item="2"/>
          <tpl hier="236" item="0"/>
          <tpl fld="4" item="6"/>
        </tpls>
      </m>
      <m>
        <tpls c="4">
          <tpl fld="7" item="356"/>
          <tpl fld="6" item="2"/>
          <tpl hier="236" item="0"/>
          <tpl fld="4" item="6"/>
        </tpls>
      </m>
      <m>
        <tpls c="4">
          <tpl fld="7" item="96"/>
          <tpl fld="6" item="2"/>
          <tpl hier="236" item="0"/>
          <tpl fld="4" item="6"/>
        </tpls>
      </m>
      <m>
        <tpls c="4">
          <tpl fld="7" item="296"/>
          <tpl fld="6" item="2"/>
          <tpl hier="236" item="0"/>
          <tpl fld="4" item="6"/>
        </tpls>
      </m>
      <m>
        <tpls c="4">
          <tpl fld="7" item="280"/>
          <tpl fld="6" item="2"/>
          <tpl hier="236" item="0"/>
          <tpl fld="4" item="6"/>
        </tpls>
      </m>
      <m>
        <tpls c="4">
          <tpl fld="7" item="403"/>
          <tpl fld="6" item="2"/>
          <tpl hier="236" item="0"/>
          <tpl fld="4" item="6"/>
        </tpls>
      </m>
      <m>
        <tpls c="4">
          <tpl fld="7" item="232"/>
          <tpl fld="6" item="2"/>
          <tpl hier="236" item="0"/>
          <tpl fld="4" item="6"/>
        </tpls>
      </m>
      <n v="1" in="1">
        <tpls c="4">
          <tpl fld="7" item="918"/>
          <tpl fld="6" item="1"/>
          <tpl hier="236" item="0"/>
          <tpl fld="4" item="5"/>
        </tpls>
      </n>
      <m>
        <tpls c="4">
          <tpl fld="7" item="906"/>
          <tpl fld="6" item="1"/>
          <tpl hier="236" item="0"/>
          <tpl fld="4" item="5"/>
        </tpls>
      </m>
      <m>
        <tpls c="4">
          <tpl fld="7" item="527"/>
          <tpl fld="6" item="1"/>
          <tpl hier="236" item="0"/>
          <tpl fld="4" item="5"/>
        </tpls>
      </m>
      <m>
        <tpls c="4">
          <tpl fld="7" item="511"/>
          <tpl fld="6" item="1"/>
          <tpl hier="236" item="0"/>
          <tpl fld="4" item="5"/>
        </tpls>
      </m>
      <m>
        <tpls c="4">
          <tpl fld="7" item="495"/>
          <tpl fld="6" item="1"/>
          <tpl hier="236" item="0"/>
          <tpl fld="4" item="5"/>
        </tpls>
      </m>
      <m>
        <tpls c="4">
          <tpl fld="7" item="94"/>
          <tpl fld="6" item="1"/>
          <tpl hier="236" item="0"/>
          <tpl fld="4" item="5"/>
        </tpls>
      </m>
      <m>
        <tpls c="4">
          <tpl fld="7" item="294"/>
          <tpl fld="6" item="1"/>
          <tpl hier="236" item="0"/>
          <tpl fld="4" item="5"/>
        </tpls>
      </m>
      <m>
        <tpls c="4">
          <tpl fld="7" item="334"/>
          <tpl fld="6" item="1"/>
          <tpl hier="236" item="0"/>
          <tpl fld="4" item="5"/>
        </tpls>
      </m>
      <m>
        <tpls c="4">
          <tpl fld="7" item="147"/>
          <tpl fld="6" item="1"/>
          <tpl hier="236" item="0"/>
          <tpl fld="4" item="5"/>
        </tpls>
      </m>
      <m>
        <tpls c="4">
          <tpl fld="7" item="14"/>
          <tpl fld="6" item="1"/>
          <tpl hier="236" item="0"/>
          <tpl fld="4" item="5"/>
        </tpls>
      </m>
      <n v="1" in="1">
        <tpls c="4">
          <tpl fld="7" item="963"/>
          <tpl fld="6" item="1"/>
          <tpl hier="236" item="0"/>
          <tpl fld="4" item="1"/>
        </tpls>
      </n>
      <m>
        <tpls c="3">
          <tpl fld="7" item="877"/>
          <tpl fld="6" item="3"/>
          <tpl hier="236" item="0"/>
        </tpls>
      </m>
      <m>
        <tpls c="3">
          <tpl fld="7" item="773"/>
          <tpl fld="6" item="3"/>
          <tpl hier="236" item="0"/>
        </tpls>
      </m>
      <n v="4" in="1">
        <tpls c="4">
          <tpl fld="7" item="882"/>
          <tpl fld="6" item="1"/>
          <tpl hier="236" item="0"/>
          <tpl fld="1" item="0"/>
        </tpls>
      </n>
      <m>
        <tpls c="4">
          <tpl fld="7" item="1276"/>
          <tpl fld="6" item="2"/>
          <tpl hier="236" item="0"/>
          <tpl fld="4" item="5"/>
        </tpls>
      </m>
      <m>
        <tpls c="4">
          <tpl fld="7" item="888"/>
          <tpl fld="6" item="2"/>
          <tpl hier="236" item="0"/>
          <tpl fld="4" item="1"/>
        </tpls>
      </m>
      <m>
        <tpls c="4">
          <tpl fld="7" item="742"/>
          <tpl fld="6" item="2"/>
          <tpl hier="236" item="0"/>
          <tpl fld="4" item="4"/>
        </tpls>
      </m>
      <m>
        <tpls c="4">
          <tpl fld="7" item="1132"/>
          <tpl fld="6" item="2"/>
          <tpl hier="236" item="0"/>
          <tpl fld="4" item="1"/>
        </tpls>
      </m>
      <m>
        <tpls c="4">
          <tpl fld="7" item="224"/>
          <tpl fld="6" item="2"/>
          <tpl hier="236" item="0"/>
          <tpl fld="1" item="0"/>
        </tpls>
      </m>
      <n v="2" in="2">
        <tpls c="4">
          <tpl fld="7" item="626"/>
          <tpl fld="6" item="2"/>
          <tpl hier="236" item="0"/>
          <tpl fld="1" item="0"/>
        </tpls>
      </n>
      <n v="14" in="1">
        <tpls c="4">
          <tpl fld="7" item="804"/>
          <tpl fld="6" item="1"/>
          <tpl hier="236" item="0"/>
          <tpl fld="4" item="6"/>
        </tpls>
      </n>
      <n v="8" in="1">
        <tpls c="4">
          <tpl fld="7" item="811"/>
          <tpl fld="6" item="1"/>
          <tpl hier="236" item="0"/>
          <tpl fld="1" item="0"/>
        </tpls>
      </n>
      <m>
        <tpls c="4">
          <tpl fld="7" item="818"/>
          <tpl fld="6" item="2"/>
          <tpl hier="236" item="0"/>
          <tpl fld="1" item="0"/>
        </tpls>
      </m>
      <m>
        <tpls c="3">
          <tpl fld="7" item="824"/>
          <tpl fld="6" item="3"/>
          <tpl hier="236" item="0"/>
        </tpls>
      </m>
      <m>
        <tpls c="3">
          <tpl fld="7" item="897"/>
          <tpl fld="6" item="3"/>
          <tpl hier="236" item="0"/>
        </tpls>
      </m>
      <m>
        <tpls c="4">
          <tpl fld="7" item="1113"/>
          <tpl fld="6" item="1"/>
          <tpl hier="236" item="0"/>
          <tpl fld="4" item="6"/>
        </tpls>
      </m>
      <m>
        <tpls c="4">
          <tpl fld="7" item="858"/>
          <tpl fld="6" item="2"/>
          <tpl hier="236" item="0"/>
          <tpl fld="4" item="4"/>
        </tpls>
      </m>
      <n v="12" in="1">
        <tpls c="4">
          <tpl fld="7" item="871"/>
          <tpl fld="6" item="1"/>
          <tpl hier="236" item="0"/>
          <tpl fld="4" item="4"/>
        </tpls>
      </n>
      <n v="5" in="1">
        <tpls c="4">
          <tpl fld="7" item="956"/>
          <tpl fld="6" item="1"/>
          <tpl hier="236" item="0"/>
          <tpl fld="4" item="4"/>
        </tpls>
      </n>
      <m>
        <tpls c="4">
          <tpl fld="7" item="854"/>
          <tpl fld="6" item="2"/>
          <tpl hier="236" item="0"/>
          <tpl fld="1" item="0"/>
        </tpls>
      </m>
      <m>
        <tpls c="4">
          <tpl fld="7" item="352"/>
          <tpl fld="6" item="2"/>
          <tpl hier="236" item="0"/>
          <tpl fld="1" item="0"/>
        </tpls>
      </m>
      <m>
        <tpls c="4">
          <tpl fld="7" item="772"/>
          <tpl fld="6" item="2"/>
          <tpl hier="236" item="0"/>
          <tpl fld="4" item="5"/>
        </tpls>
      </m>
      <m>
        <tpls c="4">
          <tpl fld="7" item="791"/>
          <tpl fld="6" item="2"/>
          <tpl hier="236" item="0"/>
          <tpl fld="1" item="0"/>
        </tpls>
      </m>
      <n v="9" in="1">
        <tpls c="4">
          <tpl fld="7" item="803"/>
          <tpl fld="6" item="1"/>
          <tpl hier="236" item="0"/>
          <tpl fld="4" item="4"/>
        </tpls>
      </n>
      <m>
        <tpls c="4">
          <tpl fld="7" item="1240"/>
          <tpl fld="6" item="1"/>
          <tpl hier="236" item="0"/>
          <tpl fld="4" item="4"/>
        </tpls>
      </m>
      <m>
        <tpls c="4">
          <tpl fld="7" item="814"/>
          <tpl fld="6" item="1"/>
          <tpl hier="236" item="0"/>
          <tpl fld="4" item="6"/>
        </tpls>
      </m>
      <m>
        <tpls c="4">
          <tpl fld="7" item="738"/>
          <tpl fld="6" item="1"/>
          <tpl hier="236" item="0"/>
          <tpl fld="1" item="0"/>
        </tpls>
      </m>
      <n v="26" in="1">
        <tpls c="4">
          <tpl fld="7" item="744"/>
          <tpl fld="6" item="1"/>
          <tpl hier="236" item="0"/>
          <tpl fld="4" item="4"/>
        </tpls>
      </n>
      <n v="6" in="1">
        <tpls c="4">
          <tpl fld="7" item="1191"/>
          <tpl fld="6" item="1"/>
          <tpl hier="236" item="0"/>
          <tpl fld="4" item="4"/>
        </tpls>
      </n>
      <m>
        <tpls c="4">
          <tpl fld="7" item="849"/>
          <tpl fld="6" item="2"/>
          <tpl hier="236" item="0"/>
          <tpl fld="4" item="1"/>
        </tpls>
      </m>
      <m>
        <tpls c="3">
          <tpl fld="7" item="919"/>
          <tpl fld="6" item="3"/>
          <tpl hier="236" item="0"/>
        </tpls>
      </m>
      <m>
        <tpls c="4">
          <tpl fld="7" item="933"/>
          <tpl fld="6" item="2"/>
          <tpl hier="236" item="0"/>
          <tpl fld="4" item="1"/>
        </tpls>
      </m>
      <m>
        <tpls c="4">
          <tpl fld="7" item="965"/>
          <tpl fld="6" item="2"/>
          <tpl hier="236" item="0"/>
          <tpl fld="4" item="1"/>
        </tpls>
      </m>
      <m>
        <tpls c="4">
          <tpl fld="7" item="1106"/>
          <tpl fld="6" item="2"/>
          <tpl hier="236" item="0"/>
          <tpl fld="1" item="0"/>
        </tpls>
      </m>
      <m>
        <tpls c="4">
          <tpl fld="7" item="487"/>
          <tpl fld="6" item="2"/>
          <tpl hier="236" item="0"/>
          <tpl fld="1" item="0"/>
        </tpls>
      </m>
      <m>
        <tpls c="4">
          <tpl fld="7" item="22"/>
          <tpl fld="6" item="2"/>
          <tpl hier="236" item="0"/>
          <tpl fld="1" item="0"/>
        </tpls>
      </m>
      <m>
        <tpls c="4">
          <tpl fld="7" item="749"/>
          <tpl fld="6" item="2"/>
          <tpl hier="236" item="0"/>
          <tpl fld="4" item="5"/>
        </tpls>
      </m>
      <m>
        <tpls c="4">
          <tpl fld="7" item="801"/>
          <tpl fld="6" item="1"/>
          <tpl hier="236" item="0"/>
          <tpl fld="4" item="4"/>
        </tpls>
      </m>
      <n v="1" in="1">
        <tpls c="4">
          <tpl fld="7" item="662"/>
          <tpl fld="6" item="1"/>
          <tpl hier="236" item="0"/>
          <tpl fld="1" item="0"/>
        </tpls>
      </n>
      <m>
        <tpls c="3">
          <tpl fld="7" item="870"/>
          <tpl fld="6" item="3"/>
          <tpl hier="236" item="0"/>
        </tpls>
      </m>
      <m>
        <tpls c="4">
          <tpl fld="7" item="50"/>
          <tpl fld="6" item="2"/>
          <tpl hier="236" item="0"/>
          <tpl fld="1" item="0"/>
        </tpls>
      </m>
      <m>
        <tpls c="4">
          <tpl fld="7" item="683"/>
          <tpl fld="6" item="2"/>
          <tpl hier="236" item="0"/>
          <tpl fld="4" item="5"/>
        </tpls>
      </m>
      <m>
        <tpls c="4">
          <tpl fld="7" item="283"/>
          <tpl fld="6" item="2"/>
          <tpl hier="236" item="0"/>
          <tpl fld="4" item="5"/>
        </tpls>
      </m>
      <m>
        <tpls c="4">
          <tpl fld="7" item="398"/>
          <tpl fld="6" item="2"/>
          <tpl hier="236" item="0"/>
          <tpl fld="4" item="5"/>
        </tpls>
      </m>
      <m>
        <tpls c="4">
          <tpl fld="7" item="439"/>
          <tpl fld="6" item="2"/>
          <tpl hier="236" item="0"/>
          <tpl fld="4" item="6"/>
        </tpls>
      </m>
      <m>
        <tpls c="4">
          <tpl fld="7" item="277"/>
          <tpl fld="6" item="2"/>
          <tpl hier="236" item="0"/>
          <tpl fld="4" item="6"/>
        </tpls>
      </m>
      <m>
        <tpls c="4">
          <tpl fld="7" item="1007"/>
          <tpl fld="6" item="1"/>
          <tpl hier="236" item="0"/>
          <tpl fld="4" item="5"/>
        </tpls>
      </m>
      <m>
        <tpls c="4">
          <tpl fld="7" item="198"/>
          <tpl fld="6" item="1"/>
          <tpl hier="236" item="0"/>
          <tpl fld="4" item="5"/>
        </tpls>
      </m>
      <m>
        <tpls c="4">
          <tpl fld="7" item="118"/>
          <tpl fld="6" item="1"/>
          <tpl hier="236" item="0"/>
          <tpl fld="4" item="5"/>
        </tpls>
      </m>
      <n v="2" in="1">
        <tpls c="4">
          <tpl fld="7" item="918"/>
          <tpl fld="6" item="1"/>
          <tpl hier="236" item="0"/>
          <tpl fld="4" item="1"/>
        </tpls>
      </n>
      <n v="4" in="1">
        <tpls c="4">
          <tpl fld="7" item="500"/>
          <tpl fld="6" item="1"/>
          <tpl hier="236" item="0"/>
          <tpl fld="4" item="1"/>
        </tpls>
      </n>
      <m>
        <tpls c="4">
          <tpl fld="7" item="56"/>
          <tpl fld="6" item="1"/>
          <tpl hier="236" item="0"/>
          <tpl fld="4" item="1"/>
        </tpls>
      </m>
      <m>
        <tpls c="4">
          <tpl fld="7" item="854"/>
          <tpl fld="6" item="1"/>
          <tpl hier="236" item="0"/>
          <tpl fld="1" item="0"/>
        </tpls>
      </m>
      <m>
        <tpls c="4">
          <tpl fld="7" item="582"/>
          <tpl fld="6" item="1"/>
          <tpl hier="236" item="0"/>
          <tpl fld="4" item="5"/>
        </tpls>
      </m>
      <m>
        <tpls c="4">
          <tpl fld="7" item="824"/>
          <tpl fld="6" item="2"/>
          <tpl hier="236" item="0"/>
          <tpl fld="4" item="4"/>
        </tpls>
      </m>
      <m>
        <tpls c="3">
          <tpl fld="7" item="871"/>
          <tpl fld="6" item="3"/>
          <tpl hier="236" item="0"/>
        </tpls>
      </m>
      <m>
        <tpls c="4">
          <tpl fld="7" item="279"/>
          <tpl fld="6" item="2"/>
          <tpl hier="236" item="0"/>
          <tpl fld="1" item="0"/>
        </tpls>
      </m>
      <m>
        <tpls c="4">
          <tpl fld="7" item="1024"/>
          <tpl fld="6" item="2"/>
          <tpl hier="236" item="0"/>
          <tpl fld="4" item="5"/>
        </tpls>
      </m>
      <m>
        <tpls c="4">
          <tpl fld="7" item="899"/>
          <tpl fld="6" item="2"/>
          <tpl hier="236" item="0"/>
          <tpl fld="4" item="5"/>
        </tpls>
      </m>
      <m>
        <tpls c="4">
          <tpl fld="7" item="368"/>
          <tpl fld="6" item="2"/>
          <tpl hier="236" item="0"/>
          <tpl fld="4" item="5"/>
        </tpls>
      </m>
      <m>
        <tpls c="4">
          <tpl fld="7" item="199"/>
          <tpl fld="6" item="2"/>
          <tpl hier="236" item="0"/>
          <tpl fld="4" item="5"/>
        </tpls>
      </m>
      <m>
        <tpls c="4">
          <tpl fld="7" item="980"/>
          <tpl fld="6" item="2"/>
          <tpl hier="236" item="0"/>
          <tpl fld="4" item="5"/>
        </tpls>
      </m>
      <m>
        <tpls c="4">
          <tpl fld="7" item="169"/>
          <tpl fld="6" item="2"/>
          <tpl hier="236" item="0"/>
          <tpl fld="4" item="5"/>
        </tpls>
      </m>
      <m>
        <tpls c="4">
          <tpl fld="7" item="252"/>
          <tpl fld="6" item="2"/>
          <tpl hier="236" item="0"/>
          <tpl fld="4" item="5"/>
        </tpls>
      </m>
      <m>
        <tpls c="4">
          <tpl fld="7" item="127"/>
          <tpl fld="6" item="2"/>
          <tpl hier="236" item="0"/>
          <tpl fld="4" item="5"/>
        </tpls>
      </m>
      <m>
        <tpls c="4">
          <tpl fld="7" item="1023"/>
          <tpl fld="6" item="2"/>
          <tpl hier="236" item="0"/>
          <tpl fld="4" item="6"/>
        </tpls>
      </m>
      <m>
        <tpls c="4">
          <tpl fld="7" item="1110"/>
          <tpl fld="6" item="2"/>
          <tpl hier="236" item="0"/>
          <tpl fld="4" item="6"/>
        </tpls>
      </m>
      <n v="2.25" in="2">
        <tpls c="4">
          <tpl fld="7" item="377"/>
          <tpl fld="6" item="2"/>
          <tpl hier="236" item="0"/>
          <tpl fld="4" item="6"/>
        </tpls>
      </n>
      <m>
        <tpls c="4">
          <tpl fld="7" item="355"/>
          <tpl fld="6" item="2"/>
          <tpl hier="236" item="0"/>
          <tpl fld="4" item="6"/>
        </tpls>
      </m>
      <m>
        <tpls c="4">
          <tpl fld="7" item="90"/>
          <tpl fld="6" item="2"/>
          <tpl hier="236" item="0"/>
          <tpl fld="4" item="6"/>
        </tpls>
      </m>
      <m>
        <tpls c="4">
          <tpl fld="7" item="285"/>
          <tpl fld="6" item="2"/>
          <tpl hier="236" item="0"/>
          <tpl fld="4" item="6"/>
        </tpls>
      </m>
      <m>
        <tpls c="4">
          <tpl fld="7" item="258"/>
          <tpl fld="6" item="2"/>
          <tpl hier="236" item="0"/>
          <tpl fld="4" item="6"/>
        </tpls>
      </m>
      <m>
        <tpls c="4">
          <tpl fld="7" item="1132"/>
          <tpl fld="6" item="1"/>
          <tpl hier="236" item="0"/>
          <tpl fld="4" item="5"/>
        </tpls>
      </m>
      <m>
        <tpls c="4">
          <tpl fld="7" item="1245"/>
          <tpl fld="6" item="1"/>
          <tpl hier="236" item="0"/>
          <tpl fld="4" item="5"/>
        </tpls>
      </m>
      <n v="1" in="1">
        <tpls c="4">
          <tpl fld="7" item="526"/>
          <tpl fld="6" item="1"/>
          <tpl hier="236" item="0"/>
          <tpl fld="4" item="5"/>
        </tpls>
      </n>
      <m>
        <tpls c="4">
          <tpl fld="7" item="505"/>
          <tpl fld="6" item="1"/>
          <tpl hier="236" item="0"/>
          <tpl fld="4" item="5"/>
        </tpls>
      </m>
      <m>
        <tpls c="4">
          <tpl fld="7" item="99"/>
          <tpl fld="6" item="1"/>
          <tpl hier="236" item="0"/>
          <tpl fld="4" item="5"/>
        </tpls>
      </m>
      <m>
        <tpls c="4">
          <tpl fld="7" item="293"/>
          <tpl fld="6" item="1"/>
          <tpl hier="236" item="0"/>
          <tpl fld="4" item="5"/>
        </tpls>
      </m>
      <m>
        <tpls c="4">
          <tpl fld="7" item="670"/>
          <tpl fld="6" item="1"/>
          <tpl hier="236" item="0"/>
          <tpl fld="4" item="5"/>
        </tpls>
      </m>
      <m>
        <tpls c="4">
          <tpl fld="7" item="19"/>
          <tpl fld="6" item="1"/>
          <tpl hier="236" item="0"/>
          <tpl fld="4" item="5"/>
        </tpls>
      </m>
      <m>
        <tpls c="4">
          <tpl fld="7" item="962"/>
          <tpl fld="6" item="1"/>
          <tpl hier="236" item="0"/>
          <tpl fld="4" item="1"/>
        </tpls>
      </m>
      <m>
        <tpls c="4">
          <tpl fld="7" item="945"/>
          <tpl fld="6" item="1"/>
          <tpl hier="236" item="0"/>
          <tpl fld="4" item="1"/>
        </tpls>
      </m>
      <n v="1" in="1">
        <tpls c="4">
          <tpl fld="7" item="929"/>
          <tpl fld="6" item="1"/>
          <tpl hier="236" item="0"/>
          <tpl fld="4" item="1"/>
        </tpls>
      </n>
      <m>
        <tpls c="4">
          <tpl fld="7" item="1023"/>
          <tpl fld="6" item="1"/>
          <tpl hier="236" item="0"/>
          <tpl fld="4" item="1"/>
        </tpls>
      </m>
      <n v="1" in="1">
        <tpls c="4">
          <tpl fld="7" item="1011"/>
          <tpl fld="6" item="1"/>
          <tpl hier="236" item="0"/>
          <tpl fld="4" item="1"/>
        </tpls>
      </n>
      <n v="3" in="1">
        <tpls c="4">
          <tpl fld="7" item="1102"/>
          <tpl fld="6" item="1"/>
          <tpl hier="236" item="0"/>
          <tpl fld="4" item="1"/>
        </tpls>
      </n>
      <n v="1" in="1">
        <tpls c="4">
          <tpl fld="7" item="601"/>
          <tpl fld="6" item="1"/>
          <tpl hier="236" item="0"/>
          <tpl fld="4" item="1"/>
        </tpls>
      </n>
      <m>
        <tpls c="4">
          <tpl fld="7" item="597"/>
          <tpl fld="6" item="1"/>
          <tpl hier="236" item="0"/>
          <tpl fld="4" item="1"/>
        </tpls>
      </m>
      <m>
        <tpls c="4">
          <tpl fld="7" item="417"/>
          <tpl fld="6" item="1"/>
          <tpl hier="236" item="0"/>
          <tpl fld="4" item="1"/>
        </tpls>
      </m>
      <m>
        <tpls c="4">
          <tpl fld="7" item="593"/>
          <tpl fld="6" item="1"/>
          <tpl hier="236" item="0"/>
          <tpl fld="4" item="1"/>
        </tpls>
      </m>
      <m>
        <tpls c="4">
          <tpl fld="7" item="171"/>
          <tpl fld="6" item="1"/>
          <tpl hier="236" item="0"/>
          <tpl fld="4" item="1"/>
        </tpls>
      </m>
      <m>
        <tpls c="4">
          <tpl fld="7" item="264"/>
          <tpl fld="6" item="1"/>
          <tpl hier="236" item="0"/>
          <tpl fld="4" item="1"/>
        </tpls>
      </m>
      <m>
        <tpls c="4">
          <tpl fld="7" item="251"/>
          <tpl fld="6" item="1"/>
          <tpl hier="236" item="0"/>
          <tpl fld="4" item="1"/>
        </tpls>
      </m>
      <n v="0.95" in="2">
        <tpls c="4">
          <tpl fld="7" item="373"/>
          <tpl fld="6" item="2"/>
          <tpl hier="236" item="0"/>
          <tpl fld="4" item="1"/>
        </tpls>
      </n>
      <n v="1" in="1">
        <tpls c="4">
          <tpl fld="7" item="704"/>
          <tpl fld="6" item="1"/>
          <tpl hier="236" item="0"/>
          <tpl fld="4" item="5"/>
        </tpls>
      </n>
      <m>
        <tpls c="4">
          <tpl fld="7" item="582"/>
          <tpl fld="6" item="2"/>
          <tpl hier="236" item="0"/>
          <tpl fld="1" item="0"/>
        </tpls>
      </m>
      <n v="0.3" in="2">
        <tpls c="4">
          <tpl fld="7" item="645"/>
          <tpl fld="6" item="2"/>
          <tpl hier="236" item="0"/>
          <tpl fld="1" item="0"/>
        </tpls>
      </n>
      <m>
        <tpls c="3">
          <tpl fld="7" item="651"/>
          <tpl fld="6" item="3"/>
          <tpl hier="236" item="0"/>
        </tpls>
      </m>
      <m>
        <tpls c="4">
          <tpl fld="7" item="996"/>
          <tpl fld="6" item="1"/>
          <tpl hier="236" item="0"/>
          <tpl fld="4" item="5"/>
        </tpls>
      </m>
      <n v="2" in="1">
        <tpls c="4">
          <tpl fld="7" item="824"/>
          <tpl fld="6" item="1"/>
          <tpl hier="236" item="0"/>
          <tpl fld="4" item="1"/>
        </tpls>
      </n>
      <n v="1" in="1">
        <tpls c="4">
          <tpl fld="7" item="1001"/>
          <tpl fld="6" item="1"/>
          <tpl hier="236" item="0"/>
          <tpl fld="4" item="6"/>
        </tpls>
      </n>
      <m>
        <tpls c="4">
          <tpl fld="7" item="1284"/>
          <tpl fld="6" item="2"/>
          <tpl hier="236" item="0"/>
          <tpl fld="4" item="4"/>
        </tpls>
      </m>
      <n v="1" in="1">
        <tpls c="4">
          <tpl fld="7" item="1123"/>
          <tpl fld="6" item="1"/>
          <tpl hier="236" item="0"/>
          <tpl fld="4" item="4"/>
        </tpls>
      </n>
      <m>
        <tpls c="4">
          <tpl fld="7" item="926"/>
          <tpl fld="6" item="2"/>
          <tpl hier="236" item="0"/>
          <tpl fld="4" item="6"/>
        </tpls>
      </m>
      <m>
        <tpls c="4">
          <tpl fld="7" item="1231"/>
          <tpl fld="6" item="1"/>
          <tpl hier="236" item="0"/>
          <tpl fld="4" item="4"/>
        </tpls>
      </m>
      <m>
        <tpls c="4">
          <tpl fld="7" item="912"/>
          <tpl fld="6" item="2"/>
          <tpl hier="236" item="0"/>
          <tpl fld="1" item="0"/>
        </tpls>
      </m>
      <m>
        <tpls c="4">
          <tpl fld="7" item="323"/>
          <tpl fld="6" item="2"/>
          <tpl hier="236" item="0"/>
          <tpl fld="1" item="0"/>
        </tpls>
      </m>
      <m>
        <tpls c="4">
          <tpl fld="7" item="170"/>
          <tpl fld="6" item="2"/>
          <tpl hier="236" item="0"/>
          <tpl fld="1" item="0"/>
        </tpls>
      </m>
      <m>
        <tpls c="4">
          <tpl fld="7" item="134"/>
          <tpl fld="6" item="2"/>
          <tpl hier="236" item="0"/>
          <tpl fld="1" item="0"/>
        </tpls>
      </m>
      <m>
        <tpls c="4">
          <tpl fld="7" item="865"/>
          <tpl fld="6" item="2"/>
          <tpl hier="236" item="0"/>
          <tpl fld="4" item="5"/>
        </tpls>
      </m>
      <m>
        <tpls c="4">
          <tpl fld="7" item="843"/>
          <tpl fld="6" item="2"/>
          <tpl hier="236" item="0"/>
          <tpl fld="4" item="5"/>
        </tpls>
      </m>
      <m>
        <tpls c="4">
          <tpl fld="7" item="1263"/>
          <tpl fld="6" item="2"/>
          <tpl hier="236" item="0"/>
          <tpl fld="4" item="5"/>
        </tpls>
      </m>
      <m>
        <tpls c="4">
          <tpl fld="7" item="759"/>
          <tpl fld="6" item="2"/>
          <tpl hier="236" item="0"/>
          <tpl fld="4" item="5"/>
        </tpls>
      </m>
      <m>
        <tpls c="4">
          <tpl fld="7" item="202"/>
          <tpl fld="6" item="2"/>
          <tpl hier="236" item="0"/>
          <tpl fld="4" item="5"/>
        </tpls>
      </m>
      <m>
        <tpls c="4">
          <tpl fld="7" item="189"/>
          <tpl fld="6" item="2"/>
          <tpl hier="236" item="0"/>
          <tpl fld="4" item="5"/>
        </tpls>
      </m>
      <m>
        <tpls c="4">
          <tpl fld="7" item="173"/>
          <tpl fld="6" item="2"/>
          <tpl hier="236" item="0"/>
          <tpl fld="4" item="5"/>
        </tpls>
      </m>
      <m>
        <tpls c="4">
          <tpl fld="7" item="338"/>
          <tpl fld="6" item="2"/>
          <tpl hier="236" item="0"/>
          <tpl fld="4" item="5"/>
        </tpls>
      </m>
      <m>
        <tpls c="4">
          <tpl fld="7" item="475"/>
          <tpl fld="6" item="2"/>
          <tpl hier="236" item="0"/>
          <tpl fld="4" item="5"/>
        </tpls>
      </m>
      <m>
        <tpls c="4">
          <tpl fld="7" item="121"/>
          <tpl fld="6" item="2"/>
          <tpl hier="236" item="0"/>
          <tpl fld="4" item="5"/>
        </tpls>
      </m>
      <m>
        <tpls c="4">
          <tpl fld="7" item="221"/>
          <tpl fld="6" item="2"/>
          <tpl hier="236" item="0"/>
          <tpl fld="4" item="5"/>
        </tpls>
      </m>
      <m>
        <tpls c="4">
          <tpl fld="7" item="858"/>
          <tpl fld="6" item="2"/>
          <tpl hier="236" item="0"/>
          <tpl fld="4" item="6"/>
        </tpls>
      </m>
      <m>
        <tpls c="4">
          <tpl fld="7" item="842"/>
          <tpl fld="6" item="2"/>
          <tpl hier="236" item="0"/>
          <tpl fld="4" item="6"/>
        </tpls>
      </m>
      <n v="1" in="2">
        <tpls c="4">
          <tpl fld="7" item="524"/>
          <tpl fld="6" item="2"/>
          <tpl hier="236" item="0"/>
          <tpl fld="4" item="6"/>
        </tpls>
      </n>
      <m>
        <tpls c="4">
          <tpl fld="7" item="508"/>
          <tpl fld="6" item="2"/>
          <tpl hier="236" item="0"/>
          <tpl fld="4" item="6"/>
        </tpls>
      </m>
      <m>
        <tpls c="4">
          <tpl fld="7" item="107"/>
          <tpl fld="6" item="2"/>
          <tpl hier="236" item="0"/>
          <tpl fld="4" item="6"/>
        </tpls>
      </m>
      <m>
        <tpls c="4">
          <tpl fld="7" item="307"/>
          <tpl fld="6" item="2"/>
          <tpl hier="236" item="0"/>
          <tpl fld="4" item="6"/>
        </tpls>
      </m>
      <m>
        <tpls c="4">
          <tpl fld="7" item="414"/>
          <tpl fld="6" item="2"/>
          <tpl hier="236" item="0"/>
          <tpl fld="4" item="6"/>
        </tpls>
      </m>
      <m>
        <tpls c="4">
          <tpl fld="7" item="167"/>
          <tpl fld="6" item="2"/>
          <tpl hier="236" item="0"/>
          <tpl fld="4" item="6"/>
        </tpls>
      </m>
      <m>
        <tpls c="4">
          <tpl fld="7" item="134"/>
          <tpl fld="6" item="2"/>
          <tpl hier="236" item="0"/>
          <tpl fld="4" item="6"/>
        </tpls>
      </m>
      <m>
        <tpls c="4">
          <tpl fld="7" item="977"/>
          <tpl fld="6" item="1"/>
          <tpl hier="236" item="0"/>
          <tpl fld="4" item="5"/>
        </tpls>
      </m>
      <m>
        <tpls c="4">
          <tpl fld="7" item="914"/>
          <tpl fld="6" item="1"/>
          <tpl hier="236" item="0"/>
          <tpl fld="4" item="5"/>
        </tpls>
      </m>
      <m>
        <tpls c="4">
          <tpl fld="7" item="902"/>
          <tpl fld="6" item="1"/>
          <tpl hier="236" item="0"/>
          <tpl fld="4" item="5"/>
        </tpls>
      </m>
      <n v="1" in="1">
        <tpls c="4">
          <tpl fld="7" item="602"/>
          <tpl fld="6" item="1"/>
          <tpl hier="236" item="0"/>
          <tpl fld="4" item="5"/>
        </tpls>
      </n>
      <n v="12" in="1">
        <tpls c="4">
          <tpl fld="7" item="1031"/>
          <tpl fld="6" item="1"/>
          <tpl hier="236" item="0"/>
          <tpl fld="4" item="6"/>
        </tpls>
      </n>
      <m>
        <tpls c="4">
          <tpl fld="7" item="186"/>
          <tpl fld="6" item="1"/>
          <tpl hier="236" item="0"/>
          <tpl fld="4" item="6"/>
        </tpls>
      </m>
      <m>
        <tpls c="4">
          <tpl fld="7" item="322"/>
          <tpl fld="6" item="1"/>
          <tpl hier="236" item="0"/>
          <tpl fld="4" item="4"/>
        </tpls>
      </m>
      <m>
        <tpls c="3">
          <tpl fld="7" item="143"/>
          <tpl fld="6" item="3"/>
          <tpl hier="236" item="0"/>
        </tpls>
      </m>
      <n v="0" in="1">
        <tpls c="4">
          <tpl fld="7" item="514"/>
          <tpl fld="6" item="1"/>
          <tpl hier="236" item="0"/>
          <tpl fld="4" item="6"/>
        </tpls>
      </n>
      <m>
        <tpls c="3">
          <tpl fld="7" item="101"/>
          <tpl fld="6" item="3"/>
          <tpl hier="236" item="0"/>
        </tpls>
      </m>
      <m>
        <tpls c="4">
          <tpl fld="7" item="697"/>
          <tpl fld="6" item="1"/>
          <tpl hier="236" item="0"/>
          <tpl fld="4" item="1"/>
        </tpls>
      </m>
      <n v="74" in="1">
        <tpls c="6">
          <tpl fld="11" item="0"/>
          <tpl fld="2" item="2"/>
          <tpl fld="6" item="1"/>
          <tpl hier="236" item="0"/>
          <tpl fld="4" item="3"/>
          <tpl fld="10" item="1"/>
        </tpls>
      </n>
      <n v="5" in="1">
        <tpls c="4">
          <tpl fld="7" item="395"/>
          <tpl fld="6" item="1"/>
          <tpl hier="236" item="0"/>
          <tpl fld="4" item="1"/>
        </tpls>
      </n>
      <n v="2" in="1">
        <tpls c="4">
          <tpl fld="7" item="779"/>
          <tpl fld="6" item="1"/>
          <tpl hier="236" item="0"/>
          <tpl fld="1" item="0"/>
        </tpls>
      </n>
      <n v="1" in="2">
        <tpls c="4">
          <tpl fld="7" item="432"/>
          <tpl fld="6" item="2"/>
          <tpl hier="236" item="0"/>
          <tpl fld="4" item="4"/>
        </tpls>
      </n>
      <m>
        <tpls c="4">
          <tpl fld="7" item="630"/>
          <tpl fld="6" item="2"/>
          <tpl hier="236" item="0"/>
          <tpl fld="4" item="1"/>
        </tpls>
      </m>
      <m>
        <tpls c="4">
          <tpl fld="7" item="243"/>
          <tpl fld="6" item="1"/>
          <tpl hier="236" item="0"/>
          <tpl fld="4" item="6"/>
        </tpls>
      </m>
      <m>
        <tpls c="4">
          <tpl fld="7" item="160"/>
          <tpl fld="6" item="1"/>
          <tpl hier="236" item="0"/>
          <tpl fld="4" item="5"/>
        </tpls>
      </m>
      <m>
        <tpls c="4">
          <tpl fld="7" item="454"/>
          <tpl fld="6" item="1"/>
          <tpl hier="236" item="0"/>
          <tpl fld="4" item="6"/>
        </tpls>
      </m>
      <m>
        <tpls c="4">
          <tpl fld="7" item="311"/>
          <tpl fld="6" item="1"/>
          <tpl hier="236" item="0"/>
          <tpl fld="4" item="4"/>
        </tpls>
      </m>
      <m>
        <tpls c="4">
          <tpl fld="7" item="1090"/>
          <tpl fld="6" item="1"/>
          <tpl hier="236" item="0"/>
          <tpl fld="4" item="1"/>
        </tpls>
      </m>
      <m>
        <tpls c="4">
          <tpl fld="7" item="83"/>
          <tpl fld="6" item="2"/>
          <tpl hier="236" item="0"/>
          <tpl fld="4" item="1"/>
        </tpls>
      </m>
      <m>
        <tpls c="4">
          <tpl fld="7" item="783"/>
          <tpl fld="6" item="2"/>
          <tpl hier="236" item="0"/>
          <tpl fld="4" item="4"/>
        </tpls>
      </m>
      <m>
        <tpls c="4">
          <tpl fld="7" item="303"/>
          <tpl fld="6" item="1"/>
          <tpl hier="236" item="0"/>
          <tpl fld="4" item="4"/>
        </tpls>
      </m>
      <m>
        <tpls c="4">
          <tpl fld="7" item="288"/>
          <tpl fld="6" item="2"/>
          <tpl hier="236" item="0"/>
          <tpl fld="4" item="1"/>
        </tpls>
      </m>
      <n v="3" in="1">
        <tpls c="4">
          <tpl fld="7" item="1238"/>
          <tpl fld="6" item="1"/>
          <tpl hier="236" item="0"/>
          <tpl fld="4" item="6"/>
        </tpls>
      </n>
      <m>
        <tpls c="4">
          <tpl fld="7" item="322"/>
          <tpl fld="6" item="1"/>
          <tpl hier="236" item="0"/>
          <tpl fld="4" item="6"/>
        </tpls>
      </m>
      <m>
        <tpls c="4">
          <tpl fld="7" item="563"/>
          <tpl fld="6" item="1"/>
          <tpl hier="236" item="0"/>
          <tpl fld="4" item="6"/>
        </tpls>
      </m>
      <m>
        <tpls c="4">
          <tpl fld="7" item="388"/>
          <tpl fld="6" item="2"/>
          <tpl hier="236" item="0"/>
          <tpl fld="4" item="1"/>
        </tpls>
      </m>
      <m>
        <tpls c="4">
          <tpl fld="7" item="813"/>
          <tpl fld="6" item="2"/>
          <tpl hier="236" item="0"/>
          <tpl fld="4" item="1"/>
        </tpls>
      </m>
      <n v="3" in="1">
        <tpls c="4">
          <tpl fld="7" item="1193"/>
          <tpl fld="6" item="1"/>
          <tpl hier="236" item="0"/>
          <tpl fld="4" item="4"/>
        </tpls>
      </n>
      <m>
        <tpls c="4">
          <tpl fld="7" item="908"/>
          <tpl fld="6" item="2"/>
          <tpl hier="236" item="0"/>
          <tpl fld="1" item="0"/>
        </tpls>
      </m>
      <m>
        <tpls c="4">
          <tpl fld="7" item="75"/>
          <tpl fld="6" item="1"/>
          <tpl hier="236" item="0"/>
          <tpl fld="4" item="4"/>
        </tpls>
      </m>
      <n v="5" in="1">
        <tpls c="4">
          <tpl fld="7" item="615"/>
          <tpl fld="6" item="1"/>
          <tpl hier="236" item="0"/>
          <tpl fld="4" item="1"/>
        </tpls>
      </n>
      <m>
        <tpls c="4">
          <tpl fld="7" item="1211"/>
          <tpl fld="6" item="1"/>
          <tpl hier="236" item="0"/>
          <tpl fld="4" item="4"/>
        </tpls>
      </m>
      <m>
        <tpls c="4">
          <tpl fld="7" item="563"/>
          <tpl fld="6" item="2"/>
          <tpl hier="236" item="0"/>
          <tpl fld="4" item="6"/>
        </tpls>
      </m>
      <m>
        <tpls c="4">
          <tpl fld="7" item="800"/>
          <tpl fld="6" item="1"/>
          <tpl hier="236" item="0"/>
          <tpl fld="4" item="5"/>
        </tpls>
      </m>
      <n v="1" in="2">
        <tpls c="4">
          <tpl fld="7" item="460"/>
          <tpl fld="6" item="2"/>
          <tpl hier="236" item="0"/>
          <tpl fld="1" item="0"/>
        </tpls>
      </n>
      <m>
        <tpls c="4">
          <tpl fld="7" item="1093"/>
          <tpl fld="6" item="1"/>
          <tpl hier="236" item="0"/>
          <tpl fld="4" item="1"/>
        </tpls>
      </m>
      <m>
        <tpls c="4">
          <tpl fld="7" item="644"/>
          <tpl fld="6" item="2"/>
          <tpl hier="236" item="0"/>
          <tpl fld="1" item="0"/>
        </tpls>
      </m>
      <n v="1" in="1">
        <tpls c="4">
          <tpl fld="7" item="813"/>
          <tpl fld="6" item="1"/>
          <tpl hier="236" item="0"/>
          <tpl fld="4" item="5"/>
        </tpls>
      </n>
      <m>
        <tpls c="4">
          <tpl fld="7" item="821"/>
          <tpl fld="6" item="1"/>
          <tpl hier="236" item="0"/>
          <tpl fld="4" item="5"/>
        </tpls>
      </m>
      <n v="4" in="1">
        <tpls c="4">
          <tpl fld="7" item="830"/>
          <tpl fld="6" item="1"/>
          <tpl hier="236" item="0"/>
          <tpl fld="4" item="6"/>
        </tpls>
      </n>
      <m>
        <tpls c="4">
          <tpl fld="7" item="1193"/>
          <tpl fld="6" item="2"/>
          <tpl hier="236" item="0"/>
          <tpl fld="4" item="4"/>
        </tpls>
      </m>
      <m>
        <tpls c="4">
          <tpl fld="7" item="921"/>
          <tpl fld="6" item="2"/>
          <tpl hier="236" item="0"/>
          <tpl fld="4" item="1"/>
        </tpls>
      </m>
      <m>
        <tpls c="4">
          <tpl fld="7" item="1255"/>
          <tpl fld="6" item="2"/>
          <tpl hier="236" item="0"/>
          <tpl fld="4" item="1"/>
        </tpls>
      </m>
      <m>
        <tpls c="4">
          <tpl fld="7" item="1011"/>
          <tpl fld="6" item="2"/>
          <tpl hier="236" item="0"/>
          <tpl fld="1" item="0"/>
        </tpls>
      </m>
      <m>
        <tpls c="4">
          <tpl fld="7" item="287"/>
          <tpl fld="6" item="2"/>
          <tpl hier="236" item="0"/>
          <tpl fld="1" item="0"/>
        </tpls>
      </m>
      <m>
        <tpls c="4">
          <tpl fld="7" item="119"/>
          <tpl fld="6" item="2"/>
          <tpl hier="236" item="0"/>
          <tpl fld="4" item="1"/>
        </tpls>
      </m>
      <m>
        <tpls c="4">
          <tpl fld="7" item="78"/>
          <tpl fld="6" item="2"/>
          <tpl hier="236" item="0"/>
          <tpl fld="4" item="4"/>
        </tpls>
      </m>
      <m>
        <tpls c="4">
          <tpl fld="7" item="766"/>
          <tpl fld="6" item="2"/>
          <tpl hier="236" item="0"/>
          <tpl fld="4" item="5"/>
        </tpls>
      </m>
      <m>
        <tpls c="4">
          <tpl fld="7" item="435"/>
          <tpl fld="6" item="1"/>
          <tpl hier="236" item="0"/>
          <tpl fld="4" item="6"/>
        </tpls>
      </m>
      <n v="6" in="2">
        <tpls c="4">
          <tpl fld="7" item="609"/>
          <tpl fld="6" item="2"/>
          <tpl hier="236" item="0"/>
          <tpl fld="1" item="0"/>
        </tpls>
      </n>
      <m>
        <tpls c="3">
          <tpl fld="7" item="695"/>
          <tpl fld="6" item="3"/>
          <tpl hier="236" item="0"/>
        </tpls>
      </m>
      <n v="3" in="1">
        <tpls c="4">
          <tpl fld="7" item="574"/>
          <tpl fld="6" item="1"/>
          <tpl hier="236" item="0"/>
          <tpl fld="1" item="0"/>
        </tpls>
      </n>
      <m>
        <tpls c="4">
          <tpl fld="7" item="615"/>
          <tpl fld="6" item="2"/>
          <tpl hier="236" item="0"/>
          <tpl fld="4" item="5"/>
        </tpls>
      </m>
      <m>
        <tpls c="3">
          <tpl fld="7" item="1093"/>
          <tpl fld="6" item="3"/>
          <tpl hier="236" item="0"/>
        </tpls>
      </m>
      <m>
        <tpls c="4">
          <tpl fld="7" item="352"/>
          <tpl fld="6" item="2"/>
          <tpl hier="236" item="0"/>
          <tpl fld="4" item="1"/>
        </tpls>
      </m>
      <m>
        <tpls c="4">
          <tpl fld="7" item="689"/>
          <tpl fld="6" item="2"/>
          <tpl hier="236" item="0"/>
          <tpl fld="4" item="5"/>
        </tpls>
      </m>
      <n v="2" in="1">
        <tpls c="4">
          <tpl fld="7" item="986"/>
          <tpl fld="6" item="1"/>
          <tpl hier="236" item="0"/>
          <tpl fld="4" item="4"/>
        </tpls>
      </n>
      <m>
        <tpls c="4">
          <tpl fld="7" item="701"/>
          <tpl fld="6" item="1"/>
          <tpl hier="236" item="0"/>
          <tpl fld="4" item="1"/>
        </tpls>
      </m>
      <m>
        <tpls c="4">
          <tpl fld="7" item="1091"/>
          <tpl fld="6" item="1"/>
          <tpl hier="236" item="0"/>
          <tpl fld="4" item="4"/>
        </tpls>
      </m>
      <n v="7" in="1">
        <tpls c="4">
          <tpl fld="7" item="711"/>
          <tpl fld="6" item="1"/>
          <tpl hier="236" item="0"/>
          <tpl fld="1" item="0"/>
        </tpls>
      </n>
      <m>
        <tpls c="4">
          <tpl fld="7" item="797"/>
          <tpl fld="6" item="2"/>
          <tpl hier="236" item="0"/>
          <tpl fld="4" item="5"/>
        </tpls>
      </m>
      <m>
        <tpls c="4">
          <tpl fld="7" item="640"/>
          <tpl fld="6" item="2"/>
          <tpl hier="236" item="0"/>
          <tpl fld="4" item="1"/>
        </tpls>
      </m>
      <n v="1" in="1">
        <tpls c="4">
          <tpl fld="7" item="532"/>
          <tpl fld="6" item="1"/>
          <tpl hier="236" item="0"/>
          <tpl fld="4" item="1"/>
        </tpls>
      </n>
      <n v="30" in="1">
        <tpls c="4">
          <tpl fld="7" item="564"/>
          <tpl fld="6" item="1"/>
          <tpl hier="236" item="0"/>
          <tpl fld="4" item="4"/>
        </tpls>
      </n>
      <m>
        <tpls c="4">
          <tpl fld="7" item="583"/>
          <tpl fld="6" item="1"/>
          <tpl hier="236" item="0"/>
          <tpl fld="4" item="5"/>
        </tpls>
      </m>
      <m>
        <tpls c="4">
          <tpl fld="7" item="1096"/>
          <tpl fld="6" item="1"/>
          <tpl hier="236" item="0"/>
          <tpl fld="1" item="0"/>
        </tpls>
      </m>
      <m>
        <tpls c="4">
          <tpl fld="7" item="813"/>
          <tpl fld="6" item="2"/>
          <tpl hier="236" item="0"/>
          <tpl fld="4" item="5"/>
        </tpls>
      </m>
      <m>
        <tpls c="4">
          <tpl fld="7" item="819"/>
          <tpl fld="6" item="2"/>
          <tpl hier="236" item="0"/>
          <tpl fld="4" item="1"/>
        </tpls>
      </m>
      <n v="1.55" in="2">
        <tpls c="4">
          <tpl fld="7" item="743"/>
          <tpl fld="6" item="2"/>
          <tpl hier="236" item="0"/>
          <tpl fld="4" item="4"/>
        </tpls>
      </n>
      <m>
        <tpls c="3">
          <tpl fld="7" item="1002"/>
          <tpl fld="6" item="3"/>
          <tpl hier="236" item="0"/>
        </tpls>
      </m>
      <m>
        <tpls c="4">
          <tpl fld="7" item="847"/>
          <tpl fld="6" item="1"/>
          <tpl hier="236" item="0"/>
          <tpl fld="4" item="6"/>
        </tpls>
      </m>
      <m>
        <tpls c="4">
          <tpl fld="7" item="1124"/>
          <tpl fld="6" item="2"/>
          <tpl hier="236" item="0"/>
          <tpl fld="4" item="4"/>
        </tpls>
      </m>
      <m>
        <tpls c="4">
          <tpl fld="7" item="1135"/>
          <tpl fld="6" item="2"/>
          <tpl hier="236" item="0"/>
          <tpl fld="4" item="1"/>
        </tpls>
      </m>
      <m>
        <tpls c="4">
          <tpl fld="7" item="1064"/>
          <tpl fld="6" item="2"/>
          <tpl hier="236" item="0"/>
          <tpl fld="4" item="1"/>
        </tpls>
      </m>
      <m>
        <tpls c="4">
          <tpl fld="7" item="1113"/>
          <tpl fld="6" item="2"/>
          <tpl hier="236" item="0"/>
          <tpl fld="1" item="0"/>
        </tpls>
      </m>
      <m>
        <tpls c="4">
          <tpl fld="7" item="210"/>
          <tpl fld="6" item="2"/>
          <tpl hier="236" item="0"/>
          <tpl fld="1" item="0"/>
        </tpls>
      </m>
      <m>
        <tpls c="4">
          <tpl fld="7" item="33"/>
          <tpl fld="6" item="2"/>
          <tpl hier="236" item="0"/>
          <tpl fld="1" item="0"/>
        </tpls>
      </m>
      <n v="6" in="1">
        <tpls c="4">
          <tpl fld="7" item="459"/>
          <tpl fld="6" item="1"/>
          <tpl hier="236" item="0"/>
          <tpl fld="1" item="0"/>
        </tpls>
      </n>
      <m>
        <tpls c="4">
          <tpl fld="7" item="1091"/>
          <tpl fld="6" item="1"/>
          <tpl hier="236" item="0"/>
          <tpl fld="4" item="5"/>
        </tpls>
      </m>
      <n v="7" in="1">
        <tpls c="4">
          <tpl fld="7" item="802"/>
          <tpl fld="6" item="1"/>
          <tpl hier="236" item="0"/>
          <tpl fld="1" item="0"/>
        </tpls>
      </n>
      <m>
        <tpls c="4">
          <tpl fld="7" item="807"/>
          <tpl fld="6" item="2"/>
          <tpl hier="236" item="0"/>
          <tpl fld="1" item="0"/>
        </tpls>
      </m>
      <m>
        <tpls c="3">
          <tpl fld="7" item="813"/>
          <tpl fld="6" item="3"/>
          <tpl hier="236" item="0"/>
        </tpls>
      </m>
      <m>
        <tpls c="4">
          <tpl fld="7" item="687"/>
          <tpl fld="6" item="2"/>
          <tpl hier="236" item="0"/>
          <tpl fld="4" item="4"/>
        </tpls>
      </m>
      <m>
        <tpls c="4">
          <tpl fld="7" item="716"/>
          <tpl fld="6" item="2"/>
          <tpl hier="236" item="0"/>
          <tpl fld="4" item="6"/>
        </tpls>
      </m>
      <n v="1" in="1">
        <tpls c="4">
          <tpl fld="7" item="611"/>
          <tpl fld="6" item="1"/>
          <tpl hier="236" item="0"/>
          <tpl fld="1" item="0"/>
        </tpls>
      </n>
      <m>
        <tpls c="4">
          <tpl fld="7" item="886"/>
          <tpl fld="6" item="2"/>
          <tpl hier="236" item="0"/>
          <tpl fld="4" item="5"/>
        </tpls>
      </m>
      <m>
        <tpls c="4">
          <tpl fld="7" item="568"/>
          <tpl fld="6" item="2"/>
          <tpl hier="236" item="0"/>
          <tpl fld="1" item="0"/>
        </tpls>
      </m>
      <m>
        <tpls c="4">
          <tpl fld="7" item="738"/>
          <tpl fld="6" item="2"/>
          <tpl hier="236" item="0"/>
          <tpl fld="4" item="4"/>
        </tpls>
      </m>
      <n v="3" in="1">
        <tpls c="4">
          <tpl fld="7" item="919"/>
          <tpl fld="6" item="1"/>
          <tpl hier="236" item="0"/>
          <tpl fld="4" item="4"/>
        </tpls>
      </n>
      <m>
        <tpls c="4">
          <tpl fld="7" item="417"/>
          <tpl fld="6" item="2"/>
          <tpl hier="236" item="0"/>
          <tpl fld="1" item="0"/>
        </tpls>
      </m>
      <m>
        <tpls c="4">
          <tpl fld="7" item="622"/>
          <tpl fld="6" item="2"/>
          <tpl hier="236" item="0"/>
          <tpl fld="4" item="1"/>
        </tpls>
      </m>
      <n v="6" in="1">
        <tpls c="4">
          <tpl fld="7" item="721"/>
          <tpl fld="6" item="1"/>
          <tpl hier="236" item="0"/>
          <tpl fld="4" item="4"/>
        </tpls>
      </n>
      <n v="3" in="1">
        <tpls c="4">
          <tpl fld="7" item="728"/>
          <tpl fld="6" item="1"/>
          <tpl hier="236" item="0"/>
          <tpl fld="4" item="5"/>
        </tpls>
      </n>
      <m>
        <tpls c="4">
          <tpl fld="7" item="817"/>
          <tpl fld="6" item="2"/>
          <tpl hier="236" item="0"/>
          <tpl fld="1" item="0"/>
        </tpls>
      </m>
      <m>
        <tpls c="3">
          <tpl fld="7" item="823"/>
          <tpl fld="6" item="3"/>
          <tpl hier="236" item="0"/>
        </tpls>
      </m>
      <n v="3" in="1">
        <tpls c="4">
          <tpl fld="7" item="1102"/>
          <tpl fld="6" item="1"/>
          <tpl hier="236" item="0"/>
          <tpl fld="4" item="6"/>
        </tpls>
      </n>
      <m>
        <tpls c="4">
          <tpl fld="7" item="843"/>
          <tpl fld="6" item="2"/>
          <tpl hier="236" item="0"/>
          <tpl fld="4" item="4"/>
        </tpls>
      </m>
      <m>
        <tpls c="4">
          <tpl fld="7" item="856"/>
          <tpl fld="6" item="1"/>
          <tpl hier="236" item="0"/>
          <tpl fld="4" item="4"/>
        </tpls>
      </m>
      <m>
        <tpls c="4">
          <tpl fld="7" item="1028"/>
          <tpl fld="6" item="2"/>
          <tpl hier="236" item="0"/>
          <tpl fld="4" item="1"/>
        </tpls>
      </m>
      <n v="34" in="1">
        <tpls c="4">
          <tpl fld="7" item="1157"/>
          <tpl fld="6" item="1"/>
          <tpl hier="236" item="0"/>
          <tpl fld="4" item="4"/>
        </tpls>
      </n>
      <m>
        <tpls c="4">
          <tpl fld="7" item="865"/>
          <tpl fld="6" item="2"/>
          <tpl hier="236" item="0"/>
          <tpl fld="1" item="0"/>
        </tpls>
      </m>
      <n v="3" in="2">
        <tpls c="4">
          <tpl fld="7" item="363"/>
          <tpl fld="6" item="2"/>
          <tpl hier="236" item="0"/>
          <tpl fld="1" item="0"/>
        </tpls>
      </n>
      <m>
        <tpls c="4">
          <tpl fld="7" item="530"/>
          <tpl fld="6" item="1"/>
          <tpl hier="236" item="0"/>
          <tpl fld="4" item="4"/>
        </tpls>
      </m>
      <m>
        <tpls c="4">
          <tpl fld="7" item="1091"/>
          <tpl fld="6" item="2"/>
          <tpl hier="236" item="0"/>
          <tpl fld="4" item="5"/>
        </tpls>
      </m>
      <m>
        <tpls c="4">
          <tpl fld="7" item="638"/>
          <tpl fld="6" item="1"/>
          <tpl hier="236" item="0"/>
          <tpl fld="4" item="6"/>
        </tpls>
      </m>
      <n v="2" in="1">
        <tpls c="4">
          <tpl fld="7" item="802"/>
          <tpl fld="6" item="1"/>
          <tpl hier="236" item="0"/>
          <tpl fld="4" item="1"/>
        </tpls>
      </n>
      <m>
        <tpls c="4">
          <tpl fld="7" item="722"/>
          <tpl fld="6" item="2"/>
          <tpl hier="236" item="0"/>
          <tpl fld="4" item="4"/>
        </tpls>
      </m>
      <n v="11" in="1">
        <tpls c="4">
          <tpl fld="7" item="889"/>
          <tpl fld="6" item="1"/>
          <tpl hier="236" item="0"/>
          <tpl fld="4" item="6"/>
        </tpls>
      </n>
      <m>
        <tpls c="4">
          <tpl fld="7" item="1096"/>
          <tpl fld="6" item="1"/>
          <tpl hier="236" item="0"/>
          <tpl fld="4" item="4"/>
        </tpls>
      </m>
      <m>
        <tpls c="4">
          <tpl fld="7" item="809"/>
          <tpl fld="6" item="1"/>
          <tpl hier="236" item="0"/>
          <tpl fld="4" item="6"/>
        </tpls>
      </m>
      <n v="8" in="1">
        <tpls c="4">
          <tpl fld="7" item="729"/>
          <tpl fld="6" item="1"/>
          <tpl hier="236" item="0"/>
          <tpl fld="1" item="0"/>
        </tpls>
      </n>
      <n v="2" in="1">
        <tpls c="4">
          <tpl fld="7" item="813"/>
          <tpl fld="6" item="1"/>
          <tpl hier="236" item="0"/>
          <tpl fld="4" item="6"/>
        </tpls>
      </n>
      <n v="3" in="1">
        <tpls c="4">
          <tpl fld="7" item="733"/>
          <tpl fld="6" item="1"/>
          <tpl hier="236" item="0"/>
          <tpl fld="1" item="0"/>
        </tpls>
      </n>
      <m>
        <tpls c="4">
          <tpl fld="7" item="655"/>
          <tpl fld="6" item="2"/>
          <tpl hier="236" item="0"/>
          <tpl fld="4" item="5"/>
        </tpls>
      </m>
      <m>
        <tpls c="4">
          <tpl fld="7" item="737"/>
          <tpl fld="6" item="1"/>
          <tpl hier="236" item="0"/>
          <tpl fld="1" item="0"/>
        </tpls>
      </m>
      <m>
        <tpls c="4">
          <tpl fld="7" item="659"/>
          <tpl fld="6" item="2"/>
          <tpl hier="236" item="0"/>
          <tpl fld="4" item="5"/>
        </tpls>
      </m>
      <m>
        <tpls c="4">
          <tpl fld="7" item="661"/>
          <tpl fld="6" item="2"/>
          <tpl hier="236" item="0"/>
          <tpl fld="4" item="1"/>
        </tpls>
      </m>
      <m>
        <tpls c="4">
          <tpl fld="7" item="663"/>
          <tpl fld="6" item="2"/>
          <tpl hier="236" item="0"/>
          <tpl fld="4" item="5"/>
        </tpls>
      </m>
      <m>
        <tpls c="4">
          <tpl fld="7" item="745"/>
          <tpl fld="6" item="2"/>
          <tpl hier="236" item="0"/>
          <tpl fld="4" item="6"/>
        </tpls>
      </m>
      <m>
        <tpls c="4">
          <tpl fld="7" item="895"/>
          <tpl fld="6" item="1"/>
          <tpl hier="236" item="0"/>
          <tpl fld="4" item="1"/>
        </tpls>
      </m>
      <m>
        <tpls c="4">
          <tpl fld="7" item="834"/>
          <tpl fld="6" item="2"/>
          <tpl hier="236" item="0"/>
          <tpl fld="4" item="1"/>
        </tpls>
      </m>
      <m>
        <tpls c="4">
          <tpl fld="7" item="838"/>
          <tpl fld="6" item="2"/>
          <tpl hier="236" item="0"/>
          <tpl fld="4" item="1"/>
        </tpls>
      </m>
      <m>
        <tpls c="4">
          <tpl fld="7" item="842"/>
          <tpl fld="6" item="2"/>
          <tpl hier="236" item="0"/>
          <tpl fld="4" item="1"/>
        </tpls>
      </m>
      <m>
        <tpls c="3">
          <tpl fld="7" item="1193"/>
          <tpl fld="6" item="3"/>
          <tpl hier="236" item="0"/>
        </tpls>
      </m>
      <m>
        <tpls c="3">
          <tpl fld="7" item="1265"/>
          <tpl fld="6" item="3"/>
          <tpl hier="236" item="0"/>
        </tpls>
      </m>
      <m>
        <tpls c="3">
          <tpl fld="7" item="1246"/>
          <tpl fld="6" item="3"/>
          <tpl hier="236" item="0"/>
        </tpls>
      </m>
      <m>
        <tpls c="4">
          <tpl fld="7" item="1021"/>
          <tpl fld="6" item="1"/>
          <tpl hier="236" item="0"/>
          <tpl fld="4" item="6"/>
        </tpls>
      </m>
      <n v="2" in="1">
        <tpls c="4">
          <tpl fld="7" item="1024"/>
          <tpl fld="6" item="1"/>
          <tpl hier="236" item="0"/>
          <tpl fld="4" item="6"/>
        </tpls>
      </n>
      <m>
        <tpls c="4">
          <tpl fld="7" item="1027"/>
          <tpl fld="6" item="1"/>
          <tpl hier="236" item="0"/>
          <tpl fld="4" item="6"/>
        </tpls>
      </m>
      <m>
        <tpls c="4">
          <tpl fld="7" item="928"/>
          <tpl fld="6" item="2"/>
          <tpl hier="236" item="0"/>
          <tpl fld="4" item="1"/>
        </tpls>
      </m>
      <m>
        <tpls c="4">
          <tpl fld="7" item="1144"/>
          <tpl fld="6" item="2"/>
          <tpl hier="236" item="0"/>
          <tpl fld="4" item="1"/>
        </tpls>
      </m>
      <m>
        <tpls c="4">
          <tpl fld="7" item="1154"/>
          <tpl fld="6" item="2"/>
          <tpl hier="236" item="0"/>
          <tpl fld="4" item="1"/>
        </tpls>
      </m>
      <m>
        <tpls c="4">
          <tpl fld="7" item="1166"/>
          <tpl fld="6" item="2"/>
          <tpl hier="236" item="0"/>
          <tpl fld="4" item="1"/>
        </tpls>
      </m>
      <m>
        <tpls c="4">
          <tpl fld="7" item="1176"/>
          <tpl fld="6" item="2"/>
          <tpl hier="236" item="0"/>
          <tpl fld="4" item="1"/>
        </tpls>
      </m>
      <n v="1" in="2">
        <tpls c="4">
          <tpl fld="7" item="1249"/>
          <tpl fld="6" item="2"/>
          <tpl hier="236" item="0"/>
          <tpl fld="1" item="0"/>
        </tpls>
      </n>
      <m>
        <tpls c="4">
          <tpl fld="7" item="1193"/>
          <tpl fld="6" item="2"/>
          <tpl hier="236" item="0"/>
          <tpl fld="1" item="0"/>
        </tpls>
      </m>
      <m>
        <tpls c="4">
          <tpl fld="7" item="310"/>
          <tpl fld="6" item="2"/>
          <tpl hier="236" item="0"/>
          <tpl fld="1" item="0"/>
        </tpls>
      </m>
      <m>
        <tpls c="4">
          <tpl fld="7" item="510"/>
          <tpl fld="6" item="2"/>
          <tpl hier="236" item="0"/>
          <tpl fld="1" item="0"/>
        </tpls>
      </m>
      <m>
        <tpls c="4">
          <tpl fld="7" item="87"/>
          <tpl fld="6" item="2"/>
          <tpl hier="236" item="0"/>
          <tpl fld="1" item="0"/>
        </tpls>
      </m>
      <m>
        <tpls c="4">
          <tpl fld="7" item="183"/>
          <tpl fld="6" item="2"/>
          <tpl hier="236" item="0"/>
          <tpl fld="1" item="0"/>
        </tpls>
      </m>
      <m>
        <tpls c="4">
          <tpl fld="7" item="63"/>
          <tpl fld="6" item="2"/>
          <tpl hier="236" item="0"/>
          <tpl fld="1" item="0"/>
        </tpls>
      </m>
      <m>
        <tpls c="4">
          <tpl fld="7" item="404"/>
          <tpl fld="6" item="2"/>
          <tpl hier="236" item="0"/>
          <tpl fld="1" item="0"/>
        </tpls>
      </m>
      <m>
        <tpls c="4">
          <tpl fld="7" item="127"/>
          <tpl fld="6" item="2"/>
          <tpl hier="236" item="0"/>
          <tpl fld="1" item="0"/>
        </tpls>
      </m>
      <m>
        <tpls c="4">
          <tpl fld="7" item="922"/>
          <tpl fld="6" item="2"/>
          <tpl hier="236" item="0"/>
          <tpl fld="4" item="5"/>
        </tpls>
      </m>
      <m>
        <tpls c="4">
          <tpl fld="7" item="904"/>
          <tpl fld="6" item="2"/>
          <tpl hier="236" item="0"/>
          <tpl fld="4" item="5"/>
        </tpls>
      </m>
      <n v="0.53209459459459463" in="2">
        <tpls c="4">
          <tpl fld="7" item="525"/>
          <tpl fld="6" item="2"/>
          <tpl hier="236" item="0"/>
          <tpl fld="4" item="5"/>
        </tpls>
      </n>
      <m>
        <tpls c="4">
          <tpl fld="7" item="505"/>
          <tpl fld="6" item="2"/>
          <tpl hier="236" item="0"/>
          <tpl fld="4" item="5"/>
        </tpls>
      </m>
      <n v="5" in="1">
        <tpls c="4">
          <tpl fld="7" item="567"/>
          <tpl fld="6" item="1"/>
          <tpl hier="236" item="0"/>
          <tpl fld="1" item="0"/>
        </tpls>
      </n>
      <m>
        <tpls c="4">
          <tpl fld="7" item="1214"/>
          <tpl fld="6" item="1"/>
          <tpl hier="236" item="0"/>
          <tpl fld="4" item="5"/>
        </tpls>
      </m>
      <m>
        <tpls c="4">
          <tpl fld="7" item="729"/>
          <tpl fld="6" item="2"/>
          <tpl hier="236" item="0"/>
          <tpl fld="4" item="6"/>
        </tpls>
      </m>
      <n v="1" in="1">
        <tpls c="4">
          <tpl fld="7" item="658"/>
          <tpl fld="6" item="1"/>
          <tpl hier="236" item="0"/>
          <tpl fld="1" item="0"/>
        </tpls>
      </n>
      <n v="5" in="1">
        <tpls c="4">
          <tpl fld="7" item="1101"/>
          <tpl fld="6" item="1"/>
          <tpl hier="236" item="0"/>
          <tpl fld="4" item="1"/>
        </tpls>
      </n>
      <m>
        <tpls c="3">
          <tpl fld="7" item="842"/>
          <tpl fld="6" item="3"/>
          <tpl hier="236" item="0"/>
        </tpls>
      </m>
      <m>
        <tpls c="4">
          <tpl fld="7" item="1125"/>
          <tpl fld="6" item="2"/>
          <tpl hier="236" item="0"/>
          <tpl fld="4" item="1"/>
        </tpls>
      </m>
      <n v="4" in="1">
        <tpls c="4">
          <tpl fld="7" item="1201"/>
          <tpl fld="6" item="1"/>
          <tpl hier="236" item="0"/>
          <tpl fld="4" item="4"/>
        </tpls>
      </n>
      <n v="1" in="2">
        <tpls c="4">
          <tpl fld="7" item="1132"/>
          <tpl fld="6" item="2"/>
          <tpl hier="236" item="0"/>
          <tpl fld="1" item="0"/>
        </tpls>
      </n>
      <m>
        <tpls c="4">
          <tpl fld="7" item="594"/>
          <tpl fld="6" item="2"/>
          <tpl hier="236" item="0"/>
          <tpl fld="1" item="0"/>
        </tpls>
      </m>
      <m>
        <tpls c="4">
          <tpl fld="7" item="132"/>
          <tpl fld="6" item="2"/>
          <tpl hier="236" item="0"/>
          <tpl fld="1" item="0"/>
        </tpls>
      </m>
      <m>
        <tpls c="4">
          <tpl fld="7" item="1184"/>
          <tpl fld="6" item="2"/>
          <tpl hier="236" item="0"/>
          <tpl fld="4" item="5"/>
        </tpls>
      </m>
      <m>
        <tpls c="4">
          <tpl fld="7" item="1005"/>
          <tpl fld="6" item="2"/>
          <tpl hier="236" item="0"/>
          <tpl fld="4" item="5"/>
        </tpls>
      </m>
      <m>
        <tpls c="4">
          <tpl fld="7" item="680"/>
          <tpl fld="6" item="2"/>
          <tpl hier="236" item="0"/>
          <tpl fld="4" item="5"/>
        </tpls>
      </m>
      <m>
        <tpls c="4">
          <tpl fld="7" item="215"/>
          <tpl fld="6" item="2"/>
          <tpl hier="236" item="0"/>
          <tpl fld="4" item="5"/>
        </tpls>
      </m>
      <m>
        <tpls c="4">
          <tpl fld="7" item="294"/>
          <tpl fld="6" item="2"/>
          <tpl hier="236" item="0"/>
          <tpl fld="4" item="5"/>
        </tpls>
      </m>
      <m>
        <tpls c="4">
          <tpl fld="7" item="159"/>
          <tpl fld="6" item="2"/>
          <tpl hier="236" item="0"/>
          <tpl fld="4" item="5"/>
        </tpls>
      </m>
      <m>
        <tpls c="4">
          <tpl fld="7" item="41"/>
          <tpl fld="6" item="2"/>
          <tpl hier="236" item="0"/>
          <tpl fld="4" item="5"/>
        </tpls>
      </m>
      <m>
        <tpls c="4">
          <tpl fld="7" item="110"/>
          <tpl fld="6" item="2"/>
          <tpl hier="236" item="0"/>
          <tpl fld="4" item="5"/>
        </tpls>
      </m>
      <m>
        <tpls c="4">
          <tpl fld="7" item="1129"/>
          <tpl fld="6" item="2"/>
          <tpl hier="236" item="0"/>
          <tpl fld="4" item="6"/>
        </tpls>
      </m>
      <m>
        <tpls c="4">
          <tpl fld="7" item="1114"/>
          <tpl fld="6" item="2"/>
          <tpl hier="236" item="0"/>
          <tpl fld="4" item="6"/>
        </tpls>
      </m>
      <m>
        <tpls c="4">
          <tpl fld="7" item="450"/>
          <tpl fld="6" item="2"/>
          <tpl hier="236" item="0"/>
          <tpl fld="4" item="6"/>
        </tpls>
      </m>
      <n v="0.96959459459459463" in="2">
        <tpls c="4">
          <tpl fld="7" item="430"/>
          <tpl fld="6" item="2"/>
          <tpl hier="236" item="0"/>
          <tpl fld="4" item="6"/>
        </tpls>
      </n>
      <m>
        <tpls c="4">
          <tpl fld="7" item="203"/>
          <tpl fld="6" item="2"/>
          <tpl hier="236" item="0"/>
          <tpl fld="4" item="6"/>
        </tpls>
      </m>
      <m>
        <tpls c="4">
          <tpl fld="7" item="71"/>
          <tpl fld="6" item="2"/>
          <tpl hier="236" item="0"/>
          <tpl fld="4" item="6"/>
        </tpls>
      </m>
      <m>
        <tpls c="4">
          <tpl fld="7" item="135"/>
          <tpl fld="6" item="2"/>
          <tpl hier="236" item="0"/>
          <tpl fld="4" item="6"/>
        </tpls>
      </m>
      <m>
        <tpls c="4">
          <tpl fld="7" item="231"/>
          <tpl fld="6" item="2"/>
          <tpl hier="236" item="0"/>
          <tpl fld="4" item="6"/>
        </tpls>
      </m>
      <n v="1" in="1">
        <tpls c="4">
          <tpl fld="7" item="1118"/>
          <tpl fld="6" item="1"/>
          <tpl hier="236" item="0"/>
          <tpl fld="4" item="5"/>
        </tpls>
      </n>
      <m>
        <tpls c="4">
          <tpl fld="7" item="1103"/>
          <tpl fld="6" item="1"/>
          <tpl hier="236" item="0"/>
          <tpl fld="4" item="5"/>
        </tpls>
      </m>
      <m>
        <tpls c="4">
          <tpl fld="7" item="369"/>
          <tpl fld="6" item="1"/>
          <tpl hier="236" item="0"/>
          <tpl fld="4" item="5"/>
        </tpls>
      </m>
      <m>
        <tpls c="4">
          <tpl fld="7" item="209"/>
          <tpl fld="6" item="1"/>
          <tpl hier="236" item="0"/>
          <tpl fld="4" item="5"/>
        </tpls>
      </m>
      <m>
        <tpls c="4">
          <tpl fld="7" item="81"/>
          <tpl fld="6" item="1"/>
          <tpl hier="236" item="0"/>
          <tpl fld="4" item="5"/>
        </tpls>
      </m>
      <m>
        <tpls c="4">
          <tpl fld="7" item="65"/>
          <tpl fld="6" item="1"/>
          <tpl hier="236" item="0"/>
          <tpl fld="4" item="5"/>
        </tpls>
      </m>
      <m>
        <tpls c="4">
          <tpl fld="7" item="37"/>
          <tpl fld="6" item="1"/>
          <tpl hier="236" item="0"/>
          <tpl fld="4" item="5"/>
        </tpls>
      </m>
      <m>
        <tpls c="4">
          <tpl fld="7" item="125"/>
          <tpl fld="6" item="1"/>
          <tpl hier="236" item="0"/>
          <tpl fld="4" item="5"/>
        </tpls>
      </m>
      <m>
        <tpls c="4">
          <tpl fld="7" item="1070"/>
          <tpl fld="6" item="1"/>
          <tpl hier="236" item="0"/>
          <tpl fld="4" item="1"/>
        </tpls>
      </m>
      <n v="3" in="1">
        <tpls c="4">
          <tpl fld="7" item="1054"/>
          <tpl fld="6" item="1"/>
          <tpl hier="236" item="0"/>
          <tpl fld="4" item="1"/>
        </tpls>
      </n>
      <m>
        <tpls c="4">
          <tpl fld="7" item="1038"/>
          <tpl fld="6" item="1"/>
          <tpl hier="236" item="0"/>
          <tpl fld="4" item="1"/>
        </tpls>
      </m>
      <m>
        <tpls c="4">
          <tpl fld="7" item="1027"/>
          <tpl fld="6" item="1"/>
          <tpl hier="236" item="0"/>
          <tpl fld="4" item="1"/>
        </tpls>
      </m>
      <n v="5" in="1">
        <tpls c="4">
          <tpl fld="7" item="1015"/>
          <tpl fld="6" item="1"/>
          <tpl hier="236" item="0"/>
          <tpl fld="4" item="1"/>
        </tpls>
      </n>
      <n v="2" in="1">
        <tpls c="4">
          <tpl fld="7" item="1003"/>
          <tpl fld="6" item="1"/>
          <tpl hier="236" item="0"/>
          <tpl fld="4" item="1"/>
        </tpls>
      </n>
      <n v="1" in="1">
        <tpls c="4">
          <tpl fld="7" item="523"/>
          <tpl fld="6" item="1"/>
          <tpl hier="236" item="0"/>
          <tpl fld="4" item="1"/>
        </tpls>
      </n>
      <m>
        <tpls c="4">
          <tpl fld="7" item="507"/>
          <tpl fld="6" item="1"/>
          <tpl hier="236" item="0"/>
          <tpl fld="4" item="1"/>
        </tpls>
      </m>
      <m>
        <tpls c="4">
          <tpl fld="7" item="106"/>
          <tpl fld="6" item="1"/>
          <tpl hier="236" item="0"/>
          <tpl fld="4" item="1"/>
        </tpls>
      </m>
      <m>
        <tpls c="4">
          <tpl fld="7" item="86"/>
          <tpl fld="6" item="1"/>
          <tpl hier="236" item="0"/>
          <tpl fld="4" item="1"/>
        </tpls>
      </m>
      <n v="0" in="1">
        <tpls c="4">
          <tpl fld="7" item="285"/>
          <tpl fld="6" item="1"/>
          <tpl hier="236" item="0"/>
          <tpl fld="4" item="1"/>
        </tpls>
      </n>
      <m>
        <tpls c="4">
          <tpl fld="7" item="277"/>
          <tpl fld="6" item="1"/>
          <tpl hier="236" item="0"/>
          <tpl fld="4" item="1"/>
        </tpls>
      </m>
      <m>
        <tpls c="4">
          <tpl fld="7" item="40"/>
          <tpl fld="6" item="1"/>
          <tpl hier="236" item="0"/>
          <tpl fld="4" item="1"/>
        </tpls>
      </m>
      <m>
        <tpls c="4">
          <tpl fld="7" item="22"/>
          <tpl fld="6" item="1"/>
          <tpl hier="236" item="0"/>
          <tpl fld="4" item="1"/>
        </tpls>
      </m>
      <m>
        <tpls c="4">
          <tpl fld="7" item="122"/>
          <tpl fld="6" item="1"/>
          <tpl hier="236" item="0"/>
          <tpl fld="4" item="1"/>
        </tpls>
      </m>
      <m>
        <tpls c="4">
          <tpl fld="7" item="861"/>
          <tpl fld="6" item="1"/>
          <tpl hier="236" item="0"/>
          <tpl fld="1" item="0"/>
        </tpls>
      </m>
      <n v="1" in="1">
        <tpls c="4">
          <tpl fld="7" item="845"/>
          <tpl fld="6" item="1"/>
          <tpl hier="236" item="0"/>
          <tpl fld="1" item="0"/>
        </tpls>
      </n>
      <n v="3" in="1">
        <tpls c="4">
          <tpl fld="7" item="386"/>
          <tpl fld="6" item="1"/>
          <tpl hier="236" item="0"/>
          <tpl fld="1" item="0"/>
        </tpls>
      </n>
      <m>
        <tpls c="4">
          <tpl fld="7" item="778"/>
          <tpl fld="6" item="1"/>
          <tpl hier="236" item="0"/>
          <tpl fld="4" item="6"/>
        </tpls>
      </m>
      <m>
        <tpls c="4">
          <tpl fld="7" item="635"/>
          <tpl fld="6" item="2"/>
          <tpl hier="236" item="0"/>
          <tpl fld="4" item="6"/>
        </tpls>
      </m>
      <n v="0.95" in="2">
        <tpls c="4">
          <tpl fld="7" item="643"/>
          <tpl fld="6" item="2"/>
          <tpl hier="236" item="0"/>
          <tpl fld="4" item="4"/>
        </tpls>
      </n>
      <m>
        <tpls c="4">
          <tpl fld="7" item="728"/>
          <tpl fld="6" item="2"/>
          <tpl hier="236" item="0"/>
          <tpl fld="4" item="6"/>
        </tpls>
      </m>
      <m>
        <tpls c="4">
          <tpl fld="7" item="654"/>
          <tpl fld="6" item="2"/>
          <tpl hier="236" item="0"/>
          <tpl fld="1" item="0"/>
        </tpls>
      </m>
      <m>
        <tpls c="3">
          <tpl fld="7" item="660"/>
          <tpl fld="6" item="3"/>
          <tpl hier="236" item="0"/>
        </tpls>
      </m>
      <m>
        <tpls c="4">
          <tpl fld="7" item="828"/>
          <tpl fld="6" item="2"/>
          <tpl hier="236" item="0"/>
          <tpl fld="4" item="1"/>
        </tpls>
      </m>
      <n v="2" in="1">
        <tpls c="4">
          <tpl fld="7" item="1109"/>
          <tpl fld="6" item="1"/>
          <tpl hier="236" item="0"/>
          <tpl fld="4" item="6"/>
        </tpls>
      </n>
      <m>
        <tpls c="4">
          <tpl fld="7" item="912"/>
          <tpl fld="6" item="2"/>
          <tpl hier="236" item="0"/>
          <tpl fld="4" item="4"/>
        </tpls>
      </m>
      <m>
        <tpls c="4">
          <tpl fld="7" item="1248"/>
          <tpl fld="6" item="1"/>
          <tpl hier="236" item="0"/>
          <tpl fld="4" item="4"/>
        </tpls>
      </m>
      <m>
        <tpls c="4">
          <tpl fld="7" item="1046"/>
          <tpl fld="6" item="1"/>
          <tpl hier="236" item="0"/>
          <tpl fld="4" item="4"/>
        </tpls>
      </m>
      <m>
        <tpls c="4">
          <tpl fld="7" item="1078"/>
          <tpl fld="6" item="1"/>
          <tpl hier="236" item="0"/>
          <tpl fld="4" item="4"/>
        </tpls>
      </m>
      <n v="0.8" in="2">
        <tpls c="4">
          <tpl fld="7" item="1085"/>
          <tpl fld="6" item="2"/>
          <tpl hier="236" item="0"/>
          <tpl fld="1" item="0"/>
        </tpls>
      </n>
      <m>
        <tpls c="4">
          <tpl fld="7" item="69"/>
          <tpl fld="6" item="2"/>
          <tpl hier="236" item="0"/>
          <tpl fld="1" item="0"/>
        </tpls>
      </m>
      <m>
        <tpls c="4">
          <tpl fld="7" item="148"/>
          <tpl fld="6" item="2"/>
          <tpl hier="236" item="0"/>
          <tpl fld="1" item="0"/>
        </tpls>
      </m>
      <n v="1337" in="1">
        <tpls c="6">
          <tpl fld="11" item="0"/>
          <tpl fld="2" item="1"/>
          <tpl fld="6" item="1"/>
          <tpl hier="236" item="0"/>
          <tpl fld="4" item="4"/>
          <tpl fld="10" item="2"/>
        </tpls>
      </n>
      <m>
        <tpls c="4">
          <tpl fld="7" item="481"/>
          <tpl fld="6" item="1"/>
          <tpl hier="236" item="0"/>
          <tpl fld="4" item="4"/>
        </tpls>
      </m>
      <n v="3.35" in="2">
        <tpls c="6">
          <tpl fld="3" item="0"/>
          <tpl fld="11" item="0"/>
          <tpl fld="6" item="2"/>
          <tpl hier="236" item="0"/>
          <tpl fld="4" item="3"/>
          <tpl fld="10" item="4"/>
        </tpls>
      </n>
      <n v="1" in="2">
        <tpls c="4">
          <tpl fld="7" item="516"/>
          <tpl fld="6" item="2"/>
          <tpl hier="236" item="0"/>
          <tpl fld="4" item="1"/>
        </tpls>
      </n>
      <m>
        <tpls c="4">
          <tpl fld="7" item="774"/>
          <tpl fld="6" item="2"/>
          <tpl hier="236" item="0"/>
          <tpl fld="4" item="5"/>
        </tpls>
      </m>
      <m>
        <tpls c="4">
          <tpl fld="7" item="554"/>
          <tpl fld="6" item="2"/>
          <tpl hier="236" item="0"/>
          <tpl fld="4" item="1"/>
        </tpls>
      </m>
      <m>
        <tpls c="4">
          <tpl fld="7" item="799"/>
          <tpl fld="6" item="1"/>
          <tpl hier="236" item="0"/>
          <tpl fld="4" item="5"/>
        </tpls>
      </m>
      <m>
        <tpls c="4">
          <tpl fld="7" item="780"/>
          <tpl fld="6" item="1"/>
          <tpl hier="236" item="0"/>
          <tpl fld="4" item="1"/>
        </tpls>
      </m>
      <m>
        <tpls c="4">
          <tpl fld="7" item="798"/>
          <tpl fld="6" item="2"/>
          <tpl hier="236" item="0"/>
          <tpl fld="4" item="1"/>
        </tpls>
      </m>
      <m>
        <tpls c="4">
          <tpl fld="7" item="678"/>
          <tpl fld="6" item="1"/>
          <tpl hier="236" item="0"/>
          <tpl fld="4" item="6"/>
        </tpls>
      </m>
      <m>
        <tpls c="4">
          <tpl fld="7" item="773"/>
          <tpl fld="6" item="2"/>
          <tpl hier="236" item="0"/>
          <tpl fld="4" item="5"/>
        </tpls>
      </m>
      <m>
        <tpls c="3">
          <tpl fld="7" item="618"/>
          <tpl fld="6" item="3"/>
          <tpl hier="236" item="0"/>
        </tpls>
      </m>
      <m>
        <tpls c="4">
          <tpl fld="7" item="702"/>
          <tpl fld="6" item="1"/>
          <tpl hier="236" item="0"/>
          <tpl fld="4" item="5"/>
        </tpls>
      </m>
      <n v="5" in="1">
        <tpls c="4">
          <tpl fld="7" item="788"/>
          <tpl fld="6" item="1"/>
          <tpl hier="236" item="0"/>
          <tpl fld="4" item="1"/>
        </tpls>
      </n>
      <m>
        <tpls c="4">
          <tpl fld="7" item="712"/>
          <tpl fld="6" item="1"/>
          <tpl hier="236" item="0"/>
          <tpl fld="4" item="6"/>
        </tpls>
      </m>
      <n v="2" in="1">
        <tpls c="4">
          <tpl fld="7" item="798"/>
          <tpl fld="6" item="1"/>
          <tpl hier="236" item="0"/>
          <tpl fld="1" item="0"/>
        </tpls>
      </n>
      <m>
        <tpls c="4">
          <tpl fld="7" item="992"/>
          <tpl fld="6" item="2"/>
          <tpl hier="236" item="0"/>
          <tpl fld="4" item="5"/>
        </tpls>
      </m>
      <m>
        <tpls c="4">
          <tpl fld="7" item="612"/>
          <tpl fld="6" item="2"/>
          <tpl hier="236" item="0"/>
          <tpl fld="4" item="5"/>
        </tpls>
      </m>
      <m>
        <tpls c="4">
          <tpl fld="7" item="570"/>
          <tpl fld="6" item="2"/>
          <tpl hier="236" item="0"/>
          <tpl fld="1" item="0"/>
        </tpls>
      </m>
      <n v="8" in="1">
        <tpls c="4">
          <tpl fld="7" item="1095"/>
          <tpl fld="6" item="1"/>
          <tpl hier="236" item="0"/>
          <tpl fld="4" item="1"/>
        </tpls>
      </n>
      <n v="2" in="1">
        <tpls c="4">
          <tpl fld="7" item="647"/>
          <tpl fld="6" item="1"/>
          <tpl hier="236" item="0"/>
          <tpl fld="4" item="6"/>
        </tpls>
      </n>
      <n v="8" in="1">
        <tpls c="4">
          <tpl fld="7" item="995"/>
          <tpl fld="6" item="1"/>
          <tpl hier="236" item="0"/>
          <tpl fld="1" item="0"/>
        </tpls>
      </n>
      <m>
        <tpls c="4">
          <tpl fld="7" item="820"/>
          <tpl fld="6" item="2"/>
          <tpl hier="236" item="0"/>
          <tpl fld="4" item="5"/>
        </tpls>
      </m>
      <m>
        <tpls c="4">
          <tpl fld="7" item="826"/>
          <tpl fld="6" item="2"/>
          <tpl hier="236" item="0"/>
          <tpl fld="4" item="5"/>
        </tpls>
      </m>
      <m>
        <tpls c="4">
          <tpl fld="7" item="1004"/>
          <tpl fld="6" item="2"/>
          <tpl hier="236" item="0"/>
          <tpl fld="4" item="4"/>
        </tpls>
      </m>
      <n v="27" in="1">
        <tpls c="4">
          <tpl fld="7" item="910"/>
          <tpl fld="6" item="1"/>
          <tpl hier="236" item="0"/>
          <tpl fld="4" item="4"/>
        </tpls>
      </n>
      <m>
        <tpls c="4">
          <tpl fld="7" item="1126"/>
          <tpl fld="6" item="2"/>
          <tpl hier="236" item="0"/>
          <tpl fld="4" item="1"/>
        </tpls>
      </m>
      <m>
        <tpls c="4">
          <tpl fld="7" item="1279"/>
          <tpl fld="6" item="2"/>
          <tpl hier="236" item="0"/>
          <tpl fld="4" item="1"/>
        </tpls>
      </m>
      <m>
        <tpls c="4">
          <tpl fld="7" item="1281"/>
          <tpl fld="6" item="2"/>
          <tpl hier="236" item="0"/>
          <tpl fld="4" item="1"/>
        </tpls>
      </m>
      <m>
        <tpls c="4">
          <tpl fld="7" item="1216"/>
          <tpl fld="6" item="2"/>
          <tpl hier="236" item="0"/>
          <tpl fld="1" item="0"/>
        </tpls>
      </m>
      <m>
        <tpls c="4">
          <tpl fld="7" item="297"/>
          <tpl fld="6" item="2"/>
          <tpl hier="236" item="0"/>
          <tpl fld="1" item="0"/>
        </tpls>
      </m>
      <m>
        <tpls c="4">
          <tpl fld="7" item="469"/>
          <tpl fld="6" item="2"/>
          <tpl hier="236" item="0"/>
          <tpl fld="1" item="0"/>
        </tpls>
      </m>
      <n v="5" in="1">
        <tpls c="4">
          <tpl fld="7" item="689"/>
          <tpl fld="6" item="1"/>
          <tpl hier="236" item="0"/>
          <tpl fld="4" item="6"/>
        </tpls>
      </n>
      <m>
        <tpls c="4">
          <tpl fld="7" item="551"/>
          <tpl fld="6" item="1"/>
          <tpl hier="236" item="0"/>
          <tpl fld="4" item="4"/>
        </tpls>
      </m>
      <n v="1" in="1">
        <tpls c="4">
          <tpl fld="7" item="702"/>
          <tpl fld="6" item="1"/>
          <tpl hier="236" item="0"/>
          <tpl fld="1" item="0"/>
        </tpls>
      </n>
      <n v="13" in="1">
        <tpls c="4">
          <tpl fld="7" item="989"/>
          <tpl fld="6" item="1"/>
          <tpl hier="236" item="0"/>
          <tpl fld="1" item="0"/>
        </tpls>
      </n>
      <m>
        <tpls c="4">
          <tpl fld="7" item="715"/>
          <tpl fld="6" item="2"/>
          <tpl hier="236" item="0"/>
          <tpl fld="4" item="4"/>
        </tpls>
      </m>
      <m>
        <tpls c="4">
          <tpl fld="7" item="719"/>
          <tpl fld="6" item="1"/>
          <tpl hier="236" item="0"/>
          <tpl fld="4" item="6"/>
        </tpls>
      </m>
      <m>
        <tpls c="4">
          <tpl fld="7" item="721"/>
          <tpl fld="6" item="2"/>
          <tpl hier="236" item="0"/>
          <tpl fld="1" item="0"/>
        </tpls>
      </m>
      <n v="60" in="1">
        <tpls c="4">
          <tpl fld="7" item="643"/>
          <tpl fld="6" item="1"/>
          <tpl hier="236" item="0"/>
          <tpl fld="1" item="0"/>
        </tpls>
      </n>
      <m>
        <tpls c="3">
          <tpl fld="7" item="806"/>
          <tpl fld="6" item="3"/>
          <tpl hier="236" item="0"/>
        </tpls>
      </m>
      <m>
        <tpls c="3">
          <tpl fld="7" item="808"/>
          <tpl fld="6" item="3"/>
          <tpl hier="236" item="0"/>
        </tpls>
      </m>
      <m>
        <tpls c="4">
          <tpl fld="7" item="728"/>
          <tpl fld="6" item="2"/>
          <tpl hier="236" item="0"/>
          <tpl fld="4" item="5"/>
        </tpls>
      </m>
      <n v="0" in="1">
        <tpls c="4">
          <tpl fld="7" item="730"/>
          <tpl fld="6" item="1"/>
          <tpl hier="236" item="0"/>
          <tpl fld="4" item="5"/>
        </tpls>
      </n>
      <m>
        <tpls c="4">
          <tpl fld="7" item="732"/>
          <tpl fld="6" item="1"/>
          <tpl hier="236" item="0"/>
          <tpl fld="4" item="5"/>
        </tpls>
      </m>
      <m>
        <tpls c="4">
          <tpl fld="7" item="734"/>
          <tpl fld="6" item="2"/>
          <tpl hier="236" item="0"/>
          <tpl fld="4" item="1"/>
        </tpls>
      </m>
      <m>
        <tpls c="4">
          <tpl fld="7" item="892"/>
          <tpl fld="6" item="1"/>
          <tpl hier="236" item="0"/>
          <tpl fld="4" item="6"/>
        </tpls>
      </m>
      <m>
        <tpls c="4">
          <tpl fld="7" item="737"/>
          <tpl fld="6" item="2"/>
          <tpl hier="236" item="0"/>
          <tpl fld="4" item="1"/>
        </tpls>
      </m>
      <m>
        <tpls c="4">
          <tpl fld="7" item="820"/>
          <tpl fld="6" item="2"/>
          <tpl hier="236" item="0"/>
          <tpl fld="1" item="0"/>
        </tpls>
      </m>
      <m>
        <tpls c="4">
          <tpl fld="7" item="660"/>
          <tpl fld="6" item="1"/>
          <tpl hier="236" item="0"/>
          <tpl fld="4" item="1"/>
        </tpls>
      </m>
      <n v="5" in="1">
        <tpls c="4">
          <tpl fld="7" item="823"/>
          <tpl fld="6" item="1"/>
          <tpl hier="236" item="0"/>
          <tpl fld="1" item="0"/>
        </tpls>
      </n>
      <m>
        <tpls c="4">
          <tpl fld="7" item="663"/>
          <tpl fld="6" item="2"/>
          <tpl hier="236" item="0"/>
          <tpl fld="4" item="4"/>
        </tpls>
      </m>
      <m>
        <tpls c="4">
          <tpl fld="7" item="826"/>
          <tpl fld="6" item="2"/>
          <tpl hier="236" item="0"/>
          <tpl fld="1" item="0"/>
        </tpls>
      </m>
      <m>
        <tpls c="4">
          <tpl fld="7" item="828"/>
          <tpl fld="6" item="2"/>
          <tpl hier="236" item="0"/>
          <tpl fld="1" item="0"/>
        </tpls>
      </m>
      <m>
        <tpls c="3">
          <tpl fld="7" item="1190"/>
          <tpl fld="6" item="3"/>
          <tpl hier="236" item="0"/>
        </tpls>
      </m>
      <m>
        <tpls c="4">
          <tpl fld="7" item="898"/>
          <tpl fld="6" item="2"/>
          <tpl hier="236" item="0"/>
          <tpl fld="4" item="1"/>
        </tpls>
      </m>
      <n v="3" in="1">
        <tpls c="4">
          <tpl fld="7" item="837"/>
          <tpl fld="6" item="1"/>
          <tpl hier="236" item="0"/>
          <tpl fld="4" item="4"/>
        </tpls>
      </n>
      <m>
        <tpls c="4">
          <tpl fld="7" item="840"/>
          <tpl fld="6" item="2"/>
          <tpl hier="236" item="0"/>
          <tpl fld="4" item="4"/>
        </tpls>
      </m>
      <m>
        <tpls c="4">
          <tpl fld="7" item="905"/>
          <tpl fld="6" item="1"/>
          <tpl hier="236" item="0"/>
          <tpl fld="4" item="6"/>
        </tpls>
      </m>
      <m>
        <tpls c="3">
          <tpl fld="7" item="1114"/>
          <tpl fld="6" item="3"/>
          <tpl hier="236" item="0"/>
        </tpls>
      </m>
      <m>
        <tpls c="4">
          <tpl fld="7" item="910"/>
          <tpl fld="6" item="2"/>
          <tpl hier="236" item="0"/>
          <tpl fld="4" item="1"/>
        </tpls>
      </m>
      <n v="3" in="1">
        <tpls c="4">
          <tpl fld="7" item="853"/>
          <tpl fld="6" item="1"/>
          <tpl hier="236" item="0"/>
          <tpl fld="4" item="4"/>
        </tpls>
      </n>
      <m>
        <tpls c="4">
          <tpl fld="7" item="856"/>
          <tpl fld="6" item="2"/>
          <tpl hier="236" item="0"/>
          <tpl fld="4" item="4"/>
        </tpls>
      </m>
      <m>
        <tpls c="4">
          <tpl fld="7" item="917"/>
          <tpl fld="6" item="1"/>
          <tpl hier="236" item="0"/>
          <tpl fld="4" item="6"/>
        </tpls>
      </m>
      <m>
        <tpls c="3">
          <tpl fld="7" item="1126"/>
          <tpl fld="6" item="3"/>
          <tpl hier="236" item="0"/>
        </tpls>
      </m>
      <m>
        <tpls c="4">
          <tpl fld="7" item="922"/>
          <tpl fld="6" item="2"/>
          <tpl hier="236" item="0"/>
          <tpl fld="4" item="1"/>
        </tpls>
      </m>
      <n v="3" in="1">
        <tpls c="4">
          <tpl fld="7" item="869"/>
          <tpl fld="6" item="1"/>
          <tpl hier="236" item="0"/>
          <tpl fld="4" item="4"/>
        </tpls>
      </n>
      <n v="3" in="1">
        <tpls c="4">
          <tpl fld="7" item="1134"/>
          <tpl fld="6" item="1"/>
          <tpl hier="236" item="0"/>
          <tpl fld="4" item="4"/>
        </tpls>
      </n>
      <n v="3" in="1">
        <tpls c="4">
          <tpl fld="7" item="935"/>
          <tpl fld="6" item="1"/>
          <tpl hier="236" item="0"/>
          <tpl fld="4" item="4"/>
        </tpls>
      </n>
      <m>
        <tpls c="4">
          <tpl fld="7" item="943"/>
          <tpl fld="6" item="1"/>
          <tpl hier="236" item="0"/>
          <tpl fld="4" item="4"/>
        </tpls>
      </m>
      <n v="25" in="1">
        <tpls c="4">
          <tpl fld="7" item="951"/>
          <tpl fld="6" item="1"/>
          <tpl hier="236" item="0"/>
          <tpl fld="4" item="4"/>
        </tpls>
      </n>
      <n v="4" in="1">
        <tpls c="4">
          <tpl fld="7" item="959"/>
          <tpl fld="6" item="1"/>
          <tpl hier="236" item="0"/>
          <tpl fld="4" item="4"/>
        </tpls>
      </n>
      <n v="1" in="1">
        <tpls c="4">
          <tpl fld="7" item="967"/>
          <tpl fld="6" item="1"/>
          <tpl hier="236" item="0"/>
          <tpl fld="4" item="4"/>
        </tpls>
      </n>
      <n v="6" in="1">
        <tpls c="4">
          <tpl fld="7" item="975"/>
          <tpl fld="6" item="1"/>
          <tpl hier="236" item="0"/>
          <tpl fld="4" item="4"/>
        </tpls>
      </n>
      <m>
        <tpls c="4">
          <tpl fld="7" item="864"/>
          <tpl fld="6" item="2"/>
          <tpl hier="236" item="0"/>
          <tpl fld="1" item="0"/>
        </tpls>
      </m>
      <n v="1" in="2">
        <tpls c="4">
          <tpl fld="7" item="848"/>
          <tpl fld="6" item="2"/>
          <tpl hier="236" item="0"/>
          <tpl fld="1" item="0"/>
        </tpls>
      </n>
      <m>
        <tpls c="4">
          <tpl fld="7" item="832"/>
          <tpl fld="6" item="2"/>
          <tpl hier="236" item="0"/>
          <tpl fld="1" item="0"/>
        </tpls>
      </m>
      <m>
        <tpls c="4">
          <tpl fld="7" item="378"/>
          <tpl fld="6" item="2"/>
          <tpl hier="236" item="0"/>
          <tpl fld="1" item="0"/>
        </tpls>
      </m>
      <n v="1" in="2">
        <tpls c="4">
          <tpl fld="7" item="362"/>
          <tpl fld="6" item="2"/>
          <tpl hier="236" item="0"/>
          <tpl fld="1" item="0"/>
        </tpls>
      </n>
      <m>
        <tpls c="4">
          <tpl fld="7" item="92"/>
          <tpl fld="6" item="2"/>
          <tpl hier="236" item="0"/>
          <tpl fld="1" item="0"/>
        </tpls>
      </m>
      <m>
        <tpls c="4">
          <tpl fld="7" item="486"/>
          <tpl fld="6" item="2"/>
          <tpl hier="236" item="0"/>
          <tpl fld="1" item="0"/>
        </tpls>
      </m>
      <m>
        <tpls c="4">
          <tpl fld="7" item="97"/>
          <tpl fld="6" item="1"/>
          <tpl hier="236" item="0"/>
          <tpl fld="4" item="6"/>
        </tpls>
      </m>
      <m>
        <tpls c="4">
          <tpl fld="7" item="390"/>
          <tpl fld="6" item="2"/>
          <tpl hier="236" item="0"/>
          <tpl fld="4" item="5"/>
        </tpls>
      </m>
      <n v="7" in="1">
        <tpls c="4">
          <tpl fld="7" item="546"/>
          <tpl fld="6" item="1"/>
          <tpl hier="236" item="0"/>
          <tpl fld="4" item="1"/>
        </tpls>
      </n>
      <n v="0" in="1">
        <tpls c="4">
          <tpl fld="7" item="552"/>
          <tpl fld="6" item="1"/>
          <tpl hier="236" item="0"/>
          <tpl fld="4" item="1"/>
        </tpls>
      </n>
      <m>
        <tpls c="4">
          <tpl fld="7" item="558"/>
          <tpl fld="6" item="1"/>
          <tpl hier="236" item="0"/>
          <tpl fld="4" item="4"/>
        </tpls>
      </m>
      <n v="13" in="1">
        <tpls c="4">
          <tpl fld="7" item="706"/>
          <tpl fld="6" item="1"/>
          <tpl hier="236" item="0"/>
          <tpl fld="4" item="6"/>
        </tpls>
      </n>
      <m>
        <tpls c="4">
          <tpl fld="7" item="571"/>
          <tpl fld="6" item="2"/>
          <tpl hier="236" item="0"/>
          <tpl fld="4" item="5"/>
        </tpls>
      </m>
      <m>
        <tpls c="4">
          <tpl fld="7" item="577"/>
          <tpl fld="6" item="2"/>
          <tpl hier="236" item="0"/>
          <tpl fld="4" item="1"/>
        </tpls>
      </m>
      <m>
        <tpls c="4">
          <tpl fld="7" item="581"/>
          <tpl fld="6" item="1"/>
          <tpl hier="236" item="0"/>
          <tpl fld="4" item="5"/>
        </tpls>
      </m>
      <m>
        <tpls c="3">
          <tpl fld="7" item="583"/>
          <tpl fld="6" item="3"/>
          <tpl hier="236" item="0"/>
        </tpls>
      </m>
      <n v="2" in="2">
        <tpls c="4">
          <tpl fld="7" item="642"/>
          <tpl fld="6" item="2"/>
          <tpl hier="236" item="0"/>
          <tpl fld="1" item="0"/>
        </tpls>
      </n>
      <n v="1" in="1">
        <tpls c="4">
          <tpl fld="7" item="723"/>
          <tpl fld="6" item="1"/>
          <tpl hier="236" item="0"/>
          <tpl fld="4" item="1"/>
        </tpls>
      </n>
      <n v="30" in="1">
        <tpls c="4">
          <tpl fld="7" item="588"/>
          <tpl fld="6" item="1"/>
          <tpl hier="236" item="0"/>
          <tpl fld="1" item="0"/>
        </tpls>
      </n>
      <m>
        <tpls c="4">
          <tpl fld="7" item="1096"/>
          <tpl fld="6" item="2"/>
          <tpl hier="236" item="0"/>
          <tpl fld="4" item="4"/>
        </tpls>
      </m>
      <m>
        <tpls c="3">
          <tpl fld="7" item="727"/>
          <tpl fld="6" item="3"/>
          <tpl hier="236" item="0"/>
        </tpls>
      </m>
      <m>
        <tpls c="4">
          <tpl fld="7" item="994"/>
          <tpl fld="6" item="1"/>
          <tpl hier="236" item="0"/>
          <tpl fld="4" item="4"/>
        </tpls>
      </m>
      <m>
        <tpls c="4">
          <tpl fld="7" item="650"/>
          <tpl fld="6" item="2"/>
          <tpl hier="236" item="0"/>
          <tpl fld="4" item="5"/>
        </tpls>
      </m>
      <n v="1" in="2">
        <tpls c="4">
          <tpl fld="7" item="813"/>
          <tpl fld="6" item="2"/>
          <tpl hier="236" item="0"/>
          <tpl fld="4" item="6"/>
        </tpls>
      </n>
      <n v="1" in="1">
        <tpls c="4">
          <tpl fld="7" item="653"/>
          <tpl fld="6" item="1"/>
          <tpl hier="236" item="0"/>
          <tpl fld="4" item="5"/>
        </tpls>
      </n>
      <n v="1" in="1">
        <tpls c="4">
          <tpl fld="7" item="816"/>
          <tpl fld="6" item="1"/>
          <tpl hier="236" item="0"/>
          <tpl fld="4" item="6"/>
        </tpls>
      </n>
      <m>
        <tpls c="4">
          <tpl fld="7" item="656"/>
          <tpl fld="6" item="2"/>
          <tpl hier="236" item="0"/>
          <tpl fld="4" item="1"/>
        </tpls>
      </m>
      <m>
        <tpls c="4">
          <tpl fld="7" item="737"/>
          <tpl fld="6" item="2"/>
          <tpl hier="236" item="0"/>
          <tpl fld="1" item="0"/>
        </tpls>
      </m>
      <m>
        <tpls c="4">
          <tpl fld="7" item="1215"/>
          <tpl fld="6" item="1"/>
          <tpl hier="236" item="0"/>
          <tpl fld="4" item="1"/>
        </tpls>
      </m>
      <n v="3" in="1">
        <tpls c="4">
          <tpl fld="7" item="740"/>
          <tpl fld="6" item="1"/>
          <tpl hier="236" item="0"/>
          <tpl fld="1" item="0"/>
        </tpls>
      </n>
      <m>
        <tpls c="4">
          <tpl fld="7" item="1100"/>
          <tpl fld="6" item="2"/>
          <tpl hier="236" item="0"/>
          <tpl fld="4" item="4"/>
        </tpls>
      </m>
      <m>
        <tpls c="3">
          <tpl fld="7" item="743"/>
          <tpl fld="6" item="3"/>
          <tpl hier="236" item="0"/>
        </tpls>
      </m>
      <n v="27" in="1">
        <tpls c="4">
          <tpl fld="7" item="665"/>
          <tpl fld="6" item="1"/>
          <tpl hier="236" item="0"/>
          <tpl fld="4" item="4"/>
        </tpls>
      </n>
      <n v="31" in="1">
        <tpls c="4">
          <tpl fld="7" item="667"/>
          <tpl fld="6" item="1"/>
          <tpl hier="236" item="0"/>
          <tpl fld="4" item="4"/>
        </tpls>
      </n>
      <m>
        <tpls c="4">
          <tpl fld="7" item="831"/>
          <tpl fld="6" item="2"/>
          <tpl hier="236" item="0"/>
          <tpl fld="4" item="1"/>
        </tpls>
      </m>
      <n v="9" in="1">
        <tpls c="4">
          <tpl fld="7" item="1002"/>
          <tpl fld="6" item="1"/>
          <tpl hier="236" item="0"/>
          <tpl fld="4" item="4"/>
        </tpls>
      </n>
      <m>
        <tpls c="4">
          <tpl fld="7" item="1107"/>
          <tpl fld="6" item="2"/>
          <tpl hier="236" item="0"/>
          <tpl fld="4" item="4"/>
        </tpls>
      </m>
      <m>
        <tpls c="4">
          <tpl fld="7" item="903"/>
          <tpl fld="6" item="1"/>
          <tpl hier="236" item="0"/>
          <tpl fld="4" item="6"/>
        </tpls>
      </m>
      <m>
        <tpls c="3">
          <tpl fld="7" item="1112"/>
          <tpl fld="6" item="3"/>
          <tpl hier="236" item="0"/>
        </tpls>
      </m>
      <m>
        <tpls c="4">
          <tpl fld="7" item="847"/>
          <tpl fld="6" item="2"/>
          <tpl hier="236" item="0"/>
          <tpl fld="4" item="1"/>
        </tpls>
      </m>
      <n v="29" in="1">
        <tpls c="4">
          <tpl fld="7" item="1014"/>
          <tpl fld="6" item="1"/>
          <tpl hier="236" item="0"/>
          <tpl fld="4" item="4"/>
        </tpls>
      </n>
      <m>
        <tpls c="4">
          <tpl fld="7" item="1119"/>
          <tpl fld="6" item="2"/>
          <tpl hier="236" item="0"/>
          <tpl fld="4" item="4"/>
        </tpls>
      </m>
      <n v="1" in="1">
        <tpls c="4">
          <tpl fld="7" item="915"/>
          <tpl fld="6" item="1"/>
          <tpl hier="236" item="0"/>
          <tpl fld="4" item="6"/>
        </tpls>
      </n>
      <m>
        <tpls c="3">
          <tpl fld="7" item="1124"/>
          <tpl fld="6" item="3"/>
          <tpl hier="236" item="0"/>
        </tpls>
      </m>
      <m>
        <tpls c="4">
          <tpl fld="7" item="863"/>
          <tpl fld="6" item="2"/>
          <tpl hier="236" item="0"/>
          <tpl fld="4" item="1"/>
        </tpls>
      </m>
      <m>
        <tpls c="4">
          <tpl fld="7" item="1026"/>
          <tpl fld="6" item="1"/>
          <tpl hier="236" item="0"/>
          <tpl fld="4" item="4"/>
        </tpls>
      </m>
      <m>
        <tpls c="4">
          <tpl fld="7" item="1131"/>
          <tpl fld="6" item="2"/>
          <tpl hier="236" item="0"/>
          <tpl fld="4" item="4"/>
        </tpls>
      </m>
      <m>
        <tpls c="4">
          <tpl fld="7" item="1032"/>
          <tpl fld="6" item="2"/>
          <tpl hier="236" item="0"/>
          <tpl fld="4" item="1"/>
        </tpls>
      </m>
      <m>
        <tpls c="4">
          <tpl fld="7" item="936"/>
          <tpl fld="6" item="2"/>
          <tpl hier="236" item="0"/>
          <tpl fld="4" item="1"/>
        </tpls>
      </m>
      <m>
        <tpls c="4">
          <tpl fld="7" item="944"/>
          <tpl fld="6" item="2"/>
          <tpl hier="236" item="0"/>
          <tpl fld="4" item="1"/>
        </tpls>
      </m>
      <m>
        <tpls c="4">
          <tpl fld="7" item="952"/>
          <tpl fld="6" item="2"/>
          <tpl hier="236" item="0"/>
          <tpl fld="4" item="1"/>
        </tpls>
      </m>
      <m>
        <tpls c="4">
          <tpl fld="7" item="960"/>
          <tpl fld="6" item="2"/>
          <tpl hier="236" item="0"/>
          <tpl fld="4" item="1"/>
        </tpls>
      </m>
      <m>
        <tpls c="4">
          <tpl fld="7" item="968"/>
          <tpl fld="6" item="2"/>
          <tpl hier="236" item="0"/>
          <tpl fld="4" item="1"/>
        </tpls>
      </m>
      <m>
        <tpls c="4">
          <tpl fld="7" item="976"/>
          <tpl fld="6" item="2"/>
          <tpl hier="236" item="0"/>
          <tpl fld="4" item="1"/>
        </tpls>
      </m>
      <m>
        <tpls c="4">
          <tpl fld="7" item="919"/>
          <tpl fld="6" item="2"/>
          <tpl hier="236" item="0"/>
          <tpl fld="1" item="0"/>
        </tpls>
      </m>
      <m>
        <tpls c="4">
          <tpl fld="7" item="907"/>
          <tpl fld="6" item="2"/>
          <tpl hier="236" item="0"/>
          <tpl fld="1" item="0"/>
        </tpls>
      </m>
      <m>
        <tpls c="4">
          <tpl fld="7" item="748"/>
          <tpl fld="6" item="2"/>
          <tpl hier="236" item="0"/>
          <tpl fld="1" item="0"/>
        </tpls>
      </m>
      <n v="3.5999999999999996" in="2">
        <tpls c="4">
          <tpl fld="7" item="517"/>
          <tpl fld="6" item="2"/>
          <tpl hier="236" item="0"/>
          <tpl fld="1" item="0"/>
        </tpls>
      </n>
      <n v="1.8824324324324326" in="2">
        <tpls c="4">
          <tpl fld="7" item="501"/>
          <tpl fld="6" item="2"/>
          <tpl hier="236" item="0"/>
          <tpl fld="1" item="0"/>
        </tpls>
      </n>
      <m>
        <tpls c="4">
          <tpl fld="7" item="212"/>
          <tpl fld="6" item="2"/>
          <tpl hier="236" item="0"/>
          <tpl fld="1" item="0"/>
        </tpls>
      </m>
      <m>
        <tpls c="4">
          <tpl fld="7" item="186"/>
          <tpl fld="6" item="2"/>
          <tpl hier="236" item="0"/>
          <tpl fld="1" item="0"/>
        </tpls>
      </m>
      <m>
        <tpls c="4">
          <tpl fld="7" item="270"/>
          <tpl fld="6" item="2"/>
          <tpl hier="236" item="0"/>
          <tpl fld="1" item="0"/>
        </tpls>
      </m>
      <m>
        <tpls c="4">
          <tpl fld="7" item="339"/>
          <tpl fld="6" item="2"/>
          <tpl hier="236" item="0"/>
          <tpl fld="1" item="0"/>
        </tpls>
      </m>
      <m>
        <tpls c="4">
          <tpl fld="7" item="333"/>
          <tpl fld="6" item="2"/>
          <tpl hier="236" item="0"/>
          <tpl fld="1" item="0"/>
        </tpls>
      </m>
      <m>
        <tpls c="4">
          <tpl fld="7" item="5"/>
          <tpl fld="6" item="2"/>
          <tpl hier="236" item="0"/>
          <tpl fld="1" item="0"/>
        </tpls>
      </m>
      <m>
        <tpls c="4">
          <tpl fld="7" item="975"/>
          <tpl fld="6" item="2"/>
          <tpl hier="236" item="0"/>
          <tpl fld="4" item="5"/>
        </tpls>
      </m>
      <m>
        <tpls c="4">
          <tpl fld="7" item="1019"/>
          <tpl fld="6" item="2"/>
          <tpl hier="236" item="0"/>
          <tpl fld="4" item="5"/>
        </tpls>
      </m>
      <m>
        <tpls c="4">
          <tpl fld="7" item="1007"/>
          <tpl fld="6" item="2"/>
          <tpl hier="236" item="0"/>
          <tpl fld="4" item="5"/>
        </tpls>
      </m>
      <m>
        <tpls c="4">
          <tpl fld="7" item="86"/>
          <tpl fld="6" item="2"/>
          <tpl hier="236" item="0"/>
          <tpl fld="4" item="5"/>
        </tpls>
      </m>
      <m>
        <tpls c="4">
          <tpl fld="7" item="512"/>
          <tpl fld="6" item="2"/>
          <tpl hier="236" item="0"/>
          <tpl fld="4" item="5"/>
        </tpls>
      </m>
      <m>
        <tpls c="4">
          <tpl fld="7" item="691"/>
          <tpl fld="6" item="1"/>
          <tpl hier="236" item="0"/>
          <tpl fld="4" item="5"/>
        </tpls>
      </m>
      <n v="5" in="1">
        <tpls c="4">
          <tpl fld="7" item="569"/>
          <tpl fld="6" item="1"/>
          <tpl hier="236" item="0"/>
          <tpl fld="1" item="0"/>
        </tpls>
      </n>
      <n v="0.55000000000000004" in="2">
        <tpls c="4">
          <tpl fld="7" item="803"/>
          <tpl fld="6" item="2"/>
          <tpl hier="236" item="0"/>
          <tpl fld="4" item="6"/>
        </tpls>
      </n>
      <n v="1" in="1">
        <tpls c="4">
          <tpl fld="7" item="1240"/>
          <tpl fld="6" item="1"/>
          <tpl hier="236" item="0"/>
          <tpl fld="4" item="5"/>
        </tpls>
      </n>
      <m>
        <tpls c="4">
          <tpl fld="7" item="814"/>
          <tpl fld="6" item="1"/>
          <tpl hier="236" item="0"/>
          <tpl fld="4" item="1"/>
        </tpls>
      </m>
      <m>
        <tpls c="4">
          <tpl fld="7" item="820"/>
          <tpl fld="6" item="1"/>
          <tpl hier="236" item="0"/>
          <tpl fld="4" item="4"/>
        </tpls>
      </m>
      <n v="7" in="1">
        <tpls c="4">
          <tpl fld="7" item="744"/>
          <tpl fld="6" item="1"/>
          <tpl hier="236" item="0"/>
          <tpl fld="4" item="1"/>
        </tpls>
      </n>
      <n v="1" in="1">
        <tpls c="4">
          <tpl fld="7" item="900"/>
          <tpl fld="6" item="1"/>
          <tpl hier="236" item="0"/>
          <tpl fld="4" item="4"/>
        </tpls>
      </n>
      <m>
        <tpls c="4">
          <tpl fld="7" item="1116"/>
          <tpl fld="6" item="2"/>
          <tpl hier="236" item="0"/>
          <tpl fld="4" item="1"/>
        </tpls>
      </m>
      <m>
        <tpls c="3">
          <tpl fld="7" item="862"/>
          <tpl fld="6" item="3"/>
          <tpl hier="236" item="0"/>
        </tpls>
      </m>
      <n v="7" in="1">
        <tpls c="4">
          <tpl fld="7" item="1251"/>
          <tpl fld="6" item="1"/>
          <tpl hier="236" item="0"/>
          <tpl fld="4" item="4"/>
        </tpls>
      </n>
      <n v="4" in="1">
        <tpls c="4">
          <tpl fld="7" item="1259"/>
          <tpl fld="6" item="1"/>
          <tpl hier="236" item="0"/>
          <tpl fld="4" item="4"/>
        </tpls>
      </n>
      <m>
        <tpls c="4">
          <tpl fld="7" item="1105"/>
          <tpl fld="6" item="2"/>
          <tpl hier="236" item="0"/>
          <tpl fld="1" item="0"/>
        </tpls>
      </m>
      <m>
        <tpls c="4">
          <tpl fld="7" item="83"/>
          <tpl fld="6" item="2"/>
          <tpl hier="236" item="0"/>
          <tpl fld="1" item="0"/>
        </tpls>
      </m>
      <m>
        <tpls c="4">
          <tpl fld="7" item="409"/>
          <tpl fld="6" item="2"/>
          <tpl hier="236" item="0"/>
          <tpl fld="1" item="0"/>
        </tpls>
      </m>
      <m>
        <tpls c="4">
          <tpl fld="7" item="2"/>
          <tpl fld="6" item="2"/>
          <tpl hier="236" item="0"/>
          <tpl fld="1" item="0"/>
        </tpls>
      </m>
      <m>
        <tpls c="4">
          <tpl fld="7" item="1020"/>
          <tpl fld="6" item="2"/>
          <tpl hier="236" item="0"/>
          <tpl fld="4" item="5"/>
        </tpls>
      </m>
      <m>
        <tpls c="4">
          <tpl fld="7" item="837"/>
          <tpl fld="6" item="2"/>
          <tpl hier="236" item="0"/>
          <tpl fld="4" item="5"/>
        </tpls>
      </m>
      <n v="2.4500000000000002" in="2">
        <tpls c="4">
          <tpl fld="7" item="681"/>
          <tpl fld="6" item="2"/>
          <tpl hier="236" item="0"/>
          <tpl fld="4" item="5"/>
        </tpls>
      </n>
      <m>
        <tpls c="4">
          <tpl fld="7" item="358"/>
          <tpl fld="6" item="2"/>
          <tpl hier="236" item="0"/>
          <tpl fld="4" item="5"/>
        </tpls>
      </m>
      <m>
        <tpls c="4">
          <tpl fld="7" item="490"/>
          <tpl fld="6" item="2"/>
          <tpl hier="236" item="0"/>
          <tpl fld="4" item="5"/>
        </tpls>
      </m>
      <m>
        <tpls c="4">
          <tpl fld="7" item="293"/>
          <tpl fld="6" item="2"/>
          <tpl hier="236" item="0"/>
          <tpl fld="4" item="5"/>
        </tpls>
      </m>
      <m>
        <tpls c="4">
          <tpl fld="7" item="47"/>
          <tpl fld="6" item="2"/>
          <tpl hier="236" item="0"/>
          <tpl fld="4" item="5"/>
        </tpls>
      </m>
      <m>
        <tpls c="4">
          <tpl fld="7" item="268"/>
          <tpl fld="6" item="2"/>
          <tpl hier="236" item="0"/>
          <tpl fld="4" item="5"/>
        </tpls>
      </m>
      <m>
        <tpls c="4">
          <tpl fld="7" item="32"/>
          <tpl fld="6" item="2"/>
          <tpl hier="236" item="0"/>
          <tpl fld="4" item="5"/>
        </tpls>
      </m>
      <m>
        <tpls c="4">
          <tpl fld="7" item="471"/>
          <tpl fld="6" item="2"/>
          <tpl hier="236" item="0"/>
          <tpl fld="4" item="5"/>
        </tpls>
      </m>
      <m>
        <tpls c="4">
          <tpl fld="7" item="1223"/>
          <tpl fld="6" item="2"/>
          <tpl hier="236" item="0"/>
          <tpl fld="4" item="6"/>
        </tpls>
      </m>
      <n v="1" in="2">
        <tpls c="4">
          <tpl fld="7" item="1220"/>
          <tpl fld="6" item="2"/>
          <tpl hier="236" item="0"/>
          <tpl fld="4" item="6"/>
        </tpls>
      </n>
      <m>
        <tpls c="4">
          <tpl fld="7" item="1217"/>
          <tpl fld="6" item="2"/>
          <tpl hier="236" item="0"/>
          <tpl fld="4" item="6"/>
        </tpls>
      </m>
      <m>
        <tpls c="4">
          <tpl fld="7" item="449"/>
          <tpl fld="6" item="2"/>
          <tpl hier="236" item="0"/>
          <tpl fld="4" item="6"/>
        </tpls>
      </m>
      <m>
        <tpls c="4">
          <tpl fld="7" item="433"/>
          <tpl fld="6" item="2"/>
          <tpl hier="236" item="0"/>
          <tpl fld="4" item="6"/>
        </tpls>
      </m>
      <m>
        <tpls c="4">
          <tpl fld="7" item="210"/>
          <tpl fld="6" item="2"/>
          <tpl hier="236" item="0"/>
          <tpl fld="4" item="6"/>
        </tpls>
      </m>
      <m>
        <tpls c="4">
          <tpl fld="7" item="194"/>
          <tpl fld="6" item="2"/>
          <tpl hier="236" item="0"/>
          <tpl fld="4" item="6"/>
        </tpls>
      </m>
      <m>
        <tpls c="4">
          <tpl fld="7" item="70"/>
          <tpl fld="6" item="2"/>
          <tpl hier="236" item="0"/>
          <tpl fld="4" item="6"/>
        </tpls>
      </m>
      <m>
        <tpls c="4">
          <tpl fld="7" item="147"/>
          <tpl fld="6" item="2"/>
          <tpl hier="236" item="0"/>
          <tpl fld="4" item="6"/>
        </tpls>
      </m>
      <m>
        <tpls c="4">
          <tpl fld="7" item="22"/>
          <tpl fld="6" item="2"/>
          <tpl hier="236" item="0"/>
          <tpl fld="4" item="6"/>
        </tpls>
      </m>
      <m>
        <tpls c="4">
          <tpl fld="7" item="1286"/>
          <tpl fld="6" item="1"/>
          <tpl hier="236" item="0"/>
          <tpl fld="4" item="5"/>
        </tpls>
      </m>
      <m>
        <tpls c="4">
          <tpl fld="7" item="1265"/>
          <tpl fld="6" item="1"/>
          <tpl hier="236" item="0"/>
          <tpl fld="4" item="5"/>
        </tpls>
      </m>
      <m>
        <tpls c="4">
          <tpl fld="7" item="1271"/>
          <tpl fld="6" item="1"/>
          <tpl hier="236" item="0"/>
          <tpl fld="4" item="5"/>
        </tpls>
      </m>
      <n v="4" in="1">
        <tpls c="4">
          <tpl fld="7" item="376"/>
          <tpl fld="6" item="1"/>
          <tpl hier="236" item="0"/>
          <tpl fld="4" item="5"/>
        </tpls>
      </n>
      <m>
        <tpls c="4">
          <tpl fld="7" item="360"/>
          <tpl fld="6" item="1"/>
          <tpl hier="236" item="0"/>
          <tpl fld="4" item="5"/>
        </tpls>
      </m>
      <m>
        <tpls c="4">
          <tpl fld="7" item="208"/>
          <tpl fld="6" item="1"/>
          <tpl hier="236" item="0"/>
          <tpl fld="4" item="5"/>
        </tpls>
      </m>
      <n v="0" in="1">
        <tpls c="4">
          <tpl fld="7" item="84"/>
          <tpl fld="6" item="1"/>
          <tpl hier="236" item="0"/>
          <tpl fld="4" item="5"/>
        </tpls>
      </n>
      <m>
        <tpls c="4">
          <tpl fld="7" item="68"/>
          <tpl fld="6" item="1"/>
          <tpl hier="236" item="0"/>
          <tpl fld="4" item="5"/>
        </tpls>
      </m>
      <m>
        <tpls c="4">
          <tpl fld="7" item="249"/>
          <tpl fld="6" item="1"/>
          <tpl hier="236" item="0"/>
          <tpl fld="4" item="5"/>
        </tpls>
      </m>
      <m>
        <tpls c="4">
          <tpl fld="7" item="128"/>
          <tpl fld="6" item="1"/>
          <tpl hier="236" item="0"/>
          <tpl fld="4" item="5"/>
        </tpls>
      </m>
      <n v="1" in="1">
        <tpls c="4">
          <tpl fld="7" item="1073"/>
          <tpl fld="6" item="1"/>
          <tpl hier="236" item="0"/>
          <tpl fld="4" item="1"/>
        </tpls>
      </n>
      <m>
        <tpls c="4">
          <tpl fld="7" item="1057"/>
          <tpl fld="6" item="1"/>
          <tpl hier="236" item="0"/>
          <tpl fld="4" item="1"/>
        </tpls>
      </m>
      <m>
        <tpls c="4">
          <tpl fld="7" item="1041"/>
          <tpl fld="6" item="1"/>
          <tpl hier="236" item="0"/>
          <tpl fld="4" item="1"/>
        </tpls>
      </m>
      <m>
        <tpls c="4">
          <tpl fld="7" item="1132"/>
          <tpl fld="6" item="1"/>
          <tpl hier="236" item="0"/>
          <tpl fld="4" item="1"/>
        </tpls>
      </m>
      <n v="2" in="1">
        <tpls c="4">
          <tpl fld="7" item="1120"/>
          <tpl fld="6" item="1"/>
          <tpl hier="236" item="0"/>
          <tpl fld="4" item="1"/>
        </tpls>
      </n>
      <m>
        <tpls c="4">
          <tpl fld="7" item="1108"/>
          <tpl fld="6" item="1"/>
          <tpl hier="236" item="0"/>
          <tpl fld="4" item="1"/>
        </tpls>
      </m>
      <n v="7" in="1">
        <tpls c="4">
          <tpl fld="7" item="526"/>
          <tpl fld="6" item="1"/>
          <tpl hier="236" item="0"/>
          <tpl fld="4" item="1"/>
        </tpls>
      </n>
      <m>
        <tpls c="4">
          <tpl fld="7" item="510"/>
          <tpl fld="6" item="1"/>
          <tpl hier="236" item="0"/>
          <tpl fld="4" item="1"/>
        </tpls>
      </m>
      <m>
        <tpls c="4">
          <tpl fld="7" item="494"/>
          <tpl fld="6" item="1"/>
          <tpl hier="236" item="0"/>
          <tpl fld="4" item="1"/>
        </tpls>
      </m>
      <n v="0" in="1">
        <tpls c="4">
          <tpl fld="7" item="98"/>
          <tpl fld="6" item="1"/>
          <tpl hier="236" item="0"/>
          <tpl fld="4" item="1"/>
        </tpls>
      </n>
      <m>
        <tpls c="4">
          <tpl fld="7" item="288"/>
          <tpl fld="6" item="1"/>
          <tpl hier="236" item="0"/>
          <tpl fld="4" item="1"/>
        </tpls>
      </m>
      <m>
        <tpls c="4">
          <tpl fld="7" item="477"/>
          <tpl fld="6" item="1"/>
          <tpl hier="236" item="0"/>
          <tpl fld="4" item="1"/>
        </tpls>
      </m>
      <m>
        <tpls c="4">
          <tpl fld="7" item="114"/>
          <tpl fld="6" item="1"/>
          <tpl hier="236" item="0"/>
          <tpl fld="4" item="1"/>
        </tpls>
      </m>
      <m>
        <tpls c="4">
          <tpl fld="7" item="27"/>
          <tpl fld="6" item="1"/>
          <tpl hier="236" item="0"/>
          <tpl fld="4" item="1"/>
        </tpls>
      </m>
      <m>
        <tpls c="4">
          <tpl fld="7" item="225"/>
          <tpl fld="6" item="1"/>
          <tpl hier="236" item="0"/>
          <tpl fld="4" item="1"/>
        </tpls>
      </m>
      <m>
        <tpls c="4">
          <tpl fld="7" item="864"/>
          <tpl fld="6" item="1"/>
          <tpl hier="236" item="0"/>
          <tpl fld="1" item="0"/>
        </tpls>
      </m>
      <n v="25" in="1">
        <tpls c="4">
          <tpl fld="7" item="848"/>
          <tpl fld="6" item="1"/>
          <tpl hier="236" item="0"/>
          <tpl fld="1" item="0"/>
        </tpls>
      </n>
      <m>
        <tpls c="4">
          <tpl fld="7" item="832"/>
          <tpl fld="6" item="1"/>
          <tpl hier="236" item="0"/>
          <tpl fld="1" item="0"/>
        </tpls>
      </m>
      <m>
        <tpls c="3">
          <tpl fld="7" item="613"/>
          <tpl fld="6" item="3"/>
          <tpl hier="236" item="0"/>
        </tpls>
      </m>
      <m>
        <tpls c="3">
          <tpl fld="7" item="886"/>
          <tpl fld="6" item="3"/>
          <tpl hier="236" item="0"/>
        </tpls>
      </m>
      <m>
        <tpls c="4">
          <tpl fld="7" item="585"/>
          <tpl fld="6" item="2"/>
          <tpl hier="236" item="0"/>
          <tpl fld="4" item="1"/>
        </tpls>
      </m>
      <n v="0" in="1">
        <tpls c="4">
          <tpl fld="7" item="727"/>
          <tpl fld="6" item="1"/>
          <tpl hier="236" item="0"/>
          <tpl fld="4" item="6"/>
        </tpls>
      </n>
      <n v="5" in="1">
        <tpls c="4">
          <tpl fld="7" item="653"/>
          <tpl fld="6" item="1"/>
          <tpl hier="236" item="0"/>
          <tpl fld="1" item="0"/>
        </tpls>
      </n>
      <m>
        <tpls c="4">
          <tpl fld="7" item="1215"/>
          <tpl fld="6" item="2"/>
          <tpl hier="236" item="0"/>
          <tpl fld="4" item="5"/>
        </tpls>
      </m>
      <m>
        <tpls c="4">
          <tpl fld="7" item="665"/>
          <tpl fld="6" item="2"/>
          <tpl hier="236" item="0"/>
          <tpl fld="4" item="1"/>
        </tpls>
      </m>
      <n v="2" in="1">
        <tpls c="4">
          <tpl fld="7" item="1217"/>
          <tpl fld="6" item="1"/>
          <tpl hier="236" item="0"/>
          <tpl fld="4" item="4"/>
        </tpls>
      </n>
      <m>
        <tpls c="4">
          <tpl fld="7" item="1014"/>
          <tpl fld="6" item="2"/>
          <tpl hier="236" item="0"/>
          <tpl fld="4" item="1"/>
        </tpls>
      </m>
      <m>
        <tpls c="3">
          <tpl fld="7" item="863"/>
          <tpl fld="6" item="3"/>
          <tpl hier="236" item="0"/>
        </tpls>
      </m>
      <n v="5" in="1">
        <tpls c="4">
          <tpl fld="7" item="1040"/>
          <tpl fld="6" item="1"/>
          <tpl hier="236" item="0"/>
          <tpl fld="4" item="4"/>
        </tpls>
      </n>
      <n v="1" in="1">
        <tpls c="4">
          <tpl fld="7" item="1072"/>
          <tpl fld="6" item="1"/>
          <tpl hier="236" item="0"/>
          <tpl fld="4" item="4"/>
        </tpls>
      </n>
      <m>
        <tpls c="4">
          <tpl fld="7" item="321"/>
          <tpl fld="6" item="2"/>
          <tpl hier="236" item="0"/>
          <tpl fld="1" item="0"/>
        </tpls>
      </m>
      <m>
        <tpls c="4">
          <tpl fld="7" item="78"/>
          <tpl fld="6" item="2"/>
          <tpl hier="236" item="0"/>
          <tpl fld="1" item="0"/>
        </tpls>
      </m>
      <m>
        <tpls c="4">
          <tpl fld="7" item="477"/>
          <tpl fld="6" item="2"/>
          <tpl hier="236" item="0"/>
          <tpl fld="1" item="0"/>
        </tpls>
      </m>
      <m>
        <tpls c="4">
          <tpl fld="7" item="36"/>
          <tpl fld="6" item="2"/>
          <tpl hier="236" item="0"/>
          <tpl fld="4" item="4"/>
        </tpls>
      </m>
      <m>
        <tpls c="4">
          <tpl fld="7" item="104"/>
          <tpl fld="6" item="2"/>
          <tpl hier="236" item="0"/>
          <tpl fld="4" item="1"/>
        </tpls>
      </m>
      <m>
        <tpls c="4">
          <tpl fld="7" item="423"/>
          <tpl fld="6" item="1"/>
          <tpl hier="236" item="0"/>
          <tpl fld="4" item="6"/>
        </tpls>
      </m>
      <m>
        <tpls c="4">
          <tpl fld="7" item="465"/>
          <tpl fld="6" item="2"/>
          <tpl hier="236" item="0"/>
          <tpl fld="4" item="1"/>
        </tpls>
      </m>
      <m>
        <tpls c="4">
          <tpl fld="7" item="610"/>
          <tpl fld="6" item="2"/>
          <tpl hier="236" item="0"/>
          <tpl fld="4" item="1"/>
        </tpls>
      </m>
      <n v="7" in="1">
        <tpls c="4">
          <tpl fld="7" item="568"/>
          <tpl fld="6" item="1"/>
          <tpl hier="236" item="0"/>
          <tpl fld="4" item="4"/>
        </tpls>
      </n>
      <n v="1" in="2">
        <tpls c="4">
          <tpl fld="7" item="771"/>
          <tpl fld="6" item="2"/>
          <tpl hier="236" item="0"/>
          <tpl fld="4" item="4"/>
        </tpls>
      </n>
      <m>
        <tpls c="4">
          <tpl fld="7" item="629"/>
          <tpl fld="6" item="2"/>
          <tpl hier="236" item="0"/>
          <tpl fld="4" item="1"/>
        </tpls>
      </m>
      <m>
        <tpls c="3">
          <tpl fld="7" item="284"/>
          <tpl fld="6" item="3"/>
          <tpl hier="236" item="0"/>
        </tpls>
      </m>
      <n v="0.25" in="2">
        <tpls c="4">
          <tpl fld="7" item="465"/>
          <tpl fld="6" item="2"/>
          <tpl hier="236" item="0"/>
          <tpl fld="1" item="0"/>
        </tpls>
      </n>
      <m>
        <tpls c="4">
          <tpl fld="7" item="695"/>
          <tpl fld="6" item="1"/>
          <tpl hier="236" item="0"/>
          <tpl fld="4" item="1"/>
        </tpls>
      </m>
      <m>
        <tpls c="4">
          <tpl fld="7" item="556"/>
          <tpl fld="6" item="1"/>
          <tpl hier="236" item="0"/>
          <tpl fld="4" item="6"/>
        </tpls>
      </m>
      <n v="72" in="1">
        <tpls c="4">
          <tpl fld="7" item="988"/>
          <tpl fld="6" item="1"/>
          <tpl hier="236" item="0"/>
          <tpl fld="1" item="0"/>
        </tpls>
      </n>
      <n v="3" in="1">
        <tpls c="4">
          <tpl fld="7" item="630"/>
          <tpl fld="6" item="1"/>
          <tpl hier="236" item="0"/>
          <tpl fld="4" item="5"/>
        </tpls>
      </n>
      <m>
        <tpls c="4">
          <tpl fld="7" item="575"/>
          <tpl fld="6" item="2"/>
          <tpl hier="236" item="0"/>
          <tpl fld="4" item="4"/>
        </tpls>
      </m>
      <m>
        <tpls c="4">
          <tpl fld="7" item="639"/>
          <tpl fld="6" item="2"/>
          <tpl hier="236" item="0"/>
          <tpl fld="4" item="6"/>
        </tpls>
      </m>
      <m>
        <tpls c="4">
          <tpl fld="7" item="492"/>
          <tpl fld="6" item="2"/>
          <tpl hier="236" item="0"/>
          <tpl fld="4" item="4"/>
        </tpls>
      </m>
      <m>
        <tpls c="3">
          <tpl fld="7" item="702"/>
          <tpl fld="6" item="3"/>
          <tpl hier="236" item="0"/>
        </tpls>
      </m>
      <m>
        <tpls c="3">
          <tpl fld="7" item="719"/>
          <tpl fld="6" item="3"/>
          <tpl hier="236" item="0"/>
        </tpls>
      </m>
      <m>
        <tpls c="4">
          <tpl fld="7" item="806"/>
          <tpl fld="6" item="2"/>
          <tpl hier="236" item="0"/>
          <tpl fld="4" item="1"/>
        </tpls>
      </m>
      <m>
        <tpls c="4">
          <tpl fld="7" item="730"/>
          <tpl fld="6" item="2"/>
          <tpl hier="236" item="0"/>
          <tpl fld="4" item="4"/>
        </tpls>
      </m>
      <m>
        <tpls c="4">
          <tpl fld="7" item="656"/>
          <tpl fld="6" item="2"/>
          <tpl hier="236" item="0"/>
          <tpl fld="4" item="6"/>
        </tpls>
      </m>
      <m>
        <tpls c="4">
          <tpl fld="7" item="1100"/>
          <tpl fld="6" item="2"/>
          <tpl hier="236" item="0"/>
          <tpl fld="1" item="0"/>
        </tpls>
      </m>
      <m>
        <tpls c="3">
          <tpl fld="7" item="896"/>
          <tpl fld="6" item="3"/>
          <tpl hier="236" item="0"/>
        </tpls>
      </m>
      <m>
        <tpls c="4">
          <tpl fld="7" item="844"/>
          <tpl fld="6" item="1"/>
          <tpl hier="236" item="0"/>
          <tpl fld="4" item="6"/>
        </tpls>
      </m>
      <m>
        <tpls c="4">
          <tpl fld="7" item="1019"/>
          <tpl fld="6" item="2"/>
          <tpl hier="236" item="0"/>
          <tpl fld="4" item="4"/>
        </tpls>
      </m>
      <m>
        <tpls c="4">
          <tpl fld="7" item="925"/>
          <tpl fld="6" item="1"/>
          <tpl hier="236" item="0"/>
          <tpl fld="4" item="4"/>
        </tpls>
      </m>
      <m>
        <tpls c="4">
          <tpl fld="7" item="1230"/>
          <tpl fld="6" item="2"/>
          <tpl hier="236" item="0"/>
          <tpl fld="4" item="1"/>
        </tpls>
      </m>
      <m>
        <tpls c="4">
          <tpl fld="7" item="1247"/>
          <tpl fld="6" item="2"/>
          <tpl hier="236" item="0"/>
          <tpl fld="1" item="0"/>
        </tpls>
      </m>
      <m>
        <tpls c="4">
          <tpl fld="7" item="429"/>
          <tpl fld="6" item="2"/>
          <tpl hier="236" item="0"/>
          <tpl fld="1" item="0"/>
        </tpls>
      </m>
      <m>
        <tpls c="4">
          <tpl fld="7" item="671"/>
          <tpl fld="6" item="2"/>
          <tpl hier="236" item="0"/>
          <tpl fld="1" item="0"/>
        </tpls>
      </m>
      <m>
        <tpls c="4">
          <tpl fld="7" item="310"/>
          <tpl fld="6" item="2"/>
          <tpl hier="236" item="0"/>
          <tpl fld="4" item="4"/>
        </tpls>
      </m>
      <m>
        <tpls c="4">
          <tpl fld="7" item="614"/>
          <tpl fld="6" item="2"/>
          <tpl hier="236" item="0"/>
          <tpl fld="1" item="0"/>
        </tpls>
      </m>
      <m>
        <tpls c="4">
          <tpl fld="7" item="883"/>
          <tpl fld="6" item="1"/>
          <tpl hier="236" item="0"/>
          <tpl fld="4" item="5"/>
        </tpls>
      </m>
      <m>
        <tpls c="4">
          <tpl fld="7" item="563"/>
          <tpl fld="6" item="1"/>
          <tpl hier="236" item="0"/>
          <tpl fld="4" item="4"/>
        </tpls>
      </m>
      <n v="1" in="1">
        <tpls c="4">
          <tpl fld="7" item="990"/>
          <tpl fld="6" item="1"/>
          <tpl hier="236" item="0"/>
          <tpl fld="4" item="6"/>
        </tpls>
      </n>
      <m>
        <tpls c="4">
          <tpl fld="7" item="580"/>
          <tpl fld="6" item="1"/>
          <tpl hier="236" item="0"/>
          <tpl fld="4" item="5"/>
        </tpls>
      </m>
      <m>
        <tpls c="4">
          <tpl fld="7" item="802"/>
          <tpl fld="6" item="2"/>
          <tpl hier="236" item="0"/>
          <tpl fld="4" item="1"/>
        </tpls>
      </m>
      <n v="11" in="1">
        <tpls c="4">
          <tpl fld="7" item="722"/>
          <tpl fld="6" item="1"/>
          <tpl hier="236" item="0"/>
          <tpl fld="4" item="1"/>
        </tpls>
      </n>
      <m>
        <tpls c="4">
          <tpl fld="7" item="889"/>
          <tpl fld="6" item="2"/>
          <tpl hier="236" item="0"/>
          <tpl fld="1" item="0"/>
        </tpls>
      </m>
      <m>
        <tpls c="4">
          <tpl fld="7" item="807"/>
          <tpl fld="6" item="1"/>
          <tpl hier="236" item="0"/>
          <tpl fld="1" item="0"/>
        </tpls>
      </m>
      <m>
        <tpls c="4">
          <tpl fld="7" item="809"/>
          <tpl fld="6" item="1"/>
          <tpl hier="236" item="0"/>
          <tpl fld="1" item="0"/>
        </tpls>
      </m>
      <m>
        <tpls c="3">
          <tpl fld="7" item="811"/>
          <tpl fld="6" item="3"/>
          <tpl hier="236" item="0"/>
        </tpls>
      </m>
      <m>
        <tpls c="4">
          <tpl fld="7" item="731"/>
          <tpl fld="6" item="2"/>
          <tpl hier="236" item="0"/>
          <tpl fld="4" item="5"/>
        </tpls>
      </m>
      <m>
        <tpls c="4">
          <tpl fld="7" item="733"/>
          <tpl fld="6" item="2"/>
          <tpl hier="236" item="0"/>
          <tpl fld="4" item="5"/>
        </tpls>
      </m>
      <m>
        <tpls c="4">
          <tpl fld="7" item="655"/>
          <tpl fld="6" item="1"/>
          <tpl hier="236" item="0"/>
          <tpl fld="4" item="1"/>
        </tpls>
      </m>
      <n v="1" in="1">
        <tpls c="4">
          <tpl fld="7" item="818"/>
          <tpl fld="6" item="1"/>
          <tpl hier="236" item="0"/>
          <tpl fld="1" item="0"/>
        </tpls>
      </n>
      <m>
        <tpls c="4">
          <tpl fld="7" item="658"/>
          <tpl fld="6" item="2"/>
          <tpl hier="236" item="0"/>
          <tpl fld="4" item="4"/>
        </tpls>
      </m>
      <m>
        <tpls c="3">
          <tpl fld="7" item="821"/>
          <tpl fld="6" item="3"/>
          <tpl hier="236" item="0"/>
        </tpls>
      </m>
      <m>
        <tpls c="4">
          <tpl fld="7" item="661"/>
          <tpl fld="6" item="1"/>
          <tpl hier="236" item="0"/>
          <tpl fld="4" item="4"/>
        </tpls>
      </m>
      <m>
        <tpls c="4">
          <tpl fld="7" item="742"/>
          <tpl fld="6" item="2"/>
          <tpl hier="236" item="0"/>
          <tpl fld="4" item="5"/>
        </tpls>
      </m>
      <m>
        <tpls c="4">
          <tpl fld="7" item="894"/>
          <tpl fld="6" item="2"/>
          <tpl hier="236" item="0"/>
          <tpl fld="4" item="6"/>
        </tpls>
      </m>
      <n v="32" in="1">
        <tpls c="4">
          <tpl fld="7" item="1101"/>
          <tpl fld="6" item="1"/>
          <tpl hier="236" item="0"/>
          <tpl fld="1" item="0"/>
        </tpls>
      </n>
      <m>
        <tpls c="4">
          <tpl fld="7" item="895"/>
          <tpl fld="6" item="2"/>
          <tpl hier="236" item="0"/>
          <tpl fld="4" item="6"/>
        </tpls>
      </m>
      <n v="3" in="1">
        <tpls c="4">
          <tpl fld="7" item="1216"/>
          <tpl fld="6" item="1"/>
          <tpl hier="236" item="0"/>
          <tpl fld="4" item="6"/>
        </tpls>
      </n>
      <m>
        <tpls c="3">
          <tpl fld="7" item="1003"/>
          <tpl fld="6" item="3"/>
          <tpl hier="236" item="0"/>
        </tpls>
      </m>
      <m>
        <tpls c="4">
          <tpl fld="7" item="1243"/>
          <tpl fld="6" item="2"/>
          <tpl hier="236" item="0"/>
          <tpl fld="4" item="1"/>
        </tpls>
      </m>
      <m>
        <tpls c="4">
          <tpl fld="7" item="842"/>
          <tpl fld="6" item="1"/>
          <tpl hier="236" item="0"/>
          <tpl fld="4" item="4"/>
        </tpls>
      </m>
      <m>
        <tpls c="4">
          <tpl fld="7" item="845"/>
          <tpl fld="6" item="2"/>
          <tpl hier="236" item="0"/>
          <tpl fld="4" item="4"/>
        </tpls>
      </m>
      <n v="3" in="1">
        <tpls c="4">
          <tpl fld="7" item="1219"/>
          <tpl fld="6" item="1"/>
          <tpl hier="236" item="0"/>
          <tpl fld="4" item="6"/>
        </tpls>
      </n>
      <m>
        <tpls c="3">
          <tpl fld="7" item="1015"/>
          <tpl fld="6" item="3"/>
          <tpl hier="236" item="0"/>
        </tpls>
      </m>
      <m>
        <tpls c="4">
          <tpl fld="7" item="1246"/>
          <tpl fld="6" item="2"/>
          <tpl hier="236" item="0"/>
          <tpl fld="4" item="1"/>
        </tpls>
      </m>
      <n v="3" in="1">
        <tpls c="4">
          <tpl fld="7" item="858"/>
          <tpl fld="6" item="1"/>
          <tpl hier="236" item="0"/>
          <tpl fld="4" item="4"/>
        </tpls>
      </n>
      <m>
        <tpls c="4">
          <tpl fld="7" item="861"/>
          <tpl fld="6" item="2"/>
          <tpl hier="236" item="0"/>
          <tpl fld="4" item="4"/>
        </tpls>
      </m>
      <m>
        <tpls c="4">
          <tpl fld="7" item="1222"/>
          <tpl fld="6" item="1"/>
          <tpl hier="236" item="0"/>
          <tpl fld="4" item="6"/>
        </tpls>
      </m>
      <m>
        <tpls c="3">
          <tpl fld="7" item="1027"/>
          <tpl fld="6" item="3"/>
          <tpl hier="236" item="0"/>
        </tpls>
      </m>
      <m>
        <tpls c="4">
          <tpl fld="7" item="1249"/>
          <tpl fld="6" item="2"/>
          <tpl hier="236" item="0"/>
          <tpl fld="4" item="1"/>
        </tpls>
      </m>
      <m>
        <tpls c="4">
          <tpl fld="7" item="1138"/>
          <tpl fld="6" item="1"/>
          <tpl hier="236" item="0"/>
          <tpl fld="4" item="4"/>
        </tpls>
      </m>
      <m>
        <tpls c="4">
          <tpl fld="7" item="1146"/>
          <tpl fld="6" item="1"/>
          <tpl hier="236" item="0"/>
          <tpl fld="4" item="4"/>
        </tpls>
      </m>
      <n v="17" in="1">
        <tpls c="4">
          <tpl fld="7" item="1154"/>
          <tpl fld="6" item="1"/>
          <tpl hier="236" item="0"/>
          <tpl fld="4" item="4"/>
        </tpls>
      </n>
      <n v="15" in="1">
        <tpls c="4">
          <tpl fld="7" item="1162"/>
          <tpl fld="6" item="1"/>
          <tpl hier="236" item="0"/>
          <tpl fld="4" item="4"/>
        </tpls>
      </n>
      <n v="1" in="1">
        <tpls c="4">
          <tpl fld="7" item="1170"/>
          <tpl fld="6" item="1"/>
          <tpl hier="236" item="0"/>
          <tpl fld="4" item="4"/>
        </tpls>
      </n>
      <n v="16" in="1">
        <tpls c="4">
          <tpl fld="7" item="1178"/>
          <tpl fld="6" item="1"/>
          <tpl hier="236" item="0"/>
          <tpl fld="4" item="4"/>
        </tpls>
      </n>
      <m>
        <tpls c="4">
          <tpl fld="7" item="871"/>
          <tpl fld="6" item="2"/>
          <tpl hier="236" item="0"/>
          <tpl fld="1" item="0"/>
        </tpls>
      </m>
      <m>
        <tpls c="4">
          <tpl fld="7" item="855"/>
          <tpl fld="6" item="2"/>
          <tpl hier="236" item="0"/>
          <tpl fld="1" item="0"/>
        </tpls>
      </m>
      <m>
        <tpls c="4">
          <tpl fld="7" item="839"/>
          <tpl fld="6" item="2"/>
          <tpl hier="236" item="0"/>
          <tpl fld="1" item="0"/>
        </tpls>
      </m>
      <m>
        <tpls c="4">
          <tpl fld="7" item="385"/>
          <tpl fld="6" item="2"/>
          <tpl hier="236" item="0"/>
          <tpl fld="1" item="0"/>
        </tpls>
      </m>
      <m>
        <tpls c="4">
          <tpl fld="7" item="369"/>
          <tpl fld="6" item="2"/>
          <tpl hier="236" item="0"/>
          <tpl fld="1" item="0"/>
        </tpls>
      </m>
      <m>
        <tpls c="4">
          <tpl fld="7" item="353"/>
          <tpl fld="6" item="2"/>
          <tpl hier="236" item="0"/>
          <tpl fld="1" item="0"/>
        </tpls>
      </m>
      <m>
        <tpls c="4">
          <tpl fld="7" item="349"/>
          <tpl fld="6" item="2"/>
          <tpl hier="236" item="0"/>
          <tpl fld="1" item="0"/>
        </tpls>
      </m>
      <n v="8.6" in="2">
        <tpls c="6">
          <tpl fld="3" item="1"/>
          <tpl fld="11" item="0"/>
          <tpl fld="6" item="2"/>
          <tpl hier="236" item="0"/>
          <tpl fld="4" item="4"/>
          <tpl fld="10" item="2"/>
        </tpls>
      </n>
      <n v="4" in="1">
        <tpls c="4">
          <tpl fld="7" item="443"/>
          <tpl fld="6" item="1"/>
          <tpl hier="236" item="0"/>
          <tpl fld="4" item="4"/>
        </tpls>
      </n>
      <m>
        <tpls c="4">
          <tpl fld="7" item="542"/>
          <tpl fld="6" item="2"/>
          <tpl hier="236" item="0"/>
          <tpl fld="1" item="0"/>
        </tpls>
      </m>
      <n v="9" in="1">
        <tpls c="4">
          <tpl fld="7" item="777"/>
          <tpl fld="6" item="1"/>
          <tpl hier="236" item="0"/>
          <tpl fld="1" item="0"/>
        </tpls>
      </n>
      <m>
        <tpls c="4">
          <tpl fld="7" item="883"/>
          <tpl fld="6" item="2"/>
          <tpl hier="236" item="0"/>
          <tpl fld="4" item="5"/>
        </tpls>
      </m>
      <m>
        <tpls c="4">
          <tpl fld="7" item="704"/>
          <tpl fld="6" item="2"/>
          <tpl hier="236" item="0"/>
          <tpl fld="4" item="1"/>
        </tpls>
      </m>
      <m>
        <tpls c="4">
          <tpl fld="7" item="709"/>
          <tpl fld="6" item="2"/>
          <tpl hier="236" item="0"/>
          <tpl fld="1" item="0"/>
        </tpls>
      </m>
      <m>
        <tpls c="4">
          <tpl fld="7" item="634"/>
          <tpl fld="6" item="2"/>
          <tpl hier="236" item="0"/>
          <tpl fld="1" item="0"/>
        </tpls>
      </m>
      <m>
        <tpls c="4">
          <tpl fld="7" item="580"/>
          <tpl fld="6" item="2"/>
          <tpl hier="236" item="0"/>
          <tpl fld="4" item="6"/>
        </tpls>
      </m>
      <m>
        <tpls c="4">
          <tpl fld="7" item="582"/>
          <tpl fld="6" item="2"/>
          <tpl hier="236" item="0"/>
          <tpl fld="4" item="5"/>
        </tpls>
      </m>
      <n v="14" in="1">
        <tpls c="4">
          <tpl fld="7" item="584"/>
          <tpl fld="6" item="1"/>
          <tpl hier="236" item="0"/>
          <tpl fld="1" item="0"/>
        </tpls>
      </n>
      <m>
        <tpls c="3">
          <tpl fld="7" item="586"/>
          <tpl fld="6" item="3"/>
          <tpl hier="236" item="0"/>
        </tpls>
      </m>
      <m>
        <tpls c="4">
          <tpl fld="7" item="644"/>
          <tpl fld="6" item="1"/>
          <tpl hier="236" item="0"/>
          <tpl fld="4" item="4"/>
        </tpls>
      </m>
      <m>
        <tpls c="4">
          <tpl fld="7" item="645"/>
          <tpl fld="6" item="2"/>
          <tpl hier="236" item="0"/>
          <tpl fld="4" item="5"/>
        </tpls>
      </m>
      <m>
        <tpls c="4">
          <tpl fld="7" item="808"/>
          <tpl fld="6" item="2"/>
          <tpl hier="236" item="0"/>
          <tpl fld="4" item="6"/>
        </tpls>
      </m>
      <n v="0" in="1">
        <tpls c="4">
          <tpl fld="7" item="648"/>
          <tpl fld="6" item="1"/>
          <tpl hier="236" item="0"/>
          <tpl fld="4" item="5"/>
        </tpls>
      </n>
      <n v="2" in="1">
        <tpls c="4">
          <tpl fld="7" item="811"/>
          <tpl fld="6" item="1"/>
          <tpl hier="236" item="0"/>
          <tpl fld="4" item="6"/>
        </tpls>
      </n>
      <m>
        <tpls c="4">
          <tpl fld="7" item="651"/>
          <tpl fld="6" item="2"/>
          <tpl hier="236" item="0"/>
          <tpl fld="4" item="1"/>
        </tpls>
      </m>
      <m>
        <tpls c="4">
          <tpl fld="7" item="732"/>
          <tpl fld="6" item="2"/>
          <tpl hier="236" item="0"/>
          <tpl fld="1" item="0"/>
        </tpls>
      </m>
      <n v="2" in="1">
        <tpls c="4">
          <tpl fld="7" item="1098"/>
          <tpl fld="6" item="1"/>
          <tpl hier="236" item="0"/>
          <tpl fld="4" item="1"/>
        </tpls>
      </n>
      <m>
        <tpls c="4">
          <tpl fld="7" item="735"/>
          <tpl fld="6" item="1"/>
          <tpl hier="236" item="0"/>
          <tpl fld="1" item="0"/>
        </tpls>
      </m>
      <m>
        <tpls c="4">
          <tpl fld="7" item="996"/>
          <tpl fld="6" item="2"/>
          <tpl hier="236" item="0"/>
          <tpl fld="4" item="4"/>
        </tpls>
      </m>
      <m>
        <tpls c="3">
          <tpl fld="7" item="738"/>
          <tpl fld="6" item="3"/>
          <tpl hier="236" item="0"/>
        </tpls>
      </m>
      <n v="1" in="1">
        <tpls c="4">
          <tpl fld="7" item="893"/>
          <tpl fld="6" item="1"/>
          <tpl hier="236" item="0"/>
          <tpl fld="4" item="4"/>
        </tpls>
      </n>
      <m>
        <tpls c="4">
          <tpl fld="7" item="661"/>
          <tpl fld="6" item="2"/>
          <tpl hier="236" item="0"/>
          <tpl fld="4" item="5"/>
        </tpls>
      </m>
      <m>
        <tpls c="4">
          <tpl fld="7" item="824"/>
          <tpl fld="6" item="2"/>
          <tpl hier="236" item="0"/>
          <tpl fld="4" item="6"/>
        </tpls>
      </m>
      <m>
        <tpls c="4">
          <tpl fld="7" item="664"/>
          <tpl fld="6" item="2"/>
          <tpl hier="236" item="0"/>
          <tpl fld="4" item="6"/>
        </tpls>
      </m>
      <m>
        <tpls c="4">
          <tpl fld="7" item="666"/>
          <tpl fld="6" item="2"/>
          <tpl hier="236" item="0"/>
          <tpl fld="4" item="6"/>
        </tpls>
      </m>
      <m>
        <tpls c="4">
          <tpl fld="7" item="999"/>
          <tpl fld="6" item="2"/>
          <tpl hier="236" item="0"/>
          <tpl fld="4" item="5"/>
        </tpls>
      </m>
      <m>
        <tpls c="3">
          <tpl fld="7" item="1001"/>
          <tpl fld="6" item="3"/>
          <tpl hier="236" item="0"/>
        </tpls>
      </m>
      <m>
        <tpls c="4">
          <tpl fld="7" item="836"/>
          <tpl fld="6" item="2"/>
          <tpl hier="236" item="0"/>
          <tpl fld="4" item="1"/>
        </tpls>
      </m>
      <m>
        <tpls c="4">
          <tpl fld="7" item="902"/>
          <tpl fld="6" item="1"/>
          <tpl hier="236" item="0"/>
          <tpl fld="4" item="4"/>
        </tpls>
      </m>
      <m>
        <tpls c="4">
          <tpl fld="7" item="1008"/>
          <tpl fld="6" item="2"/>
          <tpl hier="236" item="0"/>
          <tpl fld="4" item="4"/>
        </tpls>
      </m>
      <m>
        <tpls c="4">
          <tpl fld="7" item="1284"/>
          <tpl fld="6" item="1"/>
          <tpl hier="236" item="0"/>
          <tpl fld="4" item="6"/>
        </tpls>
      </m>
      <m>
        <tpls c="3">
          <tpl fld="7" item="1013"/>
          <tpl fld="6" item="3"/>
          <tpl hier="236" item="0"/>
        </tpls>
      </m>
      <m>
        <tpls c="4">
          <tpl fld="7" item="852"/>
          <tpl fld="6" item="2"/>
          <tpl hier="236" item="0"/>
          <tpl fld="4" item="1"/>
        </tpls>
      </m>
      <n v="6" in="1">
        <tpls c="4">
          <tpl fld="7" item="914"/>
          <tpl fld="6" item="1"/>
          <tpl hier="236" item="0"/>
          <tpl fld="4" item="4"/>
        </tpls>
      </n>
      <m>
        <tpls c="4">
          <tpl fld="7" item="1020"/>
          <tpl fld="6" item="2"/>
          <tpl hier="236" item="0"/>
          <tpl fld="4" item="4"/>
        </tpls>
      </m>
      <m>
        <tpls c="4">
          <tpl fld="7" item="1278"/>
          <tpl fld="6" item="1"/>
          <tpl hier="236" item="0"/>
          <tpl fld="4" item="6"/>
        </tpls>
      </m>
      <m>
        <tpls c="3">
          <tpl fld="7" item="1025"/>
          <tpl fld="6" item="3"/>
          <tpl hier="236" item="0"/>
        </tpls>
      </m>
      <m>
        <tpls c="4">
          <tpl fld="7" item="868"/>
          <tpl fld="6" item="2"/>
          <tpl hier="236" item="0"/>
          <tpl fld="4" item="1"/>
        </tpls>
      </m>
      <n v="13" in="1">
        <tpls c="4">
          <tpl fld="7" item="926"/>
          <tpl fld="6" item="1"/>
          <tpl hier="236" item="0"/>
          <tpl fld="4" item="4"/>
        </tpls>
      </n>
      <m>
        <tpls c="4">
          <tpl fld="7" item="1139"/>
          <tpl fld="6" item="2"/>
          <tpl hier="236" item="0"/>
          <tpl fld="4" item="1"/>
        </tpls>
      </m>
      <m>
        <tpls c="4">
          <tpl fld="7" item="1147"/>
          <tpl fld="6" item="2"/>
          <tpl hier="236" item="0"/>
          <tpl fld="4" item="1"/>
        </tpls>
      </m>
      <m>
        <tpls c="4">
          <tpl fld="7" item="1155"/>
          <tpl fld="6" item="2"/>
          <tpl hier="236" item="0"/>
          <tpl fld="4" item="1"/>
        </tpls>
      </m>
      <m>
        <tpls c="4">
          <tpl fld="7" item="1163"/>
          <tpl fld="6" item="2"/>
          <tpl hier="236" item="0"/>
          <tpl fld="4" item="1"/>
        </tpls>
      </m>
      <m>
        <tpls c="4">
          <tpl fld="7" item="1171"/>
          <tpl fld="6" item="2"/>
          <tpl hier="236" item="0"/>
          <tpl fld="4" item="1"/>
        </tpls>
      </m>
      <m>
        <tpls c="4">
          <tpl fld="7" item="1179"/>
          <tpl fld="6" item="2"/>
          <tpl hier="236" item="0"/>
          <tpl fld="4" item="1"/>
        </tpls>
      </m>
      <m>
        <tpls c="4">
          <tpl fld="7" item="1028"/>
          <tpl fld="6" item="2"/>
          <tpl hier="236" item="0"/>
          <tpl fld="1" item="0"/>
        </tpls>
      </m>
      <m>
        <tpls c="4">
          <tpl fld="7" item="1016"/>
          <tpl fld="6" item="2"/>
          <tpl hier="236" item="0"/>
          <tpl fld="1" item="0"/>
        </tpls>
      </m>
      <m>
        <tpls c="4">
          <tpl fld="7" item="1004"/>
          <tpl fld="6" item="2"/>
          <tpl hier="236" item="0"/>
          <tpl fld="1" item="0"/>
        </tpls>
      </m>
      <n v="1" in="2">
        <tpls c="4">
          <tpl fld="7" item="524"/>
          <tpl fld="6" item="2"/>
          <tpl hier="236" item="0"/>
          <tpl fld="1" item="0"/>
        </tpls>
      </n>
      <n v="0.3" in="2">
        <tpls c="4">
          <tpl fld="7" item="508"/>
          <tpl fld="6" item="2"/>
          <tpl hier="236" item="0"/>
          <tpl fld="1" item="0"/>
        </tpls>
      </n>
      <m>
        <tpls c="4">
          <tpl fld="7" item="107"/>
          <tpl fld="6" item="2"/>
          <tpl hier="236" item="0"/>
          <tpl fld="1" item="0"/>
        </tpls>
      </m>
      <m>
        <tpls c="4">
          <tpl fld="7" item="488"/>
          <tpl fld="6" item="2"/>
          <tpl hier="236" item="0"/>
          <tpl fld="1" item="0"/>
        </tpls>
      </m>
      <m>
        <tpls c="4">
          <tpl fld="7" item="177"/>
          <tpl fld="6" item="2"/>
          <tpl hier="236" item="0"/>
          <tpl fld="1" item="0"/>
        </tpls>
      </m>
      <m>
        <tpls c="4">
          <tpl fld="7" item="61"/>
          <tpl fld="6" item="2"/>
          <tpl hier="236" item="0"/>
          <tpl fld="1" item="0"/>
        </tpls>
      </m>
      <m>
        <tpls c="4">
          <tpl fld="7" item="476"/>
          <tpl fld="6" item="2"/>
          <tpl hier="236" item="0"/>
          <tpl fld="1" item="0"/>
        </tpls>
      </m>
      <m>
        <tpls c="4">
          <tpl fld="7" item="24"/>
          <tpl fld="6" item="2"/>
          <tpl hier="236" item="0"/>
          <tpl fld="1" item="0"/>
        </tpls>
      </m>
      <m>
        <tpls c="4">
          <tpl fld="7" item="109"/>
          <tpl fld="6" item="2"/>
          <tpl hier="236" item="0"/>
          <tpl fld="1" item="0"/>
        </tpls>
      </m>
      <m>
        <tpls c="4">
          <tpl fld="7" item="1127"/>
          <tpl fld="6" item="2"/>
          <tpl hier="236" item="0"/>
          <tpl fld="4" item="5"/>
        </tpls>
      </m>
      <m>
        <tpls c="4">
          <tpl fld="7" item="1115"/>
          <tpl fld="6" item="2"/>
          <tpl hier="236" item="0"/>
          <tpl fld="4" item="5"/>
        </tpls>
      </m>
      <m>
        <tpls c="4">
          <tpl fld="7" item="1103"/>
          <tpl fld="6" item="2"/>
          <tpl hier="236" item="0"/>
          <tpl fld="4" item="5"/>
        </tpls>
      </m>
      <n v="1" in="2">
        <tpls c="4">
          <tpl fld="7" item="519"/>
          <tpl fld="6" item="2"/>
          <tpl hier="236" item="0"/>
          <tpl fld="4" item="5"/>
        </tpls>
      </n>
      <m>
        <tpls c="4">
          <tpl fld="7" item="755"/>
          <tpl fld="6" item="2"/>
          <tpl hier="236" item="0"/>
          <tpl fld="4" item="1"/>
        </tpls>
      </m>
      <m>
        <tpls c="4">
          <tpl fld="7" item="783"/>
          <tpl fld="6" item="2"/>
          <tpl hier="236" item="0"/>
          <tpl fld="1" item="0"/>
        </tpls>
      </m>
      <m>
        <tpls c="4">
          <tpl fld="7" item="581"/>
          <tpl fld="6" item="2"/>
          <tpl hier="236" item="0"/>
          <tpl fld="4" item="1"/>
        </tpls>
      </m>
      <n v="2" in="1">
        <tpls c="4">
          <tpl fld="7" item="588"/>
          <tpl fld="6" item="1"/>
          <tpl hier="236" item="0"/>
          <tpl fld="4" item="6"/>
        </tpls>
      </n>
      <n v="14" in="1">
        <tpls c="4">
          <tpl fld="7" item="650"/>
          <tpl fld="6" item="1"/>
          <tpl hier="236" item="0"/>
          <tpl fld="1" item="0"/>
        </tpls>
      </n>
      <m>
        <tpls c="4">
          <tpl fld="7" item="892"/>
          <tpl fld="6" item="2"/>
          <tpl hier="236" item="0"/>
          <tpl fld="4" item="5"/>
        </tpls>
      </m>
      <m>
        <tpls c="4">
          <tpl fld="7" item="1100"/>
          <tpl fld="6" item="2"/>
          <tpl hier="236" item="0"/>
          <tpl fld="4" item="1"/>
        </tpls>
      </m>
      <n v="0" in="1">
        <tpls c="4">
          <tpl fld="7" item="749"/>
          <tpl fld="6" item="1"/>
          <tpl hier="236" item="0"/>
          <tpl fld="4" item="6"/>
        </tpls>
      </n>
      <m>
        <tpls c="4">
          <tpl fld="7" item="1009"/>
          <tpl fld="6" item="2"/>
          <tpl hier="236" item="0"/>
          <tpl fld="4" item="4"/>
        </tpls>
      </m>
      <n v="11" in="1">
        <tpls c="4">
          <tpl fld="7" item="915"/>
          <tpl fld="6" item="1"/>
          <tpl hier="236" item="0"/>
          <tpl fld="4" item="4"/>
        </tpls>
      </n>
      <m>
        <tpls c="4">
          <tpl fld="7" item="1131"/>
          <tpl fld="6" item="2"/>
          <tpl hier="236" item="0"/>
          <tpl fld="4" item="1"/>
        </tpls>
      </m>
      <m>
        <tpls c="4">
          <tpl fld="7" item="1204"/>
          <tpl fld="6" item="1"/>
          <tpl hier="236" item="0"/>
          <tpl fld="4" item="4"/>
        </tpls>
      </m>
      <m>
        <tpls c="4">
          <tpl fld="7" item="1126"/>
          <tpl fld="6" item="2"/>
          <tpl hier="236" item="0"/>
          <tpl fld="1" item="0"/>
        </tpls>
      </m>
      <m>
        <tpls c="4">
          <tpl fld="7" item="597"/>
          <tpl fld="6" item="2"/>
          <tpl hier="236" item="0"/>
          <tpl fld="1" item="0"/>
        </tpls>
      </m>
      <m>
        <tpls c="4">
          <tpl fld="7" item="259"/>
          <tpl fld="6" item="2"/>
          <tpl hier="236" item="0"/>
          <tpl fld="1" item="0"/>
        </tpls>
      </m>
      <m>
        <tpls c="4">
          <tpl fld="7" item="247"/>
          <tpl fld="6" item="2"/>
          <tpl hier="236" item="0"/>
          <tpl fld="1" item="0"/>
        </tpls>
      </m>
      <m>
        <tpls c="4">
          <tpl fld="7" item="870"/>
          <tpl fld="6" item="2"/>
          <tpl hier="236" item="0"/>
          <tpl fld="4" item="5"/>
        </tpls>
      </m>
      <m>
        <tpls c="4">
          <tpl fld="7" item="1011"/>
          <tpl fld="6" item="2"/>
          <tpl hier="236" item="0"/>
          <tpl fld="4" item="5"/>
        </tpls>
      </m>
      <m>
        <tpls c="4">
          <tpl fld="7" item="87"/>
          <tpl fld="6" item="2"/>
          <tpl hier="236" item="0"/>
          <tpl fld="4" item="5"/>
        </tpls>
      </m>
      <m>
        <tpls c="4">
          <tpl fld="7" item="678"/>
          <tpl fld="6" item="2"/>
          <tpl hier="236" item="0"/>
          <tpl fld="4" item="5"/>
        </tpls>
      </m>
      <m>
        <tpls c="4">
          <tpl fld="7" item="212"/>
          <tpl fld="6" item="2"/>
          <tpl hier="236" item="0"/>
          <tpl fld="4" item="5"/>
        </tpls>
      </m>
      <m>
        <tpls c="4">
          <tpl fld="7" item="300"/>
          <tpl fld="6" item="2"/>
          <tpl hier="236" item="0"/>
          <tpl fld="4" item="5"/>
        </tpls>
      </m>
      <m>
        <tpls c="4">
          <tpl fld="7" item="284"/>
          <tpl fld="6" item="2"/>
          <tpl hier="236" item="0"/>
          <tpl fld="4" item="5"/>
        </tpls>
      </m>
      <m>
        <tpls c="4">
          <tpl fld="7" item="876"/>
          <tpl fld="6" item="2"/>
          <tpl hier="236" item="0"/>
          <tpl fld="4" item="5"/>
        </tpls>
      </m>
      <m>
        <tpls c="4">
          <tpl fld="7" item="39"/>
          <tpl fld="6" item="2"/>
          <tpl hier="236" item="0"/>
          <tpl fld="4" item="5"/>
        </tpls>
      </m>
      <m>
        <tpls c="4">
          <tpl fld="7" item="7"/>
          <tpl fld="6" item="2"/>
          <tpl hier="236" item="0"/>
          <tpl fld="4" item="5"/>
        </tpls>
      </m>
      <m>
        <tpls c="4">
          <tpl fld="7" item="469"/>
          <tpl fld="6" item="2"/>
          <tpl hier="236" item="0"/>
          <tpl fld="4" item="5"/>
        </tpls>
      </m>
      <m>
        <tpls c="4">
          <tpl fld="7" item="918"/>
          <tpl fld="6" item="2"/>
          <tpl hier="236" item="0"/>
          <tpl fld="4" item="6"/>
        </tpls>
      </m>
      <m>
        <tpls c="4">
          <tpl fld="7" item="906"/>
          <tpl fld="6" item="2"/>
          <tpl hier="236" item="0"/>
          <tpl fld="4" item="6"/>
        </tpls>
      </m>
      <m>
        <tpls c="4">
          <tpl fld="7" item="456"/>
          <tpl fld="6" item="2"/>
          <tpl hier="236" item="0"/>
          <tpl fld="4" item="6"/>
        </tpls>
      </m>
      <m>
        <tpls c="4">
          <tpl fld="7" item="440"/>
          <tpl fld="6" item="2"/>
          <tpl hier="236" item="0"/>
          <tpl fld="4" item="6"/>
        </tpls>
      </m>
      <m>
        <tpls c="4">
          <tpl fld="7" item="424"/>
          <tpl fld="6" item="2"/>
          <tpl hier="236" item="0"/>
          <tpl fld="4" item="6"/>
        </tpls>
      </m>
      <m>
        <tpls c="4">
          <tpl fld="7" item="201"/>
          <tpl fld="6" item="2"/>
          <tpl hier="236" item="0"/>
          <tpl fld="4" item="6"/>
        </tpls>
      </m>
      <m>
        <tpls c="4">
          <tpl fld="7" item="77"/>
          <tpl fld="6" item="2"/>
          <tpl hier="236" item="0"/>
          <tpl fld="4" item="6"/>
        </tpls>
      </m>
      <m>
        <tpls c="4">
          <tpl fld="7" item="278"/>
          <tpl fld="6" item="2"/>
          <tpl hier="236" item="0"/>
          <tpl fld="4" item="6"/>
        </tpls>
      </m>
      <m>
        <tpls c="4">
          <tpl fld="7" item="251"/>
          <tpl fld="6" item="2"/>
          <tpl hier="236" item="0"/>
          <tpl fld="4" item="6"/>
        </tpls>
      </m>
      <m>
        <tpls c="4">
          <tpl fld="7" item="229"/>
          <tpl fld="6" item="2"/>
          <tpl hier="236" item="0"/>
          <tpl fld="4" item="6"/>
        </tpls>
      </m>
      <m>
        <tpls c="4">
          <tpl fld="7" item="916"/>
          <tpl fld="6" item="1"/>
          <tpl hier="236" item="0"/>
          <tpl fld="4" item="5"/>
        </tpls>
      </m>
      <m>
        <tpls c="4">
          <tpl fld="7" item="904"/>
          <tpl fld="6" item="1"/>
          <tpl hier="236" item="0"/>
          <tpl fld="4" item="5"/>
        </tpls>
      </m>
      <m>
        <tpls c="4">
          <tpl fld="7" item="383"/>
          <tpl fld="6" item="1"/>
          <tpl hier="236" item="0"/>
          <tpl fld="4" item="5"/>
        </tpls>
      </m>
      <m>
        <tpls c="4">
          <tpl fld="7" item="367"/>
          <tpl fld="6" item="1"/>
          <tpl hier="236" item="0"/>
          <tpl fld="4" item="5"/>
        </tpls>
      </m>
      <n v="1" in="1">
        <tpls c="4">
          <tpl fld="7" item="215"/>
          <tpl fld="6" item="1"/>
          <tpl hier="236" item="0"/>
          <tpl fld="4" item="5"/>
        </tpls>
      </n>
      <m>
        <tpls c="4">
          <tpl fld="7" item="199"/>
          <tpl fld="6" item="1"/>
          <tpl hier="236" item="0"/>
          <tpl fld="4" item="5"/>
        </tpls>
      </m>
      <m>
        <tpls c="4">
          <tpl fld="7" item="75"/>
          <tpl fld="6" item="1"/>
          <tpl hier="236" item="0"/>
          <tpl fld="4" item="5"/>
        </tpls>
      </m>
      <m>
        <tpls c="4">
          <tpl fld="7" item="60"/>
          <tpl fld="6" item="1"/>
          <tpl hier="236" item="0"/>
          <tpl fld="4" item="5"/>
        </tpls>
      </m>
      <m>
        <tpls c="4">
          <tpl fld="7" item="136"/>
          <tpl fld="6" item="1"/>
          <tpl hier="236" item="0"/>
          <tpl fld="4" item="5"/>
        </tpls>
      </m>
      <m>
        <tpls c="4">
          <tpl fld="7" item="119"/>
          <tpl fld="6" item="1"/>
          <tpl hier="236" item="0"/>
          <tpl fld="4" item="5"/>
        </tpls>
      </m>
      <m>
        <tpls c="4">
          <tpl fld="7" item="1064"/>
          <tpl fld="6" item="1"/>
          <tpl hier="236" item="0"/>
          <tpl fld="4" item="1"/>
        </tpls>
      </m>
      <m>
        <tpls c="4">
          <tpl fld="7" item="1048"/>
          <tpl fld="6" item="1"/>
          <tpl hier="236" item="0"/>
          <tpl fld="4" item="1"/>
        </tpls>
      </m>
      <n v="3" in="1">
        <tpls c="4">
          <tpl fld="7" item="1135"/>
          <tpl fld="6" item="1"/>
          <tpl hier="236" item="0"/>
          <tpl fld="4" item="1"/>
        </tpls>
      </n>
      <m>
        <tpls c="4">
          <tpl fld="7" item="1278"/>
          <tpl fld="6" item="1"/>
          <tpl hier="236" item="0"/>
          <tpl fld="4" item="1"/>
        </tpls>
      </m>
      <m>
        <tpls c="4">
          <tpl fld="7" item="1284"/>
          <tpl fld="6" item="1"/>
          <tpl hier="236" item="0"/>
          <tpl fld="4" item="1"/>
        </tpls>
      </m>
      <m>
        <tpls c="4">
          <tpl fld="7" item="999"/>
          <tpl fld="6" item="1"/>
          <tpl hier="236" item="0"/>
          <tpl fld="4" item="1"/>
        </tpls>
      </m>
      <n v="16" in="1">
        <tpls c="4">
          <tpl fld="7" item="517"/>
          <tpl fld="6" item="1"/>
          <tpl hier="236" item="0"/>
          <tpl fld="4" item="1"/>
        </tpls>
      </n>
      <n v="12" in="1">
        <tpls c="4">
          <tpl fld="7" item="501"/>
          <tpl fld="6" item="1"/>
          <tpl hier="236" item="0"/>
          <tpl fld="4" item="1"/>
        </tpls>
      </n>
      <m>
        <tpls c="4">
          <tpl fld="7" item="321"/>
          <tpl fld="6" item="1"/>
          <tpl hier="236" item="0"/>
          <tpl fld="4" item="1"/>
        </tpls>
      </m>
      <m>
        <tpls c="4">
          <tpl fld="7" item="295"/>
          <tpl fld="6" item="1"/>
          <tpl hier="236" item="0"/>
          <tpl fld="4" item="1"/>
        </tpls>
      </m>
      <m>
        <tpls c="4">
          <tpl fld="7" item="163"/>
          <tpl fld="6" item="1"/>
          <tpl hier="236" item="0"/>
          <tpl fld="4" item="1"/>
        </tpls>
      </m>
      <m>
        <tpls c="4">
          <tpl fld="7" item="261"/>
          <tpl fld="6" item="1"/>
          <tpl hier="236" item="0"/>
          <tpl fld="4" item="1"/>
        </tpls>
      </m>
      <m>
        <tpls c="4">
          <tpl fld="7" item="34"/>
          <tpl fld="6" item="1"/>
          <tpl hier="236" item="0"/>
          <tpl fld="4" item="1"/>
        </tpls>
      </m>
      <m>
        <tpls c="4">
          <tpl fld="7" item="326"/>
          <tpl fld="6" item="1"/>
          <tpl hier="236" item="0"/>
          <tpl fld="4" item="1"/>
        </tpls>
      </m>
      <n v="25" in="1">
        <tpls c="4">
          <tpl fld="7" item="871"/>
          <tpl fld="6" item="1"/>
          <tpl hier="236" item="0"/>
          <tpl fld="1" item="0"/>
        </tpls>
      </n>
      <n v="3" in="1">
        <tpls c="4">
          <tpl fld="7" item="855"/>
          <tpl fld="6" item="1"/>
          <tpl hier="236" item="0"/>
          <tpl fld="1" item="0"/>
        </tpls>
      </n>
      <n v="0" in="1">
        <tpls c="4">
          <tpl fld="7" item="839"/>
          <tpl fld="6" item="1"/>
          <tpl hier="236" item="0"/>
          <tpl fld="1" item="0"/>
        </tpls>
      </n>
      <m>
        <tpls c="4">
          <tpl fld="7" item="357"/>
          <tpl fld="6" item="2"/>
          <tpl hier="236" item="0"/>
          <tpl fld="4" item="1"/>
        </tpls>
      </m>
      <m>
        <tpls c="3">
          <tpl fld="7" item="623"/>
          <tpl fld="6" item="3"/>
          <tpl hier="236" item="0"/>
        </tpls>
      </m>
      <m>
        <tpls c="4">
          <tpl fld="7" item="801"/>
          <tpl fld="6" item="1"/>
          <tpl hier="236" item="0"/>
          <tpl fld="4" item="5"/>
        </tpls>
      </m>
      <m>
        <tpls c="4">
          <tpl fld="7" item="993"/>
          <tpl fld="6" item="2"/>
          <tpl hier="236" item="0"/>
          <tpl fld="4" item="1"/>
        </tpls>
      </m>
      <m>
        <tpls c="4">
          <tpl fld="7" item="812"/>
          <tpl fld="6" item="2"/>
          <tpl hier="236" item="0"/>
          <tpl fld="4" item="4"/>
        </tpls>
      </m>
      <m>
        <tpls c="4">
          <tpl fld="7" item="736"/>
          <tpl fld="6" item="2"/>
          <tpl hier="236" item="0"/>
          <tpl fld="4" item="6"/>
        </tpls>
      </m>
      <m>
        <tpls c="4">
          <tpl fld="7" item="662"/>
          <tpl fld="6" item="2"/>
          <tpl hier="236" item="0"/>
          <tpl fld="1" item="0"/>
        </tpls>
      </m>
      <m>
        <tpls c="4">
          <tpl fld="7" item="1103"/>
          <tpl fld="6" item="1"/>
          <tpl hier="236" item="0"/>
          <tpl fld="4" item="6"/>
        </tpls>
      </m>
      <m>
        <tpls c="4">
          <tpl fld="7" item="906"/>
          <tpl fld="6" item="2"/>
          <tpl hier="236" item="0"/>
          <tpl fld="4" item="4"/>
        </tpls>
      </m>
      <n v="1" in="1">
        <tpls c="4">
          <tpl fld="7" item="1195"/>
          <tpl fld="6" item="1"/>
          <tpl hier="236" item="0"/>
          <tpl fld="4" item="4"/>
        </tpls>
      </n>
      <m>
        <tpls c="4">
          <tpl fld="7" item="1029"/>
          <tpl fld="6" item="2"/>
          <tpl hier="236" item="0"/>
          <tpl fld="4" item="1"/>
        </tpls>
      </m>
      <n v="3" in="1">
        <tpls c="4">
          <tpl fld="7" item="1058"/>
          <tpl fld="6" item="1"/>
          <tpl hier="236" item="0"/>
          <tpl fld="4" item="4"/>
        </tpls>
      </n>
      <m>
        <tpls c="4">
          <tpl fld="7" item="1195"/>
          <tpl fld="6" item="2"/>
          <tpl hier="236" item="0"/>
          <tpl fld="1" item="0"/>
        </tpls>
      </m>
      <m>
        <tpls c="4">
          <tpl fld="7" item="877"/>
          <tpl fld="6" item="2"/>
          <tpl hier="236" item="0"/>
          <tpl fld="1" item="0"/>
        </tpls>
      </m>
      <m>
        <tpls c="4">
          <tpl fld="7" item="48"/>
          <tpl fld="6" item="2"/>
          <tpl hier="236" item="0"/>
          <tpl fld="1" item="0"/>
        </tpls>
      </m>
      <m>
        <tpls c="4">
          <tpl fld="7" item="136"/>
          <tpl fld="6" item="2"/>
          <tpl hier="236" item="0"/>
          <tpl fld="1" item="0"/>
        </tpls>
      </m>
      <m>
        <tpls c="4">
          <tpl fld="7" item="1027"/>
          <tpl fld="6" item="2"/>
          <tpl hier="236" item="0"/>
          <tpl fld="4" item="5"/>
        </tpls>
      </m>
      <m>
        <tpls c="4">
          <tpl fld="7" item="906"/>
          <tpl fld="6" item="2"/>
          <tpl hier="236" item="0"/>
          <tpl fld="4" item="5"/>
        </tpls>
      </m>
      <m>
        <tpls c="4">
          <tpl fld="7" item="456"/>
          <tpl fld="6" item="2"/>
          <tpl hier="236" item="0"/>
          <tpl fld="4" item="5"/>
        </tpls>
      </m>
      <m>
        <tpls c="4">
          <tpl fld="7" item="364"/>
          <tpl fld="6" item="2"/>
          <tpl hier="236" item="0"/>
          <tpl fld="4" item="5"/>
        </tpls>
      </m>
      <m>
        <tpls c="4">
          <tpl fld="7" item="207"/>
          <tpl fld="6" item="2"/>
          <tpl hier="236" item="0"/>
          <tpl fld="4" item="5"/>
        </tpls>
      </m>
      <m>
        <tpls c="4">
          <tpl fld="7" item="416"/>
          <tpl fld="6" item="2"/>
          <tpl hier="236" item="0"/>
          <tpl fld="4" item="5"/>
        </tpls>
      </m>
      <m>
        <tpls c="4">
          <tpl fld="7" item="412"/>
          <tpl fld="6" item="2"/>
          <tpl hier="236" item="0"/>
          <tpl fld="4" item="5"/>
        </tpls>
      </m>
      <m>
        <tpls c="4">
          <tpl fld="7" item="166"/>
          <tpl fld="6" item="2"/>
          <tpl hier="236" item="0"/>
          <tpl fld="4" item="5"/>
        </tpls>
      </m>
      <m>
        <tpls c="4">
          <tpl fld="7" item="254"/>
          <tpl fld="6" item="2"/>
          <tpl hier="236" item="0"/>
          <tpl fld="4" item="5"/>
        </tpls>
      </m>
      <m>
        <tpls c="4">
          <tpl fld="7" item="0"/>
          <tpl fld="6" item="2"/>
          <tpl hier="236" item="0"/>
          <tpl fld="4" item="5"/>
        </tpls>
      </m>
      <m>
        <tpls c="4">
          <tpl fld="7" item="226"/>
          <tpl fld="6" item="2"/>
          <tpl hier="236" item="0"/>
          <tpl fld="4" item="5"/>
        </tpls>
      </m>
      <m>
        <tpls c="4">
          <tpl fld="7" item="917"/>
          <tpl fld="6" item="2"/>
          <tpl hier="236" item="0"/>
          <tpl fld="4" item="6"/>
        </tpls>
      </m>
      <m>
        <tpls c="4">
          <tpl fld="7" item="905"/>
          <tpl fld="6" item="2"/>
          <tpl hier="236" item="0"/>
          <tpl fld="4" item="6"/>
        </tpls>
      </m>
      <m>
        <tpls c="4">
          <tpl fld="7" item="384"/>
          <tpl fld="6" item="2"/>
          <tpl hier="236" item="0"/>
          <tpl fld="4" item="6"/>
        </tpls>
      </m>
      <m>
        <tpls c="4">
          <tpl fld="7" item="368"/>
          <tpl fld="6" item="2"/>
          <tpl hier="236" item="0"/>
          <tpl fld="4" item="6"/>
        </tpls>
      </m>
      <m>
        <tpls c="4">
          <tpl fld="7" item="352"/>
          <tpl fld="6" item="2"/>
          <tpl hier="236" item="0"/>
          <tpl fld="4" item="6"/>
        </tpls>
      </m>
      <m>
        <tpls c="4">
          <tpl fld="7" item="92"/>
          <tpl fld="6" item="2"/>
          <tpl hier="236" item="0"/>
          <tpl fld="4" item="6"/>
        </tpls>
      </m>
      <m>
        <tpls c="4">
          <tpl fld="7" item="292"/>
          <tpl fld="6" item="2"/>
          <tpl hier="236" item="0"/>
          <tpl fld="4" item="6"/>
        </tpls>
      </m>
      <m>
        <tpls c="4">
          <tpl fld="7" item="481"/>
          <tpl fld="6" item="2"/>
          <tpl hier="236" item="0"/>
          <tpl fld="4" item="6"/>
        </tpls>
      </m>
      <m>
        <tpls c="4">
          <tpl fld="7" item="246"/>
          <tpl fld="6" item="2"/>
          <tpl hier="236" item="0"/>
          <tpl fld="4" item="6"/>
        </tpls>
      </m>
      <m>
        <tpls c="4">
          <tpl fld="7" item="979"/>
          <tpl fld="6" item="2"/>
          <tpl hier="236" item="0"/>
          <tpl fld="4" item="6"/>
        </tpls>
      </m>
      <n v="1" in="1">
        <tpls c="4">
          <tpl fld="7" item="915"/>
          <tpl fld="6" item="1"/>
          <tpl hier="236" item="0"/>
          <tpl fld="4" item="5"/>
        </tpls>
      </n>
      <m>
        <tpls c="4">
          <tpl fld="7" item="903"/>
          <tpl fld="6" item="1"/>
          <tpl hier="236" item="0"/>
          <tpl fld="4" item="5"/>
        </tpls>
      </m>
      <m>
        <tpls c="4">
          <tpl fld="7" item="523"/>
          <tpl fld="6" item="1"/>
          <tpl hier="236" item="0"/>
          <tpl fld="4" item="5"/>
        </tpls>
      </m>
      <m>
        <tpls c="4">
          <tpl fld="7" item="507"/>
          <tpl fld="6" item="1"/>
          <tpl hier="236" item="0"/>
          <tpl fld="4" item="5"/>
        </tpls>
      </m>
      <m>
        <tpls c="4">
          <tpl fld="7" item="106"/>
          <tpl fld="6" item="1"/>
          <tpl hier="236" item="0"/>
          <tpl fld="4" item="5"/>
        </tpls>
      </m>
      <m>
        <tpls c="4">
          <tpl fld="7" item="90"/>
          <tpl fld="6" item="1"/>
          <tpl hier="236" item="0"/>
          <tpl fld="4" item="5"/>
        </tpls>
      </m>
      <m>
        <tpls c="4">
          <tpl fld="7" item="290"/>
          <tpl fld="6" item="1"/>
          <tpl hier="236" item="0"/>
          <tpl fld="4" item="5"/>
        </tpls>
      </m>
      <m>
        <tpls c="4">
          <tpl fld="7" item="275"/>
          <tpl fld="6" item="1"/>
          <tpl hier="236" item="0"/>
          <tpl fld="4" item="5"/>
        </tpls>
      </m>
      <m>
        <tpls c="4">
          <tpl fld="7" item="134"/>
          <tpl fld="6" item="1"/>
          <tpl hier="236" item="0"/>
          <tpl fld="4" item="5"/>
        </tpls>
      </m>
      <n v="4" in="1">
        <tpls c="4">
          <tpl fld="7" item="978"/>
          <tpl fld="6" item="1"/>
          <tpl hier="236" item="0"/>
          <tpl fld="4" item="1"/>
        </tpls>
      </n>
      <m>
        <tpls c="4">
          <tpl fld="7" item="959"/>
          <tpl fld="6" item="1"/>
          <tpl hier="236" item="0"/>
          <tpl fld="4" item="1"/>
        </tpls>
      </m>
      <m>
        <tpls c="4">
          <tpl fld="7" item="606"/>
          <tpl fld="6" item="2"/>
          <tpl hier="236" item="0"/>
          <tpl fld="1" item="0"/>
        </tpls>
      </m>
      <m>
        <tpls c="4">
          <tpl fld="7" item="792"/>
          <tpl fld="6" item="2"/>
          <tpl hier="236" item="0"/>
          <tpl fld="4" item="1"/>
        </tpls>
      </m>
      <m>
        <tpls c="4">
          <tpl fld="7" item="782"/>
          <tpl fld="6" item="1"/>
          <tpl hier="236" item="0"/>
          <tpl fld="4" item="1"/>
        </tpls>
      </m>
      <m>
        <tpls c="4">
          <tpl fld="7" item="719"/>
          <tpl fld="6" item="2"/>
          <tpl hier="236" item="0"/>
          <tpl fld="4" item="1"/>
        </tpls>
      </m>
      <n v="19" in="1">
        <tpls c="4">
          <tpl fld="7" item="993"/>
          <tpl fld="6" item="1"/>
          <tpl hier="236" item="0"/>
          <tpl fld="1" item="0"/>
        </tpls>
      </n>
      <m>
        <tpls c="4">
          <tpl fld="7" item="832"/>
          <tpl fld="6" item="1"/>
          <tpl hier="236" item="0"/>
          <tpl fld="4" item="6"/>
        </tpls>
      </m>
      <m>
        <tpls c="4">
          <tpl fld="7" item="1283"/>
          <tpl fld="6" item="2"/>
          <tpl hier="236" item="0"/>
          <tpl fld="4" item="1"/>
        </tpls>
      </m>
      <m>
        <tpls c="4">
          <tpl fld="7" item="426"/>
          <tpl fld="6" item="2"/>
          <tpl hier="236" item="0"/>
          <tpl fld="4" item="4"/>
        </tpls>
      </m>
      <n v="1" in="1">
        <tpls c="4">
          <tpl fld="7" item="633"/>
          <tpl fld="6" item="1"/>
          <tpl hier="236" item="0"/>
          <tpl fld="4" item="1"/>
        </tpls>
      </n>
      <n v="1" in="1">
        <tpls c="4">
          <tpl fld="7" item="644"/>
          <tpl fld="6" item="1"/>
          <tpl hier="236" item="0"/>
          <tpl fld="4" item="6"/>
        </tpls>
      </n>
      <n v="6" in="1">
        <tpls c="4">
          <tpl fld="7" item="813"/>
          <tpl fld="6" item="1"/>
          <tpl hier="236" item="0"/>
          <tpl fld="1" item="0"/>
        </tpls>
      </n>
      <n v="2" in="1">
        <tpls c="4">
          <tpl fld="7" item="658"/>
          <tpl fld="6" item="1"/>
          <tpl hier="236" item="0"/>
          <tpl fld="4" item="1"/>
        </tpls>
      </n>
      <n v="20" in="1">
        <tpls c="4">
          <tpl fld="7" item="664"/>
          <tpl fld="6" item="1"/>
          <tpl hier="236" item="0"/>
          <tpl fld="4" item="4"/>
        </tpls>
      </n>
      <m>
        <tpls c="4">
          <tpl fld="7" item="1106"/>
          <tpl fld="6" item="2"/>
          <tpl hier="236" item="0"/>
          <tpl fld="4" item="1"/>
        </tpls>
      </m>
      <m>
        <tpls c="3">
          <tpl fld="7" item="909"/>
          <tpl fld="6" item="3"/>
          <tpl hier="236" item="0"/>
        </tpls>
      </m>
      <m>
        <tpls c="4">
          <tpl fld="7" item="1125"/>
          <tpl fld="6" item="1"/>
          <tpl hier="236" item="0"/>
          <tpl fld="4" item="6"/>
        </tpls>
      </m>
      <n v="3" in="1">
        <tpls c="4">
          <tpl fld="7" item="932"/>
          <tpl fld="6" item="1"/>
          <tpl hier="236" item="0"/>
          <tpl fld="4" item="4"/>
        </tpls>
      </n>
      <n v="2" in="1">
        <tpls c="4">
          <tpl fld="7" item="964"/>
          <tpl fld="6" item="1"/>
          <tpl hier="236" item="0"/>
          <tpl fld="4" item="4"/>
        </tpls>
      </n>
      <m>
        <tpls c="4">
          <tpl fld="7" item="838"/>
          <tpl fld="6" item="2"/>
          <tpl hier="236" item="0"/>
          <tpl fld="1" item="0"/>
        </tpls>
      </m>
      <m>
        <tpls c="4">
          <tpl fld="7" item="348"/>
          <tpl fld="6" item="2"/>
          <tpl hier="236" item="0"/>
          <tpl fld="1" item="0"/>
        </tpls>
      </m>
      <n v="7" in="1">
        <tpls c="4">
          <tpl fld="7" item="550"/>
          <tpl fld="6" item="1"/>
          <tpl hier="236" item="0"/>
          <tpl fld="4" item="4"/>
        </tpls>
      </n>
      <m>
        <tpls c="4">
          <tpl fld="7" item="796"/>
          <tpl fld="6" item="2"/>
          <tpl hier="236" item="0"/>
          <tpl fld="4" item="4"/>
        </tpls>
      </m>
      <n v="1" in="1">
        <tpls c="4">
          <tpl fld="7" item="586"/>
          <tpl fld="6" item="1"/>
          <tpl hier="236" item="0"/>
          <tpl fld="1" item="0"/>
        </tpls>
      </n>
      <m>
        <tpls c="4">
          <tpl fld="7" item="648"/>
          <tpl fld="6" item="2"/>
          <tpl hier="236" item="0"/>
          <tpl fld="4" item="5"/>
        </tpls>
      </m>
      <m>
        <tpls c="4">
          <tpl fld="7" item="654"/>
          <tpl fld="6" item="2"/>
          <tpl hier="236" item="0"/>
          <tpl fld="4" item="1"/>
        </tpls>
      </m>
      <m>
        <tpls c="4">
          <tpl fld="7" item="893"/>
          <tpl fld="6" item="2"/>
          <tpl hier="236" item="0"/>
          <tpl fld="4" item="4"/>
        </tpls>
      </m>
      <n v="1" in="1">
        <tpls c="4">
          <tpl fld="7" item="746"/>
          <tpl fld="6" item="1"/>
          <tpl hier="236" item="0"/>
          <tpl fld="4" item="4"/>
        </tpls>
      </n>
      <m>
        <tpls c="4">
          <tpl fld="7" item="902"/>
          <tpl fld="6" item="2"/>
          <tpl hier="236" item="0"/>
          <tpl fld="4" item="4"/>
        </tpls>
      </m>
      <m>
        <tpls c="4">
          <tpl fld="7" item="1194"/>
          <tpl fld="6" item="1"/>
          <tpl hier="236" item="0"/>
          <tpl fld="4" item="4"/>
        </tpls>
      </m>
      <m>
        <tpls c="4">
          <tpl fld="7" item="865"/>
          <tpl fld="6" item="2"/>
          <tpl hier="236" item="0"/>
          <tpl fld="4" item="1"/>
        </tpls>
      </m>
      <m>
        <tpls c="4">
          <tpl fld="7" item="941"/>
          <tpl fld="6" item="2"/>
          <tpl hier="236" item="0"/>
          <tpl fld="4" item="1"/>
        </tpls>
      </m>
      <m>
        <tpls c="4">
          <tpl fld="7" item="973"/>
          <tpl fld="6" item="2"/>
          <tpl hier="236" item="0"/>
          <tpl fld="4" item="1"/>
        </tpls>
      </m>
      <m>
        <tpls c="4">
          <tpl fld="7" item="523"/>
          <tpl fld="6" item="2"/>
          <tpl hier="236" item="0"/>
          <tpl fld="1" item="0"/>
        </tpls>
      </m>
      <m>
        <tpls c="4">
          <tpl fld="7" item="176"/>
          <tpl fld="6" item="2"/>
          <tpl hier="236" item="0"/>
          <tpl fld="1" item="0"/>
        </tpls>
      </m>
      <m>
        <tpls c="4">
          <tpl fld="7" item="122"/>
          <tpl fld="6" item="2"/>
          <tpl hier="236" item="0"/>
          <tpl fld="1" item="0"/>
        </tpls>
      </m>
      <m>
        <tpls c="4">
          <tpl fld="7" item="518"/>
          <tpl fld="6" item="2"/>
          <tpl hier="236" item="0"/>
          <tpl fld="4" item="5"/>
        </tpls>
      </m>
      <n v="4" in="1">
        <tpls c="4">
          <tpl fld="7" item="806"/>
          <tpl fld="6" item="1"/>
          <tpl hier="236" item="0"/>
          <tpl fld="4" item="1"/>
        </tpls>
      </n>
      <m>
        <tpls c="4">
          <tpl fld="7" item="1000"/>
          <tpl fld="6" item="2"/>
          <tpl hier="236" item="0"/>
          <tpl fld="4" item="4"/>
        </tpls>
      </m>
      <m>
        <tpls c="4">
          <tpl fld="7" item="1256"/>
          <tpl fld="6" item="1"/>
          <tpl hier="236" item="0"/>
          <tpl fld="4" item="4"/>
        </tpls>
      </m>
      <m>
        <tpls c="4">
          <tpl fld="7" item="245"/>
          <tpl fld="6" item="2"/>
          <tpl hier="236" item="0"/>
          <tpl fld="1" item="0"/>
        </tpls>
      </m>
      <m>
        <tpls c="4">
          <tpl fld="7" item="435"/>
          <tpl fld="6" item="2"/>
          <tpl hier="236" item="0"/>
          <tpl fld="4" item="5"/>
        </tpls>
      </m>
      <m>
        <tpls c="4">
          <tpl fld="7" item="410"/>
          <tpl fld="6" item="2"/>
          <tpl hier="236" item="0"/>
          <tpl fld="4" item="5"/>
        </tpls>
      </m>
      <m>
        <tpls c="4">
          <tpl fld="7" item="1021"/>
          <tpl fld="6" item="2"/>
          <tpl hier="236" item="0"/>
          <tpl fld="4" item="6"/>
        </tpls>
      </m>
      <m>
        <tpls c="4">
          <tpl fld="7" item="423"/>
          <tpl fld="6" item="2"/>
          <tpl hier="236" item="0"/>
          <tpl fld="4" item="6"/>
        </tpls>
      </m>
      <m>
        <tpls c="4">
          <tpl fld="7" item="247"/>
          <tpl fld="6" item="2"/>
          <tpl hier="236" item="0"/>
          <tpl fld="4" item="6"/>
        </tpls>
      </m>
      <m>
        <tpls c="4">
          <tpl fld="7" item="382"/>
          <tpl fld="6" item="1"/>
          <tpl hier="236" item="0"/>
          <tpl fld="4" item="5"/>
        </tpls>
      </m>
      <m>
        <tpls c="4">
          <tpl fld="7" item="74"/>
          <tpl fld="6" item="1"/>
          <tpl hier="236" item="0"/>
          <tpl fld="4" item="5"/>
        </tpls>
      </m>
      <m>
        <tpls c="4">
          <tpl fld="7" item="1063"/>
          <tpl fld="6" item="1"/>
          <tpl hier="236" item="0"/>
          <tpl fld="4" item="1"/>
        </tpls>
      </m>
      <m>
        <tpls c="4">
          <tpl fld="7" item="906"/>
          <tpl fld="6" item="1"/>
          <tpl hier="236" item="0"/>
          <tpl fld="4" item="1"/>
        </tpls>
      </m>
      <m>
        <tpls c="4">
          <tpl fld="7" item="317"/>
          <tpl fld="6" item="1"/>
          <tpl hier="236" item="0"/>
          <tpl fld="4" item="1"/>
        </tpls>
      </m>
      <m>
        <tpls c="4">
          <tpl fld="7" item="33"/>
          <tpl fld="6" item="1"/>
          <tpl hier="236" item="0"/>
          <tpl fld="4" item="1"/>
        </tpls>
      </m>
      <m>
        <tpls c="4">
          <tpl fld="7" item="838"/>
          <tpl fld="6" item="1"/>
          <tpl hier="236" item="0"/>
          <tpl fld="1" item="0"/>
        </tpls>
      </m>
      <n v="23" in="1">
        <tpls c="4">
          <tpl fld="7" item="645"/>
          <tpl fld="6" item="1"/>
          <tpl hier="236" item="0"/>
          <tpl fld="1" item="0"/>
        </tpls>
      </n>
      <m>
        <tpls c="4">
          <tpl fld="7" item="897"/>
          <tpl fld="6" item="2"/>
          <tpl hier="236" item="0"/>
          <tpl fld="4" item="4"/>
        </tpls>
      </m>
      <n v="4" in="1">
        <tpls c="4">
          <tpl fld="7" item="1060"/>
          <tpl fld="6" item="1"/>
          <tpl hier="236" item="0"/>
          <tpl fld="4" item="4"/>
        </tpls>
      </n>
      <m>
        <tpls c="4">
          <tpl fld="7" item="138"/>
          <tpl fld="6" item="2"/>
          <tpl hier="236" item="0"/>
          <tpl fld="1" item="0"/>
        </tpls>
      </m>
      <n v="1" in="2">
        <tpls c="4">
          <tpl fld="7" item="915"/>
          <tpl fld="6" item="2"/>
          <tpl hier="236" item="0"/>
          <tpl fld="4" item="5"/>
        </tpls>
      </n>
      <m>
        <tpls c="4">
          <tpl fld="7" item="96"/>
          <tpl fld="6" item="2"/>
          <tpl hier="236" item="0"/>
          <tpl fld="4" item="5"/>
        </tpls>
      </m>
      <n v="1" in="2">
        <tpls c="4">
          <tpl fld="7" item="503"/>
          <tpl fld="6" item="2"/>
          <tpl hier="236" item="0"/>
          <tpl fld="4" item="5"/>
        </tpls>
      </n>
      <m>
        <tpls c="4">
          <tpl fld="7" item="1083"/>
          <tpl fld="6" item="2"/>
          <tpl hier="236" item="0"/>
          <tpl fld="4" item="5"/>
        </tpls>
      </m>
      <m>
        <tpls c="4">
          <tpl fld="7" item="342"/>
          <tpl fld="6" item="2"/>
          <tpl hier="236" item="0"/>
          <tpl fld="4" item="5"/>
        </tpls>
      </m>
      <m>
        <tpls c="4">
          <tpl fld="7" item="408"/>
          <tpl fld="6" item="2"/>
          <tpl hier="236" item="0"/>
          <tpl fld="4" item="5"/>
        </tpls>
      </m>
      <m>
        <tpls c="4">
          <tpl fld="7" item="247"/>
          <tpl fld="6" item="2"/>
          <tpl hier="236" item="0"/>
          <tpl fld="4" item="5"/>
        </tpls>
      </m>
      <m>
        <tpls c="4">
          <tpl fld="7" item="325"/>
          <tpl fld="6" item="2"/>
          <tpl hier="236" item="0"/>
          <tpl fld="4" item="5"/>
        </tpls>
      </m>
      <m>
        <tpls c="4">
          <tpl fld="7" item="1122"/>
          <tpl fld="6" item="2"/>
          <tpl hier="236" item="0"/>
          <tpl fld="4" item="6"/>
        </tpls>
      </m>
      <m>
        <tpls c="4">
          <tpl fld="7" item="1191"/>
          <tpl fld="6" item="2"/>
          <tpl hier="236" item="0"/>
          <tpl fld="4" item="6"/>
        </tpls>
      </m>
      <m>
        <tpls c="4">
          <tpl fld="7" item="371"/>
          <tpl fld="6" item="2"/>
          <tpl hier="236" item="0"/>
          <tpl fld="4" item="6"/>
        </tpls>
      </m>
      <m>
        <tpls c="4">
          <tpl fld="7" item="214"/>
          <tpl fld="6" item="2"/>
          <tpl hier="236" item="0"/>
          <tpl fld="4" item="6"/>
        </tpls>
      </m>
      <m>
        <tpls c="4">
          <tpl fld="7" item="85"/>
          <tpl fld="6" item="2"/>
          <tpl hier="236" item="0"/>
          <tpl fld="4" item="6"/>
        </tpls>
      </m>
      <m>
        <tpls c="4">
          <tpl fld="7" item="411"/>
          <tpl fld="6" item="2"/>
          <tpl hier="236" item="0"/>
          <tpl fld="4" item="6"/>
        </tpls>
      </m>
      <m>
        <tpls c="4">
          <tpl fld="7" item="242"/>
          <tpl fld="6" item="2"/>
          <tpl hier="236" item="0"/>
          <tpl fld="4" item="6"/>
        </tpls>
      </m>
      <m>
        <tpls c="4">
          <tpl fld="7" item="1248"/>
          <tpl fld="6" item="1"/>
          <tpl hier="236" item="0"/>
          <tpl fld="4" item="5"/>
        </tpls>
      </m>
      <m>
        <tpls c="4">
          <tpl fld="7" item="1009"/>
          <tpl fld="6" item="1"/>
          <tpl hier="236" item="0"/>
          <tpl fld="4" item="5"/>
        </tpls>
      </m>
      <m>
        <tpls c="4">
          <tpl fld="7" item="521"/>
          <tpl fld="6" item="1"/>
          <tpl hier="236" item="0"/>
          <tpl fld="4" item="5"/>
        </tpls>
      </m>
      <m>
        <tpls c="4">
          <tpl fld="7" item="500"/>
          <tpl fld="6" item="1"/>
          <tpl hier="236" item="0"/>
          <tpl fld="4" item="5"/>
        </tpls>
      </m>
      <m>
        <tpls c="4">
          <tpl fld="7" item="93"/>
          <tpl fld="6" item="1"/>
          <tpl hier="236" item="0"/>
          <tpl fld="4" item="5"/>
        </tpls>
      </m>
      <m>
        <tpls c="4">
          <tpl fld="7" item="288"/>
          <tpl fld="6" item="1"/>
          <tpl hier="236" item="0"/>
          <tpl fld="4" item="5"/>
        </tpls>
      </m>
      <m>
        <tpls c="4">
          <tpl fld="7" item="244"/>
          <tpl fld="6" item="1"/>
          <tpl hier="236" item="0"/>
          <tpl fld="4" item="5"/>
        </tpls>
      </m>
      <m>
        <tpls c="4">
          <tpl fld="7" item="13"/>
          <tpl fld="6" item="1"/>
          <tpl hier="236" item="0"/>
          <tpl fld="4" item="5"/>
        </tpls>
      </m>
      <n v="0" in="1">
        <tpls c="4">
          <tpl fld="7" item="957"/>
          <tpl fld="6" item="1"/>
          <tpl hier="236" item="0"/>
          <tpl fld="4" item="1"/>
        </tpls>
      </n>
      <m>
        <tpls c="4">
          <tpl fld="7" item="941"/>
          <tpl fld="6" item="1"/>
          <tpl hier="236" item="0"/>
          <tpl fld="4" item="1"/>
        </tpls>
      </m>
      <m>
        <tpls c="4">
          <tpl fld="7" item="926"/>
          <tpl fld="6" item="1"/>
          <tpl hier="236" item="0"/>
          <tpl fld="4" item="1"/>
        </tpls>
      </m>
      <n v="-1" in="1">
        <tpls c="4">
          <tpl fld="7" item="1020"/>
          <tpl fld="6" item="1"/>
          <tpl hier="236" item="0"/>
          <tpl fld="4" item="1"/>
        </tpls>
      </n>
      <m>
        <tpls c="4">
          <tpl fld="7" item="1008"/>
          <tpl fld="6" item="1"/>
          <tpl hier="236" item="0"/>
          <tpl fld="4" item="1"/>
        </tpls>
      </m>
      <m>
        <tpls c="4">
          <tpl fld="7" item="201"/>
          <tpl fld="6" item="1"/>
          <tpl hier="236" item="0"/>
          <tpl fld="4" item="1"/>
        </tpls>
      </m>
      <n v="5" in="1">
        <tpls c="4">
          <tpl fld="7" item="600"/>
          <tpl fld="6" item="1"/>
          <tpl hier="236" item="0"/>
          <tpl fld="4" item="1"/>
        </tpls>
      </n>
      <m>
        <tpls c="4">
          <tpl fld="7" item="596"/>
          <tpl fld="6" item="1"/>
          <tpl hier="236" item="0"/>
          <tpl fld="4" item="1"/>
        </tpls>
      </m>
      <n v="0" in="1">
        <tpls c="4">
          <tpl fld="7" item="308"/>
          <tpl fld="6" item="1"/>
          <tpl hier="236" item="0"/>
          <tpl fld="4" item="1"/>
        </tpls>
      </n>
      <m>
        <tpls c="4">
          <tpl fld="7" item="980"/>
          <tpl fld="6" item="1"/>
          <tpl hier="236" item="0"/>
          <tpl fld="4" item="1"/>
        </tpls>
      </m>
      <m>
        <tpls c="4">
          <tpl fld="7" item="150"/>
          <tpl fld="6" item="1"/>
          <tpl hier="236" item="0"/>
          <tpl fld="4" item="1"/>
        </tpls>
      </m>
      <m>
        <tpls c="4">
          <tpl fld="7" item="47"/>
          <tpl fld="6" item="1"/>
          <tpl hier="236" item="0"/>
          <tpl fld="4" item="1"/>
        </tpls>
      </m>
      <m>
        <tpls c="4">
          <tpl fld="7" item="247"/>
          <tpl fld="6" item="1"/>
          <tpl hier="236" item="0"/>
          <tpl fld="4" item="1"/>
        </tpls>
      </m>
      <m>
        <tpls c="4">
          <tpl fld="7" item="610"/>
          <tpl fld="6" item="2"/>
          <tpl hier="236" item="0"/>
          <tpl fld="4" item="6"/>
        </tpls>
      </m>
      <n v="7" in="1">
        <tpls c="4">
          <tpl fld="7" item="568"/>
          <tpl fld="6" item="1"/>
          <tpl hier="236" item="0"/>
          <tpl fld="1" item="0"/>
        </tpls>
      </n>
      <m>
        <tpls c="4">
          <tpl fld="7" item="584"/>
          <tpl fld="6" item="2"/>
          <tpl hier="236" item="0"/>
          <tpl fld="4" item="6"/>
        </tpls>
      </m>
      <n v="2" in="1">
        <tpls c="4">
          <tpl fld="7" item="808"/>
          <tpl fld="6" item="1"/>
          <tpl hier="236" item="0"/>
          <tpl fld="4" item="1"/>
        </tpls>
      </n>
      <m>
        <tpls c="4">
          <tpl fld="7" item="814"/>
          <tpl fld="6" item="1"/>
          <tpl hier="236" item="0"/>
          <tpl fld="4" item="4"/>
        </tpls>
      </m>
      <m>
        <tpls c="4">
          <tpl fld="7" item="738"/>
          <tpl fld="6" item="1"/>
          <tpl hier="236" item="0"/>
          <tpl fld="4" item="6"/>
        </tpls>
      </m>
      <m>
        <tpls c="4">
          <tpl fld="7" item="664"/>
          <tpl fld="6" item="1"/>
          <tpl hier="236" item="0"/>
          <tpl fld="4" item="1"/>
        </tpls>
      </m>
      <m>
        <tpls c="3">
          <tpl fld="7" item="836"/>
          <tpl fld="6" item="3"/>
          <tpl hier="236" item="0"/>
        </tpls>
      </m>
      <m>
        <tpls c="4">
          <tpl fld="7" item="1013"/>
          <tpl fld="6" item="1"/>
          <tpl hier="236" item="0"/>
          <tpl fld="4" item="6"/>
        </tpls>
      </m>
      <m>
        <tpls c="4">
          <tpl fld="7" item="1278"/>
          <tpl fld="6" item="2"/>
          <tpl hier="236" item="0"/>
          <tpl fld="4" item="4"/>
        </tpls>
      </m>
      <n v="6" in="1">
        <tpls c="4">
          <tpl fld="7" item="1225"/>
          <tpl fld="6" item="1"/>
          <tpl hier="236" item="0"/>
          <tpl fld="4" item="4"/>
        </tpls>
      </n>
      <m>
        <tpls c="4">
          <tpl fld="7" item="1233"/>
          <tpl fld="6" item="1"/>
          <tpl hier="236" item="0"/>
          <tpl fld="4" item="4"/>
        </tpls>
      </m>
      <m>
        <tpls c="4">
          <tpl fld="7" item="900"/>
          <tpl fld="6" item="2"/>
          <tpl hier="236" item="0"/>
          <tpl fld="1" item="0"/>
        </tpls>
      </m>
      <m>
        <tpls c="4">
          <tpl fld="7" item="755"/>
          <tpl fld="6" item="2"/>
          <tpl hier="236" item="0"/>
          <tpl fld="1" item="0"/>
        </tpls>
      </m>
      <m>
        <tpls c="4">
          <tpl fld="7" item="150"/>
          <tpl fld="6" item="2"/>
          <tpl hier="236" item="0"/>
          <tpl fld="1" item="0"/>
        </tpls>
      </m>
      <m>
        <tpls c="4">
          <tpl fld="7" item="6"/>
          <tpl fld="6" item="2"/>
          <tpl hier="236" item="0"/>
          <tpl fld="1" item="0"/>
        </tpls>
      </m>
      <m>
        <tpls c="4">
          <tpl fld="7" item="859"/>
          <tpl fld="6" item="2"/>
          <tpl hier="236" item="0"/>
          <tpl fld="4" item="5"/>
        </tpls>
      </m>
      <m>
        <tpls c="4">
          <tpl fld="7" item="1217"/>
          <tpl fld="6" item="2"/>
          <tpl hier="236" item="0"/>
          <tpl fld="4" item="5"/>
        </tpls>
      </m>
      <m>
        <tpls c="4">
          <tpl fld="7" item="449"/>
          <tpl fld="6" item="2"/>
          <tpl hier="236" item="0"/>
          <tpl fld="4" item="5"/>
        </tpls>
      </m>
      <m>
        <tpls c="4">
          <tpl fld="7" item="758"/>
          <tpl fld="6" item="2"/>
          <tpl hier="236" item="0"/>
          <tpl fld="4" item="5"/>
        </tpls>
      </m>
      <m>
        <tpls c="4">
          <tpl fld="7" item="420"/>
          <tpl fld="6" item="2"/>
          <tpl hier="236" item="0"/>
          <tpl fld="4" item="5"/>
        </tpls>
      </m>
      <m>
        <tpls c="4">
          <tpl fld="7" item="185"/>
          <tpl fld="6" item="2"/>
          <tpl hier="236" item="0"/>
          <tpl fld="4" item="5"/>
        </tpls>
      </m>
      <m>
        <tpls c="4">
          <tpl fld="7" item="49"/>
          <tpl fld="6" item="2"/>
          <tpl hier="236" item="0"/>
          <tpl fld="4" item="5"/>
        </tpls>
      </m>
      <m>
        <tpls c="4">
          <tpl fld="7" item="270"/>
          <tpl fld="6" item="2"/>
          <tpl hier="236" item="0"/>
          <tpl fld="4" item="5"/>
        </tpls>
      </m>
      <m>
        <tpls c="4">
          <tpl fld="7" item="474"/>
          <tpl fld="6" item="2"/>
          <tpl hier="236" item="0"/>
          <tpl fld="4" item="5"/>
        </tpls>
      </m>
      <m>
        <tpls c="4">
          <tpl fld="7" item="108"/>
          <tpl fld="6" item="2"/>
          <tpl hier="236" item="0"/>
          <tpl fld="4" item="5"/>
        </tpls>
      </m>
      <m>
        <tpls c="4">
          <tpl fld="7" item="870"/>
          <tpl fld="6" item="2"/>
          <tpl hier="236" item="0"/>
          <tpl fld="4" item="6"/>
        </tpls>
      </m>
      <m>
        <tpls c="4">
          <tpl fld="7" item="854"/>
          <tpl fld="6" item="2"/>
          <tpl hier="236" item="0"/>
          <tpl fld="4" item="6"/>
        </tpls>
      </m>
      <m>
        <tpls c="4">
          <tpl fld="7" item="838"/>
          <tpl fld="6" item="2"/>
          <tpl hier="236" item="0"/>
          <tpl fld="4" item="6"/>
        </tpls>
      </m>
      <n v="1" in="2">
        <tpls c="4">
          <tpl fld="7" item="520"/>
          <tpl fld="6" item="2"/>
          <tpl hier="236" item="0"/>
          <tpl fld="4" item="6"/>
        </tpls>
      </n>
      <m>
        <tpls c="4">
          <tpl fld="7" item="504"/>
          <tpl fld="6" item="2"/>
          <tpl hier="236" item="0"/>
          <tpl fld="4" item="6"/>
        </tpls>
      </m>
      <m>
        <tpls c="4">
          <tpl fld="7" item="319"/>
          <tpl fld="6" item="2"/>
          <tpl hier="236" item="0"/>
          <tpl fld="4" item="6"/>
        </tpls>
      </m>
      <m>
        <tpls c="4">
          <tpl fld="7" item="303"/>
          <tpl fld="6" item="2"/>
          <tpl hier="236" item="0"/>
          <tpl fld="4" item="6"/>
        </tpls>
      </m>
      <m>
        <tpls c="4">
          <tpl fld="7" item="413"/>
          <tpl fld="6" item="2"/>
          <tpl hier="236" item="0"/>
          <tpl fld="4" item="6"/>
        </tpls>
      </m>
      <m>
        <tpls c="4">
          <tpl fld="7" item="149"/>
          <tpl fld="6" item="2"/>
          <tpl hier="236" item="0"/>
          <tpl fld="4" item="6"/>
        </tpls>
      </m>
      <m>
        <tpls c="4">
          <tpl fld="7" item="401"/>
          <tpl fld="6" item="2"/>
          <tpl hier="236" item="0"/>
          <tpl fld="4" item="6"/>
        </tpls>
      </m>
      <m>
        <tpls c="4">
          <tpl fld="7" item="923"/>
          <tpl fld="6" item="1"/>
          <tpl hier="236" item="0"/>
          <tpl fld="4" item="5"/>
        </tpls>
      </m>
      <n v="2" in="1">
        <tpls c="4">
          <tpl fld="7" item="911"/>
          <tpl fld="6" item="1"/>
          <tpl hier="236" item="0"/>
          <tpl fld="4" item="5"/>
        </tpls>
      </n>
      <n v="1" in="1">
        <tpls c="4">
          <tpl fld="7" item="899"/>
          <tpl fld="6" item="1"/>
          <tpl hier="236" item="0"/>
          <tpl fld="4" item="5"/>
        </tpls>
      </n>
      <n v="753" in="1">
        <tpls c="6">
          <tpl fld="3" item="4"/>
          <tpl fld="11" item="0"/>
          <tpl fld="6" item="1"/>
          <tpl hier="236" item="0"/>
          <tpl fld="4" item="6"/>
          <tpl fld="10" item="0"/>
        </tpls>
      </n>
      <n v="148" in="1">
        <tpls c="6">
          <tpl fld="11" item="0"/>
          <tpl fld="5" item="1"/>
          <tpl fld="6" item="1"/>
          <tpl hier="236" item="0"/>
          <tpl fld="4" item="4"/>
          <tpl fld="10" item="6"/>
        </tpls>
      </n>
      <m>
        <tpls c="4">
          <tpl fld="7" item="106"/>
          <tpl fld="6" item="1"/>
          <tpl hier="236" item="0"/>
          <tpl fld="4" item="4"/>
        </tpls>
      </m>
      <m>
        <tpls c="4">
          <tpl fld="7" item="162"/>
          <tpl fld="6" item="2"/>
          <tpl hier="236" item="0"/>
          <tpl fld="4" item="4"/>
        </tpls>
      </m>
      <n v="1" in="1">
        <tpls c="4">
          <tpl fld="7" item="373"/>
          <tpl fld="6" item="1"/>
          <tpl hier="236" item="0"/>
          <tpl fld="4" item="6"/>
        </tpls>
      </n>
      <m>
        <tpls c="4">
          <tpl fld="7" item="370"/>
          <tpl fld="6" item="2"/>
          <tpl hier="236" item="0"/>
          <tpl fld="4" item="4"/>
        </tpls>
      </m>
      <n v="1" in="2">
        <tpls c="4">
          <tpl fld="7" item="617"/>
          <tpl fld="6" item="2"/>
          <tpl hier="236" item="0"/>
          <tpl fld="4" item="4"/>
        </tpls>
      </n>
      <m>
        <tpls c="4">
          <tpl fld="7" item="371"/>
          <tpl fld="6" item="2"/>
          <tpl hier="236" item="0"/>
          <tpl fld="4" item="4"/>
        </tpls>
      </m>
      <m>
        <tpls c="4">
          <tpl fld="7" item="435"/>
          <tpl fld="6" item="2"/>
          <tpl hier="236" item="0"/>
          <tpl fld="4" item="4"/>
        </tpls>
      </m>
      <n v="4" in="1">
        <tpls c="4">
          <tpl fld="7" item="710"/>
          <tpl fld="6" item="1"/>
          <tpl hier="236" item="0"/>
          <tpl fld="4" item="4"/>
        </tpls>
      </n>
      <m>
        <tpls c="3">
          <tpl fld="7" item="552"/>
          <tpl fld="6" item="3"/>
          <tpl hier="236" item="0"/>
        </tpls>
      </m>
      <m>
        <tpls c="4">
          <tpl fld="7" item="412"/>
          <tpl fld="6" item="2"/>
          <tpl hier="236" item="0"/>
          <tpl fld="4" item="1"/>
        </tpls>
      </m>
      <n v="4" in="1">
        <tpls c="4">
          <tpl fld="7" item="501"/>
          <tpl fld="6" item="1"/>
          <tpl hier="236" item="0"/>
          <tpl fld="4" item="4"/>
        </tpls>
      </n>
      <m>
        <tpls c="4">
          <tpl fld="7" item="499"/>
          <tpl fld="6" item="2"/>
          <tpl hier="236" item="0"/>
          <tpl fld="4" item="1"/>
        </tpls>
      </m>
      <m>
        <tpls c="4">
          <tpl fld="7" item="1186"/>
          <tpl fld="6" item="2"/>
          <tpl hier="236" item="0"/>
          <tpl fld="1" item="0"/>
        </tpls>
      </m>
      <m>
        <tpls c="4">
          <tpl fld="7" item="546"/>
          <tpl fld="6" item="2"/>
          <tpl hier="236" item="0"/>
          <tpl fld="4" item="4"/>
        </tpls>
      </m>
      <n v="4" in="1">
        <tpls c="4">
          <tpl fld="7" item="571"/>
          <tpl fld="6" item="1"/>
          <tpl hier="236" item="0"/>
          <tpl fld="1" item="0"/>
        </tpls>
      </n>
      <n v="1" in="1">
        <tpls c="4">
          <tpl fld="7" item="774"/>
          <tpl fld="6" item="1"/>
          <tpl hier="236" item="0"/>
          <tpl fld="1" item="0"/>
        </tpls>
      </n>
      <m>
        <tpls c="3">
          <tpl fld="7" item="793"/>
          <tpl fld="6" item="3"/>
          <tpl hier="236" item="0"/>
        </tpls>
      </m>
      <m>
        <tpls c="4">
          <tpl fld="7" item="985"/>
          <tpl fld="6" item="2"/>
          <tpl hier="236" item="0"/>
          <tpl fld="4" item="1"/>
        </tpls>
      </m>
      <n v="2.91" in="2">
        <tpls c="4">
          <tpl fld="7" item="504"/>
          <tpl fld="6" item="2"/>
          <tpl hier="236" item="0"/>
          <tpl fld="4" item="1"/>
        </tpls>
      </n>
      <m>
        <tpls c="4">
          <tpl fld="7" item="548"/>
          <tpl fld="6" item="2"/>
          <tpl hier="236" item="0"/>
          <tpl fld="1" item="0"/>
        </tpls>
      </m>
      <m>
        <tpls c="4">
          <tpl fld="7" item="778"/>
          <tpl fld="6" item="2"/>
          <tpl hier="236" item="0"/>
          <tpl fld="1" item="0"/>
        </tpls>
      </m>
      <m>
        <tpls c="4">
          <tpl fld="7" item="797"/>
          <tpl fld="6" item="2"/>
          <tpl hier="236" item="0"/>
          <tpl fld="4" item="1"/>
        </tpls>
      </m>
      <m>
        <tpls c="4">
          <tpl fld="7" item="802"/>
          <tpl fld="6" item="1"/>
          <tpl hier="236" item="0"/>
          <tpl fld="4" item="5"/>
        </tpls>
      </m>
      <m>
        <tpls c="4">
          <tpl fld="7" item="663"/>
          <tpl fld="6" item="2"/>
          <tpl hier="236" item="0"/>
          <tpl fld="4" item="6"/>
        </tpls>
      </m>
      <m>
        <tpls c="4">
          <tpl fld="7" item="1198"/>
          <tpl fld="6" item="2"/>
          <tpl hier="236" item="0"/>
          <tpl fld="4" item="1"/>
        </tpls>
      </m>
      <m>
        <tpls c="4">
          <tpl fld="7" item="35"/>
          <tpl fld="6" item="2"/>
          <tpl hier="236" item="0"/>
          <tpl fld="1" item="0"/>
        </tpls>
      </m>
      <n v="1" in="3">
        <tpls c="3">
          <tpl fld="7" item="1084"/>
          <tpl fld="6" item="3"/>
          <tpl hier="236" item="0"/>
        </tpls>
      </n>
      <m>
        <tpls c="4">
          <tpl fld="7" item="1238"/>
          <tpl fld="6" item="2"/>
          <tpl hier="236" item="0"/>
          <tpl fld="4" item="4"/>
        </tpls>
      </m>
      <m>
        <tpls c="4">
          <tpl fld="7" item="551"/>
          <tpl fld="6" item="1"/>
          <tpl hier="236" item="0"/>
          <tpl fld="4" item="6"/>
        </tpls>
      </m>
      <m>
        <tpls c="4">
          <tpl fld="7" item="635"/>
          <tpl fld="6" item="1"/>
          <tpl hier="236" item="0"/>
          <tpl fld="1" item="0"/>
        </tpls>
      </m>
      <n v="1" in="1">
        <tpls c="4">
          <tpl fld="7" item="803"/>
          <tpl fld="6" item="1"/>
          <tpl hier="236" item="0"/>
          <tpl fld="4" item="5"/>
        </tpls>
      </n>
      <m>
        <tpls c="4">
          <tpl fld="7" item="782"/>
          <tpl fld="6" item="1"/>
          <tpl hier="236" item="0"/>
          <tpl fld="4" item="5"/>
        </tpls>
      </m>
      <m>
        <tpls c="4">
          <tpl fld="7" item="802"/>
          <tpl fld="6" item="2"/>
          <tpl hier="236" item="0"/>
          <tpl fld="1" item="0"/>
        </tpls>
      </m>
      <m>
        <tpls c="4">
          <tpl fld="7" item="890"/>
          <tpl fld="6" item="2"/>
          <tpl hier="236" item="0"/>
          <tpl fld="1" item="0"/>
        </tpls>
      </m>
      <m>
        <tpls c="4">
          <tpl fld="7" item="817"/>
          <tpl fld="6" item="1"/>
          <tpl hier="236" item="0"/>
          <tpl fld="4" item="5"/>
        </tpls>
      </m>
      <n v="22" in="1">
        <tpls c="4">
          <tpl fld="7" item="743"/>
          <tpl fld="6" item="1"/>
          <tpl hier="236" item="0"/>
          <tpl fld="4" item="4"/>
        </tpls>
      </n>
      <m>
        <tpls c="4">
          <tpl fld="7" item="1243"/>
          <tpl fld="6" item="2"/>
          <tpl hier="236" item="0"/>
          <tpl fld="4" item="4"/>
        </tpls>
      </m>
      <n v="0" in="1">
        <tpls c="4">
          <tpl fld="7" item="1121"/>
          <tpl fld="6" item="1"/>
          <tpl hier="236" item="0"/>
          <tpl fld="4" item="4"/>
        </tpls>
      </n>
      <n v="1" in="2">
        <tpls c="4">
          <tpl fld="7" item="874"/>
          <tpl fld="6" item="2"/>
          <tpl hier="236" item="0"/>
          <tpl fld="4" item="1"/>
        </tpls>
      </n>
      <m>
        <tpls c="4">
          <tpl fld="7" item="1209"/>
          <tpl fld="6" item="2"/>
          <tpl hier="236" item="0"/>
          <tpl fld="4" item="1"/>
        </tpls>
      </m>
      <m>
        <tpls c="4">
          <tpl fld="7" item="435"/>
          <tpl fld="6" item="2"/>
          <tpl hier="236" item="0"/>
          <tpl fld="1" item="0"/>
        </tpls>
      </m>
      <m>
        <tpls c="4">
          <tpl fld="7" item="34"/>
          <tpl fld="6" item="2"/>
          <tpl hier="236" item="0"/>
          <tpl fld="1" item="0"/>
        </tpls>
      </m>
      <m>
        <tpls c="4">
          <tpl fld="7" item="51"/>
          <tpl fld="6" item="2"/>
          <tpl hier="236" item="0"/>
          <tpl fld="4" item="6"/>
        </tpls>
      </m>
      <m>
        <tpls c="4">
          <tpl fld="7" item="766"/>
          <tpl fld="6" item="2"/>
          <tpl hier="236" item="0"/>
          <tpl fld="4" item="4"/>
        </tpls>
      </m>
      <m>
        <tpls c="3">
          <tpl fld="7" item="295"/>
          <tpl fld="6" item="3"/>
          <tpl hier="236" item="0"/>
        </tpls>
      </m>
      <m>
        <tpls c="4">
          <tpl fld="7" item="388"/>
          <tpl fld="6" item="2"/>
          <tpl hier="236" item="0"/>
          <tpl fld="4" item="4"/>
        </tpls>
      </m>
      <m>
        <tpls c="4">
          <tpl fld="7" item="440"/>
          <tpl fld="6" item="1"/>
          <tpl hier="236" item="0"/>
          <tpl fld="4" item="4"/>
        </tpls>
      </m>
      <n v="1" in="1">
        <tpls c="4">
          <tpl fld="7" item="624"/>
          <tpl fld="6" item="1"/>
          <tpl hier="236" item="0"/>
          <tpl fld="4" item="1"/>
        </tpls>
      </n>
      <n v="10" in="1">
        <tpls c="4">
          <tpl fld="7" item="437"/>
          <tpl fld="6" item="1"/>
          <tpl hier="236" item="0"/>
          <tpl fld="4" item="4"/>
        </tpls>
      </n>
      <m>
        <tpls c="4">
          <tpl fld="7" item="884"/>
          <tpl fld="6" item="2"/>
          <tpl hier="236" item="0"/>
          <tpl fld="4" item="4"/>
        </tpls>
      </m>
      <m>
        <tpls c="3">
          <tpl fld="7" item="718"/>
          <tpl fld="6" item="3"/>
          <tpl hier="236" item="0"/>
        </tpls>
      </m>
      <m>
        <tpls c="4">
          <tpl fld="7" item="457"/>
          <tpl fld="6" item="2"/>
          <tpl hier="236" item="0"/>
          <tpl fld="4" item="4"/>
        </tpls>
      </m>
      <m>
        <tpls c="4">
          <tpl fld="7" item="1088"/>
          <tpl fld="6" item="2"/>
          <tpl hier="236" item="0"/>
          <tpl fld="4" item="4"/>
        </tpls>
      </m>
      <m>
        <tpls c="4">
          <tpl fld="7" item="699"/>
          <tpl fld="6" item="2"/>
          <tpl hier="236" item="0"/>
          <tpl fld="4" item="1"/>
        </tpls>
      </m>
      <m>
        <tpls c="4">
          <tpl fld="7" item="785"/>
          <tpl fld="6" item="2"/>
          <tpl hier="236" item="0"/>
          <tpl fld="4" item="4"/>
        </tpls>
      </m>
      <m>
        <tpls c="4">
          <tpl fld="7" item="708"/>
          <tpl fld="6" item="2"/>
          <tpl hier="236" item="0"/>
          <tpl fld="4" item="5"/>
        </tpls>
      </m>
      <m>
        <tpls c="3">
          <tpl fld="7" item="795"/>
          <tpl fld="6" item="3"/>
          <tpl hier="236" item="0"/>
        </tpls>
      </m>
      <m>
        <tpls c="4">
          <tpl fld="7" item="1094"/>
          <tpl fld="6" item="1"/>
          <tpl hier="236" item="0"/>
          <tpl fld="4" item="5"/>
        </tpls>
      </m>
      <n v="5" in="1">
        <tpls c="4">
          <tpl fld="7" item="585"/>
          <tpl fld="6" item="1"/>
          <tpl hier="236" item="0"/>
          <tpl fld="4" item="1"/>
        </tpls>
      </n>
      <n v="1" in="1">
        <tpls c="4">
          <tpl fld="7" item="779"/>
          <tpl fld="6" item="1"/>
          <tpl hier="236" item="0"/>
          <tpl fld="4" item="5"/>
        </tpls>
      </n>
      <m>
        <tpls c="4">
          <tpl fld="7" item="577"/>
          <tpl fld="6" item="2"/>
          <tpl hier="236" item="0"/>
          <tpl fld="4" item="5"/>
        </tpls>
      </m>
      <m>
        <tpls c="4">
          <tpl fld="7" item="723"/>
          <tpl fld="6" item="2"/>
          <tpl hier="236" item="0"/>
          <tpl fld="1" item="0"/>
        </tpls>
      </m>
      <m>
        <tpls c="3">
          <tpl fld="7" item="994"/>
          <tpl fld="6" item="3"/>
          <tpl hier="236" item="0"/>
        </tpls>
      </m>
      <m>
        <tpls c="4">
          <tpl fld="7" item="816"/>
          <tpl fld="6" item="1"/>
          <tpl hier="236" item="0"/>
          <tpl fld="4" item="5"/>
        </tpls>
      </m>
      <m>
        <tpls c="4">
          <tpl fld="7" item="740"/>
          <tpl fld="6" item="1"/>
          <tpl hier="236" item="0"/>
          <tpl fld="4" item="1"/>
        </tpls>
      </m>
      <m>
        <tpls c="4">
          <tpl fld="7" item="667"/>
          <tpl fld="6" item="1"/>
          <tpl hier="236" item="0"/>
          <tpl fld="4" item="5"/>
        </tpls>
      </m>
      <n v="1" in="1">
        <tpls c="4">
          <tpl fld="7" item="1007"/>
          <tpl fld="6" item="1"/>
          <tpl hier="236" item="0"/>
          <tpl fld="4" item="4"/>
        </tpls>
      </n>
      <m>
        <tpls c="4">
          <tpl fld="7" item="1220"/>
          <tpl fld="6" item="2"/>
          <tpl hier="236" item="0"/>
          <tpl fld="4" item="1"/>
        </tpls>
      </m>
      <m>
        <tpls c="3">
          <tpl fld="7" item="1026"/>
          <tpl fld="6" item="3"/>
          <tpl hier="236" item="0"/>
        </tpls>
      </m>
      <m>
        <tpls c="4">
          <tpl fld="7" item="1048"/>
          <tpl fld="6" item="2"/>
          <tpl hier="236" item="0"/>
          <tpl fld="4" item="1"/>
        </tpls>
      </m>
      <m>
        <tpls c="4">
          <tpl fld="7" item="1080"/>
          <tpl fld="6" item="2"/>
          <tpl hier="236" item="0"/>
          <tpl fld="4" item="1"/>
        </tpls>
      </m>
      <n v="8.6" in="2">
        <tpls c="4">
          <tpl fld="7" item="446"/>
          <tpl fld="6" item="2"/>
          <tpl hier="236" item="0"/>
          <tpl fld="1" item="0"/>
        </tpls>
      </n>
      <m>
        <tpls c="4">
          <tpl fld="7" item="268"/>
          <tpl fld="6" item="2"/>
          <tpl hier="236" item="0"/>
          <tpl fld="1" item="0"/>
        </tpls>
      </m>
      <m>
        <tpls c="4">
          <tpl fld="7" item="1078"/>
          <tpl fld="6" item="2"/>
          <tpl hier="236" item="0"/>
          <tpl fld="4" item="5"/>
        </tpls>
      </m>
      <n v="1" in="2">
        <tpls c="4">
          <tpl fld="7" item="617"/>
          <tpl fld="6" item="2"/>
          <tpl hier="236" item="0"/>
          <tpl fld="1" item="0"/>
        </tpls>
      </n>
      <m>
        <tpls c="4">
          <tpl fld="7" item="887"/>
          <tpl fld="6" item="1"/>
          <tpl hier="236" item="0"/>
          <tpl fld="4" item="6"/>
        </tpls>
      </m>
      <n v="8" in="1">
        <tpls c="4">
          <tpl fld="7" item="723"/>
          <tpl fld="6" item="1"/>
          <tpl hier="236" item="0"/>
          <tpl fld="4" item="6"/>
        </tpls>
      </n>
      <n v="4" in="1">
        <tpls c="4">
          <tpl fld="7" item="810"/>
          <tpl fld="6" item="1"/>
          <tpl hier="236" item="0"/>
          <tpl fld="1" item="0"/>
        </tpls>
      </n>
      <m>
        <tpls c="4">
          <tpl fld="7" item="734"/>
          <tpl fld="6" item="2"/>
          <tpl hier="236" item="0"/>
          <tpl fld="4" item="5"/>
        </tpls>
      </m>
      <n v="5" in="1">
        <tpls c="4">
          <tpl fld="7" item="773"/>
          <tpl fld="6" item="1"/>
          <tpl hier="236" item="0"/>
          <tpl fld="4" item="4"/>
        </tpls>
      </n>
      <m>
        <tpls c="4">
          <tpl fld="7" item="577"/>
          <tpl fld="6" item="1"/>
          <tpl hier="236" item="0"/>
          <tpl fld="4" item="6"/>
        </tpls>
      </m>
      <n v="4" in="1">
        <tpls c="4">
          <tpl fld="7" item="622"/>
          <tpl fld="6" item="1"/>
          <tpl hier="236" item="0"/>
          <tpl fld="4" item="4"/>
        </tpls>
      </n>
      <m>
        <tpls c="4">
          <tpl fld="7" item="583"/>
          <tpl fld="6" item="2"/>
          <tpl hier="236" item="0"/>
          <tpl fld="4" item="4"/>
        </tpls>
      </m>
      <m>
        <tpls c="4">
          <tpl fld="7" item="808"/>
          <tpl fld="6" item="2"/>
          <tpl hier="236" item="0"/>
          <tpl fld="4" item="5"/>
        </tpls>
      </m>
      <m>
        <tpls c="4">
          <tpl fld="7" item="836"/>
          <tpl fld="6" item="1"/>
          <tpl hier="236" item="0"/>
          <tpl fld="4" item="6"/>
        </tpls>
      </m>
      <m>
        <tpls c="4">
          <tpl fld="7" item="1233"/>
          <tpl fld="6" item="2"/>
          <tpl hier="236" item="0"/>
          <tpl fld="4" item="1"/>
        </tpls>
      </m>
      <n v="21" in="1">
        <tpls c="4">
          <tpl fld="7" item="688"/>
          <tpl fld="6" item="1"/>
          <tpl hier="236" item="0"/>
          <tpl fld="4" item="6"/>
        </tpls>
      </n>
      <m>
        <tpls c="4">
          <tpl fld="7" item="1276"/>
          <tpl fld="6" item="2"/>
          <tpl hier="236" item="0"/>
          <tpl fld="1" item="0"/>
        </tpls>
      </m>
      <m>
        <tpls c="4">
          <tpl fld="7" item="588"/>
          <tpl fld="6" item="2"/>
          <tpl hier="236" item="0"/>
          <tpl fld="4" item="5"/>
        </tpls>
      </m>
      <n v="3" in="1">
        <tpls c="4">
          <tpl fld="7" item="652"/>
          <tpl fld="6" item="1"/>
          <tpl hier="236" item="0"/>
          <tpl fld="4" item="1"/>
        </tpls>
      </n>
      <m>
        <tpls c="4">
          <tpl fld="7" item="820"/>
          <tpl fld="6" item="1"/>
          <tpl hier="236" item="0"/>
          <tpl fld="1" item="0"/>
        </tpls>
      </m>
      <n v="1" in="1">
        <tpls c="4">
          <tpl fld="7" item="826"/>
          <tpl fld="6" item="1"/>
          <tpl hier="236" item="0"/>
          <tpl fld="1" item="0"/>
        </tpls>
      </n>
      <m>
        <tpls c="4">
          <tpl fld="7" item="1004"/>
          <tpl fld="6" item="2"/>
          <tpl hier="236" item="0"/>
          <tpl fld="4" item="1"/>
        </tpls>
      </m>
      <m>
        <tpls c="3">
          <tpl fld="7" item="1245"/>
          <tpl fld="6" item="3"/>
          <tpl hier="236" item="0"/>
        </tpls>
      </m>
      <n v="2" in="1">
        <tpls c="4">
          <tpl fld="7" item="1023"/>
          <tpl fld="6" item="1"/>
          <tpl hier="236" item="0"/>
          <tpl fld="4" item="6"/>
        </tpls>
      </n>
      <n v="7" in="1">
        <tpls c="4">
          <tpl fld="7" item="1141"/>
          <tpl fld="6" item="1"/>
          <tpl hier="236" item="0"/>
          <tpl fld="4" item="4"/>
        </tpls>
      </n>
      <n v="1" in="1">
        <tpls c="4">
          <tpl fld="7" item="1173"/>
          <tpl fld="6" item="1"/>
          <tpl hier="236" item="0"/>
          <tpl fld="4" item="4"/>
        </tpls>
      </n>
      <m>
        <tpls c="4">
          <tpl fld="7" item="833"/>
          <tpl fld="6" item="2"/>
          <tpl hier="236" item="0"/>
          <tpl fld="1" item="0"/>
        </tpls>
      </m>
      <m>
        <tpls c="4">
          <tpl fld="7" item="345"/>
          <tpl fld="6" item="2"/>
          <tpl hier="236" item="0"/>
          <tpl fld="1" item="0"/>
        </tpls>
      </m>
      <n v="2" in="1">
        <tpls c="4">
          <tpl fld="7" item="697"/>
          <tpl fld="6" item="1"/>
          <tpl hier="236" item="0"/>
          <tpl fld="4" item="6"/>
        </tpls>
      </n>
      <m>
        <tpls c="4">
          <tpl fld="7" item="887"/>
          <tpl fld="6" item="2"/>
          <tpl hier="236" item="0"/>
          <tpl fld="4" item="6"/>
        </tpls>
      </m>
      <m>
        <tpls c="4">
          <tpl fld="7" item="719"/>
          <tpl fld="6" item="2"/>
          <tpl hier="236" item="0"/>
          <tpl fld="1" item="0"/>
        </tpls>
      </m>
      <n v="6" in="1">
        <tpls c="4">
          <tpl fld="7" item="721"/>
          <tpl fld="6" item="1"/>
          <tpl hier="236" item="0"/>
          <tpl fld="1" item="0"/>
        </tpls>
      </n>
      <m>
        <tpls c="4">
          <tpl fld="7" item="723"/>
          <tpl fld="6" item="2"/>
          <tpl hier="236" item="0"/>
          <tpl fld="4" item="4"/>
        </tpls>
      </m>
      <m>
        <tpls c="4">
          <tpl fld="7" item="806"/>
          <tpl fld="6" item="2"/>
          <tpl hier="236" item="0"/>
          <tpl fld="4" item="6"/>
        </tpls>
      </m>
      <m>
        <tpls c="4">
          <tpl fld="7" item="726"/>
          <tpl fld="6" item="2"/>
          <tpl hier="236" item="0"/>
          <tpl fld="1" item="0"/>
        </tpls>
      </m>
      <m>
        <tpls c="4">
          <tpl fld="7" item="810"/>
          <tpl fld="6" item="2"/>
          <tpl hier="236" item="0"/>
          <tpl fld="4" item="6"/>
        </tpls>
      </m>
      <m>
        <tpls c="4">
          <tpl fld="7" item="730"/>
          <tpl fld="6" item="2"/>
          <tpl hier="236" item="0"/>
          <tpl fld="1" item="0"/>
        </tpls>
      </m>
      <m>
        <tpls c="3">
          <tpl fld="7" item="732"/>
          <tpl fld="6" item="3"/>
          <tpl hier="236" item="0"/>
        </tpls>
      </m>
      <m>
        <tpls c="4">
          <tpl fld="7" item="734"/>
          <tpl fld="6" item="2"/>
          <tpl hier="236" item="0"/>
          <tpl fld="1" item="0"/>
        </tpls>
      </m>
      <m>
        <tpls c="3">
          <tpl fld="7" item="736"/>
          <tpl fld="6" item="3"/>
          <tpl hier="236" item="0"/>
        </tpls>
      </m>
      <m>
        <tpls c="4">
          <tpl fld="7" item="658"/>
          <tpl fld="6" item="1"/>
          <tpl hier="236" item="0"/>
          <tpl fld="4" item="5"/>
        </tpls>
      </m>
      <m>
        <tpls c="3">
          <tpl fld="7" item="740"/>
          <tpl fld="6" item="3"/>
          <tpl hier="236" item="0"/>
        </tpls>
      </m>
      <m>
        <tpls c="4">
          <tpl fld="7" item="662"/>
          <tpl fld="6" item="1"/>
          <tpl hier="236" item="0"/>
          <tpl fld="4" item="5"/>
        </tpls>
      </m>
      <n v="1" in="1">
        <tpls c="4">
          <tpl fld="7" item="894"/>
          <tpl fld="6" item="1"/>
          <tpl hier="236" item="0"/>
          <tpl fld="4" item="1"/>
        </tpls>
      </n>
      <m>
        <tpls c="4">
          <tpl fld="7" item="1264"/>
          <tpl fld="6" item="2"/>
          <tpl hier="236" item="0"/>
          <tpl fld="4" item="6"/>
        </tpls>
      </m>
      <m>
        <tpls c="4">
          <tpl fld="7" item="1000"/>
          <tpl fld="6" item="1"/>
          <tpl hier="236" item="0"/>
          <tpl fld="4" item="6"/>
        </tpls>
      </m>
      <m>
        <tpls c="4">
          <tpl fld="7" item="1003"/>
          <tpl fld="6" item="1"/>
          <tpl hier="236" item="0"/>
          <tpl fld="4" item="6"/>
        </tpls>
      </m>
      <m>
        <tpls c="4">
          <tpl fld="7" item="1277"/>
          <tpl fld="6" item="2"/>
          <tpl hier="236" item="0"/>
          <tpl fld="4" item="4"/>
        </tpls>
      </m>
      <m>
        <tpls c="4">
          <tpl fld="7" item="1244"/>
          <tpl fld="6" item="2"/>
          <tpl hier="236" item="0"/>
          <tpl fld="4" item="4"/>
        </tpls>
      </m>
      <m>
        <tpls c="4">
          <tpl fld="7" item="1219"/>
          <tpl fld="6" item="2"/>
          <tpl hier="236" item="0"/>
          <tpl fld="4" item="4"/>
        </tpls>
      </m>
      <n v="2" in="1">
        <tpls c="4">
          <tpl fld="7" item="1119"/>
          <tpl fld="6" item="1"/>
          <tpl hier="236" item="0"/>
          <tpl fld="4" item="4"/>
        </tpls>
      </n>
      <n v="9" in="1">
        <tpls c="4">
          <tpl fld="7" item="1122"/>
          <tpl fld="6" item="1"/>
          <tpl hier="236" item="0"/>
          <tpl fld="4" item="4"/>
        </tpls>
      </n>
      <m>
        <tpls c="4">
          <tpl fld="7" item="1125"/>
          <tpl fld="6" item="1"/>
          <tpl hier="236" item="0"/>
          <tpl fld="4" item="4"/>
        </tpls>
      </m>
      <m>
        <tpls c="4">
          <tpl fld="7" item="866"/>
          <tpl fld="6" item="2"/>
          <tpl hier="236" item="0"/>
          <tpl fld="4" item="1"/>
        </tpls>
      </m>
      <m>
        <tpls c="4">
          <tpl fld="7" item="870"/>
          <tpl fld="6" item="2"/>
          <tpl hier="236" item="0"/>
          <tpl fld="4" item="1"/>
        </tpls>
      </m>
      <m>
        <tpls c="4">
          <tpl fld="7" item="1138"/>
          <tpl fld="6" item="2"/>
          <tpl hier="236" item="0"/>
          <tpl fld="4" item="1"/>
        </tpls>
      </m>
      <m>
        <tpls c="4">
          <tpl fld="7" item="1150"/>
          <tpl fld="6" item="2"/>
          <tpl hier="236" item="0"/>
          <tpl fld="4" item="1"/>
        </tpls>
      </m>
      <m>
        <tpls c="4">
          <tpl fld="7" item="1160"/>
          <tpl fld="6" item="2"/>
          <tpl hier="236" item="0"/>
          <tpl fld="4" item="1"/>
        </tpls>
      </m>
      <m>
        <tpls c="4">
          <tpl fld="7" item="1170"/>
          <tpl fld="6" item="2"/>
          <tpl hier="236" item="0"/>
          <tpl fld="4" item="1"/>
        </tpls>
      </m>
      <m>
        <tpls c="4">
          <tpl fld="7" item="1182"/>
          <tpl fld="6" item="2"/>
          <tpl hier="236" item="0"/>
          <tpl fld="4" item="1"/>
        </tpls>
      </m>
      <m>
        <tpls c="4">
          <tpl fld="7" item="1221"/>
          <tpl fld="6" item="2"/>
          <tpl hier="236" item="0"/>
          <tpl fld="1" item="0"/>
        </tpls>
      </m>
      <m>
        <tpls c="4">
          <tpl fld="7" item="1243"/>
          <tpl fld="6" item="2"/>
          <tpl hier="236" item="0"/>
          <tpl fld="1" item="0"/>
        </tpls>
      </m>
      <n v="8.7351351351351347" in="2">
        <tpls c="4">
          <tpl fld="7" item="518"/>
          <tpl fld="6" item="2"/>
          <tpl hier="236" item="0"/>
          <tpl fld="1" item="0"/>
        </tpls>
      </n>
      <m>
        <tpls c="4">
          <tpl fld="7" item="498"/>
          <tpl fld="6" item="2"/>
          <tpl hier="236" item="0"/>
          <tpl fld="1" item="0"/>
        </tpls>
      </m>
      <m>
        <tpls c="4">
          <tpl fld="7" item="490"/>
          <tpl fld="6" item="2"/>
          <tpl hier="236" item="0"/>
          <tpl fld="1" item="0"/>
        </tpls>
      </m>
      <m>
        <tpls c="4">
          <tpl fld="7" item="274"/>
          <tpl fld="6" item="2"/>
          <tpl hier="236" item="0"/>
          <tpl fld="1" item="0"/>
        </tpls>
      </m>
      <m>
        <tpls c="4">
          <tpl fld="7" item="336"/>
          <tpl fld="6" item="2"/>
          <tpl hier="236" item="0"/>
          <tpl fld="1" item="0"/>
        </tpls>
      </m>
      <m>
        <tpls c="4">
          <tpl fld="7" item="225"/>
          <tpl fld="6" item="2"/>
          <tpl hier="236" item="0"/>
          <tpl fld="1" item="0"/>
        </tpls>
      </m>
      <m>
        <tpls c="4">
          <tpl fld="7" item="1236"/>
          <tpl fld="6" item="2"/>
          <tpl hier="236" item="0"/>
          <tpl fld="4" item="5"/>
        </tpls>
      </m>
      <m>
        <tpls c="4">
          <tpl fld="7" item="913"/>
          <tpl fld="6" item="2"/>
          <tpl hier="236" item="0"/>
          <tpl fld="4" item="5"/>
        </tpls>
      </m>
      <m>
        <tpls c="4">
          <tpl fld="7" item="898"/>
          <tpl fld="6" item="2"/>
          <tpl hier="236" item="0"/>
          <tpl fld="4" item="5"/>
        </tpls>
      </m>
      <m>
        <tpls c="4">
          <tpl fld="7" item="513"/>
          <tpl fld="6" item="2"/>
          <tpl hier="236" item="0"/>
          <tpl fld="4" item="5"/>
        </tpls>
      </m>
      <m>
        <tpls c="4">
          <tpl fld="7" item="549"/>
          <tpl fld="6" item="1"/>
          <tpl hier="236" item="0"/>
          <tpl fld="4" item="4"/>
        </tpls>
      </m>
      <m>
        <tpls c="4">
          <tpl fld="7" item="638"/>
          <tpl fld="6" item="2"/>
          <tpl hier="236" item="0"/>
          <tpl fld="4" item="6"/>
        </tpls>
      </m>
      <n v="2" in="1">
        <tpls c="4">
          <tpl fld="7" item="808"/>
          <tpl fld="6" item="1"/>
          <tpl hier="236" item="0"/>
          <tpl fld="4" item="4"/>
        </tpls>
      </n>
      <n v="0.95" in="2">
        <tpls c="4">
          <tpl fld="7" item="1098"/>
          <tpl fld="6" item="2"/>
          <tpl hier="236" item="0"/>
          <tpl fld="4" item="1"/>
        </tpls>
      </n>
      <m>
        <tpls c="3">
          <tpl fld="7" item="661"/>
          <tpl fld="6" item="3"/>
          <tpl hier="236" item="0"/>
        </tpls>
      </m>
      <m>
        <tpls c="4">
          <tpl fld="7" item="1003"/>
          <tpl fld="6" item="2"/>
          <tpl hier="236" item="0"/>
          <tpl fld="4" item="4"/>
        </tpls>
      </m>
      <m>
        <tpls c="4">
          <tpl fld="7" item="1015"/>
          <tpl fld="6" item="2"/>
          <tpl hier="236" item="0"/>
          <tpl fld="4" item="4"/>
        </tpls>
      </m>
      <m>
        <tpls c="4">
          <tpl fld="7" item="1027"/>
          <tpl fld="6" item="2"/>
          <tpl hier="236" item="0"/>
          <tpl fld="4" item="4"/>
        </tpls>
      </m>
      <m>
        <tpls c="4">
          <tpl fld="7" item="1207"/>
          <tpl fld="6" item="1"/>
          <tpl hier="236" item="0"/>
          <tpl fld="4" item="4"/>
        </tpls>
      </m>
      <m>
        <tpls c="4">
          <tpl fld="7" item="603"/>
          <tpl fld="6" item="2"/>
          <tpl hier="236" item="0"/>
          <tpl fld="1" item="0"/>
        </tpls>
      </m>
      <m>
        <tpls c="4">
          <tpl fld="7" item="592"/>
          <tpl fld="6" item="2"/>
          <tpl hier="236" item="0"/>
          <tpl fld="1" item="0"/>
        </tpls>
      </m>
      <m>
        <tpls c="4">
          <tpl fld="7" item="10"/>
          <tpl fld="6" item="2"/>
          <tpl hier="236" item="0"/>
          <tpl fld="1" item="0"/>
        </tpls>
      </m>
      <m>
        <tpls c="4">
          <tpl fld="7" item="1017"/>
          <tpl fld="6" item="2"/>
          <tpl hier="236" item="0"/>
          <tpl fld="4" item="5"/>
        </tpls>
      </m>
      <m>
        <tpls c="4">
          <tpl fld="7" item="97"/>
          <tpl fld="6" item="2"/>
          <tpl hier="236" item="0"/>
          <tpl fld="4" item="5"/>
        </tpls>
      </m>
      <m>
        <tpls c="4">
          <tpl fld="7" item="359"/>
          <tpl fld="6" item="2"/>
          <tpl hier="236" item="0"/>
          <tpl fld="4" item="5"/>
        </tpls>
      </m>
      <m>
        <tpls c="4">
          <tpl fld="7" item="487"/>
          <tpl fld="6" item="2"/>
          <tpl hier="236" item="0"/>
          <tpl fld="4" item="5"/>
        </tpls>
      </m>
      <m>
        <tpls c="4">
          <tpl fld="7" item="286"/>
          <tpl fld="6" item="2"/>
          <tpl hier="236" item="0"/>
          <tpl fld="4" item="5"/>
        </tpls>
      </m>
      <m>
        <tpls c="4">
          <tpl fld="7" item="272"/>
          <tpl fld="6" item="2"/>
          <tpl hier="236" item="0"/>
          <tpl fld="4" item="5"/>
        </tpls>
      </m>
      <m>
        <tpls c="4">
          <tpl fld="7" item="29"/>
          <tpl fld="6" item="2"/>
          <tpl hier="236" item="0"/>
          <tpl fld="4" item="5"/>
        </tpls>
      </m>
      <m>
        <tpls c="4">
          <tpl fld="7" item="396"/>
          <tpl fld="6" item="2"/>
          <tpl hier="236" item="0"/>
          <tpl fld="4" item="5"/>
        </tpls>
      </m>
      <m>
        <tpls c="4">
          <tpl fld="7" item="1120"/>
          <tpl fld="6" item="2"/>
          <tpl hier="236" item="0"/>
          <tpl fld="4" item="6"/>
        </tpls>
      </m>
      <m>
        <tpls c="4">
          <tpl fld="7" item="1105"/>
          <tpl fld="6" item="2"/>
          <tpl hier="236" item="0"/>
          <tpl fld="4" item="6"/>
        </tpls>
      </m>
      <m>
        <tpls c="4">
          <tpl fld="7" item="442"/>
          <tpl fld="6" item="2"/>
          <tpl hier="236" item="0"/>
          <tpl fld="4" item="6"/>
        </tpls>
      </m>
      <m>
        <tpls c="4">
          <tpl fld="7" item="211"/>
          <tpl fld="6" item="2"/>
          <tpl hier="236" item="0"/>
          <tpl fld="4" item="6"/>
        </tpls>
      </m>
      <m>
        <tpls c="4">
          <tpl fld="7" item="83"/>
          <tpl fld="6" item="2"/>
          <tpl hier="236" item="0"/>
          <tpl fld="4" item="6"/>
        </tpls>
      </m>
      <m>
        <tpls c="4">
          <tpl fld="7" item="171"/>
          <tpl fld="6" item="2"/>
          <tpl hier="236" item="0"/>
          <tpl fld="4" item="6"/>
        </tpls>
      </m>
      <m>
        <tpls c="4">
          <tpl fld="7" item="23"/>
          <tpl fld="6" item="2"/>
          <tpl hier="236" item="0"/>
          <tpl fld="4" item="6"/>
        </tpls>
      </m>
      <m>
        <tpls c="4">
          <tpl fld="7" item="1127"/>
          <tpl fld="6" item="1"/>
          <tpl hier="236" item="0"/>
          <tpl fld="4" item="5"/>
        </tpls>
      </m>
      <m>
        <tpls c="4">
          <tpl fld="7" item="1112"/>
          <tpl fld="6" item="1"/>
          <tpl hier="236" item="0"/>
          <tpl fld="4" item="5"/>
        </tpls>
      </m>
      <n v="2" in="1">
        <tpls c="4">
          <tpl fld="7" item="377"/>
          <tpl fld="6" item="1"/>
          <tpl hier="236" item="0"/>
          <tpl fld="4" item="5"/>
        </tpls>
      </n>
      <m>
        <tpls c="4">
          <tpl fld="7" item="357"/>
          <tpl fld="6" item="1"/>
          <tpl hier="236" item="0"/>
          <tpl fld="4" item="5"/>
        </tpls>
      </m>
      <m>
        <tpls c="4">
          <tpl fld="7" item="201"/>
          <tpl fld="6" item="1"/>
          <tpl hier="236" item="0"/>
          <tpl fld="4" item="5"/>
        </tpls>
      </m>
      <m>
        <tpls c="4">
          <tpl fld="7" item="73"/>
          <tpl fld="6" item="1"/>
          <tpl hier="236" item="0"/>
          <tpl fld="4" item="5"/>
        </tpls>
      </m>
      <m>
        <tpls c="4">
          <tpl fld="7" item="58"/>
          <tpl fld="6" item="1"/>
          <tpl hier="236" item="0"/>
          <tpl fld="4" item="5"/>
        </tpls>
      </m>
      <m>
        <tpls c="4">
          <tpl fld="7" item="133"/>
          <tpl fld="6" item="1"/>
          <tpl hier="236" item="0"/>
          <tpl fld="4" item="5"/>
        </tpls>
      </m>
      <m>
        <tpls c="4">
          <tpl fld="7" item="976"/>
          <tpl fld="6" item="1"/>
          <tpl hier="236" item="0"/>
          <tpl fld="4" item="1"/>
        </tpls>
      </m>
      <m>
        <tpls c="4">
          <tpl fld="7" item="1062"/>
          <tpl fld="6" item="1"/>
          <tpl hier="236" item="0"/>
          <tpl fld="4" item="1"/>
        </tpls>
      </m>
      <m>
        <tpls c="4">
          <tpl fld="7" item="1046"/>
          <tpl fld="6" item="1"/>
          <tpl hier="236" item="0"/>
          <tpl fld="4" item="1"/>
        </tpls>
      </m>
      <n v="4" in="1">
        <tpls c="4">
          <tpl fld="7" item="927"/>
          <tpl fld="6" item="1"/>
          <tpl hier="236" item="0"/>
          <tpl fld="4" item="1"/>
        </tpls>
      </n>
      <m>
        <tpls c="4">
          <tpl fld="7" item="1021"/>
          <tpl fld="6" item="1"/>
          <tpl hier="236" item="0"/>
          <tpl fld="4" item="1"/>
        </tpls>
      </m>
      <m>
        <tpls c="4">
          <tpl fld="7" item="1009"/>
          <tpl fld="6" item="1"/>
          <tpl hier="236" item="0"/>
          <tpl fld="4" item="1"/>
        </tpls>
      </m>
      <m>
        <tpls c="4">
          <tpl fld="7" item="206"/>
          <tpl fld="6" item="1"/>
          <tpl hier="236" item="0"/>
          <tpl fld="4" item="1"/>
        </tpls>
      </m>
      <n v="19" in="1">
        <tpls c="4">
          <tpl fld="7" item="515"/>
          <tpl fld="6" item="1"/>
          <tpl hier="236" item="0"/>
          <tpl fld="4" item="1"/>
        </tpls>
      </n>
      <m>
        <tpls c="4">
          <tpl fld="7" item="499"/>
          <tpl fld="6" item="1"/>
          <tpl hier="236" item="0"/>
          <tpl fld="4" item="1"/>
        </tpls>
      </m>
      <m>
        <tpls c="4">
          <tpl fld="7" item="313"/>
          <tpl fld="6" item="1"/>
          <tpl hier="236" item="0"/>
          <tpl fld="4" item="1"/>
        </tpls>
      </m>
      <m>
        <tpls c="4">
          <tpl fld="7" item="293"/>
          <tpl fld="6" item="1"/>
          <tpl hier="236" item="0"/>
          <tpl fld="4" item="1"/>
        </tpls>
      </m>
      <m>
        <tpls c="4">
          <tpl fld="7" item="155"/>
          <tpl fld="6" item="1"/>
          <tpl hier="236" item="0"/>
          <tpl fld="4" item="1"/>
        </tpls>
      </m>
      <m>
        <tpls c="4">
          <tpl fld="7" item="52"/>
          <tpl fld="6" item="1"/>
          <tpl hier="236" item="0"/>
          <tpl fld="4" item="1"/>
        </tpls>
      </m>
      <m>
        <tpls c="4">
          <tpl fld="7" item="32"/>
          <tpl fld="6" item="1"/>
          <tpl hier="236" item="0"/>
          <tpl fld="4" item="1"/>
        </tpls>
      </m>
      <m>
        <tpls c="4">
          <tpl fld="7" item="20"/>
          <tpl fld="6" item="1"/>
          <tpl hier="236" item="0"/>
          <tpl fld="4" item="1"/>
        </tpls>
      </m>
      <n v="4" in="1">
        <tpls c="4">
          <tpl fld="7" item="869"/>
          <tpl fld="6" item="1"/>
          <tpl hier="236" item="0"/>
          <tpl fld="1" item="0"/>
        </tpls>
      </n>
      <n v="4" in="1">
        <tpls c="4">
          <tpl fld="7" item="853"/>
          <tpl fld="6" item="1"/>
          <tpl hier="236" item="0"/>
          <tpl fld="1" item="0"/>
        </tpls>
      </n>
      <n v="3" in="1">
        <tpls c="4">
          <tpl fld="7" item="837"/>
          <tpl fld="6" item="1"/>
          <tpl hier="236" item="0"/>
          <tpl fld="1" item="0"/>
        </tpls>
      </n>
      <n v="2" in="1">
        <tpls c="4">
          <tpl fld="7" item="764"/>
          <tpl fld="6" item="1"/>
          <tpl hier="236" item="0"/>
          <tpl fld="4" item="6"/>
        </tpls>
      </n>
      <m>
        <tpls c="4">
          <tpl fld="7" item="625"/>
          <tpl fld="6" item="2"/>
          <tpl hier="236" item="0"/>
          <tpl fld="4" item="5"/>
        </tpls>
      </m>
      <m>
        <tpls c="4">
          <tpl fld="7" item="720"/>
          <tpl fld="6" item="2"/>
          <tpl hier="236" item="0"/>
          <tpl fld="4" item="4"/>
        </tpls>
      </m>
      <m>
        <tpls c="4">
          <tpl fld="7" item="807"/>
          <tpl fld="6" item="1"/>
          <tpl hier="236" item="0"/>
          <tpl fld="4" item="4"/>
        </tpls>
      </m>
      <n v="0" in="1">
        <tpls c="4">
          <tpl fld="7" item="731"/>
          <tpl fld="6" item="1"/>
          <tpl hier="236" item="0"/>
          <tpl fld="4" item="6"/>
        </tpls>
      </n>
      <m>
        <tpls c="4">
          <tpl fld="7" item="657"/>
          <tpl fld="6" item="1"/>
          <tpl hier="236" item="0"/>
          <tpl fld="1" item="0"/>
        </tpls>
      </m>
      <m>
        <tpls c="4">
          <tpl fld="7" item="1241"/>
          <tpl fld="6" item="2"/>
          <tpl hier="236" item="0"/>
          <tpl fld="4" item="5"/>
        </tpls>
      </m>
      <n v="4" in="1">
        <tpls c="4">
          <tpl fld="7" item="1242"/>
          <tpl fld="6" item="1"/>
          <tpl hier="236" item="0"/>
          <tpl fld="4" item="4"/>
        </tpls>
      </n>
      <m>
        <tpls c="4">
          <tpl fld="7" item="1011"/>
          <tpl fld="6" item="2"/>
          <tpl hier="236" item="0"/>
          <tpl fld="4" item="1"/>
        </tpls>
      </m>
      <m>
        <tpls c="3">
          <tpl fld="7" item="859"/>
          <tpl fld="6" item="3"/>
          <tpl hier="236" item="0"/>
        </tpls>
      </m>
      <n v="18" in="1">
        <tpls c="4">
          <tpl fld="7" item="927"/>
          <tpl fld="6" item="1"/>
          <tpl hier="236" item="0"/>
          <tpl fld="4" item="4"/>
        </tpls>
      </n>
      <m>
        <tpls c="4">
          <tpl fld="7" item="1062"/>
          <tpl fld="6" item="1"/>
          <tpl hier="236" item="0"/>
          <tpl fld="4" item="4"/>
        </tpls>
      </m>
      <n v="0.2" in="2">
        <tpls c="4">
          <tpl fld="7" item="1245"/>
          <tpl fld="6" item="2"/>
          <tpl hier="236" item="0"/>
          <tpl fld="1" item="0"/>
        </tpls>
      </n>
      <m>
        <tpls c="4">
          <tpl fld="7" item="98"/>
          <tpl fld="6" item="2"/>
          <tpl hier="236" item="0"/>
          <tpl fld="1" item="0"/>
        </tpls>
      </m>
      <m>
        <tpls c="4">
          <tpl fld="7" item="277"/>
          <tpl fld="6" item="2"/>
          <tpl hier="236" item="0"/>
          <tpl fld="1" item="0"/>
        </tpls>
      </m>
      <m>
        <tpls c="4">
          <tpl fld="7" item="751"/>
          <tpl fld="6" item="2"/>
          <tpl hier="236" item="0"/>
          <tpl fld="1" item="0"/>
        </tpls>
      </m>
      <m>
        <tpls c="4">
          <tpl fld="7" item="11"/>
          <tpl fld="6" item="2"/>
          <tpl hier="236" item="0"/>
          <tpl fld="4" item="1"/>
        </tpls>
      </m>
      <m>
        <tpls c="4">
          <tpl fld="7" item="63"/>
          <tpl fld="6" item="1"/>
          <tpl hier="236" item="0"/>
          <tpl fld="4" item="4"/>
        </tpls>
      </m>
      <m>
        <tpls c="4">
          <tpl fld="7" item="351"/>
          <tpl fld="6" item="1"/>
          <tpl hier="236" item="0"/>
          <tpl fld="1" item="0"/>
        </tpls>
      </m>
      <m>
        <tpls c="4">
          <tpl fld="7" item="534"/>
          <tpl fld="6" item="1"/>
          <tpl hier="236" item="0"/>
          <tpl fld="4" item="6"/>
        </tpls>
      </m>
      <n v="0" in="1">
        <tpls c="4">
          <tpl fld="7" item="769"/>
          <tpl fld="6" item="1"/>
          <tpl hier="236" item="0"/>
          <tpl fld="4" item="6"/>
        </tpls>
      </n>
      <n v="7" in="1">
        <tpls c="4">
          <tpl fld="7" item="566"/>
          <tpl fld="6" item="1"/>
          <tpl hier="236" item="0"/>
          <tpl fld="4" item="4"/>
        </tpls>
      </n>
      <m>
        <tpls c="4">
          <tpl fld="7" item="686"/>
          <tpl fld="6" item="2"/>
          <tpl hier="236" item="0"/>
          <tpl fld="4" item="5"/>
        </tpls>
      </m>
      <m>
        <tpls c="4">
          <tpl fld="7" item="789"/>
          <tpl fld="6" item="2"/>
          <tpl hier="236" item="0"/>
          <tpl fld="4" item="1"/>
        </tpls>
      </m>
      <m>
        <tpls c="4">
          <tpl fld="7" item="52"/>
          <tpl fld="6" item="2"/>
          <tpl hier="236" item="0"/>
          <tpl fld="4" item="1"/>
        </tpls>
      </m>
      <m>
        <tpls c="4">
          <tpl fld="7" item="605"/>
          <tpl fld="6" item="2"/>
          <tpl hier="236" item="0"/>
          <tpl fld="4" item="6"/>
        </tpls>
      </m>
      <n v="3" in="1">
        <tpls c="4">
          <tpl fld="7" item="615"/>
          <tpl fld="6" item="1"/>
          <tpl hier="236" item="0"/>
          <tpl fld="1" item="0"/>
        </tpls>
      </n>
      <m>
        <tpls c="4">
          <tpl fld="7" item="620"/>
          <tpl fld="6" item="2"/>
          <tpl hier="236" item="0"/>
          <tpl fld="4" item="5"/>
        </tpls>
      </m>
      <m>
        <tpls c="4">
          <tpl fld="7" item="786"/>
          <tpl fld="6" item="2"/>
          <tpl hier="236" item="0"/>
          <tpl fld="4" item="1"/>
        </tpls>
      </m>
      <m>
        <tpls c="4">
          <tpl fld="7" item="791"/>
          <tpl fld="6" item="1"/>
          <tpl hier="236" item="0"/>
          <tpl fld="4" item="5"/>
        </tpls>
      </m>
      <m>
        <tpls c="4">
          <tpl fld="7" item="714"/>
          <tpl fld="6" item="2"/>
          <tpl hier="236" item="0"/>
          <tpl fld="1" item="0"/>
        </tpls>
      </m>
      <m>
        <tpls c="3">
          <tpl fld="7" item="1188"/>
          <tpl fld="6" item="3"/>
          <tpl hier="236" item="0"/>
        </tpls>
      </m>
      <m>
        <tpls c="4">
          <tpl fld="7" item="173"/>
          <tpl fld="6" item="2"/>
          <tpl hier="236" item="0"/>
          <tpl fld="4" item="4"/>
        </tpls>
      </m>
      <m>
        <tpls c="4">
          <tpl fld="7" item="557"/>
          <tpl fld="6" item="2"/>
          <tpl hier="236" item="0"/>
          <tpl fld="4" item="4"/>
        </tpls>
      </m>
      <m>
        <tpls c="3">
          <tpl fld="7" item="639"/>
          <tpl fld="6" item="3"/>
          <tpl hier="236" item="0"/>
        </tpls>
      </m>
      <m>
        <tpls c="4">
          <tpl fld="7" item="724"/>
          <tpl fld="6" item="2"/>
          <tpl hier="236" item="0"/>
          <tpl fld="4" item="6"/>
        </tpls>
      </m>
      <m>
        <tpls c="4">
          <tpl fld="7" item="1097"/>
          <tpl fld="6" item="2"/>
          <tpl hier="236" item="0"/>
          <tpl fld="1" item="0"/>
        </tpls>
      </m>
      <m>
        <tpls c="3">
          <tpl fld="7" item="892"/>
          <tpl fld="6" item="3"/>
          <tpl hier="236" item="0"/>
        </tpls>
      </m>
      <m>
        <tpls c="4">
          <tpl fld="7" item="823"/>
          <tpl fld="6" item="1"/>
          <tpl hier="236" item="0"/>
          <tpl fld="4" item="5"/>
        </tpls>
      </m>
      <m>
        <tpls c="4">
          <tpl fld="7" item="1190"/>
          <tpl fld="6" item="2"/>
          <tpl hier="236" item="0"/>
          <tpl fld="4" item="1"/>
        </tpls>
      </m>
      <m>
        <tpls c="3">
          <tpl fld="7" item="905"/>
          <tpl fld="6" item="3"/>
          <tpl hier="236" item="0"/>
        </tpls>
      </m>
      <m>
        <tpls c="4">
          <tpl fld="7" item="856"/>
          <tpl fld="6" item="1"/>
          <tpl hier="236" item="0"/>
          <tpl fld="4" item="6"/>
        </tpls>
      </m>
      <m>
        <tpls c="4">
          <tpl fld="7" item="1028"/>
          <tpl fld="6" item="2"/>
          <tpl hier="236" item="0"/>
          <tpl fld="4" item="4"/>
        </tpls>
      </m>
      <m>
        <tpls c="4">
          <tpl fld="7" item="1280"/>
          <tpl fld="6" item="2"/>
          <tpl hier="236" item="0"/>
          <tpl fld="4" item="1"/>
        </tpls>
      </m>
      <m>
        <tpls c="4">
          <tpl fld="7" item="1222"/>
          <tpl fld="6" item="2"/>
          <tpl hier="236" item="0"/>
          <tpl fld="1" item="0"/>
        </tpls>
      </m>
      <m>
        <tpls c="4">
          <tpl fld="7" item="433"/>
          <tpl fld="6" item="2"/>
          <tpl hier="236" item="0"/>
          <tpl fld="1" item="0"/>
        </tpls>
      </m>
      <m>
        <tpls c="4">
          <tpl fld="7" item="159"/>
          <tpl fld="6" item="2"/>
          <tpl hier="236" item="0"/>
          <tpl fld="1" item="0"/>
        </tpls>
      </m>
      <m>
        <tpls c="4">
          <tpl fld="7" item="407"/>
          <tpl fld="6" item="2"/>
          <tpl hier="236" item="0"/>
          <tpl fld="4" item="1"/>
        </tpls>
      </m>
      <n v="6" in="1">
        <tpls c="4">
          <tpl fld="7" item="547"/>
          <tpl fld="6" item="1"/>
          <tpl hier="236" item="0"/>
          <tpl fld="4" item="4"/>
        </tpls>
      </n>
      <m>
        <tpls c="4">
          <tpl fld="7" item="555"/>
          <tpl fld="6" item="1"/>
          <tpl hier="236" item="0"/>
          <tpl fld="4" item="4"/>
        </tpls>
      </m>
      <n v="30" in="1">
        <tpls c="4">
          <tpl fld="7" item="705"/>
          <tpl fld="6" item="1"/>
          <tpl hier="236" item="0"/>
          <tpl fld="1" item="0"/>
        </tpls>
      </n>
      <m>
        <tpls c="4">
          <tpl fld="7" item="712"/>
          <tpl fld="6" item="2"/>
          <tpl hier="236" item="0"/>
          <tpl fld="4" item="4"/>
        </tpls>
      </m>
      <m>
        <tpls c="4">
          <tpl fld="7" item="718"/>
          <tpl fld="6" item="2"/>
          <tpl hier="236" item="0"/>
          <tpl fld="4" item="4"/>
        </tpls>
      </m>
      <m>
        <tpls c="4">
          <tpl fld="7" item="720"/>
          <tpl fld="6" item="2"/>
          <tpl hier="236" item="0"/>
          <tpl fld="4" item="6"/>
        </tpls>
      </m>
      <m>
        <tpls c="4">
          <tpl fld="7" item="585"/>
          <tpl fld="6" item="2"/>
          <tpl hier="236" item="0"/>
          <tpl fld="4" item="5"/>
        </tpls>
      </m>
      <n v="40" in="1">
        <tpls c="4">
          <tpl fld="7" item="889"/>
          <tpl fld="6" item="1"/>
          <tpl hier="236" item="0"/>
          <tpl fld="1" item="0"/>
        </tpls>
      </n>
      <m>
        <tpls c="3">
          <tpl fld="7" item="807"/>
          <tpl fld="6" item="3"/>
          <tpl hier="236" item="0"/>
        </tpls>
      </m>
      <m>
        <tpls c="4">
          <tpl fld="7" item="727"/>
          <tpl fld="6" item="2"/>
          <tpl hier="236" item="0"/>
          <tpl fld="4" item="5"/>
        </tpls>
      </m>
      <m>
        <tpls c="4">
          <tpl fld="7" item="729"/>
          <tpl fld="6" item="2"/>
          <tpl hier="236" item="0"/>
          <tpl fld="4" item="5"/>
        </tpls>
      </m>
      <m>
        <tpls c="4">
          <tpl fld="7" item="731"/>
          <tpl fld="6" item="1"/>
          <tpl hier="236" item="0"/>
          <tpl fld="4" item="5"/>
        </tpls>
      </m>
      <m>
        <tpls c="4">
          <tpl fld="7" item="733"/>
          <tpl fld="6" item="2"/>
          <tpl hier="236" item="0"/>
          <tpl fld="4" item="1"/>
        </tpls>
      </m>
      <m>
        <tpls c="4">
          <tpl fld="7" item="655"/>
          <tpl fld="6" item="2"/>
          <tpl hier="236" item="0"/>
          <tpl fld="4" item="4"/>
        </tpls>
      </m>
      <m>
        <tpls c="3">
          <tpl fld="7" item="818"/>
          <tpl fld="6" item="3"/>
          <tpl hier="236" item="0"/>
        </tpls>
      </m>
      <m>
        <tpls c="4">
          <tpl fld="7" item="658"/>
          <tpl fld="6" item="1"/>
          <tpl hier="236" item="0"/>
          <tpl fld="4" item="4"/>
        </tpls>
      </m>
      <m>
        <tpls c="4">
          <tpl fld="7" item="739"/>
          <tpl fld="6" item="2"/>
          <tpl hier="236" item="0"/>
          <tpl fld="4" item="5"/>
        </tpls>
      </m>
      <m>
        <tpls c="4">
          <tpl fld="7" item="997"/>
          <tpl fld="6" item="2"/>
          <tpl hier="236" item="0"/>
          <tpl fld="4" item="6"/>
        </tpls>
      </m>
      <m>
        <tpls c="4">
          <tpl fld="7" item="742"/>
          <tpl fld="6" item="1"/>
          <tpl hier="236" item="0"/>
          <tpl fld="4" item="5"/>
        </tpls>
      </m>
      <n v="2" in="1">
        <tpls c="4">
          <tpl fld="7" item="894"/>
          <tpl fld="6" item="1"/>
          <tpl hier="236" item="0"/>
          <tpl fld="4" item="6"/>
        </tpls>
      </n>
      <m>
        <tpls c="4">
          <tpl fld="7" item="827"/>
          <tpl fld="6" item="2"/>
          <tpl hier="236" item="0"/>
          <tpl fld="1" item="0"/>
        </tpls>
      </m>
      <m>
        <tpls c="4">
          <tpl fld="7" item="829"/>
          <tpl fld="6" item="2"/>
          <tpl hier="236" item="0"/>
          <tpl fld="1" item="0"/>
        </tpls>
      </m>
      <m>
        <tpls c="4">
          <tpl fld="7" item="832"/>
          <tpl fld="6" item="2"/>
          <tpl hier="236" item="0"/>
          <tpl fld="4" item="4"/>
        </tpls>
      </m>
      <m>
        <tpls c="4">
          <tpl fld="7" item="899"/>
          <tpl fld="6" item="1"/>
          <tpl hier="236" item="0"/>
          <tpl fld="4" item="6"/>
        </tpls>
      </m>
      <m>
        <tpls c="3">
          <tpl fld="7" item="1108"/>
          <tpl fld="6" item="3"/>
          <tpl hier="236" item="0"/>
        </tpls>
      </m>
      <m>
        <tpls c="4">
          <tpl fld="7" item="904"/>
          <tpl fld="6" item="2"/>
          <tpl hier="236" item="0"/>
          <tpl fld="4" item="1"/>
        </tpls>
      </m>
      <m>
        <tpls c="4">
          <tpl fld="7" item="845"/>
          <tpl fld="6" item="1"/>
          <tpl hier="236" item="0"/>
          <tpl fld="4" item="4"/>
        </tpls>
      </m>
      <n v="1" in="2">
        <tpls c="4">
          <tpl fld="7" item="848"/>
          <tpl fld="6" item="2"/>
          <tpl hier="236" item="0"/>
          <tpl fld="4" item="4"/>
        </tpls>
      </n>
      <n v="2" in="1">
        <tpls c="4">
          <tpl fld="7" item="911"/>
          <tpl fld="6" item="1"/>
          <tpl hier="236" item="0"/>
          <tpl fld="4" item="6"/>
        </tpls>
      </n>
      <m>
        <tpls c="3">
          <tpl fld="7" item="1120"/>
          <tpl fld="6" item="3"/>
          <tpl hier="236" item="0"/>
        </tpls>
      </m>
      <m>
        <tpls c="4">
          <tpl fld="7" item="916"/>
          <tpl fld="6" item="2"/>
          <tpl hier="236" item="0"/>
          <tpl fld="4" item="1"/>
        </tpls>
      </m>
      <m>
        <tpls c="4">
          <tpl fld="7" item="861"/>
          <tpl fld="6" item="1"/>
          <tpl hier="236" item="0"/>
          <tpl fld="4" item="4"/>
        </tpls>
      </m>
      <m>
        <tpls c="4">
          <tpl fld="7" item="864"/>
          <tpl fld="6" item="2"/>
          <tpl hier="236" item="0"/>
          <tpl fld="4" item="4"/>
        </tpls>
      </m>
      <m>
        <tpls c="4">
          <tpl fld="7" item="923"/>
          <tpl fld="6" item="1"/>
          <tpl hier="236" item="0"/>
          <tpl fld="4" item="6"/>
        </tpls>
      </m>
      <m>
        <tpls c="3">
          <tpl fld="7" item="1132"/>
          <tpl fld="6" item="3"/>
          <tpl hier="236" item="0"/>
        </tpls>
      </m>
      <m>
        <tpls c="4">
          <tpl fld="7" item="931"/>
          <tpl fld="6" item="1"/>
          <tpl hier="236" item="0"/>
          <tpl fld="4" item="4"/>
        </tpls>
      </m>
      <n v="0" in="1">
        <tpls c="4">
          <tpl fld="7" item="939"/>
          <tpl fld="6" item="1"/>
          <tpl hier="236" item="0"/>
          <tpl fld="4" item="4"/>
        </tpls>
      </n>
      <n v="1" in="1">
        <tpls c="4">
          <tpl fld="7" item="947"/>
          <tpl fld="6" item="1"/>
          <tpl hier="236" item="0"/>
          <tpl fld="4" item="4"/>
        </tpls>
      </n>
      <n v="5" in="1">
        <tpls c="4">
          <tpl fld="7" item="955"/>
          <tpl fld="6" item="1"/>
          <tpl hier="236" item="0"/>
          <tpl fld="4" item="4"/>
        </tpls>
      </n>
      <n v="6" in="1">
        <tpls c="4">
          <tpl fld="7" item="963"/>
          <tpl fld="6" item="1"/>
          <tpl hier="236" item="0"/>
          <tpl fld="4" item="4"/>
        </tpls>
      </n>
      <n v="33" in="1">
        <tpls c="4">
          <tpl fld="7" item="971"/>
          <tpl fld="6" item="1"/>
          <tpl hier="236" item="0"/>
          <tpl fld="4" item="4"/>
        </tpls>
      </n>
      <m>
        <tpls c="4">
          <tpl fld="7" item="1079"/>
          <tpl fld="6" item="2"/>
          <tpl hier="236" item="0"/>
          <tpl fld="1" item="0"/>
        </tpls>
      </m>
      <m>
        <tpls c="4">
          <tpl fld="7" item="856"/>
          <tpl fld="6" item="2"/>
          <tpl hier="236" item="0"/>
          <tpl fld="1" item="0"/>
        </tpls>
      </m>
      <m>
        <tpls c="4">
          <tpl fld="7" item="840"/>
          <tpl fld="6" item="2"/>
          <tpl hier="236" item="0"/>
          <tpl fld="1" item="0"/>
        </tpls>
      </m>
      <m>
        <tpls c="4">
          <tpl fld="7" item="386"/>
          <tpl fld="6" item="2"/>
          <tpl hier="236" item="0"/>
          <tpl fld="1" item="0"/>
        </tpls>
      </m>
      <m>
        <tpls c="4">
          <tpl fld="7" item="370"/>
          <tpl fld="6" item="2"/>
          <tpl hier="236" item="0"/>
          <tpl fld="1" item="0"/>
        </tpls>
      </m>
      <m>
        <tpls c="4">
          <tpl fld="7" item="354"/>
          <tpl fld="6" item="2"/>
          <tpl hier="236" item="0"/>
          <tpl fld="1" item="0"/>
        </tpls>
      </m>
      <m>
        <tpls c="4">
          <tpl fld="7" item="350"/>
          <tpl fld="6" item="2"/>
          <tpl hier="236" item="0"/>
          <tpl fld="1" item="0"/>
        </tpls>
      </m>
      <m>
        <tpls c="4">
          <tpl fld="7" item="484"/>
          <tpl fld="6" item="2"/>
          <tpl hier="236" item="0"/>
          <tpl fld="1" item="0"/>
        </tpls>
      </m>
      <n v="1" in="2">
        <tpls c="4">
          <tpl fld="7" item="369"/>
          <tpl fld="6" item="2"/>
          <tpl hier="236" item="0"/>
          <tpl fld="4" item="1"/>
        </tpls>
      </n>
      <n v="20" in="1">
        <tpls c="4">
          <tpl fld="7" item="771"/>
          <tpl fld="6" item="1"/>
          <tpl hier="236" item="0"/>
          <tpl fld="4" item="4"/>
        </tpls>
      </n>
      <m>
        <tpls c="4">
          <tpl fld="7" item="695"/>
          <tpl fld="6" item="2"/>
          <tpl hier="236" item="0"/>
          <tpl fld="4" item="1"/>
        </tpls>
      </m>
      <m>
        <tpls c="4">
          <tpl fld="7" item="555"/>
          <tpl fld="6" item="2"/>
          <tpl hier="236" item="0"/>
          <tpl fld="4" item="4"/>
        </tpls>
      </m>
      <m>
        <tpls c="4">
          <tpl fld="7" item="624"/>
          <tpl fld="6" item="2"/>
          <tpl hier="236" item="0"/>
          <tpl fld="4" item="6"/>
        </tpls>
      </m>
      <m>
        <tpls c="4">
          <tpl fld="7" item="989"/>
          <tpl fld="6" item="2"/>
          <tpl hier="236" item="0"/>
          <tpl fld="1" item="0"/>
        </tpls>
      </m>
      <n v="2" in="1">
        <tpls c="4">
          <tpl fld="7" item="574"/>
          <tpl fld="6" item="1"/>
          <tpl hier="236" item="0"/>
          <tpl fld="4" item="5"/>
        </tpls>
      </n>
      <m>
        <tpls c="4">
          <tpl fld="7" item="718"/>
          <tpl fld="6" item="1"/>
          <tpl hier="236" item="0"/>
          <tpl fld="4" item="1"/>
        </tpls>
      </m>
      <n v="1" in="1">
        <tpls c="4">
          <tpl fld="7" item="582"/>
          <tpl fld="6" item="1"/>
          <tpl hier="236" item="0"/>
          <tpl fld="4" item="6"/>
        </tpls>
      </n>
      <m>
        <tpls c="4">
          <tpl fld="7" item="584"/>
          <tpl fld="6" item="2"/>
          <tpl hier="236" item="0"/>
          <tpl fld="4" item="1"/>
        </tpls>
      </m>
      <m>
        <tpls c="4">
          <tpl fld="7" item="1214"/>
          <tpl fld="6" item="2"/>
          <tpl hier="236" item="0"/>
          <tpl fld="4" item="5"/>
        </tpls>
      </m>
      <m>
        <tpls c="4">
          <tpl fld="7" item="889"/>
          <tpl fld="6" item="2"/>
          <tpl hier="236" item="0"/>
          <tpl fld="4" item="6"/>
        </tpls>
      </m>
      <n v="2" in="1">
        <tpls c="4">
          <tpl fld="7" item="645"/>
          <tpl fld="6" item="1"/>
          <tpl hier="236" item="0"/>
          <tpl fld="4" item="5"/>
        </tpls>
      </n>
      <m>
        <tpls c="4">
          <tpl fld="7" item="808"/>
          <tpl fld="6" item="1"/>
          <tpl hier="236" item="0"/>
          <tpl fld="4" item="6"/>
        </tpls>
      </m>
      <m>
        <tpls c="4">
          <tpl fld="7" item="648"/>
          <tpl fld="6" item="2"/>
          <tpl hier="236" item="0"/>
          <tpl fld="4" item="1"/>
        </tpls>
      </m>
      <m>
        <tpls c="4">
          <tpl fld="7" item="729"/>
          <tpl fld="6" item="2"/>
          <tpl hier="236" item="0"/>
          <tpl fld="1" item="0"/>
        </tpls>
      </m>
      <m>
        <tpls c="4">
          <tpl fld="7" item="1282"/>
          <tpl fld="6" item="1"/>
          <tpl hier="236" item="0"/>
          <tpl fld="4" item="1"/>
        </tpls>
      </m>
      <m>
        <tpls c="4">
          <tpl fld="7" item="732"/>
          <tpl fld="6" item="1"/>
          <tpl hier="236" item="0"/>
          <tpl fld="1" item="0"/>
        </tpls>
      </m>
      <m>
        <tpls c="4">
          <tpl fld="7" item="1098"/>
          <tpl fld="6" item="2"/>
          <tpl hier="236" item="0"/>
          <tpl fld="4" item="4"/>
        </tpls>
      </m>
      <m>
        <tpls c="3">
          <tpl fld="7" item="735"/>
          <tpl fld="6" item="3"/>
          <tpl hier="236" item="0"/>
        </tpls>
      </m>
      <n v="2" in="1">
        <tpls c="4">
          <tpl fld="7" item="996"/>
          <tpl fld="6" item="1"/>
          <tpl hier="236" item="0"/>
          <tpl fld="4" item="4"/>
        </tpls>
      </n>
      <m>
        <tpls c="4">
          <tpl fld="7" item="658"/>
          <tpl fld="6" item="2"/>
          <tpl hier="236" item="0"/>
          <tpl fld="4" item="5"/>
        </tpls>
      </m>
      <m>
        <tpls c="4">
          <tpl fld="7" item="821"/>
          <tpl fld="6" item="2"/>
          <tpl hier="236" item="0"/>
          <tpl fld="4" item="6"/>
        </tpls>
      </m>
      <m>
        <tpls c="4">
          <tpl fld="7" item="661"/>
          <tpl fld="6" item="1"/>
          <tpl hier="236" item="0"/>
          <tpl fld="4" item="5"/>
        </tpls>
      </m>
      <n v="2" in="1">
        <tpls c="4">
          <tpl fld="7" item="824"/>
          <tpl fld="6" item="1"/>
          <tpl hier="236" item="0"/>
          <tpl fld="4" item="6"/>
        </tpls>
      </n>
      <m>
        <tpls c="4">
          <tpl fld="7" item="664"/>
          <tpl fld="6" item="2"/>
          <tpl hier="236" item="0"/>
          <tpl fld="4" item="1"/>
        </tpls>
      </m>
      <n v="34" in="1">
        <tpls c="4">
          <tpl fld="7" item="666"/>
          <tpl fld="6" item="1"/>
          <tpl hier="236" item="0"/>
          <tpl fld="4" item="4"/>
        </tpls>
      </n>
      <m>
        <tpls c="4">
          <tpl fld="7" item="999"/>
          <tpl fld="6" item="2"/>
          <tpl hier="236" item="0"/>
          <tpl fld="4" item="4"/>
        </tpls>
      </m>
      <n v="3" in="1">
        <tpls c="4">
          <tpl fld="7" item="897"/>
          <tpl fld="6" item="1"/>
          <tpl hier="236" item="0"/>
          <tpl fld="4" item="6"/>
        </tpls>
      </n>
      <m>
        <tpls c="3">
          <tpl fld="7" item="1106"/>
          <tpl fld="6" item="3"/>
          <tpl hier="236" item="0"/>
        </tpls>
      </m>
      <m>
        <tpls c="4">
          <tpl fld="7" item="839"/>
          <tpl fld="6" item="2"/>
          <tpl hier="236" item="0"/>
          <tpl fld="4" item="1"/>
        </tpls>
      </m>
      <m>
        <tpls c="4">
          <tpl fld="7" item="1008"/>
          <tpl fld="6" item="1"/>
          <tpl hier="236" item="0"/>
          <tpl fld="4" item="4"/>
        </tpls>
      </m>
      <m>
        <tpls c="4">
          <tpl fld="7" item="1113"/>
          <tpl fld="6" item="2"/>
          <tpl hier="236" item="0"/>
          <tpl fld="4" item="4"/>
        </tpls>
      </m>
      <n v="4" in="1">
        <tpls c="4">
          <tpl fld="7" item="909"/>
          <tpl fld="6" item="1"/>
          <tpl hier="236" item="0"/>
          <tpl fld="4" item="6"/>
        </tpls>
      </n>
      <m>
        <tpls c="3">
          <tpl fld="7" item="1118"/>
          <tpl fld="6" item="3"/>
          <tpl hier="236" item="0"/>
        </tpls>
      </m>
      <m>
        <tpls c="4">
          <tpl fld="7" item="855"/>
          <tpl fld="6" item="2"/>
          <tpl hier="236" item="0"/>
          <tpl fld="4" item="1"/>
        </tpls>
      </m>
      <n v="5" in="1">
        <tpls c="4">
          <tpl fld="7" item="1020"/>
          <tpl fld="6" item="1"/>
          <tpl hier="236" item="0"/>
          <tpl fld="4" item="4"/>
        </tpls>
      </n>
      <m>
        <tpls c="4">
          <tpl fld="7" item="1125"/>
          <tpl fld="6" item="2"/>
          <tpl hier="236" item="0"/>
          <tpl fld="4" item="4"/>
        </tpls>
      </m>
      <m>
        <tpls c="4">
          <tpl fld="7" item="921"/>
          <tpl fld="6" item="1"/>
          <tpl hier="236" item="0"/>
          <tpl fld="4" item="6"/>
        </tpls>
      </m>
      <m>
        <tpls c="3">
          <tpl fld="7" item="1130"/>
          <tpl fld="6" item="3"/>
          <tpl hier="236" item="0"/>
        </tpls>
      </m>
      <m>
        <tpls c="4">
          <tpl fld="7" item="871"/>
          <tpl fld="6" item="2"/>
          <tpl hier="236" item="0"/>
          <tpl fld="4" item="1"/>
        </tpls>
      </m>
      <m>
        <tpls c="4">
          <tpl fld="7" item="932"/>
          <tpl fld="6" item="2"/>
          <tpl hier="236" item="0"/>
          <tpl fld="4" item="1"/>
        </tpls>
      </m>
      <m>
        <tpls c="4">
          <tpl fld="7" item="940"/>
          <tpl fld="6" item="2"/>
          <tpl hier="236" item="0"/>
          <tpl fld="4" item="1"/>
        </tpls>
      </m>
      <m>
        <tpls c="4">
          <tpl fld="7" item="948"/>
          <tpl fld="6" item="2"/>
          <tpl hier="236" item="0"/>
          <tpl fld="4" item="1"/>
        </tpls>
      </m>
      <m>
        <tpls c="4">
          <tpl fld="7" item="956"/>
          <tpl fld="6" item="2"/>
          <tpl hier="236" item="0"/>
          <tpl fld="4" item="1"/>
        </tpls>
      </m>
      <m>
        <tpls c="4">
          <tpl fld="7" item="964"/>
          <tpl fld="6" item="2"/>
          <tpl hier="236" item="0"/>
          <tpl fld="4" item="1"/>
        </tpls>
      </m>
      <m>
        <tpls c="4">
          <tpl fld="7" item="972"/>
          <tpl fld="6" item="2"/>
          <tpl hier="236" item="0"/>
          <tpl fld="4" item="1"/>
        </tpls>
      </m>
      <m>
        <tpls c="4">
          <tpl fld="7" item="925"/>
          <tpl fld="6" item="2"/>
          <tpl hier="236" item="0"/>
          <tpl fld="1" item="0"/>
        </tpls>
      </m>
      <n v="0.85" in="2">
        <tpls c="4">
          <tpl fld="7" item="913"/>
          <tpl fld="6" item="2"/>
          <tpl hier="236" item="0"/>
          <tpl fld="1" item="0"/>
        </tpls>
      </n>
      <m>
        <tpls c="4">
          <tpl fld="7" item="901"/>
          <tpl fld="6" item="2"/>
          <tpl hier="236" item="0"/>
          <tpl fld="1" item="0"/>
        </tpls>
      </m>
      <n v="1" in="2">
        <tpls c="4">
          <tpl fld="7" item="525"/>
          <tpl fld="6" item="2"/>
          <tpl hier="236" item="0"/>
          <tpl fld="1" item="0"/>
        </tpls>
      </n>
      <m>
        <tpls c="4">
          <tpl fld="7" item="509"/>
          <tpl fld="6" item="2"/>
          <tpl hier="236" item="0"/>
          <tpl fld="1" item="0"/>
        </tpls>
      </m>
      <m>
        <tpls c="4">
          <tpl fld="7" item="493"/>
          <tpl fld="6" item="2"/>
          <tpl hier="236" item="0"/>
          <tpl fld="1" item="0"/>
        </tpls>
      </m>
      <m>
        <tpls c="4">
          <tpl fld="7" item="489"/>
          <tpl fld="6" item="2"/>
          <tpl hier="236" item="0"/>
          <tpl fld="1" item="0"/>
        </tpls>
      </m>
      <m>
        <tpls c="4">
          <tpl fld="7" item="178"/>
          <tpl fld="6" item="2"/>
          <tpl hier="236" item="0"/>
          <tpl fld="1" item="0"/>
        </tpls>
      </m>
      <m>
        <tpls c="4">
          <tpl fld="7" item="62"/>
          <tpl fld="6" item="2"/>
          <tpl hier="236" item="0"/>
          <tpl fld="1" item="0"/>
        </tpls>
      </m>
      <m>
        <tpls c="4">
          <tpl fld="7" item="335"/>
          <tpl fld="6" item="2"/>
          <tpl hier="236" item="0"/>
          <tpl fld="1" item="0"/>
        </tpls>
      </m>
      <m>
        <tpls c="4">
          <tpl fld="7" item="26"/>
          <tpl fld="6" item="2"/>
          <tpl hier="236" item="0"/>
          <tpl fld="1" item="0"/>
        </tpls>
      </m>
      <m>
        <tpls c="4">
          <tpl fld="7" item="113"/>
          <tpl fld="6" item="2"/>
          <tpl hier="236" item="0"/>
          <tpl fld="1" item="0"/>
        </tpls>
      </m>
      <m>
        <tpls c="4">
          <tpl fld="7" item="1025"/>
          <tpl fld="6" item="2"/>
          <tpl hier="236" item="0"/>
          <tpl fld="4" item="5"/>
        </tpls>
      </m>
      <m>
        <tpls c="4">
          <tpl fld="7" item="1013"/>
          <tpl fld="6" item="2"/>
          <tpl hier="236" item="0"/>
          <tpl fld="4" item="5"/>
        </tpls>
      </m>
      <m>
        <tpls c="4">
          <tpl fld="7" item="1001"/>
          <tpl fld="6" item="2"/>
          <tpl hier="236" item="0"/>
          <tpl fld="4" item="5"/>
        </tpls>
      </m>
      <m>
        <tpls c="4">
          <tpl fld="7" item="520"/>
          <tpl fld="6" item="2"/>
          <tpl hier="236" item="0"/>
          <tpl fld="4" item="5"/>
        </tpls>
      </m>
      <m>
        <tpls c="4">
          <tpl fld="7" item="406"/>
          <tpl fld="6" item="2"/>
          <tpl hier="236" item="0"/>
          <tpl fld="4" item="1"/>
        </tpls>
      </m>
      <m>
        <tpls c="4">
          <tpl fld="7" item="782"/>
          <tpl fld="6" item="2"/>
          <tpl hier="236" item="0"/>
          <tpl fld="4" item="1"/>
        </tpls>
      </m>
      <m>
        <tpls c="4">
          <tpl fld="7" item="1188"/>
          <tpl fld="6" item="2"/>
          <tpl hier="236" item="0"/>
          <tpl fld="4" item="1"/>
        </tpls>
      </m>
      <m>
        <tpls c="4">
          <tpl fld="7" item="644"/>
          <tpl fld="6" item="2"/>
          <tpl hier="236" item="0"/>
          <tpl fld="4" item="5"/>
        </tpls>
      </m>
      <m>
        <tpls c="4">
          <tpl fld="7" item="1097"/>
          <tpl fld="6" item="2"/>
          <tpl hier="236" item="0"/>
          <tpl fld="4" item="1"/>
        </tpls>
      </m>
      <m>
        <tpls c="4">
          <tpl fld="7" item="817"/>
          <tpl fld="6" item="2"/>
          <tpl hier="236" item="0"/>
          <tpl fld="4" item="4"/>
        </tpls>
      </m>
      <m>
        <tpls c="4">
          <tpl fld="7" item="741"/>
          <tpl fld="6" item="2"/>
          <tpl hier="236" item="0"/>
          <tpl fld="4" item="6"/>
        </tpls>
      </m>
      <m>
        <tpls c="3">
          <tpl fld="7" item="830"/>
          <tpl fld="6" item="3"/>
          <tpl hier="236" item="0"/>
        </tpls>
      </m>
      <m>
        <tpls c="4">
          <tpl fld="7" item="1218"/>
          <tpl fld="6" item="1"/>
          <tpl hier="236" item="0"/>
          <tpl fld="4" item="6"/>
        </tpls>
      </m>
      <n v="0.4" in="2">
        <tpls c="4">
          <tpl fld="7" item="1018"/>
          <tpl fld="6" item="2"/>
          <tpl hier="236" item="0"/>
          <tpl fld="4" item="4"/>
        </tpls>
      </n>
      <n v="2" in="1">
        <tpls c="4">
          <tpl fld="7" item="924"/>
          <tpl fld="6" item="1"/>
          <tpl hier="236" item="0"/>
          <tpl fld="4" item="4"/>
        </tpls>
      </n>
      <m>
        <tpls c="4">
          <tpl fld="7" item="1255"/>
          <tpl fld="6" item="1"/>
          <tpl hier="236" item="0"/>
          <tpl fld="4" item="4"/>
        </tpls>
      </m>
      <m>
        <tpls c="4">
          <tpl fld="7" item="1129"/>
          <tpl fld="6" item="2"/>
          <tpl hier="236" item="0"/>
          <tpl fld="1" item="0"/>
        </tpls>
      </m>
      <n v="1" in="2">
        <tpls c="4">
          <tpl fld="7" item="598"/>
          <tpl fld="6" item="2"/>
          <tpl hier="236" item="0"/>
          <tpl fld="1" item="0"/>
        </tpls>
      </n>
      <m>
        <tpls c="4">
          <tpl fld="7" item="267"/>
          <tpl fld="6" item="2"/>
          <tpl hier="236" item="0"/>
          <tpl fld="1" item="0"/>
        </tpls>
      </m>
      <m>
        <tpls c="4">
          <tpl fld="7" item="249"/>
          <tpl fld="6" item="2"/>
          <tpl hier="236" item="0"/>
          <tpl fld="1" item="0"/>
        </tpls>
      </m>
      <m>
        <tpls c="4">
          <tpl fld="7" item="974"/>
          <tpl fld="6" item="2"/>
          <tpl hier="236" item="0"/>
          <tpl fld="4" item="5"/>
        </tpls>
      </m>
      <m>
        <tpls c="4">
          <tpl fld="7" item="1012"/>
          <tpl fld="6" item="2"/>
          <tpl hier="236" item="0"/>
          <tpl fld="4" item="5"/>
        </tpls>
      </m>
      <m>
        <tpls c="4">
          <tpl fld="7" item="92"/>
          <tpl fld="6" item="2"/>
          <tpl hier="236" item="0"/>
          <tpl fld="4" item="5"/>
        </tpls>
      </m>
      <m>
        <tpls c="4">
          <tpl fld="7" item="367"/>
          <tpl fld="6" item="2"/>
          <tpl hier="236" item="0"/>
          <tpl fld="4" item="5"/>
        </tpls>
      </m>
      <m>
        <tpls c="4">
          <tpl fld="7" item="214"/>
          <tpl fld="6" item="2"/>
          <tpl hier="236" item="0"/>
          <tpl fld="4" item="5"/>
        </tpls>
      </m>
      <m>
        <tpls c="4">
          <tpl fld="7" item="302"/>
          <tpl fld="6" item="2"/>
          <tpl hier="236" item="0"/>
          <tpl fld="4" item="5"/>
        </tpls>
      </m>
      <m>
        <tpls c="4">
          <tpl fld="7" item="285"/>
          <tpl fld="6" item="2"/>
          <tpl hier="236" item="0"/>
          <tpl fld="4" item="5"/>
        </tpls>
      </m>
      <m>
        <tpls c="4">
          <tpl fld="7" item="481"/>
          <tpl fld="6" item="2"/>
          <tpl hier="236" item="0"/>
          <tpl fld="4" item="5"/>
        </tpls>
      </m>
      <m>
        <tpls c="4">
          <tpl fld="7" item="40"/>
          <tpl fld="6" item="2"/>
          <tpl hier="236" item="0"/>
          <tpl fld="4" item="5"/>
        </tpls>
      </m>
      <m>
        <tpls c="4">
          <tpl fld="7" item="239"/>
          <tpl fld="6" item="2"/>
          <tpl hier="236" item="0"/>
          <tpl fld="4" item="5"/>
        </tpls>
      </m>
      <m>
        <tpls c="4">
          <tpl fld="7" item="399"/>
          <tpl fld="6" item="2"/>
          <tpl hier="236" item="0"/>
          <tpl fld="4" item="5"/>
        </tpls>
      </m>
      <m>
        <tpls c="4">
          <tpl fld="7" item="1278"/>
          <tpl fld="6" item="2"/>
          <tpl hier="236" item="0"/>
          <tpl fld="4" item="6"/>
        </tpls>
      </m>
      <m>
        <tpls c="4">
          <tpl fld="7" item="1284"/>
          <tpl fld="6" item="2"/>
          <tpl hier="236" item="0"/>
          <tpl fld="4" item="6"/>
        </tpls>
      </m>
      <m>
        <tpls c="4">
          <tpl fld="7" item="457"/>
          <tpl fld="6" item="2"/>
          <tpl hier="236" item="0"/>
          <tpl fld="4" item="6"/>
        </tpls>
      </m>
      <m>
        <tpls c="4">
          <tpl fld="7" item="441"/>
          <tpl fld="6" item="2"/>
          <tpl hier="236" item="0"/>
          <tpl fld="4" item="6"/>
        </tpls>
      </m>
      <m>
        <tpls c="4">
          <tpl fld="7" item="425"/>
          <tpl fld="6" item="2"/>
          <tpl hier="236" item="0"/>
          <tpl fld="4" item="6"/>
        </tpls>
      </m>
      <m>
        <tpls c="4">
          <tpl fld="7" item="202"/>
          <tpl fld="6" item="2"/>
          <tpl hier="236" item="0"/>
          <tpl fld="4" item="6"/>
        </tpls>
      </m>
      <m>
        <tpls c="4">
          <tpl fld="7" item="78"/>
          <tpl fld="6" item="2"/>
          <tpl hier="236" item="0"/>
          <tpl fld="4" item="6"/>
        </tpls>
      </m>
      <m>
        <tpls c="4">
          <tpl fld="7" item="35"/>
          <tpl fld="6" item="2"/>
          <tpl hier="236" item="0"/>
          <tpl fld="4" item="6"/>
        </tpls>
      </m>
      <m>
        <tpls c="4">
          <tpl fld="7" item="255"/>
          <tpl fld="6" item="2"/>
          <tpl hier="236" item="0"/>
          <tpl fld="4" item="6"/>
        </tpls>
      </m>
      <m>
        <tpls c="4">
          <tpl fld="7" item="230"/>
          <tpl fld="6" item="2"/>
          <tpl hier="236" item="0"/>
          <tpl fld="4" item="6"/>
        </tpls>
      </m>
      <n v="1" in="1">
        <tpls c="4">
          <tpl fld="7" item="1221"/>
          <tpl fld="6" item="1"/>
          <tpl hier="236" item="0"/>
          <tpl fld="4" item="5"/>
        </tpls>
      </n>
      <m>
        <tpls c="4">
          <tpl fld="7" item="1218"/>
          <tpl fld="6" item="1"/>
          <tpl hier="236" item="0"/>
          <tpl fld="4" item="5"/>
        </tpls>
      </m>
      <m>
        <tpls c="4">
          <tpl fld="7" item="384"/>
          <tpl fld="6" item="1"/>
          <tpl hier="236" item="0"/>
          <tpl fld="4" item="5"/>
        </tpls>
      </m>
      <m>
        <tpls c="4">
          <tpl fld="7" item="368"/>
          <tpl fld="6" item="1"/>
          <tpl hier="236" item="0"/>
          <tpl fld="4" item="5"/>
        </tpls>
      </m>
      <n v="0" in="1">
        <tpls c="4">
          <tpl fld="7" item="352"/>
          <tpl fld="6" item="1"/>
          <tpl hier="236" item="0"/>
          <tpl fld="4" item="5"/>
        </tpls>
      </n>
      <m>
        <tpls c="4">
          <tpl fld="7" item="200"/>
          <tpl fld="6" item="1"/>
          <tpl hier="236" item="0"/>
          <tpl fld="4" item="5"/>
        </tpls>
      </m>
      <m>
        <tpls c="4">
          <tpl fld="7" item="76"/>
          <tpl fld="6" item="1"/>
          <tpl hier="236" item="0"/>
          <tpl fld="4" item="5"/>
        </tpls>
      </m>
      <m>
        <tpls c="4">
          <tpl fld="7" item="61"/>
          <tpl fld="6" item="1"/>
          <tpl hier="236" item="0"/>
          <tpl fld="4" item="5"/>
        </tpls>
      </m>
      <m>
        <tpls c="4">
          <tpl fld="7" item="140"/>
          <tpl fld="6" item="1"/>
          <tpl hier="236" item="0"/>
          <tpl fld="4" item="5"/>
        </tpls>
      </m>
      <m>
        <tpls c="4">
          <tpl fld="7" item="120"/>
          <tpl fld="6" item="1"/>
          <tpl hier="236" item="0"/>
          <tpl fld="4" item="5"/>
        </tpls>
      </m>
      <m>
        <tpls c="4">
          <tpl fld="7" item="1065"/>
          <tpl fld="6" item="1"/>
          <tpl hier="236" item="0"/>
          <tpl fld="4" item="1"/>
        </tpls>
      </m>
      <m>
        <tpls c="4">
          <tpl fld="7" item="1049"/>
          <tpl fld="6" item="1"/>
          <tpl hier="236" item="0"/>
          <tpl fld="4" item="1"/>
        </tpls>
      </m>
      <n v="1" in="1">
        <tpls c="4">
          <tpl fld="7" item="1033"/>
          <tpl fld="6" item="1"/>
          <tpl hier="236" item="0"/>
          <tpl fld="4" item="1"/>
        </tpls>
      </n>
      <m>
        <tpls c="4">
          <tpl fld="7" item="1126"/>
          <tpl fld="6" item="1"/>
          <tpl hier="236" item="0"/>
          <tpl fld="4" item="1"/>
        </tpls>
      </m>
      <m>
        <tpls c="4">
          <tpl fld="7" item="1114"/>
          <tpl fld="6" item="1"/>
          <tpl hier="236" item="0"/>
          <tpl fld="4" item="1"/>
        </tpls>
      </m>
      <n v="1" in="1">
        <tpls c="4">
          <tpl fld="7" item="1190"/>
          <tpl fld="6" item="1"/>
          <tpl hier="236" item="0"/>
          <tpl fld="4" item="1"/>
        </tpls>
      </n>
      <n v="17" in="1">
        <tpls c="4">
          <tpl fld="7" item="518"/>
          <tpl fld="6" item="1"/>
          <tpl hier="236" item="0"/>
          <tpl fld="4" item="1"/>
        </tpls>
      </n>
      <n v="1" in="1">
        <tpls c="4">
          <tpl fld="7" item="502"/>
          <tpl fld="6" item="1"/>
          <tpl hier="236" item="0"/>
          <tpl fld="4" item="1"/>
        </tpls>
      </n>
      <m>
        <tpls c="4">
          <tpl fld="7" item="755"/>
          <tpl fld="6" item="1"/>
          <tpl hier="236" item="0"/>
          <tpl fld="4" item="1"/>
        </tpls>
      </m>
      <m>
        <tpls c="4">
          <tpl fld="7" item="296"/>
          <tpl fld="6" item="1"/>
          <tpl hier="236" item="0"/>
          <tpl fld="4" item="1"/>
        </tpls>
      </m>
      <m>
        <tpls c="4">
          <tpl fld="7" item="280"/>
          <tpl fld="6" item="1"/>
          <tpl hier="236" item="0"/>
          <tpl fld="4" item="1"/>
        </tpls>
      </m>
      <m>
        <tpls c="4">
          <tpl fld="7" item="265"/>
          <tpl fld="6" item="1"/>
          <tpl hier="236" item="0"/>
          <tpl fld="4" item="1"/>
        </tpls>
      </m>
      <m>
        <tpls c="4">
          <tpl fld="7" item="35"/>
          <tpl fld="6" item="1"/>
          <tpl hier="236" item="0"/>
          <tpl fld="4" item="1"/>
        </tpls>
      </m>
      <m>
        <tpls c="4">
          <tpl fld="7" item="327"/>
          <tpl fld="6" item="1"/>
          <tpl hier="236" item="0"/>
          <tpl fld="4" item="1"/>
        </tpls>
      </m>
      <n v="16" in="1">
        <tpls c="4">
          <tpl fld="7" item="978"/>
          <tpl fld="6" item="1"/>
          <tpl hier="236" item="0"/>
          <tpl fld="1" item="0"/>
        </tpls>
      </n>
      <m>
        <tpls c="4">
          <tpl fld="7" item="856"/>
          <tpl fld="6" item="1"/>
          <tpl hier="236" item="0"/>
          <tpl fld="1" item="0"/>
        </tpls>
      </m>
      <n v="1" in="1">
        <tpls c="4">
          <tpl fld="7" item="840"/>
          <tpl fld="6" item="1"/>
          <tpl hier="236" item="0"/>
          <tpl fld="1" item="0"/>
        </tpls>
      </n>
      <n v="1" in="1">
        <tpls c="4">
          <tpl fld="7" item="207"/>
          <tpl fld="6" item="1"/>
          <tpl hier="236" item="0"/>
          <tpl fld="4" item="6"/>
        </tpls>
      </n>
      <m>
        <tpls c="4">
          <tpl fld="7" item="558"/>
          <tpl fld="6" item="2"/>
          <tpl hier="236" item="0"/>
          <tpl fld="4" item="4"/>
        </tpls>
      </m>
      <n v="3" in="1">
        <tpls c="4">
          <tpl fld="7" item="581"/>
          <tpl fld="6" item="1"/>
          <tpl hier="236" item="0"/>
          <tpl fld="1" item="0"/>
        </tpls>
      </n>
      <m>
        <tpls c="4">
          <tpl fld="7" item="588"/>
          <tpl fld="6" item="2"/>
          <tpl hier="236" item="0"/>
          <tpl fld="4" item="6"/>
        </tpls>
      </m>
      <m>
        <tpls c="4">
          <tpl fld="7" item="650"/>
          <tpl fld="6" item="2"/>
          <tpl hier="236" item="0"/>
          <tpl fld="1" item="0"/>
        </tpls>
      </m>
      <m>
        <tpls c="3">
          <tpl fld="7" item="656"/>
          <tpl fld="6" item="3"/>
          <tpl hier="236" item="0"/>
        </tpls>
      </m>
      <m>
        <tpls c="4">
          <tpl fld="7" item="1100"/>
          <tpl fld="6" item="1"/>
          <tpl hier="236" item="0"/>
          <tpl fld="4" item="5"/>
        </tpls>
      </m>
      <m>
        <tpls c="3">
          <tpl fld="7" item="831"/>
          <tpl fld="6" item="3"/>
          <tpl hier="236" item="0"/>
        </tpls>
      </m>
      <n v="1" in="1">
        <tpls c="4">
          <tpl fld="7" item="1112"/>
          <tpl fld="6" item="1"/>
          <tpl hier="236" item="0"/>
          <tpl fld="4" item="6"/>
        </tpls>
      </n>
      <m>
        <tpls c="4">
          <tpl fld="7" item="915"/>
          <tpl fld="6" item="2"/>
          <tpl hier="236" item="0"/>
          <tpl fld="4" item="4"/>
        </tpls>
      </m>
      <n v="0" in="1">
        <tpls c="4">
          <tpl fld="7" item="1223"/>
          <tpl fld="6" item="1"/>
          <tpl hier="236" item="0"/>
          <tpl fld="4" item="4"/>
        </tpls>
      </n>
      <n v="10" in="1">
        <tpls c="4">
          <tpl fld="7" item="1056"/>
          <tpl fld="6" item="1"/>
          <tpl hier="236" item="0"/>
          <tpl fld="4" item="4"/>
        </tpls>
      </n>
      <m>
        <tpls c="4">
          <tpl fld="7" item="1278"/>
          <tpl fld="6" item="2"/>
          <tpl hier="236" item="0"/>
          <tpl fld="1" item="0"/>
        </tpls>
      </m>
      <n v="1" in="2">
        <tpls c="4">
          <tpl fld="7" item="981"/>
          <tpl fld="6" item="2"/>
          <tpl hier="236" item="0"/>
          <tpl fld="1" item="0"/>
        </tpls>
      </n>
      <m>
        <tpls c="4">
          <tpl fld="7" item="56"/>
          <tpl fld="6" item="2"/>
          <tpl hier="236" item="0"/>
          <tpl fld="1" item="0"/>
        </tpls>
      </m>
      <m>
        <tpls c="4">
          <tpl fld="7" item="403"/>
          <tpl fld="6" item="1"/>
          <tpl hier="236" item="0"/>
          <tpl fld="4" item="4"/>
        </tpls>
      </m>
      <n v="0" in="1">
        <tpls c="4">
          <tpl fld="7" item="320"/>
          <tpl fld="6" item="1"/>
          <tpl hier="236" item="0"/>
          <tpl fld="4" item="4"/>
        </tpls>
      </n>
      <m>
        <tpls c="4">
          <tpl fld="7" item="332"/>
          <tpl fld="6" item="1"/>
          <tpl hier="236" item="0"/>
          <tpl fld="4" item="6"/>
        </tpls>
      </m>
      <n v="1" in="1">
        <tpls c="4">
          <tpl fld="7" item="378"/>
          <tpl fld="6" item="1"/>
          <tpl hier="236" item="0"/>
          <tpl fld="4" item="4"/>
        </tpls>
      </n>
      <n v="20.93783783783784" in="2">
        <tpls c="6">
          <tpl fld="11" item="0"/>
          <tpl fld="6" item="2"/>
          <tpl fld="8" item="0"/>
          <tpl hier="236" item="0"/>
          <tpl fld="4" item="4"/>
          <tpl fld="10" item="3"/>
        </tpls>
      </n>
      <m>
        <tpls c="4">
          <tpl fld="7" item="883"/>
          <tpl fld="6" item="2"/>
          <tpl hier="236" item="0"/>
          <tpl fld="1" item="0"/>
        </tpls>
      </m>
      <n v="1" in="1">
        <tpls c="4">
          <tpl fld="7" item="800"/>
          <tpl fld="6" item="1"/>
          <tpl hier="236" item="0"/>
          <tpl fld="4" item="6"/>
        </tpls>
      </n>
      <n v="1" in="1">
        <tpls c="4">
          <tpl fld="7" item="555"/>
          <tpl fld="6" item="1"/>
          <tpl hier="236" item="0"/>
          <tpl fld="1" item="0"/>
        </tpls>
      </n>
      <m>
        <tpls c="4">
          <tpl fld="7" item="991"/>
          <tpl fld="6" item="2"/>
          <tpl hier="236" item="0"/>
          <tpl fld="1" item="0"/>
        </tpls>
      </m>
      <n v="2" in="2">
        <tpls c="4">
          <tpl fld="7" item="441"/>
          <tpl fld="6" item="2"/>
          <tpl hier="236" item="0"/>
          <tpl fld="4" item="4"/>
        </tpls>
      </n>
      <m>
        <tpls c="3">
          <tpl fld="7" item="545"/>
          <tpl fld="6" item="3"/>
          <tpl hier="236" item="0"/>
        </tpls>
      </m>
      <m>
        <tpls c="4">
          <tpl fld="7" item="553"/>
          <tpl fld="6" item="2"/>
          <tpl hier="236" item="0"/>
          <tpl fld="4" item="6"/>
        </tpls>
      </m>
      <m>
        <tpls c="4">
          <tpl fld="7" item="784"/>
          <tpl fld="6" item="2"/>
          <tpl hier="236" item="0"/>
          <tpl fld="1" item="0"/>
        </tpls>
      </m>
      <m>
        <tpls c="4">
          <tpl fld="7" item="627"/>
          <tpl fld="6" item="1"/>
          <tpl hier="236" item="0"/>
          <tpl fld="4" item="5"/>
        </tpls>
      </m>
      <m>
        <tpls c="4">
          <tpl fld="7" item="572"/>
          <tpl fld="6" item="1"/>
          <tpl hier="236" item="0"/>
          <tpl fld="4" item="1"/>
        </tpls>
      </m>
      <m>
        <tpls c="4">
          <tpl fld="7" item="578"/>
          <tpl fld="6" item="1"/>
          <tpl hier="236" item="0"/>
          <tpl fld="4" item="4"/>
        </tpls>
      </m>
      <m>
        <tpls c="4">
          <tpl fld="7" item="721"/>
          <tpl fld="6" item="1"/>
          <tpl hier="236" item="0"/>
          <tpl fld="4" item="6"/>
        </tpls>
      </m>
      <n v="1" in="2">
        <tpls c="4">
          <tpl fld="7" item="775"/>
          <tpl fld="6" item="2"/>
          <tpl hier="236" item="0"/>
          <tpl fld="4" item="6"/>
        </tpls>
      </n>
      <n v="1" in="1">
        <tpls c="4">
          <tpl fld="7" item="712"/>
          <tpl fld="6" item="1"/>
          <tpl hier="236" item="0"/>
          <tpl fld="4" item="4"/>
        </tpls>
      </n>
      <m>
        <tpls c="4">
          <tpl fld="7" item="585"/>
          <tpl fld="6" item="2"/>
          <tpl hier="236" item="0"/>
          <tpl fld="4" item="6"/>
        </tpls>
      </m>
      <m>
        <tpls c="4">
          <tpl fld="7" item="727"/>
          <tpl fld="6" item="1"/>
          <tpl hier="236" item="0"/>
          <tpl fld="4" item="1"/>
        </tpls>
      </m>
      <n v="3" in="1">
        <tpls c="4">
          <tpl fld="7" item="733"/>
          <tpl fld="6" item="1"/>
          <tpl hier="236" item="0"/>
          <tpl fld="4" item="4"/>
        </tpls>
      </n>
      <m>
        <tpls c="4">
          <tpl fld="7" item="659"/>
          <tpl fld="6" item="1"/>
          <tpl hier="236" item="0"/>
          <tpl fld="4" item="6"/>
        </tpls>
      </m>
      <m>
        <tpls c="4">
          <tpl fld="7" item="665"/>
          <tpl fld="6" item="2"/>
          <tpl hier="236" item="0"/>
          <tpl fld="4" item="5"/>
        </tpls>
      </m>
      <n v="3" in="1">
        <tpls c="4">
          <tpl fld="7" item="901"/>
          <tpl fld="6" item="1"/>
          <tpl hier="236" item="0"/>
          <tpl fld="4" item="4"/>
        </tpls>
      </n>
      <m>
        <tpls c="4">
          <tpl fld="7" item="1117"/>
          <tpl fld="6" item="2"/>
          <tpl hier="236" item="0"/>
          <tpl fld="4" item="1"/>
        </tpls>
      </m>
      <m>
        <tpls c="3">
          <tpl fld="7" item="920"/>
          <tpl fld="6" item="3"/>
          <tpl hier="236" item="0"/>
        </tpls>
      </m>
      <m>
        <tpls c="4">
          <tpl fld="7" item="1226"/>
          <tpl fld="6" item="2"/>
          <tpl hier="236" item="0"/>
          <tpl fld="4" item="1"/>
        </tpls>
      </m>
      <m>
        <tpls c="4">
          <tpl fld="7" item="1234"/>
          <tpl fld="6" item="2"/>
          <tpl hier="236" item="0"/>
          <tpl fld="4" item="1"/>
        </tpls>
      </m>
      <m>
        <tpls c="4">
          <tpl fld="7" item="316"/>
          <tpl fld="6" item="2"/>
          <tpl hier="236" item="0"/>
          <tpl fld="1" item="0"/>
        </tpls>
      </m>
      <m>
        <tpls c="4">
          <tpl fld="7" item="293"/>
          <tpl fld="6" item="2"/>
          <tpl hier="236" item="0"/>
          <tpl fld="1" item="0"/>
        </tpls>
      </m>
      <m>
        <tpls c="4">
          <tpl fld="7" item="237"/>
          <tpl fld="6" item="2"/>
          <tpl hier="236" item="0"/>
          <tpl fld="1" item="0"/>
        </tpls>
      </m>
      <m>
        <tpls c="3">
          <tpl fld="7" item="542"/>
          <tpl fld="6" item="3"/>
          <tpl hier="236" item="0"/>
        </tpls>
      </m>
      <m>
        <tpls c="4">
          <tpl fld="7" item="986"/>
          <tpl fld="6" item="1"/>
          <tpl hier="236" item="0"/>
          <tpl fld="4" item="5"/>
        </tpls>
      </m>
      <m>
        <tpls c="4">
          <tpl fld="7" item="1187"/>
          <tpl fld="6" item="1"/>
          <tpl hier="236" item="0"/>
          <tpl fld="4" item="5"/>
        </tpls>
      </m>
      <n v="3" in="1">
        <tpls c="4">
          <tpl fld="7" item="709"/>
          <tpl fld="6" item="1"/>
          <tpl hier="236" item="0"/>
          <tpl fld="1" item="0"/>
        </tpls>
      </n>
      <m>
        <tpls c="4">
          <tpl fld="7" item="576"/>
          <tpl fld="6" item="2"/>
          <tpl hier="236" item="0"/>
          <tpl fld="4" item="5"/>
        </tpls>
      </m>
      <m>
        <tpls c="4">
          <tpl fld="7" item="801"/>
          <tpl fld="6" item="1"/>
          <tpl hier="236" item="0"/>
          <tpl fld="4" item="6"/>
        </tpls>
      </m>
      <m>
        <tpls c="4">
          <tpl fld="7" item="584"/>
          <tpl fld="6" item="1"/>
          <tpl hier="236" item="0"/>
          <tpl fld="4" item="5"/>
        </tpls>
      </m>
      <n v="1.9500000000000002" in="2">
        <tpls c="4">
          <tpl fld="7" item="643"/>
          <tpl fld="6" item="2"/>
          <tpl hier="236" item="0"/>
          <tpl fld="1" item="0"/>
        </tpls>
      </n>
      <n v="0.6" in="2">
        <tpls c="4">
          <tpl fld="7" item="806"/>
          <tpl fld="6" item="2"/>
          <tpl hier="236" item="0"/>
          <tpl fld="1" item="0"/>
        </tpls>
      </n>
      <n v="2" in="1">
        <tpls c="4">
          <tpl fld="7" item="808"/>
          <tpl fld="6" item="1"/>
          <tpl hier="236" item="0"/>
          <tpl fld="1" item="0"/>
        </tpls>
      </n>
      <m>
        <tpls c="3">
          <tpl fld="7" item="810"/>
          <tpl fld="6" item="3"/>
          <tpl hier="236" item="0"/>
        </tpls>
      </m>
      <m>
        <tpls c="3">
          <tpl fld="7" item="812"/>
          <tpl fld="6" item="3"/>
          <tpl hier="236" item="0"/>
        </tpls>
      </m>
      <m>
        <tpls c="4">
          <tpl fld="7" item="732"/>
          <tpl fld="6" item="2"/>
          <tpl hier="236" item="0"/>
          <tpl fld="4" item="5"/>
        </tpls>
      </m>
      <m>
        <tpls c="4">
          <tpl fld="7" item="734"/>
          <tpl fld="6" item="1"/>
          <tpl hier="236" item="0"/>
          <tpl fld="4" item="5"/>
        </tpls>
      </m>
      <m>
        <tpls c="4">
          <tpl fld="7" item="892"/>
          <tpl fld="6" item="2"/>
          <tpl hier="236" item="0"/>
          <tpl fld="4" item="6"/>
        </tpls>
      </m>
      <m>
        <tpls c="4">
          <tpl fld="7" item="737"/>
          <tpl fld="6" item="1"/>
          <tpl hier="236" item="0"/>
          <tpl fld="4" item="5"/>
        </tpls>
      </m>
      <m>
        <tpls c="4">
          <tpl fld="7" item="1215"/>
          <tpl fld="6" item="1"/>
          <tpl hier="236" item="0"/>
          <tpl fld="4" item="6"/>
        </tpls>
      </m>
      <m>
        <tpls c="4">
          <tpl fld="7" item="740"/>
          <tpl fld="6" item="2"/>
          <tpl hier="236" item="0"/>
          <tpl fld="4" item="1"/>
        </tpls>
      </m>
      <m>
        <tpls c="4">
          <tpl fld="7" item="823"/>
          <tpl fld="6" item="2"/>
          <tpl hier="236" item="0"/>
          <tpl fld="1" item="0"/>
        </tpls>
      </m>
      <m>
        <tpls c="4">
          <tpl fld="7" item="663"/>
          <tpl fld="6" item="1"/>
          <tpl hier="236" item="0"/>
          <tpl fld="4" item="1"/>
        </tpls>
      </m>
      <n v="6" in="1">
        <tpls c="4">
          <tpl fld="7" item="998"/>
          <tpl fld="6" item="1"/>
          <tpl hier="236" item="0"/>
          <tpl fld="1" item="0"/>
        </tpls>
      </n>
      <n v="35" in="1">
        <tpls c="4">
          <tpl fld="7" item="1264"/>
          <tpl fld="6" item="1"/>
          <tpl hier="236" item="0"/>
          <tpl fld="1" item="0"/>
        </tpls>
      </n>
      <m>
        <tpls c="4">
          <tpl fld="7" item="749"/>
          <tpl fld="6" item="2"/>
          <tpl hier="236" item="0"/>
          <tpl fld="4" item="1"/>
        </tpls>
      </m>
      <n v="3" in="1">
        <tpls c="4">
          <tpl fld="7" item="834"/>
          <tpl fld="6" item="1"/>
          <tpl hier="236" item="0"/>
          <tpl fld="4" item="4"/>
        </tpls>
      </n>
      <m>
        <tpls c="4">
          <tpl fld="7" item="837"/>
          <tpl fld="6" item="2"/>
          <tpl hier="236" item="0"/>
          <tpl fld="4" item="4"/>
        </tpls>
      </m>
      <n v="1" in="1">
        <tpls c="4">
          <tpl fld="7" item="1277"/>
          <tpl fld="6" item="1"/>
          <tpl hier="236" item="0"/>
          <tpl fld="4" item="6"/>
        </tpls>
      </n>
      <m>
        <tpls c="3">
          <tpl fld="7" item="1009"/>
          <tpl fld="6" item="3"/>
          <tpl hier="236" item="0"/>
        </tpls>
      </m>
      <n v="1" in="2">
        <tpls c="4">
          <tpl fld="7" item="1193"/>
          <tpl fld="6" item="2"/>
          <tpl hier="236" item="0"/>
          <tpl fld="4" item="1"/>
        </tpls>
      </n>
      <n v="21" in="1">
        <tpls c="4">
          <tpl fld="7" item="850"/>
          <tpl fld="6" item="1"/>
          <tpl hier="236" item="0"/>
          <tpl fld="4" item="4"/>
        </tpls>
      </n>
      <n v="1" in="2">
        <tpls c="4">
          <tpl fld="7" item="853"/>
          <tpl fld="6" item="2"/>
          <tpl hier="236" item="0"/>
          <tpl fld="4" item="4"/>
        </tpls>
      </n>
      <m>
        <tpls c="4">
          <tpl fld="7" item="1272"/>
          <tpl fld="6" item="1"/>
          <tpl hier="236" item="0"/>
          <tpl fld="4" item="6"/>
        </tpls>
      </m>
      <m>
        <tpls c="3">
          <tpl fld="7" item="1021"/>
          <tpl fld="6" item="3"/>
          <tpl hier="236" item="0"/>
        </tpls>
      </m>
      <m>
        <tpls c="4">
          <tpl fld="7" item="1196"/>
          <tpl fld="6" item="2"/>
          <tpl hier="236" item="0"/>
          <tpl fld="4" item="1"/>
        </tpls>
      </m>
      <m>
        <tpls c="4">
          <tpl fld="7" item="866"/>
          <tpl fld="6" item="1"/>
          <tpl hier="236" item="0"/>
          <tpl fld="4" item="4"/>
        </tpls>
      </m>
      <n v="0.94932432432432434" in="2">
        <tpls c="4">
          <tpl fld="7" item="869"/>
          <tpl fld="6" item="2"/>
          <tpl hier="236" item="0"/>
          <tpl fld="4" item="4"/>
        </tpls>
      </n>
      <n v="29" in="1">
        <tpls c="4">
          <tpl fld="7" item="928"/>
          <tpl fld="6" item="1"/>
          <tpl hier="236" item="0"/>
          <tpl fld="4" item="4"/>
        </tpls>
      </n>
      <n v="4" in="1">
        <tpls c="4">
          <tpl fld="7" item="1142"/>
          <tpl fld="6" item="1"/>
          <tpl hier="236" item="0"/>
          <tpl fld="4" item="4"/>
        </tpls>
      </n>
      <n v="2" in="1">
        <tpls c="4">
          <tpl fld="7" item="1150"/>
          <tpl fld="6" item="1"/>
          <tpl hier="236" item="0"/>
          <tpl fld="4" item="4"/>
        </tpls>
      </n>
      <n v="1" in="1">
        <tpls c="4">
          <tpl fld="7" item="1158"/>
          <tpl fld="6" item="1"/>
          <tpl hier="236" item="0"/>
          <tpl fld="4" item="4"/>
        </tpls>
      </n>
      <n v="6" in="1">
        <tpls c="4">
          <tpl fld="7" item="1166"/>
          <tpl fld="6" item="1"/>
          <tpl hier="236" item="0"/>
          <tpl fld="4" item="4"/>
        </tpls>
      </n>
      <m>
        <tpls c="4">
          <tpl fld="7" item="1174"/>
          <tpl fld="6" item="1"/>
          <tpl hier="236" item="0"/>
          <tpl fld="4" item="4"/>
        </tpls>
      </m>
      <n v="6" in="1">
        <tpls c="4">
          <tpl fld="7" item="1182"/>
          <tpl fld="6" item="1"/>
          <tpl hier="236" item="0"/>
          <tpl fld="4" item="4"/>
        </tpls>
      </n>
      <m>
        <tpls c="4">
          <tpl fld="7" item="863"/>
          <tpl fld="6" item="2"/>
          <tpl hier="236" item="0"/>
          <tpl fld="1" item="0"/>
        </tpls>
      </m>
      <m>
        <tpls c="4">
          <tpl fld="7" item="847"/>
          <tpl fld="6" item="2"/>
          <tpl hier="236" item="0"/>
          <tpl fld="1" item="0"/>
        </tpls>
      </m>
      <m>
        <tpls c="4">
          <tpl fld="7" item="831"/>
          <tpl fld="6" item="2"/>
          <tpl hier="236" item="0"/>
          <tpl fld="1" item="0"/>
        </tpls>
      </m>
      <n v="3.25" in="2">
        <tpls c="4">
          <tpl fld="7" item="377"/>
          <tpl fld="6" item="2"/>
          <tpl hier="236" item="0"/>
          <tpl fld="1" item="0"/>
        </tpls>
      </n>
      <n v="2" in="2">
        <tpls c="4">
          <tpl fld="7" item="361"/>
          <tpl fld="6" item="2"/>
          <tpl hier="236" item="0"/>
          <tpl fld="1" item="0"/>
        </tpls>
      </n>
      <m>
        <tpls c="4">
          <tpl fld="7" item="88"/>
          <tpl fld="6" item="2"/>
          <tpl hier="236" item="0"/>
          <tpl fld="1" item="0"/>
        </tpls>
      </m>
      <m>
        <tpls c="4">
          <tpl fld="7" item="593"/>
          <tpl fld="6" item="2"/>
          <tpl hier="236" item="0"/>
          <tpl fld="1" item="0"/>
        </tpls>
      </m>
      <m>
        <tpls c="3">
          <tpl fld="7" item="421"/>
          <tpl fld="6" item="3"/>
          <tpl hier="236" item="0"/>
        </tpls>
      </m>
      <m>
        <tpls c="4">
          <tpl fld="7" item="983"/>
          <tpl fld="6" item="2"/>
          <tpl hier="236" item="0"/>
          <tpl fld="4" item="6"/>
        </tpls>
      </m>
      <m>
        <tpls c="4">
          <tpl fld="7" item="693"/>
          <tpl fld="6" item="2"/>
          <tpl hier="236" item="0"/>
          <tpl fld="4" item="6"/>
        </tpls>
      </m>
      <m>
        <tpls c="3">
          <tpl fld="7" item="1089"/>
          <tpl fld="6" item="3"/>
          <tpl hier="236" item="0"/>
        </tpls>
      </m>
      <m>
        <tpls c="4">
          <tpl fld="7" item="622"/>
          <tpl fld="6" item="1"/>
          <tpl hier="236" item="0"/>
          <tpl fld="4" item="5"/>
        </tpls>
      </m>
      <n v="5" in="1">
        <tpls c="4">
          <tpl fld="7" item="564"/>
          <tpl fld="6" item="1"/>
          <tpl hier="236" item="0"/>
          <tpl fld="4" item="1"/>
        </tpls>
      </n>
      <n v="2" in="1">
        <tpls c="4">
          <tpl fld="7" item="632"/>
          <tpl fld="6" item="1"/>
          <tpl hier="236" item="0"/>
          <tpl fld="4" item="6"/>
        </tpls>
      </n>
      <m>
        <tpls c="4">
          <tpl fld="7" item="716"/>
          <tpl fld="6" item="1"/>
          <tpl hier="236" item="0"/>
          <tpl fld="1" item="0"/>
        </tpls>
      </m>
      <m>
        <tpls c="4">
          <tpl fld="7" item="581"/>
          <tpl fld="6" item="2"/>
          <tpl hier="236" item="0"/>
          <tpl fld="1" item="0"/>
        </tpls>
      </m>
      <m>
        <tpls c="4">
          <tpl fld="7" item="583"/>
          <tpl fld="6" item="2"/>
          <tpl hier="236" item="0"/>
          <tpl fld="4" item="6"/>
        </tpls>
      </m>
      <n v="0" in="1">
        <tpls c="4">
          <tpl fld="7" item="585"/>
          <tpl fld="6" item="1"/>
          <tpl hier="236" item="0"/>
          <tpl fld="4" item="5"/>
        </tpls>
      </n>
      <m>
        <tpls c="4">
          <tpl fld="7" item="805"/>
          <tpl fld="6" item="2"/>
          <tpl hier="236" item="0"/>
          <tpl fld="4" item="1"/>
        </tpls>
      </m>
      <n v="0.55000000000000004" in="2">
        <tpls c="4">
          <tpl fld="7" item="588"/>
          <tpl fld="6" item="2"/>
          <tpl hier="236" item="0"/>
          <tpl fld="1" item="0"/>
        </tpls>
      </n>
      <m>
        <tpls c="4">
          <tpl fld="7" item="1096"/>
          <tpl fld="6" item="1"/>
          <tpl hier="236" item="0"/>
          <tpl fld="4" item="1"/>
        </tpls>
      </m>
      <n v="0" in="1">
        <tpls c="4">
          <tpl fld="7" item="727"/>
          <tpl fld="6" item="1"/>
          <tpl hier="236" item="0"/>
          <tpl fld="1" item="0"/>
        </tpls>
      </n>
      <m>
        <tpls c="4">
          <tpl fld="7" item="994"/>
          <tpl fld="6" item="2"/>
          <tpl hier="236" item="0"/>
          <tpl fld="4" item="4"/>
        </tpls>
      </m>
      <m>
        <tpls c="3">
          <tpl fld="7" item="730"/>
          <tpl fld="6" item="3"/>
          <tpl hier="236" item="0"/>
        </tpls>
      </m>
      <n v="2" in="1">
        <tpls c="4">
          <tpl fld="7" item="891"/>
          <tpl fld="6" item="1"/>
          <tpl hier="236" item="0"/>
          <tpl fld="4" item="4"/>
        </tpls>
      </n>
      <m>
        <tpls c="4">
          <tpl fld="7" item="653"/>
          <tpl fld="6" item="2"/>
          <tpl hier="236" item="0"/>
          <tpl fld="4" item="5"/>
        </tpls>
      </m>
      <m>
        <tpls c="4">
          <tpl fld="7" item="816"/>
          <tpl fld="6" item="2"/>
          <tpl hier="236" item="0"/>
          <tpl fld="4" item="6"/>
        </tpls>
      </m>
      <m>
        <tpls c="4">
          <tpl fld="7" item="656"/>
          <tpl fld="6" item="1"/>
          <tpl hier="236" item="0"/>
          <tpl fld="4" item="5"/>
        </tpls>
      </m>
      <m>
        <tpls c="4">
          <tpl fld="7" item="819"/>
          <tpl fld="6" item="1"/>
          <tpl hier="236" item="0"/>
          <tpl fld="4" item="6"/>
        </tpls>
      </m>
      <m>
        <tpls c="4">
          <tpl fld="7" item="659"/>
          <tpl fld="6" item="2"/>
          <tpl hier="236" item="0"/>
          <tpl fld="4" item="1"/>
        </tpls>
      </m>
      <m>
        <tpls c="4">
          <tpl fld="7" item="740"/>
          <tpl fld="6" item="2"/>
          <tpl hier="236" item="0"/>
          <tpl fld="1" item="0"/>
        </tpls>
      </m>
      <n v="1" in="1">
        <tpls c="4">
          <tpl fld="7" item="1100"/>
          <tpl fld="6" item="1"/>
          <tpl hier="236" item="0"/>
          <tpl fld="4" item="1"/>
        </tpls>
      </n>
      <n v="28" in="1">
        <tpls c="4">
          <tpl fld="7" item="743"/>
          <tpl fld="6" item="1"/>
          <tpl hier="236" item="0"/>
          <tpl fld="1" item="0"/>
        </tpls>
      </n>
      <n v="1" in="2">
        <tpls c="4">
          <tpl fld="7" item="665"/>
          <tpl fld="6" item="2"/>
          <tpl hier="236" item="0"/>
          <tpl fld="4" item="6"/>
        </tpls>
      </n>
      <n v="0.85" in="2">
        <tpls c="4">
          <tpl fld="7" item="667"/>
          <tpl fld="6" item="2"/>
          <tpl hier="236" item="0"/>
          <tpl fld="4" item="6"/>
        </tpls>
      </n>
      <n v="1" in="1">
        <tpls c="4">
          <tpl fld="7" item="896"/>
          <tpl fld="6" item="1"/>
          <tpl hier="236" item="0"/>
          <tpl fld="4" item="4"/>
        </tpls>
      </n>
      <m>
        <tpls c="4">
          <tpl fld="7" item="1002"/>
          <tpl fld="6" item="2"/>
          <tpl hier="236" item="0"/>
          <tpl fld="4" item="4"/>
        </tpls>
      </m>
      <m>
        <tpls c="4">
          <tpl fld="7" item="1217"/>
          <tpl fld="6" item="1"/>
          <tpl hier="236" item="0"/>
          <tpl fld="4" item="6"/>
        </tpls>
      </m>
      <m>
        <tpls c="3">
          <tpl fld="7" item="1007"/>
          <tpl fld="6" item="3"/>
          <tpl hier="236" item="0"/>
        </tpls>
      </m>
      <m>
        <tpls c="4">
          <tpl fld="7" item="844"/>
          <tpl fld="6" item="2"/>
          <tpl hier="236" item="0"/>
          <tpl fld="4" item="1"/>
        </tpls>
      </m>
      <m>
        <tpls c="4">
          <tpl fld="7" item="908"/>
          <tpl fld="6" item="1"/>
          <tpl hier="236" item="0"/>
          <tpl fld="4" item="4"/>
        </tpls>
      </m>
      <m>
        <tpls c="4">
          <tpl fld="7" item="1014"/>
          <tpl fld="6" item="2"/>
          <tpl hier="236" item="0"/>
          <tpl fld="4" item="4"/>
        </tpls>
      </m>
      <n v="3" in="1">
        <tpls c="4">
          <tpl fld="7" item="1220"/>
          <tpl fld="6" item="1"/>
          <tpl hier="236" item="0"/>
          <tpl fld="4" item="6"/>
        </tpls>
      </n>
      <m>
        <tpls c="3">
          <tpl fld="7" item="1019"/>
          <tpl fld="6" item="3"/>
          <tpl hier="236" item="0"/>
        </tpls>
      </m>
      <m>
        <tpls c="4">
          <tpl fld="7" item="860"/>
          <tpl fld="6" item="2"/>
          <tpl hier="236" item="0"/>
          <tpl fld="4" item="1"/>
        </tpls>
      </m>
      <n v="1" in="1">
        <tpls c="4">
          <tpl fld="7" item="920"/>
          <tpl fld="6" item="1"/>
          <tpl hier="236" item="0"/>
          <tpl fld="4" item="4"/>
        </tpls>
      </n>
      <m>
        <tpls c="4">
          <tpl fld="7" item="1026"/>
          <tpl fld="6" item="2"/>
          <tpl hier="236" item="0"/>
          <tpl fld="4" item="4"/>
        </tpls>
      </m>
      <m>
        <tpls c="4">
          <tpl fld="7" item="1223"/>
          <tpl fld="6" item="1"/>
          <tpl hier="236" item="0"/>
          <tpl fld="4" item="6"/>
        </tpls>
      </m>
      <m>
        <tpls c="4">
          <tpl fld="7" item="1224"/>
          <tpl fld="6" item="2"/>
          <tpl hier="236" item="0"/>
          <tpl fld="4" item="1"/>
        </tpls>
      </m>
      <m>
        <tpls c="4">
          <tpl fld="7" item="1143"/>
          <tpl fld="6" item="2"/>
          <tpl hier="236" item="0"/>
          <tpl fld="4" item="1"/>
        </tpls>
      </m>
      <m>
        <tpls c="4">
          <tpl fld="7" item="1151"/>
          <tpl fld="6" item="2"/>
          <tpl hier="236" item="0"/>
          <tpl fld="4" item="1"/>
        </tpls>
      </m>
      <m>
        <tpls c="4">
          <tpl fld="7" item="1159"/>
          <tpl fld="6" item="2"/>
          <tpl hier="236" item="0"/>
          <tpl fld="4" item="1"/>
        </tpls>
      </m>
      <m>
        <tpls c="4">
          <tpl fld="7" item="1167"/>
          <tpl fld="6" item="2"/>
          <tpl hier="236" item="0"/>
          <tpl fld="4" item="1"/>
        </tpls>
      </m>
      <m>
        <tpls c="4">
          <tpl fld="7" item="1175"/>
          <tpl fld="6" item="2"/>
          <tpl hier="236" item="0"/>
          <tpl fld="4" item="1"/>
        </tpls>
      </m>
      <m>
        <tpls c="4">
          <tpl fld="7" item="1183"/>
          <tpl fld="6" item="2"/>
          <tpl hier="236" item="0"/>
          <tpl fld="4" item="1"/>
        </tpls>
      </m>
      <m>
        <tpls c="4">
          <tpl fld="7" item="1022"/>
          <tpl fld="6" item="2"/>
          <tpl hier="236" item="0"/>
          <tpl fld="1" item="0"/>
        </tpls>
      </m>
      <m>
        <tpls c="4">
          <tpl fld="7" item="1010"/>
          <tpl fld="6" item="2"/>
          <tpl hier="236" item="0"/>
          <tpl fld="1" item="0"/>
        </tpls>
      </m>
      <m>
        <tpls c="4">
          <tpl fld="7" item="318"/>
          <tpl fld="6" item="2"/>
          <tpl hier="236" item="0"/>
          <tpl fld="1" item="0"/>
        </tpls>
      </m>
      <n v="0.95" in="2">
        <tpls c="4">
          <tpl fld="7" item="516"/>
          <tpl fld="6" item="2"/>
          <tpl hier="236" item="0"/>
          <tpl fld="1" item="0"/>
        </tpls>
      </n>
      <m>
        <tpls c="4">
          <tpl fld="7" item="500"/>
          <tpl fld="6" item="2"/>
          <tpl hier="236" item="0"/>
          <tpl fld="1" item="0"/>
        </tpls>
      </m>
      <m>
        <tpls c="4">
          <tpl fld="7" item="208"/>
          <tpl fld="6" item="2"/>
          <tpl hier="236" item="0"/>
          <tpl fld="1" item="0"/>
        </tpls>
      </m>
      <m>
        <tpls c="4">
          <tpl fld="7" item="185"/>
          <tpl fld="6" item="2"/>
          <tpl hier="236" item="0"/>
          <tpl fld="1" item="0"/>
        </tpls>
      </m>
      <m>
        <tpls c="4">
          <tpl fld="7" item="266"/>
          <tpl fld="6" item="2"/>
          <tpl hier="236" item="0"/>
          <tpl fld="1" item="0"/>
        </tpls>
      </m>
      <m>
        <tpls c="4">
          <tpl fld="7" item="338"/>
          <tpl fld="6" item="2"/>
          <tpl hier="236" item="0"/>
          <tpl fld="1" item="0"/>
        </tpls>
      </m>
      <m>
        <tpls c="4">
          <tpl fld="7" item="474"/>
          <tpl fld="6" item="2"/>
          <tpl hier="236" item="0"/>
          <tpl fld="1" item="0"/>
        </tpls>
      </m>
      <m>
        <tpls c="4">
          <tpl fld="7" item="1"/>
          <tpl fld="6" item="2"/>
          <tpl hier="236" item="0"/>
          <tpl fld="1" item="0"/>
        </tpls>
      </m>
      <m>
        <tpls c="4">
          <tpl fld="7" item="1261"/>
          <tpl fld="6" item="2"/>
          <tpl hier="236" item="0"/>
          <tpl fld="4" item="5"/>
        </tpls>
      </m>
      <m>
        <tpls c="4">
          <tpl fld="7" item="1121"/>
          <tpl fld="6" item="2"/>
          <tpl hier="236" item="0"/>
          <tpl fld="4" item="5"/>
        </tpls>
      </m>
      <m>
        <tpls c="4">
          <tpl fld="7" item="1109"/>
          <tpl fld="6" item="2"/>
          <tpl hier="236" item="0"/>
          <tpl fld="4" item="5"/>
        </tpls>
      </m>
      <m>
        <tpls c="4">
          <tpl fld="7" item="527"/>
          <tpl fld="6" item="2"/>
          <tpl hier="236" item="0"/>
          <tpl fld="4" item="5"/>
        </tpls>
      </m>
      <m>
        <tpls c="4">
          <tpl fld="7" item="511"/>
          <tpl fld="6" item="2"/>
          <tpl hier="236" item="0"/>
          <tpl fld="4" item="5"/>
        </tpls>
      </m>
      <m>
        <tpls c="4">
          <tpl fld="7" item="985"/>
          <tpl fld="6" item="1"/>
          <tpl hier="236" item="0"/>
          <tpl fld="4" item="6"/>
        </tpls>
      </m>
      <n v="3" in="1">
        <tpls c="4">
          <tpl fld="7" item="793"/>
          <tpl fld="6" item="1"/>
          <tpl hier="236" item="0"/>
          <tpl fld="4" item="1"/>
        </tpls>
      </n>
      <n v="27" in="1">
        <tpls c="4">
          <tpl fld="7" item="642"/>
          <tpl fld="6" item="1"/>
          <tpl hier="236" item="0"/>
          <tpl fld="1" item="0"/>
        </tpls>
      </n>
      <m>
        <tpls c="4">
          <tpl fld="7" item="647"/>
          <tpl fld="6" item="2"/>
          <tpl hier="236" item="0"/>
          <tpl fld="1" item="0"/>
        </tpls>
      </m>
      <m>
        <tpls c="3">
          <tpl fld="7" item="653"/>
          <tpl fld="6" item="3"/>
          <tpl hier="236" item="0"/>
        </tpls>
      </m>
      <m>
        <tpls c="4">
          <tpl fld="7" item="1215"/>
          <tpl fld="6" item="1"/>
          <tpl hier="236" item="0"/>
          <tpl fld="4" item="5"/>
        </tpls>
      </m>
      <m>
        <tpls c="4">
          <tpl fld="7" item="998"/>
          <tpl fld="6" item="1"/>
          <tpl hier="236" item="0"/>
          <tpl fld="4" item="1"/>
        </tpls>
      </m>
      <m>
        <tpls c="4">
          <tpl fld="7" item="1107"/>
          <tpl fld="6" item="2"/>
          <tpl hier="236" item="0"/>
          <tpl fld="4" item="1"/>
        </tpls>
      </m>
      <m>
        <tpls c="3">
          <tpl fld="7" item="850"/>
          <tpl fld="6" item="3"/>
          <tpl hier="236" item="0"/>
        </tpls>
      </m>
      <m>
        <tpls c="4">
          <tpl fld="7" item="1196"/>
          <tpl fld="6" item="1"/>
          <tpl hier="236" item="0"/>
          <tpl fld="4" item="6"/>
        </tpls>
      </m>
      <m>
        <tpls c="4">
          <tpl fld="7" item="1200"/>
          <tpl fld="6" item="1"/>
          <tpl hier="236" item="0"/>
          <tpl fld="4" item="4"/>
        </tpls>
      </m>
      <n v="3" in="1">
        <tpls c="4">
          <tpl fld="7" item="1208"/>
          <tpl fld="6" item="1"/>
          <tpl hier="236" item="0"/>
          <tpl fld="4" item="4"/>
        </tpls>
      </n>
      <m>
        <tpls c="4">
          <tpl fld="7" item="1190"/>
          <tpl fld="6" item="2"/>
          <tpl hier="236" item="0"/>
          <tpl fld="1" item="0"/>
        </tpls>
      </m>
      <m>
        <tpls c="4">
          <tpl fld="7" item="79"/>
          <tpl fld="6" item="2"/>
          <tpl hier="236" item="0"/>
          <tpl fld="1" item="0"/>
        </tpls>
      </m>
      <m>
        <tpls c="4">
          <tpl fld="7" item="407"/>
          <tpl fld="6" item="2"/>
          <tpl hier="236" item="0"/>
          <tpl fld="1" item="0"/>
        </tpls>
      </m>
      <m>
        <tpls c="4">
          <tpl fld="7" item="669"/>
          <tpl fld="6" item="2"/>
          <tpl hier="236" item="0"/>
          <tpl fld="1" item="0"/>
        </tpls>
      </m>
      <m>
        <tpls c="4">
          <tpl fld="7" item="857"/>
          <tpl fld="6" item="2"/>
          <tpl hier="236" item="0"/>
          <tpl fld="4" item="5"/>
        </tpls>
      </m>
      <m>
        <tpls c="4">
          <tpl fld="7" item="1003"/>
          <tpl fld="6" item="2"/>
          <tpl hier="236" item="0"/>
          <tpl fld="4" item="5"/>
        </tpls>
      </m>
      <m>
        <tpls c="4">
          <tpl fld="7" item="447"/>
          <tpl fld="6" item="2"/>
          <tpl hier="236" item="0"/>
          <tpl fld="4" item="5"/>
        </tpls>
      </m>
      <m>
        <tpls c="4">
          <tpl fld="7" item="357"/>
          <tpl fld="6" item="2"/>
          <tpl hier="236" item="0"/>
          <tpl fld="4" item="5"/>
        </tpls>
      </m>
      <m>
        <tpls c="4">
          <tpl fld="7" item="489"/>
          <tpl fld="6" item="2"/>
          <tpl hier="236" item="0"/>
          <tpl fld="4" item="5"/>
        </tpls>
      </m>
      <m>
        <tpls c="4">
          <tpl fld="7" item="292"/>
          <tpl fld="6" item="2"/>
          <tpl hier="236" item="0"/>
          <tpl fld="4" item="5"/>
        </tpls>
      </m>
      <m>
        <tpls c="4">
          <tpl fld="7" item="43"/>
          <tpl fld="6" item="2"/>
          <tpl hier="236" item="0"/>
          <tpl fld="4" item="5"/>
        </tpls>
      </m>
      <m>
        <tpls c="4">
          <tpl fld="7" item="264"/>
          <tpl fld="6" item="2"/>
          <tpl hier="236" item="0"/>
          <tpl fld="4" item="5"/>
        </tpls>
      </m>
      <m>
        <tpls c="4">
          <tpl fld="7" item="31"/>
          <tpl fld="6" item="2"/>
          <tpl hier="236" item="0"/>
          <tpl fld="4" item="5"/>
        </tpls>
      </m>
      <m>
        <tpls c="4">
          <tpl fld="7" item="669"/>
          <tpl fld="6" item="2"/>
          <tpl hier="236" item="0"/>
          <tpl fld="4" item="5"/>
        </tpls>
      </m>
      <m>
        <tpls c="4">
          <tpl fld="7" item="924"/>
          <tpl fld="6" item="2"/>
          <tpl hier="236" item="0"/>
          <tpl fld="4" item="6"/>
        </tpls>
      </m>
      <m>
        <tpls c="4">
          <tpl fld="7" item="912"/>
          <tpl fld="6" item="2"/>
          <tpl hier="236" item="0"/>
          <tpl fld="4" item="6"/>
        </tpls>
      </m>
      <m>
        <tpls c="4">
          <tpl fld="7" item="900"/>
          <tpl fld="6" item="2"/>
          <tpl hier="236" item="0"/>
          <tpl fld="4" item="6"/>
        </tpls>
      </m>
      <m>
        <tpls c="4">
          <tpl fld="7" item="448"/>
          <tpl fld="6" item="2"/>
          <tpl hier="236" item="0"/>
          <tpl fld="4" item="6"/>
        </tpls>
      </m>
      <n v="2" in="2">
        <tpls c="4">
          <tpl fld="7" item="432"/>
          <tpl fld="6" item="2"/>
          <tpl hier="236" item="0"/>
          <tpl fld="4" item="6"/>
        </tpls>
      </n>
      <m>
        <tpls c="4">
          <tpl fld="7" item="209"/>
          <tpl fld="6" item="2"/>
          <tpl hier="236" item="0"/>
          <tpl fld="4" item="6"/>
        </tpls>
      </m>
      <m>
        <tpls c="4">
          <tpl fld="7" item="193"/>
          <tpl fld="6" item="2"/>
          <tpl hier="236" item="0"/>
          <tpl fld="4" item="6"/>
        </tpls>
      </m>
      <m>
        <tpls c="4">
          <tpl fld="7" item="69"/>
          <tpl fld="6" item="2"/>
          <tpl hier="236" item="0"/>
          <tpl fld="4" item="6"/>
        </tpls>
      </m>
      <m>
        <tpls c="4">
          <tpl fld="7" item="143"/>
          <tpl fld="6" item="2"/>
          <tpl hier="236" item="0"/>
          <tpl fld="4" item="6"/>
        </tpls>
      </m>
      <m>
        <tpls c="4">
          <tpl fld="7" item="21"/>
          <tpl fld="6" item="2"/>
          <tpl hier="236" item="0"/>
          <tpl fld="4" item="6"/>
        </tpls>
      </m>
      <m>
        <tpls c="4">
          <tpl fld="7" item="922"/>
          <tpl fld="6" item="1"/>
          <tpl hier="236" item="0"/>
          <tpl fld="4" item="5"/>
        </tpls>
      </m>
      <m>
        <tpls c="4">
          <tpl fld="7" item="910"/>
          <tpl fld="6" item="1"/>
          <tpl hier="236" item="0"/>
          <tpl fld="4" item="5"/>
        </tpls>
      </m>
      <n v="3" in="1">
        <tpls c="4">
          <tpl fld="7" item="898"/>
          <tpl fld="6" item="1"/>
          <tpl hier="236" item="0"/>
          <tpl fld="4" item="5"/>
        </tpls>
      </n>
      <n v="4" in="1">
        <tpls c="4">
          <tpl fld="7" item="375"/>
          <tpl fld="6" item="1"/>
          <tpl hier="236" item="0"/>
          <tpl fld="4" item="5"/>
        </tpls>
      </n>
      <m>
        <tpls c="4">
          <tpl fld="7" item="359"/>
          <tpl fld="6" item="1"/>
          <tpl hier="236" item="0"/>
          <tpl fld="4" item="5"/>
        </tpls>
      </m>
      <n v="0" in="1">
        <tpls c="4">
          <tpl fld="7" item="207"/>
          <tpl fld="6" item="1"/>
          <tpl hier="236" item="0"/>
          <tpl fld="4" item="5"/>
        </tpls>
      </n>
      <m>
        <tpls c="4">
          <tpl fld="7" item="83"/>
          <tpl fld="6" item="1"/>
          <tpl hier="236" item="0"/>
          <tpl fld="4" item="5"/>
        </tpls>
      </m>
      <m>
        <tpls c="4">
          <tpl fld="7" item="67"/>
          <tpl fld="6" item="1"/>
          <tpl hier="236" item="0"/>
          <tpl fld="4" item="5"/>
        </tpls>
      </m>
      <m>
        <tpls c="4">
          <tpl fld="7" item="245"/>
          <tpl fld="6" item="1"/>
          <tpl hier="236" item="0"/>
          <tpl fld="4" item="5"/>
        </tpls>
      </m>
      <m>
        <tpls c="4">
          <tpl fld="7" item="127"/>
          <tpl fld="6" item="1"/>
          <tpl hier="236" item="0"/>
          <tpl fld="4" item="5"/>
        </tpls>
      </m>
      <n v="1" in="1">
        <tpls c="4">
          <tpl fld="7" item="1072"/>
          <tpl fld="6" item="1"/>
          <tpl hier="236" item="0"/>
          <tpl fld="4" item="1"/>
        </tpls>
      </n>
      <m>
        <tpls c="4">
          <tpl fld="7" item="1056"/>
          <tpl fld="6" item="1"/>
          <tpl hier="236" item="0"/>
          <tpl fld="4" item="1"/>
        </tpls>
      </m>
      <m>
        <tpls c="4">
          <tpl fld="7" item="1040"/>
          <tpl fld="6" item="1"/>
          <tpl hier="236" item="0"/>
          <tpl fld="4" item="1"/>
        </tpls>
      </m>
      <n v="1" in="1">
        <tpls c="4">
          <tpl fld="7" item="1223"/>
          <tpl fld="6" item="1"/>
          <tpl hier="236" item="0"/>
          <tpl fld="4" item="1"/>
        </tpls>
      </n>
      <n v="3" in="1">
        <tpls c="4">
          <tpl fld="7" item="1220"/>
          <tpl fld="6" item="1"/>
          <tpl hier="236" item="0"/>
          <tpl fld="4" item="1"/>
        </tpls>
      </n>
      <n v="1" in="1">
        <tpls c="4">
          <tpl fld="7" item="1217"/>
          <tpl fld="6" item="1"/>
          <tpl hier="236" item="0"/>
          <tpl fld="4" item="1"/>
        </tpls>
      </n>
      <n v="6" in="1">
        <tpls c="4">
          <tpl fld="7" item="525"/>
          <tpl fld="6" item="1"/>
          <tpl hier="236" item="0"/>
          <tpl fld="4" item="1"/>
        </tpls>
      </n>
      <m>
        <tpls c="4">
          <tpl fld="7" item="509"/>
          <tpl fld="6" item="1"/>
          <tpl hier="236" item="0"/>
          <tpl fld="4" item="1"/>
        </tpls>
      </m>
      <m>
        <tpls c="4">
          <tpl fld="7" item="493"/>
          <tpl fld="6" item="1"/>
          <tpl hier="236" item="0"/>
          <tpl fld="4" item="1"/>
        </tpls>
      </m>
      <m>
        <tpls c="4">
          <tpl fld="7" item="94"/>
          <tpl fld="6" item="1"/>
          <tpl hier="236" item="0"/>
          <tpl fld="4" item="1"/>
        </tpls>
      </m>
      <m>
        <tpls c="4">
          <tpl fld="7" item="287"/>
          <tpl fld="6" item="1"/>
          <tpl hier="236" item="0"/>
          <tpl fld="4" item="1"/>
        </tpls>
      </m>
      <m>
        <tpls c="4">
          <tpl fld="7" item="279"/>
          <tpl fld="6" item="1"/>
          <tpl hier="236" item="0"/>
          <tpl fld="4" item="1"/>
        </tpls>
      </m>
      <m>
        <tpls c="4">
          <tpl fld="7" item="42"/>
          <tpl fld="6" item="1"/>
          <tpl hier="236" item="0"/>
          <tpl fld="4" item="1"/>
        </tpls>
      </m>
      <m>
        <tpls c="4">
          <tpl fld="7" item="111"/>
          <tpl fld="6" item="1"/>
          <tpl hier="236" item="0"/>
          <tpl fld="4" item="1"/>
        </tpls>
      </m>
      <m>
        <tpls c="4">
          <tpl fld="7" item="221"/>
          <tpl fld="6" item="1"/>
          <tpl hier="236" item="0"/>
          <tpl fld="4" item="1"/>
        </tpls>
      </m>
      <n v="2" in="1">
        <tpls c="4">
          <tpl fld="7" item="863"/>
          <tpl fld="6" item="1"/>
          <tpl hier="236" item="0"/>
          <tpl fld="1" item="0"/>
        </tpls>
      </n>
      <m>
        <tpls c="4">
          <tpl fld="7" item="847"/>
          <tpl fld="6" item="1"/>
          <tpl hier="236" item="0"/>
          <tpl fld="1" item="0"/>
        </tpls>
      </m>
      <n v="6" in="1">
        <tpls c="4">
          <tpl fld="7" item="831"/>
          <tpl fld="6" item="1"/>
          <tpl hier="236" item="0"/>
          <tpl fld="1" item="0"/>
        </tpls>
      </n>
      <m>
        <tpls c="4">
          <tpl fld="7" item="694"/>
          <tpl fld="6" item="2"/>
          <tpl hier="236" item="0"/>
          <tpl fld="4" item="6"/>
        </tpls>
      </m>
      <n v="3" in="1">
        <tpls c="4">
          <tpl fld="7" item="633"/>
          <tpl fld="6" item="1"/>
          <tpl hier="236" item="0"/>
          <tpl fld="4" item="4"/>
        </tpls>
      </n>
      <n v="36" in="1">
        <tpls c="4">
          <tpl fld="7" item="804"/>
          <tpl fld="6" item="1"/>
          <tpl hier="236" item="0"/>
          <tpl fld="4" item="4"/>
        </tpls>
      </n>
      <m>
        <tpls c="4">
          <tpl fld="7" item="809"/>
          <tpl fld="6" item="1"/>
          <tpl hier="236" item="0"/>
          <tpl fld="4" item="1"/>
        </tpls>
      </m>
      <n v="2" in="1">
        <tpls c="4">
          <tpl fld="7" item="815"/>
          <tpl fld="6" item="1"/>
          <tpl hier="236" item="0"/>
          <tpl fld="4" item="4"/>
        </tpls>
      </n>
      <m>
        <tpls c="4">
          <tpl fld="7" item="739"/>
          <tpl fld="6" item="1"/>
          <tpl hier="236" item="0"/>
          <tpl fld="4" item="6"/>
        </tpls>
      </m>
      <m>
        <tpls c="4">
          <tpl fld="7" item="827"/>
          <tpl fld="6" item="2"/>
          <tpl hier="236" item="0"/>
          <tpl fld="4" item="1"/>
        </tpls>
      </m>
      <m>
        <tpls c="4">
          <tpl fld="7" item="1005"/>
          <tpl fld="6" item="2"/>
          <tpl hier="236" item="0"/>
          <tpl fld="4" item="1"/>
        </tpls>
      </m>
      <m>
        <tpls c="3">
          <tpl fld="7" item="851"/>
          <tpl fld="6" item="3"/>
          <tpl hier="236" item="0"/>
        </tpls>
      </m>
      <m>
        <tpls c="4">
          <tpl fld="7" item="1127"/>
          <tpl fld="6" item="1"/>
          <tpl hier="236" item="0"/>
          <tpl fld="4" item="6"/>
        </tpls>
      </m>
      <n v="3" in="1">
        <tpls c="4">
          <tpl fld="7" item="1042"/>
          <tpl fld="6" item="1"/>
          <tpl hier="236" item="0"/>
          <tpl fld="4" item="4"/>
        </tpls>
      </n>
      <n v="4" in="1">
        <tpls c="4">
          <tpl fld="7" item="1074"/>
          <tpl fld="6" item="1"/>
          <tpl hier="236" item="0"/>
          <tpl fld="4" item="4"/>
        </tpls>
      </n>
      <m>
        <tpls c="4">
          <tpl fld="7" item="305"/>
          <tpl fld="6" item="2"/>
          <tpl hier="236" item="0"/>
          <tpl fld="1" item="0"/>
        </tpls>
      </m>
      <m>
        <tpls c="4">
          <tpl fld="7" item="74"/>
          <tpl fld="6" item="2"/>
          <tpl hier="236" item="0"/>
          <tpl fld="1" item="0"/>
        </tpls>
      </m>
      <m>
        <tpls c="4">
          <tpl fld="7" item="129"/>
          <tpl fld="6" item="2"/>
          <tpl hier="236" item="0"/>
          <tpl fld="1" item="0"/>
        </tpls>
      </m>
      <m>
        <tpls c="4">
          <tpl fld="7" item="17"/>
          <tpl fld="6" item="2"/>
          <tpl hier="236" item="0"/>
          <tpl fld="1" item="0"/>
        </tpls>
      </m>
      <m>
        <tpls c="4">
          <tpl fld="7" item="914"/>
          <tpl fld="6" item="2"/>
          <tpl hier="236" item="0"/>
          <tpl fld="4" item="5"/>
        </tpls>
      </m>
      <m>
        <tpls c="4">
          <tpl fld="7" item="834"/>
          <tpl fld="6" item="2"/>
          <tpl hier="236" item="0"/>
          <tpl fld="4" item="5"/>
        </tpls>
      </m>
      <m>
        <tpls c="4">
          <tpl fld="7" item="762"/>
          <tpl fld="6" item="2"/>
          <tpl hier="236" item="0"/>
          <tpl fld="4" item="5"/>
        </tpls>
      </m>
      <m>
        <tpls c="4">
          <tpl fld="7" item="497"/>
          <tpl fld="6" item="2"/>
          <tpl hier="236" item="0"/>
          <tpl fld="4" item="5"/>
        </tpls>
      </m>
      <m>
        <tpls c="4">
          <tpl fld="7" item="755"/>
          <tpl fld="6" item="2"/>
          <tpl hier="236" item="0"/>
          <tpl fld="4" item="5"/>
        </tpls>
      </m>
      <m>
        <tpls c="4">
          <tpl fld="7" item="414"/>
          <tpl fld="6" item="2"/>
          <tpl hier="236" item="0"/>
          <tpl fld="4" item="5"/>
        </tpls>
      </m>
      <m>
        <tpls c="4">
          <tpl fld="7" item="162"/>
          <tpl fld="6" item="2"/>
          <tpl hier="236" item="0"/>
          <tpl fld="4" item="5"/>
        </tpls>
      </m>
      <m>
        <tpls c="4">
          <tpl fld="7" item="259"/>
          <tpl fld="6" item="2"/>
          <tpl hier="236" item="0"/>
          <tpl fld="4" item="5"/>
        </tpls>
      </m>
      <m>
        <tpls c="4">
          <tpl fld="7" item="246"/>
          <tpl fld="6" item="2"/>
          <tpl hier="236" item="0"/>
          <tpl fld="4" item="5"/>
        </tpls>
      </m>
      <m>
        <tpls c="4">
          <tpl fld="7" item="126"/>
          <tpl fld="6" item="2"/>
          <tpl hier="236" item="0"/>
          <tpl fld="4" item="5"/>
        </tpls>
      </m>
      <m>
        <tpls c="4">
          <tpl fld="7" item="923"/>
          <tpl fld="6" item="2"/>
          <tpl hier="236" item="0"/>
          <tpl fld="4" item="6"/>
        </tpls>
      </m>
      <m>
        <tpls c="4">
          <tpl fld="7" item="911"/>
          <tpl fld="6" item="2"/>
          <tpl hier="236" item="0"/>
          <tpl fld="4" item="6"/>
        </tpls>
      </m>
      <m>
        <tpls c="4">
          <tpl fld="7" item="899"/>
          <tpl fld="6" item="2"/>
          <tpl hier="236" item="0"/>
          <tpl fld="4" item="6"/>
        </tpls>
      </m>
      <n v="3.8648648648648649" in="2">
        <tpls c="4">
          <tpl fld="7" item="376"/>
          <tpl fld="6" item="2"/>
          <tpl hier="236" item="0"/>
          <tpl fld="4" item="6"/>
        </tpls>
      </n>
      <m>
        <tpls c="4">
          <tpl fld="7" item="360"/>
          <tpl fld="6" item="2"/>
          <tpl hier="236" item="0"/>
          <tpl fld="4" item="6"/>
        </tpls>
      </m>
      <m>
        <tpls c="4">
          <tpl fld="7" item="100"/>
          <tpl fld="6" item="2"/>
          <tpl hier="236" item="0"/>
          <tpl fld="4" item="6"/>
        </tpls>
      </m>
      <m>
        <tpls c="4">
          <tpl fld="7" item="300"/>
          <tpl fld="6" item="2"/>
          <tpl hier="236" item="0"/>
          <tpl fld="4" item="6"/>
        </tpls>
      </m>
      <m>
        <tpls c="4">
          <tpl fld="7" item="284"/>
          <tpl fld="6" item="2"/>
          <tpl hier="236" item="0"/>
          <tpl fld="4" item="6"/>
        </tpls>
      </m>
      <m>
        <tpls c="4">
          <tpl fld="7" item="138"/>
          <tpl fld="6" item="2"/>
          <tpl hier="236" item="0"/>
          <tpl fld="4" item="6"/>
        </tpls>
      </m>
      <m>
        <tpls c="4">
          <tpl fld="7" item="236"/>
          <tpl fld="6" item="2"/>
          <tpl hier="236" item="0"/>
          <tpl fld="4" item="6"/>
        </tpls>
      </m>
      <m>
        <tpls c="4">
          <tpl fld="7" item="921"/>
          <tpl fld="6" item="1"/>
          <tpl hier="236" item="0"/>
          <tpl fld="4" item="5"/>
        </tpls>
      </m>
      <m>
        <tpls c="4">
          <tpl fld="7" item="909"/>
          <tpl fld="6" item="1"/>
          <tpl hier="236" item="0"/>
          <tpl fld="4" item="5"/>
        </tpls>
      </m>
      <n v="1" in="1">
        <tpls c="4">
          <tpl fld="7" item="897"/>
          <tpl fld="6" item="1"/>
          <tpl hier="236" item="0"/>
          <tpl fld="4" item="5"/>
        </tpls>
      </n>
      <n v="4" in="1">
        <tpls c="4">
          <tpl fld="7" item="515"/>
          <tpl fld="6" item="1"/>
          <tpl hier="236" item="0"/>
          <tpl fld="4" item="5"/>
        </tpls>
      </n>
      <m>
        <tpls c="4">
          <tpl fld="7" item="499"/>
          <tpl fld="6" item="1"/>
          <tpl hier="236" item="0"/>
          <tpl fld="4" item="5"/>
        </tpls>
      </m>
      <m>
        <tpls c="4">
          <tpl fld="7" item="98"/>
          <tpl fld="6" item="1"/>
          <tpl hier="236" item="0"/>
          <tpl fld="4" item="5"/>
        </tpls>
      </m>
      <m>
        <tpls c="4">
          <tpl fld="7" item="298"/>
          <tpl fld="6" item="1"/>
          <tpl hier="236" item="0"/>
          <tpl fld="4" item="5"/>
        </tpls>
      </m>
      <m>
        <tpls c="4">
          <tpl fld="7" item="282"/>
          <tpl fld="6" item="1"/>
          <tpl hier="236" item="0"/>
          <tpl fld="4" item="5"/>
        </tpls>
      </m>
      <m>
        <tpls c="4">
          <tpl fld="7" item="40"/>
          <tpl fld="6" item="1"/>
          <tpl hier="236" item="0"/>
          <tpl fld="4" item="5"/>
        </tpls>
      </m>
      <m>
        <tpls c="4">
          <tpl fld="7" item="18"/>
          <tpl fld="6" item="1"/>
          <tpl hier="236" item="0"/>
          <tpl fld="4" item="5"/>
        </tpls>
      </m>
      <n v="2" in="1">
        <tpls c="4">
          <tpl fld="7" item="967"/>
          <tpl fld="6" item="1"/>
          <tpl hier="236" item="0"/>
          <tpl fld="4" item="1"/>
        </tpls>
      </n>
      <m>
        <tpls c="4">
          <tpl fld="7" item="597"/>
          <tpl fld="6" item="2"/>
          <tpl hier="236" item="0"/>
          <tpl fld="4" item="1"/>
        </tpls>
      </m>
      <m>
        <tpls c="4">
          <tpl fld="7" item="570"/>
          <tpl fld="6" item="1"/>
          <tpl hier="236" item="0"/>
          <tpl fld="4" item="4"/>
        </tpls>
      </m>
      <m>
        <tpls c="4">
          <tpl fld="7" item="1186"/>
          <tpl fld="6" item="2"/>
          <tpl hier="236" item="0"/>
          <tpl fld="4" item="6"/>
        </tpls>
      </m>
      <n v="1" in="1">
        <tpls c="4">
          <tpl fld="7" item="710"/>
          <tpl fld="6" item="1"/>
          <tpl hier="236" item="0"/>
          <tpl fld="4" item="5"/>
        </tpls>
      </n>
      <n v="3" in="1">
        <tpls c="4">
          <tpl fld="7" item="560"/>
          <tpl fld="6" item="1"/>
          <tpl hier="236" item="0"/>
          <tpl fld="4" item="4"/>
        </tpls>
      </n>
      <m>
        <tpls c="4">
          <tpl fld="7" item="818"/>
          <tpl fld="6" item="2"/>
          <tpl hier="236" item="0"/>
          <tpl fld="4" item="1"/>
        </tpls>
      </m>
      <m>
        <tpls c="4">
          <tpl fld="7" item="916"/>
          <tpl fld="6" item="1"/>
          <tpl hier="236" item="0"/>
          <tpl fld="4" item="4"/>
        </tpls>
      </m>
      <m>
        <tpls c="4">
          <tpl fld="7" item="425"/>
          <tpl fld="6" item="2"/>
          <tpl hier="236" item="0"/>
          <tpl fld="1" item="0"/>
        </tpls>
      </m>
      <m>
        <tpls c="4">
          <tpl fld="7" item="620"/>
          <tpl fld="6" item="2"/>
          <tpl hier="236" item="0"/>
          <tpl fld="1" item="0"/>
        </tpls>
      </m>
      <m>
        <tpls c="4">
          <tpl fld="7" item="583"/>
          <tpl fld="6" item="2"/>
          <tpl hier="236" item="0"/>
          <tpl fld="4" item="1"/>
        </tpls>
      </m>
      <m>
        <tpls c="4">
          <tpl fld="7" item="809"/>
          <tpl fld="6" item="2"/>
          <tpl hier="236" item="0"/>
          <tpl fld="1" item="0"/>
        </tpls>
      </m>
      <m>
        <tpls c="4">
          <tpl fld="7" item="735"/>
          <tpl fld="6" item="2"/>
          <tpl hier="236" item="0"/>
          <tpl fld="4" item="1"/>
        </tpls>
      </m>
      <m>
        <tpls c="4">
          <tpl fld="7" item="661"/>
          <tpl fld="6" item="2"/>
          <tpl hier="236" item="0"/>
          <tpl fld="4" item="4"/>
        </tpls>
      </m>
      <m>
        <tpls c="4">
          <tpl fld="7" item="999"/>
          <tpl fld="6" item="1"/>
          <tpl hier="236" item="0"/>
          <tpl fld="4" item="4"/>
        </tpls>
      </m>
      <m>
        <tpls c="4">
          <tpl fld="7" item="842"/>
          <tpl fld="6" item="2"/>
          <tpl hier="236" item="0"/>
          <tpl fld="4" item="4"/>
        </tpls>
      </m>
      <n v="2" in="1">
        <tpls c="4">
          <tpl fld="7" item="855"/>
          <tpl fld="6" item="1"/>
          <tpl hier="236" item="0"/>
          <tpl fld="4" item="4"/>
        </tpls>
      </n>
      <m>
        <tpls c="4">
          <tpl fld="7" item="1130"/>
          <tpl fld="6" item="2"/>
          <tpl hier="236" item="0"/>
          <tpl fld="4" item="1"/>
        </tpls>
      </m>
      <m>
        <tpls c="4">
          <tpl fld="7" item="948"/>
          <tpl fld="6" item="1"/>
          <tpl hier="236" item="0"/>
          <tpl fld="4" item="4"/>
        </tpls>
      </m>
      <m>
        <tpls c="4">
          <tpl fld="7" item="870"/>
          <tpl fld="6" item="2"/>
          <tpl hier="236" item="0"/>
          <tpl fld="1" item="0"/>
        </tpls>
      </m>
      <n v="0.95" in="2">
        <tpls c="4">
          <tpl fld="7" item="368"/>
          <tpl fld="6" item="2"/>
          <tpl hier="236" item="0"/>
          <tpl fld="1" item="0"/>
        </tpls>
      </n>
      <n v="6.65" in="2">
        <tpls c="4">
          <tpl fld="7" item="446"/>
          <tpl fld="6" item="2"/>
          <tpl hier="236" item="0"/>
          <tpl fld="4" item="4"/>
        </tpls>
      </n>
      <n v="2" in="1">
        <tpls c="4">
          <tpl fld="7" item="786"/>
          <tpl fld="6" item="1"/>
          <tpl hier="236" item="0"/>
          <tpl fld="1" item="0"/>
        </tpls>
      </n>
      <m>
        <tpls c="4">
          <tpl fld="7" item="640"/>
          <tpl fld="6" item="1"/>
          <tpl hier="236" item="0"/>
          <tpl fld="4" item="6"/>
        </tpls>
      </m>
      <m>
        <tpls c="3">
          <tpl fld="7" item="725"/>
          <tpl fld="6" item="3"/>
          <tpl hier="236" item="0"/>
        </tpls>
      </m>
      <n v="5" in="1">
        <tpls c="4">
          <tpl fld="7" item="651"/>
          <tpl fld="6" item="1"/>
          <tpl hier="236" item="0"/>
          <tpl fld="4" item="5"/>
        </tpls>
      </n>
      <n v="1" in="1">
        <tpls c="4">
          <tpl fld="7" item="996"/>
          <tpl fld="6" item="1"/>
          <tpl hier="236" item="0"/>
          <tpl fld="4" item="1"/>
        </tpls>
      </n>
      <m>
        <tpls c="4">
          <tpl fld="7" item="1241"/>
          <tpl fld="6" item="1"/>
          <tpl hier="236" item="0"/>
          <tpl fld="4" item="4"/>
        </tpls>
      </m>
      <m>
        <tpls c="4">
          <tpl fld="7" item="833"/>
          <tpl fld="6" item="2"/>
          <tpl hier="236" item="0"/>
          <tpl fld="4" item="1"/>
        </tpls>
      </m>
      <m>
        <tpls c="3">
          <tpl fld="7" item="907"/>
          <tpl fld="6" item="3"/>
          <tpl hier="236" item="0"/>
        </tpls>
      </m>
      <n v="1" in="1">
        <tpls c="4">
          <tpl fld="7" item="1123"/>
          <tpl fld="6" item="1"/>
          <tpl hier="236" item="0"/>
          <tpl fld="4" item="6"/>
        </tpls>
      </n>
      <m>
        <tpls c="4">
          <tpl fld="7" item="926"/>
          <tpl fld="6" item="2"/>
          <tpl hier="236" item="0"/>
          <tpl fld="4" item="4"/>
        </tpls>
      </m>
      <m>
        <tpls c="4">
          <tpl fld="7" item="957"/>
          <tpl fld="6" item="2"/>
          <tpl hier="236" item="0"/>
          <tpl fld="4" item="1"/>
        </tpls>
      </m>
      <m>
        <tpls c="4">
          <tpl fld="7" item="1118"/>
          <tpl fld="6" item="2"/>
          <tpl hier="236" item="0"/>
          <tpl fld="1" item="0"/>
        </tpls>
      </m>
      <m>
        <tpls c="4">
          <tpl fld="7" item="106"/>
          <tpl fld="6" item="2"/>
          <tpl hier="236" item="0"/>
          <tpl fld="1" item="0"/>
        </tpls>
      </m>
      <m>
        <tpls c="4">
          <tpl fld="7" item="752"/>
          <tpl fld="6" item="2"/>
          <tpl hier="236" item="0"/>
          <tpl fld="1" item="0"/>
        </tpls>
      </m>
      <m>
        <tpls c="4">
          <tpl fld="7" item="1193"/>
          <tpl fld="6" item="2"/>
          <tpl hier="236" item="0"/>
          <tpl fld="4" item="5"/>
        </tpls>
      </m>
      <m>
        <tpls c="4">
          <tpl fld="7" item="559"/>
          <tpl fld="6" item="1"/>
          <tpl hier="236" item="0"/>
          <tpl fld="4" item="1"/>
        </tpls>
      </m>
      <n v="1" in="1">
        <tpls c="4">
          <tpl fld="7" item="736"/>
          <tpl fld="6" item="1"/>
          <tpl hier="236" item="0"/>
          <tpl fld="4" item="6"/>
        </tpls>
      </n>
      <m>
        <tpls c="4">
          <tpl fld="7" item="1122"/>
          <tpl fld="6" item="2"/>
          <tpl hier="236" item="0"/>
          <tpl fld="4" item="1"/>
        </tpls>
      </m>
      <m>
        <tpls c="4">
          <tpl fld="7" item="596"/>
          <tpl fld="6" item="2"/>
          <tpl hier="236" item="0"/>
          <tpl fld="1" item="0"/>
        </tpls>
      </m>
      <m>
        <tpls c="4">
          <tpl fld="7" item="845"/>
          <tpl fld="6" item="2"/>
          <tpl hier="236" item="0"/>
          <tpl fld="4" item="5"/>
        </tpls>
      </m>
      <m>
        <tpls c="4">
          <tpl fld="7" item="299"/>
          <tpl fld="6" item="2"/>
          <tpl hier="236" item="0"/>
          <tpl fld="4" item="5"/>
        </tpls>
      </m>
      <m>
        <tpls c="4">
          <tpl fld="7" item="4"/>
          <tpl fld="6" item="2"/>
          <tpl hier="236" item="0"/>
          <tpl fld="4" item="5"/>
        </tpls>
      </m>
      <m>
        <tpls c="4">
          <tpl fld="7" item="455"/>
          <tpl fld="6" item="2"/>
          <tpl hier="236" item="0"/>
          <tpl fld="4" item="6"/>
        </tpls>
      </m>
      <m>
        <tpls c="4">
          <tpl fld="7" item="76"/>
          <tpl fld="6" item="2"/>
          <tpl hier="236" item="0"/>
          <tpl fld="4" item="6"/>
        </tpls>
      </m>
      <m>
        <tpls c="4">
          <tpl fld="7" item="1019"/>
          <tpl fld="6" item="1"/>
          <tpl hier="236" item="0"/>
          <tpl fld="4" item="5"/>
        </tpls>
      </m>
      <m>
        <tpls c="4">
          <tpl fld="7" item="214"/>
          <tpl fld="6" item="1"/>
          <tpl hier="236" item="0"/>
          <tpl fld="4" item="5"/>
        </tpls>
      </m>
      <m>
        <tpls c="4">
          <tpl fld="7" item="402"/>
          <tpl fld="6" item="1"/>
          <tpl hier="236" item="0"/>
          <tpl fld="4" item="5"/>
        </tpls>
      </m>
      <m>
        <tpls c="4">
          <tpl fld="7" item="1198"/>
          <tpl fld="6" item="1"/>
          <tpl hier="236" item="0"/>
          <tpl fld="4" item="1"/>
        </tpls>
      </m>
      <n v="1" in="1">
        <tpls c="4">
          <tpl fld="7" item="516"/>
          <tpl fld="6" item="1"/>
          <tpl hier="236" item="0"/>
          <tpl fld="4" item="1"/>
        </tpls>
      </n>
      <m>
        <tpls c="4">
          <tpl fld="7" item="159"/>
          <tpl fld="6" item="1"/>
          <tpl hier="236" item="0"/>
          <tpl fld="4" item="1"/>
        </tpls>
      </m>
      <n v="3" in="1">
        <tpls c="4">
          <tpl fld="7" item="870"/>
          <tpl fld="6" item="1"/>
          <tpl hier="236" item="0"/>
          <tpl fld="1" item="0"/>
        </tpls>
      </n>
      <n v="16" in="1">
        <tpls c="4">
          <tpl fld="7" item="561"/>
          <tpl fld="6" item="1"/>
          <tpl hier="236" item="0"/>
          <tpl fld="4" item="4"/>
        </tpls>
      </n>
      <m>
        <tpls c="4">
          <tpl fld="7" item="996"/>
          <tpl fld="6" item="2"/>
          <tpl hier="236" item="0"/>
          <tpl fld="4" item="1"/>
        </tpls>
      </m>
      <m>
        <tpls c="4">
          <tpl fld="7" item="1020"/>
          <tpl fld="6" item="2"/>
          <tpl hier="236" item="0"/>
          <tpl fld="4" item="1"/>
        </tpls>
      </m>
      <m>
        <tpls c="4">
          <tpl fld="7" item="324"/>
          <tpl fld="6" item="2"/>
          <tpl hier="236" item="0"/>
          <tpl fld="1" item="0"/>
        </tpls>
      </m>
      <m>
        <tpls c="4">
          <tpl fld="7" item="976"/>
          <tpl fld="6" item="2"/>
          <tpl hier="236" item="0"/>
          <tpl fld="4" item="5"/>
        </tpls>
      </m>
      <m>
        <tpls c="4">
          <tpl fld="7" item="842"/>
          <tpl fld="6" item="2"/>
          <tpl hier="236" item="0"/>
          <tpl fld="4" item="5"/>
        </tpls>
      </m>
      <n v="3" in="2">
        <tpls c="4">
          <tpl fld="7" item="376"/>
          <tpl fld="6" item="2"/>
          <tpl hier="236" item="0"/>
          <tpl fld="4" item="5"/>
        </tpls>
      </n>
      <m>
        <tpls c="4">
          <tpl fld="7" item="107"/>
          <tpl fld="6" item="2"/>
          <tpl hier="236" item="0"/>
          <tpl fld="4" item="5"/>
        </tpls>
      </m>
      <m>
        <tpls c="4">
          <tpl fld="7" item="486"/>
          <tpl fld="6" item="2"/>
          <tpl hier="236" item="0"/>
          <tpl fld="4" item="5"/>
        </tpls>
      </m>
      <m>
        <tpls c="4">
          <tpl fld="7" item="58"/>
          <tpl fld="6" item="2"/>
          <tpl hier="236" item="0"/>
          <tpl fld="4" item="5"/>
        </tpls>
      </m>
      <m>
        <tpls c="4">
          <tpl fld="7" item="257"/>
          <tpl fld="6" item="2"/>
          <tpl hier="236" item="0"/>
          <tpl fld="4" item="5"/>
        </tpls>
      </m>
      <m>
        <tpls c="4">
          <tpl fld="7" item="228"/>
          <tpl fld="6" item="2"/>
          <tpl hier="236" item="0"/>
          <tpl fld="4" item="5"/>
        </tpls>
      </m>
      <m>
        <tpls c="4">
          <tpl fld="7" item="1197"/>
          <tpl fld="6" item="2"/>
          <tpl hier="236" item="0"/>
          <tpl fld="4" item="6"/>
        </tpls>
      </m>
      <m>
        <tpls c="4">
          <tpl fld="7" item="1011"/>
          <tpl fld="6" item="2"/>
          <tpl hier="236" item="0"/>
          <tpl fld="4" item="6"/>
        </tpls>
      </m>
      <m>
        <tpls c="4">
          <tpl fld="7" item="382"/>
          <tpl fld="6" item="2"/>
          <tpl hier="236" item="0"/>
          <tpl fld="4" item="6"/>
        </tpls>
      </m>
      <n v="1" in="2">
        <tpls c="4">
          <tpl fld="7" item="361"/>
          <tpl fld="6" item="2"/>
          <tpl hier="236" item="0"/>
          <tpl fld="4" item="6"/>
        </tpls>
      </n>
      <m>
        <tpls c="4">
          <tpl fld="7" item="95"/>
          <tpl fld="6" item="2"/>
          <tpl hier="236" item="0"/>
          <tpl fld="4" item="6"/>
        </tpls>
      </m>
      <m>
        <tpls c="4">
          <tpl fld="7" item="290"/>
          <tpl fld="6" item="2"/>
          <tpl hier="236" item="0"/>
          <tpl fld="4" item="6"/>
        </tpls>
      </m>
      <m>
        <tpls c="4">
          <tpl fld="7" item="142"/>
          <tpl fld="6" item="2"/>
          <tpl hier="236" item="0"/>
          <tpl fld="4" item="6"/>
        </tpls>
      </m>
      <m>
        <tpls c="4">
          <tpl fld="7" item="399"/>
          <tpl fld="6" item="2"/>
          <tpl hier="236" item="0"/>
          <tpl fld="4" item="6"/>
        </tpls>
      </m>
      <n v="1" in="1">
        <tpls c="4">
          <tpl fld="7" item="1120"/>
          <tpl fld="6" item="1"/>
          <tpl hier="236" item="0"/>
          <tpl fld="4" item="5"/>
        </tpls>
      </n>
      <n v="1" in="1">
        <tpls c="4">
          <tpl fld="7" item="1242"/>
          <tpl fld="6" item="1"/>
          <tpl hier="236" item="0"/>
          <tpl fld="4" item="5"/>
        </tpls>
      </n>
      <m>
        <tpls c="4">
          <tpl fld="7" item="510"/>
          <tpl fld="6" item="1"/>
          <tpl hier="236" item="0"/>
          <tpl fld="4" item="5"/>
        </tpls>
      </m>
      <m>
        <tpls c="4">
          <tpl fld="7" item="104"/>
          <tpl fld="6" item="1"/>
          <tpl hier="236" item="0"/>
          <tpl fld="4" item="5"/>
        </tpls>
      </m>
      <m>
        <tpls c="4">
          <tpl fld="7" item="299"/>
          <tpl fld="6" item="1"/>
          <tpl hier="236" item="0"/>
          <tpl fld="4" item="5"/>
        </tpls>
      </m>
      <m>
        <tpls c="4">
          <tpl fld="7" item="278"/>
          <tpl fld="6" item="1"/>
          <tpl hier="236" item="0"/>
          <tpl fld="4" item="5"/>
        </tpls>
      </m>
      <m>
        <tpls c="4">
          <tpl fld="7" item="24"/>
          <tpl fld="6" item="1"/>
          <tpl hier="236" item="0"/>
          <tpl fld="4" item="5"/>
        </tpls>
      </m>
      <m>
        <tpls c="4">
          <tpl fld="7" item="968"/>
          <tpl fld="6" item="1"/>
          <tpl hier="236" item="0"/>
          <tpl fld="4" item="1"/>
        </tpls>
      </m>
      <n v="4" in="1">
        <tpls c="4">
          <tpl fld="7" item="949"/>
          <tpl fld="6" item="1"/>
          <tpl hier="236" item="0"/>
          <tpl fld="4" item="1"/>
        </tpls>
      </n>
      <m>
        <tpls c="4">
          <tpl fld="7" item="933"/>
          <tpl fld="6" item="1"/>
          <tpl hier="236" item="0"/>
          <tpl fld="4" item="1"/>
        </tpls>
      </m>
      <m>
        <tpls c="4">
          <tpl fld="7" item="1026"/>
          <tpl fld="6" item="1"/>
          <tpl hier="236" item="0"/>
          <tpl fld="4" item="1"/>
        </tpls>
      </m>
      <n v="9" in="1">
        <tpls c="4">
          <tpl fld="7" item="1014"/>
          <tpl fld="6" item="1"/>
          <tpl hier="236" item="0"/>
          <tpl fld="4" item="1"/>
        </tpls>
      </n>
      <m>
        <tpls c="4">
          <tpl fld="7" item="1002"/>
          <tpl fld="6" item="1"/>
          <tpl hier="236" item="0"/>
          <tpl fld="4" item="1"/>
        </tpls>
      </m>
      <n v="2" in="1">
        <tpls c="4">
          <tpl fld="7" item="602"/>
          <tpl fld="6" item="1"/>
          <tpl hier="236" item="0"/>
          <tpl fld="4" item="1"/>
        </tpls>
      </n>
      <n v="3" in="1">
        <tpls c="4">
          <tpl fld="7" item="598"/>
          <tpl fld="6" item="1"/>
          <tpl hier="236" item="0"/>
          <tpl fld="4" item="1"/>
        </tpls>
      </n>
      <m>
        <tpls c="4">
          <tpl fld="7" item="421"/>
          <tpl fld="6" item="1"/>
          <tpl hier="236" item="0"/>
          <tpl fld="4" item="1"/>
        </tpls>
      </m>
      <n v="0" in="1">
        <tpls c="4">
          <tpl fld="7" item="673"/>
          <tpl fld="6" item="1"/>
          <tpl hier="236" item="0"/>
          <tpl fld="4" item="1"/>
        </tpls>
      </n>
      <m>
        <tpls c="4">
          <tpl fld="7" item="672"/>
          <tpl fld="6" item="1"/>
          <tpl hier="236" item="0"/>
          <tpl fld="4" item="1"/>
        </tpls>
      </m>
      <m>
        <tpls c="4">
          <tpl fld="7" item="876"/>
          <tpl fld="6" item="1"/>
          <tpl hier="236" item="0"/>
          <tpl fld="4" item="1"/>
        </tpls>
      </m>
      <m>
        <tpls c="4">
          <tpl fld="7" item="255"/>
          <tpl fld="6" item="1"/>
          <tpl hier="236" item="0"/>
          <tpl fld="4" item="1"/>
        </tpls>
      </m>
      <n v="102" in="1">
        <tpls c="5">
          <tpl fld="11" item="0"/>
          <tpl fld="6" item="1"/>
          <tpl hier="236" item="0"/>
          <tpl fld="4" item="7"/>
          <tpl fld="10" item="4"/>
        </tpls>
      </n>
      <m>
        <tpls c="3">
          <tpl fld="7" item="620"/>
          <tpl fld="6" item="3"/>
          <tpl hier="236" item="0"/>
        </tpls>
      </m>
      <m>
        <tpls c="4">
          <tpl fld="7" item="580"/>
          <tpl fld="6" item="2"/>
          <tpl hier="236" item="0"/>
          <tpl fld="4" item="5"/>
        </tpls>
      </m>
      <m>
        <tpls c="4">
          <tpl fld="7" item="644"/>
          <tpl fld="6" item="2"/>
          <tpl hier="236" item="0"/>
          <tpl fld="4" item="1"/>
        </tpls>
      </m>
      <n v="0.25" in="2">
        <tpls c="4">
          <tpl fld="7" item="811"/>
          <tpl fld="6" item="2"/>
          <tpl hier="236" item="0"/>
          <tpl fld="4" item="4"/>
        </tpls>
      </n>
      <m>
        <tpls c="4">
          <tpl fld="7" item="735"/>
          <tpl fld="6" item="2"/>
          <tpl hier="236" item="0"/>
          <tpl fld="4" item="6"/>
        </tpls>
      </m>
      <m>
        <tpls c="4">
          <tpl fld="7" item="661"/>
          <tpl fld="6" item="2"/>
          <tpl hier="236" item="0"/>
          <tpl fld="1" item="0"/>
        </tpls>
      </m>
      <m>
        <tpls c="4">
          <tpl fld="7" item="999"/>
          <tpl fld="6" item="2"/>
          <tpl hier="236" item="0"/>
          <tpl fld="1" item="0"/>
        </tpls>
      </m>
      <n v="1" in="1">
        <tpls c="4">
          <tpl fld="7" item="1111"/>
          <tpl fld="6" item="1"/>
          <tpl hier="236" item="0"/>
          <tpl fld="4" item="4"/>
        </tpls>
      </n>
      <m>
        <tpls c="4">
          <tpl fld="7" item="914"/>
          <tpl fld="6" item="2"/>
          <tpl hier="236" item="0"/>
          <tpl fld="4" item="1"/>
        </tpls>
      </m>
      <m>
        <tpls c="3">
          <tpl fld="7" item="868"/>
          <tpl fld="6" item="3"/>
          <tpl hier="236" item="0"/>
        </tpls>
      </m>
      <n v="19" in="1">
        <tpls c="4">
          <tpl fld="7" item="1229"/>
          <tpl fld="6" item="1"/>
          <tpl hier="236" item="0"/>
          <tpl fld="4" item="4"/>
        </tpls>
      </n>
      <m>
        <tpls c="4">
          <tpl fld="7" item="924"/>
          <tpl fld="6" item="2"/>
          <tpl hier="236" item="0"/>
          <tpl fld="1" item="0"/>
        </tpls>
      </m>
      <m>
        <tpls c="4">
          <tpl fld="7" item="760"/>
          <tpl fld="6" item="2"/>
          <tpl hier="236" item="0"/>
          <tpl fld="1" item="0"/>
        </tpls>
      </m>
      <m>
        <tpls c="4">
          <tpl fld="7" item="271"/>
          <tpl fld="6" item="2"/>
          <tpl hier="236" item="0"/>
          <tpl fld="1" item="0"/>
        </tpls>
      </m>
      <m>
        <tpls c="4">
          <tpl fld="7" item="250"/>
          <tpl fld="6" item="2"/>
          <tpl hier="236" item="0"/>
          <tpl fld="1" item="0"/>
        </tpls>
      </m>
      <m>
        <tpls c="4">
          <tpl fld="7" item="1182"/>
          <tpl fld="6" item="2"/>
          <tpl hier="236" item="0"/>
          <tpl fld="4" item="5"/>
        </tpls>
      </m>
      <m>
        <tpls c="4">
          <tpl fld="7" item="1219"/>
          <tpl fld="6" item="2"/>
          <tpl hier="236" item="0"/>
          <tpl fld="4" item="5"/>
        </tpls>
      </m>
      <m>
        <tpls c="4">
          <tpl fld="7" item="95"/>
          <tpl fld="6" item="2"/>
          <tpl hier="236" item="0"/>
          <tpl fld="4" item="5"/>
        </tpls>
      </m>
      <m>
        <tpls c="4">
          <tpl fld="7" item="1237"/>
          <tpl fld="6" item="2"/>
          <tpl hier="236" item="0"/>
          <tpl fld="4" item="5"/>
        </tpls>
      </m>
      <m>
        <tpls c="4">
          <tpl fld="7" item="323"/>
          <tpl fld="6" item="2"/>
          <tpl hier="236" item="0"/>
          <tpl fld="4" item="5"/>
        </tpls>
      </m>
      <m>
        <tpls c="4">
          <tpl fld="7" item="304"/>
          <tpl fld="6" item="2"/>
          <tpl hier="236" item="0"/>
          <tpl fld="4" item="5"/>
        </tpls>
      </m>
      <m>
        <tpls c="4">
          <tpl fld="7" item="177"/>
          <tpl fld="6" item="2"/>
          <tpl hier="236" item="0"/>
          <tpl fld="4" item="5"/>
        </tpls>
      </m>
      <m>
        <tpls c="4">
          <tpl fld="7" item="61"/>
          <tpl fld="6" item="2"/>
          <tpl hier="236" item="0"/>
          <tpl fld="4" item="5"/>
        </tpls>
      </m>
      <m>
        <tpls c="4">
          <tpl fld="7" item="476"/>
          <tpl fld="6" item="2"/>
          <tpl hier="236" item="0"/>
          <tpl fld="4" item="5"/>
        </tpls>
      </m>
      <m>
        <tpls c="4">
          <tpl fld="7" item="240"/>
          <tpl fld="6" item="2"/>
          <tpl hier="236" item="0"/>
          <tpl fld="4" item="5"/>
        </tpls>
      </m>
      <m>
        <tpls c="4">
          <tpl fld="7" item="466"/>
          <tpl fld="6" item="2"/>
          <tpl hier="236" item="0"/>
          <tpl fld="4" item="5"/>
        </tpls>
      </m>
      <m>
        <tpls c="4">
          <tpl fld="7" item="862"/>
          <tpl fld="6" item="2"/>
          <tpl hier="236" item="0"/>
          <tpl fld="4" item="6"/>
        </tpls>
      </m>
      <m>
        <tpls c="4">
          <tpl fld="7" item="846"/>
          <tpl fld="6" item="2"/>
          <tpl hier="236" item="0"/>
          <tpl fld="4" item="6"/>
        </tpls>
      </m>
      <m>
        <tpls c="4">
          <tpl fld="7" item="830"/>
          <tpl fld="6" item="2"/>
          <tpl hier="236" item="0"/>
          <tpl fld="4" item="6"/>
        </tpls>
      </m>
      <m>
        <tpls c="4">
          <tpl fld="7" item="512"/>
          <tpl fld="6" item="2"/>
          <tpl hier="236" item="0"/>
          <tpl fld="4" item="6"/>
        </tpls>
      </m>
      <m>
        <tpls c="4">
          <tpl fld="7" item="496"/>
          <tpl fld="6" item="2"/>
          <tpl hier="236" item="0"/>
          <tpl fld="4" item="6"/>
        </tpls>
      </m>
      <m>
        <tpls c="4">
          <tpl fld="7" item="311"/>
          <tpl fld="6" item="2"/>
          <tpl hier="236" item="0"/>
          <tpl fld="4" item="6"/>
        </tpls>
      </m>
      <m>
        <tpls c="4">
          <tpl fld="7" item="415"/>
          <tpl fld="6" item="2"/>
          <tpl hier="236" item="0"/>
          <tpl fld="4" item="6"/>
        </tpls>
      </m>
      <m>
        <tpls c="4">
          <tpl fld="7" item="279"/>
          <tpl fld="6" item="2"/>
          <tpl hier="236" item="0"/>
          <tpl fld="4" item="6"/>
        </tpls>
      </m>
      <m>
        <tpls c="4">
          <tpl fld="7" item="257"/>
          <tpl fld="6" item="2"/>
          <tpl hier="236" item="0"/>
          <tpl fld="4" item="6"/>
        </tpls>
      </m>
      <m>
        <tpls c="4">
          <tpl fld="7" item="122"/>
          <tpl fld="6" item="2"/>
          <tpl hier="236" item="0"/>
          <tpl fld="4" item="6"/>
        </tpls>
      </m>
      <m>
        <tpls c="4">
          <tpl fld="7" item="917"/>
          <tpl fld="6" item="1"/>
          <tpl hier="236" item="0"/>
          <tpl fld="4" item="5"/>
        </tpls>
      </m>
      <m>
        <tpls c="4">
          <tpl fld="7" item="905"/>
          <tpl fld="6" item="1"/>
          <tpl hier="236" item="0"/>
          <tpl fld="4" item="5"/>
        </tpls>
      </m>
      <m>
        <tpls c="4">
          <tpl fld="7" item="603"/>
          <tpl fld="6" item="1"/>
          <tpl hier="236" item="0"/>
          <tpl fld="4" item="5"/>
        </tpls>
      </m>
      <m>
        <tpls c="4">
          <tpl fld="7" item="599"/>
          <tpl fld="6" item="1"/>
          <tpl hier="236" item="0"/>
          <tpl fld="4" item="5"/>
        </tpls>
      </m>
      <m>
        <tpls c="4">
          <tpl fld="7" item="595"/>
          <tpl fld="6" item="1"/>
          <tpl hier="236" item="0"/>
          <tpl fld="4" item="5"/>
        </tpls>
      </m>
      <m>
        <tpls c="4">
          <tpl fld="7" item="309"/>
          <tpl fld="6" item="1"/>
          <tpl hier="236" item="0"/>
          <tpl fld="4" item="5"/>
        </tpls>
      </m>
      <m>
        <tpls c="4">
          <tpl fld="7" item="485"/>
          <tpl fld="6" item="1"/>
          <tpl hier="236" item="0"/>
          <tpl fld="4" item="5"/>
        </tpls>
      </m>
      <m>
        <tpls c="4">
          <tpl fld="7" item="340"/>
          <tpl fld="6" item="1"/>
          <tpl hier="236" item="0"/>
          <tpl fld="4" item="5"/>
        </tpls>
      </m>
      <m>
        <tpls c="4">
          <tpl fld="7" item="142"/>
          <tpl fld="6" item="1"/>
          <tpl hier="236" item="0"/>
          <tpl fld="4" item="5"/>
        </tpls>
      </m>
      <m>
        <tpls c="4">
          <tpl fld="7" item="229"/>
          <tpl fld="6" item="1"/>
          <tpl hier="236" item="0"/>
          <tpl fld="4" item="5"/>
        </tpls>
      </m>
      <m>
        <tpls c="4">
          <tpl fld="7" item="1258"/>
          <tpl fld="6" item="1"/>
          <tpl hier="236" item="0"/>
          <tpl fld="4" item="1"/>
        </tpls>
      </m>
      <m>
        <tpls c="4">
          <tpl fld="7" item="1254"/>
          <tpl fld="6" item="1"/>
          <tpl hier="236" item="0"/>
          <tpl fld="4" item="1"/>
        </tpls>
      </m>
      <m>
        <tpls c="4">
          <tpl fld="7" item="1250"/>
          <tpl fld="6" item="1"/>
          <tpl hier="236" item="0"/>
          <tpl fld="4" item="1"/>
        </tpls>
      </m>
      <n v="2" in="1">
        <tpls c="4">
          <tpl fld="7" item="863"/>
          <tpl fld="6" item="1"/>
          <tpl hier="236" item="0"/>
          <tpl fld="4" item="1"/>
        </tpls>
      </n>
      <m>
        <tpls c="4">
          <tpl fld="7" item="847"/>
          <tpl fld="6" item="1"/>
          <tpl hier="236" item="0"/>
          <tpl fld="4" item="1"/>
        </tpls>
      </m>
      <n v="3" in="1">
        <tpls c="4">
          <tpl fld="7" item="831"/>
          <tpl fld="6" item="1"/>
          <tpl hier="236" item="0"/>
          <tpl fld="4" item="1"/>
        </tpls>
      </n>
      <n v="13" in="1">
        <tpls c="4">
          <tpl fld="7" item="448"/>
          <tpl fld="6" item="1"/>
          <tpl hier="236" item="0"/>
          <tpl fld="4" item="1"/>
        </tpls>
      </n>
      <n v="7" in="1">
        <tpls c="4">
          <tpl fld="7" item="432"/>
          <tpl fld="6" item="1"/>
          <tpl hier="236" item="0"/>
          <tpl fld="4" item="1"/>
        </tpls>
      </n>
      <m>
        <tpls c="4">
          <tpl fld="7" item="347"/>
          <tpl fld="6" item="1"/>
          <tpl hier="236" item="0"/>
          <tpl fld="4" item="1"/>
        </tpls>
      </m>
      <m>
        <tpls c="4">
          <tpl fld="7" item="188"/>
          <tpl fld="6" item="1"/>
          <tpl hier="236" item="0"/>
          <tpl fld="4" item="1"/>
        </tpls>
      </m>
      <m>
        <tpls c="4">
          <tpl fld="7" item="172"/>
          <tpl fld="6" item="1"/>
          <tpl hier="236" item="0"/>
          <tpl fld="4" item="1"/>
        </tpls>
      </m>
      <m>
        <tpls c="4">
          <tpl fld="7" item="267"/>
          <tpl fld="6" item="1"/>
          <tpl hier="236" item="0"/>
          <tpl fld="4" item="1"/>
        </tpls>
      </m>
      <m>
        <tpls c="4">
          <tpl fld="7" item="670"/>
          <tpl fld="6" item="1"/>
          <tpl hier="236" item="0"/>
          <tpl fld="4" item="1"/>
        </tpls>
      </m>
      <m>
        <tpls c="4">
          <tpl fld="7" item="11"/>
          <tpl fld="6" item="1"/>
          <tpl hier="236" item="0"/>
          <tpl fld="4" item="1"/>
        </tpls>
      </m>
      <m>
        <tpls c="4">
          <tpl fld="7" item="1"/>
          <tpl fld="6" item="1"/>
          <tpl hier="236" item="0"/>
          <tpl fld="4" item="1"/>
        </tpls>
      </m>
      <n v="12" in="1">
        <tpls c="4">
          <tpl fld="7" item="915"/>
          <tpl fld="6" item="1"/>
          <tpl hier="236" item="0"/>
          <tpl fld="1" item="0"/>
        </tpls>
      </n>
      <n v="2" in="1">
        <tpls c="4">
          <tpl fld="7" item="903"/>
          <tpl fld="6" item="1"/>
          <tpl hier="236" item="0"/>
          <tpl fld="1" item="0"/>
        </tpls>
      </n>
      <n v="2" in="1">
        <tpls c="4">
          <tpl fld="7" item="682"/>
          <tpl fld="6" item="1"/>
          <tpl hier="236" item="0"/>
          <tpl fld="1" item="0"/>
        </tpls>
      </n>
      <n v="7" in="1">
        <tpls c="4">
          <tpl fld="7" item="678"/>
          <tpl fld="6" item="1"/>
          <tpl hier="236" item="0"/>
          <tpl fld="1" item="0"/>
        </tpls>
      </n>
      <m>
        <tpls c="4">
          <tpl fld="7" item="322"/>
          <tpl fld="6" item="1"/>
          <tpl hier="236" item="0"/>
          <tpl fld="1" item="0"/>
        </tpls>
      </m>
      <m>
        <tpls c="4">
          <tpl fld="7" item="347"/>
          <tpl fld="6" item="1"/>
          <tpl hier="236" item="0"/>
          <tpl fld="1" item="0"/>
        </tpls>
      </m>
      <m>
        <tpls c="4">
          <tpl fld="7" item="181"/>
          <tpl fld="6" item="1"/>
          <tpl hier="236" item="0"/>
          <tpl fld="1" item="0"/>
        </tpls>
      </m>
      <m>
        <tpls c="4">
          <tpl fld="7" item="166"/>
          <tpl fld="6" item="1"/>
          <tpl hier="236" item="0"/>
          <tpl fld="1" item="0"/>
        </tpls>
      </m>
      <m>
        <tpls c="4">
          <tpl fld="7" item="331"/>
          <tpl fld="6" item="1"/>
          <tpl hier="236" item="0"/>
          <tpl fld="1" item="0"/>
        </tpls>
      </m>
      <m>
        <tpls c="4">
          <tpl fld="7" item="746"/>
          <tpl fld="6" item="1"/>
          <tpl hier="236" item="0"/>
          <tpl fld="4" item="6"/>
        </tpls>
      </m>
      <m>
        <tpls c="4">
          <tpl fld="7" item="329"/>
          <tpl fld="6" item="1"/>
          <tpl hier="236" item="0"/>
          <tpl fld="4" item="6"/>
        </tpls>
      </m>
      <n v="2" in="1">
        <tpls c="4">
          <tpl fld="7" item="647"/>
          <tpl fld="6" item="1"/>
          <tpl hier="236" item="0"/>
          <tpl fld="1" item="0"/>
        </tpls>
      </n>
      <m>
        <tpls c="3">
          <tpl fld="7" item="837"/>
          <tpl fld="6" item="3"/>
          <tpl hier="236" item="0"/>
        </tpls>
      </m>
      <n v="0" in="1">
        <tpls c="4">
          <tpl fld="7" item="1071"/>
          <tpl fld="6" item="1"/>
          <tpl hier="236" item="0"/>
          <tpl fld="4" item="4"/>
        </tpls>
      </n>
      <m>
        <tpls c="4">
          <tpl fld="7" item="20"/>
          <tpl fld="6" item="2"/>
          <tpl hier="236" item="0"/>
          <tpl fld="1" item="0"/>
        </tpls>
      </m>
      <m>
        <tpls c="4">
          <tpl fld="7" item="428"/>
          <tpl fld="6" item="2"/>
          <tpl hier="236" item="0"/>
          <tpl fld="4" item="5"/>
        </tpls>
      </m>
      <m>
        <tpls c="4">
          <tpl fld="7" item="265"/>
          <tpl fld="6" item="2"/>
          <tpl hier="236" item="0"/>
          <tpl fld="4" item="5"/>
        </tpls>
      </m>
      <m>
        <tpls c="4">
          <tpl fld="7" item="1016"/>
          <tpl fld="6" item="2"/>
          <tpl hier="236" item="0"/>
          <tpl fld="4" item="6"/>
        </tpls>
      </m>
      <m>
        <tpls c="4">
          <tpl fld="7" item="350"/>
          <tpl fld="6" item="2"/>
          <tpl hier="236" item="0"/>
          <tpl fld="4" item="6"/>
        </tpls>
      </m>
      <m>
        <tpls c="4">
          <tpl fld="7" item="129"/>
          <tpl fld="6" item="2"/>
          <tpl hier="236" item="0"/>
          <tpl fld="4" item="6"/>
        </tpls>
      </m>
      <n v="6" in="1">
        <tpls c="4">
          <tpl fld="7" item="446"/>
          <tpl fld="6" item="1"/>
          <tpl hier="236" item="0"/>
          <tpl fld="4" item="5"/>
        </tpls>
      </n>
      <m>
        <tpls c="4">
          <tpl fld="7" item="175"/>
          <tpl fld="6" item="1"/>
          <tpl hier="236" item="0"/>
          <tpl fld="4" item="5"/>
        </tpls>
      </m>
      <n v="1" in="1">
        <tpls c="4">
          <tpl fld="7" item="1159"/>
          <tpl fld="6" item="1"/>
          <tpl hier="236" item="0"/>
          <tpl fld="4" item="1"/>
        </tpls>
      </n>
      <n v="2" in="1">
        <tpls c="4">
          <tpl fld="7" item="901"/>
          <tpl fld="6" item="1"/>
          <tpl hier="236" item="0"/>
          <tpl fld="4" item="1"/>
        </tpls>
      </n>
      <m>
        <tpls c="4">
          <tpl fld="7" item="95"/>
          <tpl fld="6" item="1"/>
          <tpl hier="236" item="0"/>
          <tpl fld="4" item="1"/>
        </tpls>
      </m>
      <m>
        <tpls c="4">
          <tpl fld="7" item="115"/>
          <tpl fld="6" item="1"/>
          <tpl hier="236" item="0"/>
          <tpl fld="4" item="1"/>
        </tpls>
      </m>
      <n v="3" in="1">
        <tpls c="4">
          <tpl fld="7" item="919"/>
          <tpl fld="6" item="1"/>
          <tpl hier="236" item="0"/>
          <tpl fld="1" item="0"/>
        </tpls>
      </n>
      <m>
        <tpls c="4">
          <tpl fld="7" item="748"/>
          <tpl fld="6" item="1"/>
          <tpl hier="236" item="0"/>
          <tpl fld="1" item="0"/>
        </tpls>
      </m>
      <m>
        <tpls c="4">
          <tpl fld="7" item="364"/>
          <tpl fld="6" item="1"/>
          <tpl hier="236" item="0"/>
          <tpl fld="1" item="0"/>
        </tpls>
      </m>
      <m>
        <tpls c="4">
          <tpl fld="7" item="315"/>
          <tpl fld="6" item="1"/>
          <tpl hier="236" item="0"/>
          <tpl fld="1" item="0"/>
        </tpls>
      </m>
      <m>
        <tpls c="4">
          <tpl fld="7" item="77"/>
          <tpl fld="6" item="1"/>
          <tpl hier="236" item="0"/>
          <tpl fld="1" item="0"/>
        </tpls>
      </m>
      <m>
        <tpls c="4">
          <tpl fld="7" item="142"/>
          <tpl fld="6" item="1"/>
          <tpl hier="236" item="0"/>
          <tpl fld="1" item="0"/>
        </tpls>
      </m>
      <m>
        <tpls c="4">
          <tpl fld="7" item="235"/>
          <tpl fld="6" item="1"/>
          <tpl hier="236" item="0"/>
          <tpl fld="1" item="0"/>
        </tpls>
      </m>
      <m>
        <tpls c="4">
          <tpl fld="7" item="277"/>
          <tpl fld="6" item="1"/>
          <tpl hier="236" item="0"/>
          <tpl fld="4" item="6"/>
        </tpls>
      </m>
      <m>
        <tpls c="4">
          <tpl fld="7" item="399"/>
          <tpl fld="6" item="1"/>
          <tpl hier="236" item="0"/>
          <tpl fld="4" item="6"/>
        </tpls>
      </m>
      <m>
        <tpls c="3">
          <tpl fld="7" item="666"/>
          <tpl fld="6" item="3"/>
          <tpl hier="236" item="0"/>
        </tpls>
      </m>
      <m>
        <tpls c="3">
          <tpl fld="7" item="25"/>
          <tpl fld="6" item="3"/>
          <tpl hier="236" item="0"/>
        </tpls>
      </m>
      <m>
        <tpls c="3">
          <tpl fld="7" item="397"/>
          <tpl fld="6" item="3"/>
          <tpl hier="236" item="0"/>
        </tpls>
      </m>
      <m>
        <tpls c="4">
          <tpl fld="7" item="1074"/>
          <tpl fld="6" item="2"/>
          <tpl hier="236" item="0"/>
          <tpl fld="4" item="4"/>
        </tpls>
      </m>
      <m>
        <tpls c="4">
          <tpl fld="7" item="1058"/>
          <tpl fld="6" item="2"/>
          <tpl hier="236" item="0"/>
          <tpl fld="4" item="4"/>
        </tpls>
      </m>
      <m>
        <tpls c="4">
          <tpl fld="7" item="1042"/>
          <tpl fld="6" item="2"/>
          <tpl hier="236" item="0"/>
          <tpl fld="4" item="4"/>
        </tpls>
      </m>
      <m>
        <tpls c="4">
          <tpl fld="7" item="827"/>
          <tpl fld="6" item="2"/>
          <tpl hier="236" item="0"/>
          <tpl fld="4" item="4"/>
        </tpls>
      </m>
      <m>
        <tpls c="4">
          <tpl fld="7" item="472"/>
          <tpl fld="6" item="2"/>
          <tpl hier="236" item="0"/>
          <tpl fld="4" item="4"/>
        </tpls>
      </m>
      <m>
        <tpls c="4">
          <tpl fld="7" item="4"/>
          <tpl fld="6" item="2"/>
          <tpl hier="236" item="0"/>
          <tpl fld="4" item="4"/>
        </tpls>
      </m>
      <m>
        <tpls c="4">
          <tpl fld="7" item="216"/>
          <tpl fld="6" item="2"/>
          <tpl hier="236" item="0"/>
          <tpl fld="4" item="4"/>
        </tpls>
      </m>
      <m>
        <tpls c="4">
          <tpl fld="7" item="835"/>
          <tpl fld="6" item="1"/>
          <tpl hier="236" item="0"/>
          <tpl fld="4" item="5"/>
        </tpls>
      </m>
      <m>
        <tpls c="4">
          <tpl fld="7" item="1246"/>
          <tpl fld="6" item="1"/>
          <tpl hier="236" item="0"/>
          <tpl fld="4" item="1"/>
        </tpls>
      </m>
      <m>
        <tpls c="4">
          <tpl fld="7" item="8"/>
          <tpl fld="6" item="1"/>
          <tpl hier="236" item="0"/>
          <tpl fld="4" item="1"/>
        </tpls>
      </m>
      <m>
        <tpls c="4">
          <tpl fld="7" item="495"/>
          <tpl fld="6" item="1"/>
          <tpl hier="236" item="0"/>
          <tpl fld="1" item="0"/>
        </tpls>
      </m>
      <m>
        <tpls c="4">
          <tpl fld="7" item="42"/>
          <tpl fld="6" item="1"/>
          <tpl hier="236" item="0"/>
          <tpl fld="1" item="0"/>
        </tpls>
      </m>
      <m>
        <tpls c="4">
          <tpl fld="7" item="217"/>
          <tpl fld="6" item="1"/>
          <tpl hier="236" item="0"/>
          <tpl fld="4" item="6"/>
        </tpls>
      </m>
      <m>
        <tpls c="3">
          <tpl fld="7" item="109"/>
          <tpl fld="6" item="3"/>
          <tpl hier="236" item="0"/>
        </tpls>
      </m>
      <m>
        <tpls c="4">
          <tpl fld="7" item="1138"/>
          <tpl fld="6" item="2"/>
          <tpl hier="236" item="0"/>
          <tpl fld="4" item="4"/>
        </tpls>
      </m>
      <m>
        <tpls c="4">
          <tpl fld="7" item="221"/>
          <tpl fld="6" item="2"/>
          <tpl hier="236" item="0"/>
          <tpl fld="4" item="4"/>
        </tpls>
      </m>
      <m>
        <tpls c="4">
          <tpl fld="7" item="994"/>
          <tpl fld="6" item="2"/>
          <tpl hier="236" item="0"/>
          <tpl fld="4" item="5"/>
        </tpls>
      </m>
      <m>
        <tpls c="3">
          <tpl fld="7" item="841"/>
          <tpl fld="6" item="3"/>
          <tpl hier="236" item="0"/>
        </tpls>
      </m>
      <n v="2" in="1">
        <tpls c="4">
          <tpl fld="7" item="1081"/>
          <tpl fld="6" item="1"/>
          <tpl hier="236" item="0"/>
          <tpl fld="4" item="4"/>
        </tpls>
      </n>
      <m>
        <tpls c="4">
          <tpl fld="7" item="468"/>
          <tpl fld="6" item="2"/>
          <tpl hier="236" item="0"/>
          <tpl fld="1" item="0"/>
        </tpls>
      </m>
      <m>
        <tpls c="4">
          <tpl fld="7" item="423"/>
          <tpl fld="6" item="2"/>
          <tpl hier="236" item="0"/>
          <tpl fld="4" item="5"/>
        </tpls>
      </m>
      <m>
        <tpls c="4">
          <tpl fld="7" item="5"/>
          <tpl fld="6" item="2"/>
          <tpl hier="236" item="0"/>
          <tpl fld="4" item="5"/>
        </tpls>
      </m>
      <m>
        <tpls c="4">
          <tpl fld="7" item="1115"/>
          <tpl fld="6" item="2"/>
          <tpl hier="236" item="0"/>
          <tpl fld="4" item="6"/>
        </tpls>
      </m>
      <m>
        <tpls c="4">
          <tpl fld="7" item="490"/>
          <tpl fld="6" item="2"/>
          <tpl hier="236" item="0"/>
          <tpl fld="4" item="6"/>
        </tpls>
      </m>
      <m>
        <tpls c="4">
          <tpl fld="7" item="124"/>
          <tpl fld="6" item="2"/>
          <tpl hier="236" item="0"/>
          <tpl fld="4" item="6"/>
        </tpls>
      </m>
      <m>
        <tpls c="4">
          <tpl fld="7" item="441"/>
          <tpl fld="6" item="1"/>
          <tpl hier="236" item="0"/>
          <tpl fld="4" item="5"/>
        </tpls>
      </m>
      <m>
        <tpls c="4">
          <tpl fld="7" item="170"/>
          <tpl fld="6" item="1"/>
          <tpl hier="236" item="0"/>
          <tpl fld="4" item="5"/>
        </tpls>
      </m>
      <n v="3" in="1">
        <tpls c="4">
          <tpl fld="7" item="1154"/>
          <tpl fld="6" item="1"/>
          <tpl hier="236" item="0"/>
          <tpl fld="4" item="1"/>
        </tpls>
      </n>
      <n v="2" in="1">
        <tpls c="4">
          <tpl fld="7" item="1001"/>
          <tpl fld="6" item="1"/>
          <tpl hier="236" item="0"/>
          <tpl fld="4" item="1"/>
        </tpls>
      </n>
      <m>
        <tpls c="4">
          <tpl fld="7" item="82"/>
          <tpl fld="6" item="1"/>
          <tpl hier="236" item="0"/>
          <tpl fld="4" item="1"/>
        </tpls>
      </m>
      <m>
        <tpls c="4">
          <tpl fld="7" item="117"/>
          <tpl fld="6" item="1"/>
          <tpl hier="236" item="0"/>
          <tpl fld="4" item="1"/>
        </tpls>
      </m>
      <m>
        <tpls c="4">
          <tpl fld="7" item="917"/>
          <tpl fld="6" item="1"/>
          <tpl hier="236" item="0"/>
          <tpl fld="1" item="0"/>
        </tpls>
      </m>
      <n v="14" in="1">
        <tpls c="4">
          <tpl fld="7" item="455"/>
          <tpl fld="6" item="1"/>
          <tpl hier="236" item="0"/>
          <tpl fld="1" item="0"/>
        </tpls>
      </n>
      <m>
        <tpls c="4">
          <tpl fld="7" item="433"/>
          <tpl fld="6" item="1"/>
          <tpl hier="236" item="0"/>
          <tpl fld="1" item="0"/>
        </tpls>
      </m>
      <m>
        <tpls c="4">
          <tpl fld="7" item="97"/>
          <tpl fld="6" item="1"/>
          <tpl hier="236" item="0"/>
          <tpl fld="1" item="0"/>
        </tpls>
      </m>
      <m>
        <tpls c="4">
          <tpl fld="7" item="980"/>
          <tpl fld="6" item="1"/>
          <tpl hier="236" item="0"/>
          <tpl fld="1" item="0"/>
        </tpls>
      </m>
      <m>
        <tpls c="4">
          <tpl fld="7" item="752"/>
          <tpl fld="6" item="1"/>
          <tpl hier="236" item="0"/>
          <tpl fld="1" item="0"/>
        </tpls>
      </m>
      <m>
        <tpls c="4">
          <tpl fld="7" item="17"/>
          <tpl fld="6" item="1"/>
          <tpl hier="236" item="0"/>
          <tpl fld="1" item="0"/>
        </tpls>
      </m>
      <m>
        <tpls c="4">
          <tpl fld="7" item="167"/>
          <tpl fld="6" item="1"/>
          <tpl hier="236" item="0"/>
          <tpl fld="4" item="6"/>
        </tpls>
      </m>
      <m>
        <tpls c="4">
          <tpl fld="7" item="12"/>
          <tpl fld="6" item="1"/>
          <tpl hier="236" item="0"/>
          <tpl fld="4" item="6"/>
        </tpls>
      </m>
      <m>
        <tpls c="3">
          <tpl fld="7" item="745"/>
          <tpl fld="6" item="3"/>
          <tpl hier="236" item="0"/>
        </tpls>
      </m>
      <m>
        <tpls c="3">
          <tpl fld="7" item="401"/>
          <tpl fld="6" item="3"/>
          <tpl hier="236" item="0"/>
        </tpls>
      </m>
      <m>
        <tpls c="3">
          <tpl fld="7" item="4"/>
          <tpl fld="6" item="3"/>
          <tpl hier="236" item="0"/>
        </tpls>
      </m>
      <m>
        <tpls c="4">
          <tpl fld="7" item="969"/>
          <tpl fld="6" item="2"/>
          <tpl hier="236" item="0"/>
          <tpl fld="4" item="4"/>
        </tpls>
      </m>
      <m>
        <tpls c="4">
          <tpl fld="7" item="953"/>
          <tpl fld="6" item="2"/>
          <tpl hier="236" item="0"/>
          <tpl fld="4" item="4"/>
        </tpls>
      </m>
      <n v="0.44999999999999996" in="2">
        <tpls c="4">
          <tpl fld="7" item="937"/>
          <tpl fld="6" item="2"/>
          <tpl hier="236" item="0"/>
          <tpl fld="4" item="4"/>
        </tpls>
      </n>
      <m>
        <tpls c="4">
          <tpl fld="7" item="998"/>
          <tpl fld="6" item="2"/>
          <tpl hier="236" item="0"/>
          <tpl fld="4" item="4"/>
        </tpls>
      </m>
      <m>
        <tpls c="4">
          <tpl fld="7" item="22"/>
          <tpl fld="6" item="2"/>
          <tpl hier="236" item="0"/>
          <tpl fld="4" item="4"/>
        </tpls>
      </m>
      <m>
        <tpls c="4">
          <tpl fld="7" item="15"/>
          <tpl fld="6" item="2"/>
          <tpl hier="236" item="0"/>
          <tpl fld="4" item="5"/>
        </tpls>
      </m>
      <m>
        <tpls c="4">
          <tpl fld="7" item="863"/>
          <tpl fld="6" item="1"/>
          <tpl hier="236" item="0"/>
          <tpl fld="4" item="5"/>
        </tpls>
      </m>
      <n v="1" in="1">
        <tpls c="4">
          <tpl fld="7" item="1140"/>
          <tpl fld="6" item="1"/>
          <tpl hier="236" item="0"/>
          <tpl fld="4" item="1"/>
        </tpls>
      </n>
      <m>
        <tpls c="4">
          <tpl fld="7" item="396"/>
          <tpl fld="6" item="1"/>
          <tpl hier="236" item="0"/>
          <tpl fld="4" item="1"/>
        </tpls>
      </m>
      <m>
        <tpls c="4">
          <tpl fld="7" item="427"/>
          <tpl fld="6" item="1"/>
          <tpl hier="236" item="0"/>
          <tpl fld="1" item="0"/>
        </tpls>
      </m>
      <m>
        <tpls c="4">
          <tpl fld="7" item="247"/>
          <tpl fld="6" item="1"/>
          <tpl hier="236" item="0"/>
          <tpl fld="1" item="0"/>
        </tpls>
      </m>
      <m>
        <tpls c="4">
          <tpl fld="7" item="219"/>
          <tpl fld="6" item="1"/>
          <tpl hier="236" item="0"/>
          <tpl fld="4" item="6"/>
        </tpls>
      </m>
      <m>
        <tpls c="3">
          <tpl fld="7" item="113"/>
          <tpl fld="6" item="3"/>
          <tpl hier="236" item="0"/>
        </tpls>
      </m>
      <m>
        <tpls c="4">
          <tpl fld="7" item="1139"/>
          <tpl fld="6" item="2"/>
          <tpl hier="236" item="0"/>
          <tpl fld="4" item="4"/>
        </tpls>
      </m>
      <m>
        <tpls c="4">
          <tpl fld="7" item="217"/>
          <tpl fld="6" item="2"/>
          <tpl hier="236" item="0"/>
          <tpl fld="4" item="4"/>
        </tpls>
      </m>
      <m>
        <tpls c="4">
          <tpl fld="7" item="729"/>
          <tpl fld="6" item="1"/>
          <tpl hier="236" item="0"/>
          <tpl fld="4" item="6"/>
        </tpls>
      </m>
      <m>
        <tpls c="4">
          <tpl fld="7" item="904"/>
          <tpl fld="6" item="1"/>
          <tpl hier="236" item="0"/>
          <tpl fld="4" item="6"/>
        </tpls>
      </m>
      <m>
        <tpls c="4">
          <tpl fld="7" item="1078"/>
          <tpl fld="6" item="2"/>
          <tpl hier="236" item="0"/>
          <tpl fld="1" item="0"/>
        </tpls>
      </m>
      <m>
        <tpls c="4">
          <tpl fld="7" item="466"/>
          <tpl fld="6" item="2"/>
          <tpl hier="236" item="0"/>
          <tpl fld="1" item="0"/>
        </tpls>
      </m>
      <m>
        <tpls c="4">
          <tpl fld="7" item="1211"/>
          <tpl fld="6" item="2"/>
          <tpl hier="236" item="0"/>
          <tpl fld="4" item="5"/>
        </tpls>
      </m>
      <m>
        <tpls c="4">
          <tpl fld="7" item="149"/>
          <tpl fld="6" item="2"/>
          <tpl hier="236" item="0"/>
          <tpl fld="4" item="5"/>
        </tpls>
      </m>
      <m>
        <tpls c="4">
          <tpl fld="7" item="261"/>
          <tpl fld="6" item="1"/>
          <tpl hier="236" item="0"/>
          <tpl fld="4" item="5"/>
        </tpls>
      </m>
      <m>
        <tpls c="4">
          <tpl fld="7" item="337"/>
          <tpl fld="6" item="2"/>
          <tpl hier="236" item="0"/>
          <tpl fld="4" item="1"/>
        </tpls>
      </m>
      <m>
        <tpls c="4">
          <tpl fld="7" item="774"/>
          <tpl fld="6" item="2"/>
          <tpl hier="236" item="0"/>
          <tpl fld="4" item="6"/>
        </tpls>
      </m>
      <m>
        <tpls c="3">
          <tpl fld="7" item="990"/>
          <tpl fld="6" item="3"/>
          <tpl hier="236" item="0"/>
        </tpls>
      </m>
      <m>
        <tpls c="4">
          <tpl fld="7" item="573"/>
          <tpl fld="6" item="2"/>
          <tpl hier="236" item="0"/>
          <tpl fld="4" item="5"/>
        </tpls>
      </m>
      <m>
        <tpls c="4">
          <tpl fld="7" item="739"/>
          <tpl fld="6" item="1"/>
          <tpl hier="236" item="0"/>
          <tpl fld="4" item="1"/>
        </tpls>
      </m>
      <m>
        <tpls c="4">
          <tpl fld="7" item="864"/>
          <tpl fld="6" item="1"/>
          <tpl hier="236" item="0"/>
          <tpl fld="4" item="6"/>
        </tpls>
      </m>
      <m>
        <tpls c="4">
          <tpl fld="7" item="289"/>
          <tpl fld="6" item="2"/>
          <tpl hier="236" item="0"/>
          <tpl fld="1" item="0"/>
        </tpls>
      </m>
      <m>
        <tpls c="4">
          <tpl fld="7" item="623"/>
          <tpl fld="6" item="2"/>
          <tpl hier="236" item="0"/>
          <tpl fld="1" item="0"/>
        </tpls>
      </m>
      <n v="1" in="2">
        <tpls c="4">
          <tpl fld="7" item="584"/>
          <tpl fld="6" item="2"/>
          <tpl hier="236" item="0"/>
          <tpl fld="1" item="0"/>
        </tpls>
      </n>
      <m>
        <tpls c="4">
          <tpl fld="7" item="810"/>
          <tpl fld="6" item="2"/>
          <tpl hier="236" item="0"/>
          <tpl fld="1" item="0"/>
        </tpls>
      </m>
      <n v="1" in="1">
        <tpls c="4">
          <tpl fld="7" item="656"/>
          <tpl fld="6" item="1"/>
          <tpl hier="236" item="0"/>
          <tpl fld="4" item="4"/>
        </tpls>
      </n>
      <n v="1" in="1">
        <tpls c="4">
          <tpl fld="7" item="1100"/>
          <tpl fld="6" item="1"/>
          <tpl hier="236" item="0"/>
          <tpl fld="4" item="6"/>
        </tpls>
      </n>
      <n v="4" in="1">
        <tpls c="4">
          <tpl fld="7" item="831"/>
          <tpl fld="6" item="1"/>
          <tpl hier="236" item="0"/>
          <tpl fld="4" item="4"/>
        </tpls>
      </n>
      <m>
        <tpls c="4">
          <tpl fld="7" item="1112"/>
          <tpl fld="6" item="2"/>
          <tpl hier="236" item="0"/>
          <tpl fld="4" item="1"/>
        </tpls>
      </m>
      <m>
        <tpls c="3">
          <tpl fld="7" item="915"/>
          <tpl fld="6" item="3"/>
          <tpl hier="236" item="0"/>
        </tpls>
      </m>
      <n v="1" in="1">
        <tpls c="4">
          <tpl fld="7" item="1131"/>
          <tpl fld="6" item="1"/>
          <tpl hier="236" item="0"/>
          <tpl fld="4" item="6"/>
        </tpls>
      </n>
      <n v="10" in="1">
        <tpls c="4">
          <tpl fld="7" item="952"/>
          <tpl fld="6" item="1"/>
          <tpl hier="236" item="0"/>
          <tpl fld="4" item="4"/>
        </tpls>
      </n>
      <m>
        <tpls c="4">
          <tpl fld="7" item="862"/>
          <tpl fld="6" item="2"/>
          <tpl hier="236" item="0"/>
          <tpl fld="1" item="0"/>
        </tpls>
      </m>
      <n v="1.3" in="2">
        <tpls c="4">
          <tpl fld="7" item="360"/>
          <tpl fld="6" item="2"/>
          <tpl hier="236" item="0"/>
          <tpl fld="1" item="0"/>
        </tpls>
      </n>
      <m>
        <tpls c="4">
          <tpl fld="7" item="393"/>
          <tpl fld="6" item="1"/>
          <tpl hier="236" item="0"/>
          <tpl fld="4" item="5"/>
        </tpls>
      </m>
      <m>
        <tpls c="3">
          <tpl fld="7" item="1213"/>
          <tpl fld="6" item="3"/>
          <tpl hier="236" item="0"/>
        </tpls>
      </m>
      <m>
        <tpls c="3">
          <tpl fld="7" item="992"/>
          <tpl fld="6" item="3"/>
          <tpl hier="236" item="0"/>
        </tpls>
      </m>
      <m>
        <tpls c="4">
          <tpl fld="7" item="646"/>
          <tpl fld="6" item="2"/>
          <tpl hier="236" item="0"/>
          <tpl fld="4" item="1"/>
        </tpls>
      </m>
      <m>
        <tpls c="4">
          <tpl fld="7" item="891"/>
          <tpl fld="6" item="2"/>
          <tpl hier="236" item="0"/>
          <tpl fld="4" item="4"/>
        </tpls>
      </m>
      <m>
        <tpls c="4">
          <tpl fld="7" item="819"/>
          <tpl fld="6" item="2"/>
          <tpl hier="236" item="0"/>
          <tpl fld="4" item="6"/>
        </tpls>
      </m>
      <n v="1.55" in="2">
        <tpls c="4">
          <tpl fld="7" item="743"/>
          <tpl fld="6" item="2"/>
          <tpl hier="236" item="0"/>
          <tpl fld="1" item="0"/>
        </tpls>
      </n>
      <n v="1" in="1">
        <tpls c="4">
          <tpl fld="7" item="1105"/>
          <tpl fld="6" item="1"/>
          <tpl hier="236" item="0"/>
          <tpl fld="4" item="6"/>
        </tpls>
      </n>
      <m>
        <tpls c="4">
          <tpl fld="7" item="908"/>
          <tpl fld="6" item="2"/>
          <tpl hier="236" item="0"/>
          <tpl fld="4" item="4"/>
        </tpls>
      </m>
      <n v="5" in="1">
        <tpls c="4">
          <tpl fld="7" item="1247"/>
          <tpl fld="6" item="1"/>
          <tpl hier="236" item="0"/>
          <tpl fld="4" item="4"/>
        </tpls>
      </n>
      <m>
        <tpls c="4">
          <tpl fld="7" item="929"/>
          <tpl fld="6" item="2"/>
          <tpl hier="236" item="0"/>
          <tpl fld="4" item="1"/>
        </tpls>
      </m>
      <m>
        <tpls c="4">
          <tpl fld="7" item="961"/>
          <tpl fld="6" item="2"/>
          <tpl hier="236" item="0"/>
          <tpl fld="4" item="1"/>
        </tpls>
      </m>
      <m>
        <tpls c="4">
          <tpl fld="7" item="1112"/>
          <tpl fld="6" item="2"/>
          <tpl hier="236" item="0"/>
          <tpl fld="1" item="0"/>
        </tpls>
      </m>
      <m>
        <tpls c="4">
          <tpl fld="7" item="204"/>
          <tpl fld="6" item="2"/>
          <tpl hier="236" item="0"/>
          <tpl fld="1" item="0"/>
        </tpls>
      </m>
      <m>
        <tpls c="4">
          <tpl fld="7" item="590"/>
          <tpl fld="6" item="2"/>
          <tpl hier="236" item="0"/>
          <tpl fld="1" item="0"/>
        </tpls>
      </m>
      <m>
        <tpls c="4">
          <tpl fld="7" item="1243"/>
          <tpl fld="6" item="2"/>
          <tpl hier="236" item="0"/>
          <tpl fld="4" item="5"/>
        </tpls>
      </m>
      <n v="9" in="1">
        <tpls c="4">
          <tpl fld="7" item="794"/>
          <tpl fld="6" item="1"/>
          <tpl hier="236" item="0"/>
          <tpl fld="1" item="0"/>
        </tpls>
      </n>
      <m>
        <tpls c="4">
          <tpl fld="7" item="659"/>
          <tpl fld="6" item="2"/>
          <tpl hier="236" item="0"/>
          <tpl fld="1" item="0"/>
        </tpls>
      </m>
      <m>
        <tpls c="4">
          <tpl fld="7" item="1024"/>
          <tpl fld="6" item="2"/>
          <tpl hier="236" item="0"/>
          <tpl fld="4" item="4"/>
        </tpls>
      </m>
      <m>
        <tpls c="4">
          <tpl fld="7" item="75"/>
          <tpl fld="6" item="2"/>
          <tpl hier="236" item="0"/>
          <tpl fld="1" item="0"/>
        </tpls>
      </m>
      <m>
        <tpls c="4">
          <tpl fld="7" item="1002"/>
          <tpl fld="6" item="2"/>
          <tpl hier="236" item="0"/>
          <tpl fld="4" item="5"/>
        </tpls>
      </m>
      <m>
        <tpls c="4">
          <tpl fld="7" item="291"/>
          <tpl fld="6" item="2"/>
          <tpl hier="236" item="0"/>
          <tpl fld="4" item="5"/>
        </tpls>
      </m>
      <m>
        <tpls c="4">
          <tpl fld="7" item="400"/>
          <tpl fld="6" item="2"/>
          <tpl hier="236" item="0"/>
          <tpl fld="4" item="5"/>
        </tpls>
      </m>
      <m>
        <tpls c="4">
          <tpl fld="7" item="447"/>
          <tpl fld="6" item="2"/>
          <tpl hier="236" item="0"/>
          <tpl fld="4" item="6"/>
        </tpls>
      </m>
      <m>
        <tpls c="4">
          <tpl fld="7" item="68"/>
          <tpl fld="6" item="2"/>
          <tpl hier="236" item="0"/>
          <tpl fld="4" item="6"/>
        </tpls>
      </m>
      <m>
        <tpls c="4">
          <tpl fld="7" item="1013"/>
          <tpl fld="6" item="1"/>
          <tpl hier="236" item="0"/>
          <tpl fld="4" item="5"/>
        </tpls>
      </m>
      <m>
        <tpls c="4">
          <tpl fld="7" item="206"/>
          <tpl fld="6" item="1"/>
          <tpl hier="236" item="0"/>
          <tpl fld="4" item="5"/>
        </tpls>
      </m>
      <m>
        <tpls c="4">
          <tpl fld="7" item="126"/>
          <tpl fld="6" item="1"/>
          <tpl hier="236" item="0"/>
          <tpl fld="4" item="5"/>
        </tpls>
      </m>
      <n v="2" in="1">
        <tpls c="4">
          <tpl fld="7" item="924"/>
          <tpl fld="6" item="1"/>
          <tpl hier="236" item="0"/>
          <tpl fld="4" item="1"/>
        </tpls>
      </n>
      <n v="1" in="1">
        <tpls c="4">
          <tpl fld="7" item="508"/>
          <tpl fld="6" item="1"/>
          <tpl hier="236" item="0"/>
          <tpl fld="4" item="1"/>
        </tpls>
      </n>
      <m>
        <tpls c="4">
          <tpl fld="7" item="278"/>
          <tpl fld="6" item="1"/>
          <tpl hier="236" item="0"/>
          <tpl fld="4" item="1"/>
        </tpls>
      </m>
      <n v="1" in="1">
        <tpls c="4">
          <tpl fld="7" item="862"/>
          <tpl fld="6" item="1"/>
          <tpl hier="236" item="0"/>
          <tpl fld="1" item="0"/>
        </tpls>
      </n>
      <m>
        <tpls c="4">
          <tpl fld="7" item="574"/>
          <tpl fld="6" item="2"/>
          <tpl hier="236" item="0"/>
          <tpl fld="4" item="5"/>
        </tpls>
      </m>
      <m>
        <tpls c="4">
          <tpl fld="7" item="821"/>
          <tpl fld="6" item="1"/>
          <tpl hier="236" item="0"/>
          <tpl fld="4" item="1"/>
        </tpls>
      </m>
      <m>
        <tpls c="4">
          <tpl fld="7" item="921"/>
          <tpl fld="6" item="2"/>
          <tpl hier="236" item="0"/>
          <tpl fld="4" item="4"/>
        </tpls>
      </m>
      <m>
        <tpls c="4">
          <tpl fld="7" item="71"/>
          <tpl fld="6" item="2"/>
          <tpl hier="236" item="0"/>
          <tpl fld="1" item="0"/>
        </tpls>
      </m>
      <m>
        <tpls c="4">
          <tpl fld="7" item="1223"/>
          <tpl fld="6" item="2"/>
          <tpl hier="236" item="0"/>
          <tpl fld="4" item="5"/>
        </tpls>
      </m>
      <m>
        <tpls c="4">
          <tpl fld="7" item="838"/>
          <tpl fld="6" item="2"/>
          <tpl hier="236" item="0"/>
          <tpl fld="4" item="5"/>
        </tpls>
      </m>
      <m>
        <tpls c="4">
          <tpl fld="7" item="372"/>
          <tpl fld="6" item="2"/>
          <tpl hier="236" item="0"/>
          <tpl fld="4" item="5"/>
        </tpls>
      </m>
      <m>
        <tpls c="4">
          <tpl fld="7" item="211"/>
          <tpl fld="6" item="2"/>
          <tpl hier="236" item="0"/>
          <tpl fld="4" item="5"/>
        </tpls>
      </m>
      <m>
        <tpls c="4">
          <tpl fld="7" item="344"/>
          <tpl fld="6" item="2"/>
          <tpl hier="236" item="0"/>
          <tpl fld="4" item="5"/>
        </tpls>
      </m>
      <m>
        <tpls c="4">
          <tpl fld="7" item="154"/>
          <tpl fld="6" item="2"/>
          <tpl hier="236" item="0"/>
          <tpl fld="4" item="5"/>
        </tpls>
      </m>
      <m>
        <tpls c="4">
          <tpl fld="7" item="255"/>
          <tpl fld="6" item="2"/>
          <tpl hier="236" item="0"/>
          <tpl fld="4" item="5"/>
        </tpls>
      </m>
      <m>
        <tpls c="4">
          <tpl fld="7" item="109"/>
          <tpl fld="6" item="2"/>
          <tpl hier="236" item="0"/>
          <tpl fld="4" item="5"/>
        </tpls>
      </m>
      <m>
        <tpls c="4">
          <tpl fld="7" item="1128"/>
          <tpl fld="6" item="2"/>
          <tpl hier="236" item="0"/>
          <tpl fld="4" item="6"/>
        </tpls>
      </m>
      <m>
        <tpls c="4">
          <tpl fld="7" item="1244"/>
          <tpl fld="6" item="2"/>
          <tpl hier="236" item="0"/>
          <tpl fld="4" item="6"/>
        </tpls>
      </m>
      <n v="1" in="2">
        <tpls c="4">
          <tpl fld="7" item="379"/>
          <tpl fld="6" item="2"/>
          <tpl hier="236" item="0"/>
          <tpl fld="4" item="6"/>
        </tpls>
      </n>
      <m>
        <tpls c="4">
          <tpl fld="7" item="358"/>
          <tpl fld="6" item="2"/>
          <tpl hier="236" item="0"/>
          <tpl fld="4" item="6"/>
        </tpls>
      </m>
      <m>
        <tpls c="4">
          <tpl fld="7" item="93"/>
          <tpl fld="6" item="2"/>
          <tpl hier="236" item="0"/>
          <tpl fld="4" item="6"/>
        </tpls>
      </m>
      <m>
        <tpls c="4">
          <tpl fld="7" item="287"/>
          <tpl fld="6" item="2"/>
          <tpl hier="236" item="0"/>
          <tpl fld="4" item="6"/>
        </tpls>
      </m>
      <m>
        <tpls c="4">
          <tpl fld="7" item="405"/>
          <tpl fld="6" item="2"/>
          <tpl hier="236" item="0"/>
          <tpl fld="4" item="6"/>
        </tpls>
      </m>
      <m>
        <tpls c="4">
          <tpl fld="7" item="469"/>
          <tpl fld="6" item="2"/>
          <tpl hier="236" item="0"/>
          <tpl fld="4" item="6"/>
        </tpls>
      </m>
      <n v="5" in="1">
        <tpls c="4">
          <tpl fld="7" item="1015"/>
          <tpl fld="6" item="1"/>
          <tpl hier="236" item="0"/>
          <tpl fld="4" item="5"/>
        </tpls>
      </n>
      <m>
        <tpls c="4">
          <tpl fld="7" item="1190"/>
          <tpl fld="6" item="1"/>
          <tpl hier="236" item="0"/>
          <tpl fld="4" item="5"/>
        </tpls>
      </m>
      <n v="98" in="1">
        <tpls c="6">
          <tpl fld="3" item="3"/>
          <tpl fld="11" item="0"/>
          <tpl fld="6" item="1"/>
          <tpl hier="236" item="0"/>
          <tpl fld="4" item="3"/>
          <tpl fld="10" item="1"/>
        </tpls>
      </n>
      <n v="1" in="2">
        <tpls c="6">
          <tpl fld="11" item="0"/>
          <tpl fld="6" item="2"/>
          <tpl fld="8" item="0"/>
          <tpl hier="236" item="0"/>
          <tpl fld="4" item="7"/>
          <tpl fld="10" item="8"/>
        </tpls>
      </n>
      <m>
        <tpls c="4">
          <tpl fld="7" item="544"/>
          <tpl fld="6" item="1"/>
          <tpl hier="236" item="0"/>
          <tpl fld="4" item="6"/>
        </tpls>
      </m>
      <m>
        <tpls c="4">
          <tpl fld="7" item="390"/>
          <tpl fld="6" item="2"/>
          <tpl hier="236" item="0"/>
          <tpl fld="1" item="0"/>
        </tpls>
      </m>
      <n v="26" in="1">
        <tpls c="4">
          <tpl fld="7" item="706"/>
          <tpl fld="6" item="1"/>
          <tpl hier="236" item="0"/>
          <tpl fld="4" item="4"/>
        </tpls>
      </n>
      <m>
        <tpls c="3">
          <tpl fld="7" item="529"/>
          <tpl fld="6" item="3"/>
          <tpl hier="236" item="0"/>
        </tpls>
      </m>
      <m>
        <tpls c="4">
          <tpl fld="7" item="1091"/>
          <tpl fld="6" item="2"/>
          <tpl hier="236" item="0"/>
          <tpl fld="4" item="1"/>
        </tpls>
      </m>
      <n v="3" in="1">
        <tpls c="4">
          <tpl fld="7" item="460"/>
          <tpl fld="6" item="1"/>
          <tpl hier="236" item="0"/>
          <tpl fld="4" item="4"/>
        </tpls>
      </n>
      <m>
        <tpls c="4">
          <tpl fld="7" item="582"/>
          <tpl fld="6" item="1"/>
          <tpl hier="236" item="0"/>
          <tpl fld="4" item="1"/>
        </tpls>
      </m>
      <m>
        <tpls c="3">
          <tpl fld="7" item="1098"/>
          <tpl fld="6" item="3"/>
          <tpl hier="236" item="0"/>
        </tpls>
      </m>
      <m>
        <tpls c="4">
          <tpl fld="7" item="924"/>
          <tpl fld="6" item="2"/>
          <tpl hier="236" item="0"/>
          <tpl fld="4" item="1"/>
        </tpls>
      </m>
      <m>
        <tpls c="4">
          <tpl fld="7" item="528"/>
          <tpl fld="6" item="1"/>
          <tpl hier="236" item="0"/>
          <tpl fld="4" item="1"/>
        </tpls>
      </m>
      <m>
        <tpls c="3">
          <tpl fld="7" item="775"/>
          <tpl fld="6" item="3"/>
          <tpl hier="236" item="0"/>
        </tpls>
      </m>
      <n v="2" in="1">
        <tpls c="4">
          <tpl fld="7" item="991"/>
          <tpl fld="6" item="1"/>
          <tpl hier="236" item="0"/>
          <tpl fld="1" item="0"/>
        </tpls>
      </n>
      <n v="6" in="1">
        <tpls c="4">
          <tpl fld="7" item="784"/>
          <tpl fld="6" item="1"/>
          <tpl hier="236" item="0"/>
          <tpl fld="1" item="0"/>
        </tpls>
      </n>
      <m>
        <tpls c="4">
          <tpl fld="7" item="641"/>
          <tpl fld="6" item="2"/>
          <tpl hier="236" item="0"/>
          <tpl fld="1" item="0"/>
        </tpls>
      </m>
      <m>
        <tpls c="4">
          <tpl fld="7" item="727"/>
          <tpl fld="6" item="2"/>
          <tpl hier="236" item="0"/>
          <tpl fld="4" item="4"/>
        </tpls>
      </m>
      <m>
        <tpls c="4">
          <tpl fld="7" item="1217"/>
          <tpl fld="6" item="2"/>
          <tpl hier="236" item="0"/>
          <tpl fld="4" item="1"/>
        </tpls>
      </m>
      <m>
        <tpls c="4">
          <tpl fld="7" item="1072"/>
          <tpl fld="6" item="2"/>
          <tpl hier="236" item="0"/>
          <tpl fld="4" item="1"/>
        </tpls>
      </m>
      <m>
        <tpls c="4">
          <tpl fld="7" item="774"/>
          <tpl fld="6" item="1"/>
          <tpl hier="236" item="0"/>
          <tpl fld="4" item="6"/>
        </tpls>
      </m>
      <n v="3" in="1">
        <tpls c="4">
          <tpl fld="7" item="653"/>
          <tpl fld="6" item="1"/>
          <tpl hier="236" item="0"/>
          <tpl fld="4" item="4"/>
        </tpls>
      </n>
      <m>
        <tpls c="4">
          <tpl fld="7" item="716"/>
          <tpl fld="6" item="2"/>
          <tpl hier="236" item="0"/>
          <tpl fld="4" item="1"/>
        </tpls>
      </m>
      <m>
        <tpls c="4">
          <tpl fld="7" item="23"/>
          <tpl fld="6" item="2"/>
          <tpl hier="236" item="0"/>
          <tpl fld="1" item="0"/>
        </tpls>
      </m>
      <m>
        <tpls c="4">
          <tpl fld="7" item="657"/>
          <tpl fld="6" item="1"/>
          <tpl hier="236" item="0"/>
          <tpl fld="4" item="1"/>
        </tpls>
      </m>
      <m>
        <tpls c="4">
          <tpl fld="7" item="859"/>
          <tpl fld="6" item="2"/>
          <tpl hier="236" item="0"/>
          <tpl fld="4" item="4"/>
        </tpls>
      </m>
      <m>
        <tpls c="4">
          <tpl fld="7" item="96"/>
          <tpl fld="6" item="2"/>
          <tpl hier="236" item="0"/>
          <tpl fld="1" item="0"/>
        </tpls>
      </m>
      <m>
        <tpls c="4">
          <tpl fld="7" item="992"/>
          <tpl fld="6" item="2"/>
          <tpl hier="236" item="0"/>
          <tpl fld="4" item="6"/>
        </tpls>
      </m>
      <n v="4" in="1">
        <tpls c="4">
          <tpl fld="7" item="890"/>
          <tpl fld="6" item="1"/>
          <tpl hier="236" item="0"/>
          <tpl fld="4" item="1"/>
        </tpls>
      </n>
      <n v="2" in="1">
        <tpls c="4">
          <tpl fld="7" item="892"/>
          <tpl fld="6" item="1"/>
          <tpl hier="236" item="0"/>
          <tpl fld="4" item="1"/>
        </tpls>
      </n>
      <n v="8" in="1">
        <tpls c="4">
          <tpl fld="7" item="825"/>
          <tpl fld="6" item="1"/>
          <tpl hier="236" item="0"/>
          <tpl fld="4" item="6"/>
        </tpls>
      </n>
      <m>
        <tpls c="3">
          <tpl fld="7" item="1243"/>
          <tpl fld="6" item="3"/>
          <tpl hier="236" item="0"/>
        </tpls>
      </m>
      <m>
        <tpls c="4">
          <tpl fld="7" item="1272"/>
          <tpl fld="6" item="2"/>
          <tpl hier="236" item="0"/>
          <tpl fld="4" item="4"/>
        </tpls>
      </m>
      <m>
        <tpls c="4">
          <tpl fld="7" item="1136"/>
          <tpl fld="6" item="2"/>
          <tpl hier="236" item="0"/>
          <tpl fld="4" item="1"/>
        </tpls>
      </m>
      <m>
        <tpls c="4">
          <tpl fld="7" item="1178"/>
          <tpl fld="6" item="2"/>
          <tpl hier="236" item="0"/>
          <tpl fld="4" item="1"/>
        </tpls>
      </m>
      <m>
        <tpls c="4">
          <tpl fld="7" item="502"/>
          <tpl fld="6" item="2"/>
          <tpl hier="236" item="0"/>
          <tpl fld="1" item="0"/>
        </tpls>
      </m>
      <m>
        <tpls c="4">
          <tpl fld="7" item="403"/>
          <tpl fld="6" item="2"/>
          <tpl hier="236" item="0"/>
          <tpl fld="1" item="0"/>
        </tpls>
      </m>
      <m>
        <tpls c="4">
          <tpl fld="7" item="521"/>
          <tpl fld="6" item="2"/>
          <tpl hier="236" item="0"/>
          <tpl fld="4" item="5"/>
        </tpls>
      </m>
      <m>
        <tpls c="4">
          <tpl fld="7" item="732"/>
          <tpl fld="6" item="1"/>
          <tpl hier="236" item="0"/>
          <tpl fld="4" item="6"/>
        </tpls>
      </m>
      <n v="1" in="1">
        <tpls c="4">
          <tpl fld="7" item="921"/>
          <tpl fld="6" item="1"/>
          <tpl hier="236" item="0"/>
          <tpl fld="4" item="4"/>
        </tpls>
      </n>
      <m>
        <tpls c="4">
          <tpl fld="7" item="251"/>
          <tpl fld="6" item="2"/>
          <tpl hier="236" item="0"/>
          <tpl fld="1" item="0"/>
        </tpls>
      </m>
      <m>
        <tpls c="4">
          <tpl fld="7" item="491"/>
          <tpl fld="6" item="2"/>
          <tpl hier="236" item="0"/>
          <tpl fld="4" item="5"/>
        </tpls>
      </m>
      <m>
        <tpls c="4">
          <tpl fld="7" item="329"/>
          <tpl fld="6" item="2"/>
          <tpl hier="236" item="0"/>
          <tpl fld="4" item="5"/>
        </tpls>
      </m>
      <m>
        <tpls c="4">
          <tpl fld="7" item="426"/>
          <tpl fld="6" item="2"/>
          <tpl hier="236" item="0"/>
          <tpl fld="4" item="6"/>
        </tpls>
      </m>
      <m>
        <tpls c="4">
          <tpl fld="7" item="1130"/>
          <tpl fld="6" item="1"/>
          <tpl hier="236" item="0"/>
          <tpl fld="4" item="5"/>
        </tpls>
      </m>
      <m>
        <tpls c="4">
          <tpl fld="7" item="205"/>
          <tpl fld="6" item="1"/>
          <tpl hier="236" item="0"/>
          <tpl fld="4" item="5"/>
        </tpls>
      </m>
      <m>
        <tpls c="4">
          <tpl fld="7" item="121"/>
          <tpl fld="6" item="1"/>
          <tpl hier="236" item="0"/>
          <tpl fld="4" item="5"/>
        </tpls>
      </m>
      <m>
        <tpls c="4">
          <tpl fld="7" item="1024"/>
          <tpl fld="6" item="1"/>
          <tpl hier="236" item="0"/>
          <tpl fld="4" item="1"/>
        </tpls>
      </m>
      <n v="9" in="1">
        <tpls c="4">
          <tpl fld="7" item="503"/>
          <tpl fld="6" item="1"/>
          <tpl hier="236" item="0"/>
          <tpl fld="4" item="1"/>
        </tpls>
      </n>
      <m>
        <tpls c="4">
          <tpl fld="7" item="269"/>
          <tpl fld="6" item="1"/>
          <tpl hier="236" item="0"/>
          <tpl fld="4" item="1"/>
        </tpls>
      </m>
      <n v="10" in="1">
        <tpls c="4">
          <tpl fld="7" item="857"/>
          <tpl fld="6" item="1"/>
          <tpl hier="236" item="0"/>
          <tpl fld="1" item="0"/>
        </tpls>
      </n>
      <m>
        <tpls c="4">
          <tpl fld="7" item="1188"/>
          <tpl fld="6" item="2"/>
          <tpl hier="236" item="0"/>
          <tpl fld="4" item="6"/>
        </tpls>
      </m>
      <n v="4" in="1">
        <tpls c="4">
          <tpl fld="7" item="823"/>
          <tpl fld="6" item="1"/>
          <tpl hier="236" item="0"/>
          <tpl fld="4" item="4"/>
        </tpls>
      </n>
      <m>
        <tpls c="4">
          <tpl fld="7" item="924"/>
          <tpl fld="6" item="2"/>
          <tpl hier="236" item="0"/>
          <tpl fld="4" item="4"/>
        </tpls>
      </m>
      <m>
        <tpls c="4">
          <tpl fld="7" item="265"/>
          <tpl fld="6" item="2"/>
          <tpl hier="236" item="0"/>
          <tpl fld="1" item="0"/>
        </tpls>
      </m>
      <m>
        <tpls c="4">
          <tpl fld="7" item="177"/>
          <tpl fld="6" item="1"/>
          <tpl hier="236" item="0"/>
          <tpl fld="4" item="4"/>
        </tpls>
      </m>
      <m>
        <tpls c="4">
          <tpl fld="7" item="596"/>
          <tpl fld="6" item="1"/>
          <tpl hier="236" item="0"/>
          <tpl fld="4" item="6"/>
        </tpls>
      </m>
      <n v="1" in="2">
        <tpls c="4">
          <tpl fld="7" item="775"/>
          <tpl fld="6" item="2"/>
          <tpl hier="236" item="0"/>
          <tpl fld="1" item="0"/>
        </tpls>
      </n>
      <m>
        <tpls c="4">
          <tpl fld="7" item="713"/>
          <tpl fld="6" item="2"/>
          <tpl hier="236" item="0"/>
          <tpl fld="4" item="1"/>
        </tpls>
      </m>
      <m>
        <tpls c="4">
          <tpl fld="7" item="576"/>
          <tpl fld="6" item="1"/>
          <tpl hier="236" item="0"/>
          <tpl fld="4" item="5"/>
        </tpls>
      </m>
      <m>
        <tpls c="4">
          <tpl fld="7" item="660"/>
          <tpl fld="6" item="2"/>
          <tpl hier="236" item="0"/>
          <tpl fld="4" item="6"/>
        </tpls>
      </m>
      <m>
        <tpls c="4">
          <tpl fld="7" item="922"/>
          <tpl fld="6" item="1"/>
          <tpl hier="236" item="0"/>
          <tpl fld="4" item="4"/>
        </tpls>
      </m>
      <m>
        <tpls c="4">
          <tpl fld="7" item="281"/>
          <tpl fld="6" item="2"/>
          <tpl hier="236" item="0"/>
          <tpl fld="1" item="0"/>
        </tpls>
      </m>
      <n v="1" in="1">
        <tpls c="4">
          <tpl fld="7" item="624"/>
          <tpl fld="6" item="1"/>
          <tpl hier="236" item="0"/>
          <tpl fld="4" item="6"/>
        </tpls>
      </n>
      <m>
        <tpls c="4">
          <tpl fld="7" item="1095"/>
          <tpl fld="6" item="2"/>
          <tpl hier="236" item="0"/>
          <tpl fld="4" item="4"/>
        </tpls>
      </m>
      <m>
        <tpls c="4">
          <tpl fld="7" item="994"/>
          <tpl fld="6" item="2"/>
          <tpl hier="236" item="0"/>
          <tpl fld="4" item="6"/>
        </tpls>
      </m>
      <m>
        <tpls c="4">
          <tpl fld="7" item="656"/>
          <tpl fld="6" item="1"/>
          <tpl hier="236" item="0"/>
          <tpl fld="4" item="1"/>
        </tpls>
      </m>
      <n v="1" in="1">
        <tpls c="4">
          <tpl fld="7" item="662"/>
          <tpl fld="6" item="1"/>
          <tpl hier="236" item="0"/>
          <tpl fld="4" item="4"/>
        </tpls>
      </n>
      <m>
        <tpls c="4">
          <tpl fld="7" item="896"/>
          <tpl fld="6" item="1"/>
          <tpl hier="236" item="0"/>
          <tpl fld="4" item="6"/>
        </tpls>
      </m>
      <m>
        <tpls c="4">
          <tpl fld="7" item="844"/>
          <tpl fld="6" item="2"/>
          <tpl hier="236" item="0"/>
          <tpl fld="4" item="4"/>
        </tpls>
      </m>
      <n v="7" in="1">
        <tpls c="4">
          <tpl fld="7" item="857"/>
          <tpl fld="6" item="1"/>
          <tpl hier="236" item="0"/>
          <tpl fld="4" item="4"/>
        </tpls>
      </n>
      <m>
        <tpls c="4">
          <tpl fld="7" item="925"/>
          <tpl fld="6" item="2"/>
          <tpl hier="236" item="0"/>
          <tpl fld="4" item="1"/>
        </tpls>
      </m>
      <m>
        <tpls c="4">
          <tpl fld="7" item="953"/>
          <tpl fld="6" item="1"/>
          <tpl hier="236" item="0"/>
          <tpl fld="4" item="4"/>
        </tpls>
      </m>
      <m>
        <tpls c="4">
          <tpl fld="7" item="860"/>
          <tpl fld="6" item="2"/>
          <tpl hier="236" item="0"/>
          <tpl fld="1" item="0"/>
        </tpls>
      </m>
      <m>
        <tpls c="4">
          <tpl fld="7" item="358"/>
          <tpl fld="6" item="2"/>
          <tpl hier="236" item="0"/>
          <tpl fld="1" item="0"/>
        </tpls>
      </m>
      <m>
        <tpls c="4">
          <tpl fld="7" item="686"/>
          <tpl fld="6" item="2"/>
          <tpl hier="236" item="0"/>
          <tpl fld="4" item="1"/>
        </tpls>
      </m>
      <m>
        <tpls c="4">
          <tpl fld="7" item="707"/>
          <tpl fld="6" item="2"/>
          <tpl hier="236" item="0"/>
          <tpl fld="1" item="0"/>
        </tpls>
      </m>
      <m>
        <tpls c="4">
          <tpl fld="7" item="641"/>
          <tpl fld="6" item="2"/>
          <tpl hier="236" item="0"/>
          <tpl fld="4" item="1"/>
        </tpls>
      </m>
      <m>
        <tpls c="4">
          <tpl fld="7" item="646"/>
          <tpl fld="6" item="2"/>
          <tpl hier="236" item="0"/>
          <tpl fld="4" item="5"/>
        </tpls>
      </m>
      <m>
        <tpls c="4">
          <tpl fld="7" item="652"/>
          <tpl fld="6" item="2"/>
          <tpl hier="236" item="0"/>
          <tpl fld="4" item="1"/>
        </tpls>
      </m>
      <m>
        <tpls c="4">
          <tpl fld="7" item="1099"/>
          <tpl fld="6" item="2"/>
          <tpl hier="236" item="0"/>
          <tpl fld="4" item="4"/>
        </tpls>
      </m>
      <m>
        <tpls c="4">
          <tpl fld="7" item="825"/>
          <tpl fld="6" item="2"/>
          <tpl hier="236" item="0"/>
          <tpl fld="4" item="6"/>
        </tpls>
      </m>
      <m>
        <tpls c="4">
          <tpl fld="7" item="835"/>
          <tpl fld="6" item="2"/>
          <tpl hier="236" item="0"/>
          <tpl fld="4" item="1"/>
        </tpls>
      </m>
      <m>
        <tpls c="3">
          <tpl fld="7" item="1115"/>
          <tpl fld="6" item="3"/>
          <tpl hier="236" item="0"/>
        </tpls>
      </m>
      <n v="1" in="1">
        <tpls c="4">
          <tpl fld="7" item="918"/>
          <tpl fld="6" item="1"/>
          <tpl hier="236" item="0"/>
          <tpl fld="4" item="6"/>
        </tpls>
      </n>
      <m>
        <tpls c="4">
          <tpl fld="7" item="930"/>
          <tpl fld="6" item="2"/>
          <tpl hier="236" item="0"/>
          <tpl fld="4" item="1"/>
        </tpls>
      </m>
      <m>
        <tpls c="4">
          <tpl fld="7" item="962"/>
          <tpl fld="6" item="2"/>
          <tpl hier="236" item="0"/>
          <tpl fld="4" item="1"/>
        </tpls>
      </m>
      <m>
        <tpls c="4">
          <tpl fld="7" item="904"/>
          <tpl fld="6" item="2"/>
          <tpl hier="236" item="0"/>
          <tpl fld="1" item="0"/>
        </tpls>
      </m>
      <m>
        <tpls c="4">
          <tpl fld="7" item="196"/>
          <tpl fld="6" item="2"/>
          <tpl hier="236" item="0"/>
          <tpl fld="1" item="0"/>
        </tpls>
      </m>
      <m>
        <tpls c="4">
          <tpl fld="7" item="332"/>
          <tpl fld="6" item="2"/>
          <tpl hier="236" item="0"/>
          <tpl fld="1" item="0"/>
        </tpls>
      </m>
      <m>
        <tpls c="4">
          <tpl fld="7" item="1004"/>
          <tpl fld="6" item="2"/>
          <tpl hier="236" item="0"/>
          <tpl fld="4" item="5"/>
        </tpls>
      </m>
      <m>
        <tpls c="3">
          <tpl fld="7" item="1276"/>
          <tpl fld="6" item="3"/>
          <tpl hier="236" item="0"/>
        </tpls>
      </m>
      <m>
        <tpls c="4">
          <tpl fld="7" item="893"/>
          <tpl fld="6" item="2"/>
          <tpl hier="236" item="0"/>
          <tpl fld="4" item="5"/>
        </tpls>
      </m>
      <m>
        <tpls c="4">
          <tpl fld="7" item="1128"/>
          <tpl fld="6" item="2"/>
          <tpl hier="236" item="0"/>
          <tpl fld="4" item="1"/>
        </tpls>
      </m>
      <m>
        <tpls c="4">
          <tpl fld="7" item="342"/>
          <tpl fld="6" item="2"/>
          <tpl hier="236" item="0"/>
          <tpl fld="1" item="0"/>
        </tpls>
      </m>
      <m>
        <tpls c="4">
          <tpl fld="7" item="1000"/>
          <tpl fld="6" item="2"/>
          <tpl hier="236" item="0"/>
          <tpl fld="4" item="5"/>
        </tpls>
      </m>
      <m>
        <tpls c="4">
          <tpl fld="7" item="289"/>
          <tpl fld="6" item="2"/>
          <tpl hier="236" item="0"/>
          <tpl fld="4" item="5"/>
        </tpls>
      </m>
      <m>
        <tpls c="4">
          <tpl fld="7" item="470"/>
          <tpl fld="6" item="2"/>
          <tpl hier="236" item="0"/>
          <tpl fld="4" item="5"/>
        </tpls>
      </m>
      <m>
        <tpls c="4">
          <tpl fld="7" item="445"/>
          <tpl fld="6" item="2"/>
          <tpl hier="236" item="0"/>
          <tpl fld="4" item="6"/>
        </tpls>
      </m>
      <m>
        <tpls c="4">
          <tpl fld="7" item="66"/>
          <tpl fld="6" item="2"/>
          <tpl hier="236" item="0"/>
          <tpl fld="4" item="6"/>
        </tpls>
      </m>
      <m>
        <tpls c="4">
          <tpl fld="7" item="1193"/>
          <tpl fld="6" item="1"/>
          <tpl hier="236" item="0"/>
          <tpl fld="4" item="5"/>
        </tpls>
      </m>
      <m>
        <tpls c="4">
          <tpl fld="7" item="204"/>
          <tpl fld="6" item="1"/>
          <tpl hier="236" item="0"/>
          <tpl fld="4" item="5"/>
        </tpls>
      </m>
      <m>
        <tpls c="4">
          <tpl fld="7" item="124"/>
          <tpl fld="6" item="1"/>
          <tpl hier="236" item="0"/>
          <tpl fld="4" item="5"/>
        </tpls>
      </m>
      <m>
        <tpls c="4">
          <tpl fld="7" item="1129"/>
          <tpl fld="6" item="1"/>
          <tpl hier="236" item="0"/>
          <tpl fld="4" item="1"/>
        </tpls>
      </m>
      <n v="4" in="1">
        <tpls c="4">
          <tpl fld="7" item="506"/>
          <tpl fld="6" item="1"/>
          <tpl hier="236" item="0"/>
          <tpl fld="4" item="1"/>
        </tpls>
      </n>
      <m>
        <tpls c="4">
          <tpl fld="7" item="276"/>
          <tpl fld="6" item="1"/>
          <tpl hier="236" item="0"/>
          <tpl fld="4" item="1"/>
        </tpls>
      </m>
      <n v="1" in="1">
        <tpls c="4">
          <tpl fld="7" item="860"/>
          <tpl fld="6" item="1"/>
          <tpl hier="236" item="0"/>
          <tpl fld="1" item="0"/>
        </tpls>
      </n>
      <m>
        <tpls c="4">
          <tpl fld="7" item="577"/>
          <tpl fld="6" item="1"/>
          <tpl hier="236" item="0"/>
          <tpl fld="4" item="5"/>
        </tpls>
      </m>
      <m>
        <tpls c="4">
          <tpl fld="7" item="740"/>
          <tpl fld="6" item="2"/>
          <tpl hier="236" item="0"/>
          <tpl fld="4" item="6"/>
        </tpls>
      </m>
      <m>
        <tpls c="4">
          <tpl fld="7" item="1026"/>
          <tpl fld="6" item="2"/>
          <tpl hier="236" item="0"/>
          <tpl fld="4" item="1"/>
        </tpls>
      </m>
      <m>
        <tpls c="4">
          <tpl fld="7" item="67"/>
          <tpl fld="6" item="2"/>
          <tpl hier="236" item="0"/>
          <tpl fld="1" item="0"/>
        </tpls>
      </m>
      <n v="1" in="2">
        <tpls c="4">
          <tpl fld="7" item="365"/>
          <tpl fld="6" item="2"/>
          <tpl hier="236" item="0"/>
          <tpl fld="4" item="4"/>
        </tpls>
      </n>
      <m>
        <tpls c="4">
          <tpl fld="7" item="695"/>
          <tpl fld="6" item="1"/>
          <tpl hier="236" item="0"/>
          <tpl fld="4" item="6"/>
        </tpls>
      </m>
      <m>
        <tpls c="4">
          <tpl fld="7" item="986"/>
          <tpl fld="6" item="2"/>
          <tpl hier="236" item="0"/>
          <tpl fld="4" item="4"/>
        </tpls>
      </m>
      <m>
        <tpls c="3">
          <tpl fld="7" item="887"/>
          <tpl fld="6" item="3"/>
          <tpl hier="236" item="0"/>
        </tpls>
      </m>
      <m>
        <tpls c="4">
          <tpl fld="7" item="583"/>
          <tpl fld="6" item="2"/>
          <tpl hier="236" item="0"/>
          <tpl fld="1" item="0"/>
        </tpls>
      </m>
      <n v="3" in="1">
        <tpls c="4">
          <tpl fld="7" item="743"/>
          <tpl fld="6" item="1"/>
          <tpl hier="236" item="0"/>
          <tpl fld="4" item="1"/>
        </tpls>
      </n>
      <m>
        <tpls c="4">
          <tpl fld="7" item="875"/>
          <tpl fld="6" item="2"/>
          <tpl hier="236" item="0"/>
          <tpl fld="4" item="1"/>
        </tpls>
      </m>
      <m>
        <tpls c="4">
          <tpl fld="7" item="32"/>
          <tpl fld="6" item="2"/>
          <tpl hier="236" item="0"/>
          <tpl fld="1" item="0"/>
        </tpls>
      </m>
      <n v="18" in="1">
        <tpls c="4">
          <tpl fld="7" item="707"/>
          <tpl fld="6" item="1"/>
          <tpl hier="236" item="0"/>
          <tpl fld="1" item="0"/>
        </tpls>
      </n>
      <m>
        <tpls c="4">
          <tpl fld="7" item="586"/>
          <tpl fld="6" item="2"/>
          <tpl hier="236" item="0"/>
          <tpl fld="4" item="1"/>
        </tpls>
      </m>
      <n v="14" in="1">
        <tpls c="4">
          <tpl fld="7" item="650"/>
          <tpl fld="6" item="1"/>
          <tpl hier="236" item="0"/>
          <tpl fld="4" item="4"/>
        </tpls>
      </n>
      <m>
        <tpls c="4">
          <tpl fld="7" item="657"/>
          <tpl fld="6" item="1"/>
          <tpl hier="236" item="0"/>
          <tpl fld="4" item="4"/>
        </tpls>
      </m>
      <m>
        <tpls c="4">
          <tpl fld="7" item="1241"/>
          <tpl fld="6" item="1"/>
          <tpl hier="236" item="0"/>
          <tpl fld="4" item="6"/>
        </tpls>
      </m>
      <m>
        <tpls c="4">
          <tpl fld="7" item="833"/>
          <tpl fld="6" item="2"/>
          <tpl hier="236" item="0"/>
          <tpl fld="4" item="4"/>
        </tpls>
      </m>
      <m>
        <tpls c="4">
          <tpl fld="7" item="846"/>
          <tpl fld="6" item="1"/>
          <tpl hier="236" item="0"/>
          <tpl fld="4" item="4"/>
        </tpls>
      </m>
      <m>
        <tpls c="4">
          <tpl fld="7" item="1221"/>
          <tpl fld="6" item="2"/>
          <tpl hier="236" item="0"/>
          <tpl fld="4" item="1"/>
        </tpls>
      </m>
      <n v="1" in="1">
        <tpls c="4">
          <tpl fld="7" item="1133"/>
          <tpl fld="6" item="1"/>
          <tpl hier="236" item="0"/>
          <tpl fld="4" item="4"/>
        </tpls>
      </n>
      <n v="6" in="1">
        <tpls c="4">
          <tpl fld="7" item="1164"/>
          <tpl fld="6" item="1"/>
          <tpl hier="236" item="0"/>
          <tpl fld="4" item="4"/>
        </tpls>
      </n>
      <n v="2.5945945945945947" in="2">
        <tpls c="4">
          <tpl fld="7" item="851"/>
          <tpl fld="6" item="2"/>
          <tpl hier="236" item="0"/>
          <tpl fld="1" item="0"/>
        </tpls>
      </n>
      <m>
        <tpls c="4">
          <tpl fld="7" item="104"/>
          <tpl fld="6" item="2"/>
          <tpl hier="236" item="0"/>
          <tpl fld="1" item="0"/>
        </tpls>
      </m>
      <m>
        <tpls c="4">
          <tpl fld="7" item="881"/>
          <tpl fld="6" item="2"/>
          <tpl hier="236" item="0"/>
          <tpl fld="1" item="0"/>
        </tpls>
      </m>
      <m>
        <tpls c="4">
          <tpl fld="7" item="1239"/>
          <tpl fld="6" item="2"/>
          <tpl hier="236" item="0"/>
          <tpl fld="1" item="0"/>
        </tpls>
      </m>
      <n v="3" in="1">
        <tpls c="4">
          <tpl fld="7" item="1095"/>
          <tpl fld="6" item="1"/>
          <tpl hier="236" item="0"/>
          <tpl fld="4" item="5"/>
        </tpls>
      </n>
      <m>
        <tpls c="4">
          <tpl fld="7" item="647"/>
          <tpl fld="6" item="2"/>
          <tpl hier="236" item="0"/>
          <tpl fld="4" item="1"/>
        </tpls>
      </m>
      <m>
        <tpls c="4">
          <tpl fld="7" item="995"/>
          <tpl fld="6" item="2"/>
          <tpl hier="236" item="0"/>
          <tpl fld="4" item="4"/>
        </tpls>
      </m>
      <m>
        <tpls c="4">
          <tpl fld="7" item="820"/>
          <tpl fld="6" item="2"/>
          <tpl hier="236" item="0"/>
          <tpl fld="4" item="6"/>
        </tpls>
      </m>
      <m>
        <tpls c="4">
          <tpl fld="7" item="826"/>
          <tpl fld="6" item="2"/>
          <tpl hier="236" item="0"/>
          <tpl fld="4" item="6"/>
        </tpls>
      </m>
      <m>
        <tpls c="3">
          <tpl fld="7" item="1004"/>
          <tpl fld="6" item="3"/>
          <tpl hier="236" item="0"/>
        </tpls>
      </m>
      <n v="8" in="1">
        <tpls c="4">
          <tpl fld="7" item="1245"/>
          <tpl fld="6" item="1"/>
          <tpl hier="236" item="0"/>
          <tpl fld="4" item="6"/>
        </tpls>
      </n>
      <m>
        <tpls c="4">
          <tpl fld="7" item="1023"/>
          <tpl fld="6" item="2"/>
          <tpl hier="236" item="0"/>
          <tpl fld="4" item="4"/>
        </tpls>
      </m>
      <m>
        <tpls c="4">
          <tpl fld="7" item="1141"/>
          <tpl fld="6" item="2"/>
          <tpl hier="236" item="0"/>
          <tpl fld="4" item="1"/>
        </tpls>
      </m>
      <m>
        <tpls c="4">
          <tpl fld="7" item="1173"/>
          <tpl fld="6" item="2"/>
          <tpl hier="236" item="0"/>
          <tpl fld="4" item="1"/>
        </tpls>
      </m>
      <n v="1" in="2">
        <tpls c="4">
          <tpl fld="7" item="1001"/>
          <tpl fld="6" item="2"/>
          <tpl hier="236" item="0"/>
          <tpl fld="1" item="0"/>
        </tpls>
      </n>
      <m>
        <tpls c="4">
          <tpl fld="7" item="189"/>
          <tpl fld="6" item="2"/>
          <tpl hier="236" item="0"/>
          <tpl fld="1" item="0"/>
        </tpls>
      </m>
      <m>
        <tpls c="4">
          <tpl fld="7" item="328"/>
          <tpl fld="6" item="2"/>
          <tpl hier="236" item="0"/>
          <tpl fld="1" item="0"/>
        </tpls>
      </m>
      <m>
        <tpls c="4">
          <tpl fld="7" item="98"/>
          <tpl fld="6" item="2"/>
          <tpl hier="236" item="0"/>
          <tpl fld="4" item="5"/>
        </tpls>
      </m>
      <m>
        <tpls c="4">
          <tpl fld="7" item="802"/>
          <tpl fld="6" item="2"/>
          <tpl hier="236" item="0"/>
          <tpl fld="4" item="5"/>
        </tpls>
      </m>
      <m>
        <tpls c="4">
          <tpl fld="7" item="663"/>
          <tpl fld="6" item="2"/>
          <tpl hier="236" item="0"/>
          <tpl fld="1" item="0"/>
        </tpls>
      </m>
      <n v="17" in="1">
        <tpls c="4">
          <tpl fld="7" item="874"/>
          <tpl fld="6" item="1"/>
          <tpl hier="236" item="0"/>
          <tpl fld="4" item="4"/>
        </tpls>
      </n>
      <m>
        <tpls c="4">
          <tpl fld="7" item="167"/>
          <tpl fld="6" item="2"/>
          <tpl hier="236" item="0"/>
          <tpl fld="1" item="0"/>
        </tpls>
      </m>
      <m>
        <tpls c="4">
          <tpl fld="7" item="682"/>
          <tpl fld="6" item="2"/>
          <tpl hier="236" item="0"/>
          <tpl fld="4" item="5"/>
        </tpls>
      </m>
      <m>
        <tpls c="4">
          <tpl fld="7" item="280"/>
          <tpl fld="6" item="2"/>
          <tpl hier="236" item="0"/>
          <tpl fld="4" item="5"/>
        </tpls>
      </m>
      <m>
        <tpls c="4">
          <tpl fld="7" item="978"/>
          <tpl fld="6" item="2"/>
          <tpl hier="236" item="0"/>
          <tpl fld="4" item="6"/>
        </tpls>
      </m>
      <m>
        <tpls c="4">
          <tpl fld="7" item="436"/>
          <tpl fld="6" item="2"/>
          <tpl hier="236" item="0"/>
          <tpl fld="4" item="6"/>
        </tpls>
      </m>
      <m>
        <tpls c="4">
          <tpl fld="7" item="36"/>
          <tpl fld="6" item="2"/>
          <tpl hier="236" item="0"/>
          <tpl fld="4" item="6"/>
        </tpls>
      </m>
      <m>
        <tpls c="4">
          <tpl fld="7" item="901"/>
          <tpl fld="6" item="1"/>
          <tpl hier="236" item="0"/>
          <tpl fld="4" item="5"/>
        </tpls>
      </m>
      <m>
        <tpls c="4">
          <tpl fld="7" item="195"/>
          <tpl fld="6" item="1"/>
          <tpl hier="236" item="0"/>
          <tpl fld="4" item="5"/>
        </tpls>
      </m>
      <m>
        <tpls c="4">
          <tpl fld="7" item="1076"/>
          <tpl fld="6" item="1"/>
          <tpl hier="236" item="0"/>
          <tpl fld="4" item="1"/>
        </tpls>
      </m>
      <m>
        <tpls c="4">
          <tpl fld="7" item="1195"/>
          <tpl fld="6" item="1"/>
          <tpl hier="236" item="0"/>
          <tpl fld="4" item="1"/>
        </tpls>
      </m>
      <m>
        <tpls c="4">
          <tpl fld="7" item="497"/>
          <tpl fld="6" item="1"/>
          <tpl hier="236" item="0"/>
          <tpl fld="4" item="1"/>
        </tpls>
      </m>
      <m>
        <tpls c="4">
          <tpl fld="7" item="44"/>
          <tpl fld="6" item="1"/>
          <tpl hier="236" item="0"/>
          <tpl fld="4" item="1"/>
        </tpls>
      </m>
      <n v="36" in="1">
        <tpls c="4">
          <tpl fld="7" item="851"/>
          <tpl fld="6" item="1"/>
          <tpl hier="236" item="0"/>
          <tpl fld="1" item="0"/>
        </tpls>
      </n>
      <m>
        <tpls c="4">
          <tpl fld="7" item="641"/>
          <tpl fld="6" item="1"/>
          <tpl hier="236" item="0"/>
          <tpl fld="4" item="6"/>
        </tpls>
      </m>
      <n v="5" in="1">
        <tpls c="4">
          <tpl fld="7" item="825"/>
          <tpl fld="6" item="1"/>
          <tpl hier="236" item="0"/>
          <tpl fld="4" item="1"/>
        </tpls>
      </n>
      <n v="2" in="1">
        <tpls c="4">
          <tpl fld="7" item="1034"/>
          <tpl fld="6" item="1"/>
          <tpl hier="236" item="0"/>
          <tpl fld="4" item="4"/>
        </tpls>
      </n>
      <m>
        <tpls c="4">
          <tpl fld="7" item="160"/>
          <tpl fld="6" item="2"/>
          <tpl hier="236" item="0"/>
          <tpl fld="1" item="0"/>
        </tpls>
      </m>
      <m>
        <tpls c="4">
          <tpl fld="7" item="380"/>
          <tpl fld="6" item="2"/>
          <tpl hier="236" item="0"/>
          <tpl fld="4" item="5"/>
        </tpls>
      </m>
      <m>
        <tpls c="4">
          <tpl fld="7" item="54"/>
          <tpl fld="6" item="2"/>
          <tpl hier="236" item="0"/>
          <tpl fld="4" item="5"/>
        </tpls>
      </m>
      <m>
        <tpls c="4">
          <tpl fld="7" item="1080"/>
          <tpl fld="6" item="2"/>
          <tpl hier="236" item="0"/>
          <tpl fld="4" item="6"/>
        </tpls>
      </m>
      <m>
        <tpls c="4">
          <tpl fld="7" item="364"/>
          <tpl fld="6" item="2"/>
          <tpl hier="236" item="0"/>
          <tpl fld="4" item="6"/>
        </tpls>
      </m>
      <m>
        <tpls c="4">
          <tpl fld="7" item="29"/>
          <tpl fld="6" item="2"/>
          <tpl hier="236" item="0"/>
          <tpl fld="4" item="6"/>
        </tpls>
      </m>
      <m>
        <tpls c="4">
          <tpl fld="7" item="900"/>
          <tpl fld="6" item="1"/>
          <tpl hier="236" item="0"/>
          <tpl fld="4" item="5"/>
        </tpls>
      </m>
      <m>
        <tpls c="4">
          <tpl fld="7" item="86"/>
          <tpl fld="6" item="1"/>
          <tpl hier="236" item="0"/>
          <tpl fld="4" item="5"/>
        </tpls>
      </m>
      <n v="3" in="1">
        <tpls c="4">
          <tpl fld="7" item="971"/>
          <tpl fld="6" item="1"/>
          <tpl hier="236" item="0"/>
          <tpl fld="4" item="1"/>
        </tpls>
      </n>
      <n v="15" in="1">
        <tpls c="4">
          <tpl fld="7" item="625"/>
          <tpl fld="6" item="1"/>
          <tpl hier="236" item="0"/>
          <tpl fld="4" item="4"/>
        </tpls>
      </n>
      <m>
        <tpls c="4">
          <tpl fld="7" item="1272"/>
          <tpl fld="6" item="2"/>
          <tpl hier="236" item="0"/>
          <tpl fld="1" item="0"/>
        </tpls>
      </m>
      <m>
        <tpls c="3">
          <tpl fld="7" item="815"/>
          <tpl fld="6" item="3"/>
          <tpl hier="236" item="0"/>
        </tpls>
      </m>
      <m>
        <tpls c="4">
          <tpl fld="7" item="1118"/>
          <tpl fld="6" item="2"/>
          <tpl hier="236" item="0"/>
          <tpl fld="4" item="1"/>
        </tpls>
      </m>
      <m>
        <tpls c="4">
          <tpl fld="7" item="384"/>
          <tpl fld="6" item="2"/>
          <tpl hier="236" item="0"/>
          <tpl fld="1" item="0"/>
        </tpls>
      </m>
      <m>
        <tpls c="4">
          <tpl fld="7" item="644"/>
          <tpl fld="6" item="2"/>
          <tpl hier="236" item="0"/>
          <tpl fld="4" item="4"/>
        </tpls>
      </m>
      <m>
        <tpls c="3">
          <tpl fld="7" item="748"/>
          <tpl fld="6" item="3"/>
          <tpl hier="236" item="0"/>
        </tpls>
      </m>
      <m>
        <tpls c="4">
          <tpl fld="7" item="949"/>
          <tpl fld="6" item="2"/>
          <tpl hier="236" item="0"/>
          <tpl fld="4" item="1"/>
        </tpls>
      </m>
      <m>
        <tpls c="4">
          <tpl fld="7" item="1196"/>
          <tpl fld="6" item="2"/>
          <tpl hier="236" item="0"/>
          <tpl fld="4" item="5"/>
        </tpls>
      </m>
      <m>
        <tpls c="4">
          <tpl fld="7" item="1123"/>
          <tpl fld="6" item="2"/>
          <tpl hier="236" item="0"/>
          <tpl fld="1" item="0"/>
        </tpls>
      </m>
      <m>
        <tpls c="4">
          <tpl fld="7" item="1009"/>
          <tpl fld="6" item="2"/>
          <tpl hier="236" item="0"/>
          <tpl fld="4" item="6"/>
        </tpls>
      </m>
      <m>
        <tpls c="4">
          <tpl fld="7" item="59"/>
          <tpl fld="6" item="1"/>
          <tpl hier="236" item="0"/>
          <tpl fld="4" item="5"/>
        </tpls>
      </m>
      <m>
        <tpls c="4">
          <tpl fld="7" item="325"/>
          <tpl fld="6" item="1"/>
          <tpl hier="236" item="0"/>
          <tpl fld="4" item="1"/>
        </tpls>
      </m>
      <n v="1" in="2">
        <tpls c="4">
          <tpl fld="7" item="1220"/>
          <tpl fld="6" item="2"/>
          <tpl hier="236" item="0"/>
          <tpl fld="1" item="0"/>
        </tpls>
      </n>
      <m>
        <tpls c="4">
          <tpl fld="7" item="498"/>
          <tpl fld="6" item="2"/>
          <tpl hier="236" item="0"/>
          <tpl fld="4" item="5"/>
        </tpls>
      </m>
      <m>
        <tpls c="4">
          <tpl fld="7" item="132"/>
          <tpl fld="6" item="2"/>
          <tpl hier="236" item="0"/>
          <tpl fld="4" item="5"/>
        </tpls>
      </m>
      <m>
        <tpls c="4">
          <tpl fld="7" item="366"/>
          <tpl fld="6" item="2"/>
          <tpl hier="236" item="0"/>
          <tpl fld="4" item="6"/>
        </tpls>
      </m>
      <m>
        <tpls c="4">
          <tpl fld="7" item="237"/>
          <tpl fld="6" item="2"/>
          <tpl hier="236" item="0"/>
          <tpl fld="4" item="6"/>
        </tpls>
      </m>
      <m>
        <tpls c="4">
          <tpl fld="7" item="494"/>
          <tpl fld="6" item="1"/>
          <tpl hier="236" item="0"/>
          <tpl fld="4" item="5"/>
        </tpls>
      </m>
      <n v="2" in="1">
        <tpls c="4">
          <tpl fld="7" item="1077"/>
          <tpl fld="6" item="1"/>
          <tpl hier="236" item="0"/>
          <tpl fld="4" item="1"/>
        </tpls>
      </n>
      <m>
        <tpls c="4">
          <tpl fld="7" item="1017"/>
          <tpl fld="6" item="1"/>
          <tpl hier="236" item="0"/>
          <tpl fld="4" item="1"/>
        </tpls>
      </m>
      <n v="1" in="1">
        <tpls c="4">
          <tpl fld="7" item="595"/>
          <tpl fld="6" item="1"/>
          <tpl hier="236" item="0"/>
          <tpl fld="4" item="1"/>
        </tpls>
      </n>
      <m>
        <tpls c="4">
          <tpl fld="7" item="241"/>
          <tpl fld="6" item="1"/>
          <tpl hier="236" item="0"/>
          <tpl fld="4" item="1"/>
        </tpls>
      </m>
      <n v="1" in="1">
        <tpls c="4">
          <tpl fld="7" item="586"/>
          <tpl fld="6" item="1"/>
          <tpl hier="236" item="0"/>
          <tpl fld="4" item="6"/>
        </tpls>
      </n>
      <n v="9" in="1">
        <tpls c="4">
          <tpl fld="7" item="666"/>
          <tpl fld="6" item="1"/>
          <tpl hier="236" item="0"/>
          <tpl fld="4" item="1"/>
        </tpls>
      </n>
      <n v="1" in="1">
        <tpls c="4">
          <tpl fld="7" item="1227"/>
          <tpl fld="6" item="1"/>
          <tpl hier="236" item="0"/>
          <tpl fld="4" item="4"/>
        </tpls>
      </n>
      <m>
        <tpls c="4">
          <tpl fld="7" item="258"/>
          <tpl fld="6" item="2"/>
          <tpl hier="236" item="0"/>
          <tpl fld="1" item="0"/>
        </tpls>
      </m>
      <m>
        <tpls c="4">
          <tpl fld="7" item="373"/>
          <tpl fld="6" item="2"/>
          <tpl hier="236" item="0"/>
          <tpl fld="4" item="5"/>
        </tpls>
      </m>
      <m>
        <tpls c="4">
          <tpl fld="7" item="157"/>
          <tpl fld="6" item="2"/>
          <tpl hier="236" item="0"/>
          <tpl fld="4" item="5"/>
        </tpls>
      </m>
      <m>
        <tpls c="4">
          <tpl fld="7" item="866"/>
          <tpl fld="6" item="2"/>
          <tpl hier="236" item="0"/>
          <tpl fld="4" item="6"/>
        </tpls>
      </m>
      <m>
        <tpls c="4">
          <tpl fld="7" item="500"/>
          <tpl fld="6" item="2"/>
          <tpl hier="236" item="0"/>
          <tpl fld="4" item="6"/>
        </tpls>
      </m>
      <m>
        <tpls c="4">
          <tpl fld="7" item="335"/>
          <tpl fld="6" item="2"/>
          <tpl hier="236" item="0"/>
          <tpl fld="4" item="6"/>
        </tpls>
      </m>
      <m>
        <tpls c="4">
          <tpl fld="7" item="896"/>
          <tpl fld="6" item="1"/>
          <tpl hier="236" item="0"/>
          <tpl fld="4" item="5"/>
        </tpls>
      </m>
      <m>
        <tpls c="4">
          <tpl fld="7" item="597"/>
          <tpl fld="6" item="1"/>
          <tpl hier="236" item="0"/>
          <tpl fld="4" item="5"/>
        </tpls>
      </m>
      <m>
        <tpls c="4">
          <tpl fld="7" item="313"/>
          <tpl fld="6" item="1"/>
          <tpl hier="236" item="0"/>
          <tpl fld="4" item="5"/>
        </tpls>
      </m>
      <m>
        <tpls c="4">
          <tpl fld="7" item="484"/>
          <tpl fld="6" item="1"/>
          <tpl hier="236" item="0"/>
          <tpl fld="4" item="5"/>
        </tpls>
      </m>
      <m>
        <tpls c="4">
          <tpl fld="7" item="251"/>
          <tpl fld="6" item="1"/>
          <tpl hier="236" item="0"/>
          <tpl fld="4" item="5"/>
        </tpls>
      </m>
      <m>
        <tpls c="4">
          <tpl fld="7" item="233"/>
          <tpl fld="6" item="1"/>
          <tpl hier="236" item="0"/>
          <tpl fld="4" item="5"/>
        </tpls>
      </m>
      <m>
        <tpls c="4">
          <tpl fld="7" item="1257"/>
          <tpl fld="6" item="1"/>
          <tpl hier="236" item="0"/>
          <tpl fld="4" item="1"/>
        </tpls>
      </m>
      <m>
        <tpls c="4">
          <tpl fld="7" item="1252"/>
          <tpl fld="6" item="1"/>
          <tpl hier="236" item="0"/>
          <tpl fld="4" item="1"/>
        </tpls>
      </m>
      <m>
        <tpls c="4">
          <tpl fld="7" item="867"/>
          <tpl fld="6" item="1"/>
          <tpl hier="236" item="0"/>
          <tpl fld="4" item="1"/>
        </tpls>
      </m>
      <m>
        <tpls c="4">
          <tpl fld="7" item="843"/>
          <tpl fld="6" item="1"/>
          <tpl hier="236" item="0"/>
          <tpl fld="4" item="1"/>
        </tpls>
      </m>
      <m>
        <tpls c="4">
          <tpl fld="7" item="456"/>
          <tpl fld="6" item="1"/>
          <tpl hier="236" item="0"/>
          <tpl fld="4" item="1"/>
        </tpls>
      </m>
      <n v="4" in="1">
        <tpls c="4">
          <tpl fld="7" item="436"/>
          <tpl fld="6" item="1"/>
          <tpl hier="236" item="0"/>
          <tpl fld="4" item="1"/>
        </tpls>
      </n>
      <m>
        <tpls c="4">
          <tpl fld="7" item="311"/>
          <tpl fld="6" item="1"/>
          <tpl hier="236" item="0"/>
          <tpl fld="4" item="1"/>
        </tpls>
      </m>
      <m>
        <tpls c="4">
          <tpl fld="7" item="180"/>
          <tpl fld="6" item="1"/>
          <tpl hier="236" item="0"/>
          <tpl fld="4" item="1"/>
        </tpls>
      </m>
      <m>
        <tpls c="4">
          <tpl fld="7" item="168"/>
          <tpl fld="6" item="1"/>
          <tpl hier="236" item="0"/>
          <tpl fld="4" item="1"/>
        </tpls>
      </m>
      <m>
        <tpls c="4">
          <tpl fld="7" item="590"/>
          <tpl fld="6" item="1"/>
          <tpl hier="236" item="0"/>
          <tpl fld="4" item="1"/>
        </tpls>
      </m>
      <m>
        <tpls c="4">
          <tpl fld="7" item="589"/>
          <tpl fld="6" item="1"/>
          <tpl hier="236" item="0"/>
          <tpl fld="4" item="1"/>
        </tpls>
      </m>
      <n v="3" in="1">
        <tpls c="4">
          <tpl fld="7" item="918"/>
          <tpl fld="6" item="1"/>
          <tpl hier="236" item="0"/>
          <tpl fld="1" item="0"/>
        </tpls>
      </n>
      <n v="1" in="1">
        <tpls c="4">
          <tpl fld="7" item="900"/>
          <tpl fld="6" item="1"/>
          <tpl hier="236" item="0"/>
          <tpl fld="1" item="0"/>
        </tpls>
      </n>
      <n v="10" in="1">
        <tpls c="4">
          <tpl fld="7" item="680"/>
          <tpl fld="6" item="1"/>
          <tpl hier="236" item="0"/>
          <tpl fld="1" item="0"/>
        </tpls>
      </n>
      <m>
        <tpls c="4">
          <tpl fld="7" item="675"/>
          <tpl fld="6" item="1"/>
          <tpl hier="236" item="0"/>
          <tpl fld="1" item="0"/>
        </tpls>
      </m>
      <m>
        <tpls c="4">
          <tpl fld="7" item="346"/>
          <tpl fld="6" item="1"/>
          <tpl hier="236" item="0"/>
          <tpl fld="1" item="0"/>
        </tpls>
      </m>
      <m>
        <tpls c="4">
          <tpl fld="7" item="173"/>
          <tpl fld="6" item="1"/>
          <tpl hier="236" item="0"/>
          <tpl fld="1" item="0"/>
        </tpls>
      </m>
      <m>
        <tpls c="4">
          <tpl fld="7" item="36"/>
          <tpl fld="6" item="1"/>
          <tpl hier="236" item="0"/>
          <tpl fld="1" item="0"/>
        </tpls>
      </m>
      <n v="5" in="1">
        <tpls c="4">
          <tpl fld="7" item="710"/>
          <tpl fld="6" item="1"/>
          <tpl hier="236" item="0"/>
          <tpl fld="4" item="6"/>
        </tpls>
      </n>
      <n v="1" in="1">
        <tpls c="4">
          <tpl fld="7" item="711"/>
          <tpl fld="6" item="1"/>
          <tpl hier="236" item="0"/>
          <tpl fld="4" item="6"/>
        </tpls>
      </n>
      <m>
        <tpls c="4">
          <tpl fld="7" item="998"/>
          <tpl fld="6" item="2"/>
          <tpl hier="236" item="0"/>
          <tpl fld="4" item="1"/>
        </tpls>
      </m>
      <m>
        <tpls c="4">
          <tpl fld="7" item="1000"/>
          <tpl fld="6" item="2"/>
          <tpl hier="236" item="0"/>
          <tpl fld="1" item="0"/>
        </tpls>
      </m>
      <m>
        <tpls c="4">
          <tpl fld="7" item="836"/>
          <tpl fld="6" item="2"/>
          <tpl hier="236" item="0"/>
          <tpl fld="4" item="5"/>
        </tpls>
      </m>
      <m>
        <tpls c="4">
          <tpl fld="7" item="44"/>
          <tpl fld="6" item="2"/>
          <tpl hier="236" item="0"/>
          <tpl fld="4" item="5"/>
        </tpls>
      </m>
      <m>
        <tpls c="4">
          <tpl fld="7" item="1004"/>
          <tpl fld="6" item="2"/>
          <tpl hier="236" item="0"/>
          <tpl fld="4" item="6"/>
        </tpls>
      </m>
      <m>
        <tpls c="4">
          <tpl fld="7" item="177"/>
          <tpl fld="6" item="2"/>
          <tpl hier="236" item="0"/>
          <tpl fld="4" item="6"/>
        </tpls>
      </m>
      <n v="5" in="1">
        <tpls c="4">
          <tpl fld="7" item="834"/>
          <tpl fld="6" item="1"/>
          <tpl hier="236" item="0"/>
          <tpl fld="4" item="5"/>
        </tpls>
      </n>
      <m>
        <tpls c="4">
          <tpl fld="7" item="246"/>
          <tpl fld="6" item="1"/>
          <tpl hier="236" item="0"/>
          <tpl fld="4" item="5"/>
        </tpls>
      </m>
      <m>
        <tpls c="4">
          <tpl fld="7" item="925"/>
          <tpl fld="6" item="1"/>
          <tpl hier="236" item="0"/>
          <tpl fld="4" item="1"/>
        </tpls>
      </m>
      <m>
        <tpls c="4">
          <tpl fld="7" item="352"/>
          <tpl fld="6" item="1"/>
          <tpl hier="236" item="0"/>
          <tpl fld="4" item="1"/>
        </tpls>
      </m>
      <m>
        <tpls c="4">
          <tpl fld="7" item="466"/>
          <tpl fld="6" item="1"/>
          <tpl hier="236" item="0"/>
          <tpl fld="4" item="1"/>
        </tpls>
      </m>
      <n v="5" in="1">
        <tpls c="4">
          <tpl fld="7" item="907"/>
          <tpl fld="6" item="1"/>
          <tpl hier="236" item="0"/>
          <tpl fld="1" item="0"/>
        </tpls>
      </n>
      <m>
        <tpls c="4">
          <tpl fld="7" item="440"/>
          <tpl fld="6" item="1"/>
          <tpl hier="236" item="0"/>
          <tpl fld="1" item="0"/>
        </tpls>
      </m>
      <m>
        <tpls c="4">
          <tpl fld="7" item="201"/>
          <tpl fld="6" item="1"/>
          <tpl hier="236" item="0"/>
          <tpl fld="1" item="0"/>
        </tpls>
      </m>
      <m>
        <tpls c="4">
          <tpl fld="7" item="412"/>
          <tpl fld="6" item="1"/>
          <tpl hier="236" item="0"/>
          <tpl fld="1" item="0"/>
        </tpls>
      </m>
      <m>
        <tpls c="4">
          <tpl fld="7" item="24"/>
          <tpl fld="6" item="1"/>
          <tpl hier="236" item="0"/>
          <tpl fld="1" item="0"/>
        </tpls>
      </m>
      <m>
        <tpls c="4">
          <tpl fld="7" item="118"/>
          <tpl fld="6" item="1"/>
          <tpl hier="236" item="0"/>
          <tpl fld="4" item="6"/>
        </tpls>
      </m>
      <m>
        <tpls c="4">
          <tpl fld="7" item="9"/>
          <tpl fld="6" item="1"/>
          <tpl hier="236" item="0"/>
          <tpl fld="4" item="6"/>
        </tpls>
      </m>
      <m>
        <tpls c="3">
          <tpl fld="7" item="59"/>
          <tpl fld="6" item="3"/>
          <tpl hier="236" item="0"/>
        </tpls>
      </m>
      <m>
        <tpls c="3">
          <tpl fld="7" item="225"/>
          <tpl fld="6" item="3"/>
          <tpl hier="236" item="0"/>
        </tpls>
      </m>
      <m>
        <tpls c="4">
          <tpl fld="7" item="1066"/>
          <tpl fld="6" item="2"/>
          <tpl hier="236" item="0"/>
          <tpl fld="4" item="4"/>
        </tpls>
      </m>
      <m>
        <tpls c="4">
          <tpl fld="7" item="1046"/>
          <tpl fld="6" item="2"/>
          <tpl hier="236" item="0"/>
          <tpl fld="4" item="4"/>
        </tpls>
      </m>
      <m>
        <tpls c="4">
          <tpl fld="7" item="628"/>
          <tpl fld="6" item="2"/>
          <tpl hier="236" item="0"/>
          <tpl fld="4" item="4"/>
        </tpls>
      </m>
      <m>
        <tpls c="4">
          <tpl fld="7" item="238"/>
          <tpl fld="6" item="2"/>
          <tpl hier="236" item="0"/>
          <tpl fld="4" item="4"/>
        </tpls>
      </m>
      <m>
        <tpls c="4">
          <tpl fld="7" item="668"/>
          <tpl fld="6" item="2"/>
          <tpl hier="236" item="0"/>
          <tpl fld="4" item="4"/>
        </tpls>
      </m>
      <m>
        <tpls c="4">
          <tpl fld="7" item="490"/>
          <tpl fld="6" item="1"/>
          <tpl hier="236" item="0"/>
          <tpl fld="4" item="5"/>
        </tpls>
      </m>
      <m>
        <tpls c="4">
          <tpl fld="7" item="72"/>
          <tpl fld="6" item="1"/>
          <tpl hier="236" item="0"/>
          <tpl fld="4" item="1"/>
        </tpls>
      </m>
      <n v="5" in="1">
        <tpls c="4">
          <tpl fld="7" item="511"/>
          <tpl fld="6" item="1"/>
          <tpl hier="236" item="0"/>
          <tpl fld="1" item="0"/>
        </tpls>
      </n>
      <n v="0" in="1">
        <tpls c="4">
          <tpl fld="7" item="15"/>
          <tpl fld="6" item="1"/>
          <tpl hier="236" item="0"/>
          <tpl fld="1" item="0"/>
        </tpls>
      </n>
      <m>
        <tpls c="3">
          <tpl fld="7" item="232"/>
          <tpl fld="6" item="3"/>
          <tpl hier="236" item="0"/>
        </tpls>
      </m>
      <m>
        <tpls c="4">
          <tpl fld="7" item="1150"/>
          <tpl fld="6" item="2"/>
          <tpl hier="236" item="0"/>
          <tpl fld="4" item="4"/>
        </tpls>
      </m>
      <m>
        <tpls c="4">
          <tpl fld="7" item="553"/>
          <tpl fld="6" item="1"/>
          <tpl hier="236" item="0"/>
          <tpl fld="4" item="4"/>
        </tpls>
      </m>
      <m>
        <tpls c="4">
          <tpl fld="7" item="822"/>
          <tpl fld="6" item="2"/>
          <tpl hier="236" item="0"/>
          <tpl fld="4" item="4"/>
        </tpls>
      </m>
      <n v="1" in="1">
        <tpls c="4">
          <tpl fld="7" item="1049"/>
          <tpl fld="6" item="1"/>
          <tpl hier="236" item="0"/>
          <tpl fld="4" item="4"/>
        </tpls>
      </n>
      <m>
        <tpls c="4">
          <tpl fld="7" item="1117"/>
          <tpl fld="6" item="2"/>
          <tpl hier="236" item="0"/>
          <tpl fld="4" item="5"/>
        </tpls>
      </m>
      <m>
        <tpls c="4">
          <tpl fld="7" item="71"/>
          <tpl fld="6" item="2"/>
          <tpl hier="236" item="0"/>
          <tpl fld="4" item="5"/>
        </tpls>
      </m>
      <m>
        <tpls c="4">
          <tpl fld="7" item="1127"/>
          <tpl fld="6" item="2"/>
          <tpl hier="236" item="0"/>
          <tpl fld="4" item="6"/>
        </tpls>
      </m>
      <m>
        <tpls c="4">
          <tpl fld="7" item="188"/>
          <tpl fld="6" item="2"/>
          <tpl hier="236" item="0"/>
          <tpl fld="4" item="6"/>
        </tpls>
      </m>
      <m>
        <tpls c="4">
          <tpl fld="7" item="845"/>
          <tpl fld="6" item="1"/>
          <tpl hier="236" item="0"/>
          <tpl fld="4" item="5"/>
        </tpls>
      </m>
      <m>
        <tpls c="4">
          <tpl fld="7" item="186"/>
          <tpl fld="6" item="1"/>
          <tpl hier="236" item="0"/>
          <tpl fld="4" item="5"/>
        </tpls>
      </m>
      <m>
        <tpls c="4">
          <tpl fld="7" item="1138"/>
          <tpl fld="6" item="1"/>
          <tpl hier="236" item="0"/>
          <tpl fld="4" item="1"/>
        </tpls>
      </m>
      <n v="3" in="1">
        <tpls c="4">
          <tpl fld="7" item="363"/>
          <tpl fld="6" item="1"/>
          <tpl hier="236" item="0"/>
          <tpl fld="4" item="1"/>
        </tpls>
      </n>
      <m>
        <tpls c="4">
          <tpl fld="7" item="145"/>
          <tpl fld="6" item="1"/>
          <tpl hier="236" item="0"/>
          <tpl fld="4" item="1"/>
        </tpls>
      </m>
      <n v="26" in="1">
        <tpls c="4">
          <tpl fld="7" item="911"/>
          <tpl fld="6" item="1"/>
          <tpl hier="236" item="0"/>
          <tpl fld="1" item="0"/>
        </tpls>
      </n>
      <n v="2" in="1">
        <tpls c="4">
          <tpl fld="7" item="373"/>
          <tpl fld="6" item="1"/>
          <tpl hier="236" item="0"/>
          <tpl fld="1" item="0"/>
        </tpls>
      </n>
      <m>
        <tpls c="4">
          <tpl fld="7" item="210"/>
          <tpl fld="6" item="1"/>
          <tpl hier="236" item="0"/>
          <tpl fld="1" item="0"/>
        </tpls>
      </m>
      <m>
        <tpls c="4">
          <tpl fld="7" item="70"/>
          <tpl fld="6" item="1"/>
          <tpl hier="236" item="0"/>
          <tpl fld="1" item="0"/>
        </tpls>
      </m>
      <m>
        <tpls c="4">
          <tpl fld="7" item="29"/>
          <tpl fld="6" item="1"/>
          <tpl hier="236" item="0"/>
          <tpl fld="1" item="0"/>
        </tpls>
      </m>
      <n v="0" in="1">
        <tpls c="4">
          <tpl fld="7" item="568"/>
          <tpl fld="6" item="1"/>
          <tpl hier="236" item="0"/>
          <tpl fld="4" item="6"/>
        </tpls>
      </n>
      <m>
        <tpls c="4">
          <tpl fld="7" item="220"/>
          <tpl fld="6" item="1"/>
          <tpl hier="236" item="0"/>
          <tpl fld="4" item="6"/>
        </tpls>
      </m>
      <m>
        <tpls c="3">
          <tpl fld="7" item="278"/>
          <tpl fld="6" item="3"/>
          <tpl hier="236" item="0"/>
        </tpls>
      </m>
      <m>
        <tpls c="3">
          <tpl fld="7" item="228"/>
          <tpl fld="6" item="3"/>
          <tpl hier="236" item="0"/>
        </tpls>
      </m>
      <m>
        <tpls c="4">
          <tpl fld="7" item="965"/>
          <tpl fld="6" item="2"/>
          <tpl hier="236" item="0"/>
          <tpl fld="4" item="4"/>
        </tpls>
      </m>
      <m>
        <tpls c="4">
          <tpl fld="7" item="945"/>
          <tpl fld="6" item="2"/>
          <tpl hier="236" item="0"/>
          <tpl fld="4" item="4"/>
        </tpls>
      </m>
      <m>
        <tpls c="4">
          <tpl fld="7" item="978"/>
          <tpl fld="6" item="2"/>
          <tpl hier="236" item="0"/>
          <tpl fld="4" item="4"/>
        </tpls>
      </m>
      <m>
        <tpls c="4">
          <tpl fld="7" item="14"/>
          <tpl fld="6" item="2"/>
          <tpl hier="236" item="0"/>
          <tpl fld="4" item="4"/>
        </tpls>
      </m>
      <n v="0.95" in="2">
        <tpls c="4">
          <tpl fld="7" item="758"/>
          <tpl fld="6" item="2"/>
          <tpl hier="236" item="0"/>
          <tpl fld="4" item="6"/>
        </tpls>
      </n>
      <m>
        <tpls c="4">
          <tpl fld="7" item="470"/>
          <tpl fld="6" item="1"/>
          <tpl hier="236" item="0"/>
          <tpl fld="4" item="5"/>
        </tpls>
      </m>
      <n v="6" in="1">
        <tpls c="4">
          <tpl fld="7" item="1247"/>
          <tpl fld="6" item="1"/>
          <tpl hier="236" item="0"/>
          <tpl fld="1" item="0"/>
        </tpls>
      </n>
      <m>
        <tpls c="4">
          <tpl fld="7" item="80"/>
          <tpl fld="6" item="1"/>
          <tpl hier="236" item="0"/>
          <tpl fld="1" item="0"/>
        </tpls>
      </m>
      <m>
        <tpls c="4">
          <tpl fld="7" item="234"/>
          <tpl fld="6" item="1"/>
          <tpl hier="236" item="0"/>
          <tpl fld="4" item="6"/>
        </tpls>
      </m>
      <m>
        <tpls c="4">
          <tpl fld="7" item="1175"/>
          <tpl fld="6" item="2"/>
          <tpl hier="236" item="0"/>
          <tpl fld="4" item="4"/>
        </tpls>
      </m>
      <m>
        <tpls c="4">
          <tpl fld="7" item="58"/>
          <tpl fld="6" item="2"/>
          <tpl hier="236" item="0"/>
          <tpl fld="4" item="4"/>
        </tpls>
      </m>
      <n v="29" in="1">
        <tpls c="4">
          <tpl fld="7" item="889"/>
          <tpl fld="6" item="1"/>
          <tpl hier="236" item="0"/>
          <tpl fld="4" item="4"/>
        </tpls>
      </n>
      <m>
        <tpls c="4">
          <tpl fld="7" item="1120"/>
          <tpl fld="6" item="2"/>
          <tpl hier="236" item="0"/>
          <tpl fld="4" item="4"/>
        </tpls>
      </m>
      <m>
        <tpls c="4">
          <tpl fld="7" item="64"/>
          <tpl fld="6" item="2"/>
          <tpl hier="236" item="0"/>
          <tpl fld="1" item="0"/>
        </tpls>
      </m>
      <m>
        <tpls c="4">
          <tpl fld="7" item="599"/>
          <tpl fld="6" item="2"/>
          <tpl hier="236" item="0"/>
          <tpl fld="4" item="5"/>
        </tpls>
      </m>
      <m>
        <tpls c="4">
          <tpl fld="7" item="133"/>
          <tpl fld="6" item="2"/>
          <tpl hier="236" item="0"/>
          <tpl fld="4" item="5"/>
        </tpls>
      </m>
      <m>
        <tpls c="4">
          <tpl fld="7" item="57"/>
          <tpl fld="6" item="2"/>
          <tpl hier="236" item="0"/>
          <tpl fld="4" item="1"/>
        </tpls>
      </m>
      <m>
        <tpls c="4">
          <tpl fld="7" item="445"/>
          <tpl fld="6" item="2"/>
          <tpl hier="236" item="0"/>
          <tpl fld="4" item="4"/>
        </tpls>
      </m>
      <m>
        <tpls c="4">
          <tpl fld="7" item="637"/>
          <tpl fld="6" item="1"/>
          <tpl hier="236" item="0"/>
          <tpl fld="4" item="5"/>
        </tpls>
      </m>
      <m>
        <tpls c="3">
          <tpl fld="7" item="890"/>
          <tpl fld="6" item="3"/>
          <tpl hier="236" item="0"/>
        </tpls>
      </m>
      <m>
        <tpls c="3">
          <tpl fld="7" item="911"/>
          <tpl fld="6" item="3"/>
          <tpl hier="236" item="0"/>
        </tpls>
      </m>
      <m>
        <tpls c="4">
          <tpl fld="7" item="233"/>
          <tpl fld="6" item="2"/>
          <tpl hier="236" item="0"/>
          <tpl fld="1" item="0"/>
        </tpls>
      </m>
      <m>
        <tpls c="4">
          <tpl fld="7" item="636"/>
          <tpl fld="6" item="1"/>
          <tpl hier="236" item="0"/>
          <tpl fld="4" item="1"/>
        </tpls>
      </m>
      <m>
        <tpls c="4">
          <tpl fld="7" item="808"/>
          <tpl fld="6" item="2"/>
          <tpl hier="236" item="0"/>
          <tpl fld="1" item="0"/>
        </tpls>
      </m>
      <m>
        <tpls c="4">
          <tpl fld="7" item="737"/>
          <tpl fld="6" item="2"/>
          <tpl hier="236" item="0"/>
          <tpl fld="4" item="5"/>
        </tpls>
      </m>
      <m>
        <tpls c="4">
          <tpl fld="7" item="998"/>
          <tpl fld="6" item="2"/>
          <tpl hier="236" item="0"/>
          <tpl fld="1" item="0"/>
        </tpls>
      </m>
      <m>
        <tpls c="3">
          <tpl fld="7" item="903"/>
          <tpl fld="6" item="3"/>
          <tpl hier="236" item="0"/>
        </tpls>
      </m>
      <n v="1" in="2">
        <tpls c="4">
          <tpl fld="7" item="1124"/>
          <tpl fld="6" item="2"/>
          <tpl hier="236" item="0"/>
          <tpl fld="4" item="1"/>
        </tpls>
      </n>
      <m>
        <tpls c="4">
          <tpl fld="7" item="936"/>
          <tpl fld="6" item="1"/>
          <tpl hier="236" item="0"/>
          <tpl fld="4" item="4"/>
        </tpls>
      </m>
      <m>
        <tpls c="4">
          <tpl fld="7" item="976"/>
          <tpl fld="6" item="1"/>
          <tpl hier="236" item="0"/>
          <tpl fld="4" item="4"/>
        </tpls>
      </m>
      <m>
        <tpls c="4">
          <tpl fld="7" item="213"/>
          <tpl fld="6" item="2"/>
          <tpl hier="236" item="0"/>
          <tpl fld="1" item="0"/>
        </tpls>
      </m>
      <m>
        <tpls c="4">
          <tpl fld="7" item="618"/>
          <tpl fld="6" item="2"/>
          <tpl hier="236" item="0"/>
          <tpl fld="4" item="6"/>
        </tpls>
      </m>
      <m>
        <tpls c="4">
          <tpl fld="7" item="719"/>
          <tpl fld="6" item="2"/>
          <tpl hier="236" item="0"/>
          <tpl fld="4" item="4"/>
        </tpls>
      </m>
      <m>
        <tpls c="4">
          <tpl fld="7" item="727"/>
          <tpl fld="6" item="2"/>
          <tpl hier="236" item="0"/>
          <tpl fld="1" item="0"/>
        </tpls>
      </m>
      <n v="1" in="1">
        <tpls c="4">
          <tpl fld="7" item="1189"/>
          <tpl fld="6" item="1"/>
          <tpl hier="236" item="0"/>
          <tpl fld="4" item="4"/>
        </tpls>
      </n>
      <m>
        <tpls c="4">
          <tpl fld="7" item="662"/>
          <tpl fld="6" item="2"/>
          <tpl hier="236" item="0"/>
          <tpl fld="4" item="1"/>
        </tpls>
      </m>
      <m>
        <tpls c="3">
          <tpl fld="7" item="901"/>
          <tpl fld="6" item="3"/>
          <tpl hier="236" item="0"/>
        </tpls>
      </m>
      <m>
        <tpls c="3">
          <tpl fld="7" item="913"/>
          <tpl fld="6" item="3"/>
          <tpl hier="236" item="0"/>
        </tpls>
      </m>
      <m>
        <tpls c="3">
          <tpl fld="7" item="925"/>
          <tpl fld="6" item="3"/>
          <tpl hier="236" item="0"/>
        </tpls>
      </m>
      <m>
        <tpls c="4">
          <tpl fld="7" item="969"/>
          <tpl fld="6" item="2"/>
          <tpl hier="236" item="0"/>
          <tpl fld="4" item="1"/>
        </tpls>
      </m>
      <n v="4.6520270270270272" in="2">
        <tpls c="4">
          <tpl fld="7" item="515"/>
          <tpl fld="6" item="2"/>
          <tpl hier="236" item="0"/>
          <tpl fld="1" item="0"/>
        </tpls>
      </n>
      <m>
        <tpls c="4">
          <tpl fld="7" item="337"/>
          <tpl fld="6" item="2"/>
          <tpl hier="236" item="0"/>
          <tpl fld="1" item="0"/>
        </tpls>
      </m>
      <m>
        <tpls c="4">
          <tpl fld="7" item="526"/>
          <tpl fld="6" item="2"/>
          <tpl hier="236" item="0"/>
          <tpl fld="4" item="5"/>
        </tpls>
      </m>
      <m>
        <tpls c="4">
          <tpl fld="7" item="809"/>
          <tpl fld="6" item="2"/>
          <tpl hier="236" item="0"/>
          <tpl fld="4" item="4"/>
        </tpls>
      </m>
      <m>
        <tpls c="4">
          <tpl fld="7" item="1265"/>
          <tpl fld="6" item="1"/>
          <tpl hier="236" item="0"/>
          <tpl fld="4" item="6"/>
        </tpls>
      </m>
      <m>
        <tpls c="4">
          <tpl fld="7" item="133"/>
          <tpl fld="6" item="2"/>
          <tpl hier="236" item="0"/>
          <tpl fld="1" item="0"/>
        </tpls>
      </m>
      <m>
        <tpls c="4">
          <tpl fld="7" item="356"/>
          <tpl fld="6" item="2"/>
          <tpl hier="236" item="0"/>
          <tpl fld="4" item="5"/>
        </tpls>
      </m>
      <m>
        <tpls c="4">
          <tpl fld="7" item="30"/>
          <tpl fld="6" item="2"/>
          <tpl hier="236" item="0"/>
          <tpl fld="4" item="5"/>
        </tpls>
      </m>
      <n v="1" in="2">
        <tpls c="4">
          <tpl fld="7" item="431"/>
          <tpl fld="6" item="2"/>
          <tpl hier="236" item="0"/>
          <tpl fld="4" item="6"/>
        </tpls>
      </n>
      <m>
        <tpls c="4">
          <tpl fld="7" item="20"/>
          <tpl fld="6" item="2"/>
          <tpl hier="236" item="0"/>
          <tpl fld="4" item="6"/>
        </tpls>
      </m>
      <m>
        <tpls c="4">
          <tpl fld="7" item="358"/>
          <tpl fld="6" item="1"/>
          <tpl hier="236" item="0"/>
          <tpl fld="4" item="5"/>
        </tpls>
      </m>
      <m>
        <tpls c="4">
          <tpl fld="7" item="1071"/>
          <tpl fld="6" item="1"/>
          <tpl hier="236" item="0"/>
          <tpl fld="4" item="1"/>
        </tpls>
      </m>
      <m>
        <tpls c="4">
          <tpl fld="7" item="900"/>
          <tpl fld="6" item="1"/>
          <tpl hier="236" item="0"/>
          <tpl fld="4" item="1"/>
        </tpls>
      </m>
      <m>
        <tpls c="4">
          <tpl fld="7" item="286"/>
          <tpl fld="6" item="1"/>
          <tpl hier="236" item="0"/>
          <tpl fld="4" item="1"/>
        </tpls>
      </m>
      <n v="1" in="1">
        <tpls c="4">
          <tpl fld="7" item="846"/>
          <tpl fld="6" item="1"/>
          <tpl hier="236" item="0"/>
          <tpl fld="1" item="0"/>
        </tpls>
      </n>
      <m>
        <tpls c="3">
          <tpl fld="7" item="648"/>
          <tpl fld="6" item="3"/>
          <tpl hier="236" item="0"/>
        </tpls>
      </m>
      <n v="3" in="1">
        <tpls c="4">
          <tpl fld="7" item="1118"/>
          <tpl fld="6" item="1"/>
          <tpl hier="236" item="0"/>
          <tpl fld="4" item="6"/>
        </tpls>
      </n>
      <m>
        <tpls c="4">
          <tpl fld="7" item="216"/>
          <tpl fld="6" item="2"/>
          <tpl hier="236" item="0"/>
          <tpl fld="1" item="0"/>
        </tpls>
      </m>
      <m>
        <tpls c="4">
          <tpl fld="7" item="912"/>
          <tpl fld="6" item="2"/>
          <tpl hier="236" item="0"/>
          <tpl fld="4" item="5"/>
        </tpls>
      </m>
      <m>
        <tpls c="4">
          <tpl fld="7" item="763"/>
          <tpl fld="6" item="2"/>
          <tpl hier="236" item="0"/>
          <tpl fld="4" item="5"/>
        </tpls>
      </m>
      <m>
        <tpls c="4">
          <tpl fld="7" item="674"/>
          <tpl fld="6" item="2"/>
          <tpl hier="236" item="0"/>
          <tpl fld="4" item="5"/>
        </tpls>
      </m>
      <m>
        <tpls c="4">
          <tpl fld="7" item="672"/>
          <tpl fld="6" item="2"/>
          <tpl hier="236" item="0"/>
          <tpl fld="4" item="5"/>
        </tpls>
      </m>
      <m>
        <tpls c="4">
          <tpl fld="7" item="23"/>
          <tpl fld="6" item="2"/>
          <tpl hier="236" item="0"/>
          <tpl fld="4" item="5"/>
        </tpls>
      </m>
      <m>
        <tpls c="4">
          <tpl fld="7" item="124"/>
          <tpl fld="6" item="2"/>
          <tpl hier="236" item="0"/>
          <tpl fld="4" item="5"/>
        </tpls>
      </m>
      <m>
        <tpls c="4">
          <tpl fld="7" item="1017"/>
          <tpl fld="6" item="2"/>
          <tpl hier="236" item="0"/>
          <tpl fld="4" item="6"/>
        </tpls>
      </m>
      <m>
        <tpls c="4">
          <tpl fld="7" item="385"/>
          <tpl fld="6" item="2"/>
          <tpl hier="236" item="0"/>
          <tpl fld="4" item="6"/>
        </tpls>
      </m>
      <m>
        <tpls c="4">
          <tpl fld="7" item="353"/>
          <tpl fld="6" item="2"/>
          <tpl hier="236" item="0"/>
          <tpl fld="4" item="6"/>
        </tpls>
      </m>
      <m>
        <tpls c="4">
          <tpl fld="7" item="298"/>
          <tpl fld="6" item="2"/>
          <tpl hier="236" item="0"/>
          <tpl fld="4" item="6"/>
        </tpls>
      </m>
      <m>
        <tpls c="4">
          <tpl fld="7" item="30"/>
          <tpl fld="6" item="2"/>
          <tpl hier="236" item="0"/>
          <tpl fld="4" item="6"/>
        </tpls>
      </m>
      <m>
        <tpls c="4">
          <tpl fld="7" item="1027"/>
          <tpl fld="6" item="1"/>
          <tpl hier="236" item="0"/>
          <tpl fld="4" item="5"/>
        </tpls>
      </m>
      <m>
        <tpls c="4">
          <tpl fld="7" item="1192"/>
          <tpl fld="6" item="1"/>
          <tpl hier="236" item="0"/>
          <tpl fld="4" item="5"/>
        </tpls>
      </m>
      <m>
        <tpls c="4">
          <tpl fld="7" item="513"/>
          <tpl fld="6" item="1"/>
          <tpl hier="236" item="0"/>
          <tpl fld="4" item="5"/>
        </tpls>
      </m>
      <n v="0" in="1">
        <tpls c="4">
          <tpl fld="7" item="107"/>
          <tpl fld="6" item="1"/>
          <tpl hier="236" item="0"/>
          <tpl fld="4" item="5"/>
        </tpls>
      </n>
      <m>
        <tpls c="4">
          <tpl fld="7" item="85"/>
          <tpl fld="6" item="1"/>
          <tpl hier="236" item="0"/>
          <tpl fld="4" item="5"/>
        </tpls>
      </m>
      <m>
        <tpls c="4">
          <tpl fld="7" item="280"/>
          <tpl fld="6" item="1"/>
          <tpl hier="236" item="0"/>
          <tpl fld="4" item="5"/>
        </tpls>
      </m>
      <m>
        <tpls c="4">
          <tpl fld="7" item="135"/>
          <tpl fld="6" item="1"/>
          <tpl hier="236" item="0"/>
          <tpl fld="4" item="5"/>
        </tpls>
      </m>
      <n v="1" in="1">
        <tpls c="4">
          <tpl fld="7" item="970"/>
          <tpl fld="6" item="1"/>
          <tpl hier="236" item="0"/>
          <tpl fld="4" item="1"/>
        </tpls>
      </n>
      <n v="1" in="1">
        <tpls c="4">
          <tpl fld="7" item="951"/>
          <tpl fld="6" item="1"/>
          <tpl hier="236" item="0"/>
          <tpl fld="4" item="1"/>
        </tpls>
      </n>
      <m>
        <tpls c="4">
          <tpl fld="7" item="935"/>
          <tpl fld="6" item="1"/>
          <tpl hier="236" item="0"/>
          <tpl fld="4" item="1"/>
        </tpls>
      </m>
      <m>
        <tpls c="4">
          <tpl fld="7" item="1197"/>
          <tpl fld="6" item="1"/>
          <tpl hier="236" item="0"/>
          <tpl fld="4" item="1"/>
        </tpls>
      </m>
      <m>
        <tpls c="4">
          <tpl fld="7" item="1194"/>
          <tpl fld="6" item="1"/>
          <tpl hier="236" item="0"/>
          <tpl fld="4" item="1"/>
        </tpls>
      </m>
      <n v="1" in="1">
        <tpls c="4">
          <tpl fld="7" item="1191"/>
          <tpl fld="6" item="1"/>
          <tpl hier="236" item="0"/>
          <tpl fld="4" item="1"/>
        </tpls>
      </n>
      <n v="4" in="1">
        <tpls c="4">
          <tpl fld="7" item="764"/>
          <tpl fld="6" item="1"/>
          <tpl hier="236" item="0"/>
          <tpl fld="4" item="1"/>
        </tpls>
      </n>
      <n v="3" in="1">
        <tpls c="4">
          <tpl fld="7" item="760"/>
          <tpl fld="6" item="1"/>
          <tpl hier="236" item="0"/>
          <tpl fld="4" item="1"/>
        </tpls>
      </n>
      <m>
        <tpls c="4">
          <tpl fld="7" item="323"/>
          <tpl fld="6" item="1"/>
          <tpl hier="236" item="0"/>
          <tpl fld="4" item="1"/>
        </tpls>
      </m>
      <m>
        <tpls c="4">
          <tpl fld="7" item="89"/>
          <tpl fld="6" item="1"/>
          <tpl hier="236" item="0"/>
          <tpl fld="4" item="1"/>
        </tpls>
      </m>
      <n v="0" in="1">
        <tpls c="4">
          <tpl fld="7" item="342"/>
          <tpl fld="6" item="1"/>
          <tpl hier="236" item="0"/>
          <tpl fld="4" item="1"/>
        </tpls>
      </n>
      <m>
        <tpls c="4">
          <tpl fld="7" item="340"/>
          <tpl fld="6" item="1"/>
          <tpl hier="236" item="0"/>
          <tpl fld="4" item="1"/>
        </tpls>
      </m>
      <m>
        <tpls c="4">
          <tpl fld="7" item="257"/>
          <tpl fld="6" item="1"/>
          <tpl hier="236" item="0"/>
          <tpl fld="4" item="1"/>
        </tpls>
      </m>
      <m>
        <tpls c="4">
          <tpl fld="7" item="751"/>
          <tpl fld="6" item="1"/>
          <tpl hier="236" item="0"/>
          <tpl fld="4" item="1"/>
        </tpls>
      </m>
      <m>
        <tpls c="4">
          <tpl fld="7" item="1089"/>
          <tpl fld="6" item="1"/>
          <tpl hier="236" item="0"/>
          <tpl fld="1" item="0"/>
        </tpls>
      </m>
      <m>
        <tpls c="4">
          <tpl fld="7" item="716"/>
          <tpl fld="6" item="2"/>
          <tpl hier="236" item="0"/>
          <tpl fld="1" item="0"/>
        </tpls>
      </m>
      <m>
        <tpls c="3">
          <tpl fld="7" item="805"/>
          <tpl fld="6" item="3"/>
          <tpl hier="236" item="0"/>
        </tpls>
      </m>
      <m>
        <tpls c="4">
          <tpl fld="7" item="994"/>
          <tpl fld="6" item="1"/>
          <tpl hier="236" item="0"/>
          <tpl fld="4" item="5"/>
        </tpls>
      </m>
      <m>
        <tpls c="4">
          <tpl fld="7" item="816"/>
          <tpl fld="6" item="1"/>
          <tpl hier="236" item="0"/>
          <tpl fld="4" item="1"/>
        </tpls>
      </m>
      <n v="4" in="1">
        <tpls c="4">
          <tpl fld="7" item="822"/>
          <tpl fld="6" item="1"/>
          <tpl hier="236" item="0"/>
          <tpl fld="4" item="4"/>
        </tpls>
      </n>
      <n v="5" in="1">
        <tpls c="4">
          <tpl fld="7" item="667"/>
          <tpl fld="6" item="1"/>
          <tpl hier="236" item="0"/>
          <tpl fld="4" item="1"/>
        </tpls>
      </n>
      <m>
        <tpls c="4">
          <tpl fld="7" item="1007"/>
          <tpl fld="6" item="1"/>
          <tpl hier="236" item="0"/>
          <tpl fld="4" item="6"/>
        </tpls>
      </m>
      <m>
        <tpls c="4">
          <tpl fld="7" item="1220"/>
          <tpl fld="6" item="2"/>
          <tpl hier="236" item="0"/>
          <tpl fld="4" item="4"/>
        </tpls>
      </m>
      <m>
        <tpls c="4">
          <tpl fld="7" item="1129"/>
          <tpl fld="6" item="1"/>
          <tpl hier="236" item="0"/>
          <tpl fld="4" item="4"/>
        </tpls>
      </m>
      <m>
        <tpls c="4">
          <tpl fld="7" item="1228"/>
          <tpl fld="6" item="1"/>
          <tpl hier="236" item="0"/>
          <tpl fld="4" item="4"/>
        </tpls>
      </m>
      <n v="1" in="1">
        <tpls c="4">
          <tpl fld="7" item="1236"/>
          <tpl fld="6" item="1"/>
          <tpl hier="236" item="0"/>
          <tpl fld="4" item="4"/>
        </tpls>
      </n>
      <m>
        <tpls c="4">
          <tpl fld="7" item="762"/>
          <tpl fld="6" item="2"/>
          <tpl hier="236" item="0"/>
          <tpl fld="1" item="0"/>
        </tpls>
      </m>
      <m>
        <tpls c="4">
          <tpl fld="7" item="412"/>
          <tpl fld="6" item="2"/>
          <tpl hier="236" item="0"/>
          <tpl fld="1" item="0"/>
        </tpls>
      </m>
      <m>
        <tpls c="4">
          <tpl fld="7" item="254"/>
          <tpl fld="6" item="2"/>
          <tpl hier="236" item="0"/>
          <tpl fld="1" item="0"/>
        </tpls>
      </m>
      <m>
        <tpls c="4">
          <tpl fld="7" item="227"/>
          <tpl fld="6" item="2"/>
          <tpl hier="236" item="0"/>
          <tpl fld="1" item="0"/>
        </tpls>
      </m>
      <m>
        <tpls c="4">
          <tpl fld="7" item="851"/>
          <tpl fld="6" item="2"/>
          <tpl hier="236" item="0"/>
          <tpl fld="4" item="5"/>
        </tpls>
      </m>
      <m>
        <tpls c="4">
          <tpl fld="7" item="105"/>
          <tpl fld="6" item="2"/>
          <tpl hier="236" item="0"/>
          <tpl fld="4" item="5"/>
        </tpls>
      </m>
      <m>
        <tpls c="4">
          <tpl fld="7" item="441"/>
          <tpl fld="6" item="2"/>
          <tpl hier="236" item="0"/>
          <tpl fld="4" item="5"/>
        </tpls>
      </m>
      <m>
        <tpls c="4">
          <tpl fld="7" item="595"/>
          <tpl fld="6" item="2"/>
          <tpl hier="236" item="0"/>
          <tpl fld="4" item="5"/>
        </tpls>
      </m>
      <m>
        <tpls c="4">
          <tpl fld="7" item="312"/>
          <tpl fld="6" item="2"/>
          <tpl hier="236" item="0"/>
          <tpl fld="4" item="5"/>
        </tpls>
      </m>
      <m>
        <tpls c="4">
          <tpl fld="7" item="179"/>
          <tpl fld="6" item="2"/>
          <tpl hier="236" item="0"/>
          <tpl fld="4" item="5"/>
        </tpls>
      </m>
      <m>
        <tpls c="4">
          <tpl fld="7" item="63"/>
          <tpl fld="6" item="2"/>
          <tpl hier="236" item="0"/>
          <tpl fld="4" item="5"/>
        </tpls>
      </m>
      <m>
        <tpls c="4">
          <tpl fld="7" item="330"/>
          <tpl fld="6" item="2"/>
          <tpl hier="236" item="0"/>
          <tpl fld="4" item="5"/>
        </tpls>
      </m>
      <m>
        <tpls c="4">
          <tpl fld="7" item="10"/>
          <tpl fld="6" item="2"/>
          <tpl hier="236" item="0"/>
          <tpl fld="4" item="5"/>
        </tpls>
      </m>
      <m>
        <tpls c="4">
          <tpl fld="7" item="468"/>
          <tpl fld="6" item="2"/>
          <tpl hier="236" item="0"/>
          <tpl fld="4" item="5"/>
        </tpls>
      </m>
      <m>
        <tpls c="4">
          <tpl fld="7" item="864"/>
          <tpl fld="6" item="2"/>
          <tpl hier="236" item="0"/>
          <tpl fld="4" item="6"/>
        </tpls>
      </m>
      <m>
        <tpls c="4">
          <tpl fld="7" item="848"/>
          <tpl fld="6" item="2"/>
          <tpl hier="236" item="0"/>
          <tpl fld="4" item="6"/>
        </tpls>
      </m>
      <m>
        <tpls c="4">
          <tpl fld="7" item="832"/>
          <tpl fld="6" item="2"/>
          <tpl hier="236" item="0"/>
          <tpl fld="4" item="6"/>
        </tpls>
      </m>
      <m>
        <tpls c="4">
          <tpl fld="7" item="514"/>
          <tpl fld="6" item="2"/>
          <tpl hier="236" item="0"/>
          <tpl fld="4" item="6"/>
        </tpls>
      </m>
      <m>
        <tpls c="4">
          <tpl fld="7" item="498"/>
          <tpl fld="6" item="2"/>
          <tpl hier="236" item="0"/>
          <tpl fld="4" item="6"/>
        </tpls>
      </m>
      <m>
        <tpls c="4">
          <tpl fld="7" item="313"/>
          <tpl fld="6" item="2"/>
          <tpl hier="236" item="0"/>
          <tpl fld="4" item="6"/>
        </tpls>
      </m>
      <m>
        <tpls c="4">
          <tpl fld="7" item="486"/>
          <tpl fld="6" item="2"/>
          <tpl hier="236" item="0"/>
          <tpl fld="4" item="6"/>
        </tpls>
      </m>
      <m>
        <tpls c="4">
          <tpl fld="7" item="482"/>
          <tpl fld="6" item="2"/>
          <tpl hier="236" item="0"/>
          <tpl fld="4" item="6"/>
        </tpls>
      </m>
      <m>
        <tpls c="4">
          <tpl fld="7" item="333"/>
          <tpl fld="6" item="2"/>
          <tpl hier="236" item="0"/>
          <tpl fld="4" item="6"/>
        </tpls>
      </m>
      <m>
        <tpls c="4">
          <tpl fld="7" item="470"/>
          <tpl fld="6" item="2"/>
          <tpl hier="236" item="0"/>
          <tpl fld="4" item="6"/>
        </tpls>
      </m>
      <m>
        <tpls c="4">
          <tpl fld="7" item="1125"/>
          <tpl fld="6" item="1"/>
          <tpl hier="236" item="0"/>
          <tpl fld="4" item="5"/>
        </tpls>
      </m>
      <m>
        <tpls c="4">
          <tpl fld="7" item="1113"/>
          <tpl fld="6" item="1"/>
          <tpl hier="236" item="0"/>
          <tpl fld="4" item="5"/>
        </tpls>
      </m>
      <m>
        <tpls c="4">
          <tpl fld="7" item="895"/>
          <tpl fld="6" item="1"/>
          <tpl hier="236" item="0"/>
          <tpl fld="4" item="5"/>
        </tpls>
      </m>
      <m>
        <tpls c="4">
          <tpl fld="7" item="761"/>
          <tpl fld="6" item="1"/>
          <tpl hier="236" item="0"/>
          <tpl fld="4" item="5"/>
        </tpls>
      </m>
      <m>
        <tpls c="4">
          <tpl fld="7" item="757"/>
          <tpl fld="6" item="1"/>
          <tpl hier="236" item="0"/>
          <tpl fld="4" item="5"/>
        </tpls>
      </m>
      <m>
        <tpls c="4">
          <tpl fld="7" item="311"/>
          <tpl fld="6" item="1"/>
          <tpl hier="236" item="0"/>
          <tpl fld="4" item="5"/>
        </tpls>
      </m>
      <m>
        <tpls c="4">
          <tpl fld="7" item="415"/>
          <tpl fld="6" item="1"/>
          <tpl hier="236" item="0"/>
          <tpl fld="4" item="5"/>
        </tpls>
      </m>
      <m>
        <tpls c="4">
          <tpl fld="7" item="592"/>
          <tpl fld="6" item="1"/>
          <tpl hier="236" item="0"/>
          <tpl fld="4" item="5"/>
        </tpls>
      </m>
      <m>
        <tpls c="4">
          <tpl fld="7" item="27"/>
          <tpl fld="6" item="1"/>
          <tpl hier="236" item="0"/>
          <tpl fld="4" item="5"/>
        </tpls>
      </m>
      <m>
        <tpls c="4">
          <tpl fld="7" item="231"/>
          <tpl fld="6" item="1"/>
          <tpl hier="236" item="0"/>
          <tpl fld="4" item="5"/>
        </tpls>
      </m>
      <m>
        <tpls c="4">
          <tpl fld="7" item="1207"/>
          <tpl fld="6" item="1"/>
          <tpl hier="236" item="0"/>
          <tpl fld="4" item="1"/>
        </tpls>
      </m>
      <n v="4" in="1">
        <tpls c="4">
          <tpl fld="7" item="1203"/>
          <tpl fld="6" item="1"/>
          <tpl hier="236" item="0"/>
          <tpl fld="4" item="1"/>
        </tpls>
      </n>
      <m>
        <tpls c="4">
          <tpl fld="7" item="1199"/>
          <tpl fld="6" item="1"/>
          <tpl hier="236" item="0"/>
          <tpl fld="4" item="1"/>
        </tpls>
      </m>
      <m>
        <tpls c="4">
          <tpl fld="7" item="865"/>
          <tpl fld="6" item="1"/>
          <tpl hier="236" item="0"/>
          <tpl fld="4" item="1"/>
        </tpls>
      </m>
      <n v="0" in="1">
        <tpls c="4">
          <tpl fld="7" item="849"/>
          <tpl fld="6" item="1"/>
          <tpl hier="236" item="0"/>
          <tpl fld="4" item="1"/>
        </tpls>
      </n>
      <m>
        <tpls c="4">
          <tpl fld="7" item="833"/>
          <tpl fld="6" item="1"/>
          <tpl hier="236" item="0"/>
          <tpl fld="4" item="1"/>
        </tpls>
      </m>
      <n v="5" in="1">
        <tpls c="4">
          <tpl fld="7" item="450"/>
          <tpl fld="6" item="1"/>
          <tpl hier="236" item="0"/>
          <tpl fld="4" item="1"/>
        </tpls>
      </n>
      <n v="4" in="1">
        <tpls c="4">
          <tpl fld="7" item="434"/>
          <tpl fld="6" item="1"/>
          <tpl hier="236" item="0"/>
          <tpl fld="4" item="1"/>
        </tpls>
      </n>
      <m>
        <tpls c="4">
          <tpl fld="7" item="349"/>
          <tpl fld="6" item="1"/>
          <tpl hier="236" item="0"/>
          <tpl fld="4" item="1"/>
        </tpls>
      </m>
      <m>
        <tpls c="4">
          <tpl fld="7" item="190"/>
          <tpl fld="6" item="1"/>
          <tpl hier="236" item="0"/>
          <tpl fld="4" item="1"/>
        </tpls>
      </m>
      <m>
        <tpls c="4">
          <tpl fld="7" item="174"/>
          <tpl fld="6" item="1"/>
          <tpl hier="236" item="0"/>
          <tpl fld="4" item="1"/>
        </tpls>
      </m>
      <m>
        <tpls c="4">
          <tpl fld="7" item="166"/>
          <tpl fld="6" item="1"/>
          <tpl hier="236" item="0"/>
          <tpl fld="4" item="1"/>
        </tpls>
      </m>
      <m>
        <tpls c="4">
          <tpl fld="7" item="334"/>
          <tpl fld="6" item="1"/>
          <tpl hier="236" item="0"/>
          <tpl fld="4" item="1"/>
        </tpls>
      </m>
      <m>
        <tpls c="4">
          <tpl fld="7" item="15"/>
          <tpl fld="6" item="1"/>
          <tpl hier="236" item="0"/>
          <tpl fld="4" item="1"/>
        </tpls>
      </m>
      <m>
        <tpls c="4">
          <tpl fld="7" item="9"/>
          <tpl fld="6" item="1"/>
          <tpl hier="236" item="0"/>
          <tpl fld="4" item="1"/>
        </tpls>
      </m>
      <n v="2" in="1">
        <tpls c="4">
          <tpl fld="7" item="1123"/>
          <tpl fld="6" item="1"/>
          <tpl hier="236" item="0"/>
          <tpl fld="1" item="0"/>
        </tpls>
      </n>
      <n v="1" in="1">
        <tpls c="4">
          <tpl fld="7" item="1111"/>
          <tpl fld="6" item="1"/>
          <tpl hier="236" item="0"/>
          <tpl fld="1" item="0"/>
        </tpls>
      </n>
      <n v="0" in="1">
        <tpls c="4">
          <tpl fld="7" item="1263"/>
          <tpl fld="6" item="1"/>
          <tpl hier="236" item="0"/>
          <tpl fld="1" item="0"/>
        </tpls>
      </n>
      <n v="2" in="1">
        <tpls c="4">
          <tpl fld="7" item="1237"/>
          <tpl fld="6" item="1"/>
          <tpl hier="236" item="0"/>
          <tpl fld="1" item="0"/>
        </tpls>
      </n>
      <m>
        <tpls c="4">
          <tpl fld="7" item="324"/>
          <tpl fld="6" item="1"/>
          <tpl hier="236" item="0"/>
          <tpl fld="1" item="0"/>
        </tpls>
      </m>
      <n v="0" in="1">
        <tpls c="4">
          <tpl fld="7" item="1083"/>
          <tpl fld="6" item="1"/>
          <tpl hier="236" item="0"/>
          <tpl fld="1" item="0"/>
        </tpls>
      </n>
      <m>
        <tpls c="4">
          <tpl fld="7" item="183"/>
          <tpl fld="6" item="1"/>
          <tpl hier="236" item="0"/>
          <tpl fld="1" item="0"/>
        </tpls>
      </m>
      <m>
        <tpls c="4">
          <tpl fld="7" item="168"/>
          <tpl fld="6" item="1"/>
          <tpl hier="236" item="0"/>
          <tpl fld="1" item="0"/>
        </tpls>
      </m>
      <m>
        <tpls c="4">
          <tpl fld="7" item="28"/>
          <tpl fld="6" item="1"/>
          <tpl hier="236" item="0"/>
          <tpl fld="1" item="0"/>
        </tpls>
      </m>
      <m>
        <tpls c="4">
          <tpl fld="7" item="979"/>
          <tpl fld="6" item="1"/>
          <tpl hier="236" item="0"/>
          <tpl fld="1" item="0"/>
        </tpls>
      </m>
      <m>
        <tpls c="4">
          <tpl fld="7" item="59"/>
          <tpl fld="6" item="1"/>
          <tpl hier="236" item="0"/>
          <tpl fld="4" item="6"/>
        </tpls>
      </m>
      <m>
        <tpls c="4">
          <tpl fld="7" item="724"/>
          <tpl fld="6" item="2"/>
          <tpl hier="236" item="0"/>
          <tpl fld="1" item="0"/>
        </tpls>
      </m>
      <m>
        <tpls c="4">
          <tpl fld="7" item="1190"/>
          <tpl fld="6" item="2"/>
          <tpl hier="236" item="0"/>
          <tpl fld="4" item="4"/>
        </tpls>
      </m>
      <n v="27" in="1">
        <tpls c="4">
          <tpl fld="7" item="1055"/>
          <tpl fld="6" item="1"/>
          <tpl hier="236" item="0"/>
          <tpl fld="4" item="4"/>
        </tpls>
      </n>
      <m>
        <tpls c="4">
          <tpl fld="7" item="139"/>
          <tpl fld="6" item="2"/>
          <tpl hier="236" item="0"/>
          <tpl fld="1" item="0"/>
        </tpls>
      </m>
      <m>
        <tpls c="4">
          <tpl fld="7" item="366"/>
          <tpl fld="6" item="2"/>
          <tpl hier="236" item="0"/>
          <tpl fld="4" item="5"/>
        </tpls>
      </m>
      <m>
        <tpls c="4">
          <tpl fld="7" item="276"/>
          <tpl fld="6" item="2"/>
          <tpl hier="236" item="0"/>
          <tpl fld="4" item="5"/>
        </tpls>
      </m>
      <m>
        <tpls c="4">
          <tpl fld="7" item="1022"/>
          <tpl fld="6" item="2"/>
          <tpl hier="236" item="0"/>
          <tpl fld="4" item="6"/>
        </tpls>
      </m>
      <m>
        <tpls c="4">
          <tpl fld="7" item="675"/>
          <tpl fld="6" item="2"/>
          <tpl hier="236" item="0"/>
          <tpl fld="4" item="6"/>
        </tpls>
      </m>
      <m>
        <tpls c="4">
          <tpl fld="7" item="252"/>
          <tpl fld="6" item="2"/>
          <tpl hier="236" item="0"/>
          <tpl fld="4" item="6"/>
        </tpls>
      </m>
      <m>
        <tpls c="4">
          <tpl fld="7" item="454"/>
          <tpl fld="6" item="1"/>
          <tpl hier="236" item="0"/>
          <tpl fld="4" item="5"/>
        </tpls>
      </m>
      <m>
        <tpls c="4">
          <tpl fld="7" item="183"/>
          <tpl fld="6" item="1"/>
          <tpl hier="236" item="0"/>
          <tpl fld="4" item="5"/>
        </tpls>
      </m>
      <m>
        <tpls c="4">
          <tpl fld="7" item="1167"/>
          <tpl fld="6" item="1"/>
          <tpl hier="236" item="0"/>
          <tpl fld="4" item="1"/>
        </tpls>
      </m>
      <m>
        <tpls c="4">
          <tpl fld="7" item="907"/>
          <tpl fld="6" item="1"/>
          <tpl hier="236" item="0"/>
          <tpl fld="4" item="1"/>
        </tpls>
      </m>
      <m>
        <tpls c="4">
          <tpl fld="7" item="487"/>
          <tpl fld="6" item="1"/>
          <tpl hier="236" item="0"/>
          <tpl fld="4" item="1"/>
        </tpls>
      </m>
      <m>
        <tpls c="4">
          <tpl fld="7" item="142"/>
          <tpl fld="6" item="1"/>
          <tpl hier="236" item="0"/>
          <tpl fld="4" item="1"/>
        </tpls>
      </m>
      <m>
        <tpls c="4">
          <tpl fld="7" item="922"/>
          <tpl fld="6" item="1"/>
          <tpl hier="236" item="0"/>
          <tpl fld="1" item="0"/>
        </tpls>
      </m>
      <n v="5" in="1">
        <tpls c="4">
          <tpl fld="7" item="898"/>
          <tpl fld="6" item="1"/>
          <tpl hier="236" item="0"/>
          <tpl fld="1" item="0"/>
        </tpls>
      </n>
      <n v="3" in="1">
        <tpls c="4">
          <tpl fld="7" item="508"/>
          <tpl fld="6" item="1"/>
          <tpl hier="236" item="0"/>
          <tpl fld="1" item="0"/>
        </tpls>
      </n>
      <m>
        <tpls c="4">
          <tpl fld="7" item="209"/>
          <tpl fld="6" item="1"/>
          <tpl hier="236" item="0"/>
          <tpl fld="1" item="0"/>
        </tpls>
      </m>
      <m>
        <tpls c="4">
          <tpl fld="7" item="296"/>
          <tpl fld="6" item="1"/>
          <tpl hier="236" item="0"/>
          <tpl fld="1" item="0"/>
        </tpls>
      </m>
      <m>
        <tpls c="4">
          <tpl fld="7" item="876"/>
          <tpl fld="6" item="1"/>
          <tpl hier="236" item="0"/>
          <tpl fld="1" item="0"/>
        </tpls>
      </m>
      <m>
        <tpls c="4">
          <tpl fld="7" item="129"/>
          <tpl fld="6" item="1"/>
          <tpl hier="236" item="0"/>
          <tpl fld="1" item="0"/>
        </tpls>
      </m>
      <m>
        <tpls c="4">
          <tpl fld="7" item="592"/>
          <tpl fld="6" item="1"/>
          <tpl hier="236" item="0"/>
          <tpl fld="4" item="6"/>
        </tpls>
      </m>
      <m>
        <tpls c="4">
          <tpl fld="7" item="128"/>
          <tpl fld="6" item="1"/>
          <tpl hier="236" item="0"/>
          <tpl fld="4" item="6"/>
        </tpls>
      </m>
      <m>
        <tpls c="3">
          <tpl fld="7" item="829"/>
          <tpl fld="6" item="3"/>
          <tpl hier="236" item="0"/>
        </tpls>
      </m>
      <m>
        <tpls c="3">
          <tpl fld="7" item="235"/>
          <tpl fld="6" item="3"/>
          <tpl hier="236" item="0"/>
        </tpls>
      </m>
      <m>
        <tpls c="3">
          <tpl fld="7" item="118"/>
          <tpl fld="6" item="3"/>
          <tpl hier="236" item="0"/>
        </tpls>
      </m>
      <m>
        <tpls c="4">
          <tpl fld="7" item="1076"/>
          <tpl fld="6" item="2"/>
          <tpl hier="236" item="0"/>
          <tpl fld="4" item="4"/>
        </tpls>
      </m>
      <m>
        <tpls c="4">
          <tpl fld="7" item="1060"/>
          <tpl fld="6" item="2"/>
          <tpl hier="236" item="0"/>
          <tpl fld="4" item="4"/>
        </tpls>
      </m>
      <m>
        <tpls c="4">
          <tpl fld="7" item="1044"/>
          <tpl fld="6" item="2"/>
          <tpl hier="236" item="0"/>
          <tpl fld="4" item="4"/>
        </tpls>
      </m>
      <m>
        <tpls c="4">
          <tpl fld="7" item="666"/>
          <tpl fld="6" item="2"/>
          <tpl hier="236" item="0"/>
          <tpl fld="4" item="4"/>
        </tpls>
      </m>
      <m>
        <tpls c="4">
          <tpl fld="7" item="134"/>
          <tpl fld="6" item="2"/>
          <tpl hier="236" item="0"/>
          <tpl fld="4" item="4"/>
        </tpls>
      </m>
      <m>
        <tpls c="4">
          <tpl fld="7" item="8"/>
          <tpl fld="6" item="2"/>
          <tpl hier="236" item="0"/>
          <tpl fld="4" item="4"/>
        </tpls>
      </m>
      <m>
        <tpls c="4">
          <tpl fld="7" item="222"/>
          <tpl fld="6" item="2"/>
          <tpl hier="236" item="0"/>
          <tpl fld="4" item="4"/>
        </tpls>
      </m>
      <n v="2" in="1">
        <tpls c="4">
          <tpl fld="7" item="859"/>
          <tpl fld="6" item="1"/>
          <tpl hier="236" item="0"/>
          <tpl fld="4" item="5"/>
        </tpls>
      </n>
      <m>
        <tpls c="4">
          <tpl fld="7" item="1136"/>
          <tpl fld="6" item="1"/>
          <tpl hier="236" item="0"/>
          <tpl fld="4" item="1"/>
        </tpls>
      </m>
      <m>
        <tpls c="4">
          <tpl fld="7" item="127"/>
          <tpl fld="6" item="1"/>
          <tpl hier="236" item="0"/>
          <tpl fld="4" item="1"/>
        </tpls>
      </m>
      <n v="5" in="1">
        <tpls c="4">
          <tpl fld="7" item="503"/>
          <tpl fld="6" item="1"/>
          <tpl hier="236" item="0"/>
          <tpl fld="1" item="0"/>
        </tpls>
      </n>
      <m>
        <tpls c="4">
          <tpl fld="7" item="139"/>
          <tpl fld="6" item="1"/>
          <tpl hier="236" item="0"/>
          <tpl fld="1" item="0"/>
        </tpls>
      </m>
      <m>
        <tpls c="4">
          <tpl fld="7" item="225"/>
          <tpl fld="6" item="1"/>
          <tpl hier="236" item="0"/>
          <tpl fld="4" item="6"/>
        </tpls>
      </m>
      <m>
        <tpls c="3">
          <tpl fld="7" item="1"/>
          <tpl fld="6" item="3"/>
          <tpl hier="236" item="0"/>
        </tpls>
      </m>
      <m>
        <tpls c="4">
          <tpl fld="7" item="1144"/>
          <tpl fld="6" item="2"/>
          <tpl hier="236" item="0"/>
          <tpl fld="4" item="4"/>
        </tpls>
      </m>
      <m>
        <tpls c="4">
          <tpl fld="7" item="397"/>
          <tpl fld="6" item="2"/>
          <tpl hier="236" item="0"/>
          <tpl fld="4" item="4"/>
        </tpls>
      </m>
      <m>
        <tpls c="3">
          <tpl fld="7" item="646"/>
          <tpl fld="6" item="3"/>
          <tpl hier="236" item="0"/>
        </tpls>
      </m>
      <m>
        <tpls c="4">
          <tpl fld="7" item="1105"/>
          <tpl fld="6" item="2"/>
          <tpl hier="236" item="0"/>
          <tpl fld="4" item="4"/>
        </tpls>
      </m>
      <n v="3" in="1">
        <tpls c="4">
          <tpl fld="7" item="1065"/>
          <tpl fld="6" item="1"/>
          <tpl hier="236" item="0"/>
          <tpl fld="4" item="4"/>
        </tpls>
      </n>
      <m>
        <tpls c="4">
          <tpl fld="7" item="15"/>
          <tpl fld="6" item="2"/>
          <tpl hier="236" item="0"/>
          <tpl fld="1" item="0"/>
        </tpls>
      </m>
      <m>
        <tpls c="4">
          <tpl fld="7" item="431"/>
          <tpl fld="6" item="2"/>
          <tpl hier="236" item="0"/>
          <tpl fld="4" item="5"/>
        </tpls>
      </m>
      <m>
        <tpls c="4">
          <tpl fld="7" item="477"/>
          <tpl fld="6" item="2"/>
          <tpl hier="236" item="0"/>
          <tpl fld="4" item="5"/>
        </tpls>
      </m>
      <m>
        <tpls c="4">
          <tpl fld="7" item="1121"/>
          <tpl fld="6" item="2"/>
          <tpl hier="236" item="0"/>
          <tpl fld="4" item="6"/>
        </tpls>
      </m>
      <m>
        <tpls c="4">
          <tpl fld="7" item="492"/>
          <tpl fld="6" item="2"/>
          <tpl hier="236" item="0"/>
          <tpl fld="4" item="6"/>
        </tpls>
      </m>
      <m>
        <tpls c="4">
          <tpl fld="7" item="132"/>
          <tpl fld="6" item="2"/>
          <tpl hier="236" item="0"/>
          <tpl fld="4" item="6"/>
        </tpls>
      </m>
      <m>
        <tpls c="4">
          <tpl fld="7" item="449"/>
          <tpl fld="6" item="1"/>
          <tpl hier="236" item="0"/>
          <tpl fld="4" item="5"/>
        </tpls>
      </m>
      <m>
        <tpls c="4">
          <tpl fld="7" item="178"/>
          <tpl fld="6" item="1"/>
          <tpl hier="236" item="0"/>
          <tpl fld="4" item="5"/>
        </tpls>
      </m>
      <n v="1" in="1">
        <tpls c="4">
          <tpl fld="7" item="1162"/>
          <tpl fld="6" item="1"/>
          <tpl hier="236" item="0"/>
          <tpl fld="4" item="1"/>
        </tpls>
      </n>
      <m>
        <tpls c="4">
          <tpl fld="7" item="1007"/>
          <tpl fld="6" item="1"/>
          <tpl hier="236" item="0"/>
          <tpl fld="4" item="1"/>
        </tpls>
      </m>
      <m>
        <tpls c="4">
          <tpl fld="7" item="302"/>
          <tpl fld="6" item="1"/>
          <tpl hier="236" item="0"/>
          <tpl fld="4" item="1"/>
        </tpls>
      </m>
      <m>
        <tpls c="4">
          <tpl fld="7" item="137"/>
          <tpl fld="6" item="1"/>
          <tpl hier="236" item="0"/>
          <tpl fld="4" item="1"/>
        </tpls>
      </m>
      <n v="1" in="1">
        <tpls c="4">
          <tpl fld="7" item="920"/>
          <tpl fld="6" item="1"/>
          <tpl hier="236" item="0"/>
          <tpl fld="1" item="0"/>
        </tpls>
      </n>
      <n v="1" in="1">
        <tpls c="4">
          <tpl fld="7" item="896"/>
          <tpl fld="6" item="1"/>
          <tpl hier="236" item="0"/>
          <tpl fld="1" item="0"/>
        </tpls>
      </n>
      <n v="4" in="1">
        <tpls c="4">
          <tpl fld="7" item="365"/>
          <tpl fld="6" item="1"/>
          <tpl hier="236" item="0"/>
          <tpl fld="1" item="0"/>
        </tpls>
      </n>
      <n v="0" in="1">
        <tpls c="4">
          <tpl fld="7" item="316"/>
          <tpl fld="6" item="1"/>
          <tpl hier="236" item="0"/>
          <tpl fld="1" item="0"/>
        </tpls>
      </n>
      <m>
        <tpls c="4">
          <tpl fld="7" item="78"/>
          <tpl fld="6" item="1"/>
          <tpl hier="236" item="0"/>
          <tpl fld="1" item="0"/>
        </tpls>
      </m>
      <m>
        <tpls c="4">
          <tpl fld="7" item="145"/>
          <tpl fld="6" item="1"/>
          <tpl hier="236" item="0"/>
          <tpl fld="1" item="0"/>
        </tpls>
      </m>
      <m>
        <tpls c="4">
          <tpl fld="7" item="236"/>
          <tpl fld="6" item="1"/>
          <tpl hier="236" item="0"/>
          <tpl fld="1" item="0"/>
        </tpls>
      </m>
      <m>
        <tpls c="4">
          <tpl fld="7" item="278"/>
          <tpl fld="6" item="1"/>
          <tpl hier="236" item="0"/>
          <tpl fld="4" item="6"/>
        </tpls>
      </m>
      <m>
        <tpls c="4">
          <tpl fld="7" item="230"/>
          <tpl fld="6" item="1"/>
          <tpl hier="236" item="0"/>
          <tpl fld="4" item="6"/>
        </tpls>
      </m>
      <m>
        <tpls c="3">
          <tpl fld="7" item="1101"/>
          <tpl fld="6" item="3"/>
          <tpl hier="236" item="0"/>
        </tpls>
      </m>
      <m>
        <tpls c="3">
          <tpl fld="7" item="233"/>
          <tpl fld="6" item="3"/>
          <tpl hier="236" item="0"/>
        </tpls>
      </m>
      <m>
        <tpls c="3">
          <tpl fld="7" item="8"/>
          <tpl fld="6" item="3"/>
          <tpl hier="236" item="0"/>
        </tpls>
      </m>
      <m>
        <tpls c="4">
          <tpl fld="7" item="971"/>
          <tpl fld="6" item="2"/>
          <tpl hier="236" item="0"/>
          <tpl fld="4" item="4"/>
        </tpls>
      </m>
      <m>
        <tpls c="4">
          <tpl fld="7" item="955"/>
          <tpl fld="6" item="2"/>
          <tpl hier="236" item="0"/>
          <tpl fld="4" item="4"/>
        </tpls>
      </m>
      <m>
        <tpls c="4">
          <tpl fld="7" item="939"/>
          <tpl fld="6" item="2"/>
          <tpl hier="236" item="0"/>
          <tpl fld="4" item="4"/>
        </tpls>
      </m>
      <m>
        <tpls c="4">
          <tpl fld="7" item="744"/>
          <tpl fld="6" item="2"/>
          <tpl hier="236" item="0"/>
          <tpl fld="4" item="4"/>
        </tpls>
      </m>
      <m>
        <tpls c="4">
          <tpl fld="7" item="26"/>
          <tpl fld="6" item="2"/>
          <tpl hier="236" item="0"/>
          <tpl fld="4" item="4"/>
        </tpls>
      </m>
      <m>
        <tpls c="4">
          <tpl fld="7" item="322"/>
          <tpl fld="6" item="2"/>
          <tpl hier="236" item="0"/>
          <tpl fld="1" item="0"/>
        </tpls>
      </m>
      <m>
        <tpls c="4">
          <tpl fld="7" item="589"/>
          <tpl fld="6" item="2"/>
          <tpl hier="236" item="0"/>
          <tpl fld="4" item="6"/>
        </tpls>
      </m>
      <m>
        <tpls c="4">
          <tpl fld="7" item="1164"/>
          <tpl fld="6" item="1"/>
          <tpl hier="236" item="0"/>
          <tpl fld="4" item="1"/>
        </tpls>
      </m>
      <m>
        <tpls c="4">
          <tpl fld="7" item="143"/>
          <tpl fld="6" item="1"/>
          <tpl hier="236" item="0"/>
          <tpl fld="4" item="1"/>
        </tpls>
      </m>
      <m>
        <tpls c="4">
          <tpl fld="7" item="435"/>
          <tpl fld="6" item="1"/>
          <tpl hier="236" item="0"/>
          <tpl fld="1" item="0"/>
        </tpls>
      </m>
      <m>
        <tpls c="4">
          <tpl fld="7" item="146"/>
          <tpl fld="6" item="1"/>
          <tpl hier="236" item="0"/>
          <tpl fld="1" item="0"/>
        </tpls>
      </m>
      <m>
        <tpls c="4">
          <tpl fld="7" item="21"/>
          <tpl fld="6" item="1"/>
          <tpl hier="236" item="0"/>
          <tpl fld="4" item="6"/>
        </tpls>
      </m>
      <m>
        <tpls c="3">
          <tpl fld="7" item="7"/>
          <tpl fld="6" item="3"/>
          <tpl hier="236" item="0"/>
        </tpls>
      </m>
      <m>
        <tpls c="4">
          <tpl fld="7" item="1145"/>
          <tpl fld="6" item="2"/>
          <tpl hier="236" item="0"/>
          <tpl fld="4" item="4"/>
        </tpls>
      </m>
      <m>
        <tpls c="4">
          <tpl fld="7" item="396"/>
          <tpl fld="6" item="2"/>
          <tpl hier="236" item="0"/>
          <tpl fld="4" item="4"/>
        </tpls>
      </m>
      <m>
        <tpls c="4">
          <tpl fld="7" item="726"/>
          <tpl fld="6" item="2"/>
          <tpl hier="236" item="0"/>
          <tpl fld="4" item="6"/>
        </tpls>
      </m>
      <n v="3" in="1">
        <tpls c="4">
          <tpl fld="7" item="1003"/>
          <tpl fld="6" item="1"/>
          <tpl hier="236" item="0"/>
          <tpl fld="4" item="4"/>
        </tpls>
      </n>
      <m>
        <tpls c="4">
          <tpl fld="7" item="1067"/>
          <tpl fld="6" item="1"/>
          <tpl hier="236" item="0"/>
          <tpl fld="4" item="4"/>
        </tpls>
      </m>
      <m>
        <tpls c="4">
          <tpl fld="7" item="11"/>
          <tpl fld="6" item="2"/>
          <tpl hier="236" item="0"/>
          <tpl fld="1" item="0"/>
        </tpls>
      </m>
      <n v="1" in="2">
        <tpls c="4">
          <tpl fld="7" item="430"/>
          <tpl fld="6" item="2"/>
          <tpl hier="236" item="0"/>
          <tpl fld="4" item="5"/>
        </tpls>
      </n>
      <m>
        <tpls c="4">
          <tpl fld="7" item="273"/>
          <tpl fld="6" item="2"/>
          <tpl hier="236" item="0"/>
          <tpl fld="4" item="5"/>
        </tpls>
      </m>
      <m>
        <tpls c="4">
          <tpl fld="7" item="1246"/>
          <tpl fld="6" item="2"/>
          <tpl hier="236" item="0"/>
          <tpl fld="4" item="6"/>
        </tpls>
      </m>
      <m>
        <tpls c="4">
          <tpl fld="7" item="756"/>
          <tpl fld="6" item="2"/>
          <tpl hier="236" item="0"/>
          <tpl fld="4" item="6"/>
        </tpls>
      </m>
      <m>
        <tpls c="4">
          <tpl fld="7" item="131"/>
          <tpl fld="6" item="2"/>
          <tpl hier="236" item="0"/>
          <tpl fld="4" item="6"/>
        </tpls>
      </m>
      <m>
        <tpls c="4">
          <tpl fld="7" item="448"/>
          <tpl fld="6" item="1"/>
          <tpl hier="236" item="0"/>
          <tpl fld="4" item="5"/>
        </tpls>
      </m>
      <m>
        <tpls c="4">
          <tpl fld="7" item="177"/>
          <tpl fld="6" item="1"/>
          <tpl hier="236" item="0"/>
          <tpl fld="4" item="5"/>
        </tpls>
      </m>
      <n v="1" in="1">
        <tpls c="4">
          <tpl fld="7" item="1161"/>
          <tpl fld="6" item="1"/>
          <tpl hier="236" item="0"/>
          <tpl fld="4" item="1"/>
        </tpls>
      </n>
      <n v="2" in="1">
        <tpls c="4">
          <tpl fld="7" item="1109"/>
          <tpl fld="6" item="1"/>
          <tpl hier="236" item="0"/>
          <tpl fld="4" item="1"/>
        </tpls>
      </n>
      <m>
        <tpls c="4">
          <tpl fld="7" item="103"/>
          <tpl fld="6" item="1"/>
          <tpl hier="236" item="0"/>
          <tpl fld="4" item="1"/>
        </tpls>
      </m>
      <m>
        <tpls c="4">
          <tpl fld="7" item="136"/>
          <tpl fld="6" item="1"/>
          <tpl hier="236" item="0"/>
          <tpl fld="4" item="1"/>
        </tpls>
      </m>
      <m>
        <tpls c="4">
          <tpl fld="7" item="1196"/>
          <tpl fld="6" item="1"/>
          <tpl hier="236" item="0"/>
          <tpl fld="1" item="0"/>
        </tpls>
      </m>
      <n v="2" in="1">
        <tpls c="4">
          <tpl fld="7" item="749"/>
          <tpl fld="6" item="1"/>
          <tpl hier="236" item="0"/>
          <tpl fld="1" item="0"/>
        </tpls>
      </n>
      <n v="7" in="1">
        <tpls c="4">
          <tpl fld="7" item="506"/>
          <tpl fld="6" item="1"/>
          <tpl hier="236" item="0"/>
          <tpl fld="1" item="0"/>
        </tpls>
      </n>
      <n v="1" in="1">
        <tpls c="4">
          <tpl fld="7" item="207"/>
          <tpl fld="6" item="1"/>
          <tpl hier="236" item="0"/>
          <tpl fld="1" item="0"/>
        </tpls>
      </n>
      <m>
        <tpls c="4">
          <tpl fld="7" item="294"/>
          <tpl fld="6" item="1"/>
          <tpl hier="236" item="0"/>
          <tpl fld="1" item="0"/>
        </tpls>
      </m>
      <m>
        <tpls c="4">
          <tpl fld="7" item="141"/>
          <tpl fld="6" item="1"/>
          <tpl hier="236" item="0"/>
          <tpl fld="1" item="0"/>
        </tpls>
      </m>
      <m>
        <tpls c="4">
          <tpl fld="7" item="127"/>
          <tpl fld="6" item="1"/>
          <tpl hier="236" item="0"/>
          <tpl fld="1" item="0"/>
        </tpls>
      </m>
      <m>
        <tpls c="4">
          <tpl fld="7" item="340"/>
          <tpl fld="6" item="1"/>
          <tpl hier="236" item="0"/>
          <tpl fld="4" item="6"/>
        </tpls>
      </m>
      <m>
        <tpls c="4">
          <tpl fld="7" item="228"/>
          <tpl fld="6" item="1"/>
          <tpl hier="236" item="0"/>
          <tpl fld="4" item="6"/>
        </tpls>
      </m>
      <m>
        <tpls c="3">
          <tpl fld="7" item="998"/>
          <tpl fld="6" item="3"/>
          <tpl hier="236" item="0"/>
        </tpls>
      </m>
      <m>
        <tpls c="3">
          <tpl fld="7" item="402"/>
          <tpl fld="6" item="3"/>
          <tpl hier="236" item="0"/>
        </tpls>
      </m>
      <m>
        <tpls c="3">
          <tpl fld="7" item="750"/>
          <tpl fld="6" item="3"/>
          <tpl hier="236" item="0"/>
        </tpls>
      </m>
      <m>
        <tpls c="4">
          <tpl fld="7" item="1285"/>
          <tpl fld="6" item="2"/>
          <tpl hier="236" item="0"/>
          <tpl fld="4" item="4"/>
        </tpls>
      </m>
      <m>
        <tpls c="4">
          <tpl fld="7" item="1283"/>
          <tpl fld="6" item="2"/>
          <tpl hier="236" item="0"/>
          <tpl fld="4" item="4"/>
        </tpls>
      </m>
      <m>
        <tpls c="4">
          <tpl fld="7" item="1287"/>
          <tpl fld="6" item="2"/>
          <tpl hier="236" item="0"/>
          <tpl fld="4" item="4"/>
        </tpls>
      </m>
      <m>
        <tpls c="4">
          <tpl fld="7" item="829"/>
          <tpl fld="6" item="2"/>
          <tpl hier="236" item="0"/>
          <tpl fld="4" item="4"/>
        </tpls>
      </m>
      <m>
        <tpls c="4">
          <tpl fld="7" item="331"/>
          <tpl fld="6" item="2"/>
          <tpl hier="236" item="0"/>
          <tpl fld="4" item="4"/>
        </tpls>
      </m>
      <m>
        <tpls c="4">
          <tpl fld="7" item="5"/>
          <tpl fld="6" item="2"/>
          <tpl hier="236" item="0"/>
          <tpl fld="4" item="4"/>
        </tpls>
      </m>
      <n v="4" in="1">
        <tpls c="4">
          <tpl fld="7" item="800"/>
          <tpl fld="6" item="1"/>
          <tpl hier="236" item="0"/>
          <tpl fld="1" item="0"/>
        </tpls>
      </n>
      <m>
        <tpls c="4">
          <tpl fld="7" item="741"/>
          <tpl fld="6" item="1"/>
          <tpl hier="236" item="0"/>
          <tpl fld="4" item="6"/>
        </tpls>
      </m>
      <m>
        <tpls c="4">
          <tpl fld="7" item="1197"/>
          <tpl fld="6" item="2"/>
          <tpl hier="236" item="0"/>
          <tpl fld="4" item="1"/>
        </tpls>
      </m>
      <m>
        <tpls c="4">
          <tpl fld="7" item="480"/>
          <tpl fld="6" item="2"/>
          <tpl hier="236" item="0"/>
          <tpl fld="1" item="0"/>
        </tpls>
      </m>
      <m>
        <tpls c="4">
          <tpl fld="7" item="378"/>
          <tpl fld="6" item="2"/>
          <tpl hier="236" item="0"/>
          <tpl fld="4" item="5"/>
        </tpls>
      </m>
      <m>
        <tpls c="4">
          <tpl fld="7" item="48"/>
          <tpl fld="6" item="2"/>
          <tpl hier="236" item="0"/>
          <tpl fld="4" item="5"/>
        </tpls>
      </m>
      <m>
        <tpls c="4">
          <tpl fld="7" item="907"/>
          <tpl fld="6" item="2"/>
          <tpl hier="236" item="0"/>
          <tpl fld="4" item="6"/>
        </tpls>
      </m>
      <m>
        <tpls c="4">
          <tpl fld="7" item="435"/>
          <tpl fld="6" item="1"/>
          <tpl hier="236" item="0"/>
          <tpl fld="4" item="5"/>
        </tpls>
      </m>
      <n v="1" in="1">
        <tpls c="4">
          <tpl fld="7" item="749"/>
          <tpl fld="6" item="1"/>
          <tpl hier="236" item="0"/>
          <tpl fld="4" item="1"/>
        </tpls>
      </n>
      <m>
        <tpls c="4">
          <tpl fld="7" item="1194"/>
          <tpl fld="6" item="1"/>
          <tpl hier="236" item="0"/>
          <tpl fld="1" item="0"/>
        </tpls>
      </m>
      <m>
        <tpls c="4">
          <tpl fld="7" item="91"/>
          <tpl fld="6" item="1"/>
          <tpl hier="236" item="0"/>
          <tpl fld="1" item="0"/>
        </tpls>
      </m>
      <n v="13" in="1">
        <tpls c="4">
          <tpl fld="7" item="827"/>
          <tpl fld="6" item="1"/>
          <tpl hier="236" item="0"/>
          <tpl fld="4" item="6"/>
        </tpls>
      </n>
      <m>
        <tpls c="3">
          <tpl fld="7" item="989"/>
          <tpl fld="6" item="3"/>
          <tpl hier="236" item="0"/>
        </tpls>
      </m>
      <m>
        <tpls c="4">
          <tpl fld="7" item="1170"/>
          <tpl fld="6" item="2"/>
          <tpl hier="236" item="0"/>
          <tpl fld="4" item="4"/>
        </tpls>
      </m>
      <m>
        <tpls c="4">
          <tpl fld="7" item="63"/>
          <tpl fld="6" item="2"/>
          <tpl hier="236" item="0"/>
          <tpl fld="4" item="4"/>
        </tpls>
      </m>
      <m>
        <tpls c="3">
          <tpl fld="7" item="772"/>
          <tpl fld="6" item="3"/>
          <tpl hier="236" item="0"/>
        </tpls>
      </m>
      <m>
        <tpls c="4">
          <tpl fld="7" item="1090"/>
          <tpl fld="6" item="1"/>
          <tpl hier="236" item="0"/>
          <tpl fld="1" item="0"/>
        </tpls>
      </m>
      <m>
        <tpls c="4">
          <tpl fld="7" item="726"/>
          <tpl fld="6" item="2"/>
          <tpl hier="236" item="0"/>
          <tpl fld="4" item="4"/>
        </tpls>
      </m>
      <m>
        <tpls c="4">
          <tpl fld="7" item="1275"/>
          <tpl fld="6" item="2"/>
          <tpl hier="236" item="0"/>
          <tpl fld="4" item="1"/>
        </tpls>
      </m>
      <n v="6" in="1">
        <tpls c="4">
          <tpl fld="7" item="796"/>
          <tpl fld="6" item="1"/>
          <tpl hier="236" item="0"/>
          <tpl fld="4" item="4"/>
        </tpls>
      </n>
      <m>
        <tpls c="4">
          <tpl fld="7" item="652"/>
          <tpl fld="6" item="2"/>
          <tpl hier="236" item="0"/>
          <tpl fld="4" item="4"/>
        </tpls>
      </m>
      <m>
        <tpls c="4">
          <tpl fld="7" item="744"/>
          <tpl fld="6" item="2"/>
          <tpl hier="236" item="0"/>
          <tpl fld="1" item="0"/>
        </tpls>
      </m>
      <n v="10" in="1">
        <tpls c="4">
          <tpl fld="7" item="1116"/>
          <tpl fld="6" item="1"/>
          <tpl hier="236" item="0"/>
          <tpl fld="4" item="6"/>
        </tpls>
      </n>
      <m>
        <tpls c="4">
          <tpl fld="7" item="934"/>
          <tpl fld="6" item="1"/>
          <tpl hier="236" item="0"/>
          <tpl fld="4" item="4"/>
        </tpls>
      </m>
      <m>
        <tpls c="4">
          <tpl fld="7" item="834"/>
          <tpl fld="6" item="2"/>
          <tpl hier="236" item="0"/>
          <tpl fld="1" item="0"/>
        </tpls>
      </m>
      <m>
        <tpls c="4">
          <tpl fld="7" item="986"/>
          <tpl fld="6" item="2"/>
          <tpl hier="236" item="0"/>
          <tpl fld="4" item="5"/>
        </tpls>
      </m>
      <n v="15" in="1">
        <tpls c="4">
          <tpl fld="7" item="723"/>
          <tpl fld="6" item="1"/>
          <tpl hier="236" item="0"/>
          <tpl fld="4" item="4"/>
        </tpls>
      </n>
      <m>
        <tpls c="4">
          <tpl fld="7" item="734"/>
          <tpl fld="6" item="1"/>
          <tpl hier="236" item="0"/>
          <tpl fld="1" item="0"/>
        </tpls>
      </m>
      <n v="22" in="1">
        <tpls c="4">
          <tpl fld="7" item="1264"/>
          <tpl fld="6" item="1"/>
          <tpl hier="236" item="0"/>
          <tpl fld="4" item="4"/>
        </tpls>
      </n>
      <m>
        <tpls c="4">
          <tpl fld="7" item="853"/>
          <tpl fld="6" item="2"/>
          <tpl hier="236" item="0"/>
          <tpl fld="4" item="1"/>
        </tpls>
      </m>
      <m>
        <tpls c="4">
          <tpl fld="7" item="943"/>
          <tpl fld="6" item="2"/>
          <tpl hier="236" item="0"/>
          <tpl fld="4" item="1"/>
        </tpls>
      </m>
      <n v="3" in="2">
        <tpls c="4">
          <tpl fld="7" item="519"/>
          <tpl fld="6" item="2"/>
          <tpl hier="236" item="0"/>
          <tpl fld="1" item="0"/>
        </tpls>
      </n>
      <m>
        <tpls c="4">
          <tpl fld="7" item="325"/>
          <tpl fld="6" item="2"/>
          <tpl hier="236" item="0"/>
          <tpl fld="1" item="0"/>
        </tpls>
      </m>
      <n v="6" in="1">
        <tpls c="4">
          <tpl fld="7" item="646"/>
          <tpl fld="6" item="1"/>
          <tpl hier="236" item="0"/>
          <tpl fld="1" item="0"/>
        </tpls>
      </n>
      <m>
        <tpls c="4">
          <tpl fld="7" item="1258"/>
          <tpl fld="6" item="1"/>
          <tpl hier="236" item="0"/>
          <tpl fld="4" item="4"/>
        </tpls>
      </m>
      <m>
        <tpls c="4">
          <tpl fld="7" item="360"/>
          <tpl fld="6" item="2"/>
          <tpl hier="236" item="0"/>
          <tpl fld="4" item="5"/>
        </tpls>
      </m>
      <m>
        <tpls c="4">
          <tpl fld="7" item="1018"/>
          <tpl fld="6" item="2"/>
          <tpl hier="236" item="0"/>
          <tpl fld="4" item="6"/>
        </tpls>
      </m>
      <m>
        <tpls c="4">
          <tpl fld="7" item="24"/>
          <tpl fld="6" item="2"/>
          <tpl hier="236" item="0"/>
          <tpl fld="4" item="6"/>
        </tpls>
      </m>
      <m>
        <tpls c="4">
          <tpl fld="7" item="70"/>
          <tpl fld="6" item="1"/>
          <tpl hier="236" item="0"/>
          <tpl fld="4" item="5"/>
        </tpls>
      </m>
      <m>
        <tpls c="4">
          <tpl fld="7" item="903"/>
          <tpl fld="6" item="1"/>
          <tpl hier="236" item="0"/>
          <tpl fld="4" item="1"/>
        </tpls>
      </m>
      <m>
        <tpls c="4">
          <tpl fld="7" item="29"/>
          <tpl fld="6" item="1"/>
          <tpl hier="236" item="0"/>
          <tpl fld="4" item="1"/>
        </tpls>
      </m>
      <m>
        <tpls c="4">
          <tpl fld="7" item="808"/>
          <tpl fld="6" item="2"/>
          <tpl hier="236" item="0"/>
          <tpl fld="4" item="4"/>
        </tpls>
      </m>
      <n v="1" in="1">
        <tpls c="4">
          <tpl fld="7" item="1068"/>
          <tpl fld="6" item="1"/>
          <tpl hier="236" item="0"/>
          <tpl fld="4" item="4"/>
        </tpls>
      </n>
      <m>
        <tpls c="4">
          <tpl fld="7" item="854"/>
          <tpl fld="6" item="2"/>
          <tpl hier="236" item="0"/>
          <tpl fld="4" item="5"/>
        </tpls>
      </m>
      <m>
        <tpls c="4">
          <tpl fld="7" item="502"/>
          <tpl fld="6" item="2"/>
          <tpl hier="236" item="0"/>
          <tpl fld="4" item="5"/>
        </tpls>
      </m>
      <m>
        <tpls c="4">
          <tpl fld="7" item="483"/>
          <tpl fld="6" item="2"/>
          <tpl hier="236" item="0"/>
          <tpl fld="4" item="5"/>
        </tpls>
      </m>
      <m>
        <tpls c="4">
          <tpl fld="7" item="245"/>
          <tpl fld="6" item="2"/>
          <tpl hier="236" item="0"/>
          <tpl fld="4" item="5"/>
        </tpls>
      </m>
      <m>
        <tpls c="4">
          <tpl fld="7" item="1272"/>
          <tpl fld="6" item="2"/>
          <tpl hier="236" item="0"/>
          <tpl fld="4" item="6"/>
        </tpls>
      </m>
      <m>
        <tpls c="4">
          <tpl fld="7" item="370"/>
          <tpl fld="6" item="2"/>
          <tpl hier="236" item="0"/>
          <tpl fld="4" item="6"/>
        </tpls>
      </m>
      <m>
        <tpls c="4">
          <tpl fld="7" item="299"/>
          <tpl fld="6" item="2"/>
          <tpl hier="236" item="0"/>
          <tpl fld="4" item="6"/>
        </tpls>
      </m>
      <m>
        <tpls c="4">
          <tpl fld="7" item="241"/>
          <tpl fld="6" item="2"/>
          <tpl hier="236" item="0"/>
          <tpl fld="4" item="6"/>
        </tpls>
      </m>
      <m>
        <tpls c="4">
          <tpl fld="7" item="1111"/>
          <tpl fld="6" item="1"/>
          <tpl hier="236" item="0"/>
          <tpl fld="4" item="5"/>
        </tpls>
      </m>
      <m>
        <tpls c="4">
          <tpl fld="7" item="498"/>
          <tpl fld="6" item="1"/>
          <tpl hier="236" item="0"/>
          <tpl fld="4" item="5"/>
        </tpls>
      </m>
      <m>
        <tpls c="4">
          <tpl fld="7" item="287"/>
          <tpl fld="6" item="1"/>
          <tpl hier="236" item="0"/>
          <tpl fld="4" item="5"/>
        </tpls>
      </m>
      <m>
        <tpls c="4">
          <tpl fld="7" item="12"/>
          <tpl fld="6" item="1"/>
          <tpl hier="236" item="0"/>
          <tpl fld="4" item="5"/>
        </tpls>
      </m>
      <m>
        <tpls c="4">
          <tpl fld="7" item="940"/>
          <tpl fld="6" item="1"/>
          <tpl hier="236" item="0"/>
          <tpl fld="4" item="1"/>
        </tpls>
      </m>
      <n v="1" in="1">
        <tpls c="4">
          <tpl fld="7" item="1122"/>
          <tpl fld="6" item="1"/>
          <tpl hier="236" item="0"/>
          <tpl fld="4" item="1"/>
        </tpls>
      </n>
      <m>
        <tpls c="4">
          <tpl fld="7" item="197"/>
          <tpl fld="6" item="1"/>
          <tpl hier="236" item="0"/>
          <tpl fld="4" item="1"/>
        </tpls>
      </m>
      <m>
        <tpls c="4">
          <tpl fld="7" item="877"/>
          <tpl fld="6" item="1"/>
          <tpl hier="236" item="0"/>
          <tpl fld="4" item="1"/>
        </tpls>
      </m>
      <m>
        <tpls c="4">
          <tpl fld="7" item="414"/>
          <tpl fld="6" item="1"/>
          <tpl hier="236" item="0"/>
          <tpl fld="4" item="1"/>
        </tpls>
      </m>
      <m>
        <tpls c="4">
          <tpl fld="7" item="43"/>
          <tpl fld="6" item="1"/>
          <tpl hier="236" item="0"/>
          <tpl fld="4" item="1"/>
        </tpls>
      </m>
      <n v="0.7" in="2">
        <tpls c="4">
          <tpl fld="7" item="612"/>
          <tpl fld="6" item="2"/>
          <tpl hier="236" item="0"/>
          <tpl fld="4" item="4"/>
        </tpls>
      </n>
      <m>
        <tpls c="4">
          <tpl fld="7" item="1095"/>
          <tpl fld="6" item="2"/>
          <tpl hier="236" item="0"/>
          <tpl fld="4" item="6"/>
        </tpls>
      </m>
      <m>
        <tpls c="4">
          <tpl fld="7" item="995"/>
          <tpl fld="6" item="1"/>
          <tpl hier="236" item="0"/>
          <tpl fld="4" item="5"/>
        </tpls>
      </m>
      <m>
        <tpls c="4">
          <tpl fld="7" item="826"/>
          <tpl fld="6" item="1"/>
          <tpl hier="236" item="0"/>
          <tpl fld="4" item="1"/>
        </tpls>
      </m>
      <n v="0.2" in="2">
        <tpls c="4">
          <tpl fld="7" item="1245"/>
          <tpl fld="6" item="2"/>
          <tpl hier="236" item="0"/>
          <tpl fld="4" item="4"/>
        </tpls>
      </n>
      <n v="4" in="1">
        <tpls c="4">
          <tpl fld="7" item="1279"/>
          <tpl fld="6" item="1"/>
          <tpl hier="236" item="0"/>
          <tpl fld="4" item="4"/>
        </tpls>
      </n>
      <m>
        <tpls c="4">
          <tpl fld="7" item="897"/>
          <tpl fld="6" item="2"/>
          <tpl hier="236" item="0"/>
          <tpl fld="1" item="0"/>
        </tpls>
      </m>
      <m>
        <tpls c="4">
          <tpl fld="7" item="408"/>
          <tpl fld="6" item="2"/>
          <tpl hier="236" item="0"/>
          <tpl fld="1" item="0"/>
        </tpls>
      </m>
      <m>
        <tpls c="4">
          <tpl fld="7" item="1195"/>
          <tpl fld="6" item="2"/>
          <tpl hier="236" item="0"/>
          <tpl fld="4" item="5"/>
        </tpls>
      </m>
      <m>
        <tpls c="4">
          <tpl fld="7" item="377"/>
          <tpl fld="6" item="2"/>
          <tpl hier="236" item="0"/>
          <tpl fld="4" item="5"/>
        </tpls>
      </m>
      <m>
        <tpls c="4">
          <tpl fld="7" item="419"/>
          <tpl fld="6" item="2"/>
          <tpl hier="236" item="0"/>
          <tpl fld="4" item="5"/>
        </tpls>
      </m>
      <m>
        <tpls c="4">
          <tpl fld="7" item="45"/>
          <tpl fld="6" item="2"/>
          <tpl hier="236" item="0"/>
          <tpl fld="4" item="5"/>
        </tpls>
      </m>
      <m>
        <tpls c="4">
          <tpl fld="7" item="590"/>
          <tpl fld="6" item="2"/>
          <tpl hier="236" item="0"/>
          <tpl fld="4" item="5"/>
        </tpls>
      </m>
      <m>
        <tpls c="4">
          <tpl fld="7" item="869"/>
          <tpl fld="6" item="2"/>
          <tpl hier="236" item="0"/>
          <tpl fld="4" item="6"/>
        </tpls>
      </m>
      <m>
        <tpls c="4">
          <tpl fld="7" item="837"/>
          <tpl fld="6" item="2"/>
          <tpl hier="236" item="0"/>
          <tpl fld="4" item="6"/>
        </tpls>
      </m>
      <m>
        <tpls c="4">
          <tpl fld="7" item="503"/>
          <tpl fld="6" item="2"/>
          <tpl hier="236" item="0"/>
          <tpl fld="4" item="6"/>
        </tpls>
      </m>
      <m>
        <tpls c="4">
          <tpl fld="7" item="344"/>
          <tpl fld="6" item="2"/>
          <tpl hier="236" item="0"/>
          <tpl fld="4" item="6"/>
        </tpls>
      </m>
      <m>
        <tpls c="4">
          <tpl fld="7" item="253"/>
          <tpl fld="6" item="2"/>
          <tpl hier="236" item="0"/>
          <tpl fld="4" item="6"/>
        </tpls>
      </m>
      <n v="1" in="1">
        <tpls c="4">
          <tpl fld="7" item="1020"/>
          <tpl fld="6" item="1"/>
          <tpl hier="236" item="0"/>
          <tpl fld="4" item="5"/>
        </tpls>
      </n>
      <m>
        <tpls c="4">
          <tpl fld="7" item="1263"/>
          <tpl fld="6" item="1"/>
          <tpl hier="236" item="0"/>
          <tpl fld="4" item="5"/>
        </tpls>
      </m>
      <m>
        <tpls c="4">
          <tpl fld="7" item="316"/>
          <tpl fld="6" item="1"/>
          <tpl hier="236" item="0"/>
          <tpl fld="4" item="5"/>
        </tpls>
      </m>
      <m>
        <tpls c="4">
          <tpl fld="7" item="1232"/>
          <tpl fld="6" item="1"/>
          <tpl hier="236" item="0"/>
          <tpl fld="4" item="1"/>
        </tpls>
      </m>
      <m>
        <tpls c="4">
          <tpl fld="7" item="335"/>
          <tpl fld="6" item="1"/>
          <tpl hier="236" item="0"/>
          <tpl fld="1" item="0"/>
        </tpls>
      </m>
      <m>
        <tpls c="4">
          <tpl fld="7" item="1112"/>
          <tpl fld="6" item="2"/>
          <tpl hier="236" item="0"/>
          <tpl fld="4" item="6"/>
        </tpls>
      </m>
      <m>
        <tpls c="4">
          <tpl fld="7" item="359"/>
          <tpl fld="6" item="1"/>
          <tpl hier="236" item="0"/>
          <tpl fld="4" item="1"/>
        </tpls>
      </m>
      <m>
        <tpls c="4">
          <tpl fld="7" item="312"/>
          <tpl fld="6" item="1"/>
          <tpl hier="236" item="0"/>
          <tpl fld="1" item="0"/>
        </tpls>
      </m>
      <m>
        <tpls c="4">
          <tpl fld="7" item="467"/>
          <tpl fld="6" item="1"/>
          <tpl hier="236" item="0"/>
          <tpl fld="4" item="6"/>
        </tpls>
      </m>
      <m>
        <tpls c="4">
          <tpl fld="7" item="1032"/>
          <tpl fld="6" item="2"/>
          <tpl hier="236" item="0"/>
          <tpl fld="4" item="4"/>
        </tpls>
      </m>
      <m>
        <tpls c="4">
          <tpl fld="7" item="218"/>
          <tpl fld="6" item="1"/>
          <tpl hier="236" item="0"/>
          <tpl fld="4" item="1"/>
        </tpls>
      </m>
      <m>
        <tpls c="4">
          <tpl fld="7" item="25"/>
          <tpl fld="6" item="2"/>
          <tpl hier="236" item="0"/>
          <tpl fld="4" item="4"/>
        </tpls>
      </m>
      <m>
        <tpls c="4">
          <tpl fld="7" item="66"/>
          <tpl fld="6" item="2"/>
          <tpl hier="236" item="0"/>
          <tpl fld="4" item="5"/>
        </tpls>
      </m>
      <m>
        <tpls c="4">
          <tpl fld="7" item="844"/>
          <tpl fld="6" item="1"/>
          <tpl hier="236" item="0"/>
          <tpl fld="4" item="5"/>
        </tpls>
      </m>
      <n v="11" in="1">
        <tpls c="4">
          <tpl fld="7" item="382"/>
          <tpl fld="6" item="1"/>
          <tpl hier="236" item="0"/>
          <tpl fld="4" item="1"/>
        </tpls>
      </n>
      <n v="8" in="1">
        <tpls c="4">
          <tpl fld="7" item="1001"/>
          <tpl fld="6" item="1"/>
          <tpl hier="236" item="0"/>
          <tpl fld="1" item="0"/>
        </tpls>
      </n>
      <m>
        <tpls c="4">
          <tpl fld="7" item="71"/>
          <tpl fld="6" item="1"/>
          <tpl hier="236" item="0"/>
          <tpl fld="1" item="0"/>
        </tpls>
      </m>
      <m>
        <tpls c="4">
          <tpl fld="7" item="126"/>
          <tpl fld="6" item="1"/>
          <tpl hier="236" item="0"/>
          <tpl fld="4" item="6"/>
        </tpls>
      </m>
      <m>
        <tpls c="3">
          <tpl fld="7" item="224"/>
          <tpl fld="6" item="3"/>
          <tpl hier="236" item="0"/>
        </tpls>
      </m>
      <m>
        <tpls c="4">
          <tpl fld="7" item="875"/>
          <tpl fld="6" item="2"/>
          <tpl hier="236" item="0"/>
          <tpl fld="4" item="4"/>
        </tpls>
      </m>
      <n v="1" in="1">
        <tpls c="4">
          <tpl fld="7" item="796"/>
          <tpl fld="6" item="1"/>
          <tpl hier="236" item="0"/>
          <tpl fld="4" item="1"/>
        </tpls>
      </n>
      <m>
        <tpls c="4">
          <tpl fld="7" item="848"/>
          <tpl fld="6" item="2"/>
          <tpl hier="236" item="0"/>
          <tpl fld="4" item="5"/>
        </tpls>
      </m>
      <m>
        <tpls c="4">
          <tpl fld="7" item="447"/>
          <tpl fld="6" item="1"/>
          <tpl hier="236" item="0"/>
          <tpl fld="4" item="5"/>
        </tpls>
      </m>
      <m>
        <tpls c="4">
          <tpl fld="7" item="342"/>
          <tpl fld="6" item="1"/>
          <tpl hier="236" item="0"/>
          <tpl fld="1" item="0"/>
        </tpls>
      </m>
      <m>
        <tpls c="4">
          <tpl fld="7" item="1092"/>
          <tpl fld="6" item="2"/>
          <tpl hier="236" item="0"/>
          <tpl fld="4" item="4"/>
        </tpls>
      </m>
      <n v="3" in="1">
        <tpls c="4">
          <tpl fld="7" item="574"/>
          <tpl fld="6" item="1"/>
          <tpl hier="236" item="0"/>
          <tpl fld="4" item="4"/>
        </tpls>
      </n>
      <m>
        <tpls c="4">
          <tpl fld="7" item="47"/>
          <tpl fld="6" item="2"/>
          <tpl hier="236" item="0"/>
          <tpl fld="1" item="0"/>
        </tpls>
      </m>
      <m>
        <tpls c="4">
          <tpl fld="7" item="739"/>
          <tpl fld="6" item="2"/>
          <tpl hier="236" item="0"/>
          <tpl fld="4" item="1"/>
        </tpls>
      </m>
      <m>
        <tpls c="4">
          <tpl fld="7" item="870"/>
          <tpl fld="6" item="2"/>
          <tpl hier="236" item="0"/>
          <tpl fld="4" item="4"/>
        </tpls>
      </m>
      <m>
        <tpls c="3">
          <tpl fld="7" item="540"/>
          <tpl fld="6" item="3"/>
          <tpl hier="236" item="0"/>
        </tpls>
      </m>
      <m>
        <tpls c="4">
          <tpl fld="7" item="652"/>
          <tpl fld="6" item="2"/>
          <tpl hier="236" item="0"/>
          <tpl fld="4" item="5"/>
        </tpls>
      </m>
      <n v="8" in="1">
        <tpls c="4">
          <tpl fld="7" item="1219"/>
          <tpl fld="6" item="1"/>
          <tpl hier="236" item="0"/>
          <tpl fld="4" item="4"/>
        </tpls>
      </n>
      <m>
        <tpls c="4">
          <tpl fld="7" item="1181"/>
          <tpl fld="6" item="2"/>
          <tpl hier="236" item="0"/>
          <tpl fld="1" item="0"/>
        </tpls>
      </m>
      <m>
        <tpls c="4">
          <tpl fld="7" item="578"/>
          <tpl fld="6" item="2"/>
          <tpl hier="236" item="0"/>
          <tpl fld="4" item="5"/>
        </tpls>
      </m>
      <m>
        <tpls c="4">
          <tpl fld="7" item="103"/>
          <tpl fld="6" item="2"/>
          <tpl hier="236" item="0"/>
          <tpl fld="4" item="5"/>
        </tpls>
      </m>
      <m>
        <tpls c="4">
          <tpl fld="7" item="16"/>
          <tpl fld="6" item="2"/>
          <tpl hier="236" item="0"/>
          <tpl fld="4" item="6"/>
        </tpls>
      </m>
      <n v="2" in="1">
        <tpls c="4">
          <tpl fld="7" item="897"/>
          <tpl fld="6" item="1"/>
          <tpl hier="236" item="0"/>
          <tpl fld="4" item="1"/>
        </tpls>
      </n>
      <n v="6" in="1">
        <tpls c="4">
          <tpl fld="7" item="811"/>
          <tpl fld="6" item="1"/>
          <tpl hier="236" item="0"/>
          <tpl fld="4" item="4"/>
        </tpls>
      </n>
      <m>
        <tpls c="4">
          <tpl fld="7" item="911"/>
          <tpl fld="6" item="2"/>
          <tpl hier="236" item="0"/>
          <tpl fld="4" item="5"/>
        </tpls>
      </m>
      <m>
        <tpls c="4">
          <tpl fld="7" item="150"/>
          <tpl fld="6" item="2"/>
          <tpl hier="236" item="0"/>
          <tpl fld="4" item="5"/>
        </tpls>
      </m>
      <m>
        <tpls c="4">
          <tpl fld="7" item="1216"/>
          <tpl fld="6" item="2"/>
          <tpl hier="236" item="0"/>
          <tpl fld="4" item="6"/>
        </tpls>
      </m>
      <m>
        <tpls c="4">
          <tpl fld="7" item="876"/>
          <tpl fld="6" item="2"/>
          <tpl hier="236" item="0"/>
          <tpl fld="4" item="6"/>
        </tpls>
      </m>
      <n v="2" in="1">
        <tpls c="4">
          <tpl fld="7" item="517"/>
          <tpl fld="6" item="1"/>
          <tpl hier="236" item="0"/>
          <tpl fld="4" item="5"/>
        </tpls>
      </n>
      <m>
        <tpls c="4">
          <tpl fld="7" item="20"/>
          <tpl fld="6" item="1"/>
          <tpl hier="236" item="0"/>
          <tpl fld="4" item="5"/>
        </tpls>
      </m>
      <n v="1" in="1">
        <tpls c="4">
          <tpl fld="7" item="920"/>
          <tpl fld="6" item="1"/>
          <tpl hier="236" item="0"/>
          <tpl fld="4" item="1"/>
        </tpls>
      </n>
      <m>
        <tpls c="4">
          <tpl fld="7" item="675"/>
          <tpl fld="6" item="1"/>
          <tpl hier="236" item="0"/>
          <tpl fld="4" item="1"/>
        </tpls>
      </m>
      <m>
        <tpls c="4">
          <tpl fld="7" item="110"/>
          <tpl fld="6" item="1"/>
          <tpl hier="236" item="0"/>
          <tpl fld="4" item="1"/>
        </tpls>
      </m>
      <m>
        <tpls c="4">
          <tpl fld="7" item="993"/>
          <tpl fld="6" item="1"/>
          <tpl hier="236" item="0"/>
          <tpl fld="4" item="5"/>
        </tpls>
      </m>
      <n v="1" in="1">
        <tpls c="4">
          <tpl fld="7" item="827"/>
          <tpl fld="6" item="1"/>
          <tpl hier="236" item="0"/>
          <tpl fld="4" item="1"/>
        </tpls>
      </n>
      <n v="1" in="1">
        <tpls c="4">
          <tpl fld="7" item="1283"/>
          <tpl fld="6" item="1"/>
          <tpl hier="236" item="0"/>
          <tpl fld="4" item="4"/>
        </tpls>
      </n>
      <m>
        <tpls c="4">
          <tpl fld="7" item="244"/>
          <tpl fld="6" item="2"/>
          <tpl hier="236" item="0"/>
          <tpl fld="1" item="0"/>
        </tpls>
      </m>
      <m>
        <tpls c="4">
          <tpl fld="7" item="1084"/>
          <tpl fld="6" item="2"/>
          <tpl hier="236" item="0"/>
          <tpl fld="4" item="5"/>
        </tpls>
      </m>
      <m>
        <tpls c="4">
          <tpl fld="7" item="26"/>
          <tpl fld="6" item="2"/>
          <tpl hier="236" item="0"/>
          <tpl fld="4" item="5"/>
        </tpls>
      </m>
      <m>
        <tpls c="4">
          <tpl fld="7" item="851"/>
          <tpl fld="6" item="2"/>
          <tpl hier="236" item="0"/>
          <tpl fld="4" item="6"/>
        </tpls>
      </m>
      <m>
        <tpls c="4">
          <tpl fld="7" item="316"/>
          <tpl fld="6" item="2"/>
          <tpl hier="236" item="0"/>
          <tpl fld="4" item="6"/>
        </tpls>
      </m>
      <m>
        <tpls c="4">
          <tpl fld="7" item="119"/>
          <tpl fld="6" item="2"/>
          <tpl hier="236" item="0"/>
          <tpl fld="4" item="6"/>
        </tpls>
      </m>
      <m>
        <tpls c="4">
          <tpl fld="7" item="678"/>
          <tpl fld="6" item="1"/>
          <tpl hier="236" item="0"/>
          <tpl fld="4" item="5"/>
        </tpls>
      </m>
      <m>
        <tpls c="4">
          <tpl fld="7" item="410"/>
          <tpl fld="6" item="1"/>
          <tpl hier="236" item="0"/>
          <tpl fld="4" item="5"/>
        </tpls>
      </m>
      <m>
        <tpls c="4">
          <tpl fld="7" item="1267"/>
          <tpl fld="6" item="1"/>
          <tpl hier="236" item="0"/>
          <tpl fld="4" item="1"/>
        </tpls>
      </m>
      <n v="3" in="1">
        <tpls c="4">
          <tpl fld="7" item="836"/>
          <tpl fld="6" item="1"/>
          <tpl hier="236" item="0"/>
          <tpl fld="4" item="1"/>
        </tpls>
      </n>
      <n v="0" in="1">
        <tpls c="4">
          <tpl fld="7" item="88"/>
          <tpl fld="6" item="1"/>
          <tpl hier="236" item="0"/>
          <tpl fld="4" item="1"/>
        </tpls>
      </n>
      <m>
        <tpls c="4">
          <tpl fld="7" item="471"/>
          <tpl fld="6" item="1"/>
          <tpl hier="236" item="0"/>
          <tpl fld="4" item="1"/>
        </tpls>
      </m>
      <n v="16" in="1">
        <tpls c="4">
          <tpl fld="7" item="763"/>
          <tpl fld="6" item="1"/>
          <tpl hier="236" item="0"/>
          <tpl fld="1" item="0"/>
        </tpls>
      </n>
      <m>
        <tpls c="4">
          <tpl fld="7" item="178"/>
          <tpl fld="6" item="1"/>
          <tpl hier="236" item="0"/>
          <tpl fld="1" item="0"/>
        </tpls>
      </m>
      <m>
        <tpls c="4">
          <tpl fld="7" item="879"/>
          <tpl fld="6" item="2"/>
          <tpl hier="236" item="0"/>
          <tpl fld="4" item="6"/>
        </tpls>
      </m>
      <m>
        <tpls c="4">
          <tpl fld="7" item="1126"/>
          <tpl fld="6" item="2"/>
          <tpl hier="236" item="0"/>
          <tpl fld="4" item="5"/>
        </tpls>
      </m>
      <m>
        <tpls c="4">
          <tpl fld="7" item="40"/>
          <tpl fld="6" item="2"/>
          <tpl hier="236" item="0"/>
          <tpl fld="4" item="6"/>
        </tpls>
      </m>
      <m>
        <tpls c="4">
          <tpl fld="7" item="199"/>
          <tpl fld="6" item="1"/>
          <tpl hier="236" item="0"/>
          <tpl fld="4" item="1"/>
        </tpls>
      </m>
      <n v="4" in="1">
        <tpls c="4">
          <tpl fld="7" item="452"/>
          <tpl fld="6" item="1"/>
          <tpl hier="236" item="0"/>
          <tpl fld="1" item="0"/>
        </tpls>
      </n>
      <m>
        <tpls c="4">
          <tpl fld="7" item="403"/>
          <tpl fld="6" item="1"/>
          <tpl hier="236" item="0"/>
          <tpl fld="1" item="0"/>
        </tpls>
      </m>
      <m>
        <tpls c="3">
          <tpl fld="7" item="1239"/>
          <tpl fld="6" item="3"/>
          <tpl hier="236" item="0"/>
        </tpls>
      </m>
      <m>
        <tpls c="4">
          <tpl fld="7" item="1055"/>
          <tpl fld="6" item="2"/>
          <tpl hier="236" item="0"/>
          <tpl fld="4" item="4"/>
        </tpls>
      </m>
      <m>
        <tpls c="4">
          <tpl fld="7" item="116"/>
          <tpl fld="6" item="2"/>
          <tpl hier="236" item="0"/>
          <tpl fld="4" item="4"/>
        </tpls>
      </m>
      <n v="5" in="1">
        <tpls c="4">
          <tpl fld="7" item="1272"/>
          <tpl fld="6" item="1"/>
          <tpl hier="236" item="0"/>
          <tpl fld="1" item="0"/>
        </tpls>
      </n>
      <m>
        <tpls c="4">
          <tpl fld="7" item="1176"/>
          <tpl fld="6" item="2"/>
          <tpl hier="236" item="0"/>
          <tpl fld="4" item="4"/>
        </tpls>
      </m>
      <m>
        <tpls c="4">
          <tpl fld="7" item="1117"/>
          <tpl fld="6" item="2"/>
          <tpl hier="236" item="0"/>
          <tpl fld="4" item="4"/>
        </tpls>
      </m>
      <m>
        <tpls c="4">
          <tpl fld="7" item="164"/>
          <tpl fld="6" item="2"/>
          <tpl hier="236" item="0"/>
          <tpl fld="4" item="5"/>
        </tpls>
      </m>
      <n v="0" in="1">
        <tpls c="4">
          <tpl fld="7" item="429"/>
          <tpl fld="6" item="1"/>
          <tpl hier="236" item="0"/>
          <tpl fld="4" item="5"/>
        </tpls>
      </n>
      <m>
        <tpls c="4">
          <tpl fld="7" item="70"/>
          <tpl fld="6" item="1"/>
          <tpl hier="236" item="0"/>
          <tpl fld="4" item="1"/>
        </tpls>
      </m>
      <n v="0" in="1">
        <tpls c="4">
          <tpl fld="7" item="429"/>
          <tpl fld="6" item="1"/>
          <tpl hier="236" item="0"/>
          <tpl fld="1" item="0"/>
        </tpls>
      </n>
      <m>
        <tpls c="4">
          <tpl fld="7" item="13"/>
          <tpl fld="6" item="1"/>
          <tpl hier="236" item="0"/>
          <tpl fld="1" item="0"/>
        </tpls>
      </m>
      <m>
        <tpls c="3">
          <tpl fld="7" item="275"/>
          <tpl fld="6" item="3"/>
          <tpl hier="236" item="0"/>
        </tpls>
      </m>
      <m>
        <tpls c="4">
          <tpl fld="7" item="942"/>
          <tpl fld="6" item="2"/>
          <tpl hier="236" item="0"/>
          <tpl fld="4" item="4"/>
        </tpls>
      </m>
      <m>
        <tpls c="4">
          <tpl fld="7" item="182"/>
          <tpl fld="6" item="2"/>
          <tpl hier="236" item="0"/>
          <tpl fld="4" item="6"/>
        </tpls>
      </m>
      <m>
        <tpls c="4">
          <tpl fld="7" item="128"/>
          <tpl fld="6" item="1"/>
          <tpl hier="236" item="0"/>
          <tpl fld="1" item="0"/>
        </tpls>
      </m>
      <n v="8" in="1">
        <tpls c="4">
          <tpl fld="7" item="1238"/>
          <tpl fld="6" item="1"/>
          <tpl hier="236" item="0"/>
          <tpl fld="1" item="0"/>
        </tpls>
      </n>
      <n v="2.2999999999999998" in="2">
        <tpls c="4">
          <tpl fld="7" item="374"/>
          <tpl fld="6" item="2"/>
          <tpl hier="236" item="0"/>
          <tpl fld="4" item="5"/>
        </tpls>
      </n>
      <m>
        <tpls c="4">
          <tpl fld="7" item="1237"/>
          <tpl fld="6" item="2"/>
          <tpl hier="236" item="0"/>
          <tpl fld="4" item="6"/>
        </tpls>
      </m>
      <m>
        <tpls c="4">
          <tpl fld="7" item="424"/>
          <tpl fld="6" item="1"/>
          <tpl hier="236" item="0"/>
          <tpl fld="4" item="5"/>
        </tpls>
      </m>
      <n v="1" in="1">
        <tpls c="4">
          <tpl fld="7" item="378"/>
          <tpl fld="6" item="1"/>
          <tpl hier="236" item="0"/>
          <tpl fld="4" item="1"/>
        </tpls>
      </n>
      <n v="4" in="1">
        <tpls c="4">
          <tpl fld="7" item="1022"/>
          <tpl fld="6" item="1"/>
          <tpl hier="236" item="0"/>
          <tpl fld="1" item="0"/>
        </tpls>
      </n>
      <m>
        <tpls c="4">
          <tpl fld="7" item="214"/>
          <tpl fld="6" item="1"/>
          <tpl hier="236" item="0"/>
          <tpl fld="1" item="0"/>
        </tpls>
      </m>
      <m>
        <tpls c="4">
          <tpl fld="7" item="143"/>
          <tpl fld="6" item="1"/>
          <tpl hier="236" item="0"/>
          <tpl fld="1" item="0"/>
        </tpls>
      </m>
      <m>
        <tpls c="4">
          <tpl fld="7" item="328"/>
          <tpl fld="6" item="1"/>
          <tpl hier="236" item="0"/>
          <tpl fld="4" item="6"/>
        </tpls>
      </m>
      <m>
        <tpls c="3">
          <tpl fld="7" item="326"/>
          <tpl fld="6" item="3"/>
          <tpl hier="236" item="0"/>
        </tpls>
      </m>
      <m>
        <tpls c="4">
          <tpl fld="7" item="1202"/>
          <tpl fld="6" item="2"/>
          <tpl hier="236" item="0"/>
          <tpl fld="4" item="4"/>
        </tpls>
      </m>
      <m>
        <tpls c="4">
          <tpl fld="7" item="12"/>
          <tpl fld="6" item="2"/>
          <tpl hier="236" item="0"/>
          <tpl fld="4" item="4"/>
        </tpls>
      </m>
      <m>
        <tpls c="4">
          <tpl fld="7" item="1241"/>
          <tpl fld="6" item="2"/>
          <tpl hier="236" item="0"/>
          <tpl fld="4" item="1"/>
        </tpls>
      </m>
      <m>
        <tpls c="4">
          <tpl fld="7" item="600"/>
          <tpl fld="6" item="2"/>
          <tpl hier="236" item="0"/>
          <tpl fld="4" item="5"/>
        </tpls>
      </m>
      <n v="3" in="1">
        <tpls c="4">
          <tpl fld="7" item="871"/>
          <tpl fld="6" item="1"/>
          <tpl hier="236" item="0"/>
          <tpl fld="4" item="5"/>
        </tpls>
      </n>
      <n v="1" in="1">
        <tpls c="4">
          <tpl fld="7" item="447"/>
          <tpl fld="6" item="1"/>
          <tpl hier="236" item="0"/>
          <tpl fld="1" item="0"/>
        </tpls>
      </n>
      <m>
        <tpls c="3">
          <tpl fld="7" item="129"/>
          <tpl fld="6" item="3"/>
          <tpl hier="236" item="0"/>
        </tpls>
      </m>
      <m>
        <tpls c="4">
          <tpl fld="7" item="310"/>
          <tpl fld="6" item="1"/>
          <tpl hier="236" item="0"/>
          <tpl fld="4" item="6"/>
        </tpls>
      </m>
      <m>
        <tpls c="4">
          <tpl fld="7" item="676"/>
          <tpl fld="6" item="1"/>
          <tpl hier="236" item="0"/>
          <tpl fld="4" item="6"/>
        </tpls>
      </m>
      <m>
        <tpls c="4">
          <tpl fld="7" item="880"/>
          <tpl fld="6" item="2"/>
          <tpl hier="236" item="0"/>
          <tpl fld="4" item="5"/>
        </tpls>
      </m>
      <n v="10" in="1">
        <tpls c="4">
          <tpl fld="7" item="848"/>
          <tpl fld="6" item="1"/>
          <tpl hier="236" item="0"/>
          <tpl fld="4" item="6"/>
        </tpls>
      </n>
      <m>
        <tpls c="4">
          <tpl fld="7" item="882"/>
          <tpl fld="6" item="2"/>
          <tpl hier="236" item="0"/>
          <tpl fld="4" item="6"/>
        </tpls>
      </m>
      <m>
        <tpls c="4">
          <tpl fld="7" item="726"/>
          <tpl fld="6" item="2"/>
          <tpl hier="236" item="0"/>
          <tpl fld="4" item="1"/>
        </tpls>
      </m>
      <n v="1" in="1">
        <tpls c="4">
          <tpl fld="7" item="660"/>
          <tpl fld="6" item="1"/>
          <tpl hier="236" item="0"/>
          <tpl fld="4" item="4"/>
        </tpls>
      </n>
      <m>
        <tpls c="4">
          <tpl fld="7" item="1109"/>
          <tpl fld="6" item="2"/>
          <tpl hier="236" item="0"/>
          <tpl fld="4" item="1"/>
        </tpls>
      </m>
      <m>
        <tpls c="4">
          <tpl fld="7" item="1128"/>
          <tpl fld="6" item="1"/>
          <tpl hier="236" item="0"/>
          <tpl fld="4" item="6"/>
        </tpls>
      </m>
      <m>
        <tpls c="4">
          <tpl fld="7" item="974"/>
          <tpl fld="6" item="1"/>
          <tpl hier="236" item="0"/>
          <tpl fld="4" item="4"/>
        </tpls>
      </m>
      <m>
        <tpls c="3">
          <tpl fld="7" item="288"/>
          <tpl fld="6" item="3"/>
          <tpl hier="236" item="0"/>
        </tpls>
      </m>
      <m>
        <tpls c="4">
          <tpl fld="7" item="639"/>
          <tpl fld="6" item="1"/>
          <tpl hier="236" item="0"/>
          <tpl fld="4" item="5"/>
        </tpls>
      </m>
      <m>
        <tpls c="4">
          <tpl fld="7" item="650"/>
          <tpl fld="6" item="2"/>
          <tpl hier="236" item="0"/>
          <tpl fld="4" item="1"/>
        </tpls>
      </m>
      <m>
        <tpls c="4">
          <tpl fld="7" item="823"/>
          <tpl fld="6" item="2"/>
          <tpl hier="236" item="0"/>
          <tpl fld="4" item="6"/>
        </tpls>
      </m>
      <m>
        <tpls c="4">
          <tpl fld="7" item="905"/>
          <tpl fld="6" item="2"/>
          <tpl hier="236" item="0"/>
          <tpl fld="4" item="4"/>
        </tpls>
      </m>
      <m>
        <tpls c="4">
          <tpl fld="7" item="869"/>
          <tpl fld="6" item="2"/>
          <tpl hier="236" item="0"/>
          <tpl fld="4" item="1"/>
        </tpls>
      </m>
      <m>
        <tpls c="4">
          <tpl fld="7" item="1127"/>
          <tpl fld="6" item="2"/>
          <tpl hier="236" item="0"/>
          <tpl fld="1" item="0"/>
        </tpls>
      </m>
      <m>
        <tpls c="4">
          <tpl fld="7" item="157"/>
          <tpl fld="6" item="2"/>
          <tpl hier="236" item="0"/>
          <tpl fld="1" item="0"/>
        </tpls>
      </m>
      <m>
        <tpls c="4">
          <tpl fld="7" item="536"/>
          <tpl fld="6" item="1"/>
          <tpl hier="236" item="0"/>
          <tpl fld="4" item="1"/>
        </tpls>
      </m>
      <m>
        <tpls c="4">
          <tpl fld="7" item="1012"/>
          <tpl fld="6" item="2"/>
          <tpl hier="236" item="0"/>
          <tpl fld="4" item="4"/>
        </tpls>
      </m>
      <m>
        <tpls c="4">
          <tpl fld="7" item="861"/>
          <tpl fld="6" item="2"/>
          <tpl hier="236" item="0"/>
          <tpl fld="4" item="5"/>
        </tpls>
      </m>
      <m>
        <tpls c="4">
          <tpl fld="7" item="34"/>
          <tpl fld="6" item="2"/>
          <tpl hier="236" item="0"/>
          <tpl fld="4" item="5"/>
        </tpls>
      </m>
      <m>
        <tpls c="4">
          <tpl fld="7" item="196"/>
          <tpl fld="6" item="2"/>
          <tpl hier="236" item="0"/>
          <tpl fld="4" item="6"/>
        </tpls>
      </m>
      <m>
        <tpls c="4">
          <tpl fld="7" item="362"/>
          <tpl fld="6" item="1"/>
          <tpl hier="236" item="0"/>
          <tpl fld="4" item="5"/>
        </tpls>
      </m>
      <m>
        <tpls c="4">
          <tpl fld="7" item="1043"/>
          <tpl fld="6" item="1"/>
          <tpl hier="236" item="0"/>
          <tpl fld="4" item="1"/>
        </tpls>
      </m>
      <m>
        <tpls c="4">
          <tpl fld="7" item="290"/>
          <tpl fld="6" item="1"/>
          <tpl hier="236" item="0"/>
          <tpl fld="4" item="1"/>
        </tpls>
      </m>
      <n v="14" in="1">
        <tpls c="4">
          <tpl fld="7" item="771"/>
          <tpl fld="6" item="1"/>
          <tpl hier="236" item="0"/>
          <tpl fld="4" item="1"/>
        </tpls>
      </n>
      <n v="1" in="2">
        <tpls c="4">
          <tpl fld="7" item="909"/>
          <tpl fld="6" item="2"/>
          <tpl hier="236" item="0"/>
          <tpl fld="4" item="4"/>
        </tpls>
      </n>
      <m>
        <tpls c="4">
          <tpl fld="7" item="116"/>
          <tpl fld="6" item="2"/>
          <tpl hier="236" item="0"/>
          <tpl fld="1" item="0"/>
        </tpls>
      </m>
      <m>
        <tpls c="4">
          <tpl fld="7" item="452"/>
          <tpl fld="6" item="2"/>
          <tpl hier="236" item="0"/>
          <tpl fld="4" item="5"/>
        </tpls>
      </m>
      <m>
        <tpls c="4">
          <tpl fld="7" item="301"/>
          <tpl fld="6" item="2"/>
          <tpl hier="236" item="0"/>
          <tpl fld="4" item="5"/>
        </tpls>
      </m>
      <m>
        <tpls c="4">
          <tpl fld="7" item="9"/>
          <tpl fld="6" item="2"/>
          <tpl hier="236" item="0"/>
          <tpl fld="4" item="5"/>
        </tpls>
      </m>
      <m>
        <tpls c="4">
          <tpl fld="7" item="1262"/>
          <tpl fld="6" item="2"/>
          <tpl hier="236" item="0"/>
          <tpl fld="4" item="6"/>
        </tpls>
      </m>
      <m>
        <tpls c="4">
          <tpl fld="7" item="386"/>
          <tpl fld="6" item="2"/>
          <tpl hier="236" item="0"/>
          <tpl fld="4" item="6"/>
        </tpls>
      </m>
      <m>
        <tpls c="4">
          <tpl fld="7" item="99"/>
          <tpl fld="6" item="2"/>
          <tpl hier="236" item="0"/>
          <tpl fld="4" item="6"/>
        </tpls>
      </m>
      <m>
        <tpls c="4">
          <tpl fld="7" item="32"/>
          <tpl fld="6" item="2"/>
          <tpl hier="236" item="0"/>
          <tpl fld="4" item="6"/>
        </tpls>
      </m>
      <m>
        <tpls c="4">
          <tpl fld="7" item="1123"/>
          <tpl fld="6" item="1"/>
          <tpl hier="236" item="0"/>
          <tpl fld="4" item="5"/>
        </tpls>
      </m>
      <m>
        <tpls c="4">
          <tpl fld="7" item="514"/>
          <tpl fld="6" item="1"/>
          <tpl hier="236" item="0"/>
          <tpl fld="4" item="5"/>
        </tpls>
      </m>
      <m>
        <tpls c="4">
          <tpl fld="7" item="87"/>
          <tpl fld="6" item="1"/>
          <tpl hier="236" item="0"/>
          <tpl fld="4" item="5"/>
        </tpls>
      </m>
      <m>
        <tpls c="4">
          <tpl fld="7" item="139"/>
          <tpl fld="6" item="1"/>
          <tpl hier="236" item="0"/>
          <tpl fld="4" item="5"/>
        </tpls>
      </m>
      <m>
        <tpls c="4">
          <tpl fld="7" item="952"/>
          <tpl fld="6" item="1"/>
          <tpl hier="236" item="0"/>
          <tpl fld="4" item="1"/>
        </tpls>
      </m>
      <n v="1" in="1">
        <tpls c="4">
          <tpl fld="7" item="1131"/>
          <tpl fld="6" item="1"/>
          <tpl hier="236" item="0"/>
          <tpl fld="4" item="1"/>
        </tpls>
      </n>
      <n v="3" in="1">
        <tpls c="4">
          <tpl fld="7" item="1107"/>
          <tpl fld="6" item="1"/>
          <tpl hier="236" item="0"/>
          <tpl fld="4" item="1"/>
        </tpls>
      </n>
      <m>
        <tpls c="4">
          <tpl fld="7" item="1237"/>
          <tpl fld="6" item="1"/>
          <tpl hier="236" item="0"/>
          <tpl fld="4" item="1"/>
        </tpls>
      </m>
      <m>
        <tpls c="4">
          <tpl fld="7" item="93"/>
          <tpl fld="6" item="1"/>
          <tpl hier="236" item="0"/>
          <tpl fld="4" item="1"/>
        </tpls>
      </m>
      <m>
        <tpls c="4">
          <tpl fld="7" item="411"/>
          <tpl fld="6" item="1"/>
          <tpl hier="236" item="0"/>
          <tpl fld="4" item="1"/>
        </tpls>
      </m>
      <m>
        <tpls c="4">
          <tpl fld="7" item="331"/>
          <tpl fld="6" item="1"/>
          <tpl hier="236" item="0"/>
          <tpl fld="4" item="1"/>
        </tpls>
      </m>
      <m>
        <tpls c="4">
          <tpl fld="7" item="576"/>
          <tpl fld="6" item="2"/>
          <tpl hier="236" item="0"/>
          <tpl fld="4" item="1"/>
        </tpls>
      </m>
      <n v="4" in="1">
        <tpls c="4">
          <tpl fld="7" item="810"/>
          <tpl fld="6" item="1"/>
          <tpl hier="236" item="0"/>
          <tpl fld="4" item="4"/>
        </tpls>
      </n>
      <n v="1" in="1">
        <tpls c="4">
          <tpl fld="7" item="660"/>
          <tpl fld="6" item="1"/>
          <tpl hier="236" item="0"/>
          <tpl fld="1" item="0"/>
        </tpls>
      </n>
      <m>
        <tpls c="3">
          <tpl fld="7" item="840"/>
          <tpl fld="6" item="3"/>
          <tpl hier="236" item="0"/>
        </tpls>
      </m>
      <m>
        <tpls c="4">
          <tpl fld="7" item="1248"/>
          <tpl fld="6" item="2"/>
          <tpl hier="236" item="0"/>
          <tpl fld="4" item="4"/>
        </tpls>
      </m>
      <n v="6" in="1">
        <tpls c="4">
          <tpl fld="7" item="1269"/>
          <tpl fld="6" item="1"/>
          <tpl hier="236" item="0"/>
          <tpl fld="4" item="4"/>
        </tpls>
      </n>
      <m>
        <tpls c="4">
          <tpl fld="7" item="483"/>
          <tpl fld="6" item="2"/>
          <tpl hier="236" item="0"/>
          <tpl fld="1" item="0"/>
        </tpls>
      </m>
      <m>
        <tpls c="4">
          <tpl fld="7" item="231"/>
          <tpl fld="6" item="2"/>
          <tpl hier="236" item="0"/>
          <tpl fld="1" item="0"/>
        </tpls>
      </m>
      <m>
        <tpls c="4">
          <tpl fld="7" item="831"/>
          <tpl fld="6" item="2"/>
          <tpl hier="236" item="0"/>
          <tpl fld="4" item="5"/>
        </tpls>
      </m>
      <m>
        <tpls c="4">
          <tpl fld="7" item="675"/>
          <tpl fld="6" item="2"/>
          <tpl hier="236" item="0"/>
          <tpl fld="4" item="5"/>
        </tpls>
      </m>
      <m>
        <tpls c="4">
          <tpl fld="7" item="180"/>
          <tpl fld="6" item="2"/>
          <tpl hier="236" item="0"/>
          <tpl fld="4" item="5"/>
        </tpls>
      </m>
      <m>
        <tpls c="4">
          <tpl fld="7" item="21"/>
          <tpl fld="6" item="2"/>
          <tpl hier="236" item="0"/>
          <tpl fld="4" item="5"/>
        </tpls>
      </m>
      <m>
        <tpls c="4">
          <tpl fld="7" item="16"/>
          <tpl fld="6" item="2"/>
          <tpl hier="236" item="0"/>
          <tpl fld="4" item="5"/>
        </tpls>
      </m>
      <m>
        <tpls c="4">
          <tpl fld="7" item="849"/>
          <tpl fld="6" item="2"/>
          <tpl hier="236" item="0"/>
          <tpl fld="4" item="6"/>
        </tpls>
      </m>
      <n v="1.75" in="2">
        <tpls c="4">
          <tpl fld="7" item="515"/>
          <tpl fld="6" item="2"/>
          <tpl hier="236" item="0"/>
          <tpl fld="4" item="6"/>
        </tpls>
      </n>
      <m>
        <tpls c="4">
          <tpl fld="7" item="314"/>
          <tpl fld="6" item="2"/>
          <tpl hier="236" item="0"/>
          <tpl fld="4" item="6"/>
        </tpls>
      </m>
      <m>
        <tpls c="4">
          <tpl fld="7" item="341"/>
          <tpl fld="6" item="2"/>
          <tpl hier="236" item="0"/>
          <tpl fld="4" item="6"/>
        </tpls>
      </m>
      <m>
        <tpls c="4">
          <tpl fld="7" item="329"/>
          <tpl fld="6" item="2"/>
          <tpl hier="236" item="0"/>
          <tpl fld="4" item="6"/>
        </tpls>
      </m>
      <m>
        <tpls c="4">
          <tpl fld="7" item="1011"/>
          <tpl fld="6" item="1"/>
          <tpl hier="236" item="0"/>
          <tpl fld="4" item="5"/>
        </tpls>
      </m>
      <m>
        <tpls c="4">
          <tpl fld="7" item="878"/>
          <tpl fld="6" item="1"/>
          <tpl hier="236" item="0"/>
          <tpl fld="4" item="5"/>
        </tpls>
      </m>
      <m>
        <tpls c="4">
          <tpl fld="7" item="312"/>
          <tpl fld="6" item="1"/>
          <tpl hier="236" item="0"/>
          <tpl fld="4" item="5"/>
        </tpls>
      </m>
      <m>
        <tpls c="4">
          <tpl fld="7" item="171"/>
          <tpl fld="6" item="1"/>
          <tpl hier="236" item="0"/>
          <tpl fld="4" item="5"/>
        </tpls>
      </m>
      <m>
        <tpls c="4">
          <tpl fld="7" item="232"/>
          <tpl fld="6" item="1"/>
          <tpl hier="236" item="0"/>
          <tpl fld="4" item="5"/>
        </tpls>
      </m>
      <n v="8" in="1">
        <tpls c="4">
          <tpl fld="7" item="1229"/>
          <tpl fld="6" item="1"/>
          <tpl hier="236" item="0"/>
          <tpl fld="4" item="1"/>
        </tpls>
      </n>
      <m>
        <tpls c="4">
          <tpl fld="7" item="866"/>
          <tpl fld="6" item="1"/>
          <tpl hier="236" item="0"/>
          <tpl fld="4" item="1"/>
        </tpls>
      </m>
      <n v="3" in="1">
        <tpls c="4">
          <tpl fld="7" item="834"/>
          <tpl fld="6" item="1"/>
          <tpl hier="236" item="0"/>
          <tpl fld="4" item="1"/>
        </tpls>
      </n>
      <m>
        <tpls c="4">
          <tpl fld="7" item="435"/>
          <tpl fld="6" item="1"/>
          <tpl hier="236" item="0"/>
          <tpl fld="4" item="1"/>
        </tpls>
      </m>
      <m>
        <tpls c="4">
          <tpl fld="7" item="191"/>
          <tpl fld="6" item="1"/>
          <tpl hier="236" item="0"/>
          <tpl fld="4" item="1"/>
        </tpls>
      </m>
      <m>
        <tpls c="4">
          <tpl fld="7" item="167"/>
          <tpl fld="6" item="1"/>
          <tpl hier="236" item="0"/>
          <tpl fld="4" item="1"/>
        </tpls>
      </m>
      <m>
        <tpls c="4">
          <tpl fld="7" item="402"/>
          <tpl fld="6" item="1"/>
          <tpl hier="236" item="0"/>
          <tpl fld="4" item="1"/>
        </tpls>
      </m>
      <m>
        <tpls c="4">
          <tpl fld="7" item="1021"/>
          <tpl fld="6" item="1"/>
          <tpl hier="236" item="0"/>
          <tpl fld="1" item="0"/>
        </tpls>
      </m>
      <n v="6" in="1">
        <tpls c="4">
          <tpl fld="7" item="603"/>
          <tpl fld="6" item="1"/>
          <tpl hier="236" item="0"/>
          <tpl fld="1" item="0"/>
        </tpls>
      </n>
      <n v="0" in="1">
        <tpls c="4">
          <tpl fld="7" item="595"/>
          <tpl fld="6" item="1"/>
          <tpl hier="236" item="0"/>
          <tpl fld="1" item="0"/>
        </tpls>
      </n>
      <m>
        <tpls c="4">
          <tpl fld="7" item="184"/>
          <tpl fld="6" item="1"/>
          <tpl hier="236" item="0"/>
          <tpl fld="1" item="0"/>
        </tpls>
      </m>
      <m>
        <tpls c="4">
          <tpl fld="7" item="32"/>
          <tpl fld="6" item="1"/>
          <tpl hier="236" item="0"/>
          <tpl fld="1" item="0"/>
        </tpls>
      </m>
      <m>
        <tpls c="4">
          <tpl fld="7" item="60"/>
          <tpl fld="6" item="1"/>
          <tpl hier="236" item="0"/>
          <tpl fld="4" item="6"/>
        </tpls>
      </m>
      <n v="0.7" in="2">
        <tpls c="4">
          <tpl fld="7" item="1264"/>
          <tpl fld="6" item="2"/>
          <tpl hier="236" item="0"/>
          <tpl fld="4" item="1"/>
        </tpls>
      </n>
      <m>
        <tpls c="4">
          <tpl fld="7" item="147"/>
          <tpl fld="6" item="2"/>
          <tpl hier="236" item="0"/>
          <tpl fld="1" item="0"/>
        </tpls>
      </m>
      <m>
        <tpls c="4">
          <tpl fld="7" item="152"/>
          <tpl fld="6" item="2"/>
          <tpl hier="236" item="0"/>
          <tpl fld="4" item="5"/>
        </tpls>
      </m>
      <m>
        <tpls c="4">
          <tpl fld="7" item="676"/>
          <tpl fld="6" item="2"/>
          <tpl hier="236" item="0"/>
          <tpl fld="4" item="6"/>
        </tpls>
      </m>
      <n v="2" in="1">
        <tpls c="4">
          <tpl fld="7" item="830"/>
          <tpl fld="6" item="1"/>
          <tpl hier="236" item="0"/>
          <tpl fld="4" item="5"/>
        </tpls>
      </n>
      <m>
        <tpls c="4">
          <tpl fld="7" item="1171"/>
          <tpl fld="6" item="1"/>
          <tpl hier="236" item="0"/>
          <tpl fld="4" item="1"/>
        </tpls>
      </m>
      <m>
        <tpls c="4">
          <tpl fld="7" item="491"/>
          <tpl fld="6" item="1"/>
          <tpl hier="236" item="0"/>
          <tpl fld="4" item="1"/>
        </tpls>
      </m>
      <n v="1" in="1">
        <tpls c="4">
          <tpl fld="7" item="1130"/>
          <tpl fld="6" item="1"/>
          <tpl hier="236" item="0"/>
          <tpl fld="1" item="0"/>
        </tpls>
      </n>
      <n v="2" in="1">
        <tpls c="4">
          <tpl fld="7" item="368"/>
          <tpl fld="6" item="1"/>
          <tpl hier="236" item="0"/>
          <tpl fld="1" item="0"/>
        </tpls>
      </n>
      <m>
        <tpls c="4">
          <tpl fld="7" item="81"/>
          <tpl fld="6" item="1"/>
          <tpl hier="236" item="0"/>
          <tpl fld="1" item="0"/>
        </tpls>
      </m>
      <m>
        <tpls c="4">
          <tpl fld="7" item="239"/>
          <tpl fld="6" item="1"/>
          <tpl hier="236" item="0"/>
          <tpl fld="1" item="0"/>
        </tpls>
      </m>
      <m>
        <tpls c="4">
          <tpl fld="7" item="401"/>
          <tpl fld="6" item="1"/>
          <tpl hier="236" item="0"/>
          <tpl fld="4" item="6"/>
        </tpls>
      </m>
      <m>
        <tpls c="3">
          <tpl fld="7" item="58"/>
          <tpl fld="6" item="3"/>
          <tpl hier="236" item="0"/>
        </tpls>
      </m>
      <m>
        <tpls c="4">
          <tpl fld="7" item="1077"/>
          <tpl fld="6" item="2"/>
          <tpl hier="236" item="0"/>
          <tpl fld="4" item="4"/>
        </tpls>
      </m>
      <m>
        <tpls c="4">
          <tpl fld="7" item="1045"/>
          <tpl fld="6" item="2"/>
          <tpl hier="236" item="0"/>
          <tpl fld="4" item="4"/>
        </tpls>
      </m>
      <m>
        <tpls c="4">
          <tpl fld="7" item="127"/>
          <tpl fld="6" item="2"/>
          <tpl hier="236" item="0"/>
          <tpl fld="4" item="4"/>
        </tpls>
      </m>
      <m>
        <tpls c="4">
          <tpl fld="7" item="226"/>
          <tpl fld="6" item="2"/>
          <tpl hier="236" item="0"/>
          <tpl fld="4" item="4"/>
        </tpls>
      </m>
      <m>
        <tpls c="4">
          <tpl fld="7" item="1148"/>
          <tpl fld="6" item="1"/>
          <tpl hier="236" item="0"/>
          <tpl fld="4" item="1"/>
        </tpls>
      </m>
      <m>
        <tpls c="4">
          <tpl fld="7" item="507"/>
          <tpl fld="6" item="1"/>
          <tpl hier="236" item="0"/>
          <tpl fld="1" item="0"/>
        </tpls>
      </m>
      <m>
        <tpls c="4">
          <tpl fld="7" item="15"/>
          <tpl fld="6" item="1"/>
          <tpl hier="236" item="0"/>
          <tpl fld="4" item="6"/>
        </tpls>
      </m>
      <m>
        <tpls c="4">
          <tpl fld="7" item="1147"/>
          <tpl fld="6" item="2"/>
          <tpl hier="236" item="0"/>
          <tpl fld="4" item="4"/>
        </tpls>
      </m>
      <n v="0.6" in="2">
        <tpls c="4">
          <tpl fld="7" item="806"/>
          <tpl fld="6" item="2"/>
          <tpl hier="236" item="0"/>
          <tpl fld="4" item="4"/>
        </tpls>
      </n>
      <n v="1" in="1">
        <tpls c="4">
          <tpl fld="7" item="1057"/>
          <tpl fld="6" item="1"/>
          <tpl hier="236" item="0"/>
          <tpl fld="4" item="4"/>
        </tpls>
      </n>
      <m>
        <tpls c="4">
          <tpl fld="7" item="598"/>
          <tpl fld="6" item="2"/>
          <tpl hier="236" item="0"/>
          <tpl fld="4" item="5"/>
        </tpls>
      </m>
      <m>
        <tpls c="4">
          <tpl fld="7" item="1124"/>
          <tpl fld="6" item="2"/>
          <tpl hier="236" item="0"/>
          <tpl fld="4" item="6"/>
        </tpls>
      </m>
      <m>
        <tpls c="4">
          <tpl fld="7" item="248"/>
          <tpl fld="6" item="2"/>
          <tpl hier="236" item="0"/>
          <tpl fld="4" item="6"/>
        </tpls>
      </m>
      <m>
        <tpls c="4">
          <tpl fld="7" item="182"/>
          <tpl fld="6" item="1"/>
          <tpl hier="236" item="0"/>
          <tpl fld="4" item="5"/>
        </tpls>
      </m>
      <n v="0" in="1">
        <tpls c="4">
          <tpl fld="7" item="1010"/>
          <tpl fld="6" item="1"/>
          <tpl hier="236" item="0"/>
          <tpl fld="4" item="1"/>
        </tpls>
      </n>
      <m>
        <tpls c="4">
          <tpl fld="7" item="141"/>
          <tpl fld="6" item="1"/>
          <tpl hier="236" item="0"/>
          <tpl fld="4" item="1"/>
        </tpls>
      </m>
      <n v="1" in="1">
        <tpls c="4">
          <tpl fld="7" item="1104"/>
          <tpl fld="6" item="1"/>
          <tpl hier="236" item="0"/>
          <tpl fld="1" item="0"/>
        </tpls>
      </n>
      <m>
        <tpls c="4">
          <tpl fld="7" item="101"/>
          <tpl fld="6" item="1"/>
          <tpl hier="236" item="0"/>
          <tpl fld="1" item="0"/>
        </tpls>
      </m>
      <m>
        <tpls c="4">
          <tpl fld="7" item="59"/>
          <tpl fld="6" item="1"/>
          <tpl hier="236" item="0"/>
          <tpl fld="1" item="0"/>
        </tpls>
      </m>
      <n v="0" in="1">
        <tpls c="4">
          <tpl fld="7" item="171"/>
          <tpl fld="6" item="1"/>
          <tpl hier="236" item="0"/>
          <tpl fld="4" item="6"/>
        </tpls>
      </n>
      <m>
        <tpls c="3">
          <tpl fld="7" item="828"/>
          <tpl fld="6" item="3"/>
          <tpl hier="236" item="0"/>
        </tpls>
      </m>
      <m>
        <tpls c="3">
          <tpl fld="7" item="10"/>
          <tpl fld="6" item="3"/>
          <tpl hier="236" item="0"/>
        </tpls>
      </m>
      <m>
        <tpls c="4">
          <tpl fld="7" item="956"/>
          <tpl fld="6" item="2"/>
          <tpl hier="236" item="0"/>
          <tpl fld="4" item="4"/>
        </tpls>
      </m>
      <n v="2" in="2">
        <tpls c="4">
          <tpl fld="7" item="665"/>
          <tpl fld="6" item="2"/>
          <tpl hier="236" item="0"/>
          <tpl fld="4" item="4"/>
        </tpls>
      </n>
      <m>
        <tpls c="4">
          <tpl fld="7" item="220"/>
          <tpl fld="6" item="2"/>
          <tpl hier="236" item="0"/>
          <tpl fld="4" item="4"/>
        </tpls>
      </m>
      <m>
        <tpls c="4">
          <tpl fld="7" item="1176"/>
          <tpl fld="6" item="1"/>
          <tpl hier="236" item="0"/>
          <tpl fld="4" item="1"/>
        </tpls>
      </m>
      <n v="4" in="1">
        <tpls c="4">
          <tpl fld="7" item="439"/>
          <tpl fld="6" item="1"/>
          <tpl hier="236" item="0"/>
          <tpl fld="1" item="0"/>
        </tpls>
      </n>
      <m>
        <tpls c="4">
          <tpl fld="7" item="123"/>
          <tpl fld="6" item="1"/>
          <tpl hier="236" item="0"/>
          <tpl fld="4" item="6"/>
        </tpls>
      </m>
      <m>
        <tpls c="4">
          <tpl fld="7" item="1148"/>
          <tpl fld="6" item="2"/>
          <tpl hier="236" item="0"/>
          <tpl fld="4" item="4"/>
        </tpls>
      </m>
      <m>
        <tpls c="4">
          <tpl fld="7" item="993"/>
          <tpl fld="6" item="2"/>
          <tpl hier="236" item="0"/>
          <tpl fld="4" item="5"/>
        </tpls>
      </m>
      <n v="15" in="1">
        <tpls c="4">
          <tpl fld="7" item="1059"/>
          <tpl fld="6" item="1"/>
          <tpl hier="236" item="0"/>
          <tpl fld="4" item="4"/>
        </tpls>
      </n>
      <m>
        <tpls c="4">
          <tpl fld="7" item="434"/>
          <tpl fld="6" item="2"/>
          <tpl hier="236" item="0"/>
          <tpl fld="4" item="5"/>
        </tpls>
      </m>
      <m>
        <tpls c="4">
          <tpl fld="7" item="1286"/>
          <tpl fld="6" item="2"/>
          <tpl hier="236" item="0"/>
          <tpl fld="4" item="6"/>
        </tpls>
      </m>
      <m>
        <tpls c="4">
          <tpl fld="7" item="594"/>
          <tpl fld="6" item="2"/>
          <tpl hier="236" item="0"/>
          <tpl fld="4" item="6"/>
        </tpls>
      </m>
      <m>
        <tpls c="4">
          <tpl fld="7" item="856"/>
          <tpl fld="6" item="1"/>
          <tpl hier="236" item="0"/>
          <tpl fld="4" item="5"/>
        </tpls>
      </m>
      <m>
        <tpls c="4">
          <tpl fld="7" item="189"/>
          <tpl fld="6" item="1"/>
          <tpl hier="236" item="0"/>
          <tpl fld="4" item="5"/>
        </tpls>
      </m>
      <m>
        <tpls c="4">
          <tpl fld="7" item="1153"/>
          <tpl fld="6" item="1"/>
          <tpl hier="236" item="0"/>
          <tpl fld="4" item="1"/>
        </tpls>
      </m>
      <n v="26" in="1">
        <tpls c="4">
          <tpl fld="7" item="374"/>
          <tpl fld="6" item="1"/>
          <tpl hier="236" item="0"/>
          <tpl fld="4" item="1"/>
        </tpls>
      </n>
      <m>
        <tpls c="4">
          <tpl fld="7" item="148"/>
          <tpl fld="6" item="1"/>
          <tpl hier="236" item="0"/>
          <tpl fld="4" item="1"/>
        </tpls>
      </m>
      <n v="5" in="1">
        <tpls c="4">
          <tpl fld="7" item="1221"/>
          <tpl fld="6" item="1"/>
          <tpl hier="236" item="0"/>
          <tpl fld="1" item="0"/>
        </tpls>
      </n>
      <n v="61" in="1">
        <tpls c="4">
          <tpl fld="7" item="518"/>
          <tpl fld="6" item="1"/>
          <tpl hier="236" item="0"/>
          <tpl fld="1" item="0"/>
        </tpls>
      </n>
      <m>
        <tpls c="4">
          <tpl fld="7" item="211"/>
          <tpl fld="6" item="1"/>
          <tpl hier="236" item="0"/>
          <tpl fld="1" item="0"/>
        </tpls>
      </m>
      <m>
        <tpls c="4">
          <tpl fld="7" item="75"/>
          <tpl fld="6" item="1"/>
          <tpl hier="236" item="0"/>
          <tpl fld="1" item="0"/>
        </tpls>
      </m>
      <m>
        <tpls c="4">
          <tpl fld="7" item="243"/>
          <tpl fld="6" item="1"/>
          <tpl hier="236" item="0"/>
          <tpl fld="1" item="0"/>
        </tpls>
      </m>
      <n v="0" in="1">
        <tpls c="4">
          <tpl fld="7" item="885"/>
          <tpl fld="6" item="1"/>
          <tpl hier="236" item="0"/>
          <tpl fld="4" item="6"/>
        </tpls>
      </n>
      <m>
        <tpls c="4">
          <tpl fld="7" item="979"/>
          <tpl fld="6" item="1"/>
          <tpl hier="236" item="0"/>
          <tpl fld="4" item="6"/>
        </tpls>
      </m>
      <m>
        <tpls c="3">
          <tpl fld="7" item="791"/>
          <tpl fld="6" item="3"/>
          <tpl hier="236" item="0"/>
        </tpls>
      </m>
      <m>
        <tpls c="3">
          <tpl fld="7" item="121"/>
          <tpl fld="6" item="3"/>
          <tpl hier="236" item="0"/>
        </tpls>
      </m>
      <m>
        <tpls c="4">
          <tpl fld="7" item="1234"/>
          <tpl fld="6" item="2"/>
          <tpl hier="236" item="0"/>
          <tpl fld="4" item="4"/>
        </tpls>
      </m>
      <m>
        <tpls c="4">
          <tpl fld="7" item="1203"/>
          <tpl fld="6" item="2"/>
          <tpl hier="236" item="0"/>
          <tpl fld="4" item="4"/>
        </tpls>
      </m>
      <m>
        <tpls c="4">
          <tpl fld="7" item="872"/>
          <tpl fld="6" item="2"/>
          <tpl hier="236" item="0"/>
          <tpl fld="4" item="4"/>
        </tpls>
      </m>
      <m>
        <tpls c="4">
          <tpl fld="7" item="330"/>
          <tpl fld="6" item="2"/>
          <tpl hier="236" item="0"/>
          <tpl fld="4" item="4"/>
        </tpls>
      </m>
      <m>
        <tpls c="4">
          <tpl fld="7" item="109"/>
          <tpl fld="6" item="2"/>
          <tpl hier="236" item="0"/>
          <tpl fld="4" item="4"/>
        </tpls>
      </m>
      <m>
        <tpls c="4">
          <tpl fld="7" item="996"/>
          <tpl fld="6" item="2"/>
          <tpl hier="236" item="0"/>
          <tpl fld="4" item="5"/>
        </tpls>
      </m>
      <n v="1" in="1">
        <tpls c="4">
          <tpl fld="7" item="1037"/>
          <tpl fld="6" item="1"/>
          <tpl hier="236" item="0"/>
          <tpl fld="4" item="4"/>
        </tpls>
      </n>
      <m>
        <tpls c="4">
          <tpl fld="7" item="921"/>
          <tpl fld="6" item="2"/>
          <tpl hier="236" item="0"/>
          <tpl fld="4" item="5"/>
        </tpls>
      </m>
      <m>
        <tpls c="4">
          <tpl fld="7" item="73"/>
          <tpl fld="6" item="2"/>
          <tpl hier="236" item="0"/>
          <tpl fld="4" item="5"/>
        </tpls>
      </m>
      <m>
        <tpls c="4">
          <tpl fld="7" item="748"/>
          <tpl fld="6" item="2"/>
          <tpl hier="236" item="0"/>
          <tpl fld="4" item="6"/>
        </tpls>
      </m>
      <m>
        <tpls c="4">
          <tpl fld="7" item="471"/>
          <tpl fld="6" item="1"/>
          <tpl hier="236" item="0"/>
          <tpl fld="4" item="5"/>
        </tpls>
      </m>
      <n v="9" in="1">
        <tpls c="4">
          <tpl fld="7" item="1029"/>
          <tpl fld="6" item="1"/>
          <tpl hier="236" item="0"/>
          <tpl fld="1" item="0"/>
        </tpls>
      </n>
      <m>
        <tpls c="4">
          <tpl fld="7" item="345"/>
          <tpl fld="6" item="1"/>
          <tpl hier="236" item="0"/>
          <tpl fld="1" item="0"/>
        </tpls>
      </m>
      <m>
        <tpls c="4">
          <tpl fld="7" item="23"/>
          <tpl fld="6" item="1"/>
          <tpl hier="236" item="0"/>
          <tpl fld="4" item="6"/>
        </tpls>
      </m>
      <n v="0.3" in="2">
        <tpls c="4">
          <tpl fld="7" item="1180"/>
          <tpl fld="6" item="2"/>
          <tpl hier="236" item="0"/>
          <tpl fld="4" item="4"/>
        </tpls>
      </n>
      <m>
        <tpls c="4">
          <tpl fld="7" item="126"/>
          <tpl fld="6" item="2"/>
          <tpl hier="236" item="0"/>
          <tpl fld="4" item="4"/>
        </tpls>
      </m>
      <m>
        <tpls c="4">
          <tpl fld="7" item="989"/>
          <tpl fld="6" item="1"/>
          <tpl hier="236" item="0"/>
          <tpl fld="4" item="5"/>
        </tpls>
      </m>
      <m>
        <tpls c="4">
          <tpl fld="7" item="655"/>
          <tpl fld="6" item="1"/>
          <tpl hier="236" item="0"/>
          <tpl fld="4" item="6"/>
        </tpls>
      </m>
      <n v="2" in="2">
        <tpls c="4">
          <tpl fld="7" item="441"/>
          <tpl fld="6" item="2"/>
          <tpl hier="236" item="0"/>
          <tpl fld="1" item="0"/>
        </tpls>
      </n>
      <m>
        <tpls c="3">
          <tpl fld="7" item="640"/>
          <tpl fld="6" item="3"/>
          <tpl hier="236" item="0"/>
        </tpls>
      </m>
      <m>
        <tpls c="4">
          <tpl fld="7" item="1189"/>
          <tpl fld="6" item="2"/>
          <tpl hier="236" item="0"/>
          <tpl fld="4" item="6"/>
        </tpls>
      </m>
      <m>
        <tpls c="4">
          <tpl fld="7" item="747"/>
          <tpl fld="6" item="2"/>
          <tpl hier="236" item="0"/>
          <tpl fld="1" item="0"/>
        </tpls>
      </m>
      <m>
        <tpls c="4">
          <tpl fld="7" item="854"/>
          <tpl fld="6" item="2"/>
          <tpl hier="236" item="0"/>
          <tpl fld="4" item="4"/>
        </tpls>
      </m>
      <n v="5" in="1">
        <tpls c="4">
          <tpl fld="7" item="946"/>
          <tpl fld="6" item="1"/>
          <tpl hier="236" item="0"/>
          <tpl fld="4" item="4"/>
        </tpls>
      </n>
      <m>
        <tpls c="4">
          <tpl fld="7" item="372"/>
          <tpl fld="6" item="2"/>
          <tpl hier="236" item="0"/>
          <tpl fld="1" item="0"/>
        </tpls>
      </m>
      <n v="1" in="1">
        <tpls c="4">
          <tpl fld="7" item="560"/>
          <tpl fld="6" item="1"/>
          <tpl hier="236" item="0"/>
          <tpl fld="4" item="1"/>
        </tpls>
      </n>
      <n v="3" in="1">
        <tpls c="4">
          <tpl fld="7" item="993"/>
          <tpl fld="6" item="1"/>
          <tpl hier="236" item="0"/>
          <tpl fld="4" item="1"/>
        </tpls>
      </n>
      <m>
        <tpls c="4">
          <tpl fld="7" item="818"/>
          <tpl fld="6" item="1"/>
          <tpl hier="236" item="0"/>
          <tpl fld="4" item="6"/>
        </tpls>
      </m>
      <n v="8" in="1">
        <tpls c="4">
          <tpl fld="7" item="1216"/>
          <tpl fld="6" item="1"/>
          <tpl hier="236" item="0"/>
          <tpl fld="4" item="4"/>
        </tpls>
      </n>
      <m>
        <tpls c="3">
          <tpl fld="7" item="916"/>
          <tpl fld="6" item="3"/>
          <tpl hier="236" item="0"/>
        </tpls>
      </m>
      <m>
        <tpls c="4">
          <tpl fld="7" item="955"/>
          <tpl fld="6" item="2"/>
          <tpl hier="236" item="0"/>
          <tpl fld="4" item="1"/>
        </tpls>
      </m>
      <m>
        <tpls c="4">
          <tpl fld="7" item="495"/>
          <tpl fld="6" item="2"/>
          <tpl hier="236" item="0"/>
          <tpl fld="1" item="0"/>
        </tpls>
      </m>
      <m>
        <tpls c="4">
          <tpl fld="7" item="1265"/>
          <tpl fld="6" item="2"/>
          <tpl hier="236" item="0"/>
          <tpl fld="4" item="5"/>
        </tpls>
      </m>
      <m>
        <tpls c="4">
          <tpl fld="7" item="1189"/>
          <tpl fld="6" item="1"/>
          <tpl hier="236" item="0"/>
          <tpl fld="4" item="5"/>
        </tpls>
      </m>
      <n v="1" in="2">
        <tpls c="4">
          <tpl fld="7" item="600"/>
          <tpl fld="6" item="2"/>
          <tpl hier="236" item="0"/>
          <tpl fld="1" item="0"/>
        </tpls>
      </n>
      <m>
        <tpls c="4">
          <tpl fld="7" item="310"/>
          <tpl fld="6" item="2"/>
          <tpl hier="236" item="0"/>
          <tpl fld="4" item="5"/>
        </tpls>
      </m>
      <m>
        <tpls c="4">
          <tpl fld="7" item="1000"/>
          <tpl fld="6" item="2"/>
          <tpl hier="236" item="0"/>
          <tpl fld="4" item="6"/>
        </tpls>
      </m>
      <m>
        <tpls c="4">
          <tpl fld="7" item="1022"/>
          <tpl fld="6" item="1"/>
          <tpl hier="236" item="0"/>
          <tpl fld="4" item="5"/>
        </tpls>
      </m>
      <m>
        <tpls c="4">
          <tpl fld="7" item="148"/>
          <tpl fld="6" item="1"/>
          <tpl hier="236" item="0"/>
          <tpl fld="4" item="5"/>
        </tpls>
      </m>
      <m>
        <tpls c="4">
          <tpl fld="7" item="7"/>
          <tpl fld="6" item="1"/>
          <tpl hier="236" item="0"/>
          <tpl fld="4" item="1"/>
        </tpls>
      </m>
      <m>
        <tpls c="4">
          <tpl fld="7" item="735"/>
          <tpl fld="6" item="1"/>
          <tpl hier="236" item="0"/>
          <tpl fld="4" item="6"/>
        </tpls>
      </m>
      <m>
        <tpls c="4">
          <tpl fld="7" item="905"/>
          <tpl fld="6" item="2"/>
          <tpl hier="236" item="0"/>
          <tpl fld="4" item="5"/>
        </tpls>
      </m>
      <m>
        <tpls c="4">
          <tpl fld="7" item="46"/>
          <tpl fld="6" item="2"/>
          <tpl hier="236" item="0"/>
          <tpl fld="4" item="5"/>
        </tpls>
      </m>
      <m>
        <tpls c="4">
          <tpl fld="7" item="1219"/>
          <tpl fld="6" item="2"/>
          <tpl hier="236" item="0"/>
          <tpl fld="4" item="6"/>
        </tpls>
      </m>
      <m>
        <tpls c="4">
          <tpl fld="7" item="233"/>
          <tpl fld="6" item="2"/>
          <tpl hier="236" item="0"/>
          <tpl fld="4" item="6"/>
        </tpls>
      </m>
      <m>
        <tpls c="4">
          <tpl fld="7" item="63"/>
          <tpl fld="6" item="1"/>
          <tpl hier="236" item="0"/>
          <tpl fld="4" item="5"/>
        </tpls>
      </m>
      <n v="2" in="1">
        <tpls c="4">
          <tpl fld="7" item="911"/>
          <tpl fld="6" item="1"/>
          <tpl hier="236" item="0"/>
          <tpl fld="4" item="1"/>
        </tpls>
      </n>
      <m>
        <tpls c="4">
          <tpl fld="7" item="322"/>
          <tpl fld="6" item="1"/>
          <tpl hier="236" item="0"/>
          <tpl fld="4" item="1"/>
        </tpls>
      </m>
      <m>
        <tpls c="4">
          <tpl fld="7" item="554"/>
          <tpl fld="6" item="2"/>
          <tpl hier="236" item="0"/>
          <tpl fld="4" item="4"/>
        </tpls>
      </m>
      <n v="2" in="1">
        <tpls c="4">
          <tpl fld="7" item="829"/>
          <tpl fld="6" item="1"/>
          <tpl hier="236" item="0"/>
          <tpl fld="4" item="1"/>
        </tpls>
      </n>
      <m>
        <tpls c="4">
          <tpl fld="7" item="761"/>
          <tpl fld="6" item="2"/>
          <tpl hier="236" item="0"/>
          <tpl fld="1" item="0"/>
        </tpls>
      </m>
      <m>
        <tpls c="4">
          <tpl fld="7" item="369"/>
          <tpl fld="6" item="2"/>
          <tpl hier="236" item="0"/>
          <tpl fld="4" item="5"/>
        </tpls>
      </m>
      <m>
        <tpls c="4">
          <tpl fld="7" item="62"/>
          <tpl fld="6" item="2"/>
          <tpl hier="236" item="0"/>
          <tpl fld="4" item="5"/>
        </tpls>
      </m>
      <m>
        <tpls c="4">
          <tpl fld="7" item="831"/>
          <tpl fld="6" item="2"/>
          <tpl hier="236" item="0"/>
          <tpl fld="4" item="6"/>
        </tpls>
      </m>
      <m>
        <tpls c="4">
          <tpl fld="7" item="332"/>
          <tpl fld="6" item="2"/>
          <tpl hier="236" item="0"/>
          <tpl fld="4" item="6"/>
        </tpls>
      </m>
      <m>
        <tpls c="4">
          <tpl fld="7" item="675"/>
          <tpl fld="6" item="1"/>
          <tpl hier="236" item="0"/>
          <tpl fld="4" item="5"/>
        </tpls>
      </m>
      <m>
        <tpls c="4">
          <tpl fld="7" item="146"/>
          <tpl fld="6" item="1"/>
          <tpl hier="236" item="0"/>
          <tpl fld="4" item="5"/>
        </tpls>
      </m>
      <n v="5" in="1">
        <tpls c="4">
          <tpl fld="7" item="1275"/>
          <tpl fld="6" item="1"/>
          <tpl hier="236" item="0"/>
          <tpl fld="4" item="1"/>
        </tpls>
      </n>
      <n v="13" in="1">
        <tpls c="4">
          <tpl fld="7" item="848"/>
          <tpl fld="6" item="1"/>
          <tpl hier="236" item="0"/>
          <tpl fld="4" item="1"/>
        </tpls>
      </n>
      <m>
        <tpls c="4">
          <tpl fld="7" item="173"/>
          <tpl fld="6" item="1"/>
          <tpl hier="236" item="0"/>
          <tpl fld="4" item="1"/>
        </tpls>
      </m>
      <n v="4" in="1">
        <tpls c="4">
          <tpl fld="7" item="1192"/>
          <tpl fld="6" item="1"/>
          <tpl hier="236" item="0"/>
          <tpl fld="1" item="0"/>
        </tpls>
      </n>
      <m>
        <tpls c="4">
          <tpl fld="7" item="167"/>
          <tpl fld="6" item="1"/>
          <tpl hier="236" item="0"/>
          <tpl fld="1" item="0"/>
        </tpls>
      </m>
      <m>
        <tpls c="4">
          <tpl fld="7" item="807"/>
          <tpl fld="6" item="1"/>
          <tpl hier="236" item="0"/>
          <tpl fld="4" item="1"/>
        </tpls>
      </m>
      <m>
        <tpls c="4">
          <tpl fld="7" item="1019"/>
          <tpl fld="6" item="2"/>
          <tpl hier="236" item="0"/>
          <tpl fld="4" item="6"/>
        </tpls>
      </m>
      <m>
        <tpls c="4">
          <tpl fld="7" item="904"/>
          <tpl fld="6" item="1"/>
          <tpl hier="236" item="0"/>
          <tpl fld="4" item="1"/>
        </tpls>
      </m>
      <m>
        <tpls c="4">
          <tpl fld="7" item="100"/>
          <tpl fld="6" item="1"/>
          <tpl hier="236" item="0"/>
          <tpl fld="1" item="0"/>
        </tpls>
      </m>
      <m>
        <tpls c="3">
          <tpl fld="7" item="1264"/>
          <tpl fld="6" item="3"/>
          <tpl hier="236" item="0"/>
        </tpls>
      </m>
      <m>
        <tpls c="4">
          <tpl fld="7" item="1059"/>
          <tpl fld="6" item="2"/>
          <tpl hier="236" item="0"/>
          <tpl fld="4" item="4"/>
        </tpls>
      </m>
      <m>
        <tpls c="4">
          <tpl fld="7" item="847"/>
          <tpl fld="6" item="1"/>
          <tpl hier="236" item="0"/>
          <tpl fld="4" item="5"/>
        </tpls>
      </m>
      <m>
        <tpls c="3">
          <tpl fld="7" item="115"/>
          <tpl fld="6" item="3"/>
          <tpl hier="236" item="0"/>
        </tpls>
      </m>
      <m>
        <tpls c="4">
          <tpl fld="7" item="18"/>
          <tpl fld="6" item="2"/>
          <tpl hier="236" item="0"/>
          <tpl fld="1" item="0"/>
        </tpls>
      </m>
      <m>
        <tpls c="4">
          <tpl fld="7" item="445"/>
          <tpl fld="6" item="1"/>
          <tpl hier="236" item="0"/>
          <tpl fld="4" item="5"/>
        </tpls>
      </m>
      <m>
        <tpls c="4">
          <tpl fld="7" item="1125"/>
          <tpl fld="6" item="1"/>
          <tpl hier="236" item="0"/>
          <tpl fld="1" item="0"/>
        </tpls>
      </m>
      <m>
        <tpls c="4">
          <tpl fld="7" item="293"/>
          <tpl fld="6" item="1"/>
          <tpl hier="236" item="0"/>
          <tpl fld="1" item="0"/>
        </tpls>
      </m>
      <m>
        <tpls c="3">
          <tpl fld="7" item="472"/>
          <tpl fld="6" item="3"/>
          <tpl hier="236" item="0"/>
        </tpls>
      </m>
      <m>
        <tpls c="4">
          <tpl fld="7" item="938"/>
          <tpl fld="6" item="2"/>
          <tpl hier="236" item="0"/>
          <tpl fld="4" item="4"/>
        </tpls>
      </m>
      <m>
        <tpls c="4">
          <tpl fld="7" item="116"/>
          <tpl fld="6" item="1"/>
          <tpl hier="236" item="0"/>
          <tpl fld="4" item="1"/>
        </tpls>
      </m>
      <m>
        <tpls c="4">
          <tpl fld="7" item="223"/>
          <tpl fld="6" item="2"/>
          <tpl hier="236" item="0"/>
          <tpl fld="4" item="4"/>
        </tpls>
      </m>
      <m>
        <tpls c="4">
          <tpl fld="7" item="24"/>
          <tpl fld="6" item="2"/>
          <tpl hier="236" item="0"/>
          <tpl fld="4" item="5"/>
        </tpls>
      </m>
      <m>
        <tpls c="4">
          <tpl fld="7" item="473"/>
          <tpl fld="6" item="2"/>
          <tpl hier="236" item="0"/>
          <tpl fld="4" item="6"/>
        </tpls>
      </m>
      <n v="5" in="1">
        <tpls c="4">
          <tpl fld="7" item="1115"/>
          <tpl fld="6" item="1"/>
          <tpl hier="236" item="0"/>
          <tpl fld="4" item="1"/>
        </tpls>
      </n>
      <m>
        <tpls c="4">
          <tpl fld="7" item="1271"/>
          <tpl fld="6" item="1"/>
          <tpl hier="236" item="0"/>
          <tpl fld="1" item="0"/>
        </tpls>
      </m>
      <m>
        <tpls c="4">
          <tpl fld="7" item="195"/>
          <tpl fld="6" item="1"/>
          <tpl hier="236" item="0"/>
          <tpl fld="1" item="0"/>
        </tpls>
      </m>
      <m>
        <tpls c="4">
          <tpl fld="7" item="231"/>
          <tpl fld="6" item="1"/>
          <tpl hier="236" item="0"/>
          <tpl fld="4" item="6"/>
        </tpls>
      </m>
      <m>
        <tpls c="3">
          <tpl fld="7" item="19"/>
          <tpl fld="6" item="3"/>
          <tpl hier="236" item="0"/>
        </tpls>
      </m>
      <m>
        <tpls c="4">
          <tpl fld="7" item="1200"/>
          <tpl fld="6" item="2"/>
          <tpl hier="236" item="0"/>
          <tpl fld="4" item="4"/>
        </tpls>
      </m>
      <m>
        <tpls c="4">
          <tpl fld="7" item="586"/>
          <tpl fld="6" item="2"/>
          <tpl hier="236" item="0"/>
          <tpl fld="4" item="6"/>
        </tpls>
      </m>
      <m>
        <tpls c="4">
          <tpl fld="7" item="433"/>
          <tpl fld="6" item="2"/>
          <tpl hier="236" item="0"/>
          <tpl fld="4" item="5"/>
        </tpls>
      </m>
      <m>
        <tpls c="4">
          <tpl fld="7" item="492"/>
          <tpl fld="6" item="1"/>
          <tpl hier="236" item="0"/>
          <tpl fld="4" item="1"/>
        </tpls>
      </m>
      <m>
        <tpls c="3">
          <tpl fld="7" item="331"/>
          <tpl fld="6" item="3"/>
          <tpl hier="236" item="0"/>
        </tpls>
      </m>
      <m>
        <tpls c="4">
          <tpl fld="7" item="672"/>
          <tpl fld="6" item="1"/>
          <tpl hier="236" item="0"/>
          <tpl fld="4" item="5"/>
        </tpls>
      </m>
      <n v="9" in="1">
        <tpls c="4">
          <tpl fld="7" item="455"/>
          <tpl fld="6" item="1"/>
          <tpl hier="236" item="0"/>
          <tpl fld="4" item="1"/>
        </tpls>
      </n>
      <m>
        <tpls c="4">
          <tpl fld="7" item="239"/>
          <tpl fld="6" item="1"/>
          <tpl hier="236" item="0"/>
          <tpl fld="4" item="1"/>
        </tpls>
      </m>
      <n v="7" in="1">
        <tpls c="4">
          <tpl fld="7" item="600"/>
          <tpl fld="6" item="1"/>
          <tpl hier="236" item="0"/>
          <tpl fld="1" item="0"/>
        </tpls>
      </n>
      <m>
        <tpls c="4">
          <tpl fld="7" item="470"/>
          <tpl fld="6" item="1"/>
          <tpl hier="236" item="0"/>
          <tpl fld="1" item="0"/>
        </tpls>
      </m>
      <m>
        <tpls c="4">
          <tpl fld="7" item="922"/>
          <tpl fld="6" item="1"/>
          <tpl hier="236" item="0"/>
          <tpl fld="4" item="6"/>
        </tpls>
      </m>
      <m>
        <tpls c="4">
          <tpl fld="7" item="173"/>
          <tpl fld="6" item="2"/>
          <tpl hier="236" item="0"/>
          <tpl fld="4" item="6"/>
        </tpls>
      </m>
      <m>
        <tpls c="4">
          <tpl fld="7" item="59"/>
          <tpl fld="6" item="1"/>
          <tpl hier="236" item="0"/>
          <tpl fld="4" item="1"/>
        </tpls>
      </m>
      <m>
        <tpls c="4">
          <tpl fld="7" item="65"/>
          <tpl fld="6" item="1"/>
          <tpl hier="236" item="0"/>
          <tpl fld="1" item="0"/>
        </tpls>
      </m>
      <m>
        <tpls c="3">
          <tpl fld="7" item="746"/>
          <tpl fld="6" item="3"/>
          <tpl hier="236" item="0"/>
        </tpls>
      </m>
      <m>
        <tpls c="3">
          <tpl fld="7" item="532"/>
          <tpl fld="6" item="3"/>
          <tpl hier="236" item="0"/>
        </tpls>
      </m>
      <n v="1.7" in="2">
        <tpls c="4">
          <tpl fld="7" item="1186"/>
          <tpl fld="6" item="2"/>
          <tpl hier="236" item="0"/>
          <tpl fld="4" item="1"/>
        </tpls>
      </n>
      <n v="5" in="1">
        <tpls c="4">
          <tpl fld="7" item="785"/>
          <tpl fld="6" item="1"/>
          <tpl hier="236" item="0"/>
          <tpl fld="1" item="0"/>
        </tpls>
      </n>
      <m>
        <tpls c="4">
          <tpl fld="7" item="208"/>
          <tpl fld="6" item="1"/>
          <tpl hier="236" item="0"/>
          <tpl fld="4" item="6"/>
        </tpls>
      </m>
      <m>
        <tpls c="4">
          <tpl fld="7" item="604"/>
          <tpl fld="6" item="1"/>
          <tpl hier="236" item="0"/>
          <tpl fld="4" item="6"/>
        </tpls>
      </m>
      <m>
        <tpls c="4">
          <tpl fld="7" item="713"/>
          <tpl fld="6" item="2"/>
          <tpl hier="236" item="0"/>
          <tpl fld="4" item="6"/>
        </tpls>
      </m>
      <m>
        <tpls c="4">
          <tpl fld="7" item="737"/>
          <tpl fld="6" item="2"/>
          <tpl hier="236" item="0"/>
          <tpl fld="4" item="4"/>
        </tpls>
      </m>
      <m>
        <tpls c="4">
          <tpl fld="7" item="1093"/>
          <tpl fld="6" item="2"/>
          <tpl hier="236" item="0"/>
          <tpl fld="4" item="1"/>
        </tpls>
      </m>
      <m>
        <tpls c="4">
          <tpl fld="7" item="549"/>
          <tpl fld="6" item="2"/>
          <tpl hier="236" item="0"/>
          <tpl fld="4" item="4"/>
        </tpls>
      </m>
      <m>
        <tpls c="4">
          <tpl fld="7" item="741"/>
          <tpl fld="6" item="1"/>
          <tpl hier="236" item="0"/>
          <tpl fld="4" item="1"/>
        </tpls>
      </m>
      <m>
        <tpls c="4">
          <tpl fld="7" item="1206"/>
          <tpl fld="6" item="2"/>
          <tpl hier="236" item="0"/>
          <tpl fld="4" item="1"/>
        </tpls>
      </m>
      <m>
        <tpls c="4">
          <tpl fld="7" item="207"/>
          <tpl fld="6" item="2"/>
          <tpl hier="236" item="0"/>
          <tpl fld="4" item="4"/>
        </tpls>
      </m>
      <n v="1" in="1">
        <tpls c="4">
          <tpl fld="7" item="555"/>
          <tpl fld="6" item="1"/>
          <tpl hier="236" item="0"/>
          <tpl fld="4" item="5"/>
        </tpls>
      </n>
      <n v="1" in="3">
        <tpls c="3">
          <tpl fld="7" item="510"/>
          <tpl fld="6" item="3"/>
          <tpl hier="236" item="0"/>
        </tpls>
      </n>
      <m>
        <tpls c="4">
          <tpl fld="7" item="1213"/>
          <tpl fld="6" item="2"/>
          <tpl hier="236" item="0"/>
          <tpl fld="4" item="5"/>
        </tpls>
      </m>
      <m>
        <tpls c="4">
          <tpl fld="7" item="613"/>
          <tpl fld="6" item="2"/>
          <tpl hier="236" item="0"/>
          <tpl fld="4" item="6"/>
        </tpls>
      </m>
      <m>
        <tpls c="4">
          <tpl fld="7" item="653"/>
          <tpl fld="6" item="2"/>
          <tpl hier="236" item="0"/>
          <tpl fld="4" item="6"/>
        </tpls>
      </m>
      <m>
        <tpls c="3">
          <tpl fld="7" item="1014"/>
          <tpl fld="6" item="3"/>
          <tpl hier="236" item="0"/>
        </tpls>
      </m>
      <m>
        <tpls c="4">
          <tpl fld="7" item="320"/>
          <tpl fld="6" item="2"/>
          <tpl hier="236" item="0"/>
          <tpl fld="1" item="0"/>
        </tpls>
      </m>
      <n v="9" in="1">
        <tpls c="4">
          <tpl fld="7" item="793"/>
          <tpl fld="6" item="1"/>
          <tpl hier="236" item="0"/>
          <tpl fld="4" item="4"/>
        </tpls>
      </n>
      <n v="1" in="3">
        <tpls c="3">
          <tpl fld="7" item="878"/>
          <tpl fld="6" item="3"/>
          <tpl hier="236" item="0"/>
        </tpls>
      </n>
      <m>
        <tpls c="4">
          <tpl fld="7" item="584"/>
          <tpl fld="6" item="2"/>
          <tpl hier="236" item="0"/>
          <tpl fld="4" item="5"/>
        </tpls>
      </m>
      <n v="10" in="1">
        <tpls c="4">
          <tpl fld="7" item="628"/>
          <tpl fld="6" item="1"/>
          <tpl hier="236" item="0"/>
          <tpl fld="1" item="0"/>
        </tpls>
      </n>
      <m>
        <tpls c="4">
          <tpl fld="7" item="663"/>
          <tpl fld="6" item="1"/>
          <tpl hier="236" item="0"/>
          <tpl fld="4" item="4"/>
        </tpls>
      </m>
      <n v="35" in="1">
        <tpls c="4">
          <tpl fld="7" item="1031"/>
          <tpl fld="6" item="1"/>
          <tpl hier="236" item="0"/>
          <tpl fld="4" item="4"/>
        </tpls>
      </n>
      <n v="1" in="1">
        <tpls c="4">
          <tpl fld="7" item="774"/>
          <tpl fld="6" item="1"/>
          <tpl hier="236" item="0"/>
          <tpl fld="4" item="1"/>
        </tpls>
      </n>
      <m>
        <tpls c="4">
          <tpl fld="7" item="1214"/>
          <tpl fld="6" item="2"/>
          <tpl hier="236" item="0"/>
          <tpl fld="4" item="4"/>
        </tpls>
      </m>
      <n v="1" in="1">
        <tpls c="4">
          <tpl fld="7" item="650"/>
          <tpl fld="6" item="1"/>
          <tpl hier="236" item="0"/>
          <tpl fld="4" item="5"/>
        </tpls>
      </n>
      <m>
        <tpls c="4">
          <tpl fld="7" item="1099"/>
          <tpl fld="6" item="1"/>
          <tpl hier="236" item="0"/>
          <tpl fld="4" item="4"/>
        </tpls>
      </m>
      <m>
        <tpls c="4">
          <tpl fld="7" item="1101"/>
          <tpl fld="6" item="2"/>
          <tpl hier="236" item="0"/>
          <tpl fld="4" item="6"/>
        </tpls>
      </m>
      <m>
        <tpls c="4">
          <tpl fld="7" item="1009"/>
          <tpl fld="6" item="1"/>
          <tpl hier="236" item="0"/>
          <tpl fld="4" item="6"/>
        </tpls>
      </m>
      <m>
        <tpls c="4">
          <tpl fld="7" item="1247"/>
          <tpl fld="6" item="2"/>
          <tpl hier="236" item="0"/>
          <tpl fld="4" item="4"/>
        </tpls>
      </m>
      <m>
        <tpls c="4">
          <tpl fld="7" item="1146"/>
          <tpl fld="6" item="2"/>
          <tpl hier="236" item="0"/>
          <tpl fld="4" item="1"/>
        </tpls>
      </m>
      <m>
        <tpls c="4">
          <tpl fld="7" item="1196"/>
          <tpl fld="6" item="2"/>
          <tpl hier="236" item="0"/>
          <tpl fld="1" item="0"/>
        </tpls>
      </m>
      <m>
        <tpls c="4">
          <tpl fld="7" item="200"/>
          <tpl fld="6" item="2"/>
          <tpl hier="236" item="0"/>
          <tpl fld="1" item="0"/>
        </tpls>
      </m>
      <m>
        <tpls c="4">
          <tpl fld="7" item="117"/>
          <tpl fld="6" item="2"/>
          <tpl hier="236" item="0"/>
          <tpl fld="1" item="0"/>
        </tpls>
      </m>
      <n v="0.79216216216216218" in="2">
        <tpls c="4">
          <tpl fld="7" item="609"/>
          <tpl fld="6" item="2"/>
          <tpl hier="236" item="0"/>
          <tpl fld="4" item="5"/>
        </tpls>
      </n>
      <m>
        <tpls c="4">
          <tpl fld="7" item="821"/>
          <tpl fld="6" item="2"/>
          <tpl hier="236" item="0"/>
          <tpl fld="4" item="4"/>
        </tpls>
      </m>
      <n v="19" in="1">
        <tpls c="4">
          <tpl fld="7" item="1203"/>
          <tpl fld="6" item="1"/>
          <tpl hier="236" item="0"/>
          <tpl fld="4" item="4"/>
        </tpls>
      </n>
      <m>
        <tpls c="4">
          <tpl fld="7" item="1021"/>
          <tpl fld="6" item="2"/>
          <tpl hier="236" item="0"/>
          <tpl fld="4" item="5"/>
        </tpls>
      </m>
      <m>
        <tpls c="4">
          <tpl fld="7" item="290"/>
          <tpl fld="6" item="2"/>
          <tpl hier="236" item="0"/>
          <tpl fld="4" item="5"/>
        </tpls>
      </m>
      <m>
        <tpls c="4">
          <tpl fld="7" item="1126"/>
          <tpl fld="6" item="2"/>
          <tpl hier="236" item="0"/>
          <tpl fld="4" item="6"/>
        </tpls>
      </m>
      <m>
        <tpls c="4">
          <tpl fld="7" item="195"/>
          <tpl fld="6" item="2"/>
          <tpl hier="236" item="0"/>
          <tpl fld="4" item="6"/>
        </tpls>
      </m>
      <n v="1" in="1">
        <tpls c="4">
          <tpl fld="7" item="1115"/>
          <tpl fld="6" item="1"/>
          <tpl hier="236" item="0"/>
          <tpl fld="4" item="5"/>
        </tpls>
      </n>
      <m>
        <tpls c="4">
          <tpl fld="7" item="77"/>
          <tpl fld="6" item="1"/>
          <tpl hier="236" item="0"/>
          <tpl fld="4" item="5"/>
        </tpls>
      </m>
      <m>
        <tpls c="4">
          <tpl fld="7" item="1066"/>
          <tpl fld="6" item="1"/>
          <tpl hier="236" item="0"/>
          <tpl fld="4" item="1"/>
        </tpls>
      </m>
      <n v="1" in="1">
        <tpls c="4">
          <tpl fld="7" item="1012"/>
          <tpl fld="6" item="1"/>
          <tpl hier="236" item="0"/>
          <tpl fld="4" item="1"/>
        </tpls>
      </n>
      <m>
        <tpls c="4">
          <tpl fld="7" item="1083"/>
          <tpl fld="6" item="1"/>
          <tpl hier="236" item="0"/>
          <tpl fld="4" item="1"/>
        </tpls>
      </m>
      <m>
        <tpls c="4">
          <tpl fld="7" item="36"/>
          <tpl fld="6" item="1"/>
          <tpl hier="236" item="0"/>
          <tpl fld="4" item="1"/>
        </tpls>
      </m>
      <n v="2" in="1">
        <tpls c="4">
          <tpl fld="7" item="841"/>
          <tpl fld="6" item="1"/>
          <tpl hier="236" item="0"/>
          <tpl fld="1" item="0"/>
        </tpls>
      </n>
      <m>
        <tpls c="3">
          <tpl fld="7" item="724"/>
          <tpl fld="6" item="3"/>
          <tpl hier="236" item="0"/>
        </tpls>
      </m>
      <m>
        <tpls c="4">
          <tpl fld="7" item="1102"/>
          <tpl fld="6" item="2"/>
          <tpl hier="236" item="0"/>
          <tpl fld="4" item="1"/>
        </tpls>
      </m>
      <n v="28" in="1">
        <tpls c="4">
          <tpl fld="7" item="1054"/>
          <tpl fld="6" item="1"/>
          <tpl hier="236" item="0"/>
          <tpl fld="4" item="4"/>
        </tpls>
      </n>
      <m>
        <tpls c="4">
          <tpl fld="7" item="140"/>
          <tpl fld="6" item="2"/>
          <tpl hier="236" item="0"/>
          <tpl fld="1" item="0"/>
        </tpls>
      </m>
      <m>
        <tpls c="4">
          <tpl fld="7" item="387"/>
          <tpl fld="6" item="1"/>
          <tpl hier="236" item="0"/>
          <tpl fld="4" item="4"/>
        </tpls>
      </m>
      <m>
        <tpls c="4">
          <tpl fld="7" item="623"/>
          <tpl fld="6" item="1"/>
          <tpl hier="236" item="0"/>
          <tpl fld="4" item="4"/>
        </tpls>
      </m>
      <m>
        <tpls c="4">
          <tpl fld="7" item="619"/>
          <tpl fld="6" item="1"/>
          <tpl hier="236" item="0"/>
          <tpl fld="4" item="4"/>
        </tpls>
      </m>
      <m>
        <tpls c="4">
          <tpl fld="7" item="579"/>
          <tpl fld="6" item="2"/>
          <tpl hier="236" item="0"/>
          <tpl fld="4" item="4"/>
        </tpls>
      </m>
      <m>
        <tpls c="4">
          <tpl fld="7" item="643"/>
          <tpl fld="6" item="2"/>
          <tpl hier="236" item="0"/>
          <tpl fld="4" item="5"/>
        </tpls>
      </m>
      <m>
        <tpls c="4">
          <tpl fld="7" item="828"/>
          <tpl fld="6" item="2"/>
          <tpl hier="236" item="0"/>
          <tpl fld="4" item="5"/>
        </tpls>
      </m>
      <m>
        <tpls c="4">
          <tpl fld="7" item="1267"/>
          <tpl fld="6" item="2"/>
          <tpl hier="236" item="0"/>
          <tpl fld="4" item="1"/>
        </tpls>
      </m>
      <m>
        <tpls c="4">
          <tpl fld="7" item="668"/>
          <tpl fld="6" item="2"/>
          <tpl hier="236" item="0"/>
          <tpl fld="1" item="0"/>
        </tpls>
      </m>
      <n v="14" in="1">
        <tpls c="4">
          <tpl fld="7" item="1239"/>
          <tpl fld="6" item="1"/>
          <tpl hier="236" item="0"/>
          <tpl fld="1" item="0"/>
        </tpls>
      </n>
      <n v="2" in="2">
        <tpls c="4">
          <tpl fld="7" item="805"/>
          <tpl fld="6" item="2"/>
          <tpl hier="236" item="0"/>
          <tpl fld="4" item="4"/>
        </tpls>
      </n>
      <m>
        <tpls c="4">
          <tpl fld="7" item="1282"/>
          <tpl fld="6" item="2"/>
          <tpl hier="236" item="0"/>
          <tpl fld="4" item="6"/>
        </tpls>
      </m>
      <m>
        <tpls c="4">
          <tpl fld="7" item="819"/>
          <tpl fld="6" item="1"/>
          <tpl hier="236" item="0"/>
          <tpl fld="1" item="0"/>
        </tpls>
      </m>
      <m>
        <tpls c="4">
          <tpl fld="7" item="743"/>
          <tpl fld="6" item="2"/>
          <tpl hier="236" item="0"/>
          <tpl fld="4" item="5"/>
        </tpls>
      </m>
      <m>
        <tpls c="3">
          <tpl fld="7" item="1105"/>
          <tpl fld="6" item="3"/>
          <tpl hier="236" item="0"/>
        </tpls>
      </m>
      <n v="1" in="1">
        <tpls c="4">
          <tpl fld="7" item="908"/>
          <tpl fld="6" item="1"/>
          <tpl hier="236" item="0"/>
          <tpl fld="4" item="6"/>
        </tpls>
      </n>
      <m>
        <tpls c="4">
          <tpl fld="7" item="860"/>
          <tpl fld="6" item="2"/>
          <tpl hier="236" item="0"/>
          <tpl fld="4" item="4"/>
        </tpls>
      </m>
      <m>
        <tpls c="4">
          <tpl fld="7" item="929"/>
          <tpl fld="6" item="1"/>
          <tpl hier="236" item="0"/>
          <tpl fld="4" item="4"/>
        </tpls>
      </m>
      <n v="1" in="1">
        <tpls c="4">
          <tpl fld="7" item="961"/>
          <tpl fld="6" item="1"/>
          <tpl hier="236" item="0"/>
          <tpl fld="4" item="4"/>
        </tpls>
      </n>
      <m>
        <tpls c="4">
          <tpl fld="7" item="844"/>
          <tpl fld="6" item="2"/>
          <tpl hier="236" item="0"/>
          <tpl fld="1" item="0"/>
        </tpls>
      </m>
      <m>
        <tpls c="4">
          <tpl fld="7" item="205"/>
          <tpl fld="6" item="2"/>
          <tpl hier="236" item="0"/>
          <tpl fld="1" item="0"/>
        </tpls>
      </m>
      <n v="0" in="1">
        <tpls c="4">
          <tpl fld="7" item="694"/>
          <tpl fld="6" item="1"/>
          <tpl hier="236" item="0"/>
          <tpl fld="4" item="6"/>
        </tpls>
      </n>
      <m>
        <tpls c="4">
          <tpl fld="7" item="990"/>
          <tpl fld="6" item="2"/>
          <tpl hier="236" item="0"/>
          <tpl fld="4" item="6"/>
        </tpls>
      </m>
      <m>
        <tpls c="4">
          <tpl fld="7" item="722"/>
          <tpl fld="6" item="2"/>
          <tpl hier="236" item="0"/>
          <tpl fld="1" item="0"/>
        </tpls>
      </m>
      <m>
        <tpls c="4">
          <tpl fld="7" item="809"/>
          <tpl fld="6" item="2"/>
          <tpl hier="236" item="0"/>
          <tpl fld="4" item="6"/>
        </tpls>
      </m>
      <m>
        <tpls c="4">
          <tpl fld="7" item="733"/>
          <tpl fld="6" item="2"/>
          <tpl hier="236" item="0"/>
          <tpl fld="1" item="0"/>
        </tpls>
      </m>
      <m>
        <tpls c="3">
          <tpl fld="7" item="739"/>
          <tpl fld="6" item="3"/>
          <tpl hier="236" item="0"/>
        </tpls>
      </m>
      <n v="25" in="1">
        <tpls c="4">
          <tpl fld="7" item="827"/>
          <tpl fld="6" item="1"/>
          <tpl hier="236" item="0"/>
          <tpl fld="4" item="4"/>
        </tpls>
      </n>
      <m>
        <tpls c="4">
          <tpl fld="7" item="1005"/>
          <tpl fld="6" item="1"/>
          <tpl hier="236" item="0"/>
          <tpl fld="4" item="4"/>
        </tpls>
      </m>
      <m>
        <tpls c="4">
          <tpl fld="7" item="851"/>
          <tpl fld="6" item="2"/>
          <tpl hier="236" item="0"/>
          <tpl fld="4" item="1"/>
        </tpls>
      </m>
      <m>
        <tpls c="3">
          <tpl fld="7" item="1127"/>
          <tpl fld="6" item="3"/>
          <tpl hier="236" item="0"/>
        </tpls>
      </m>
      <m>
        <tpls c="4">
          <tpl fld="7" item="938"/>
          <tpl fld="6" item="2"/>
          <tpl hier="236" item="0"/>
          <tpl fld="4" item="1"/>
        </tpls>
      </m>
      <m>
        <tpls c="4">
          <tpl fld="7" item="970"/>
          <tpl fld="6" item="2"/>
          <tpl hier="236" item="0"/>
          <tpl fld="4" item="1"/>
        </tpls>
      </m>
      <m>
        <tpls c="4">
          <tpl fld="7" item="306"/>
          <tpl fld="6" item="2"/>
          <tpl hier="236" item="0"/>
          <tpl fld="1" item="0"/>
        </tpls>
      </m>
      <m>
        <tpls c="4">
          <tpl fld="7" item="182"/>
          <tpl fld="6" item="2"/>
          <tpl hier="236" item="0"/>
          <tpl fld="1" item="0"/>
        </tpls>
      </m>
      <m>
        <tpls c="4">
          <tpl fld="7" item="126"/>
          <tpl fld="6" item="2"/>
          <tpl hier="236" item="0"/>
          <tpl fld="1" item="0"/>
        </tpls>
      </m>
      <m>
        <tpls c="4">
          <tpl fld="7" item="524"/>
          <tpl fld="6" item="2"/>
          <tpl hier="236" item="0"/>
          <tpl fld="4" item="5"/>
        </tpls>
      </m>
      <n v="42" in="1">
        <tpls c="4">
          <tpl fld="7" item="643"/>
          <tpl fld="6" item="1"/>
          <tpl hier="236" item="0"/>
          <tpl fld="4" item="4"/>
        </tpls>
      </n>
      <m>
        <tpls c="4">
          <tpl fld="7" item="746"/>
          <tpl fld="6" item="1"/>
          <tpl hier="236" item="0"/>
          <tpl fld="4" item="1"/>
        </tpls>
      </m>
      <n v="0" in="1">
        <tpls c="4">
          <tpl fld="7" item="1253"/>
          <tpl fld="6" item="1"/>
          <tpl hier="236" item="0"/>
          <tpl fld="4" item="4"/>
        </tpls>
      </n>
      <m>
        <tpls c="4">
          <tpl fld="7" item="257"/>
          <tpl fld="6" item="2"/>
          <tpl hier="236" item="0"/>
          <tpl fld="1" item="0"/>
        </tpls>
      </m>
      <m>
        <tpls c="4">
          <tpl fld="7" item="443"/>
          <tpl fld="6" item="2"/>
          <tpl hier="236" item="0"/>
          <tpl fld="4" item="5"/>
        </tpls>
      </m>
      <m>
        <tpls c="4">
          <tpl fld="7" item="155"/>
          <tpl fld="6" item="2"/>
          <tpl hier="236" item="0"/>
          <tpl fld="4" item="5"/>
        </tpls>
      </m>
      <m>
        <tpls c="4">
          <tpl fld="7" item="1248"/>
          <tpl fld="6" item="2"/>
          <tpl hier="236" item="0"/>
          <tpl fld="4" item="6"/>
        </tpls>
      </m>
      <m>
        <tpls c="4">
          <tpl fld="7" item="429"/>
          <tpl fld="6" item="2"/>
          <tpl hier="236" item="0"/>
          <tpl fld="4" item="6"/>
        </tpls>
      </m>
      <m>
        <tpls c="4">
          <tpl fld="7" item="752"/>
          <tpl fld="6" item="2"/>
          <tpl hier="236" item="0"/>
          <tpl fld="4" item="6"/>
        </tpls>
      </m>
      <m>
        <tpls c="4">
          <tpl fld="7" item="749"/>
          <tpl fld="6" item="1"/>
          <tpl hier="236" item="0"/>
          <tpl fld="4" item="5"/>
        </tpls>
      </m>
      <m>
        <tpls c="4">
          <tpl fld="7" item="80"/>
          <tpl fld="6" item="1"/>
          <tpl hier="236" item="0"/>
          <tpl fld="4" item="5"/>
        </tpls>
      </m>
      <m>
        <tpls c="4">
          <tpl fld="7" item="1069"/>
          <tpl fld="6" item="1"/>
          <tpl hier="236" item="0"/>
          <tpl fld="4" item="1"/>
        </tpls>
      </m>
      <m>
        <tpls c="4">
          <tpl fld="7" item="1117"/>
          <tpl fld="6" item="1"/>
          <tpl hier="236" item="0"/>
          <tpl fld="4" item="1"/>
        </tpls>
      </m>
      <n v="0" in="1">
        <tpls c="4">
          <tpl fld="7" item="756"/>
          <tpl fld="6" item="1"/>
          <tpl hier="236" item="0"/>
          <tpl fld="4" item="1"/>
        </tpls>
      </n>
      <m>
        <tpls c="4">
          <tpl fld="7" item="39"/>
          <tpl fld="6" item="1"/>
          <tpl hier="236" item="0"/>
          <tpl fld="4" item="1"/>
        </tpls>
      </m>
      <n v="2" in="1">
        <tpls c="4">
          <tpl fld="7" item="844"/>
          <tpl fld="6" item="1"/>
          <tpl hier="236" item="0"/>
          <tpl fld="1" item="0"/>
        </tpls>
      </n>
      <m>
        <tpls c="4">
          <tpl fld="7" item="723"/>
          <tpl fld="6" item="2"/>
          <tpl hier="236" item="0"/>
          <tpl fld="4" item="5"/>
        </tpls>
      </m>
      <n v="0.89999999999999991" in="2">
        <tpls c="4">
          <tpl fld="7" item="667"/>
          <tpl fld="6" item="2"/>
          <tpl hier="236" item="0"/>
          <tpl fld="4" item="1"/>
        </tpls>
      </n>
      <n v="4" in="1">
        <tpls c="4">
          <tpl fld="7" item="1048"/>
          <tpl fld="6" item="1"/>
          <tpl hier="236" item="0"/>
          <tpl fld="4" item="4"/>
        </tpls>
      </n>
      <m>
        <tpls c="4">
          <tpl fld="7" item="146"/>
          <tpl fld="6" item="2"/>
          <tpl hier="236" item="0"/>
          <tpl fld="1" item="0"/>
        </tpls>
      </m>
      <n v="2" in="2">
        <tpls c="4">
          <tpl fld="7" item="689"/>
          <tpl fld="6" item="2"/>
          <tpl hier="236" item="0"/>
          <tpl fld="4" item="4"/>
        </tpls>
      </n>
      <m>
        <tpls c="4">
          <tpl fld="7" item="574"/>
          <tpl fld="6" item="2"/>
          <tpl hier="236" item="0"/>
          <tpl fld="4" item="6"/>
        </tpls>
      </m>
      <n v="0.60540540540540533" in="2">
        <tpls c="4">
          <tpl fld="7" item="783"/>
          <tpl fld="6" item="2"/>
          <tpl hier="236" item="0"/>
          <tpl fld="4" item="1"/>
        </tpls>
      </n>
      <m>
        <tpls c="4">
          <tpl fld="7" item="640"/>
          <tpl fld="6" item="1"/>
          <tpl hier="236" item="0"/>
          <tpl fld="4" item="5"/>
        </tpls>
      </m>
      <m>
        <tpls c="4">
          <tpl fld="7" item="1096"/>
          <tpl fld="6" item="2"/>
          <tpl hier="236" item="0"/>
          <tpl fld="1" item="0"/>
        </tpls>
      </m>
      <m>
        <tpls c="4">
          <tpl fld="7" item="1105"/>
          <tpl fld="6" item="2"/>
          <tpl hier="236" item="0"/>
          <tpl fld="4" item="1"/>
        </tpls>
      </m>
      <m>
        <tpls c="4">
          <tpl fld="7" item="1232"/>
          <tpl fld="6" item="2"/>
          <tpl hier="236" item="0"/>
          <tpl fld="4" item="1"/>
        </tpls>
      </m>
      <m>
        <tpls c="4">
          <tpl fld="7" item="531"/>
          <tpl fld="6" item="2"/>
          <tpl hier="236" item="0"/>
          <tpl fld="4" item="4"/>
        </tpls>
      </m>
      <n v="1" in="1">
        <tpls c="4">
          <tpl fld="7" item="634"/>
          <tpl fld="6" item="1"/>
          <tpl hier="236" item="0"/>
          <tpl fld="1" item="0"/>
        </tpls>
      </n>
      <m>
        <tpls c="4">
          <tpl fld="7" item="724"/>
          <tpl fld="6" item="1"/>
          <tpl hier="236" item="0"/>
          <tpl fld="4" item="1"/>
        </tpls>
      </m>
      <n v="6" in="1">
        <tpls c="4">
          <tpl fld="7" item="652"/>
          <tpl fld="6" item="1"/>
          <tpl hier="236" item="0"/>
          <tpl fld="4" item="4"/>
        </tpls>
      </n>
      <m>
        <tpls c="4">
          <tpl fld="7" item="738"/>
          <tpl fld="6" item="2"/>
          <tpl hier="236" item="0"/>
          <tpl fld="4" item="5"/>
        </tpls>
      </m>
      <n v="32" in="1">
        <tpls c="4">
          <tpl fld="7" item="744"/>
          <tpl fld="6" item="1"/>
          <tpl hier="236" item="0"/>
          <tpl fld="1" item="0"/>
        </tpls>
      </n>
      <n v="1" in="1">
        <tpls c="4">
          <tpl fld="7" item="1191"/>
          <tpl fld="6" item="1"/>
          <tpl hier="236" item="0"/>
          <tpl fld="4" item="6"/>
        </tpls>
      </n>
      <m>
        <tpls c="4">
          <tpl fld="7" item="849"/>
          <tpl fld="6" item="2"/>
          <tpl hier="236" item="0"/>
          <tpl fld="4" item="4"/>
        </tpls>
      </m>
      <n v="1" in="1">
        <tpls c="4">
          <tpl fld="7" item="862"/>
          <tpl fld="6" item="1"/>
          <tpl hier="236" item="0"/>
          <tpl fld="4" item="4"/>
        </tpls>
      </n>
      <n v="0" in="1">
        <tpls c="4">
          <tpl fld="7" item="1140"/>
          <tpl fld="6" item="1"/>
          <tpl hier="236" item="0"/>
          <tpl fld="4" item="4"/>
        </tpls>
      </n>
      <m>
        <tpls c="4">
          <tpl fld="7" item="1172"/>
          <tpl fld="6" item="1"/>
          <tpl hier="236" item="0"/>
          <tpl fld="4" item="4"/>
        </tpls>
      </m>
      <m>
        <tpls c="4">
          <tpl fld="7" item="835"/>
          <tpl fld="6" item="2"/>
          <tpl hier="236" item="0"/>
          <tpl fld="1" item="0"/>
        </tpls>
      </m>
      <m>
        <tpls c="4">
          <tpl fld="7" item="673"/>
          <tpl fld="6" item="2"/>
          <tpl hier="236" item="0"/>
          <tpl fld="1" item="0"/>
        </tpls>
      </m>
      <m>
        <tpls c="4">
          <tpl fld="7" item="551"/>
          <tpl fld="6" item="2"/>
          <tpl hier="236" item="0"/>
          <tpl fld="4" item="4"/>
        </tpls>
      </m>
      <m>
        <tpls c="4">
          <tpl fld="7" item="715"/>
          <tpl fld="6" item="1"/>
          <tpl hier="236" item="0"/>
          <tpl fld="4" item="1"/>
        </tpls>
      </m>
      <n v="1" in="2">
        <tpls c="4">
          <tpl fld="7" item="643"/>
          <tpl fld="6" item="2"/>
          <tpl hier="236" item="0"/>
          <tpl fld="4" item="6"/>
        </tpls>
      </n>
      <m>
        <tpls c="4">
          <tpl fld="7" item="728"/>
          <tpl fld="6" item="2"/>
          <tpl hier="236" item="0"/>
          <tpl fld="1" item="0"/>
        </tpls>
      </m>
      <m>
        <tpls c="3">
          <tpl fld="7" item="734"/>
          <tpl fld="6" item="3"/>
          <tpl hier="236" item="0"/>
        </tpls>
      </m>
      <m>
        <tpls c="4">
          <tpl fld="7" item="660"/>
          <tpl fld="6" item="1"/>
          <tpl hier="236" item="0"/>
          <tpl fld="4" item="5"/>
        </tpls>
      </m>
      <m>
        <tpls c="4">
          <tpl fld="7" item="828"/>
          <tpl fld="6" item="2"/>
          <tpl hier="236" item="0"/>
          <tpl fld="4" item="6"/>
        </tpls>
      </m>
      <m>
        <tpls c="4">
          <tpl fld="7" item="840"/>
          <tpl fld="6" item="2"/>
          <tpl hier="236" item="0"/>
          <tpl fld="4" item="1"/>
        </tpls>
      </m>
      <m>
        <tpls c="3">
          <tpl fld="7" item="1016"/>
          <tpl fld="6" item="3"/>
          <tpl hier="236" item="0"/>
        </tpls>
      </m>
      <m>
        <tpls c="4">
          <tpl fld="7" item="1248"/>
          <tpl fld="6" item="1"/>
          <tpl hier="236" item="0"/>
          <tpl fld="4" item="6"/>
        </tpls>
      </m>
      <m>
        <tpls c="4">
          <tpl fld="7" item="1149"/>
          <tpl fld="6" item="2"/>
          <tpl hier="236" item="0"/>
          <tpl fld="4" item="1"/>
        </tpls>
      </m>
      <m>
        <tpls c="4">
          <tpl fld="7" item="1181"/>
          <tpl fld="6" item="2"/>
          <tpl hier="236" item="0"/>
          <tpl fld="4" item="1"/>
        </tpls>
      </m>
      <n v="6.5297297297297296" in="2">
        <tpls c="4">
          <tpl fld="7" item="520"/>
          <tpl fld="6" item="2"/>
          <tpl hier="236" item="0"/>
          <tpl fld="1" item="0"/>
        </tpls>
      </n>
      <m>
        <tpls c="4">
          <tpl fld="7" item="173"/>
          <tpl fld="6" item="2"/>
          <tpl hier="236" item="0"/>
          <tpl fld="1" item="0"/>
        </tpls>
      </m>
      <m>
        <tpls c="4">
          <tpl fld="7" item="326"/>
          <tpl fld="6" item="2"/>
          <tpl hier="236" item="0"/>
          <tpl fld="1" item="0"/>
        </tpls>
      </m>
      <m>
        <tpls c="4">
          <tpl fld="7" item="515"/>
          <tpl fld="6" item="2"/>
          <tpl hier="236" item="0"/>
          <tpl fld="4" item="5"/>
        </tpls>
      </m>
      <m>
        <tpls c="4">
          <tpl fld="7" item="1096"/>
          <tpl fld="6" item="2"/>
          <tpl hier="236" item="0"/>
          <tpl fld="4" item="1"/>
        </tpls>
      </m>
      <m>
        <tpls c="3">
          <tpl fld="7" item="834"/>
          <tpl fld="6" item="3"/>
          <tpl hier="236" item="0"/>
        </tpls>
      </m>
      <n v="3" in="1">
        <tpls c="4">
          <tpl fld="7" item="1206"/>
          <tpl fld="6" item="1"/>
          <tpl hier="236" item="0"/>
          <tpl fld="4" item="4"/>
        </tpls>
      </n>
      <m>
        <tpls c="4">
          <tpl fld="7" item="226"/>
          <tpl fld="6" item="2"/>
          <tpl hier="236" item="0"/>
          <tpl fld="1" item="0"/>
        </tpls>
      </m>
      <m>
        <tpls c="4">
          <tpl fld="7" item="361"/>
          <tpl fld="6" item="2"/>
          <tpl hier="236" item="0"/>
          <tpl fld="4" item="5"/>
        </tpls>
      </m>
      <m>
        <tpls c="4">
          <tpl fld="7" item="591"/>
          <tpl fld="6" item="2"/>
          <tpl hier="236" item="0"/>
          <tpl fld="4" item="5"/>
        </tpls>
      </m>
      <m>
        <tpls c="4">
          <tpl fld="7" item="915"/>
          <tpl fld="6" item="2"/>
          <tpl hier="236" item="0"/>
          <tpl fld="4" item="6"/>
        </tpls>
      </m>
      <m>
        <tpls c="4">
          <tpl fld="7" item="213"/>
          <tpl fld="6" item="2"/>
          <tpl hier="236" item="0"/>
          <tpl fld="4" item="6"/>
        </tpls>
      </m>
      <m>
        <tpls c="4">
          <tpl fld="7" item="25"/>
          <tpl fld="6" item="2"/>
          <tpl hier="236" item="0"/>
          <tpl fld="4" item="6"/>
        </tpls>
      </m>
      <n v="1" in="1">
        <tpls c="4">
          <tpl fld="7" item="379"/>
          <tpl fld="6" item="1"/>
          <tpl hier="236" item="0"/>
          <tpl fld="4" item="5"/>
        </tpls>
      </n>
      <m>
        <tpls c="4">
          <tpl fld="7" item="71"/>
          <tpl fld="6" item="1"/>
          <tpl hier="236" item="0"/>
          <tpl fld="4" item="5"/>
        </tpls>
      </m>
      <m>
        <tpls c="4">
          <tpl fld="7" item="1060"/>
          <tpl fld="6" item="1"/>
          <tpl hier="236" item="0"/>
          <tpl fld="4" item="1"/>
        </tpls>
      </m>
      <n v="1" in="1">
        <tpls c="4">
          <tpl fld="7" item="1192"/>
          <tpl fld="6" item="1"/>
          <tpl hier="236" item="0"/>
          <tpl fld="4" item="1"/>
        </tpls>
      </n>
      <m>
        <tpls c="4">
          <tpl fld="7" item="305"/>
          <tpl fld="6" item="1"/>
          <tpl hier="236" item="0"/>
          <tpl fld="4" item="1"/>
        </tpls>
      </m>
      <m>
        <tpls c="4">
          <tpl fld="7" item="30"/>
          <tpl fld="6" item="1"/>
          <tpl hier="236" item="0"/>
          <tpl fld="4" item="1"/>
        </tpls>
      </m>
      <m>
        <tpls c="4">
          <tpl fld="7" item="835"/>
          <tpl fld="6" item="1"/>
          <tpl hier="236" item="0"/>
          <tpl fld="1" item="0"/>
        </tpls>
      </m>
      <m>
        <tpls c="4">
          <tpl fld="7" item="646"/>
          <tpl fld="6" item="2"/>
          <tpl hier="236" item="0"/>
          <tpl fld="1" item="0"/>
        </tpls>
      </m>
      <m>
        <tpls c="3">
          <tpl fld="7" item="835"/>
          <tpl fld="6" item="3"/>
          <tpl hier="236" item="0"/>
        </tpls>
      </m>
      <n v="3" in="1">
        <tpls c="4">
          <tpl fld="7" item="1066"/>
          <tpl fld="6" item="1"/>
          <tpl hier="236" item="0"/>
          <tpl fld="4" item="4"/>
        </tpls>
      </n>
      <m>
        <tpls c="4">
          <tpl fld="7" item="13"/>
          <tpl fld="6" item="2"/>
          <tpl hier="236" item="0"/>
          <tpl fld="1" item="0"/>
        </tpls>
      </m>
      <m>
        <tpls c="4">
          <tpl fld="7" item="501"/>
          <tpl fld="6" item="2"/>
          <tpl hier="236" item="0"/>
          <tpl fld="4" item="5"/>
        </tpls>
      </m>
      <m>
        <tpls c="4">
          <tpl fld="7" item="406"/>
          <tpl fld="6" item="2"/>
          <tpl hier="236" item="0"/>
          <tpl fld="4" item="5"/>
        </tpls>
      </m>
      <m>
        <tpls c="4">
          <tpl fld="7" item="914"/>
          <tpl fld="6" item="2"/>
          <tpl hier="236" item="0"/>
          <tpl fld="4" item="6"/>
        </tpls>
      </m>
      <m>
        <tpls c="4">
          <tpl fld="7" item="104"/>
          <tpl fld="6" item="2"/>
          <tpl hier="236" item="0"/>
          <tpl fld="4" item="6"/>
        </tpls>
      </m>
      <m>
        <tpls c="4">
          <tpl fld="7" item="240"/>
          <tpl fld="6" item="2"/>
          <tpl hier="236" item="0"/>
          <tpl fld="4" item="6"/>
        </tpls>
      </m>
      <n v="2" in="1">
        <tpls c="4">
          <tpl fld="7" item="519"/>
          <tpl fld="6" item="1"/>
          <tpl hier="236" item="0"/>
          <tpl fld="4" item="5"/>
        </tpls>
      </n>
      <m>
        <tpls c="4">
          <tpl fld="7" item="286"/>
          <tpl fld="6" item="1"/>
          <tpl hier="236" item="0"/>
          <tpl fld="4" item="5"/>
        </tpls>
      </m>
      <m>
        <tpls c="4">
          <tpl fld="7" item="407"/>
          <tpl fld="6" item="1"/>
          <tpl hier="236" item="0"/>
          <tpl fld="4" item="4"/>
        </tpls>
      </m>
      <n v="2.6" in="2">
        <tpls c="4">
          <tpl fld="7" item="361"/>
          <tpl fld="6" item="2"/>
          <tpl hier="236" item="0"/>
          <tpl fld="4" item="1"/>
        </tpls>
      </n>
      <m>
        <tpls c="4">
          <tpl fld="7" item="548"/>
          <tpl fld="6" item="2"/>
          <tpl hier="236" item="0"/>
          <tpl fld="4" item="4"/>
        </tpls>
      </m>
      <m>
        <tpls c="4">
          <tpl fld="7" item="821"/>
          <tpl fld="6" item="1"/>
          <tpl hier="236" item="0"/>
          <tpl fld="1" item="0"/>
        </tpls>
      </m>
      <m>
        <tpls c="3">
          <tpl fld="7" item="921"/>
          <tpl fld="6" item="3"/>
          <tpl hier="236" item="0"/>
        </tpls>
      </m>
      <m>
        <tpls c="4">
          <tpl fld="7" item="402"/>
          <tpl fld="6" item="2"/>
          <tpl hier="236" item="0"/>
          <tpl fld="4" item="1"/>
        </tpls>
      </m>
      <m>
        <tpls c="4">
          <tpl fld="7" item="811"/>
          <tpl fld="6" item="2"/>
          <tpl hier="236" item="0"/>
          <tpl fld="4" item="6"/>
        </tpls>
      </m>
      <n v="0" in="1">
        <tpls c="4">
          <tpl fld="7" item="1111"/>
          <tpl fld="6" item="1"/>
          <tpl hier="236" item="0"/>
          <tpl fld="4" item="6"/>
        </tpls>
      </n>
      <m>
        <tpls c="4">
          <tpl fld="7" item="1130"/>
          <tpl fld="6" item="2"/>
          <tpl hier="236" item="0"/>
          <tpl fld="1" item="0"/>
        </tpls>
      </m>
      <m>
        <tpls c="3">
          <tpl fld="7" item="495"/>
          <tpl fld="6" item="3"/>
          <tpl hier="236" item="0"/>
        </tpls>
      </m>
      <m>
        <tpls c="4">
          <tpl fld="7" item="868"/>
          <tpl fld="6" item="2"/>
          <tpl hier="236" item="0"/>
          <tpl fld="4" item="5"/>
        </tpls>
      </m>
      <m>
        <tpls c="4">
          <tpl fld="7" item="200"/>
          <tpl fld="6" item="2"/>
          <tpl hier="236" item="0"/>
          <tpl fld="4" item="6"/>
        </tpls>
      </m>
      <m>
        <tpls c="4">
          <tpl fld="7" item="1047"/>
          <tpl fld="6" item="1"/>
          <tpl hier="236" item="0"/>
          <tpl fld="4" item="1"/>
        </tpls>
      </m>
      <n v="1" in="3">
        <tpls c="3">
          <tpl fld="7" item="511"/>
          <tpl fld="6" item="3"/>
          <tpl hier="236" item="0"/>
        </tpls>
      </n>
      <m>
        <tpls c="4">
          <tpl fld="7" item="19"/>
          <tpl fld="6" item="2"/>
          <tpl hier="236" item="0"/>
          <tpl fld="1" item="0"/>
        </tpls>
      </m>
      <m>
        <tpls c="4">
          <tpl fld="7" item="305"/>
          <tpl fld="6" item="2"/>
          <tpl hier="236" item="0"/>
          <tpl fld="4" item="5"/>
        </tpls>
      </m>
      <m>
        <tpls c="4">
          <tpl fld="7" item="218"/>
          <tpl fld="6" item="2"/>
          <tpl hier="236" item="0"/>
          <tpl fld="4" item="5"/>
        </tpls>
      </m>
      <m>
        <tpls c="4">
          <tpl fld="7" item="101"/>
          <tpl fld="6" item="2"/>
          <tpl hier="236" item="0"/>
          <tpl fld="4" item="6"/>
        </tpls>
      </m>
      <m>
        <tpls c="4">
          <tpl fld="7" item="1021"/>
          <tpl fld="6" item="1"/>
          <tpl hier="236" item="0"/>
          <tpl fld="4" item="5"/>
        </tpls>
      </m>
      <m>
        <tpls c="4">
          <tpl fld="7" item="88"/>
          <tpl fld="6" item="1"/>
          <tpl hier="236" item="0"/>
          <tpl fld="4" item="5"/>
        </tpls>
      </m>
      <n v="1" in="1">
        <tpls c="4">
          <tpl fld="7" item="953"/>
          <tpl fld="6" item="1"/>
          <tpl hier="236" item="0"/>
          <tpl fld="4" item="1"/>
        </tpls>
      </n>
      <m>
        <tpls c="4">
          <tpl fld="7" item="1005"/>
          <tpl fld="6" item="1"/>
          <tpl hier="236" item="0"/>
          <tpl fld="4" item="1"/>
        </tpls>
      </m>
      <m>
        <tpls c="4">
          <tpl fld="7" item="97"/>
          <tpl fld="6" item="1"/>
          <tpl hier="236" item="0"/>
          <tpl fld="4" item="1"/>
        </tpls>
      </m>
      <m>
        <tpls c="4">
          <tpl fld="7" item="243"/>
          <tpl fld="6" item="1"/>
          <tpl hier="236" item="0"/>
          <tpl fld="4" item="1"/>
        </tpls>
      </m>
      <n v="5" in="1">
        <tpls c="4">
          <tpl fld="7" item="648"/>
          <tpl fld="6" item="1"/>
          <tpl hier="236" item="0"/>
          <tpl fld="1" item="0"/>
        </tpls>
      </n>
      <m>
        <tpls c="4">
          <tpl fld="7" item="902"/>
          <tpl fld="6" item="2"/>
          <tpl hier="236" item="0"/>
          <tpl fld="4" item="1"/>
        </tpls>
      </m>
      <n v="48" in="1">
        <tpls c="4">
          <tpl fld="7" item="1235"/>
          <tpl fld="6" item="1"/>
          <tpl hier="236" item="0"/>
          <tpl fld="4" item="4"/>
        </tpls>
      </n>
      <m>
        <tpls c="4">
          <tpl fld="7" item="114"/>
          <tpl fld="6" item="2"/>
          <tpl hier="236" item="0"/>
          <tpl fld="1" item="0"/>
        </tpls>
      </m>
      <m>
        <tpls c="4">
          <tpl fld="7" item="757"/>
          <tpl fld="6" item="2"/>
          <tpl hier="236" item="0"/>
          <tpl fld="4" item="5"/>
        </tpls>
      </m>
      <m>
        <tpls c="4">
          <tpl fld="7" item="472"/>
          <tpl fld="6" item="2"/>
          <tpl hier="236" item="0"/>
          <tpl fld="4" item="5"/>
        </tpls>
      </m>
      <m>
        <tpls c="4">
          <tpl fld="7" item="850"/>
          <tpl fld="6" item="2"/>
          <tpl hier="236" item="0"/>
          <tpl fld="4" item="6"/>
        </tpls>
      </m>
      <m>
        <tpls c="4">
          <tpl fld="7" item="315"/>
          <tpl fld="6" item="2"/>
          <tpl hier="236" item="0"/>
          <tpl fld="4" item="6"/>
        </tpls>
      </m>
      <m>
        <tpls c="4">
          <tpl fld="7" item="400"/>
          <tpl fld="6" item="2"/>
          <tpl hier="236" item="0"/>
          <tpl fld="4" item="6"/>
        </tpls>
      </m>
      <m>
        <tpls c="4">
          <tpl fld="7" item="601"/>
          <tpl fld="6" item="1"/>
          <tpl hier="236" item="0"/>
          <tpl fld="4" item="5"/>
        </tpls>
      </m>
      <m>
        <tpls c="4">
          <tpl fld="7" item="596"/>
          <tpl fld="6" item="1"/>
          <tpl hier="236" item="0"/>
          <tpl fld="4" item="5"/>
        </tpls>
      </m>
      <m>
        <tpls c="4">
          <tpl fld="7" item="305"/>
          <tpl fld="6" item="1"/>
          <tpl hier="236" item="0"/>
          <tpl fld="4" item="5"/>
        </tpls>
      </m>
      <m>
        <tpls c="4">
          <tpl fld="7" item="483"/>
          <tpl fld="6" item="1"/>
          <tpl hier="236" item="0"/>
          <tpl fld="4" item="5"/>
        </tpls>
      </m>
      <m>
        <tpls c="4">
          <tpl fld="7" item="35"/>
          <tpl fld="6" item="1"/>
          <tpl hier="236" item="0"/>
          <tpl fld="4" item="5"/>
        </tpls>
      </m>
      <n v="1" in="1">
        <tpls c="4">
          <tpl fld="7" item="975"/>
          <tpl fld="6" item="1"/>
          <tpl hier="236" item="0"/>
          <tpl fld="4" item="1"/>
        </tpls>
      </n>
      <n v="3" in="1">
        <tpls c="4">
          <tpl fld="7" item="1256"/>
          <tpl fld="6" item="1"/>
          <tpl hier="236" item="0"/>
          <tpl fld="4" item="1"/>
        </tpls>
      </n>
      <n v="1" in="1">
        <tpls c="4">
          <tpl fld="7" item="1251"/>
          <tpl fld="6" item="1"/>
          <tpl hier="236" item="0"/>
          <tpl fld="4" item="1"/>
        </tpls>
      </n>
      <m>
        <tpls c="4">
          <tpl fld="7" item="859"/>
          <tpl fld="6" item="1"/>
          <tpl hier="236" item="0"/>
          <tpl fld="4" item="1"/>
        </tpls>
      </m>
      <m>
        <tpls c="4">
          <tpl fld="7" item="839"/>
          <tpl fld="6" item="1"/>
          <tpl hier="236" item="0"/>
          <tpl fld="4" item="1"/>
        </tpls>
      </m>
      <n v="2" in="1">
        <tpls c="4">
          <tpl fld="7" item="452"/>
          <tpl fld="6" item="1"/>
          <tpl hier="236" item="0"/>
          <tpl fld="4" item="1"/>
        </tpls>
      </n>
      <m>
        <tpls c="4">
          <tpl fld="7" item="428"/>
          <tpl fld="6" item="1"/>
          <tpl hier="236" item="0"/>
          <tpl fld="4" item="1"/>
        </tpls>
      </m>
      <n v="0" in="1">
        <tpls c="4">
          <tpl fld="7" item="100"/>
          <tpl fld="6" item="1"/>
          <tpl hier="236" item="0"/>
          <tpl fld="4" item="1"/>
        </tpls>
      </n>
      <m>
        <tpls c="4">
          <tpl fld="7" item="176"/>
          <tpl fld="6" item="1"/>
          <tpl hier="236" item="0"/>
          <tpl fld="4" item="1"/>
        </tpls>
      </m>
      <m>
        <tpls c="4">
          <tpl fld="7" item="50"/>
          <tpl fld="6" item="1"/>
          <tpl hier="236" item="0"/>
          <tpl fld="4" item="1"/>
        </tpls>
      </m>
      <m>
        <tpls c="4">
          <tpl fld="7" item="1082"/>
          <tpl fld="6" item="1"/>
          <tpl hier="236" item="0"/>
          <tpl fld="4" item="1"/>
        </tpls>
      </m>
      <m>
        <tpls c="4">
          <tpl fld="7" item="121"/>
          <tpl fld="6" item="1"/>
          <tpl hier="236" item="0"/>
          <tpl fld="4" item="1"/>
        </tpls>
      </m>
      <m>
        <tpls c="4">
          <tpl fld="7" item="912"/>
          <tpl fld="6" item="1"/>
          <tpl hier="236" item="0"/>
          <tpl fld="1" item="0"/>
        </tpls>
      </m>
      <n v="14" in="1">
        <tpls c="4">
          <tpl fld="7" item="897"/>
          <tpl fld="6" item="1"/>
          <tpl hier="236" item="0"/>
          <tpl fld="1" item="0"/>
        </tpls>
      </n>
      <m>
        <tpls c="4">
          <tpl fld="7" item="679"/>
          <tpl fld="6" item="1"/>
          <tpl hier="236" item="0"/>
          <tpl fld="1" item="0"/>
        </tpls>
      </m>
      <m>
        <tpls c="4">
          <tpl fld="7" item="350"/>
          <tpl fld="6" item="1"/>
          <tpl hier="236" item="0"/>
          <tpl fld="1" item="0"/>
        </tpls>
      </m>
      <m>
        <tpls c="4">
          <tpl fld="7" item="189"/>
          <tpl fld="6" item="1"/>
          <tpl hier="236" item="0"/>
          <tpl fld="1" item="0"/>
        </tpls>
      </m>
      <m>
        <tpls c="4">
          <tpl fld="7" item="170"/>
          <tpl fld="6" item="1"/>
          <tpl hier="236" item="0"/>
          <tpl fld="1" item="0"/>
        </tpls>
      </m>
      <m>
        <tpls c="4">
          <tpl fld="7" item="330"/>
          <tpl fld="6" item="1"/>
          <tpl hier="236" item="0"/>
          <tpl fld="1" item="0"/>
        </tpls>
      </m>
      <m>
        <tpls c="4">
          <tpl fld="7" item="570"/>
          <tpl fld="6" item="1"/>
          <tpl hier="236" item="0"/>
          <tpl fld="4" item="6"/>
        </tpls>
      </m>
      <n v="1.5499999999999998" in="2">
        <tpls c="4">
          <tpl fld="7" item="642"/>
          <tpl fld="6" item="2"/>
          <tpl hier="236" item="0"/>
          <tpl fld="4" item="1"/>
        </tpls>
      </n>
      <n v="0" in="1">
        <tpls c="4">
          <tpl fld="7" item="910"/>
          <tpl fld="6" item="1"/>
          <tpl hier="236" item="0"/>
          <tpl fld="4" item="6"/>
        </tpls>
      </n>
      <m>
        <tpls c="4">
          <tpl fld="7" item="80"/>
          <tpl fld="6" item="2"/>
          <tpl hier="236" item="0"/>
          <tpl fld="1" item="0"/>
        </tpls>
      </m>
      <m>
        <tpls c="4">
          <tpl fld="7" item="601"/>
          <tpl fld="6" item="2"/>
          <tpl hier="236" item="0"/>
          <tpl fld="4" item="5"/>
        </tpls>
      </m>
      <m>
        <tpls c="4">
          <tpl fld="7" item="139"/>
          <tpl fld="6" item="2"/>
          <tpl hier="236" item="0"/>
          <tpl fld="4" item="5"/>
        </tpls>
      </m>
      <m>
        <tpls c="4">
          <tpl fld="7" item="681"/>
          <tpl fld="6" item="2"/>
          <tpl hier="236" item="0"/>
          <tpl fld="4" item="6"/>
        </tpls>
      </m>
      <m>
        <tpls c="4">
          <tpl fld="7" item="144"/>
          <tpl fld="6" item="2"/>
          <tpl hier="236" item="0"/>
          <tpl fld="4" item="6"/>
        </tpls>
      </m>
      <n v="2" in="1">
        <tpls c="4">
          <tpl fld="7" item="430"/>
          <tpl fld="6" item="1"/>
          <tpl hier="236" item="0"/>
          <tpl fld="4" item="5"/>
        </tpls>
      </n>
      <m>
        <tpls c="4">
          <tpl fld="7" item="669"/>
          <tpl fld="6" item="1"/>
          <tpl hier="236" item="0"/>
          <tpl fld="4" item="5"/>
        </tpls>
      </m>
      <m>
        <tpls c="4">
          <tpl fld="7" item="913"/>
          <tpl fld="6" item="1"/>
          <tpl hier="236" item="0"/>
          <tpl fld="4" item="1"/>
        </tpls>
      </m>
      <m>
        <tpls c="4">
          <tpl fld="7" item="71"/>
          <tpl fld="6" item="1"/>
          <tpl hier="236" item="0"/>
          <tpl fld="4" item="1"/>
        </tpls>
      </m>
      <m>
        <tpls c="4">
          <tpl fld="7" item="216"/>
          <tpl fld="6" item="1"/>
          <tpl hier="236" item="0"/>
          <tpl fld="4" item="1"/>
        </tpls>
      </m>
      <n v="5" in="1">
        <tpls c="4">
          <tpl fld="7" item="901"/>
          <tpl fld="6" item="1"/>
          <tpl hier="236" item="0"/>
          <tpl fld="1" item="0"/>
        </tpls>
      </n>
      <m>
        <tpls c="4">
          <tpl fld="7" item="500"/>
          <tpl fld="6" item="1"/>
          <tpl hier="236" item="0"/>
          <tpl fld="1" item="0"/>
        </tpls>
      </m>
      <n v="0" in="1">
        <tpls c="4">
          <tpl fld="7" item="88"/>
          <tpl fld="6" item="1"/>
          <tpl hier="236" item="0"/>
          <tpl fld="1" item="0"/>
        </tpls>
      </n>
      <m>
        <tpls c="4">
          <tpl fld="7" item="62"/>
          <tpl fld="6" item="1"/>
          <tpl hier="236" item="0"/>
          <tpl fld="1" item="0"/>
        </tpls>
      </m>
      <m>
        <tpls c="4">
          <tpl fld="7" item="121"/>
          <tpl fld="6" item="1"/>
          <tpl hier="236" item="0"/>
          <tpl fld="1" item="0"/>
        </tpls>
      </m>
      <m>
        <tpls c="4">
          <tpl fld="7" item="233"/>
          <tpl fld="6" item="1"/>
          <tpl hier="236" item="0"/>
          <tpl fld="4" item="6"/>
        </tpls>
      </m>
      <m>
        <tpls c="4">
          <tpl fld="7" item="1"/>
          <tpl fld="6" item="1"/>
          <tpl hier="236" item="0"/>
          <tpl fld="4" item="6"/>
        </tpls>
      </m>
      <m>
        <tpls c="3">
          <tpl fld="7" item="134"/>
          <tpl fld="6" item="3"/>
          <tpl hier="236" item="0"/>
        </tpls>
      </m>
      <m>
        <tpls c="3">
          <tpl fld="7" item="217"/>
          <tpl fld="6" item="3"/>
          <tpl hier="236" item="0"/>
        </tpls>
      </m>
      <m>
        <tpls c="4">
          <tpl fld="7" item="1062"/>
          <tpl fld="6" item="2"/>
          <tpl hier="236" item="0"/>
          <tpl fld="4" item="4"/>
        </tpls>
      </m>
      <m>
        <tpls c="4">
          <tpl fld="7" item="1038"/>
          <tpl fld="6" item="2"/>
          <tpl hier="236" item="0"/>
          <tpl fld="4" item="4"/>
        </tpls>
      </m>
      <m>
        <tpls c="4">
          <tpl fld="7" item="279"/>
          <tpl fld="6" item="2"/>
          <tpl hier="236" item="0"/>
          <tpl fld="4" item="4"/>
        </tpls>
      </m>
      <m>
        <tpls c="4">
          <tpl fld="7" item="120"/>
          <tpl fld="6" item="2"/>
          <tpl hier="236" item="0"/>
          <tpl fld="4" item="4"/>
        </tpls>
      </m>
      <m>
        <tpls c="4">
          <tpl fld="7" item="760"/>
          <tpl fld="6" item="2"/>
          <tpl hier="236" item="0"/>
          <tpl fld="4" item="6"/>
        </tpls>
      </m>
      <m>
        <tpls c="4">
          <tpl fld="7" item="250"/>
          <tpl fld="6" item="1"/>
          <tpl hier="236" item="0"/>
          <tpl fld="4" item="5"/>
        </tpls>
      </m>
      <m>
        <tpls c="4">
          <tpl fld="7" item="135"/>
          <tpl fld="6" item="1"/>
          <tpl hier="236" item="0"/>
          <tpl fld="4" item="1"/>
        </tpls>
      </m>
      <m>
        <tpls c="4">
          <tpl fld="7" item="310"/>
          <tpl fld="6" item="1"/>
          <tpl hier="236" item="0"/>
          <tpl fld="1" item="0"/>
        </tpls>
      </m>
      <n v="0" in="1">
        <tpls c="4">
          <tpl fld="7" item="169"/>
          <tpl fld="6" item="1"/>
          <tpl hier="236" item="0"/>
          <tpl fld="4" item="6"/>
        </tpls>
      </n>
      <m>
        <tpls c="3">
          <tpl fld="7" item="231"/>
          <tpl fld="6" item="3"/>
          <tpl hier="236" item="0"/>
        </tpls>
      </m>
      <m>
        <tpls c="4">
          <tpl fld="7" item="565"/>
          <tpl fld="6" item="2"/>
          <tpl hier="236" item="0"/>
          <tpl fld="4" item="4"/>
        </tpls>
      </m>
      <m>
        <tpls c="4">
          <tpl fld="7" item="991"/>
          <tpl fld="6" item="2"/>
          <tpl hier="236" item="0"/>
          <tpl fld="4" item="4"/>
        </tpls>
      </m>
      <m>
        <tpls c="4">
          <tpl fld="7" item="747"/>
          <tpl fld="6" item="2"/>
          <tpl hier="236" item="0"/>
          <tpl fld="4" item="1"/>
        </tpls>
      </m>
      <m>
        <tpls c="4">
          <tpl fld="7" item="680"/>
          <tpl fld="6" item="2"/>
          <tpl hier="236" item="0"/>
          <tpl fld="1" item="0"/>
        </tpls>
      </m>
      <m>
        <tpls c="4">
          <tpl fld="7" item="104"/>
          <tpl fld="6" item="2"/>
          <tpl hier="236" item="0"/>
          <tpl fld="4" item="5"/>
        </tpls>
      </m>
      <m>
        <tpls c="4">
          <tpl fld="7" item="279"/>
          <tpl fld="6" item="2"/>
          <tpl hier="236" item="0"/>
          <tpl fld="4" item="5"/>
        </tpls>
      </m>
      <m>
        <tpls c="4">
          <tpl fld="7" item="1103"/>
          <tpl fld="6" item="2"/>
          <tpl hier="236" item="0"/>
          <tpl fld="4" item="6"/>
        </tpls>
      </m>
      <m>
        <tpls c="4">
          <tpl fld="7" item="172"/>
          <tpl fld="6" item="2"/>
          <tpl hier="236" item="0"/>
          <tpl fld="4" item="6"/>
        </tpls>
      </m>
      <m>
        <tpls c="4">
          <tpl fld="7" item="457"/>
          <tpl fld="6" item="1"/>
          <tpl hier="236" item="0"/>
          <tpl fld="4" item="5"/>
        </tpls>
      </m>
      <m>
        <tpls c="4">
          <tpl fld="7" item="149"/>
          <tpl fld="6" item="1"/>
          <tpl hier="236" item="0"/>
          <tpl fld="4" item="5"/>
        </tpls>
      </m>
      <m>
        <tpls c="4">
          <tpl fld="7" item="1025"/>
          <tpl fld="6" item="1"/>
          <tpl hier="236" item="0"/>
          <tpl fld="4" item="1"/>
        </tpls>
      </m>
      <m>
        <tpls c="4">
          <tpl fld="7" item="490"/>
          <tpl fld="6" item="1"/>
          <tpl hier="236" item="0"/>
          <tpl fld="4" item="1"/>
        </tpls>
      </m>
      <m>
        <tpls c="4">
          <tpl fld="7" item="126"/>
          <tpl fld="6" item="1"/>
          <tpl hier="236" item="0"/>
          <tpl fld="4" item="1"/>
        </tpls>
      </m>
      <m>
        <tpls c="4">
          <tpl fld="7" item="905"/>
          <tpl fld="6" item="1"/>
          <tpl hier="236" item="0"/>
          <tpl fld="1" item="0"/>
        </tpls>
      </m>
      <m>
        <tpls c="4">
          <tpl fld="7" item="509"/>
          <tpl fld="6" item="1"/>
          <tpl hier="236" item="0"/>
          <tpl fld="1" item="0"/>
        </tpls>
      </m>
      <m>
        <tpls c="4">
          <tpl fld="7" item="308"/>
          <tpl fld="6" item="1"/>
          <tpl hier="236" item="0"/>
          <tpl fld="1" item="0"/>
        </tpls>
      </m>
      <m>
        <tpls c="4">
          <tpl fld="7" item="281"/>
          <tpl fld="6" item="1"/>
          <tpl hier="236" item="0"/>
          <tpl fld="1" item="0"/>
        </tpls>
      </m>
      <m>
        <tpls c="4">
          <tpl fld="7" item="130"/>
          <tpl fld="6" item="1"/>
          <tpl hier="236" item="0"/>
          <tpl fld="1" item="0"/>
        </tpls>
      </m>
      <m>
        <tpls c="4">
          <tpl fld="7" item="132"/>
          <tpl fld="6" item="1"/>
          <tpl hier="236" item="0"/>
          <tpl fld="4" item="6"/>
        </tpls>
      </m>
      <m>
        <tpls c="4">
          <tpl fld="7" item="397"/>
          <tpl fld="6" item="1"/>
          <tpl hier="236" item="0"/>
          <tpl fld="4" item="6"/>
        </tpls>
      </m>
      <m>
        <tpls c="3">
          <tpl fld="7" item="274"/>
          <tpl fld="6" item="3"/>
          <tpl hier="236" item="0"/>
        </tpls>
      </m>
      <m>
        <tpls c="3">
          <tpl fld="7" item="114"/>
          <tpl fld="6" item="3"/>
          <tpl hier="236" item="0"/>
        </tpls>
      </m>
      <m>
        <tpls c="4">
          <tpl fld="7" item="961"/>
          <tpl fld="6" item="2"/>
          <tpl hier="236" item="0"/>
          <tpl fld="4" item="4"/>
        </tpls>
      </m>
      <m>
        <tpls c="4">
          <tpl fld="7" item="941"/>
          <tpl fld="6" item="2"/>
          <tpl hier="236" item="0"/>
          <tpl fld="4" item="4"/>
        </tpls>
      </m>
      <m>
        <tpls c="4">
          <tpl fld="7" item="708"/>
          <tpl fld="6" item="2"/>
          <tpl hier="236" item="0"/>
          <tpl fld="4" item="4"/>
        </tpls>
      </m>
      <m>
        <tpls c="4">
          <tpl fld="7" item="230"/>
          <tpl fld="6" item="2"/>
          <tpl hier="236" item="0"/>
          <tpl fld="4" item="4"/>
        </tpls>
      </m>
      <m>
        <tpls c="4">
          <tpl fld="7" item="39"/>
          <tpl fld="6" item="2"/>
          <tpl hier="236" item="0"/>
          <tpl fld="4" item="6"/>
        </tpls>
      </m>
      <m>
        <tpls c="4">
          <tpl fld="7" item="1271"/>
          <tpl fld="6" item="1"/>
          <tpl hier="236" item="0"/>
          <tpl fld="4" item="1"/>
        </tpls>
      </m>
      <n v="7" in="1">
        <tpls c="4">
          <tpl fld="7" item="1191"/>
          <tpl fld="6" item="1"/>
          <tpl hier="236" item="0"/>
          <tpl fld="1" item="0"/>
        </tpls>
      </n>
      <m>
        <tpls c="4">
          <tpl fld="7" item="64"/>
          <tpl fld="6" item="1"/>
          <tpl hier="236" item="0"/>
          <tpl fld="1" item="0"/>
        </tpls>
      </m>
      <m>
        <tpls c="3">
          <tpl fld="7" item="792"/>
          <tpl fld="6" item="3"/>
          <tpl hier="236" item="0"/>
        </tpls>
      </m>
      <m>
        <tpls c="4">
          <tpl fld="7" item="1163"/>
          <tpl fld="6" item="2"/>
          <tpl hier="236" item="0"/>
          <tpl fld="4" item="4"/>
        </tpls>
      </m>
      <m>
        <tpls c="4">
          <tpl fld="7" item="231"/>
          <tpl fld="6" item="2"/>
          <tpl hier="236" item="0"/>
          <tpl fld="4" item="4"/>
        </tpls>
      </m>
      <n v="1" in="1">
        <tpls c="4">
          <tpl fld="7" item="655"/>
          <tpl fld="6" item="1"/>
          <tpl hier="236" item="0"/>
          <tpl fld="1" item="0"/>
        </tpls>
      </n>
      <n v="1" in="1">
        <tpls c="4">
          <tpl fld="7" item="1027"/>
          <tpl fld="6" item="1"/>
          <tpl hier="236" item="0"/>
          <tpl fld="4" item="4"/>
        </tpls>
      </n>
      <m>
        <tpls c="4">
          <tpl fld="7" item="143"/>
          <tpl fld="6" item="2"/>
          <tpl hier="236" item="0"/>
          <tpl fld="1" item="0"/>
        </tpls>
      </m>
      <m>
        <tpls c="4">
          <tpl fld="7" item="307"/>
          <tpl fld="6" item="2"/>
          <tpl hier="236" item="0"/>
          <tpl fld="4" item="5"/>
        </tpls>
      </m>
      <m>
        <tpls c="4">
          <tpl fld="7" item="980"/>
          <tpl fld="6" item="2"/>
          <tpl hier="236" item="0"/>
          <tpl fld="4" item="4"/>
        </tpls>
      </m>
      <m>
        <tpls c="4">
          <tpl fld="7" item="621"/>
          <tpl fld="6" item="1"/>
          <tpl hier="236" item="0"/>
          <tpl fld="4" item="1"/>
        </tpls>
      </m>
      <m>
        <tpls c="4">
          <tpl fld="7" item="780"/>
          <tpl fld="6" item="2"/>
          <tpl hier="236" item="0"/>
          <tpl fld="4" item="1"/>
        </tpls>
      </m>
      <n v="2" in="1">
        <tpls c="4">
          <tpl fld="7" item="584"/>
          <tpl fld="6" item="1"/>
          <tpl hier="236" item="0"/>
          <tpl fld="4" item="1"/>
        </tpls>
      </n>
      <m>
        <tpls c="4">
          <tpl fld="7" item="815"/>
          <tpl fld="6" item="1"/>
          <tpl hier="236" item="0"/>
          <tpl fld="4" item="5"/>
        </tpls>
      </m>
      <m>
        <tpls c="4">
          <tpl fld="7" item="1287"/>
          <tpl fld="6" item="2"/>
          <tpl hier="236" item="0"/>
          <tpl fld="4" item="1"/>
        </tpls>
      </m>
      <n v="1" in="2">
        <tpls c="4">
          <tpl fld="7" item="772"/>
          <tpl fld="6" item="2"/>
          <tpl hier="236" item="0"/>
          <tpl fld="4" item="1"/>
        </tpls>
      </n>
      <m>
        <tpls c="4">
          <tpl fld="7" item="801"/>
          <tpl fld="6" item="1"/>
          <tpl hier="236" item="0"/>
          <tpl fld="4" item="1"/>
        </tpls>
      </m>
      <m>
        <tpls c="4">
          <tpl fld="7" item="812"/>
          <tpl fld="6" item="1"/>
          <tpl hier="236" item="0"/>
          <tpl fld="1" item="0"/>
        </tpls>
      </m>
      <m>
        <tpls c="4">
          <tpl fld="7" item="1215"/>
          <tpl fld="6" item="2"/>
          <tpl hier="236" item="0"/>
          <tpl fld="4" item="6"/>
        </tpls>
      </m>
      <m>
        <tpls c="4">
          <tpl fld="7" item="1264"/>
          <tpl fld="6" item="2"/>
          <tpl hier="236" item="0"/>
          <tpl fld="1" item="0"/>
        </tpls>
      </m>
      <m>
        <tpls c="4">
          <tpl fld="7" item="847"/>
          <tpl fld="6" item="1"/>
          <tpl hier="236" item="0"/>
          <tpl fld="4" item="4"/>
        </tpls>
      </m>
      <n v="2" in="1">
        <tpls c="4">
          <tpl fld="7" item="863"/>
          <tpl fld="6" item="1"/>
          <tpl hier="236" item="0"/>
          <tpl fld="4" item="4"/>
        </tpls>
      </n>
      <n v="2" in="1">
        <tpls c="4">
          <tpl fld="7" item="944"/>
          <tpl fld="6" item="1"/>
          <tpl hier="236" item="0"/>
          <tpl fld="4" item="4"/>
        </tpls>
      </n>
      <m>
        <tpls c="4">
          <tpl fld="7" item="846"/>
          <tpl fld="6" item="2"/>
          <tpl hier="236" item="0"/>
          <tpl fld="1" item="0"/>
        </tpls>
      </m>
      <m>
        <tpls c="4">
          <tpl fld="7" item="415"/>
          <tpl fld="6" item="2"/>
          <tpl hier="236" item="0"/>
          <tpl fld="1" item="0"/>
        </tpls>
      </m>
      <m>
        <tpls c="4">
          <tpl fld="7" item="702"/>
          <tpl fld="6" item="2"/>
          <tpl hier="236" item="0"/>
          <tpl fld="1" item="0"/>
        </tpls>
      </m>
      <m>
        <tpls c="4">
          <tpl fld="7" item="585"/>
          <tpl fld="6" item="2"/>
          <tpl hier="236" item="0"/>
          <tpl fld="1" item="0"/>
        </tpls>
      </m>
      <m>
        <tpls c="4">
          <tpl fld="7" item="994"/>
          <tpl fld="6" item="1"/>
          <tpl hier="236" item="0"/>
          <tpl fld="4" item="1"/>
        </tpls>
      </m>
      <m>
        <tpls c="4">
          <tpl fld="7" item="656"/>
          <tpl fld="6" item="2"/>
          <tpl hier="236" item="0"/>
          <tpl fld="4" item="5"/>
        </tpls>
      </m>
      <n v="24" in="1">
        <tpls c="4">
          <tpl fld="7" item="745"/>
          <tpl fld="6" item="1"/>
          <tpl hier="236" item="0"/>
          <tpl fld="4" item="4"/>
        </tpls>
      </n>
      <m>
        <tpls c="4">
          <tpl fld="7" item="841"/>
          <tpl fld="6" item="2"/>
          <tpl hier="236" item="0"/>
          <tpl fld="4" item="1"/>
        </tpls>
      </m>
      <m>
        <tpls c="4">
          <tpl fld="7" item="857"/>
          <tpl fld="6" item="2"/>
          <tpl hier="236" item="0"/>
          <tpl fld="4" item="1"/>
        </tpls>
      </m>
      <m>
        <tpls c="4">
          <tpl fld="7" item="937"/>
          <tpl fld="6" item="2"/>
          <tpl hier="236" item="0"/>
          <tpl fld="4" item="1"/>
        </tpls>
      </m>
      <m>
        <tpls c="4">
          <tpl fld="7" item="977"/>
          <tpl fld="6" item="2"/>
          <tpl hier="236" item="0"/>
          <tpl fld="4" item="1"/>
        </tpls>
      </m>
      <m>
        <tpls c="4">
          <tpl fld="7" item="499"/>
          <tpl fld="6" item="2"/>
          <tpl hier="236" item="0"/>
          <tpl fld="1" item="0"/>
        </tpls>
      </m>
      <m>
        <tpls c="4">
          <tpl fld="7" item="128"/>
          <tpl fld="6" item="2"/>
          <tpl hier="236" item="0"/>
          <tpl fld="1" item="0"/>
        </tpls>
      </m>
      <m>
        <tpls c="4">
          <tpl fld="7" item="510"/>
          <tpl fld="6" item="2"/>
          <tpl hier="236" item="0"/>
          <tpl fld="4" item="5"/>
        </tpls>
      </m>
      <m>
        <tpls c="4">
          <tpl fld="7" item="733"/>
          <tpl fld="6" item="2"/>
          <tpl hier="236" item="0"/>
          <tpl fld="4" item="6"/>
        </tpls>
      </m>
      <m>
        <tpls c="4">
          <tpl fld="7" item="1252"/>
          <tpl fld="6" item="1"/>
          <tpl hier="236" item="0"/>
          <tpl fld="4" item="4"/>
        </tpls>
      </m>
      <m>
        <tpls c="4">
          <tpl fld="7" item="329"/>
          <tpl fld="6" item="2"/>
          <tpl hier="236" item="0"/>
          <tpl fld="1" item="0"/>
        </tpls>
      </m>
      <m>
        <tpls c="4">
          <tpl fld="7" item="488"/>
          <tpl fld="6" item="2"/>
          <tpl hier="236" item="0"/>
          <tpl fld="4" item="5"/>
        </tpls>
      </m>
      <m>
        <tpls c="4">
          <tpl fld="7" item="1027"/>
          <tpl fld="6" item="2"/>
          <tpl hier="236" item="0"/>
          <tpl fld="4" item="6"/>
        </tpls>
      </m>
      <m>
        <tpls c="4">
          <tpl fld="7" item="208"/>
          <tpl fld="6" item="2"/>
          <tpl hier="236" item="0"/>
          <tpl fld="4" item="6"/>
        </tpls>
      </m>
      <m>
        <tpls c="4">
          <tpl fld="7" item="1025"/>
          <tpl fld="6" item="1"/>
          <tpl hier="236" item="0"/>
          <tpl fld="4" item="5"/>
        </tpls>
      </m>
      <m>
        <tpls c="4">
          <tpl fld="7" item="82"/>
          <tpl fld="6" item="1"/>
          <tpl hier="236" item="0"/>
          <tpl fld="4" item="5"/>
        </tpls>
      </m>
      <n v="6" in="1">
        <tpls c="4">
          <tpl fld="7" item="1055"/>
          <tpl fld="6" item="1"/>
          <tpl hier="236" item="0"/>
          <tpl fld="4" item="1"/>
        </tpls>
      </n>
      <n v="12" in="1">
        <tpls c="4">
          <tpl fld="7" item="524"/>
          <tpl fld="6" item="1"/>
          <tpl hier="236" item="0"/>
          <tpl fld="4" item="1"/>
        </tpls>
      </n>
      <m>
        <tpls c="4">
          <tpl fld="7" item="41"/>
          <tpl fld="6" item="1"/>
          <tpl hier="236" item="0"/>
          <tpl fld="4" item="1"/>
        </tpls>
      </m>
      <n v="10" in="1">
        <tpls c="4">
          <tpl fld="7" item="830"/>
          <tpl fld="6" item="1"/>
          <tpl hier="236" item="0"/>
          <tpl fld="1" item="0"/>
        </tpls>
      </n>
      <m>
        <tpls c="4">
          <tpl fld="7" item="1098"/>
          <tpl fld="6" item="1"/>
          <tpl hier="236" item="0"/>
          <tpl fld="4" item="5"/>
        </tpls>
      </m>
      <n v="1" in="1">
        <tpls c="4">
          <tpl fld="7" item="1044"/>
          <tpl fld="6" item="1"/>
          <tpl hier="236" item="0"/>
          <tpl fld="4" item="4"/>
        </tpls>
      </n>
      <m>
        <tpls c="4">
          <tpl fld="7" item="218"/>
          <tpl fld="6" item="2"/>
          <tpl hier="236" item="0"/>
          <tpl fld="1" item="0"/>
        </tpls>
      </m>
      <m>
        <tpls c="4">
          <tpl fld="7" item="846"/>
          <tpl fld="6" item="2"/>
          <tpl hier="236" item="0"/>
          <tpl fld="4" item="5"/>
        </tpls>
      </m>
      <m>
        <tpls c="4">
          <tpl fld="7" item="436"/>
          <tpl fld="6" item="2"/>
          <tpl hier="236" item="0"/>
          <tpl fld="4" item="5"/>
        </tpls>
      </m>
      <m>
        <tpls c="4">
          <tpl fld="7" item="317"/>
          <tpl fld="6" item="2"/>
          <tpl hier="236" item="0"/>
          <tpl fld="4" item="5"/>
        </tpls>
      </m>
      <m>
        <tpls c="4">
          <tpl fld="7" item="50"/>
          <tpl fld="6" item="2"/>
          <tpl hier="236" item="0"/>
          <tpl fld="4" item="5"/>
        </tpls>
      </m>
      <m>
        <tpls c="4">
          <tpl fld="7" item="249"/>
          <tpl fld="6" item="2"/>
          <tpl hier="236" item="0"/>
          <tpl fld="4" item="5"/>
        </tpls>
      </m>
      <m>
        <tpls c="4">
          <tpl fld="7" item="12"/>
          <tpl fld="6" item="2"/>
          <tpl hier="236" item="0"/>
          <tpl fld="4" item="5"/>
        </tpls>
      </m>
      <m>
        <tpls c="4">
          <tpl fld="7" item="1116"/>
          <tpl fld="6" item="2"/>
          <tpl hier="236" item="0"/>
          <tpl fld="4" item="6"/>
        </tpls>
      </m>
      <n v="1" in="2">
        <tpls c="4">
          <tpl fld="7" item="374"/>
          <tpl fld="6" item="2"/>
          <tpl hier="236" item="0"/>
          <tpl fld="4" item="6"/>
        </tpls>
      </n>
      <m>
        <tpls c="4">
          <tpl fld="7" item="103"/>
          <tpl fld="6" item="2"/>
          <tpl hier="236" item="0"/>
          <tpl fld="4" item="6"/>
        </tpls>
      </m>
      <m>
        <tpls c="4">
          <tpl fld="7" item="293"/>
          <tpl fld="6" item="2"/>
          <tpl hier="236" item="0"/>
          <tpl fld="4" item="6"/>
        </tpls>
      </m>
      <m>
        <tpls c="4">
          <tpl fld="7" item="250"/>
          <tpl fld="6" item="2"/>
          <tpl hier="236" item="0"/>
          <tpl fld="4" item="6"/>
        </tpls>
      </m>
      <n v="1" in="1">
        <tpls c="4">
          <tpl fld="7" item="1126"/>
          <tpl fld="6" item="1"/>
          <tpl hier="236" item="0"/>
          <tpl fld="4" item="5"/>
        </tpls>
      </n>
      <n v="2" in="1">
        <tpls c="4">
          <tpl fld="7" item="1003"/>
          <tpl fld="6" item="1"/>
          <tpl hier="236" item="0"/>
          <tpl fld="4" item="5"/>
        </tpls>
      </n>
      <m>
        <tpls c="4">
          <tpl fld="7" item="508"/>
          <tpl fld="6" item="1"/>
          <tpl hier="236" item="0"/>
          <tpl fld="4" item="5"/>
        </tpls>
      </m>
      <m>
        <tpls c="4">
          <tpl fld="7" item="101"/>
          <tpl fld="6" item="1"/>
          <tpl hier="236" item="0"/>
          <tpl fld="4" item="5"/>
        </tpls>
      </m>
      <m>
        <tpls c="4">
          <tpl fld="7" item="296"/>
          <tpl fld="6" item="1"/>
          <tpl hier="236" item="0"/>
          <tpl fld="4" item="5"/>
        </tpls>
      </m>
      <m>
        <tpls c="4">
          <tpl fld="7" item="276"/>
          <tpl fld="6" item="1"/>
          <tpl hier="236" item="0"/>
          <tpl fld="4" item="5"/>
        </tpls>
      </m>
      <m>
        <tpls c="4">
          <tpl fld="7" item="21"/>
          <tpl fld="6" item="1"/>
          <tpl hier="236" item="0"/>
          <tpl fld="4" item="5"/>
        </tpls>
      </m>
      <m>
        <tpls c="4">
          <tpl fld="7" item="965"/>
          <tpl fld="6" item="1"/>
          <tpl hier="236" item="0"/>
          <tpl fld="4" item="1"/>
        </tpls>
      </m>
      <m>
        <tpls c="4">
          <tpl fld="7" item="947"/>
          <tpl fld="6" item="1"/>
          <tpl hier="236" item="0"/>
          <tpl fld="4" item="1"/>
        </tpls>
      </m>
      <m>
        <tpls c="4">
          <tpl fld="7" item="931"/>
          <tpl fld="6" item="1"/>
          <tpl hier="236" item="0"/>
          <tpl fld="4" item="1"/>
        </tpls>
      </m>
      <m>
        <tpls c="4">
          <tpl fld="7" item="1222"/>
          <tpl fld="6" item="1"/>
          <tpl hier="236" item="0"/>
          <tpl fld="4" item="1"/>
        </tpls>
      </m>
      <n v="4" in="1">
        <tpls c="4">
          <tpl fld="7" item="1219"/>
          <tpl fld="6" item="1"/>
          <tpl hier="236" item="0"/>
          <tpl fld="4" item="1"/>
        </tpls>
      </n>
      <n v="2" in="1">
        <tpls c="4">
          <tpl fld="7" item="1216"/>
          <tpl fld="6" item="1"/>
          <tpl hier="236" item="0"/>
          <tpl fld="4" item="1"/>
        </tpls>
      </n>
      <n v="3" in="1">
        <tpls c="4">
          <tpl fld="7" item="763"/>
          <tpl fld="6" item="1"/>
          <tpl hier="236" item="0"/>
          <tpl fld="4" item="1"/>
        </tpls>
      </n>
      <m>
        <tpls c="4">
          <tpl fld="7" item="759"/>
          <tpl fld="6" item="1"/>
          <tpl hier="236" item="0"/>
          <tpl fld="4" item="1"/>
        </tpls>
      </m>
      <m>
        <tpls c="4">
          <tpl fld="7" item="419"/>
          <tpl fld="6" item="1"/>
          <tpl hier="236" item="0"/>
          <tpl fld="4" item="1"/>
        </tpls>
      </m>
      <m>
        <tpls c="4">
          <tpl fld="7" item="345"/>
          <tpl fld="6" item="1"/>
          <tpl hier="236" item="0"/>
          <tpl fld="4" item="1"/>
        </tpls>
      </m>
      <m>
        <tpls c="4">
          <tpl fld="7" item="341"/>
          <tpl fld="6" item="1"/>
          <tpl hier="236" item="0"/>
          <tpl fld="4" item="1"/>
        </tpls>
      </m>
      <m>
        <tpls c="4">
          <tpl fld="7" item="272"/>
          <tpl fld="6" item="1"/>
          <tpl hier="236" item="0"/>
          <tpl fld="4" item="1"/>
        </tpls>
      </m>
      <m>
        <tpls c="4">
          <tpl fld="7" item="253"/>
          <tpl fld="6" item="1"/>
          <tpl hier="236" item="0"/>
          <tpl fld="4" item="1"/>
        </tpls>
      </m>
      <m>
        <tpls c="4">
          <tpl fld="7" item="756"/>
          <tpl fld="6" item="1"/>
          <tpl hier="236" item="0"/>
          <tpl fld="4" item="6"/>
        </tpls>
      </m>
      <m>
        <tpls c="4">
          <tpl fld="7" item="622"/>
          <tpl fld="6" item="2"/>
          <tpl hier="236" item="0"/>
          <tpl fld="4" item="5"/>
        </tpls>
      </m>
      <n v="2" in="1">
        <tpls c="4">
          <tpl fld="7" item="719"/>
          <tpl fld="6" item="1"/>
          <tpl hier="236" item="0"/>
          <tpl fld="4" item="4"/>
        </tpls>
      </n>
      <n v="26" in="1">
        <tpls c="4">
          <tpl fld="7" item="806"/>
          <tpl fld="6" item="1"/>
          <tpl hier="236" item="0"/>
          <tpl fld="4" item="4"/>
        </tpls>
      </n>
      <m>
        <tpls c="4">
          <tpl fld="7" item="730"/>
          <tpl fld="6" item="1"/>
          <tpl hier="236" item="0"/>
          <tpl fld="4" item="6"/>
        </tpls>
      </m>
      <n v="1" in="1">
        <tpls c="4">
          <tpl fld="7" item="656"/>
          <tpl fld="6" item="1"/>
          <tpl hier="236" item="0"/>
          <tpl fld="1" item="0"/>
        </tpls>
      </n>
      <m>
        <tpls c="4">
          <tpl fld="7" item="1100"/>
          <tpl fld="6" item="2"/>
          <tpl hier="236" item="0"/>
          <tpl fld="4" item="5"/>
        </tpls>
      </m>
      <m>
        <tpls c="4">
          <tpl fld="7" item="896"/>
          <tpl fld="6" item="2"/>
          <tpl hier="236" item="0"/>
          <tpl fld="4" item="1"/>
        </tpls>
      </m>
      <m>
        <tpls c="3">
          <tpl fld="7" item="844"/>
          <tpl fld="6" item="3"/>
          <tpl hier="236" item="0"/>
        </tpls>
      </m>
      <n v="2" in="1">
        <tpls c="4">
          <tpl fld="7" item="1019"/>
          <tpl fld="6" item="1"/>
          <tpl hier="236" item="0"/>
          <tpl fld="4" item="6"/>
        </tpls>
      </n>
      <m>
        <tpls c="4">
          <tpl fld="7" item="1223"/>
          <tpl fld="6" item="2"/>
          <tpl hier="236" item="0"/>
          <tpl fld="4" item="4"/>
        </tpls>
      </m>
      <n v="1" in="1">
        <tpls c="4">
          <tpl fld="7" item="1230"/>
          <tpl fld="6" item="1"/>
          <tpl hier="236" item="0"/>
          <tpl fld="4" item="4"/>
        </tpls>
      </n>
      <m>
        <tpls c="4">
          <tpl fld="7" item="918"/>
          <tpl fld="6" item="2"/>
          <tpl hier="236" item="0"/>
          <tpl fld="1" item="0"/>
        </tpls>
      </m>
      <n v="2.6" in="2">
        <tpls c="4">
          <tpl fld="7" item="758"/>
          <tpl fld="6" item="2"/>
          <tpl hier="236" item="0"/>
          <tpl fld="1" item="0"/>
        </tpls>
      </n>
      <m>
        <tpls c="4">
          <tpl fld="7" item="54"/>
          <tpl fld="6" item="2"/>
          <tpl hier="236" item="0"/>
          <tpl fld="1" item="0"/>
        </tpls>
      </m>
      <m>
        <tpls c="4">
          <tpl fld="7" item="246"/>
          <tpl fld="6" item="2"/>
          <tpl hier="236" item="0"/>
          <tpl fld="1" item="0"/>
        </tpls>
      </m>
      <m>
        <tpls c="4">
          <tpl fld="7" item="869"/>
          <tpl fld="6" item="2"/>
          <tpl hier="236" item="0"/>
          <tpl fld="4" item="5"/>
        </tpls>
      </m>
      <m>
        <tpls c="4">
          <tpl fld="7" item="1284"/>
          <tpl fld="6" item="2"/>
          <tpl hier="236" item="0"/>
          <tpl fld="4" item="5"/>
        </tpls>
      </m>
      <m>
        <tpls c="4">
          <tpl fld="7" item="457"/>
          <tpl fld="6" item="2"/>
          <tpl hier="236" item="0"/>
          <tpl fld="4" item="5"/>
        </tpls>
      </m>
      <m>
        <tpls c="4">
          <tpl fld="7" item="365"/>
          <tpl fld="6" item="2"/>
          <tpl hier="236" item="0"/>
          <tpl fld="4" item="5"/>
        </tpls>
      </m>
      <m>
        <tpls c="4">
          <tpl fld="7" item="210"/>
          <tpl fld="6" item="2"/>
          <tpl hier="236" item="0"/>
          <tpl fld="4" item="5"/>
        </tpls>
      </m>
      <m>
        <tpls c="4">
          <tpl fld="7" item="191"/>
          <tpl fld="6" item="2"/>
          <tpl hier="236" item="0"/>
          <tpl fld="4" item="5"/>
        </tpls>
      </m>
      <m>
        <tpls c="4">
          <tpl fld="7" item="175"/>
          <tpl fld="6" item="2"/>
          <tpl hier="236" item="0"/>
          <tpl fld="4" item="5"/>
        </tpls>
      </m>
      <m>
        <tpls c="4">
          <tpl fld="7" item="59"/>
          <tpl fld="6" item="2"/>
          <tpl hier="236" item="0"/>
          <tpl fld="4" item="5"/>
        </tpls>
      </m>
      <m>
        <tpls c="4">
          <tpl fld="7" item="405"/>
          <tpl fld="6" item="2"/>
          <tpl hier="236" item="0"/>
          <tpl fld="4" item="5"/>
        </tpls>
      </m>
      <m>
        <tpls c="4">
          <tpl fld="7" item="134"/>
          <tpl fld="6" item="2"/>
          <tpl hier="236" item="0"/>
          <tpl fld="4" item="5"/>
        </tpls>
      </m>
      <m>
        <tpls c="4">
          <tpl fld="7" item="979"/>
          <tpl fld="6" item="2"/>
          <tpl hier="236" item="0"/>
          <tpl fld="4" item="5"/>
        </tpls>
      </m>
      <m>
        <tpls c="4">
          <tpl fld="7" item="860"/>
          <tpl fld="6" item="2"/>
          <tpl hier="236" item="0"/>
          <tpl fld="4" item="6"/>
        </tpls>
      </m>
      <m>
        <tpls c="4">
          <tpl fld="7" item="844"/>
          <tpl fld="6" item="2"/>
          <tpl hier="236" item="0"/>
          <tpl fld="4" item="6"/>
        </tpls>
      </m>
      <m>
        <tpls c="4">
          <tpl fld="7" item="526"/>
          <tpl fld="6" item="2"/>
          <tpl hier="236" item="0"/>
          <tpl fld="4" item="6"/>
        </tpls>
      </m>
      <m>
        <tpls c="4">
          <tpl fld="7" item="510"/>
          <tpl fld="6" item="2"/>
          <tpl hier="236" item="0"/>
          <tpl fld="4" item="6"/>
        </tpls>
      </m>
      <m>
        <tpls c="4">
          <tpl fld="7" item="494"/>
          <tpl fld="6" item="2"/>
          <tpl hier="236" item="0"/>
          <tpl fld="4" item="6"/>
        </tpls>
      </m>
      <m>
        <tpls c="4">
          <tpl fld="7" item="309"/>
          <tpl fld="6" item="2"/>
          <tpl hier="236" item="0"/>
          <tpl fld="4" item="6"/>
        </tpls>
      </m>
      <m>
        <tpls c="4">
          <tpl fld="7" item="485"/>
          <tpl fld="6" item="2"/>
          <tpl hier="236" item="0"/>
          <tpl fld="4" item="6"/>
        </tpls>
      </m>
      <m>
        <tpls c="4">
          <tpl fld="7" item="169"/>
          <tpl fld="6" item="2"/>
          <tpl hier="236" item="0"/>
          <tpl fld="4" item="6"/>
        </tpls>
      </m>
      <m>
        <tpls c="4">
          <tpl fld="7" item="249"/>
          <tpl fld="6" item="2"/>
          <tpl hier="236" item="0"/>
          <tpl fld="4" item="6"/>
        </tpls>
      </m>
      <m>
        <tpls c="4">
          <tpl fld="7" item="120"/>
          <tpl fld="6" item="2"/>
          <tpl hier="236" item="0"/>
          <tpl fld="4" item="6"/>
        </tpls>
      </m>
      <n v="1" in="1">
        <tpls c="4">
          <tpl fld="7" item="1122"/>
          <tpl fld="6" item="1"/>
          <tpl hier="236" item="0"/>
          <tpl fld="4" item="5"/>
        </tpls>
      </n>
      <m>
        <tpls c="4">
          <tpl fld="7" item="1110"/>
          <tpl fld="6" item="1"/>
          <tpl hier="236" item="0"/>
          <tpl fld="4" item="5"/>
        </tpls>
      </m>
      <m>
        <tpls c="4">
          <tpl fld="7" item="764"/>
          <tpl fld="6" item="1"/>
          <tpl hier="236" item="0"/>
          <tpl fld="4" item="5"/>
        </tpls>
      </m>
      <m>
        <tpls c="4">
          <tpl fld="7" item="760"/>
          <tpl fld="6" item="1"/>
          <tpl hier="236" item="0"/>
          <tpl fld="4" item="5"/>
        </tpls>
      </m>
      <m>
        <tpls c="4">
          <tpl fld="7" item="323"/>
          <tpl fld="6" item="1"/>
          <tpl hier="236" item="0"/>
          <tpl fld="4" item="5"/>
        </tpls>
      </m>
      <m>
        <tpls c="4">
          <tpl fld="7" item="307"/>
          <tpl fld="6" item="1"/>
          <tpl hier="236" item="0"/>
          <tpl fld="4" item="5"/>
        </tpls>
      </m>
      <m>
        <tpls c="4">
          <tpl fld="7" item="414"/>
          <tpl fld="6" item="1"/>
          <tpl hier="236" item="0"/>
          <tpl fld="4" item="5"/>
        </tpls>
      </m>
      <m>
        <tpls c="4">
          <tpl fld="7" item="876"/>
          <tpl fld="6" item="1"/>
          <tpl hier="236" item="0"/>
          <tpl fld="4" item="5"/>
        </tpls>
      </m>
      <m>
        <tpls c="4">
          <tpl fld="7" item="1082"/>
          <tpl fld="6" item="1"/>
          <tpl hier="236" item="0"/>
          <tpl fld="4" item="5"/>
        </tpls>
      </m>
      <m>
        <tpls c="4">
          <tpl fld="7" item="227"/>
          <tpl fld="6" item="1"/>
          <tpl hier="236" item="0"/>
          <tpl fld="4" item="5"/>
        </tpls>
      </m>
      <m>
        <tpls c="4">
          <tpl fld="7" item="1206"/>
          <tpl fld="6" item="1"/>
          <tpl hier="236" item="0"/>
          <tpl fld="4" item="1"/>
        </tpls>
      </m>
      <m>
        <tpls c="4">
          <tpl fld="7" item="1202"/>
          <tpl fld="6" item="1"/>
          <tpl hier="236" item="0"/>
          <tpl fld="4" item="1"/>
        </tpls>
      </m>
      <n v="6" in="1">
        <tpls c="4">
          <tpl fld="7" item="874"/>
          <tpl fld="6" item="1"/>
          <tpl hier="236" item="0"/>
          <tpl fld="4" item="1"/>
        </tpls>
      </n>
      <m>
        <tpls c="4">
          <tpl fld="7" item="861"/>
          <tpl fld="6" item="1"/>
          <tpl hier="236" item="0"/>
          <tpl fld="4" item="1"/>
        </tpls>
      </m>
      <m>
        <tpls c="4">
          <tpl fld="7" item="845"/>
          <tpl fld="6" item="1"/>
          <tpl hier="236" item="0"/>
          <tpl fld="4" item="1"/>
        </tpls>
      </m>
      <m>
        <tpls c="4">
          <tpl fld="7" item="212"/>
          <tpl fld="6" item="1"/>
          <tpl hier="236" item="0"/>
          <tpl fld="4" item="1"/>
        </tpls>
      </m>
      <n v="24" in="1">
        <tpls c="4">
          <tpl fld="7" item="446"/>
          <tpl fld="6" item="1"/>
          <tpl hier="236" item="0"/>
          <tpl fld="4" item="1"/>
        </tpls>
      </n>
      <n v="9" in="1">
        <tpls c="4">
          <tpl fld="7" item="430"/>
          <tpl fld="6" item="1"/>
          <tpl hier="236" item="0"/>
          <tpl fld="4" item="1"/>
        </tpls>
      </n>
      <m>
        <tpls c="4">
          <tpl fld="7" item="319"/>
          <tpl fld="6" item="1"/>
          <tpl hier="236" item="0"/>
          <tpl fld="4" item="1"/>
        </tpls>
      </m>
      <m>
        <tpls c="4">
          <tpl fld="7" item="186"/>
          <tpl fld="6" item="1"/>
          <tpl hier="236" item="0"/>
          <tpl fld="4" item="1"/>
        </tpls>
      </m>
      <m>
        <tpls c="4">
          <tpl fld="7" item="161"/>
          <tpl fld="6" item="1"/>
          <tpl hier="236" item="0"/>
          <tpl fld="4" item="1"/>
        </tpls>
      </m>
      <m>
        <tpls c="4">
          <tpl fld="7" item="259"/>
          <tpl fld="6" item="1"/>
          <tpl hier="236" item="0"/>
          <tpl fld="4" item="1"/>
        </tpls>
      </m>
      <m>
        <tpls c="4">
          <tpl fld="7" item="333"/>
          <tpl fld="6" item="1"/>
          <tpl hier="236" item="0"/>
          <tpl fld="4" item="1"/>
        </tpls>
      </m>
      <m>
        <tpls c="4">
          <tpl fld="7" item="668"/>
          <tpl fld="6" item="1"/>
          <tpl hier="236" item="0"/>
          <tpl fld="4" item="1"/>
        </tpls>
      </m>
      <n v="12" in="1">
        <tpls c="4">
          <tpl fld="7" item="1132"/>
          <tpl fld="6" item="1"/>
          <tpl hier="236" item="0"/>
          <tpl fld="1" item="0"/>
        </tpls>
      </n>
      <n v="3" in="1">
        <tpls c="4">
          <tpl fld="7" item="1120"/>
          <tpl fld="6" item="1"/>
          <tpl hier="236" item="0"/>
          <tpl fld="1" item="0"/>
        </tpls>
      </n>
      <m>
        <tpls c="4">
          <tpl fld="7" item="1108"/>
          <tpl fld="6" item="1"/>
          <tpl hier="236" item="0"/>
          <tpl fld="1" item="0"/>
        </tpls>
      </m>
      <n v="14" in="1">
        <tpls c="4">
          <tpl fld="7" item="1085"/>
          <tpl fld="6" item="1"/>
          <tpl hier="236" item="0"/>
          <tpl fld="1" item="0"/>
        </tpls>
      </n>
      <n v="9" in="1">
        <tpls c="4">
          <tpl fld="7" item="1084"/>
          <tpl fld="6" item="1"/>
          <tpl hier="236" item="0"/>
          <tpl fld="1" item="0"/>
        </tpls>
      </n>
      <m>
        <tpls c="4">
          <tpl fld="7" item="756"/>
          <tpl fld="6" item="1"/>
          <tpl hier="236" item="0"/>
          <tpl fld="1" item="0"/>
        </tpls>
      </m>
      <m>
        <tpls c="4">
          <tpl fld="7" item="755"/>
          <tpl fld="6" item="1"/>
          <tpl hier="236" item="0"/>
          <tpl fld="1" item="0"/>
        </tpls>
      </m>
      <n v="0" in="1">
        <tpls c="4">
          <tpl fld="7" item="179"/>
          <tpl fld="6" item="1"/>
          <tpl hier="236" item="0"/>
          <tpl fld="1" item="0"/>
        </tpls>
      </n>
      <m>
        <tpls c="4">
          <tpl fld="7" item="147"/>
          <tpl fld="6" item="1"/>
          <tpl hier="236" item="0"/>
          <tpl fld="1" item="0"/>
        </tpls>
      </m>
      <m>
        <tpls c="4">
          <tpl fld="7" item="751"/>
          <tpl fld="6" item="1"/>
          <tpl hier="236" item="0"/>
          <tpl fld="1" item="0"/>
        </tpls>
      </m>
      <n v="13" in="1">
        <tpls c="4">
          <tpl fld="7" item="1264"/>
          <tpl fld="6" item="1"/>
          <tpl hier="236" item="0"/>
          <tpl fld="4" item="6"/>
        </tpls>
      </n>
      <m>
        <tpls c="4">
          <tpl fld="7" item="75"/>
          <tpl fld="6" item="2"/>
          <tpl hier="236" item="0"/>
          <tpl fld="4" item="1"/>
        </tpls>
      </m>
      <m>
        <tpls c="3">
          <tpl fld="7" item="650"/>
          <tpl fld="6" item="3"/>
          <tpl hier="236" item="0"/>
        </tpls>
      </m>
      <m>
        <tpls c="4">
          <tpl fld="7" item="1009"/>
          <tpl fld="6" item="1"/>
          <tpl hier="236" item="0"/>
          <tpl fld="4" item="4"/>
        </tpls>
      </m>
      <m>
        <tpls c="4">
          <tpl fld="7" item="1024"/>
          <tpl fld="6" item="2"/>
          <tpl hier="236" item="0"/>
          <tpl fld="1" item="0"/>
        </tpls>
      </m>
      <m>
        <tpls c="4">
          <tpl fld="7" item="1132"/>
          <tpl fld="6" item="2"/>
          <tpl hier="236" item="0"/>
          <tpl fld="4" item="5"/>
        </tpls>
      </m>
      <m>
        <tpls c="4">
          <tpl fld="7" item="213"/>
          <tpl fld="6" item="2"/>
          <tpl hier="236" item="0"/>
          <tpl fld="4" item="5"/>
        </tpls>
      </m>
      <m>
        <tpls c="4">
          <tpl fld="7" item="147"/>
          <tpl fld="6" item="2"/>
          <tpl hier="236" item="0"/>
          <tpl fld="4" item="5"/>
        </tpls>
      </m>
      <m>
        <tpls c="4">
          <tpl fld="7" item="1010"/>
          <tpl fld="6" item="2"/>
          <tpl hier="236" item="0"/>
          <tpl fld="4" item="6"/>
        </tpls>
      </m>
      <m>
        <tpls c="4">
          <tpl fld="7" item="348"/>
          <tpl fld="6" item="2"/>
          <tpl hier="236" item="0"/>
          <tpl fld="4" item="6"/>
        </tpls>
      </m>
      <m>
        <tpls c="4">
          <tpl fld="7" item="13"/>
          <tpl fld="6" item="2"/>
          <tpl hier="236" item="0"/>
          <tpl fld="4" item="6"/>
        </tpls>
      </m>
      <m>
        <tpls c="4">
          <tpl fld="7" item="438"/>
          <tpl fld="6" item="1"/>
          <tpl hier="236" item="0"/>
          <tpl fld="4" item="5"/>
        </tpls>
      </m>
      <m>
        <tpls c="4">
          <tpl fld="7" item="168"/>
          <tpl fld="6" item="1"/>
          <tpl hier="236" item="0"/>
          <tpl fld="4" item="5"/>
        </tpls>
      </m>
      <m>
        <tpls c="4">
          <tpl fld="7" item="1151"/>
          <tpl fld="6" item="1"/>
          <tpl hier="236" item="0"/>
          <tpl fld="4" item="1"/>
        </tpls>
      </m>
      <m>
        <tpls c="4">
          <tpl fld="7" item="748"/>
          <tpl fld="6" item="1"/>
          <tpl hier="236" item="0"/>
          <tpl fld="4" item="1"/>
        </tpls>
      </m>
      <m>
        <tpls c="4">
          <tpl fld="7" item="79"/>
          <tpl fld="6" item="1"/>
          <tpl hier="236" item="0"/>
          <tpl fld="4" item="1"/>
        </tpls>
      </m>
      <m>
        <tpls c="4">
          <tpl fld="7" item="328"/>
          <tpl fld="6" item="1"/>
          <tpl hier="236" item="0"/>
          <tpl fld="4" item="1"/>
        </tpls>
      </m>
      <m>
        <tpls c="4">
          <tpl fld="7" item="916"/>
          <tpl fld="6" item="1"/>
          <tpl hier="236" item="0"/>
          <tpl fld="1" item="0"/>
        </tpls>
      </m>
      <n v="7" in="1">
        <tpls c="4">
          <tpl fld="7" item="524"/>
          <tpl fld="6" item="1"/>
          <tpl hier="236" item="0"/>
          <tpl fld="1" item="0"/>
        </tpls>
      </n>
      <n v="9" in="1">
        <tpls c="4">
          <tpl fld="7" item="432"/>
          <tpl fld="6" item="1"/>
          <tpl hier="236" item="0"/>
          <tpl fld="1" item="0"/>
        </tpls>
      </n>
      <m>
        <tpls c="4">
          <tpl fld="7" item="96"/>
          <tpl fld="6" item="1"/>
          <tpl hier="236" item="0"/>
          <tpl fld="1" item="0"/>
        </tpls>
      </m>
      <m>
        <tpls c="4">
          <tpl fld="7" item="414"/>
          <tpl fld="6" item="1"/>
          <tpl hier="236" item="0"/>
          <tpl fld="1" item="0"/>
        </tpls>
      </m>
      <m>
        <tpls c="4">
          <tpl fld="7" item="670"/>
          <tpl fld="6" item="1"/>
          <tpl hier="236" item="0"/>
          <tpl fld="1" item="0"/>
        </tpls>
      </m>
      <m>
        <tpls c="4">
          <tpl fld="7" item="16"/>
          <tpl fld="6" item="1"/>
          <tpl hier="236" item="0"/>
          <tpl fld="1" item="0"/>
        </tpls>
      </m>
      <m>
        <tpls c="4">
          <tpl fld="7" item="166"/>
          <tpl fld="6" item="1"/>
          <tpl hier="236" item="0"/>
          <tpl fld="4" item="6"/>
        </tpls>
      </m>
      <m>
        <tpls c="4">
          <tpl fld="7" item="398"/>
          <tpl fld="6" item="1"/>
          <tpl hier="236" item="0"/>
          <tpl fld="4" item="6"/>
        </tpls>
      </m>
      <m>
        <tpls c="3">
          <tpl fld="7" item="1092"/>
          <tpl fld="6" item="3"/>
          <tpl hier="236" item="0"/>
        </tpls>
      </m>
      <m>
        <tpls c="3">
          <tpl fld="7" item="21"/>
          <tpl fld="6" item="3"/>
          <tpl hier="236" item="0"/>
        </tpls>
      </m>
      <m>
        <tpls c="3">
          <tpl fld="7" item="396"/>
          <tpl fld="6" item="3"/>
          <tpl hier="236" item="0"/>
        </tpls>
      </m>
      <m>
        <tpls c="4">
          <tpl fld="7" item="1072"/>
          <tpl fld="6" item="2"/>
          <tpl hier="236" item="0"/>
          <tpl fld="4" item="4"/>
        </tpls>
      </m>
      <m>
        <tpls c="4">
          <tpl fld="7" item="1056"/>
          <tpl fld="6" item="2"/>
          <tpl hier="236" item="0"/>
          <tpl fld="4" item="4"/>
        </tpls>
      </m>
      <m>
        <tpls c="4">
          <tpl fld="7" item="1040"/>
          <tpl fld="6" item="2"/>
          <tpl hier="236" item="0"/>
          <tpl fld="4" item="4"/>
        </tpls>
      </m>
      <m>
        <tpls c="4">
          <tpl fld="7" item="568"/>
          <tpl fld="6" item="2"/>
          <tpl hier="236" item="0"/>
          <tpl fld="4" item="4"/>
        </tpls>
      </m>
      <m>
        <tpls c="4">
          <tpl fld="7" item="471"/>
          <tpl fld="6" item="2"/>
          <tpl hier="236" item="0"/>
          <tpl fld="4" item="4"/>
        </tpls>
      </m>
      <m>
        <tpls c="4">
          <tpl fld="7" item="0"/>
          <tpl fld="6" item="2"/>
          <tpl hier="236" item="0"/>
          <tpl fld="4" item="4"/>
        </tpls>
      </m>
      <n v="0.85" in="2">
        <tpls c="4">
          <tpl fld="7" item="913"/>
          <tpl fld="6" item="2"/>
          <tpl hier="236" item="0"/>
          <tpl fld="4" item="6"/>
        </tpls>
      </n>
      <m>
        <tpls c="4">
          <tpl fld="7" item="439"/>
          <tpl fld="6" item="1"/>
          <tpl hier="236" item="0"/>
          <tpl fld="4" item="5"/>
        </tpls>
      </m>
      <m>
        <tpls c="4">
          <tpl fld="7" item="203"/>
          <tpl fld="6" item="1"/>
          <tpl hier="236" item="0"/>
          <tpl fld="4" item="1"/>
        </tpls>
      </m>
      <n v="3" in="1">
        <tpls c="4">
          <tpl fld="7" item="1023"/>
          <tpl fld="6" item="1"/>
          <tpl hier="236" item="0"/>
          <tpl fld="1" item="0"/>
        </tpls>
      </n>
      <m>
        <tpls c="4">
          <tpl fld="7" item="318"/>
          <tpl fld="6" item="1"/>
          <tpl hier="236" item="0"/>
          <tpl fld="1" item="0"/>
        </tpls>
      </m>
      <m>
        <tpls c="4">
          <tpl fld="7" item="23"/>
          <tpl fld="6" item="1"/>
          <tpl hier="236" item="0"/>
          <tpl fld="1" item="0"/>
        </tpls>
      </m>
      <m>
        <tpls c="3">
          <tpl fld="7" item="1184"/>
          <tpl fld="6" item="3"/>
          <tpl hier="236" item="0"/>
        </tpls>
      </m>
      <m>
        <tpls c="4">
          <tpl fld="7" item="1179"/>
          <tpl fld="6" item="2"/>
          <tpl hier="236" item="0"/>
          <tpl fld="4" item="4"/>
        </tpls>
      </m>
      <m>
        <tpls c="4">
          <tpl fld="7" item="1133"/>
          <tpl fld="6" item="2"/>
          <tpl hier="236" item="0"/>
          <tpl fld="4" item="4"/>
        </tpls>
      </m>
      <m>
        <tpls c="4">
          <tpl fld="7" item="464"/>
          <tpl fld="6" item="2"/>
          <tpl hier="236" item="0"/>
          <tpl fld="1" item="0"/>
        </tpls>
      </m>
      <n v="1" in="1">
        <tpls c="4">
          <tpl fld="7" item="891"/>
          <tpl fld="6" item="1"/>
          <tpl hier="236" item="0"/>
          <tpl fld="4" item="5"/>
        </tpls>
      </n>
      <n v="9" in="1">
        <tpls c="4">
          <tpl fld="7" item="1012"/>
          <tpl fld="6" item="1"/>
          <tpl hier="236" item="0"/>
          <tpl fld="4" item="4"/>
        </tpls>
      </n>
      <m>
        <tpls c="4">
          <tpl fld="7" item="1009"/>
          <tpl fld="6" item="2"/>
          <tpl hier="236" item="0"/>
          <tpl fld="1" item="0"/>
        </tpls>
      </m>
      <m>
        <tpls c="4">
          <tpl fld="7" item="1125"/>
          <tpl fld="6" item="2"/>
          <tpl hier="236" item="0"/>
          <tpl fld="4" item="5"/>
        </tpls>
      </m>
      <m>
        <tpls c="4">
          <tpl fld="7" item="193"/>
          <tpl fld="6" item="2"/>
          <tpl hier="236" item="0"/>
          <tpl fld="4" item="5"/>
        </tpls>
      </m>
      <m>
        <tpls c="4">
          <tpl fld="7" item="142"/>
          <tpl fld="6" item="2"/>
          <tpl hier="236" item="0"/>
          <tpl fld="4" item="5"/>
        </tpls>
      </m>
      <m>
        <tpls c="4">
          <tpl fld="7" item="1109"/>
          <tpl fld="6" item="2"/>
          <tpl hier="236" item="0"/>
          <tpl fld="4" item="6"/>
        </tpls>
      </m>
      <m>
        <tpls c="4">
          <tpl fld="7" item="488"/>
          <tpl fld="6" item="2"/>
          <tpl hier="236" item="0"/>
          <tpl fld="4" item="6"/>
        </tpls>
      </m>
      <m>
        <tpls c="4">
          <tpl fld="7" item="869"/>
          <tpl fld="6" item="1"/>
          <tpl hier="236" item="0"/>
          <tpl fld="4" item="5"/>
        </tpls>
      </m>
      <m>
        <tpls c="4">
          <tpl fld="7" item="433"/>
          <tpl fld="6" item="1"/>
          <tpl hier="236" item="0"/>
          <tpl fld="4" item="5"/>
        </tpls>
      </m>
      <m>
        <tpls c="4">
          <tpl fld="7" item="258"/>
          <tpl fld="6" item="1"/>
          <tpl hier="236" item="0"/>
          <tpl fld="4" item="5"/>
        </tpls>
      </m>
      <m>
        <tpls c="4">
          <tpl fld="7" item="1146"/>
          <tpl fld="6" item="1"/>
          <tpl hier="236" item="0"/>
          <tpl fld="4" item="1"/>
        </tpls>
      </m>
      <m>
        <tpls c="4">
          <tpl fld="7" item="195"/>
          <tpl fld="6" item="1"/>
          <tpl hier="236" item="0"/>
          <tpl fld="4" item="1"/>
        </tpls>
      </m>
      <m>
        <tpls c="4">
          <tpl fld="7" item="74"/>
          <tpl fld="6" item="1"/>
          <tpl hier="236" item="0"/>
          <tpl fld="4" item="1"/>
        </tpls>
      </m>
      <m>
        <tpls c="4">
          <tpl fld="7" item="397"/>
          <tpl fld="6" item="1"/>
          <tpl hier="236" item="0"/>
          <tpl fld="4" item="1"/>
        </tpls>
      </m>
      <n v="7" in="1">
        <tpls c="4">
          <tpl fld="7" item="914"/>
          <tpl fld="6" item="1"/>
          <tpl hier="236" item="0"/>
          <tpl fld="1" item="0"/>
        </tpls>
      </n>
      <n v="3" in="1">
        <tpls c="4">
          <tpl fld="7" item="381"/>
          <tpl fld="6" item="1"/>
          <tpl hier="236" item="0"/>
          <tpl fld="1" item="0"/>
        </tpls>
      </n>
      <n v="6" in="1">
        <tpls c="4">
          <tpl fld="7" item="501"/>
          <tpl fld="6" item="1"/>
          <tpl hier="236" item="0"/>
          <tpl fld="1" item="0"/>
        </tpls>
      </n>
      <m>
        <tpls c="4">
          <tpl fld="7" item="202"/>
          <tpl fld="6" item="1"/>
          <tpl hier="236" item="0"/>
          <tpl fld="1" item="0"/>
        </tpls>
      </m>
      <m>
        <tpls c="4">
          <tpl fld="7" item="289"/>
          <tpl fld="6" item="1"/>
          <tpl hier="236" item="0"/>
          <tpl fld="1" item="0"/>
        </tpls>
      </m>
      <m>
        <tpls c="4">
          <tpl fld="7" item="332"/>
          <tpl fld="6" item="1"/>
          <tpl hier="236" item="0"/>
          <tpl fld="1" item="0"/>
        </tpls>
      </m>
      <m>
        <tpls c="4">
          <tpl fld="7" item="122"/>
          <tpl fld="6" item="1"/>
          <tpl hier="236" item="0"/>
          <tpl fld="1" item="0"/>
        </tpls>
      </m>
      <m>
        <tpls c="4">
          <tpl fld="7" item="400"/>
          <tpl fld="6" item="1"/>
          <tpl hier="236" item="0"/>
          <tpl fld="4" item="6"/>
        </tpls>
      </m>
      <m>
        <tpls c="4">
          <tpl fld="7" item="224"/>
          <tpl fld="6" item="1"/>
          <tpl hier="236" item="0"/>
          <tpl fld="4" item="6"/>
        </tpls>
      </m>
      <m>
        <tpls c="3">
          <tpl fld="7" item="630"/>
          <tpl fld="6" item="3"/>
          <tpl hier="236" item="0"/>
        </tpls>
      </m>
      <m>
        <tpls c="3">
          <tpl fld="7" item="16"/>
          <tpl fld="6" item="3"/>
          <tpl hier="236" item="0"/>
        </tpls>
      </m>
      <m>
        <tpls c="3">
          <tpl fld="7" item="0"/>
          <tpl fld="6" item="3"/>
          <tpl hier="236" item="0"/>
        </tpls>
      </m>
      <m>
        <tpls c="4">
          <tpl fld="7" item="967"/>
          <tpl fld="6" item="2"/>
          <tpl hier="236" item="0"/>
          <tpl fld="4" item="4"/>
        </tpls>
      </m>
      <m>
        <tpls c="4">
          <tpl fld="7" item="951"/>
          <tpl fld="6" item="2"/>
          <tpl hier="236" item="0"/>
          <tpl fld="4" item="4"/>
        </tpls>
      </m>
      <m>
        <tpls c="4">
          <tpl fld="7" item="935"/>
          <tpl fld="6" item="2"/>
          <tpl hier="236" item="0"/>
          <tpl fld="4" item="4"/>
        </tpls>
      </m>
      <n v="1" in="2">
        <tpls c="4">
          <tpl fld="7" item="710"/>
          <tpl fld="6" item="2"/>
          <tpl hier="236" item="0"/>
          <tpl fld="4" item="4"/>
        </tpls>
      </n>
      <m>
        <tpls c="4">
          <tpl fld="7" item="328"/>
          <tpl fld="6" item="2"/>
          <tpl hier="236" item="0"/>
          <tpl fld="4" item="4"/>
        </tpls>
      </m>
      <m>
        <tpls c="4">
          <tpl fld="7" item="919"/>
          <tpl fld="6" item="2"/>
          <tpl hier="236" item="0"/>
          <tpl fld="4" item="6"/>
        </tpls>
      </m>
      <n v="1" in="1">
        <tpls c="4">
          <tpl fld="7" item="839"/>
          <tpl fld="6" item="1"/>
          <tpl hier="236" item="0"/>
          <tpl fld="4" item="5"/>
        </tpls>
      </n>
      <n v="1" in="1">
        <tpls c="4">
          <tpl fld="7" item="1221"/>
          <tpl fld="6" item="1"/>
          <tpl hier="236" item="0"/>
          <tpl fld="4" item="1"/>
        </tpls>
      </n>
      <m>
        <tpls c="4">
          <tpl fld="7" item="0"/>
          <tpl fld="6" item="1"/>
          <tpl hier="236" item="0"/>
          <tpl fld="4" item="1"/>
        </tpls>
      </m>
      <m>
        <tpls c="4">
          <tpl fld="7" item="212"/>
          <tpl fld="6" item="1"/>
          <tpl hier="236" item="0"/>
          <tpl fld="1" item="0"/>
        </tpls>
      </m>
      <m>
        <tpls c="4">
          <tpl fld="7" item="132"/>
          <tpl fld="6" item="1"/>
          <tpl hier="236" item="0"/>
          <tpl fld="1" item="0"/>
        </tpls>
      </m>
      <m>
        <tpls c="4">
          <tpl fld="7" item="325"/>
          <tpl fld="6" item="1"/>
          <tpl hier="236" item="0"/>
          <tpl fld="4" item="6"/>
        </tpls>
      </m>
      <m>
        <tpls c="4">
          <tpl fld="7" item="1181"/>
          <tpl fld="6" item="2"/>
          <tpl hier="236" item="0"/>
          <tpl fld="4" item="4"/>
        </tpls>
      </m>
      <n v="1.5999999999999999" in="2">
        <tpls c="4">
          <tpl fld="7" item="1031"/>
          <tpl fld="6" item="2"/>
          <tpl hier="236" item="0"/>
          <tpl fld="4" item="4"/>
        </tpls>
      </n>
      <n v="3" in="2">
        <tpls c="4">
          <tpl fld="7" item="540"/>
          <tpl fld="6" item="2"/>
          <tpl hier="236" item="0"/>
          <tpl fld="1" item="0"/>
        </tpls>
      </n>
      <m>
        <tpls c="4">
          <tpl fld="7" item="652"/>
          <tpl fld="6" item="2"/>
          <tpl hier="236" item="0"/>
          <tpl fld="1" item="0"/>
        </tpls>
      </m>
      <m>
        <tpls c="4">
          <tpl fld="7" item="1219"/>
          <tpl fld="6" item="2"/>
          <tpl hier="236" item="0"/>
          <tpl fld="4" item="1"/>
        </tpls>
      </m>
      <m>
        <tpls c="4">
          <tpl fld="7" item="1006"/>
          <tpl fld="6" item="2"/>
          <tpl hier="236" item="0"/>
          <tpl fld="1" item="0"/>
        </tpls>
      </m>
      <m>
        <tpls c="4">
          <tpl fld="7" item="860"/>
          <tpl fld="6" item="2"/>
          <tpl hier="236" item="0"/>
          <tpl fld="4" item="5"/>
        </tpls>
      </m>
      <m>
        <tpls c="4">
          <tpl fld="7" item="350"/>
          <tpl fld="6" item="2"/>
          <tpl hier="236" item="0"/>
          <tpl fld="4" item="5"/>
        </tpls>
      </m>
      <m>
        <tpls c="4">
          <tpl fld="7" item="141"/>
          <tpl fld="6" item="2"/>
          <tpl hier="236" item="0"/>
          <tpl fld="4" item="5"/>
        </tpls>
      </m>
      <m>
        <tpls c="4">
          <tpl fld="7" item="1243"/>
          <tpl fld="6" item="2"/>
          <tpl hier="236" item="0"/>
          <tpl fld="4" item="6"/>
        </tpls>
      </m>
      <m>
        <tpls c="4">
          <tpl fld="7" item="755"/>
          <tpl fld="6" item="2"/>
          <tpl hier="236" item="0"/>
          <tpl fld="4" item="6"/>
        </tpls>
      </m>
      <m>
        <tpls c="4">
          <tpl fld="7" item="868"/>
          <tpl fld="6" item="1"/>
          <tpl hier="236" item="0"/>
          <tpl fld="4" item="5"/>
        </tpls>
      </m>
      <n v="1" in="1">
        <tpls c="4">
          <tpl fld="7" item="432"/>
          <tpl fld="6" item="1"/>
          <tpl hier="236" item="0"/>
          <tpl fld="4" item="5"/>
        </tpls>
      </n>
      <m>
        <tpls c="4">
          <tpl fld="7" item="254"/>
          <tpl fld="6" item="1"/>
          <tpl hier="236" item="0"/>
          <tpl fld="4" item="5"/>
        </tpls>
      </m>
      <m>
        <tpls c="4">
          <tpl fld="7" item="1145"/>
          <tpl fld="6" item="1"/>
          <tpl hier="236" item="0"/>
          <tpl fld="4" item="1"/>
        </tpls>
      </m>
      <n v="3" in="1">
        <tpls c="4">
          <tpl fld="7" item="386"/>
          <tpl fld="6" item="1"/>
          <tpl hier="236" item="0"/>
          <tpl fld="4" item="1"/>
        </tpls>
      </n>
      <m>
        <tpls c="4">
          <tpl fld="7" item="73"/>
          <tpl fld="6" item="1"/>
          <tpl hier="236" item="0"/>
          <tpl fld="4" item="1"/>
        </tpls>
      </m>
      <m>
        <tpls c="4">
          <tpl fld="7" item="467"/>
          <tpl fld="6" item="1"/>
          <tpl hier="236" item="0"/>
          <tpl fld="4" item="1"/>
        </tpls>
      </m>
      <n v="3" in="1">
        <tpls c="4">
          <tpl fld="7" item="1246"/>
          <tpl fld="6" item="1"/>
          <tpl hier="236" item="0"/>
          <tpl fld="1" item="0"/>
        </tpls>
      </n>
      <n v="2" in="1">
        <tpls c="4">
          <tpl fld="7" item="522"/>
          <tpl fld="6" item="1"/>
          <tpl hier="236" item="0"/>
          <tpl fld="1" item="0"/>
        </tpls>
      </n>
      <n v="15" in="1">
        <tpls c="4">
          <tpl fld="7" item="430"/>
          <tpl fld="6" item="1"/>
          <tpl hier="236" item="0"/>
          <tpl fld="1" item="0"/>
        </tpls>
      </n>
      <m>
        <tpls c="4">
          <tpl fld="7" item="94"/>
          <tpl fld="6" item="1"/>
          <tpl hier="236" item="0"/>
          <tpl fld="1" item="0"/>
        </tpls>
      </m>
      <m>
        <tpls c="4">
          <tpl fld="7" item="484"/>
          <tpl fld="6" item="1"/>
          <tpl hier="236" item="0"/>
          <tpl fld="1" item="0"/>
        </tpls>
      </m>
      <m>
        <tpls c="4">
          <tpl fld="7" item="1082"/>
          <tpl fld="6" item="1"/>
          <tpl hier="236" item="0"/>
          <tpl fld="1" item="0"/>
        </tpls>
      </m>
      <m>
        <tpls c="4">
          <tpl fld="7" item="14"/>
          <tpl fld="6" item="1"/>
          <tpl hier="236" item="0"/>
          <tpl fld="1" item="0"/>
        </tpls>
      </m>
      <m>
        <tpls c="4">
          <tpl fld="7" item="402"/>
          <tpl fld="6" item="1"/>
          <tpl hier="236" item="0"/>
          <tpl fld="4" item="6"/>
        </tpls>
      </m>
      <m>
        <tpls c="4">
          <tpl fld="7" item="115"/>
          <tpl fld="6" item="1"/>
          <tpl hier="236" item="0"/>
          <tpl fld="4" item="6"/>
        </tpls>
      </m>
      <m>
        <tpls c="3">
          <tpl fld="7" item="709"/>
          <tpl fld="6" item="3"/>
          <tpl hier="236" item="0"/>
        </tpls>
      </m>
      <m>
        <tpls c="3">
          <tpl fld="7" item="14"/>
          <tpl fld="6" item="3"/>
          <tpl hier="236" item="0"/>
        </tpls>
      </m>
      <m>
        <tpls c="3">
          <tpl fld="7" item="226"/>
          <tpl fld="6" item="3"/>
          <tpl hier="236" item="0"/>
        </tpls>
      </m>
      <m>
        <tpls c="4">
          <tpl fld="7" item="1281"/>
          <tpl fld="6" item="2"/>
          <tpl hier="236" item="0"/>
          <tpl fld="4" item="4"/>
        </tpls>
      </m>
      <m>
        <tpls c="4">
          <tpl fld="7" item="1280"/>
          <tpl fld="6" item="2"/>
          <tpl hier="236" item="0"/>
          <tpl fld="4" item="4"/>
        </tpls>
      </m>
      <m>
        <tpls c="4">
          <tpl fld="7" item="1279"/>
          <tpl fld="6" item="2"/>
          <tpl hier="236" item="0"/>
          <tpl fld="4" item="4"/>
        </tpls>
      </m>
      <m>
        <tpls c="4">
          <tpl fld="7" item="791"/>
          <tpl fld="6" item="2"/>
          <tpl hier="236" item="0"/>
          <tpl fld="4" item="4"/>
        </tpls>
      </m>
      <m>
        <tpls c="4">
          <tpl fld="7" item="979"/>
          <tpl fld="6" item="2"/>
          <tpl hier="236" item="0"/>
          <tpl fld="4" item="4"/>
        </tpls>
      </m>
      <m>
        <tpls c="4">
          <tpl fld="7" item="115"/>
          <tpl fld="6" item="2"/>
          <tpl hier="236" item="0"/>
          <tpl fld="4" item="4"/>
        </tpls>
      </m>
      <m>
        <tpls c="4">
          <tpl fld="7" item="644"/>
          <tpl fld="6" item="1"/>
          <tpl hier="236" item="0"/>
          <tpl fld="4" item="5"/>
        </tpls>
      </m>
      <m>
        <tpls c="4">
          <tpl fld="7" item="748"/>
          <tpl fld="6" item="1"/>
          <tpl hier="236" item="0"/>
          <tpl fld="4" item="6"/>
        </tpls>
      </m>
      <n v="35" in="1">
        <tpls c="4">
          <tpl fld="7" item="1053"/>
          <tpl fld="6" item="1"/>
          <tpl hier="236" item="0"/>
          <tpl fld="4" item="4"/>
        </tpls>
      </n>
      <m>
        <tpls c="4">
          <tpl fld="7" item="4"/>
          <tpl fld="6" item="2"/>
          <tpl hier="236" item="0"/>
          <tpl fld="1" item="0"/>
        </tpls>
      </m>
      <m>
        <tpls c="4">
          <tpl fld="7" item="429"/>
          <tpl fld="6" item="2"/>
          <tpl hier="236" item="0"/>
          <tpl fld="4" item="5"/>
        </tpls>
      </m>
      <m>
        <tpls c="4">
          <tpl fld="7" item="269"/>
          <tpl fld="6" item="2"/>
          <tpl hier="236" item="0"/>
          <tpl fld="4" item="5"/>
        </tpls>
      </m>
      <m>
        <tpls c="4">
          <tpl fld="7" item="759"/>
          <tpl fld="6" item="2"/>
          <tpl hier="236" item="0"/>
          <tpl fld="4" item="6"/>
        </tpls>
      </m>
      <m>
        <tpls c="4">
          <tpl fld="7" item="184"/>
          <tpl fld="6" item="1"/>
          <tpl hier="236" item="0"/>
          <tpl fld="4" item="5"/>
        </tpls>
      </m>
      <m>
        <tpls c="4">
          <tpl fld="7" item="99"/>
          <tpl fld="6" item="1"/>
          <tpl hier="236" item="0"/>
          <tpl fld="4" item="1"/>
        </tpls>
      </m>
      <m>
        <tpls c="4">
          <tpl fld="7" item="456"/>
          <tpl fld="6" item="1"/>
          <tpl hier="236" item="0"/>
          <tpl fld="1" item="0"/>
        </tpls>
      </m>
      <m>
        <tpls c="4">
          <tpl fld="7" item="343"/>
          <tpl fld="6" item="1"/>
          <tpl hier="236" item="0"/>
          <tpl fld="1" item="0"/>
        </tpls>
      </m>
      <m>
        <tpls c="4">
          <tpl fld="7" item="589"/>
          <tpl fld="6" item="1"/>
          <tpl hier="236" item="0"/>
          <tpl fld="4" item="6"/>
        </tpls>
      </m>
      <m>
        <tpls c="3">
          <tpl fld="7" item="18"/>
          <tpl fld="6" item="3"/>
          <tpl hier="236" item="0"/>
        </tpls>
      </m>
      <m>
        <tpls c="4">
          <tpl fld="7" item="1158"/>
          <tpl fld="6" item="2"/>
          <tpl hier="236" item="0"/>
          <tpl fld="4" item="4"/>
        </tpls>
      </m>
      <m>
        <tpls c="4">
          <tpl fld="7" item="237"/>
          <tpl fld="6" item="2"/>
          <tpl hier="236" item="0"/>
          <tpl fld="4" item="4"/>
        </tpls>
      </m>
      <m>
        <tpls c="4">
          <tpl fld="7" item="715"/>
          <tpl fld="6" item="2"/>
          <tpl hier="236" item="0"/>
          <tpl fld="4" item="5"/>
        </tpls>
      </m>
      <m>
        <tpls c="4">
          <tpl fld="7" item="571"/>
          <tpl fld="6" item="2"/>
          <tpl hier="236" item="0"/>
          <tpl fld="4" item="4"/>
        </tpls>
      </m>
      <m>
        <tpls c="4">
          <tpl fld="7" item="1099"/>
          <tpl fld="6" item="2"/>
          <tpl hier="236" item="0"/>
          <tpl fld="1" item="0"/>
        </tpls>
      </m>
      <m>
        <tpls c="4">
          <tpl fld="7" item="421"/>
          <tpl fld="6" item="2"/>
          <tpl hier="236" item="0"/>
          <tpl fld="1" item="0"/>
        </tpls>
      </m>
      <m>
        <tpls c="4">
          <tpl fld="7" item="641"/>
          <tpl fld="6" item="1"/>
          <tpl hier="236" item="0"/>
          <tpl fld="4" item="5"/>
        </tpls>
      </m>
      <n v="6" in="1">
        <tpls c="4">
          <tpl fld="7" item="817"/>
          <tpl fld="6" item="1"/>
          <tpl hier="236" item="0"/>
          <tpl fld="1" item="0"/>
        </tpls>
      </n>
      <n v="0.55000000000000004" in="2">
        <tpls c="4">
          <tpl fld="7" item="830"/>
          <tpl fld="6" item="2"/>
          <tpl hier="236" item="0"/>
          <tpl fld="4" item="4"/>
        </tpls>
      </n>
      <m>
        <tpls c="4">
          <tpl fld="7" item="1121"/>
          <tpl fld="6" item="2"/>
          <tpl hier="236" item="0"/>
          <tpl fld="4" item="1"/>
        </tpls>
      </m>
      <m>
        <tpls c="4">
          <tpl fld="7" item="950"/>
          <tpl fld="6" item="1"/>
          <tpl hier="236" item="0"/>
          <tpl fld="4" item="4"/>
        </tpls>
      </m>
      <m>
        <tpls c="4">
          <tpl fld="7" item="364"/>
          <tpl fld="6" item="2"/>
          <tpl hier="236" item="0"/>
          <tpl fld="1" item="0"/>
        </tpls>
      </m>
      <m>
        <tpls c="4">
          <tpl fld="7" item="563"/>
          <tpl fld="6" item="2"/>
          <tpl hier="236" item="0"/>
          <tpl fld="4" item="4"/>
        </tpls>
      </m>
      <m>
        <tpls c="4">
          <tpl fld="7" item="807"/>
          <tpl fld="6" item="2"/>
          <tpl hier="236" item="0"/>
          <tpl fld="4" item="6"/>
        </tpls>
      </m>
      <m>
        <tpls c="3">
          <tpl fld="7" item="737"/>
          <tpl fld="6" item="3"/>
          <tpl hier="236" item="0"/>
        </tpls>
      </m>
      <m>
        <tpls c="3">
          <tpl fld="7" item="898"/>
          <tpl fld="6" item="3"/>
          <tpl hier="236" item="0"/>
        </tpls>
      </m>
      <m>
        <tpls c="4">
          <tpl fld="7" item="917"/>
          <tpl fld="6" item="2"/>
          <tpl hier="236" item="0"/>
          <tpl fld="4" item="4"/>
        </tpls>
      </m>
      <m>
        <tpls c="4">
          <tpl fld="7" item="959"/>
          <tpl fld="6" item="2"/>
          <tpl hier="236" item="0"/>
          <tpl fld="4" item="1"/>
        </tpls>
      </m>
      <m>
        <tpls c="4">
          <tpl fld="7" item="91"/>
          <tpl fld="6" item="2"/>
          <tpl hier="236" item="0"/>
          <tpl fld="1" item="0"/>
        </tpls>
      </m>
      <m>
        <tpls c="4">
          <tpl fld="7" item="1218"/>
          <tpl fld="6" item="2"/>
          <tpl hier="236" item="0"/>
          <tpl fld="4" item="5"/>
        </tpls>
      </m>
      <m>
        <tpls c="4">
          <tpl fld="7" item="1099"/>
          <tpl fld="6" item="2"/>
          <tpl hier="236" item="0"/>
          <tpl fld="4" item="1"/>
        </tpls>
      </m>
      <m>
        <tpls c="4">
          <tpl fld="7" item="199"/>
          <tpl fld="6" item="2"/>
          <tpl hier="236" item="0"/>
          <tpl fld="1" item="0"/>
        </tpls>
      </m>
      <m>
        <tpls c="4">
          <tpl fld="7" item="295"/>
          <tpl fld="6" item="2"/>
          <tpl hier="236" item="0"/>
          <tpl fld="4" item="5"/>
        </tpls>
      </m>
      <m>
        <tpls c="4">
          <tpl fld="7" item="451"/>
          <tpl fld="6" item="2"/>
          <tpl hier="236" item="0"/>
          <tpl fld="4" item="6"/>
        </tpls>
      </m>
      <m>
        <tpls c="4">
          <tpl fld="7" item="1016"/>
          <tpl fld="6" item="1"/>
          <tpl hier="236" item="0"/>
          <tpl fld="4" item="5"/>
        </tpls>
      </m>
      <m>
        <tpls c="4">
          <tpl fld="7" item="130"/>
          <tpl fld="6" item="1"/>
          <tpl hier="236" item="0"/>
          <tpl fld="4" item="5"/>
        </tpls>
      </m>
      <n v="3" in="1">
        <tpls c="4">
          <tpl fld="7" item="512"/>
          <tpl fld="6" item="1"/>
          <tpl hier="236" item="0"/>
          <tpl fld="4" item="1"/>
        </tpls>
      </n>
      <m>
        <tpls c="4">
          <tpl fld="7" item="866"/>
          <tpl fld="6" item="1"/>
          <tpl hier="236" item="0"/>
          <tpl fld="1" item="0"/>
        </tpls>
      </m>
      <m>
        <tpls c="4">
          <tpl fld="7" item="658"/>
          <tpl fld="6" item="2"/>
          <tpl hier="236" item="0"/>
          <tpl fld="1" item="0"/>
        </tpls>
      </m>
      <m>
        <tpls c="4">
          <tpl fld="7" item="1083"/>
          <tpl fld="6" item="2"/>
          <tpl hier="236" item="0"/>
          <tpl fld="1" item="0"/>
        </tpls>
      </m>
      <m>
        <tpls c="4">
          <tpl fld="7" item="903"/>
          <tpl fld="6" item="2"/>
          <tpl hier="236" item="0"/>
          <tpl fld="4" item="5"/>
        </tpls>
      </m>
      <m>
        <tpls c="4">
          <tpl fld="7" item="106"/>
          <tpl fld="6" item="2"/>
          <tpl hier="236" item="0"/>
          <tpl fld="4" item="5"/>
        </tpls>
      </m>
      <m>
        <tpls c="4">
          <tpl fld="7" item="158"/>
          <tpl fld="6" item="2"/>
          <tpl hier="236" item="0"/>
          <tpl fld="4" item="5"/>
        </tpls>
      </m>
      <m>
        <tpls c="4">
          <tpl fld="7" item="117"/>
          <tpl fld="6" item="2"/>
          <tpl hier="236" item="0"/>
          <tpl fld="4" item="5"/>
        </tpls>
      </m>
      <m>
        <tpls c="4">
          <tpl fld="7" item="1113"/>
          <tpl fld="6" item="2"/>
          <tpl hier="236" item="0"/>
          <tpl fld="4" item="6"/>
        </tpls>
      </m>
      <m>
        <tpls c="4">
          <tpl fld="7" item="359"/>
          <tpl fld="6" item="2"/>
          <tpl hier="236" item="0"/>
          <tpl fld="4" item="6"/>
        </tpls>
      </m>
      <m>
        <tpls c="4">
          <tpl fld="7" item="289"/>
          <tpl fld="6" item="2"/>
          <tpl hier="236" item="0"/>
          <tpl fld="4" item="6"/>
        </tpls>
      </m>
      <m>
        <tpls c="4">
          <tpl fld="7" item="328"/>
          <tpl fld="6" item="2"/>
          <tpl hier="236" item="0"/>
          <tpl fld="4" item="6"/>
        </tpls>
      </m>
      <m>
        <tpls c="4">
          <tpl fld="7" item="1000"/>
          <tpl fld="6" item="1"/>
          <tpl hier="236" item="0"/>
          <tpl fld="4" item="5"/>
        </tpls>
      </m>
      <m>
        <tpls c="4">
          <tpl fld="7" item="103"/>
          <tpl fld="6" item="1"/>
          <tpl hier="236" item="0"/>
          <tpl fld="4" item="5"/>
        </tpls>
      </m>
      <m>
        <tpls c="4">
          <tpl fld="7" item="277"/>
          <tpl fld="6" item="1"/>
          <tpl hier="236" item="0"/>
          <tpl fld="4" item="5"/>
        </tpls>
      </m>
      <m>
        <tpls c="4">
          <tpl fld="7" item="966"/>
          <tpl fld="6" item="1"/>
          <tpl hier="236" item="0"/>
          <tpl fld="4" item="1"/>
        </tpls>
      </m>
      <n v="0" in="1">
        <tpls c="4">
          <tpl fld="7" item="932"/>
          <tpl fld="6" item="1"/>
          <tpl hier="236" item="0"/>
          <tpl fld="4" item="1"/>
        </tpls>
      </n>
      <n v="4" in="1">
        <tpls c="4">
          <tpl fld="7" item="1116"/>
          <tpl fld="6" item="1"/>
          <tpl hier="236" item="0"/>
          <tpl fld="4" item="1"/>
        </tpls>
      </n>
      <n v="2" in="1">
        <tpls c="4">
          <tpl fld="7" item="1085"/>
          <tpl fld="6" item="1"/>
          <tpl hier="236" item="0"/>
          <tpl fld="4" item="1"/>
        </tpls>
      </n>
      <m>
        <tpls c="4">
          <tpl fld="7" item="420"/>
          <tpl fld="6" item="1"/>
          <tpl hier="236" item="0"/>
          <tpl fld="4" item="1"/>
        </tpls>
      </m>
      <m>
        <tpls c="4">
          <tpl fld="7" item="412"/>
          <tpl fld="6" item="1"/>
          <tpl hier="236" item="0"/>
          <tpl fld="4" item="1"/>
        </tpls>
      </m>
      <m>
        <tpls c="4">
          <tpl fld="7" item="254"/>
          <tpl fld="6" item="1"/>
          <tpl hier="236" item="0"/>
          <tpl fld="4" item="1"/>
        </tpls>
      </m>
      <m>
        <tpls c="4">
          <tpl fld="7" item="557"/>
          <tpl fld="6" item="1"/>
          <tpl hier="236" item="0"/>
          <tpl fld="4" item="4"/>
        </tpls>
      </m>
      <m>
        <tpls c="4">
          <tpl fld="7" item="724"/>
          <tpl fld="6" item="1"/>
          <tpl hier="236" item="0"/>
          <tpl fld="1" item="0"/>
        </tpls>
      </m>
      <m>
        <tpls c="4">
          <tpl fld="7" item="892"/>
          <tpl fld="6" item="2"/>
          <tpl hier="236" item="0"/>
          <tpl fld="4" item="1"/>
        </tpls>
      </m>
      <n v="3" in="1">
        <tpls c="4">
          <tpl fld="7" item="1190"/>
          <tpl fld="6" item="1"/>
          <tpl hier="236" item="0"/>
          <tpl fld="4" item="4"/>
        </tpls>
      </n>
      <m>
        <tpls c="3">
          <tpl fld="7" item="856"/>
          <tpl fld="6" item="3"/>
          <tpl hier="236" item="0"/>
        </tpls>
      </m>
      <n v="32" in="1">
        <tpls c="4">
          <tpl fld="7" item="1280"/>
          <tpl fld="6" item="1"/>
          <tpl hier="236" item="0"/>
          <tpl fld="4" item="4"/>
        </tpls>
      </n>
      <m>
        <tpls c="4">
          <tpl fld="7" item="759"/>
          <tpl fld="6" item="2"/>
          <tpl hier="236" item="0"/>
          <tpl fld="1" item="0"/>
        </tpls>
      </m>
      <m>
        <tpls c="4">
          <tpl fld="7" item="248"/>
          <tpl fld="6" item="2"/>
          <tpl hier="236" item="0"/>
          <tpl fld="1" item="0"/>
        </tpls>
      </m>
      <m>
        <tpls c="4">
          <tpl fld="7" item="847"/>
          <tpl fld="6" item="2"/>
          <tpl hier="236" item="0"/>
          <tpl fld="4" item="5"/>
        </tpls>
      </m>
      <m>
        <tpls c="4">
          <tpl fld="7" item="437"/>
          <tpl fld="6" item="2"/>
          <tpl hier="236" item="0"/>
          <tpl fld="4" item="5"/>
        </tpls>
      </m>
      <m>
        <tpls c="4">
          <tpl fld="7" item="171"/>
          <tpl fld="6" item="2"/>
          <tpl hier="236" item="0"/>
          <tpl fld="4" item="5"/>
        </tpls>
      </m>
      <m>
        <tpls c="4">
          <tpl fld="7" item="60"/>
          <tpl fld="6" item="2"/>
          <tpl hier="236" item="0"/>
          <tpl fld="4" item="5"/>
        </tpls>
      </m>
      <m>
        <tpls c="4">
          <tpl fld="7" item="238"/>
          <tpl fld="6" item="2"/>
          <tpl hier="236" item="0"/>
          <tpl fld="4" item="5"/>
        </tpls>
      </m>
      <m>
        <tpls c="4">
          <tpl fld="7" item="861"/>
          <tpl fld="6" item="2"/>
          <tpl hier="236" item="0"/>
          <tpl fld="4" item="6"/>
        </tpls>
      </m>
      <m>
        <tpls c="4">
          <tpl fld="7" item="527"/>
          <tpl fld="6" item="2"/>
          <tpl hier="236" item="0"/>
          <tpl fld="4" item="6"/>
        </tpls>
      </m>
      <m>
        <tpls c="4">
          <tpl fld="7" item="495"/>
          <tpl fld="6" item="2"/>
          <tpl hier="236" item="0"/>
          <tpl fld="4" item="6"/>
        </tpls>
      </m>
      <m>
        <tpls c="4">
          <tpl fld="7" item="342"/>
          <tpl fld="6" item="2"/>
          <tpl hier="236" item="0"/>
          <tpl fld="4" item="6"/>
        </tpls>
      </m>
      <m>
        <tpls c="4">
          <tpl fld="7" item="330"/>
          <tpl fld="6" item="2"/>
          <tpl hier="236" item="0"/>
          <tpl fld="4" item="6"/>
        </tpls>
      </m>
      <m>
        <tpls c="4">
          <tpl fld="7" item="1014"/>
          <tpl fld="6" item="1"/>
          <tpl hier="236" item="0"/>
          <tpl fld="4" item="5"/>
        </tpls>
      </m>
      <n v="3" in="1">
        <tpls c="4">
          <tpl fld="7" item="982"/>
          <tpl fld="6" item="1"/>
          <tpl hier="236" item="0"/>
          <tpl fld="4" item="5"/>
        </tpls>
      </n>
      <m>
        <tpls c="4">
          <tpl fld="7" item="673"/>
          <tpl fld="6" item="1"/>
          <tpl hier="236" item="0"/>
          <tpl fld="4" item="5"/>
        </tpls>
      </m>
      <m>
        <tpls c="4">
          <tpl fld="7" item="1226"/>
          <tpl fld="6" item="1"/>
          <tpl hier="236" item="0"/>
          <tpl fld="4" item="1"/>
        </tpls>
      </m>
      <n v="12" in="1">
        <tpls c="4">
          <tpl fld="7" item="379"/>
          <tpl fld="6" item="1"/>
          <tpl hier="236" item="0"/>
          <tpl fld="1" item="0"/>
        </tpls>
      </n>
      <m>
        <tpls c="4">
          <tpl fld="7" item="61"/>
          <tpl fld="6" item="2"/>
          <tpl hier="236" item="0"/>
          <tpl fld="4" item="6"/>
        </tpls>
      </m>
      <m>
        <tpls c="4">
          <tpl fld="7" item="469"/>
          <tpl fld="6" item="1"/>
          <tpl hier="236" item="0"/>
          <tpl fld="4" item="1"/>
        </tpls>
      </m>
      <m>
        <tpls c="4">
          <tpl fld="7" item="74"/>
          <tpl fld="6" item="1"/>
          <tpl hier="236" item="0"/>
          <tpl fld="1" item="0"/>
        </tpls>
      </m>
      <m>
        <tpls c="3">
          <tpl fld="7" item="20"/>
          <tpl fld="6" item="3"/>
          <tpl hier="236" item="0"/>
        </tpls>
      </m>
      <m>
        <tpls c="4">
          <tpl fld="7" item="481"/>
          <tpl fld="6" item="2"/>
          <tpl hier="236" item="0"/>
          <tpl fld="4" item="4"/>
        </tpls>
      </m>
      <m>
        <tpls c="4">
          <tpl fld="7" item="76"/>
          <tpl fld="6" item="1"/>
          <tpl hier="236" item="0"/>
          <tpl fld="1" item="0"/>
        </tpls>
      </m>
      <m>
        <tpls c="4">
          <tpl fld="7" item="1282"/>
          <tpl fld="6" item="2"/>
          <tpl hier="236" item="0"/>
          <tpl fld="4" item="1"/>
        </tpls>
      </m>
      <m>
        <tpls c="4">
          <tpl fld="7" item="1221"/>
          <tpl fld="6" item="2"/>
          <tpl hier="236" item="0"/>
          <tpl fld="4" item="6"/>
        </tpls>
      </m>
      <m>
        <tpls c="4">
          <tpl fld="7" item="348"/>
          <tpl fld="6" item="1"/>
          <tpl hier="236" item="0"/>
          <tpl fld="4" item="5"/>
        </tpls>
      </m>
      <m>
        <tpls c="4">
          <tpl fld="7" item="314"/>
          <tpl fld="6" item="1"/>
          <tpl hier="236" item="0"/>
          <tpl fld="4" item="1"/>
        </tpls>
      </m>
      <n v="0" in="1">
        <tpls c="4">
          <tpl fld="7" item="514"/>
          <tpl fld="6" item="1"/>
          <tpl hier="236" item="0"/>
          <tpl fld="1" item="0"/>
        </tpls>
      </n>
      <m>
        <tpls c="4">
          <tpl fld="7" item="254"/>
          <tpl fld="6" item="1"/>
          <tpl hier="236" item="0"/>
          <tpl fld="1" item="0"/>
        </tpls>
      </m>
      <m>
        <tpls c="3">
          <tpl fld="7" item="827"/>
          <tpl fld="6" item="3"/>
          <tpl hier="236" item="0"/>
        </tpls>
      </m>
      <m>
        <tpls c="4">
          <tpl fld="7" item="1209"/>
          <tpl fld="6" item="2"/>
          <tpl hier="236" item="0"/>
          <tpl fld="4" item="4"/>
        </tpls>
      </m>
      <m>
        <tpls c="4">
          <tpl fld="7" item="169"/>
          <tpl fld="6" item="2"/>
          <tpl hier="236" item="0"/>
          <tpl fld="4" item="4"/>
        </tpls>
      </m>
      <m>
        <tpls c="4">
          <tpl fld="7" item="893"/>
          <tpl fld="6" item="1"/>
          <tpl hier="236" item="0"/>
          <tpl fld="4" item="5"/>
        </tpls>
      </m>
      <m>
        <tpls c="4">
          <tpl fld="7" item="303"/>
          <tpl fld="6" item="2"/>
          <tpl hier="236" item="0"/>
          <tpl fld="4" item="5"/>
        </tpls>
      </m>
      <n v="0" in="1">
        <tpls c="4">
          <tpl fld="7" item="1243"/>
          <tpl fld="6" item="1"/>
          <tpl hier="236" item="0"/>
          <tpl fld="4" item="1"/>
        </tpls>
      </n>
      <m>
        <tpls c="4">
          <tpl fld="7" item="129"/>
          <tpl fld="6" item="1"/>
          <tpl hier="236" item="0"/>
          <tpl fld="4" item="6"/>
        </tpls>
      </m>
      <m>
        <tpls c="4">
          <tpl fld="7" item="419"/>
          <tpl fld="6" item="2"/>
          <tpl hier="236" item="0"/>
          <tpl fld="4" item="1"/>
        </tpls>
      </m>
      <m>
        <tpls c="4">
          <tpl fld="7" item="579"/>
          <tpl fld="6" item="2"/>
          <tpl hier="236" item="0"/>
          <tpl fld="4" item="1"/>
        </tpls>
      </m>
      <m>
        <tpls c="4">
          <tpl fld="7" item="799"/>
          <tpl fld="6" item="1"/>
          <tpl hier="236" item="0"/>
          <tpl fld="4" item="4"/>
        </tpls>
      </m>
      <m>
        <tpls c="4">
          <tpl fld="7" item="745"/>
          <tpl fld="6" item="2"/>
          <tpl hier="236" item="0"/>
          <tpl fld="1" item="0"/>
        </tpls>
      </m>
      <m>
        <tpls c="4">
          <tpl fld="7" item="954"/>
          <tpl fld="6" item="1"/>
          <tpl hier="236" item="0"/>
          <tpl fld="4" item="4"/>
        </tpls>
      </m>
      <m>
        <tpls c="4">
          <tpl fld="7" item="628"/>
          <tpl fld="6" item="2"/>
          <tpl hier="236" item="0"/>
          <tpl fld="1" item="0"/>
        </tpls>
      </m>
      <m>
        <tpls c="4">
          <tpl fld="7" item="658"/>
          <tpl fld="6" item="2"/>
          <tpl hier="236" item="0"/>
          <tpl fld="4" item="1"/>
        </tpls>
      </m>
      <m>
        <tpls c="4">
          <tpl fld="7" item="861"/>
          <tpl fld="6" item="2"/>
          <tpl hier="236" item="0"/>
          <tpl fld="4" item="1"/>
        </tpls>
      </m>
      <m>
        <tpls c="4">
          <tpl fld="7" item="491"/>
          <tpl fld="6" item="2"/>
          <tpl hier="236" item="0"/>
          <tpl fld="1" item="0"/>
        </tpls>
      </m>
      <n v="1" in="1">
        <tpls c="4">
          <tpl fld="7" item="822"/>
          <tpl fld="6" item="1"/>
          <tpl hier="236" item="0"/>
          <tpl fld="4" item="1"/>
        </tpls>
      </n>
      <m>
        <tpls c="4">
          <tpl fld="7" item="287"/>
          <tpl fld="6" item="2"/>
          <tpl hier="236" item="0"/>
          <tpl fld="4" item="5"/>
        </tpls>
      </m>
      <m>
        <tpls c="4">
          <tpl fld="7" item="370"/>
          <tpl fld="6" item="1"/>
          <tpl hier="236" item="0"/>
          <tpl fld="4" item="5"/>
        </tpls>
      </m>
      <m>
        <tpls c="4">
          <tpl fld="7" item="298"/>
          <tpl fld="6" item="1"/>
          <tpl hier="236" item="0"/>
          <tpl fld="4" item="1"/>
        </tpls>
      </m>
      <m>
        <tpls c="4">
          <tpl fld="7" item="1008"/>
          <tpl fld="6" item="2"/>
          <tpl hier="236" item="0"/>
          <tpl fld="4" item="1"/>
        </tpls>
      </m>
      <m>
        <tpls c="4">
          <tpl fld="7" item="761"/>
          <tpl fld="6" item="2"/>
          <tpl hier="236" item="0"/>
          <tpl fld="4" item="5"/>
        </tpls>
      </m>
      <m>
        <tpls c="4">
          <tpl fld="7" item="243"/>
          <tpl fld="6" item="2"/>
          <tpl hier="236" item="0"/>
          <tpl fld="4" item="5"/>
        </tpls>
      </m>
      <m>
        <tpls c="4">
          <tpl fld="7" item="357"/>
          <tpl fld="6" item="2"/>
          <tpl hier="236" item="0"/>
          <tpl fld="4" item="6"/>
        </tpls>
      </m>
      <m>
        <tpls c="4">
          <tpl fld="7" item="238"/>
          <tpl fld="6" item="2"/>
          <tpl hier="236" item="0"/>
          <tpl fld="4" item="6"/>
        </tpls>
      </m>
      <m>
        <tpls c="4">
          <tpl fld="7" item="496"/>
          <tpl fld="6" item="1"/>
          <tpl hier="236" item="0"/>
          <tpl fld="4" item="5"/>
        </tpls>
      </m>
      <m>
        <tpls c="4">
          <tpl fld="7" item="964"/>
          <tpl fld="6" item="1"/>
          <tpl hier="236" item="0"/>
          <tpl fld="4" item="1"/>
        </tpls>
      </m>
      <m>
        <tpls c="4">
          <tpl fld="7" item="908"/>
          <tpl fld="6" item="1"/>
          <tpl hier="236" item="0"/>
          <tpl fld="4" item="1"/>
        </tpls>
      </m>
      <m>
        <tpls c="4">
          <tpl fld="7" item="101"/>
          <tpl fld="6" item="1"/>
          <tpl hier="236" item="0"/>
          <tpl fld="4" item="1"/>
        </tpls>
      </m>
      <n v="5" in="1">
        <tpls c="4">
          <tpl fld="7" item="431"/>
          <tpl fld="6" item="1"/>
          <tpl hier="236" item="0"/>
          <tpl fld="4" item="4"/>
        </tpls>
      </n>
      <m>
        <tpls c="4">
          <tpl fld="7" item="812"/>
          <tpl fld="6" item="1"/>
          <tpl hier="236" item="0"/>
          <tpl fld="4" item="1"/>
        </tpls>
      </m>
      <m>
        <tpls c="4">
          <tpl fld="7" item="1108"/>
          <tpl fld="6" item="1"/>
          <tpl hier="236" item="0"/>
          <tpl fld="4" item="4"/>
        </tpls>
      </m>
      <m>
        <tpls c="4">
          <tpl fld="7" item="915"/>
          <tpl fld="6" item="2"/>
          <tpl hier="236" item="0"/>
          <tpl fld="1" item="0"/>
        </tpls>
      </m>
      <m>
        <tpls c="4">
          <tpl fld="7" item="867"/>
          <tpl fld="6" item="2"/>
          <tpl hier="236" item="0"/>
          <tpl fld="4" item="5"/>
        </tpls>
      </m>
      <m>
        <tpls c="4">
          <tpl fld="7" item="206"/>
          <tpl fld="6" item="2"/>
          <tpl hier="236" item="0"/>
          <tpl fld="4" item="5"/>
        </tpls>
      </m>
      <m>
        <tpls c="4">
          <tpl fld="7" item="332"/>
          <tpl fld="6" item="2"/>
          <tpl hier="236" item="0"/>
          <tpl fld="4" item="5"/>
        </tpls>
      </m>
      <m>
        <tpls c="4">
          <tpl fld="7" item="835"/>
          <tpl fld="6" item="2"/>
          <tpl hier="236" item="0"/>
          <tpl fld="4" item="6"/>
        </tpls>
      </m>
      <m>
        <tpls c="4">
          <tpl fld="7" item="673"/>
          <tpl fld="6" item="2"/>
          <tpl hier="236" item="0"/>
          <tpl fld="4" item="6"/>
        </tpls>
      </m>
      <n v="1" in="1">
        <tpls c="4">
          <tpl fld="7" item="1272"/>
          <tpl fld="6" item="1"/>
          <tpl hier="236" item="0"/>
          <tpl fld="4" item="5"/>
        </tpls>
      </n>
      <m>
        <tpls c="4">
          <tpl fld="7" item="322"/>
          <tpl fld="6" item="1"/>
          <tpl hier="236" item="0"/>
          <tpl fld="4" item="5"/>
        </tpls>
      </m>
      <m>
        <tpls c="4">
          <tpl fld="7" item="242"/>
          <tpl fld="6" item="1"/>
          <tpl hier="236" item="0"/>
          <tpl fld="4" item="5"/>
        </tpls>
      </m>
      <n v="2" in="1">
        <tpls c="4">
          <tpl fld="7" item="1279"/>
          <tpl fld="6" item="1"/>
          <tpl hier="236" item="0"/>
          <tpl fld="4" item="1"/>
        </tpls>
      </n>
      <n v="8" in="1">
        <tpls c="4">
          <tpl fld="7" item="453"/>
          <tpl fld="6" item="1"/>
          <tpl hier="236" item="0"/>
          <tpl fld="4" item="1"/>
        </tpls>
      </n>
      <m>
        <tpls c="4">
          <tpl fld="7" item="177"/>
          <tpl fld="6" item="1"/>
          <tpl hier="236" item="0"/>
          <tpl fld="4" item="1"/>
        </tpls>
      </m>
      <n v="0" in="1">
        <tpls c="4">
          <tpl fld="7" item="1223"/>
          <tpl fld="6" item="1"/>
          <tpl hier="236" item="0"/>
          <tpl fld="1" item="0"/>
        </tpls>
      </n>
      <n v="0" in="1">
        <tpls c="4">
          <tpl fld="7" item="759"/>
          <tpl fld="6" item="1"/>
          <tpl hier="236" item="0"/>
          <tpl fld="1" item="0"/>
        </tpls>
      </n>
      <m>
        <tpls c="4">
          <tpl fld="7" item="476"/>
          <tpl fld="6" item="1"/>
          <tpl hier="236" item="0"/>
          <tpl fld="1" item="0"/>
        </tpls>
      </m>
      <n v="4" in="1">
        <tpls c="4">
          <tpl fld="7" item="813"/>
          <tpl fld="6" item="1"/>
          <tpl hier="236" item="0"/>
          <tpl fld="4" item="4"/>
        </tpls>
      </n>
      <m>
        <tpls c="4">
          <tpl fld="7" item="197"/>
          <tpl fld="6" item="2"/>
          <tpl hier="236" item="0"/>
          <tpl fld="4" item="5"/>
        </tpls>
      </m>
      <m>
        <tpls c="4">
          <tpl fld="7" item="838"/>
          <tpl fld="6" item="1"/>
          <tpl hier="236" item="0"/>
          <tpl fld="4" item="5"/>
        </tpls>
      </m>
      <m>
        <tpls c="4">
          <tpl fld="7" item="75"/>
          <tpl fld="6" item="1"/>
          <tpl hier="236" item="0"/>
          <tpl fld="4" item="1"/>
        </tpls>
      </m>
      <n v="7" in="1">
        <tpls c="4">
          <tpl fld="7" item="360"/>
          <tpl fld="6" item="1"/>
          <tpl hier="236" item="0"/>
          <tpl fld="1" item="0"/>
        </tpls>
      </n>
      <m>
        <tpls c="4">
          <tpl fld="7" item="231"/>
          <tpl fld="6" item="1"/>
          <tpl hier="236" item="0"/>
          <tpl fld="1" item="0"/>
        </tpls>
      </m>
      <m>
        <tpls c="3">
          <tpl fld="7" item="17"/>
          <tpl fld="6" item="3"/>
          <tpl hier="236" item="0"/>
        </tpls>
      </m>
      <m>
        <tpls c="4">
          <tpl fld="7" item="1039"/>
          <tpl fld="6" item="2"/>
          <tpl hier="236" item="0"/>
          <tpl fld="4" item="4"/>
        </tpls>
      </m>
      <n v="0.35" in="2">
        <tpls c="4">
          <tpl fld="7" item="764"/>
          <tpl fld="6" item="2"/>
          <tpl hier="236" item="0"/>
          <tpl fld="4" item="6"/>
        </tpls>
      </n>
      <m>
        <tpls c="4">
          <tpl fld="7" item="314"/>
          <tpl fld="6" item="1"/>
          <tpl hier="236" item="0"/>
          <tpl fld="1" item="0"/>
        </tpls>
      </m>
      <m>
        <tpls c="4">
          <tpl fld="7" item="828"/>
          <tpl fld="6" item="2"/>
          <tpl hier="236" item="0"/>
          <tpl fld="4" item="4"/>
        </tpls>
      </m>
      <n v="1" in="1">
        <tpls c="4">
          <tpl fld="7" item="1041"/>
          <tpl fld="6" item="1"/>
          <tpl hier="236" item="0"/>
          <tpl fld="4" item="4"/>
        </tpls>
      </n>
      <m>
        <tpls c="4">
          <tpl fld="7" item="1130"/>
          <tpl fld="6" item="2"/>
          <tpl hier="236" item="0"/>
          <tpl fld="4" item="6"/>
        </tpls>
      </m>
      <m>
        <tpls c="4">
          <tpl fld="7" item="42"/>
          <tpl fld="6" item="1"/>
          <tpl hier="236" item="0"/>
          <tpl fld="4" item="5"/>
        </tpls>
      </m>
      <m>
        <tpls c="4">
          <tpl fld="7" item="128"/>
          <tpl fld="6" item="1"/>
          <tpl hier="236" item="0"/>
          <tpl fld="4" item="1"/>
        </tpls>
      </m>
      <m>
        <tpls c="4">
          <tpl fld="7" item="93"/>
          <tpl fld="6" item="1"/>
          <tpl hier="236" item="0"/>
          <tpl fld="1" item="0"/>
        </tpls>
      </m>
      <m>
        <tpls c="4">
          <tpl fld="7" item="134"/>
          <tpl fld="6" item="1"/>
          <tpl hier="236" item="0"/>
          <tpl fld="4" item="6"/>
        </tpls>
      </m>
      <m>
        <tpls c="3">
          <tpl fld="7" item="230"/>
          <tpl fld="6" item="3"/>
          <tpl hier="236" item="0"/>
        </tpls>
      </m>
      <n v="1" in="2">
        <tpls c="4">
          <tpl fld="7" item="1266"/>
          <tpl fld="6" item="2"/>
          <tpl hier="236" item="0"/>
          <tpl fld="4" item="4"/>
        </tpls>
      </n>
      <m>
        <tpls c="4">
          <tpl fld="7" item="141"/>
          <tpl fld="6" item="1"/>
          <tpl hier="236" item="0"/>
          <tpl fld="4" item="5"/>
        </tpls>
      </m>
      <m>
        <tpls c="3">
          <tpl fld="7" item="826"/>
          <tpl fld="6" item="3"/>
          <tpl hier="236" item="0"/>
        </tpls>
      </m>
      <m>
        <tpls c="4">
          <tpl fld="7" item="815"/>
          <tpl fld="6" item="1"/>
          <tpl hier="236" item="0"/>
          <tpl fld="4" item="1"/>
        </tpls>
      </m>
      <m>
        <tpls c="4">
          <tpl fld="7" item="160"/>
          <tpl fld="6" item="2"/>
          <tpl hier="236" item="0"/>
          <tpl fld="4" item="5"/>
        </tpls>
      </m>
      <m>
        <tpls c="4">
          <tpl fld="7" item="187"/>
          <tpl fld="6" item="2"/>
          <tpl hier="236" item="0"/>
          <tpl fld="4" item="6"/>
        </tpls>
      </m>
      <m>
        <tpls c="4">
          <tpl fld="7" item="145"/>
          <tpl fld="6" item="1"/>
          <tpl hier="236" item="0"/>
          <tpl fld="4" item="5"/>
        </tpls>
      </m>
      <m>
        <tpls c="4">
          <tpl fld="7" item="87"/>
          <tpl fld="6" item="1"/>
          <tpl hier="236" item="0"/>
          <tpl fld="4" item="1"/>
        </tpls>
      </m>
      <n v="1" in="1">
        <tpls c="4">
          <tpl fld="7" item="1007"/>
          <tpl fld="6" item="1"/>
          <tpl hier="236" item="0"/>
          <tpl fld="1" item="0"/>
        </tpls>
      </n>
      <m>
        <tpls c="4">
          <tpl fld="7" item="98"/>
          <tpl fld="6" item="1"/>
          <tpl hier="236" item="0"/>
          <tpl fld="1" item="0"/>
        </tpls>
      </m>
      <m>
        <tpls c="4">
          <tpl fld="7" item="26"/>
          <tpl fld="6" item="1"/>
          <tpl hier="236" item="0"/>
          <tpl fld="1" item="0"/>
        </tpls>
      </m>
      <m>
        <tpls c="4">
          <tpl fld="7" item="4"/>
          <tpl fld="6" item="1"/>
          <tpl hier="236" item="0"/>
          <tpl fld="4" item="6"/>
        </tpls>
      </m>
      <m>
        <tpls c="4">
          <tpl fld="7" item="1210"/>
          <tpl fld="6" item="2"/>
          <tpl hier="236" item="0"/>
          <tpl fld="4" item="4"/>
        </tpls>
      </m>
      <m>
        <tpls c="4">
          <tpl fld="7" item="1225"/>
          <tpl fld="6" item="2"/>
          <tpl hier="236" item="0"/>
          <tpl fld="4" item="4"/>
        </tpls>
      </m>
      <m>
        <tpls c="4">
          <tpl fld="7" item="3"/>
          <tpl fld="6" item="2"/>
          <tpl hier="236" item="0"/>
          <tpl fld="4" item="4"/>
        </tpls>
      </m>
      <m>
        <tpls c="4">
          <tpl fld="7" item="1194"/>
          <tpl fld="6" item="2"/>
          <tpl hier="236" item="0"/>
          <tpl fld="4" item="1"/>
        </tpls>
      </m>
      <m>
        <tpls c="4">
          <tpl fld="7" item="81"/>
          <tpl fld="6" item="2"/>
          <tpl hier="236" item="0"/>
          <tpl fld="4" item="5"/>
        </tpls>
      </m>
      <m>
        <tpls c="4">
          <tpl fld="7" item="34"/>
          <tpl fld="6" item="1"/>
          <tpl hier="236" item="0"/>
          <tpl fld="4" item="5"/>
        </tpls>
      </m>
      <m>
        <tpls c="4">
          <tpl fld="7" item="302"/>
          <tpl fld="6" item="1"/>
          <tpl hier="236" item="0"/>
          <tpl fld="1" item="0"/>
        </tpls>
      </m>
      <m>
        <tpls c="4">
          <tpl fld="7" item="1167"/>
          <tpl fld="6" item="2"/>
          <tpl hier="236" item="0"/>
          <tpl fld="4" item="4"/>
        </tpls>
      </m>
      <m>
        <tpls c="4">
          <tpl fld="7" item="439"/>
          <tpl fld="6" item="1"/>
          <tpl hier="236" item="0"/>
          <tpl fld="4" item="6"/>
        </tpls>
      </m>
      <m>
        <tpls c="3">
          <tpl fld="7" item="697"/>
          <tpl fld="6" item="3"/>
          <tpl hier="236" item="0"/>
        </tpls>
      </m>
      <m>
        <tpls c="4">
          <tpl fld="7" item="641"/>
          <tpl fld="6" item="2"/>
          <tpl hier="236" item="0"/>
          <tpl fld="4" item="5"/>
        </tpls>
      </m>
      <m>
        <tpls c="4">
          <tpl fld="7" item="1273"/>
          <tpl fld="6" item="2"/>
          <tpl hier="236" item="0"/>
          <tpl fld="4" item="1"/>
        </tpls>
      </m>
      <n v="12" in="1">
        <tpls c="4">
          <tpl fld="7" item="885"/>
          <tpl fld="6" item="1"/>
          <tpl hier="236" item="0"/>
          <tpl fld="1" item="0"/>
        </tpls>
      </n>
      <n v="3" in="1">
        <tpls c="4">
          <tpl fld="7" item="650"/>
          <tpl fld="6" item="1"/>
          <tpl hier="236" item="0"/>
          <tpl fld="4" item="1"/>
        </tpls>
      </n>
      <m>
        <tpls c="4">
          <tpl fld="7" item="1241"/>
          <tpl fld="6" item="2"/>
          <tpl hier="236" item="0"/>
          <tpl fld="4" item="6"/>
        </tpls>
      </m>
      <m>
        <tpls c="4">
          <tpl fld="7" item="846"/>
          <tpl fld="6" item="2"/>
          <tpl hier="236" item="0"/>
          <tpl fld="4" item="4"/>
        </tpls>
      </m>
      <n v="31" in="1">
        <tpls c="4">
          <tpl fld="7" item="1266"/>
          <tpl fld="6" item="1"/>
          <tpl hier="236" item="0"/>
          <tpl fld="4" item="4"/>
        </tpls>
      </n>
      <m>
        <tpls c="4">
          <tpl fld="7" item="850"/>
          <tpl fld="6" item="2"/>
          <tpl hier="236" item="0"/>
          <tpl fld="1" item="0"/>
        </tpls>
      </m>
      <m>
        <tpls c="4">
          <tpl fld="7" item="545"/>
          <tpl fld="6" item="2"/>
          <tpl hier="236" item="0"/>
          <tpl fld="4" item="5"/>
        </tpls>
      </m>
      <n v="21" in="1">
        <tpls c="4">
          <tpl fld="7" item="642"/>
          <tpl fld="6" item="1"/>
          <tpl hier="236" item="0"/>
          <tpl fld="4" item="4"/>
        </tpls>
      </n>
      <n v="0" in="1">
        <tpls c="4">
          <tpl fld="7" item="995"/>
          <tpl fld="6" item="1"/>
          <tpl hier="236" item="0"/>
          <tpl fld="4" item="1"/>
        </tpls>
      </n>
      <n v="2" in="1">
        <tpls c="4">
          <tpl fld="7" item="998"/>
          <tpl fld="6" item="1"/>
          <tpl hier="236" item="0"/>
          <tpl fld="4" item="4"/>
        </tpls>
      </n>
      <m>
        <tpls c="3">
          <tpl fld="7" item="910"/>
          <tpl fld="6" item="3"/>
          <tpl hier="236" item="0"/>
        </tpls>
      </m>
      <m>
        <tpls c="4">
          <tpl fld="7" item="935"/>
          <tpl fld="6" item="2"/>
          <tpl hier="236" item="0"/>
          <tpl fld="4" item="1"/>
        </tpls>
      </m>
      <m>
        <tpls c="4">
          <tpl fld="7" item="1103"/>
          <tpl fld="6" item="2"/>
          <tpl hier="236" item="0"/>
          <tpl fld="1" item="0"/>
        </tpls>
      </m>
      <m>
        <tpls c="4">
          <tpl fld="7" item="979"/>
          <tpl fld="6" item="2"/>
          <tpl hier="236" item="0"/>
          <tpl fld="1" item="0"/>
        </tpls>
      </m>
      <n v="1" in="1">
        <tpls c="4">
          <tpl fld="7" item="992"/>
          <tpl fld="6" item="1"/>
          <tpl hier="236" item="0"/>
          <tpl fld="4" item="1"/>
        </tpls>
      </n>
      <n v="4" in="1">
        <tpls c="4">
          <tpl fld="7" item="1250"/>
          <tpl fld="6" item="1"/>
          <tpl hier="236" item="0"/>
          <tpl fld="4" item="4"/>
        </tpls>
      </n>
      <m>
        <tpls c="4">
          <tpl fld="7" item="451"/>
          <tpl fld="6" item="2"/>
          <tpl hier="236" item="0"/>
          <tpl fld="4" item="5"/>
        </tpls>
      </m>
      <m>
        <tpls c="4">
          <tpl fld="7" item="1183"/>
          <tpl fld="6" item="2"/>
          <tpl hier="236" item="0"/>
          <tpl fld="4" item="6"/>
        </tpls>
      </m>
      <m>
        <tpls c="4">
          <tpl fld="7" item="33"/>
          <tpl fld="6" item="2"/>
          <tpl hier="236" item="0"/>
          <tpl fld="4" item="6"/>
        </tpls>
      </m>
      <m>
        <tpls c="4">
          <tpl fld="7" item="194"/>
          <tpl fld="6" item="1"/>
          <tpl hier="236" item="0"/>
          <tpl fld="4" item="5"/>
        </tpls>
      </m>
      <m>
        <tpls c="4">
          <tpl fld="7" item="915"/>
          <tpl fld="6" item="1"/>
          <tpl hier="236" item="0"/>
          <tpl fld="4" item="1"/>
        </tpls>
      </m>
      <m>
        <tpls c="4">
          <tpl fld="7" item="129"/>
          <tpl fld="6" item="1"/>
          <tpl hier="236" item="0"/>
          <tpl fld="4" item="1"/>
        </tpls>
      </m>
      <m>
        <tpls c="3">
          <tpl fld="7" item="584"/>
          <tpl fld="6" item="3"/>
          <tpl hier="236" item="0"/>
        </tpls>
      </m>
      <m>
        <tpls c="4">
          <tpl fld="7" item="1036"/>
          <tpl fld="6" item="1"/>
          <tpl hier="236" item="0"/>
          <tpl fld="4" item="4"/>
        </tpls>
      </m>
      <m>
        <tpls c="4">
          <tpl fld="7" item="862"/>
          <tpl fld="6" item="2"/>
          <tpl hier="236" item="0"/>
          <tpl fld="4" item="5"/>
        </tpls>
      </m>
      <m>
        <tpls c="4">
          <tpl fld="7" item="760"/>
          <tpl fld="6" item="2"/>
          <tpl hier="236" item="0"/>
          <tpl fld="4" item="5"/>
        </tpls>
      </m>
      <m>
        <tpls c="4">
          <tpl fld="7" item="343"/>
          <tpl fld="6" item="2"/>
          <tpl hier="236" item="0"/>
          <tpl fld="4" item="5"/>
        </tpls>
      </m>
      <m>
        <tpls c="4">
          <tpl fld="7" item="251"/>
          <tpl fld="6" item="2"/>
          <tpl hier="236" item="0"/>
          <tpl fld="4" item="5"/>
        </tpls>
      </m>
      <m>
        <tpls c="4">
          <tpl fld="7" item="1125"/>
          <tpl fld="6" item="2"/>
          <tpl hier="236" item="0"/>
          <tpl fld="4" item="6"/>
        </tpls>
      </m>
      <n v="2" in="2">
        <tpls c="4">
          <tpl fld="7" item="375"/>
          <tpl fld="6" item="2"/>
          <tpl hier="236" item="0"/>
          <tpl fld="4" item="6"/>
        </tpls>
      </n>
      <m>
        <tpls c="4">
          <tpl fld="7" item="89"/>
          <tpl fld="6" item="2"/>
          <tpl hier="236" item="0"/>
          <tpl fld="4" item="6"/>
        </tpls>
      </m>
      <m>
        <tpls c="4">
          <tpl fld="7" item="254"/>
          <tpl fld="6" item="2"/>
          <tpl hier="236" item="0"/>
          <tpl fld="4" item="6"/>
        </tpls>
      </m>
      <m>
        <tpls c="4">
          <tpl fld="7" item="1012"/>
          <tpl fld="6" item="1"/>
          <tpl hier="236" item="0"/>
          <tpl fld="4" item="5"/>
        </tpls>
      </m>
      <m>
        <tpls c="4">
          <tpl fld="7" item="504"/>
          <tpl fld="6" item="1"/>
          <tpl hier="236" item="0"/>
          <tpl fld="4" item="5"/>
        </tpls>
      </m>
      <m>
        <tpls c="4">
          <tpl fld="7" item="292"/>
          <tpl fld="6" item="1"/>
          <tpl hier="236" item="0"/>
          <tpl fld="4" item="5"/>
        </tpls>
      </m>
      <m>
        <tpls c="4">
          <tpl fld="7" item="17"/>
          <tpl fld="6" item="1"/>
          <tpl hier="236" item="0"/>
          <tpl fld="4" item="5"/>
        </tpls>
      </m>
      <m>
        <tpls c="4">
          <tpl fld="7" item="944"/>
          <tpl fld="6" item="1"/>
          <tpl hier="236" item="0"/>
          <tpl fld="4" item="1"/>
        </tpls>
      </m>
      <m>
        <tpls c="4">
          <tpl fld="7" item="1125"/>
          <tpl fld="6" item="1"/>
          <tpl hier="236" item="0"/>
          <tpl fld="4" item="1"/>
        </tpls>
      </m>
      <m>
        <tpls c="4">
          <tpl fld="7" item="213"/>
          <tpl fld="6" item="1"/>
          <tpl hier="236" item="0"/>
          <tpl fld="4" item="1"/>
        </tpls>
      </m>
      <n v="9" in="1">
        <tpls c="4">
          <tpl fld="7" item="981"/>
          <tpl fld="6" item="1"/>
          <tpl hier="236" item="0"/>
          <tpl fld="4" item="1"/>
        </tpls>
      </n>
      <m>
        <tpls c="4">
          <tpl fld="7" item="415"/>
          <tpl fld="6" item="1"/>
          <tpl hier="236" item="0"/>
          <tpl fld="4" item="1"/>
        </tpls>
      </m>
      <m>
        <tpls c="4">
          <tpl fld="7" item="260"/>
          <tpl fld="6" item="1"/>
          <tpl hier="236" item="0"/>
          <tpl fld="4" item="1"/>
        </tpls>
      </m>
      <m>
        <tpls c="3">
          <tpl fld="7" item="527"/>
          <tpl fld="6" item="3"/>
          <tpl hier="236" item="0"/>
        </tpls>
      </m>
      <m>
        <tpls c="4">
          <tpl fld="7" item="720"/>
          <tpl fld="6" item="2"/>
          <tpl hier="236" item="0"/>
          <tpl fld="4" item="5"/>
        </tpls>
      </m>
      <m>
        <tpls c="4">
          <tpl fld="7" item="731"/>
          <tpl fld="6" item="2"/>
          <tpl hier="236" item="0"/>
          <tpl fld="4" item="6"/>
        </tpls>
      </m>
      <m>
        <tpls c="3">
          <tpl fld="7" item="663"/>
          <tpl fld="6" item="3"/>
          <tpl hier="236" item="0"/>
        </tpls>
      </m>
      <n v="3" in="1">
        <tpls c="4">
          <tpl fld="7" item="1114"/>
          <tpl fld="6" item="1"/>
          <tpl hier="236" item="0"/>
          <tpl fld="4" item="4"/>
        </tpls>
      </n>
      <n v="41" in="1">
        <tpls c="4">
          <tpl fld="7" item="873"/>
          <tpl fld="6" item="1"/>
          <tpl hier="236" item="0"/>
          <tpl fld="4" item="4"/>
        </tpls>
      </n>
      <n v="1" in="2">
        <tpls c="4">
          <tpl fld="7" item="909"/>
          <tpl fld="6" item="2"/>
          <tpl hier="236" item="0"/>
          <tpl fld="1" item="0"/>
        </tpls>
      </n>
      <m>
        <tpls c="4">
          <tpl fld="7" item="168"/>
          <tpl fld="6" item="2"/>
          <tpl hier="236" item="0"/>
          <tpl fld="1" item="0"/>
        </tpls>
      </m>
      <m>
        <tpls c="4">
          <tpl fld="7" item="863"/>
          <tpl fld="6" item="2"/>
          <tpl hier="236" item="0"/>
          <tpl fld="4" item="5"/>
        </tpls>
      </m>
      <n v="1" in="2">
        <tpls c="4">
          <tpl fld="7" item="453"/>
          <tpl fld="6" item="2"/>
          <tpl hier="236" item="0"/>
          <tpl fld="4" item="5"/>
        </tpls>
      </n>
      <m>
        <tpls c="4">
          <tpl fld="7" item="198"/>
          <tpl fld="6" item="2"/>
          <tpl hier="236" item="0"/>
          <tpl fld="4" item="5"/>
        </tpls>
      </m>
      <m>
        <tpls c="4">
          <tpl fld="7" item="172"/>
          <tpl fld="6" item="2"/>
          <tpl hier="236" item="0"/>
          <tpl fld="4" item="5"/>
        </tpls>
      </m>
      <m>
        <tpls c="4">
          <tpl fld="7" item="670"/>
          <tpl fld="6" item="2"/>
          <tpl hier="236" item="0"/>
          <tpl fld="4" item="5"/>
        </tpls>
      </m>
      <m>
        <tpls c="4">
          <tpl fld="7" item="217"/>
          <tpl fld="6" item="2"/>
          <tpl hier="236" item="0"/>
          <tpl fld="4" item="5"/>
        </tpls>
      </m>
      <m>
        <tpls c="4">
          <tpl fld="7" item="841"/>
          <tpl fld="6" item="2"/>
          <tpl hier="236" item="0"/>
          <tpl fld="4" item="6"/>
        </tpls>
      </m>
      <m>
        <tpls c="4">
          <tpl fld="7" item="507"/>
          <tpl fld="6" item="2"/>
          <tpl hier="236" item="0"/>
          <tpl fld="4" item="6"/>
        </tpls>
      </m>
      <m>
        <tpls c="4">
          <tpl fld="7" item="306"/>
          <tpl fld="6" item="2"/>
          <tpl hier="236" item="0"/>
          <tpl fld="4" item="6"/>
        </tpls>
      </m>
      <m>
        <tpls c="4">
          <tpl fld="7" item="166"/>
          <tpl fld="6" item="2"/>
          <tpl hier="236" item="0"/>
          <tpl fld="4" item="6"/>
        </tpls>
      </m>
      <n v="1" in="1">
        <tpls c="4">
          <tpl fld="7" item="1029"/>
          <tpl fld="6" item="1"/>
          <tpl hier="236" item="0"/>
          <tpl fld="4" item="5"/>
        </tpls>
      </n>
      <m>
        <tpls c="4">
          <tpl fld="7" item="1005"/>
          <tpl fld="6" item="1"/>
          <tpl hier="236" item="0"/>
          <tpl fld="4" item="5"/>
        </tpls>
      </m>
      <m>
        <tpls c="4">
          <tpl fld="7" item="1084"/>
          <tpl fld="6" item="1"/>
          <tpl hier="236" item="0"/>
          <tpl fld="4" item="5"/>
        </tpls>
      </m>
      <m>
        <tpls c="4">
          <tpl fld="7" item="304"/>
          <tpl fld="6" item="1"/>
          <tpl hier="236" item="0"/>
          <tpl fld="4" item="5"/>
        </tpls>
      </m>
      <m>
        <tpls c="4">
          <tpl fld="7" item="590"/>
          <tpl fld="6" item="1"/>
          <tpl hier="236" item="0"/>
          <tpl fld="4" item="5"/>
        </tpls>
      </m>
      <n v="6" in="1">
        <tpls c="4">
          <tpl fld="7" item="1235"/>
          <tpl fld="6" item="1"/>
          <tpl hier="236" item="0"/>
          <tpl fld="4" item="1"/>
        </tpls>
      </n>
      <m>
        <tpls c="4">
          <tpl fld="7" item="1227"/>
          <tpl fld="6" item="1"/>
          <tpl hier="236" item="0"/>
          <tpl fld="4" item="1"/>
        </tpls>
      </m>
      <n v="3" in="1">
        <tpls c="4">
          <tpl fld="7" item="858"/>
          <tpl fld="6" item="1"/>
          <tpl hier="236" item="0"/>
          <tpl fld="4" item="1"/>
        </tpls>
      </n>
      <m>
        <tpls c="4">
          <tpl fld="7" item="200"/>
          <tpl fld="6" item="1"/>
          <tpl hier="236" item="0"/>
          <tpl fld="4" item="1"/>
        </tpls>
      </m>
      <m>
        <tpls c="4">
          <tpl fld="7" item="427"/>
          <tpl fld="6" item="1"/>
          <tpl hier="236" item="0"/>
          <tpl fld="4" item="1"/>
        </tpls>
      </m>
      <m>
        <tpls c="4">
          <tpl fld="7" item="183"/>
          <tpl fld="6" item="1"/>
          <tpl hier="236" item="0"/>
          <tpl fld="4" item="1"/>
        </tpls>
      </m>
      <n v="0" in="1">
        <tpls c="4">
          <tpl fld="7" item="46"/>
          <tpl fld="6" item="1"/>
          <tpl hier="236" item="0"/>
          <tpl fld="4" item="1"/>
        </tpls>
      </n>
      <m>
        <tpls c="4">
          <tpl fld="7" item="400"/>
          <tpl fld="6" item="1"/>
          <tpl hier="236" item="0"/>
          <tpl fld="4" item="1"/>
        </tpls>
      </m>
      <n v="30" in="1">
        <tpls c="4">
          <tpl fld="7" item="1015"/>
          <tpl fld="6" item="1"/>
          <tpl hier="236" item="0"/>
          <tpl fld="1" item="0"/>
        </tpls>
      </n>
      <n v="2" in="1">
        <tpls c="4">
          <tpl fld="7" item="601"/>
          <tpl fld="6" item="1"/>
          <tpl hier="236" item="0"/>
          <tpl fld="1" item="0"/>
        </tpls>
      </n>
      <m>
        <tpls c="4">
          <tpl fld="7" item="491"/>
          <tpl fld="6" item="1"/>
          <tpl hier="236" item="0"/>
          <tpl fld="1" item="0"/>
        </tpls>
      </m>
      <m>
        <tpls c="4">
          <tpl fld="7" item="176"/>
          <tpl fld="6" item="1"/>
          <tpl hier="236" item="0"/>
          <tpl fld="1" item="0"/>
        </tpls>
      </m>
      <m>
        <tpls c="4">
          <tpl fld="7" item="471"/>
          <tpl fld="6" item="1"/>
          <tpl hier="236" item="0"/>
          <tpl fld="1" item="0"/>
        </tpls>
      </m>
      <m>
        <tpls c="3">
          <tpl fld="7" item="617"/>
          <tpl fld="6" item="3"/>
          <tpl hier="236" item="0"/>
        </tpls>
      </m>
      <m>
        <tpls c="3">
          <tpl fld="7" item="853"/>
          <tpl fld="6" item="3"/>
          <tpl hier="236" item="0"/>
        </tpls>
      </m>
      <m>
        <tpls c="4">
          <tpl fld="7" item="852"/>
          <tpl fld="6" item="2"/>
          <tpl hier="236" item="0"/>
          <tpl fld="4" item="5"/>
        </tpls>
      </m>
      <m>
        <tpls c="4">
          <tpl fld="7" item="135"/>
          <tpl fld="6" item="2"/>
          <tpl hier="236" item="0"/>
          <tpl fld="4" item="5"/>
        </tpls>
      </m>
      <m>
        <tpls c="4">
          <tpl fld="7" item="189"/>
          <tpl fld="6" item="2"/>
          <tpl hier="236" item="0"/>
          <tpl fld="4" item="6"/>
        </tpls>
      </m>
      <m>
        <tpls c="4">
          <tpl fld="7" item="426"/>
          <tpl fld="6" item="1"/>
          <tpl hier="236" item="0"/>
          <tpl fld="4" item="5"/>
        </tpls>
      </m>
      <m>
        <tpls c="4">
          <tpl fld="7" item="1139"/>
          <tpl fld="6" item="1"/>
          <tpl hier="236" item="0"/>
          <tpl fld="4" item="1"/>
        </tpls>
      </m>
      <m>
        <tpls c="4">
          <tpl fld="7" item="67"/>
          <tpl fld="6" item="1"/>
          <tpl hier="236" item="0"/>
          <tpl fld="4" item="1"/>
        </tpls>
      </m>
      <n v="29" in="1">
        <tpls c="4">
          <tpl fld="7" item="1118"/>
          <tpl fld="6" item="1"/>
          <tpl hier="236" item="0"/>
          <tpl fld="1" item="0"/>
        </tpls>
      </n>
      <m>
        <tpls c="4">
          <tpl fld="7" item="428"/>
          <tpl fld="6" item="1"/>
          <tpl hier="236" item="0"/>
          <tpl fld="1" item="0"/>
        </tpls>
      </m>
      <m>
        <tpls c="4">
          <tpl fld="7" item="413"/>
          <tpl fld="6" item="1"/>
          <tpl hier="236" item="0"/>
          <tpl fld="1" item="0"/>
        </tpls>
      </m>
      <m>
        <tpls c="4">
          <tpl fld="7" item="12"/>
          <tpl fld="6" item="1"/>
          <tpl hier="236" item="0"/>
          <tpl fld="1" item="0"/>
        </tpls>
      </m>
      <m>
        <tpls c="4">
          <tpl fld="7" item="112"/>
          <tpl fld="6" item="1"/>
          <tpl hier="236" item="0"/>
          <tpl fld="4" item="6"/>
        </tpls>
      </m>
      <m>
        <tpls c="3">
          <tpl fld="7" item="125"/>
          <tpl fld="6" item="3"/>
          <tpl hier="236" item="0"/>
        </tpls>
      </m>
      <m>
        <tpls c="4">
          <tpl fld="7" item="1069"/>
          <tpl fld="6" item="2"/>
          <tpl hier="236" item="0"/>
          <tpl fld="4" item="4"/>
        </tpls>
      </m>
      <m>
        <tpls c="4">
          <tpl fld="7" item="1037"/>
          <tpl fld="6" item="2"/>
          <tpl hier="236" item="0"/>
          <tpl fld="4" item="4"/>
        </tpls>
      </m>
      <m>
        <tpls c="4">
          <tpl fld="7" item="232"/>
          <tpl fld="6" item="2"/>
          <tpl hier="236" item="0"/>
          <tpl fld="4" item="4"/>
        </tpls>
      </m>
      <m>
        <tpls c="4">
          <tpl fld="7" item="757"/>
          <tpl fld="6" item="2"/>
          <tpl hier="236" item="0"/>
          <tpl fld="4" item="6"/>
        </tpls>
      </m>
      <m>
        <tpls c="4">
          <tpl fld="7" item="357"/>
          <tpl fld="6" item="1"/>
          <tpl hier="236" item="0"/>
          <tpl fld="4" item="1"/>
        </tpls>
      </m>
      <m>
        <tpls c="4">
          <tpl fld="7" item="306"/>
          <tpl fld="6" item="1"/>
          <tpl hier="236" item="0"/>
          <tpl fld="1" item="0"/>
        </tpls>
      </m>
      <m>
        <tpls c="3">
          <tpl fld="7" item="565"/>
          <tpl fld="6" item="3"/>
          <tpl hier="236" item="0"/>
        </tpls>
      </m>
      <m>
        <tpls c="4">
          <tpl fld="7" item="1239"/>
          <tpl fld="6" item="2"/>
          <tpl hier="236" item="0"/>
          <tpl fld="4" item="4"/>
        </tpls>
      </m>
      <m>
        <tpls c="4">
          <tpl fld="7" item="656"/>
          <tpl fld="6" item="2"/>
          <tpl hier="236" item="0"/>
          <tpl fld="1" item="0"/>
        </tpls>
      </m>
      <m>
        <tpls c="4">
          <tpl fld="7" item="676"/>
          <tpl fld="6" item="2"/>
          <tpl hier="236" item="0"/>
          <tpl fld="1" item="0"/>
        </tpls>
      </m>
      <m>
        <tpls c="4">
          <tpl fld="7" item="83"/>
          <tpl fld="6" item="2"/>
          <tpl hier="236" item="0"/>
          <tpl fld="4" item="5"/>
        </tpls>
      </m>
      <m>
        <tpls c="4">
          <tpl fld="7" item="603"/>
          <tpl fld="6" item="2"/>
          <tpl hier="236" item="0"/>
          <tpl fld="4" item="6"/>
        </tpls>
      </m>
      <n v="1" in="1">
        <tpls c="4">
          <tpl fld="7" item="857"/>
          <tpl fld="6" item="1"/>
          <tpl hier="236" item="0"/>
          <tpl fld="4" item="5"/>
        </tpls>
      </n>
      <m>
        <tpls c="4">
          <tpl fld="7" item="26"/>
          <tpl fld="6" item="1"/>
          <tpl hier="236" item="0"/>
          <tpl fld="4" item="5"/>
        </tpls>
      </m>
      <n v="27" in="1">
        <tpls c="4">
          <tpl fld="7" item="375"/>
          <tpl fld="6" item="1"/>
          <tpl hier="236" item="0"/>
          <tpl fld="4" item="1"/>
        </tpls>
      </n>
      <m>
        <tpls c="4">
          <tpl fld="7" item="124"/>
          <tpl fld="6" item="1"/>
          <tpl hier="236" item="0"/>
          <tpl fld="4" item="1"/>
        </tpls>
      </m>
      <n v="58" in="1">
        <tpls c="4">
          <tpl fld="7" item="377"/>
          <tpl fld="6" item="1"/>
          <tpl hier="236" item="0"/>
          <tpl fld="1" item="0"/>
        </tpls>
      </n>
      <m>
        <tpls c="4">
          <tpl fld="7" item="198"/>
          <tpl fld="6" item="1"/>
          <tpl hier="236" item="0"/>
          <tpl fld="1" item="0"/>
        </tpls>
      </m>
      <m>
        <tpls c="4">
          <tpl fld="7" item="245"/>
          <tpl fld="6" item="1"/>
          <tpl hier="236" item="0"/>
          <tpl fld="1" item="0"/>
        </tpls>
      </m>
      <m>
        <tpls c="4">
          <tpl fld="7" item="130"/>
          <tpl fld="6" item="1"/>
          <tpl hier="236" item="0"/>
          <tpl fld="4" item="6"/>
        </tpls>
      </m>
      <m>
        <tpls c="3">
          <tpl fld="7" item="710"/>
          <tpl fld="6" item="3"/>
          <tpl hier="236" item="0"/>
        </tpls>
      </m>
      <m>
        <tpls c="3">
          <tpl fld="7" item="112"/>
          <tpl fld="6" item="3"/>
          <tpl hier="236" item="0"/>
        </tpls>
      </m>
      <m>
        <tpls c="4">
          <tpl fld="7" item="948"/>
          <tpl fld="6" item="2"/>
          <tpl hier="236" item="0"/>
          <tpl fld="4" item="4"/>
        </tpls>
      </m>
      <m>
        <tpls c="4">
          <tpl fld="7" item="709"/>
          <tpl fld="6" item="2"/>
          <tpl hier="236" item="0"/>
          <tpl fld="4" item="4"/>
        </tpls>
      </m>
      <m>
        <tpls c="4">
          <tpl fld="7" item="898"/>
          <tpl fld="6" item="2"/>
          <tpl hier="236" item="0"/>
          <tpl fld="4" item="6"/>
        </tpls>
      </m>
      <m>
        <tpls c="4">
          <tpl fld="7" item="385"/>
          <tpl fld="6" item="1"/>
          <tpl hier="236" item="0"/>
          <tpl fld="4" item="1"/>
        </tpls>
      </m>
      <m>
        <tpls c="4">
          <tpl fld="7" item="200"/>
          <tpl fld="6" item="1"/>
          <tpl hier="236" item="0"/>
          <tpl fld="1" item="0"/>
        </tpls>
      </m>
      <m>
        <tpls c="3">
          <tpl fld="7" item="569"/>
          <tpl fld="6" item="3"/>
          <tpl hier="236" item="0"/>
        </tpls>
      </m>
      <m>
        <tpls c="4">
          <tpl fld="7" item="989"/>
          <tpl fld="6" item="2"/>
          <tpl hier="236" item="0"/>
          <tpl fld="4" item="4"/>
        </tpls>
      </m>
      <m>
        <tpls c="4">
          <tpl fld="7" item="818"/>
          <tpl fld="6" item="2"/>
          <tpl hier="236" item="0"/>
          <tpl fld="4" item="4"/>
        </tpls>
      </m>
      <m>
        <tpls c="4">
          <tpl fld="7" item="675"/>
          <tpl fld="6" item="2"/>
          <tpl hier="236" item="0"/>
          <tpl fld="1" item="0"/>
        </tpls>
      </m>
      <m>
        <tpls c="4">
          <tpl fld="7" item="82"/>
          <tpl fld="6" item="2"/>
          <tpl hier="236" item="0"/>
          <tpl fld="4" item="5"/>
        </tpls>
      </m>
      <m>
        <tpls c="4">
          <tpl fld="7" item="1193"/>
          <tpl fld="6" item="2"/>
          <tpl hier="236" item="0"/>
          <tpl fld="4" item="6"/>
        </tpls>
      </m>
      <m>
        <tpls c="4">
          <tpl fld="7" item="183"/>
          <tpl fld="6" item="2"/>
          <tpl hier="236" item="0"/>
          <tpl fld="4" item="6"/>
        </tpls>
      </m>
      <m>
        <tpls c="4">
          <tpl fld="7" item="832"/>
          <tpl fld="6" item="1"/>
          <tpl hier="236" item="0"/>
          <tpl fld="4" item="5"/>
        </tpls>
      </m>
      <m>
        <tpls c="4">
          <tpl fld="7" item="332"/>
          <tpl fld="6" item="1"/>
          <tpl hier="236" item="0"/>
          <tpl fld="4" item="5"/>
        </tpls>
      </m>
      <n v="8" in="1">
        <tpls c="4">
          <tpl fld="7" item="1031"/>
          <tpl fld="6" item="1"/>
          <tpl hier="236" item="0"/>
          <tpl fld="4" item="1"/>
        </tpls>
      </n>
      <m>
        <tpls c="4">
          <tpl fld="7" item="214"/>
          <tpl fld="6" item="1"/>
          <tpl hier="236" item="0"/>
          <tpl fld="4" item="1"/>
        </tpls>
      </m>
      <m>
        <tpls c="4">
          <tpl fld="7" item="109"/>
          <tpl fld="6" item="1"/>
          <tpl hier="236" item="0"/>
          <tpl fld="4" item="1"/>
        </tpls>
      </m>
      <m>
        <tpls c="4">
          <tpl fld="7" item="1013"/>
          <tpl fld="6" item="1"/>
          <tpl hier="236" item="0"/>
          <tpl fld="1" item="0"/>
        </tpls>
      </m>
      <n v="3" in="1">
        <tpls c="4">
          <tpl fld="7" item="510"/>
          <tpl fld="6" item="1"/>
          <tpl hier="236" item="0"/>
          <tpl fld="1" item="0"/>
        </tpls>
      </n>
      <n v="1" in="1">
        <tpls c="4">
          <tpl fld="7" item="313"/>
          <tpl fld="6" item="1"/>
          <tpl hier="236" item="0"/>
          <tpl fld="1" item="0"/>
        </tpls>
      </n>
      <m>
        <tpls c="4">
          <tpl fld="7" item="483"/>
          <tpl fld="6" item="1"/>
          <tpl hier="236" item="0"/>
          <tpl fld="1" item="0"/>
        </tpls>
      </m>
      <m>
        <tpls c="4">
          <tpl fld="7" item="131"/>
          <tpl fld="6" item="1"/>
          <tpl hier="236" item="0"/>
          <tpl fld="1" item="0"/>
        </tpls>
      </m>
      <m>
        <tpls c="4">
          <tpl fld="7" item="275"/>
          <tpl fld="6" item="1"/>
          <tpl hier="236" item="0"/>
          <tpl fld="4" item="6"/>
        </tpls>
      </m>
      <m>
        <tpls c="4">
          <tpl fld="7" item="109"/>
          <tpl fld="6" item="1"/>
          <tpl hier="236" item="0"/>
          <tpl fld="4" item="6"/>
        </tpls>
      </m>
      <m>
        <tpls c="3">
          <tpl fld="7" item="410"/>
          <tpl fld="6" item="3"/>
          <tpl hier="236" item="0"/>
        </tpls>
      </m>
      <m>
        <tpls c="3">
          <tpl fld="7" item="668"/>
          <tpl fld="6" item="3"/>
          <tpl hier="236" item="0"/>
        </tpls>
      </m>
      <m>
        <tpls c="4">
          <tpl fld="7" item="1207"/>
          <tpl fld="6" item="2"/>
          <tpl hier="236" item="0"/>
          <tpl fld="4" item="4"/>
        </tpls>
      </m>
      <m>
        <tpls c="4">
          <tpl fld="7" item="1253"/>
          <tpl fld="6" item="2"/>
          <tpl hier="236" item="0"/>
          <tpl fld="4" item="4"/>
        </tpls>
      </m>
      <m>
        <tpls c="4">
          <tpl fld="7" item="570"/>
          <tpl fld="6" item="2"/>
          <tpl hier="236" item="0"/>
          <tpl fld="4" item="4"/>
        </tpls>
      </m>
      <m>
        <tpls c="4">
          <tpl fld="7" item="241"/>
          <tpl fld="6" item="2"/>
          <tpl hier="236" item="0"/>
          <tpl fld="4" item="4"/>
        </tpls>
      </m>
      <m>
        <tpls c="4">
          <tpl fld="7" item="786"/>
          <tpl fld="6" item="2"/>
          <tpl hier="236" item="0"/>
          <tpl fld="1" item="0"/>
        </tpls>
      </m>
      <n v="0.8" in="2">
        <tpls c="4">
          <tpl fld="7" item="744"/>
          <tpl fld="6" item="2"/>
          <tpl hier="236" item="0"/>
          <tpl fld="4" item="1"/>
        </tpls>
      </n>
      <n v="24" in="1">
        <tpls c="4">
          <tpl fld="7" item="1077"/>
          <tpl fld="6" item="1"/>
          <tpl hier="236" item="0"/>
          <tpl fld="4" item="4"/>
        </tpls>
      </n>
      <m>
        <tpls c="4">
          <tpl fld="7" item="832"/>
          <tpl fld="6" item="2"/>
          <tpl hier="236" item="0"/>
          <tpl fld="4" item="5"/>
        </tpls>
      </m>
      <m>
        <tpls c="4">
          <tpl fld="7" item="277"/>
          <tpl fld="6" item="2"/>
          <tpl hier="236" item="0"/>
          <tpl fld="4" item="5"/>
        </tpls>
      </m>
      <m>
        <tpls c="4">
          <tpl fld="7" item="190"/>
          <tpl fld="6" item="2"/>
          <tpl hier="236" item="0"/>
          <tpl fld="4" item="6"/>
        </tpls>
      </m>
      <m>
        <tpls c="4">
          <tpl fld="7" item="1196"/>
          <tpl fld="6" item="1"/>
          <tpl hier="236" item="0"/>
          <tpl fld="4" item="1"/>
        </tpls>
      </m>
      <n v="2" in="1">
        <tpls c="4">
          <tpl fld="7" item="1277"/>
          <tpl fld="6" item="1"/>
          <tpl hier="236" item="0"/>
          <tpl fld="1" item="0"/>
        </tpls>
      </n>
      <m>
        <tpls c="4">
          <tpl fld="7" item="140"/>
          <tpl fld="6" item="1"/>
          <tpl hier="236" item="0"/>
          <tpl fld="1" item="0"/>
        </tpls>
      </m>
      <m>
        <tpls c="3">
          <tpl fld="7" item="895"/>
          <tpl fld="6" item="3"/>
          <tpl hier="236" item="0"/>
        </tpls>
      </m>
      <n v="0.7" in="2">
        <tpls c="4">
          <tpl fld="7" item="1164"/>
          <tpl fld="6" item="2"/>
          <tpl hier="236" item="0"/>
          <tpl fld="4" item="4"/>
        </tpls>
      </n>
      <m>
        <tpls c="4">
          <tpl fld="7" item="227"/>
          <tpl fld="6" item="2"/>
          <tpl hier="236" item="0"/>
          <tpl fld="4" item="4"/>
        </tpls>
      </m>
      <m>
        <tpls c="4">
          <tpl fld="7" item="625"/>
          <tpl fld="6" item="2"/>
          <tpl hier="236" item="0"/>
          <tpl fld="4" item="6"/>
        </tpls>
      </m>
      <n v="1" in="1">
        <tpls c="4">
          <tpl fld="7" item="718"/>
          <tpl fld="6" item="1"/>
          <tpl hier="236" item="0"/>
          <tpl fld="4" item="6"/>
        </tpls>
      </n>
      <m>
        <tpls c="4">
          <tpl fld="7" item="829"/>
          <tpl fld="6" item="2"/>
          <tpl hier="236" item="0"/>
          <tpl fld="4" item="5"/>
        </tpls>
      </m>
      <m>
        <tpls c="4">
          <tpl fld="7" item="923"/>
          <tpl fld="6" item="2"/>
          <tpl hier="236" item="0"/>
          <tpl fld="4" item="5"/>
        </tpls>
      </m>
      <n v="1" in="1">
        <tpls c="4">
          <tpl fld="7" item="587"/>
          <tpl fld="6" item="1"/>
          <tpl hier="236" item="0"/>
          <tpl fld="4" item="5"/>
        </tpls>
      </n>
      <m>
        <tpls c="4">
          <tpl fld="7" item="1099"/>
          <tpl fld="6" item="1"/>
          <tpl hier="236" item="0"/>
          <tpl fld="4" item="6"/>
        </tpls>
      </m>
      <m>
        <tpls c="4">
          <tpl fld="7" item="835"/>
          <tpl fld="6" item="1"/>
          <tpl hier="236" item="0"/>
          <tpl fld="4" item="4"/>
        </tpls>
      </m>
      <m>
        <tpls c="3">
          <tpl fld="7" item="918"/>
          <tpl fld="6" item="3"/>
          <tpl hier="236" item="0"/>
        </tpls>
      </m>
      <m>
        <tpls c="4">
          <tpl fld="7" item="962"/>
          <tpl fld="6" item="1"/>
          <tpl hier="236" item="0"/>
          <tpl fld="4" item="4"/>
        </tpls>
      </m>
      <m>
        <tpls c="4">
          <tpl fld="7" item="197"/>
          <tpl fld="6" item="2"/>
          <tpl hier="236" item="0"/>
          <tpl fld="1" item="0"/>
        </tpls>
      </m>
      <n v="8" in="1">
        <tpls c="4">
          <tpl fld="7" item="713"/>
          <tpl fld="6" item="1"/>
          <tpl hier="236" item="0"/>
          <tpl fld="1" item="0"/>
        </tpls>
      </n>
      <m>
        <tpls c="4">
          <tpl fld="7" item="890"/>
          <tpl fld="6" item="2"/>
          <tpl hier="236" item="0"/>
          <tpl fld="4" item="4"/>
        </tpls>
      </m>
      <m>
        <tpls c="4">
          <tpl fld="7" item="739"/>
          <tpl fld="6" item="2"/>
          <tpl hier="236" item="0"/>
          <tpl fld="1" item="0"/>
        </tpls>
      </m>
      <m>
        <tpls c="4">
          <tpl fld="7" item="1108"/>
          <tpl fld="6" item="1"/>
          <tpl hier="236" item="0"/>
          <tpl fld="4" item="6"/>
        </tpls>
      </m>
      <m>
        <tpls c="4">
          <tpl fld="7" item="1222"/>
          <tpl fld="6" item="1"/>
          <tpl hier="236" item="0"/>
          <tpl fld="4" item="4"/>
        </tpls>
      </m>
      <m>
        <tpls c="4">
          <tpl fld="7" item="971"/>
          <tpl fld="6" item="2"/>
          <tpl hier="236" item="0"/>
          <tpl fld="4" item="1"/>
        </tpls>
      </m>
      <m>
        <tpls c="4">
          <tpl fld="7" item="180"/>
          <tpl fld="6" item="2"/>
          <tpl hier="236" item="0"/>
          <tpl fld="1" item="0"/>
        </tpls>
      </m>
      <m>
        <tpls c="4">
          <tpl fld="7" item="522"/>
          <tpl fld="6" item="2"/>
          <tpl hier="236" item="0"/>
          <tpl fld="4" item="5"/>
        </tpls>
      </m>
      <n v="5" in="1">
        <tpls c="4">
          <tpl fld="7" item="747"/>
          <tpl fld="6" item="1"/>
          <tpl hier="236" item="0"/>
          <tpl fld="4" item="1"/>
        </tpls>
      </n>
      <m>
        <tpls c="4">
          <tpl fld="7" item="253"/>
          <tpl fld="6" item="2"/>
          <tpl hier="236" item="0"/>
          <tpl fld="1" item="0"/>
        </tpls>
      </m>
      <m>
        <tpls c="4">
          <tpl fld="7" item="411"/>
          <tpl fld="6" item="2"/>
          <tpl hier="236" item="0"/>
          <tpl fld="4" item="5"/>
        </tpls>
      </m>
      <m>
        <tpls c="4">
          <tpl fld="7" item="427"/>
          <tpl fld="6" item="2"/>
          <tpl hier="236" item="0"/>
          <tpl fld="4" item="6"/>
        </tpls>
      </m>
      <m>
        <tpls c="4">
          <tpl fld="7" item="386"/>
          <tpl fld="6" item="1"/>
          <tpl hier="236" item="0"/>
          <tpl fld="4" item="5"/>
        </tpls>
      </m>
      <m>
        <tpls c="4">
          <tpl fld="7" item="1067"/>
          <tpl fld="6" item="1"/>
          <tpl hier="236" item="0"/>
          <tpl fld="4" item="1"/>
        </tpls>
      </m>
      <m>
        <tpls c="4">
          <tpl fld="7" item="594"/>
          <tpl fld="6" item="1"/>
          <tpl hier="236" item="0"/>
          <tpl fld="4" item="1"/>
        </tpls>
      </m>
      <m>
        <tpls c="4">
          <tpl fld="7" item="842"/>
          <tpl fld="6" item="1"/>
          <tpl hier="236" item="0"/>
          <tpl fld="1" item="0"/>
        </tpls>
      </m>
      <m>
        <tpls c="3">
          <tpl fld="7" item="999"/>
          <tpl fld="6" item="3"/>
          <tpl hier="236" item="0"/>
        </tpls>
      </m>
      <m>
        <tpls c="4">
          <tpl fld="7" item="142"/>
          <tpl fld="6" item="2"/>
          <tpl hier="236" item="0"/>
          <tpl fld="1" item="0"/>
        </tpls>
      </m>
      <m>
        <tpls c="4">
          <tpl fld="7" item="830"/>
          <tpl fld="6" item="2"/>
          <tpl hier="236" item="0"/>
          <tpl fld="4" item="5"/>
        </tpls>
      </m>
      <m>
        <tpls c="4">
          <tpl fld="7" item="594"/>
          <tpl fld="6" item="2"/>
          <tpl hier="236" item="0"/>
          <tpl fld="4" item="5"/>
        </tpls>
      </m>
      <m>
        <tpls c="4">
          <tpl fld="7" item="409"/>
          <tpl fld="6" item="2"/>
          <tpl hier="236" item="0"/>
          <tpl fld="4" item="5"/>
        </tpls>
      </m>
      <m>
        <tpls c="4">
          <tpl fld="7" item="327"/>
          <tpl fld="6" item="2"/>
          <tpl hier="236" item="0"/>
          <tpl fld="4" item="5"/>
        </tpls>
      </m>
      <m>
        <tpls c="4">
          <tpl fld="7" item="1107"/>
          <tpl fld="6" item="2"/>
          <tpl hier="236" item="0"/>
          <tpl fld="4" item="6"/>
        </tpls>
      </m>
      <m>
        <tpls c="4">
          <tpl fld="7" item="215"/>
          <tpl fld="6" item="2"/>
          <tpl hier="236" item="0"/>
          <tpl fld="4" item="6"/>
        </tpls>
      </m>
      <m>
        <tpls c="4">
          <tpl fld="7" item="281"/>
          <tpl fld="6" item="2"/>
          <tpl hier="236" item="0"/>
          <tpl fld="4" item="6"/>
        </tpls>
      </m>
      <m>
        <tpls c="4">
          <tpl fld="7" item="1129"/>
          <tpl fld="6" item="1"/>
          <tpl hier="236" item="0"/>
          <tpl fld="4" item="5"/>
        </tpls>
      </m>
      <m>
        <tpls c="4">
          <tpl fld="7" item="522"/>
          <tpl fld="6" item="1"/>
          <tpl hier="236" item="0"/>
          <tpl fld="4" item="5"/>
        </tpls>
      </m>
      <m>
        <tpls c="4">
          <tpl fld="7" item="95"/>
          <tpl fld="6" item="1"/>
          <tpl hier="236" item="0"/>
          <tpl fld="4" item="5"/>
        </tpls>
      </m>
      <m>
        <tpls c="4">
          <tpl fld="7" item="248"/>
          <tpl fld="6" item="1"/>
          <tpl hier="236" item="0"/>
          <tpl fld="4" item="5"/>
        </tpls>
      </m>
      <m>
        <tpls c="4">
          <tpl fld="7" item="958"/>
          <tpl fld="6" item="1"/>
          <tpl hier="236" item="0"/>
          <tpl fld="4" item="1"/>
        </tpls>
      </m>
      <n v="3" in="1">
        <tpls c="4">
          <tpl fld="7" item="1266"/>
          <tpl fld="6" item="1"/>
          <tpl hier="236" item="0"/>
          <tpl fld="4" item="1"/>
        </tpls>
      </n>
      <m>
        <tpls c="4">
          <tpl fld="7" item="905"/>
          <tpl fld="6" item="1"/>
          <tpl hier="236" item="0"/>
          <tpl fld="4" item="1"/>
        </tpls>
      </m>
      <n v="3" in="1">
        <tpls c="4">
          <tpl fld="7" item="680"/>
          <tpl fld="6" item="1"/>
          <tpl hier="236" item="0"/>
          <tpl fld="4" item="1"/>
        </tpls>
      </n>
      <m>
        <tpls c="4">
          <tpl fld="7" item="312"/>
          <tpl fld="6" item="1"/>
          <tpl hier="236" item="0"/>
          <tpl fld="4" item="1"/>
        </tpls>
      </m>
      <m>
        <tpls c="4">
          <tpl fld="7" item="154"/>
          <tpl fld="6" item="1"/>
          <tpl hier="236" item="0"/>
          <tpl fld="4" item="1"/>
        </tpls>
      </m>
      <m>
        <tpls c="4">
          <tpl fld="7" item="248"/>
          <tpl fld="6" item="1"/>
          <tpl hier="236" item="0"/>
          <tpl fld="4" item="1"/>
        </tpls>
      </m>
      <n v="9" in="1">
        <tpls c="4">
          <tpl fld="7" item="566"/>
          <tpl fld="6" item="1"/>
          <tpl hier="236" item="0"/>
          <tpl fld="1" item="0"/>
        </tpls>
      </n>
      <m>
        <tpls c="4">
          <tpl fld="7" item="726"/>
          <tpl fld="6" item="1"/>
          <tpl hier="236" item="0"/>
          <tpl fld="4" item="6"/>
        </tpls>
      </m>
      <m>
        <tpls c="4">
          <tpl fld="7" item="1099"/>
          <tpl fld="6" item="2"/>
          <tpl hier="236" item="0"/>
          <tpl fld="4" item="5"/>
        </tpls>
      </m>
      <m>
        <tpls c="4">
          <tpl fld="7" item="899"/>
          <tpl fld="6" item="2"/>
          <tpl hier="236" item="0"/>
          <tpl fld="4" item="1"/>
        </tpls>
      </m>
      <n v="1" in="1">
        <tpls c="4">
          <tpl fld="7" item="1022"/>
          <tpl fld="6" item="1"/>
          <tpl hier="236" item="0"/>
          <tpl fld="4" item="6"/>
        </tpls>
      </n>
      <n v="7" in="1">
        <tpls c="4">
          <tpl fld="7" item="1275"/>
          <tpl fld="6" item="1"/>
          <tpl hier="236" item="0"/>
          <tpl fld="4" item="4"/>
        </tpls>
      </n>
      <m>
        <tpls c="4">
          <tpl fld="7" item="756"/>
          <tpl fld="6" item="2"/>
          <tpl hier="236" item="0"/>
          <tpl fld="1" item="0"/>
        </tpls>
      </m>
      <m>
        <tpls c="4">
          <tpl fld="7" item="12"/>
          <tpl fld="6" item="2"/>
          <tpl hier="236" item="0"/>
          <tpl fld="1" item="0"/>
        </tpls>
      </m>
      <m>
        <tpls c="4">
          <tpl fld="7" item="839"/>
          <tpl fld="6" item="2"/>
          <tpl hier="236" item="0"/>
          <tpl fld="4" item="5"/>
        </tpls>
      </m>
      <m>
        <tpls c="4">
          <tpl fld="7" item="981"/>
          <tpl fld="6" item="2"/>
          <tpl hier="236" item="0"/>
          <tpl fld="4" item="5"/>
        </tpls>
      </m>
      <m>
        <tpls c="4">
          <tpl fld="7" item="186"/>
          <tpl fld="6" item="2"/>
          <tpl hier="236" item="0"/>
          <tpl fld="4" item="5"/>
        </tpls>
      </m>
      <m>
        <tpls c="4">
          <tpl fld="7" item="274"/>
          <tpl fld="6" item="2"/>
          <tpl hier="236" item="0"/>
          <tpl fld="4" item="5"/>
        </tpls>
      </m>
      <m>
        <tpls c="4">
          <tpl fld="7" item="112"/>
          <tpl fld="6" item="2"/>
          <tpl hier="236" item="0"/>
          <tpl fld="4" item="5"/>
        </tpls>
      </m>
      <m>
        <tpls c="4">
          <tpl fld="7" item="855"/>
          <tpl fld="6" item="2"/>
          <tpl hier="236" item="0"/>
          <tpl fld="4" item="6"/>
        </tpls>
      </m>
      <m>
        <tpls c="4">
          <tpl fld="7" item="521"/>
          <tpl fld="6" item="2"/>
          <tpl hier="236" item="0"/>
          <tpl fld="4" item="6"/>
        </tpls>
      </m>
      <m>
        <tpls c="4">
          <tpl fld="7" item="320"/>
          <tpl fld="6" item="2"/>
          <tpl hier="236" item="0"/>
          <tpl fld="4" item="6"/>
        </tpls>
      </m>
      <m>
        <tpls c="4">
          <tpl fld="7" item="754"/>
          <tpl fld="6" item="2"/>
          <tpl hier="236" item="0"/>
          <tpl fld="4" item="6"/>
        </tpls>
      </m>
      <m>
        <tpls c="4">
          <tpl fld="7" item="751"/>
          <tpl fld="6" item="2"/>
          <tpl hier="236" item="0"/>
          <tpl fld="4" item="6"/>
        </tpls>
      </m>
      <m>
        <tpls c="4">
          <tpl fld="7" item="1194"/>
          <tpl fld="6" item="1"/>
          <tpl hier="236" item="0"/>
          <tpl fld="4" item="5"/>
        </tpls>
      </m>
      <n v="4" in="1">
        <tpls c="4">
          <tpl fld="7" item="681"/>
          <tpl fld="6" item="1"/>
          <tpl hier="236" item="0"/>
          <tpl fld="4" item="5"/>
        </tpls>
      </n>
      <m>
        <tpls c="4">
          <tpl fld="7" item="318"/>
          <tpl fld="6" item="1"/>
          <tpl hier="236" item="0"/>
          <tpl fld="4" item="5"/>
        </tpls>
      </m>
      <m>
        <tpls c="4">
          <tpl fld="7" item="342"/>
          <tpl fld="6" item="1"/>
          <tpl hier="236" item="0"/>
          <tpl fld="4" item="5"/>
        </tpls>
      </m>
      <m>
        <tpls c="4">
          <tpl fld="7" item="238"/>
          <tpl fld="6" item="1"/>
          <tpl hier="236" item="0"/>
          <tpl fld="4" item="5"/>
        </tpls>
      </m>
      <m>
        <tpls c="4">
          <tpl fld="7" item="1283"/>
          <tpl fld="6" item="1"/>
          <tpl hier="236" item="0"/>
          <tpl fld="4" item="1"/>
        </tpls>
      </m>
      <n v="2" in="1">
        <tpls c="4">
          <tpl fld="7" item="1181"/>
          <tpl fld="6" item="1"/>
          <tpl hier="236" item="0"/>
          <tpl fld="4" item="1"/>
        </tpls>
      </n>
      <n v="1" in="1">
        <tpls c="4">
          <tpl fld="7" item="840"/>
          <tpl fld="6" item="1"/>
          <tpl hier="236" item="0"/>
          <tpl fld="4" item="1"/>
        </tpls>
      </n>
      <n v="1" in="1">
        <tpls c="4">
          <tpl fld="7" item="441"/>
          <tpl fld="6" item="1"/>
          <tpl hier="236" item="0"/>
          <tpl fld="4" item="1"/>
        </tpls>
      </n>
      <m>
        <tpls c="4">
          <tpl fld="7" item="104"/>
          <tpl fld="6" item="1"/>
          <tpl hier="236" item="0"/>
          <tpl fld="4" item="1"/>
        </tpls>
      </m>
      <m>
        <tpls c="4">
          <tpl fld="7" item="408"/>
          <tpl fld="6" item="1"/>
          <tpl hier="236" item="0"/>
          <tpl fld="4" item="1"/>
        </tpls>
      </m>
      <m>
        <tpls c="4">
          <tpl fld="7" item="473"/>
          <tpl fld="6" item="1"/>
          <tpl hier="236" item="0"/>
          <tpl fld="4" item="1"/>
        </tpls>
      </m>
      <m>
        <tpls c="4">
          <tpl fld="7" item="1248"/>
          <tpl fld="6" item="1"/>
          <tpl hier="236" item="0"/>
          <tpl fld="1" item="0"/>
        </tpls>
      </m>
      <n v="7" in="1">
        <tpls c="4">
          <tpl fld="7" item="1242"/>
          <tpl fld="6" item="1"/>
          <tpl hier="236" item="0"/>
          <tpl fld="1" item="0"/>
        </tpls>
      </n>
      <n v="6" in="1">
        <tpls c="4">
          <tpl fld="7" item="758"/>
          <tpl fld="6" item="1"/>
          <tpl hier="236" item="0"/>
          <tpl fld="1" item="0"/>
        </tpls>
      </n>
      <m>
        <tpls c="4">
          <tpl fld="7" item="190"/>
          <tpl fld="6" item="1"/>
          <tpl hier="236" item="0"/>
          <tpl fld="1" item="0"/>
        </tpls>
      </m>
      <m>
        <tpls c="4">
          <tpl fld="7" item="256"/>
          <tpl fld="6" item="1"/>
          <tpl hier="236" item="0"/>
          <tpl fld="1" item="0"/>
        </tpls>
      </m>
      <n v="1" in="1">
        <tpls c="4">
          <tpl fld="7" item="709"/>
          <tpl fld="6" item="1"/>
          <tpl hier="236" item="0"/>
          <tpl fld="4" item="6"/>
        </tpls>
      </n>
      <m>
        <tpls c="4">
          <tpl fld="7" item="737"/>
          <tpl fld="6" item="1"/>
          <tpl hier="236" item="0"/>
          <tpl fld="4" item="6"/>
        </tpls>
      </m>
      <m>
        <tpls c="4">
          <tpl fld="7" item="90"/>
          <tpl fld="6" item="2"/>
          <tpl hier="236" item="0"/>
          <tpl fld="1" item="0"/>
        </tpls>
      </m>
      <m>
        <tpls c="4">
          <tpl fld="7" item="80"/>
          <tpl fld="6" item="2"/>
          <tpl hier="236" item="0"/>
          <tpl fld="4" item="5"/>
        </tpls>
      </m>
      <m>
        <tpls c="4">
          <tpl fld="7" item="682"/>
          <tpl fld="6" item="2"/>
          <tpl hier="236" item="0"/>
          <tpl fld="4" item="6"/>
        </tpls>
      </m>
      <m>
        <tpls c="4">
          <tpl fld="7" item="854"/>
          <tpl fld="6" item="1"/>
          <tpl hier="236" item="0"/>
          <tpl fld="4" item="5"/>
        </tpls>
      </m>
      <m>
        <tpls c="4">
          <tpl fld="7" item="751"/>
          <tpl fld="6" item="1"/>
          <tpl hier="236" item="0"/>
          <tpl fld="4" item="5"/>
        </tpls>
      </m>
      <n v="3" in="1">
        <tpls c="4">
          <tpl fld="7" item="372"/>
          <tpl fld="6" item="1"/>
          <tpl hier="236" item="0"/>
          <tpl fld="4" item="1"/>
        </tpls>
      </n>
      <m>
        <tpls c="4">
          <tpl fld="7" item="224"/>
          <tpl fld="6" item="1"/>
          <tpl hier="236" item="0"/>
          <tpl fld="4" item="1"/>
        </tpls>
      </m>
      <n v="57" in="1">
        <tpls c="4">
          <tpl fld="7" item="376"/>
          <tpl fld="6" item="1"/>
          <tpl hier="236" item="0"/>
          <tpl fld="1" item="0"/>
        </tpls>
      </n>
      <m>
        <tpls c="4">
          <tpl fld="7" item="197"/>
          <tpl fld="6" item="1"/>
          <tpl hier="236" item="0"/>
          <tpl fld="1" item="0"/>
        </tpls>
      </m>
      <m>
        <tpls c="4">
          <tpl fld="7" item="41"/>
          <tpl fld="6" item="1"/>
          <tpl hier="236" item="0"/>
          <tpl fld="1" item="0"/>
        </tpls>
      </m>
      <m>
        <tpls c="4">
          <tpl fld="7" item="237"/>
          <tpl fld="6" item="1"/>
          <tpl hier="236" item="0"/>
          <tpl fld="4" item="6"/>
        </tpls>
      </m>
      <m>
        <tpls c="3">
          <tpl fld="7" item="628"/>
          <tpl fld="6" item="3"/>
          <tpl hier="236" item="0"/>
        </tpls>
      </m>
      <m>
        <tpls c="3">
          <tpl fld="7" item="219"/>
          <tpl fld="6" item="3"/>
          <tpl hier="236" item="0"/>
        </tpls>
      </m>
      <m>
        <tpls c="4">
          <tpl fld="7" item="1051"/>
          <tpl fld="6" item="2"/>
          <tpl hier="236" item="0"/>
          <tpl fld="4" item="4"/>
        </tpls>
      </m>
      <m>
        <tpls c="4">
          <tpl fld="7" item="627"/>
          <tpl fld="6" item="2"/>
          <tpl hier="236" item="0"/>
          <tpl fld="4" item="4"/>
        </tpls>
      </m>
      <m>
        <tpls c="4">
          <tpl fld="7" item="108"/>
          <tpl fld="6" item="2"/>
          <tpl hier="236" item="0"/>
          <tpl fld="4" item="4"/>
        </tpls>
      </m>
      <m>
        <tpls c="4">
          <tpl fld="7" item="172"/>
          <tpl fld="6" item="1"/>
          <tpl hier="236" item="0"/>
          <tpl fld="4" item="5"/>
        </tpls>
      </m>
      <n v="11" in="1">
        <tpls c="4">
          <tpl fld="7" item="1216"/>
          <tpl fld="6" item="1"/>
          <tpl hier="236" item="0"/>
          <tpl fld="1" item="0"/>
        </tpls>
      </n>
      <m>
        <tpls c="4">
          <tpl fld="7" item="627"/>
          <tpl fld="6" item="1"/>
          <tpl hier="236" item="0"/>
          <tpl fld="4" item="6"/>
        </tpls>
      </m>
      <m>
        <tpls c="4">
          <tpl fld="7" item="1165"/>
          <tpl fld="6" item="2"/>
          <tpl hier="236" item="0"/>
          <tpl fld="4" item="4"/>
        </tpls>
      </m>
      <m>
        <tpls c="4">
          <tpl fld="7" item="572"/>
          <tpl fld="6" item="2"/>
          <tpl hier="236" item="0"/>
          <tpl fld="4" item="1"/>
        </tpls>
      </m>
      <m>
        <tpls c="4">
          <tpl fld="7" item="1024"/>
          <tpl fld="6" item="1"/>
          <tpl hier="236" item="0"/>
          <tpl fld="4" item="4"/>
        </tpls>
      </m>
      <m>
        <tpls c="4">
          <tpl fld="7" item="1105"/>
          <tpl fld="6" item="2"/>
          <tpl hier="236" item="0"/>
          <tpl fld="4" item="5"/>
        </tpls>
      </m>
      <m>
        <tpls c="4">
          <tpl fld="7" item="235"/>
          <tpl fld="6" item="2"/>
          <tpl hier="236" item="0"/>
          <tpl fld="4" item="5"/>
        </tpls>
      </m>
      <m>
        <tpls c="4">
          <tpl fld="7" item="176"/>
          <tpl fld="6" item="2"/>
          <tpl hier="236" item="0"/>
          <tpl fld="4" item="6"/>
        </tpls>
      </m>
      <m>
        <tpls c="4">
          <tpl fld="7" item="420"/>
          <tpl fld="6" item="1"/>
          <tpl hier="236" item="0"/>
          <tpl fld="4" item="5"/>
        </tpls>
      </m>
      <n v="1" in="1">
        <tpls c="4">
          <tpl fld="7" item="1028"/>
          <tpl fld="6" item="1"/>
          <tpl hier="236" item="0"/>
          <tpl fld="4" item="1"/>
        </tpls>
      </n>
      <m>
        <tpls c="4">
          <tpl fld="7" item="62"/>
          <tpl fld="6" item="1"/>
          <tpl hier="236" item="0"/>
          <tpl fld="4" item="1"/>
        </tpls>
      </m>
      <m>
        <tpls c="4">
          <tpl fld="7" item="1113"/>
          <tpl fld="6" item="1"/>
          <tpl hier="236" item="0"/>
          <tpl fld="1" item="0"/>
        </tpls>
      </m>
      <m>
        <tpls c="4">
          <tpl fld="7" item="353"/>
          <tpl fld="6" item="1"/>
          <tpl hier="236" item="0"/>
          <tpl fld="1" item="0"/>
        </tpls>
      </m>
      <m>
        <tpls c="4">
          <tpl fld="7" item="66"/>
          <tpl fld="6" item="1"/>
          <tpl hier="236" item="0"/>
          <tpl fld="1" item="0"/>
        </tpls>
      </m>
      <m>
        <tpls c="4">
          <tpl fld="7" item="895"/>
          <tpl fld="6" item="1"/>
          <tpl hier="236" item="0"/>
          <tpl fld="4" item="6"/>
        </tpls>
      </m>
      <m>
        <tpls c="4">
          <tpl fld="7" item="468"/>
          <tpl fld="6" item="1"/>
          <tpl hier="236" item="0"/>
          <tpl fld="4" item="6"/>
        </tpls>
      </m>
      <m>
        <tpls c="3">
          <tpl fld="7" item="130"/>
          <tpl fld="6" item="3"/>
          <tpl hier="236" item="0"/>
        </tpls>
      </m>
      <m>
        <tpls c="4">
          <tpl fld="7" item="962"/>
          <tpl fld="6" item="2"/>
          <tpl hier="236" item="0"/>
          <tpl fld="4" item="4"/>
        </tpls>
      </m>
      <n v="725" in="1">
        <tpls c="6">
          <tpl fld="11" item="0"/>
          <tpl fld="2" item="1"/>
          <tpl fld="6" item="1"/>
          <tpl hier="236" item="0"/>
          <tpl fld="4" item="3"/>
          <tpl fld="10" item="7"/>
        </tpls>
      </n>
      <n v="7" in="1">
        <tpls c="4">
          <tpl fld="7" item="607"/>
          <tpl fld="6" item="1"/>
          <tpl hier="236" item="0"/>
          <tpl fld="4" item="6"/>
        </tpls>
      </n>
      <m>
        <tpls c="4">
          <tpl fld="7" item="636"/>
          <tpl fld="6" item="1"/>
          <tpl hier="236" item="0"/>
          <tpl fld="1" item="0"/>
        </tpls>
      </m>
      <n v="0" in="1">
        <tpls c="4">
          <tpl fld="7" item="531"/>
          <tpl fld="6" item="1"/>
          <tpl hier="236" item="0"/>
          <tpl fld="4" item="1"/>
        </tpls>
      </n>
      <m>
        <tpls c="4">
          <tpl fld="7" item="389"/>
          <tpl fld="6" item="2"/>
          <tpl hier="236" item="0"/>
          <tpl fld="4" item="1"/>
        </tpls>
      </m>
      <m>
        <tpls c="4">
          <tpl fld="7" item="631"/>
          <tpl fld="6" item="2"/>
          <tpl hier="236" item="0"/>
          <tpl fld="4" item="5"/>
        </tpls>
      </m>
      <m>
        <tpls c="4">
          <tpl fld="7" item="89"/>
          <tpl fld="6" item="2"/>
          <tpl hier="236" item="0"/>
          <tpl fld="1" item="0"/>
        </tpls>
      </m>
      <m>
        <tpls c="3">
          <tpl fld="7" item="711"/>
          <tpl fld="6" item="3"/>
          <tpl hier="236" item="0"/>
        </tpls>
      </m>
      <m>
        <tpls c="3">
          <tpl fld="7" item="1096"/>
          <tpl fld="6" item="3"/>
          <tpl hier="236" item="0"/>
        </tpls>
      </m>
      <n v="26" in="1">
        <tpls c="4">
          <tpl fld="7" item="1118"/>
          <tpl fld="6" item="1"/>
          <tpl hier="236" item="0"/>
          <tpl fld="4" item="4"/>
        </tpls>
      </n>
      <m>
        <tpls c="4">
          <tpl fld="7" item="410"/>
          <tpl fld="6" item="2"/>
          <tpl hier="236" item="0"/>
          <tpl fld="1" item="0"/>
        </tpls>
      </m>
      <n v="1" in="2">
        <tpls c="4">
          <tpl fld="7" item="377"/>
          <tpl fld="6" item="2"/>
          <tpl hier="236" item="0"/>
          <tpl fld="4" item="4"/>
        </tpls>
      </n>
      <m>
        <tpls c="4">
          <tpl fld="7" item="781"/>
          <tpl fld="6" item="2"/>
          <tpl hier="236" item="0"/>
          <tpl fld="4" item="1"/>
        </tpls>
      </m>
      <n v="1" in="1">
        <tpls c="4">
          <tpl fld="7" item="553"/>
          <tpl fld="6" item="1"/>
          <tpl hier="236" item="0"/>
          <tpl fld="4" item="6"/>
        </tpls>
      </n>
      <m>
        <tpls c="4">
          <tpl fld="7" item="991"/>
          <tpl fld="6" item="2"/>
          <tpl hier="236" item="0"/>
          <tpl fld="4" item="6"/>
        </tpls>
      </m>
      <m>
        <tpls c="3">
          <tpl fld="7" item="585"/>
          <tpl fld="6" item="3"/>
          <tpl hier="236" item="0"/>
        </tpls>
      </m>
      <m>
        <tpls c="4">
          <tpl fld="7" item="665"/>
          <tpl fld="6" item="1"/>
          <tpl hier="236" item="0"/>
          <tpl fld="4" item="5"/>
        </tpls>
      </m>
      <m>
        <tpls c="4">
          <tpl fld="7" item="1040"/>
          <tpl fld="6" item="2"/>
          <tpl hier="236" item="0"/>
          <tpl fld="4" item="1"/>
        </tpls>
      </m>
      <m>
        <tpls c="4">
          <tpl fld="7" item="3"/>
          <tpl fld="6" item="2"/>
          <tpl hier="236" item="0"/>
          <tpl fld="1" item="0"/>
        </tpls>
      </m>
      <m>
        <tpls c="4">
          <tpl fld="7" item="647"/>
          <tpl fld="6" item="1"/>
          <tpl hier="236" item="0"/>
          <tpl fld="4" item="1"/>
        </tpls>
      </m>
      <m>
        <tpls c="4">
          <tpl fld="7" item="779"/>
          <tpl fld="6" item="2"/>
          <tpl hier="236" item="0"/>
          <tpl fld="4" item="4"/>
        </tpls>
      </m>
      <m>
        <tpls c="4">
          <tpl fld="7" item="1225"/>
          <tpl fld="6" item="2"/>
          <tpl hier="236" item="0"/>
          <tpl fld="4" item="1"/>
        </tpls>
      </m>
      <m>
        <tpls c="4">
          <tpl fld="7" item="730"/>
          <tpl fld="6" item="2"/>
          <tpl hier="236" item="0"/>
          <tpl fld="4" item="1"/>
        </tpls>
      </m>
      <m>
        <tpls c="4">
          <tpl fld="7" item="1011"/>
          <tpl fld="6" item="1"/>
          <tpl hier="236" item="0"/>
          <tpl fld="4" item="6"/>
        </tpls>
      </m>
      <m>
        <tpls c="4">
          <tpl fld="7" item="849"/>
          <tpl fld="6" item="2"/>
          <tpl hier="236" item="0"/>
          <tpl fld="1" item="0"/>
        </tpls>
      </m>
      <m>
        <tpls c="4">
          <tpl fld="7" item="639"/>
          <tpl fld="6" item="2"/>
          <tpl hier="236" item="0"/>
          <tpl fld="1" item="0"/>
        </tpls>
      </m>
      <m>
        <tpls c="4">
          <tpl fld="7" item="646"/>
          <tpl fld="6" item="1"/>
          <tpl hier="236" item="0"/>
          <tpl fld="4" item="5"/>
        </tpls>
      </m>
      <n v="3" in="1">
        <tpls c="4">
          <tpl fld="7" item="1098"/>
          <tpl fld="6" item="1"/>
          <tpl hier="236" item="0"/>
          <tpl fld="4" item="4"/>
        </tpls>
      </n>
      <n v="5" in="1">
        <tpls c="4">
          <tpl fld="7" item="1100"/>
          <tpl fld="6" item="1"/>
          <tpl hier="236" item="0"/>
          <tpl fld="4" item="4"/>
        </tpls>
      </n>
      <m>
        <tpls c="3">
          <tpl fld="7" item="1271"/>
          <tpl fld="6" item="3"/>
          <tpl hier="236" item="0"/>
        </tpls>
      </m>
      <n v="6" in="1">
        <tpls c="4">
          <tpl fld="7" item="1015"/>
          <tpl fld="6" item="1"/>
          <tpl hier="236" item="0"/>
          <tpl fld="4" item="6"/>
        </tpls>
      </n>
      <n v="3" in="1">
        <tpls c="4">
          <tpl fld="7" item="1131"/>
          <tpl fld="6" item="1"/>
          <tpl hier="236" item="0"/>
          <tpl fld="4" item="4"/>
        </tpls>
      </n>
      <m>
        <tpls c="4">
          <tpl fld="7" item="1168"/>
          <tpl fld="6" item="2"/>
          <tpl hier="236" item="0"/>
          <tpl fld="4" item="1"/>
        </tpls>
      </m>
      <m>
        <tpls c="4">
          <tpl fld="7" item="526"/>
          <tpl fld="6" item="2"/>
          <tpl hier="236" item="0"/>
          <tpl fld="1" item="0"/>
        </tpls>
      </m>
      <m>
        <tpls c="4">
          <tpl fld="7" item="153"/>
          <tpl fld="6" item="2"/>
          <tpl hier="236" item="0"/>
          <tpl fld="1" item="0"/>
        </tpls>
      </m>
      <m>
        <tpls c="4">
          <tpl fld="7" item="901"/>
          <tpl fld="6" item="2"/>
          <tpl hier="236" item="0"/>
          <tpl fld="4" item="5"/>
        </tpls>
      </m>
      <m>
        <tpls c="4">
          <tpl fld="7" item="889"/>
          <tpl fld="6" item="2"/>
          <tpl hier="236" item="0"/>
          <tpl fld="4" item="4"/>
        </tpls>
      </m>
      <n v="8" in="1">
        <tpls c="4">
          <tpl fld="7" item="909"/>
          <tpl fld="6" item="1"/>
          <tpl hier="236" item="0"/>
          <tpl fld="4" item="4"/>
        </tpls>
      </n>
      <m>
        <tpls c="4">
          <tpl fld="7" item="754"/>
          <tpl fld="6" item="2"/>
          <tpl hier="236" item="0"/>
          <tpl fld="1" item="0"/>
        </tpls>
      </m>
      <m>
        <tpls c="4">
          <tpl fld="7" item="439"/>
          <tpl fld="6" item="2"/>
          <tpl hier="236" item="0"/>
          <tpl fld="4" item="5"/>
        </tpls>
      </m>
      <m>
        <tpls c="4">
          <tpl fld="7" item="33"/>
          <tpl fld="6" item="2"/>
          <tpl hier="236" item="0"/>
          <tpl fld="4" item="5"/>
        </tpls>
      </m>
      <n v="1.9500000000000002" in="2">
        <tpls c="4">
          <tpl fld="7" item="446"/>
          <tpl fld="6" item="2"/>
          <tpl hier="236" item="0"/>
          <tpl fld="4" item="6"/>
        </tpls>
      </n>
      <m>
        <tpls c="4">
          <tpl fld="7" item="1082"/>
          <tpl fld="6" item="2"/>
          <tpl hier="236" item="0"/>
          <tpl fld="4" item="6"/>
        </tpls>
      </m>
      <n v="1" in="1">
        <tpls c="4">
          <tpl fld="7" item="361"/>
          <tpl fld="6" item="1"/>
          <tpl hier="236" item="0"/>
          <tpl fld="4" item="5"/>
        </tpls>
      </n>
      <m>
        <tpls c="4">
          <tpl fld="7" item="144"/>
          <tpl fld="6" item="1"/>
          <tpl hier="236" item="0"/>
          <tpl fld="4" item="5"/>
        </tpls>
      </m>
      <m>
        <tpls c="4">
          <tpl fld="7" item="1034"/>
          <tpl fld="6" item="1"/>
          <tpl hier="236" item="0"/>
          <tpl fld="4" item="1"/>
        </tpls>
      </m>
      <n v="15" in="1">
        <tpls c="4">
          <tpl fld="7" item="519"/>
          <tpl fld="6" item="1"/>
          <tpl hier="236" item="0"/>
          <tpl fld="4" item="1"/>
        </tpls>
      </n>
      <m>
        <tpls c="4">
          <tpl fld="7" item="281"/>
          <tpl fld="6" item="1"/>
          <tpl hier="236" item="0"/>
          <tpl fld="4" item="1"/>
        </tpls>
      </m>
      <m>
        <tpls c="4">
          <tpl fld="7" item="3"/>
          <tpl fld="6" item="1"/>
          <tpl hier="236" item="0"/>
          <tpl fld="4" item="1"/>
        </tpls>
      </m>
      <n v="1" in="1">
        <tpls c="4">
          <tpl fld="7" item="987"/>
          <tpl fld="6" item="1"/>
          <tpl hier="236" item="0"/>
          <tpl fld="1" item="0"/>
        </tpls>
      </n>
      <n v="2" in="1">
        <tpls c="4">
          <tpl fld="7" item="817"/>
          <tpl fld="6" item="1"/>
          <tpl hier="236" item="0"/>
          <tpl fld="4" item="1"/>
        </tpls>
      </n>
      <m>
        <tpls c="4">
          <tpl fld="7" item="1121"/>
          <tpl fld="6" item="1"/>
          <tpl hier="236" item="0"/>
          <tpl fld="4" item="6"/>
        </tpls>
      </m>
      <n v="2.95" in="2">
        <tpls c="4">
          <tpl fld="7" item="1084"/>
          <tpl fld="6" item="2"/>
          <tpl hier="236" item="0"/>
          <tpl fld="1" item="0"/>
        </tpls>
      </n>
      <n v="3" in="1">
        <tpls c="4">
          <tpl fld="7" item="527"/>
          <tpl fld="6" item="1"/>
          <tpl hier="236" item="0"/>
          <tpl fld="4" item="6"/>
        </tpls>
      </n>
      <m>
        <tpls c="4">
          <tpl fld="7" item="703"/>
          <tpl fld="6" item="2"/>
          <tpl hier="236" item="0"/>
          <tpl fld="4" item="4"/>
        </tpls>
      </m>
      <m>
        <tpls c="4">
          <tpl fld="7" item="454"/>
          <tpl fld="6" item="1"/>
          <tpl hier="236" item="0"/>
          <tpl fld="4" item="4"/>
        </tpls>
      </m>
      <m>
        <tpls c="4">
          <tpl fld="7" item="628"/>
          <tpl fld="6" item="1"/>
          <tpl hier="236" item="0"/>
          <tpl fld="4" item="5"/>
        </tpls>
      </m>
      <n v="0.95" in="2">
        <tpls c="4">
          <tpl fld="7" item="986"/>
          <tpl fld="6" item="2"/>
          <tpl hier="236" item="0"/>
          <tpl fld="4" item="1"/>
        </tpls>
      </n>
      <m>
        <tpls c="4">
          <tpl fld="7" item="734"/>
          <tpl fld="6" item="2"/>
          <tpl hier="236" item="0"/>
          <tpl fld="4" item="4"/>
        </tpls>
      </m>
      <m>
        <tpls c="4">
          <tpl fld="7" item="1016"/>
          <tpl fld="6" item="2"/>
          <tpl hier="236" item="0"/>
          <tpl fld="4" item="4"/>
        </tpls>
      </m>
      <m>
        <tpls c="4">
          <tpl fld="7" item="449"/>
          <tpl fld="6" item="2"/>
          <tpl hier="236" item="0"/>
          <tpl fld="1" item="0"/>
        </tpls>
      </m>
      <m>
        <tpls c="4">
          <tpl fld="7" item="618"/>
          <tpl fld="6" item="1"/>
          <tpl hier="236" item="0"/>
          <tpl fld="4" item="6"/>
        </tpls>
      </m>
      <m>
        <tpls c="3">
          <tpl fld="7" item="582"/>
          <tpl fld="6" item="3"/>
          <tpl hier="236" item="0"/>
        </tpls>
      </m>
      <n v="0" in="1">
        <tpls c="4">
          <tpl fld="7" item="647"/>
          <tpl fld="6" item="1"/>
          <tpl hier="236" item="0"/>
          <tpl fld="4" item="4"/>
        </tpls>
      </n>
      <m>
        <tpls c="4">
          <tpl fld="7" item="816"/>
          <tpl fld="6" item="2"/>
          <tpl hier="236" item="0"/>
          <tpl fld="1" item="0"/>
        </tpls>
      </m>
      <m>
        <tpls c="3">
          <tpl fld="7" item="822"/>
          <tpl fld="6" item="3"/>
          <tpl hier="236" item="0"/>
        </tpls>
      </m>
      <n v="1.85" in="2">
        <tpls c="4">
          <tpl fld="7" item="667"/>
          <tpl fld="6" item="2"/>
          <tpl hier="236" item="0"/>
          <tpl fld="1" item="0"/>
        </tpls>
      </n>
      <n v="2" in="1">
        <tpls c="4">
          <tpl fld="7" item="841"/>
          <tpl fld="6" item="1"/>
          <tpl hier="236" item="0"/>
          <tpl fld="4" item="4"/>
        </tpls>
      </n>
      <m>
        <tpls c="4">
          <tpl fld="7" item="913"/>
          <tpl fld="6" item="2"/>
          <tpl hier="236" item="0"/>
          <tpl fld="4" item="1"/>
        </tpls>
      </m>
      <m>
        <tpls c="3">
          <tpl fld="7" item="1129"/>
          <tpl fld="6" item="3"/>
          <tpl hier="236" item="0"/>
        </tpls>
      </m>
      <m>
        <tpls c="4">
          <tpl fld="7" item="945"/>
          <tpl fld="6" item="1"/>
          <tpl hier="236" item="0"/>
          <tpl fld="4" item="4"/>
        </tpls>
      </m>
      <n v="2" in="1">
        <tpls c="4">
          <tpl fld="7" item="977"/>
          <tpl fld="6" item="1"/>
          <tpl hier="236" item="0"/>
          <tpl fld="4" item="4"/>
        </tpls>
      </n>
      <n v="1.9" in="2">
        <tpls c="4">
          <tpl fld="7" item="374"/>
          <tpl fld="6" item="2"/>
          <tpl hier="236" item="0"/>
          <tpl fld="1" item="0"/>
        </tpls>
      </n>
      <m>
        <tpls c="4">
          <tpl fld="7" item="427"/>
          <tpl fld="6" item="1"/>
          <tpl hier="236" item="0"/>
          <tpl fld="4" item="4"/>
        </tpls>
      </m>
      <m>
        <tpls c="4">
          <tpl fld="7" item="1187"/>
          <tpl fld="6" item="2"/>
          <tpl hier="236" item="0"/>
          <tpl fld="4" item="5"/>
        </tpls>
      </m>
      <m>
        <tpls c="4">
          <tpl fld="7" item="801"/>
          <tpl fld="6" item="2"/>
          <tpl hier="236" item="0"/>
          <tpl fld="4" item="4"/>
        </tpls>
      </m>
      <n v="17" in="1">
        <tpls c="4">
          <tpl fld="7" item="993"/>
          <tpl fld="6" item="1"/>
          <tpl hier="236" item="0"/>
          <tpl fld="4" item="4"/>
        </tpls>
      </n>
      <m>
        <tpls c="4">
          <tpl fld="7" item="812"/>
          <tpl fld="6" item="1"/>
          <tpl hier="236" item="0"/>
          <tpl fld="4" item="6"/>
        </tpls>
      </m>
      <n v="2" in="1">
        <tpls c="4">
          <tpl fld="7" item="736"/>
          <tpl fld="6" item="1"/>
          <tpl hier="236" item="0"/>
          <tpl fld="1" item="0"/>
        </tpls>
      </n>
      <m>
        <tpls c="4">
          <tpl fld="7" item="662"/>
          <tpl fld="6" item="2"/>
          <tpl hier="236" item="0"/>
          <tpl fld="4" item="5"/>
        </tpls>
      </m>
      <m>
        <tpls c="3">
          <tpl fld="7" item="1103"/>
          <tpl fld="6" item="3"/>
          <tpl hier="236" item="0"/>
        </tpls>
      </m>
      <m>
        <tpls c="4">
          <tpl fld="7" item="906"/>
          <tpl fld="6" item="1"/>
          <tpl hier="236" item="0"/>
          <tpl fld="4" item="6"/>
        </tpls>
      </m>
      <m>
        <tpls c="4">
          <tpl fld="7" item="1122"/>
          <tpl fld="6" item="2"/>
          <tpl hier="236" item="0"/>
          <tpl fld="4" item="4"/>
        </tpls>
      </m>
      <n v="5" in="1">
        <tpls c="4">
          <tpl fld="7" item="1029"/>
          <tpl fld="6" item="1"/>
          <tpl hier="236" item="0"/>
          <tpl fld="4" item="4"/>
        </tpls>
      </n>
      <m>
        <tpls c="4">
          <tpl fld="7" item="954"/>
          <tpl fld="6" item="2"/>
          <tpl hier="236" item="0"/>
          <tpl fld="4" item="1"/>
        </tpls>
      </m>
      <m>
        <tpls c="4">
          <tpl fld="7" item="916"/>
          <tpl fld="6" item="2"/>
          <tpl hier="236" item="0"/>
          <tpl fld="1" item="0"/>
        </tpls>
      </m>
      <m>
        <tpls c="4">
          <tpl fld="7" item="497"/>
          <tpl fld="6" item="2"/>
          <tpl hier="236" item="0"/>
          <tpl fld="1" item="0"/>
        </tpls>
      </m>
      <m>
        <tpls c="4">
          <tpl fld="7" item="241"/>
          <tpl fld="6" item="2"/>
          <tpl hier="236" item="0"/>
          <tpl fld="1" item="0"/>
        </tpls>
      </m>
      <m>
        <tpls c="4">
          <tpl fld="7" item="1016"/>
          <tpl fld="6" item="2"/>
          <tpl hier="236" item="0"/>
          <tpl fld="4" item="5"/>
        </tpls>
      </m>
      <m>
        <tpls c="4">
          <tpl fld="7" item="616"/>
          <tpl fld="6" item="2"/>
          <tpl hier="236" item="0"/>
          <tpl fld="4" item="5"/>
        </tpls>
      </m>
      <m>
        <tpls c="4">
          <tpl fld="7" item="654"/>
          <tpl fld="6" item="1"/>
          <tpl hier="236" item="0"/>
          <tpl fld="1" item="0"/>
        </tpls>
      </m>
      <m>
        <tpls c="4">
          <tpl fld="7" item="912"/>
          <tpl fld="6" item="1"/>
          <tpl hier="236" item="0"/>
          <tpl fld="4" item="4"/>
        </tpls>
      </m>
      <m>
        <tpls c="4">
          <tpl fld="7" item="602"/>
          <tpl fld="6" item="2"/>
          <tpl hier="236" item="0"/>
          <tpl fld="1" item="0"/>
        </tpls>
      </m>
      <m>
        <tpls c="4">
          <tpl fld="7" item="853"/>
          <tpl fld="6" item="2"/>
          <tpl hier="236" item="0"/>
          <tpl fld="4" item="5"/>
        </tpls>
      </m>
      <m>
        <tpls c="4">
          <tpl fld="7" item="318"/>
          <tpl fld="6" item="2"/>
          <tpl hier="236" item="0"/>
          <tpl fld="4" item="5"/>
        </tpls>
      </m>
      <m>
        <tpls c="4">
          <tpl fld="7" item="28"/>
          <tpl fld="6" item="2"/>
          <tpl hier="236" item="0"/>
          <tpl fld="4" item="5"/>
        </tpls>
      </m>
      <m>
        <tpls c="4">
          <tpl fld="7" item="1242"/>
          <tpl fld="6" item="2"/>
          <tpl hier="236" item="0"/>
          <tpl fld="4" item="6"/>
        </tpls>
      </m>
      <m>
        <tpls c="4">
          <tpl fld="7" item="82"/>
          <tpl fld="6" item="2"/>
          <tpl hier="236" item="0"/>
          <tpl fld="4" item="6"/>
        </tpls>
      </m>
      <m>
        <tpls c="4">
          <tpl fld="7" item="1196"/>
          <tpl fld="6" item="1"/>
          <tpl hier="236" item="0"/>
          <tpl fld="4" item="5"/>
        </tpls>
      </m>
      <m>
        <tpls c="4">
          <tpl fld="7" item="356"/>
          <tpl fld="6" item="1"/>
          <tpl hier="236" item="0"/>
          <tpl fld="4" item="5"/>
        </tpls>
      </m>
      <m>
        <tpls c="4">
          <tpl fld="7" item="33"/>
          <tpl fld="6" item="1"/>
          <tpl hier="236" item="0"/>
          <tpl fld="4" item="5"/>
        </tpls>
      </m>
      <m>
        <tpls c="4">
          <tpl fld="7" item="1037"/>
          <tpl fld="6" item="1"/>
          <tpl hier="236" item="0"/>
          <tpl fld="4" item="1"/>
        </tpls>
      </m>
      <n v="1" in="1">
        <tpls c="4">
          <tpl fld="7" item="522"/>
          <tpl fld="6" item="1"/>
          <tpl hier="236" item="0"/>
          <tpl fld="4" item="1"/>
        </tpls>
      </n>
      <m>
        <tpls c="4">
          <tpl fld="7" item="284"/>
          <tpl fld="6" item="1"/>
          <tpl hier="236" item="0"/>
          <tpl fld="4" item="1"/>
        </tpls>
      </m>
      <m>
        <tpls c="4">
          <tpl fld="7" item="120"/>
          <tpl fld="6" item="1"/>
          <tpl hier="236" item="0"/>
          <tpl fld="4" item="1"/>
        </tpls>
      </m>
      <m>
        <tpls c="4">
          <tpl fld="7" item="779"/>
          <tpl fld="6" item="2"/>
          <tpl hier="236" item="0"/>
          <tpl fld="4" item="1"/>
        </tpls>
      </m>
      <m>
        <tpls c="4">
          <tpl fld="7" item="816"/>
          <tpl fld="6" item="2"/>
          <tpl hier="236" item="0"/>
          <tpl fld="4" item="4"/>
        </tpls>
      </m>
      <n v="0" in="1">
        <tpls c="4">
          <tpl fld="7" item="1220"/>
          <tpl fld="6" item="1"/>
          <tpl hier="236" item="0"/>
          <tpl fld="4" item="4"/>
        </tpls>
      </n>
      <n v="2.2999999999999998" in="2">
        <tpls c="4">
          <tpl fld="7" item="982"/>
          <tpl fld="6" item="2"/>
          <tpl hier="236" item="0"/>
          <tpl fld="1" item="0"/>
        </tpls>
      </n>
      <m>
        <tpls c="4">
          <tpl fld="7" item="392"/>
          <tpl fld="6" item="2"/>
          <tpl hier="236" item="0"/>
          <tpl fld="4" item="6"/>
        </tpls>
      </m>
      <n v="6" in="1">
        <tpls c="4">
          <tpl fld="7" item="714"/>
          <tpl fld="6" item="1"/>
          <tpl hier="236" item="0"/>
          <tpl fld="4" item="4"/>
        </tpls>
      </n>
      <n v="10" in="1">
        <tpls c="4">
          <tpl fld="7" item="1087"/>
          <tpl fld="6" item="1"/>
          <tpl hier="236" item="0"/>
          <tpl fld="4" item="6"/>
        </tpls>
      </n>
      <m>
        <tpls c="4">
          <tpl fld="7" item="711"/>
          <tpl fld="6" item="2"/>
          <tpl hier="236" item="0"/>
          <tpl fld="1" item="0"/>
        </tpls>
      </m>
      <m>
        <tpls c="4">
          <tpl fld="7" item="788"/>
          <tpl fld="6" item="1"/>
          <tpl hier="236" item="0"/>
          <tpl fld="4" item="5"/>
        </tpls>
      </m>
      <m>
        <tpls c="4">
          <tpl fld="7" item="819"/>
          <tpl fld="6" item="1"/>
          <tpl hier="236" item="0"/>
          <tpl fld="4" item="5"/>
        </tpls>
      </m>
      <m>
        <tpls c="4">
          <tpl fld="7" item="860"/>
          <tpl fld="6" item="1"/>
          <tpl hier="236" item="0"/>
          <tpl fld="4" item="6"/>
        </tpls>
      </m>
      <m>
        <tpls c="4">
          <tpl fld="7" item="206"/>
          <tpl fld="6" item="2"/>
          <tpl hier="236" item="0"/>
          <tpl fld="1" item="0"/>
        </tpls>
      </m>
      <n v="1" in="1">
        <tpls c="4">
          <tpl fld="7" item="557"/>
          <tpl fld="6" item="1"/>
          <tpl hier="236" item="0"/>
          <tpl fld="4" item="1"/>
        </tpls>
      </n>
      <n v="3" in="1">
        <tpls c="4">
          <tpl fld="7" item="641"/>
          <tpl fld="6" item="1"/>
          <tpl hier="236" item="0"/>
          <tpl fld="4" item="4"/>
        </tpls>
      </n>
      <m>
        <tpls c="4">
          <tpl fld="7" item="648"/>
          <tpl fld="6" item="2"/>
          <tpl hier="236" item="0"/>
          <tpl fld="4" item="4"/>
        </tpls>
      </m>
      <m>
        <tpls c="3">
          <tpl fld="7" item="817"/>
          <tpl fld="6" item="3"/>
          <tpl hier="236" item="0"/>
        </tpls>
      </m>
      <m>
        <tpls c="4">
          <tpl fld="7" item="741"/>
          <tpl fld="6" item="1"/>
          <tpl hier="236" item="0"/>
          <tpl fld="4" item="5"/>
        </tpls>
      </m>
      <n v="6" in="1">
        <tpls c="4">
          <tpl fld="7" item="830"/>
          <tpl fld="6" item="1"/>
          <tpl hier="236" item="0"/>
          <tpl fld="4" item="4"/>
        </tpls>
      </n>
      <m>
        <tpls c="4">
          <tpl fld="7" item="1218"/>
          <tpl fld="6" item="2"/>
          <tpl hier="236" item="0"/>
          <tpl fld="4" item="1"/>
        </tpls>
      </m>
      <m>
        <tpls c="3">
          <tpl fld="7" item="1018"/>
          <tpl fld="6" item="3"/>
          <tpl hier="236" item="0"/>
        </tpls>
      </m>
      <m>
        <tpls c="4">
          <tpl fld="7" item="1197"/>
          <tpl fld="6" item="1"/>
          <tpl hier="236" item="0"/>
          <tpl fld="4" item="6"/>
        </tpls>
      </m>
      <n v="32" in="1">
        <tpls c="4">
          <tpl fld="7" item="1156"/>
          <tpl fld="6" item="1"/>
          <tpl hier="236" item="0"/>
          <tpl fld="4" item="4"/>
        </tpls>
      </n>
      <m>
        <tpls c="4">
          <tpl fld="7" item="867"/>
          <tpl fld="6" item="2"/>
          <tpl hier="236" item="0"/>
          <tpl fld="1" item="0"/>
        </tpls>
      </m>
      <n v="1" in="2">
        <tpls c="4">
          <tpl fld="7" item="365"/>
          <tpl fld="6" item="2"/>
          <tpl hier="236" item="0"/>
          <tpl fld="1" item="0"/>
        </tpls>
      </n>
      <m>
        <tpls c="4">
          <tpl fld="7" item="385"/>
          <tpl fld="6" item="2"/>
          <tpl hier="236" item="0"/>
          <tpl fld="4" item="1"/>
        </tpls>
      </m>
      <n v="1.25" in="2">
        <tpls c="4">
          <tpl fld="7" item="705"/>
          <tpl fld="6" item="2"/>
          <tpl hier="236" item="0"/>
          <tpl fld="1" item="0"/>
        </tpls>
      </n>
      <m>
        <tpls c="4">
          <tpl fld="7" item="720"/>
          <tpl fld="6" item="1"/>
          <tpl hier="236" item="0"/>
          <tpl fld="4" item="1"/>
        </tpls>
      </m>
      <m>
        <tpls c="4">
          <tpl fld="7" item="807"/>
          <tpl fld="6" item="1"/>
          <tpl hier="236" item="0"/>
          <tpl fld="4" item="6"/>
        </tpls>
      </m>
      <n v="2" in="1">
        <tpls c="4">
          <tpl fld="7" item="731"/>
          <tpl fld="6" item="1"/>
          <tpl hier="236" item="0"/>
          <tpl fld="1" item="0"/>
        </tpls>
      </n>
      <m>
        <tpls c="4">
          <tpl fld="7" item="657"/>
          <tpl fld="6" item="2"/>
          <tpl hier="236" item="0"/>
          <tpl fld="4" item="5"/>
        </tpls>
      </m>
      <m>
        <tpls c="4">
          <tpl fld="7" item="663"/>
          <tpl fld="6" item="2"/>
          <tpl hier="236" item="0"/>
          <tpl fld="4" item="1"/>
        </tpls>
      </m>
      <n v="3" in="1">
        <tpls c="4">
          <tpl fld="7" item="1242"/>
          <tpl fld="6" item="1"/>
          <tpl hier="236" item="0"/>
          <tpl fld="4" item="6"/>
        </tpls>
      </n>
      <m>
        <tpls c="4">
          <tpl fld="7" item="1011"/>
          <tpl fld="6" item="2"/>
          <tpl hier="236" item="0"/>
          <tpl fld="4" item="4"/>
        </tpls>
      </m>
      <m>
        <tpls c="4">
          <tpl fld="7" item="917"/>
          <tpl fld="6" item="1"/>
          <tpl hier="236" item="0"/>
          <tpl fld="4" item="4"/>
        </tpls>
      </m>
      <m>
        <tpls c="4">
          <tpl fld="7" item="1031"/>
          <tpl fld="6" item="2"/>
          <tpl hier="236" item="0"/>
          <tpl fld="4" item="1"/>
        </tpls>
      </m>
      <m>
        <tpls c="4">
          <tpl fld="7" item="1165"/>
          <tpl fld="6" item="2"/>
          <tpl hier="236" item="0"/>
          <tpl fld="4" item="1"/>
        </tpls>
      </m>
      <m>
        <tpls c="4">
          <tpl fld="7" item="1013"/>
          <tpl fld="6" item="2"/>
          <tpl hier="236" item="0"/>
          <tpl fld="1" item="0"/>
        </tpls>
      </m>
      <m>
        <tpls c="4">
          <tpl fld="7" item="95"/>
          <tpl fld="6" item="2"/>
          <tpl hier="236" item="0"/>
          <tpl fld="1" item="0"/>
        </tpls>
      </m>
      <m>
        <tpls c="4">
          <tpl fld="7" item="475"/>
          <tpl fld="6" item="2"/>
          <tpl hier="236" item="0"/>
          <tpl fld="1" item="0"/>
        </tpls>
      </m>
      <m>
        <tpls c="4">
          <tpl fld="7" item="1112"/>
          <tpl fld="6" item="2"/>
          <tpl hier="236" item="0"/>
          <tpl fld="4" item="5"/>
        </tpls>
      </m>
      <m>
        <tpls c="3">
          <tpl fld="7" item="626"/>
          <tpl fld="6" item="3"/>
          <tpl hier="236" item="0"/>
        </tpls>
      </m>
      <m>
        <tpls c="4">
          <tpl fld="7" item="737"/>
          <tpl fld="6" item="2"/>
          <tpl hier="236" item="0"/>
          <tpl fld="4" item="6"/>
        </tpls>
      </m>
      <m>
        <tpls c="4">
          <tpl fld="7" item="1021"/>
          <tpl fld="6" item="2"/>
          <tpl hier="236" item="0"/>
          <tpl fld="4" item="4"/>
        </tpls>
      </m>
      <m>
        <tpls c="4">
          <tpl fld="7" item="86"/>
          <tpl fld="6" item="2"/>
          <tpl hier="236" item="0"/>
          <tpl fld="1" item="0"/>
        </tpls>
      </m>
      <m>
        <tpls c="4">
          <tpl fld="7" item="841"/>
          <tpl fld="6" item="2"/>
          <tpl hier="236" item="0"/>
          <tpl fld="4" item="5"/>
        </tpls>
      </m>
      <m>
        <tpls c="4">
          <tpl fld="7" item="296"/>
          <tpl fld="6" item="2"/>
          <tpl hier="236" item="0"/>
          <tpl fld="4" item="5"/>
        </tpls>
      </m>
      <m>
        <tpls c="4">
          <tpl fld="7" item="118"/>
          <tpl fld="6" item="2"/>
          <tpl hier="236" item="0"/>
          <tpl fld="4" item="5"/>
        </tpls>
      </m>
      <m>
        <tpls c="4">
          <tpl fld="7" item="452"/>
          <tpl fld="6" item="2"/>
          <tpl hier="236" item="0"/>
          <tpl fld="4" item="6"/>
        </tpls>
      </m>
      <m>
        <tpls c="4">
          <tpl fld="7" item="73"/>
          <tpl fld="6" item="2"/>
          <tpl hier="236" item="0"/>
          <tpl fld="4" item="6"/>
        </tpls>
      </m>
      <m>
        <tpls c="4">
          <tpl fld="7" item="913"/>
          <tpl fld="6" item="1"/>
          <tpl hier="236" item="0"/>
          <tpl fld="4" item="5"/>
        </tpls>
      </m>
      <m>
        <tpls c="4">
          <tpl fld="7" item="211"/>
          <tpl fld="6" item="1"/>
          <tpl hier="236" item="0"/>
          <tpl fld="4" item="5"/>
        </tpls>
      </m>
      <m>
        <tpls c="4">
          <tpl fld="7" item="131"/>
          <tpl fld="6" item="1"/>
          <tpl hier="236" item="0"/>
          <tpl fld="4" item="5"/>
        </tpls>
      </m>
      <n v="1" in="1">
        <tpls c="4">
          <tpl fld="7" item="977"/>
          <tpl fld="6" item="1"/>
          <tpl hier="236" item="0"/>
          <tpl fld="4" item="1"/>
        </tpls>
      </n>
      <n v="4" in="1">
        <tpls c="4">
          <tpl fld="7" item="513"/>
          <tpl fld="6" item="1"/>
          <tpl hier="236" item="0"/>
          <tpl fld="4" item="1"/>
        </tpls>
      </n>
      <m>
        <tpls c="4">
          <tpl fld="7" item="480"/>
          <tpl fld="6" item="1"/>
          <tpl hier="236" item="0"/>
          <tpl fld="4" item="1"/>
        </tpls>
      </m>
      <n v="1" in="1">
        <tpls c="4">
          <tpl fld="7" item="867"/>
          <tpl fld="6" item="1"/>
          <tpl hier="236" item="0"/>
          <tpl fld="1" item="0"/>
        </tpls>
      </n>
      <n v="15" in="1">
        <tpls c="4">
          <tpl fld="7" item="789"/>
          <tpl fld="6" item="1"/>
          <tpl hier="236" item="0"/>
          <tpl fld="1" item="0"/>
        </tpls>
      </n>
      <m>
        <tpls c="4">
          <tpl fld="7" item="1099"/>
          <tpl fld="6" item="1"/>
          <tpl hier="236" item="0"/>
          <tpl fld="4" item="5"/>
        </tpls>
      </m>
      <m>
        <tpls c="4">
          <tpl fld="7" item="918"/>
          <tpl fld="6" item="2"/>
          <tpl hier="236" item="0"/>
          <tpl fld="4" item="4"/>
        </tpls>
      </m>
      <m>
        <tpls c="4">
          <tpl fld="7" item="195"/>
          <tpl fld="6" item="2"/>
          <tpl hier="236" item="0"/>
          <tpl fld="1" item="0"/>
        </tpls>
      </m>
      <m>
        <tpls c="4">
          <tpl fld="7" item="902"/>
          <tpl fld="6" item="2"/>
          <tpl hier="236" item="0"/>
          <tpl fld="4" item="5"/>
        </tpls>
      </m>
      <m>
        <tpls c="4">
          <tpl fld="7" item="415"/>
          <tpl fld="6" item="2"/>
          <tpl hier="236" item="0"/>
          <tpl fld="4" item="5"/>
        </tpls>
      </m>
      <m>
        <tpls c="4">
          <tpl fld="7" item="113"/>
          <tpl fld="6" item="2"/>
          <tpl hier="236" item="0"/>
          <tpl fld="4" item="5"/>
        </tpls>
      </m>
      <m>
        <tpls c="4">
          <tpl fld="7" item="380"/>
          <tpl fld="6" item="2"/>
          <tpl hier="236" item="0"/>
          <tpl fld="4" item="6"/>
        </tpls>
      </m>
      <m>
        <tpls c="4">
          <tpl fld="7" item="288"/>
          <tpl fld="6" item="2"/>
          <tpl hier="236" item="0"/>
          <tpl fld="4" item="6"/>
        </tpls>
      </m>
      <m>
        <tpls c="4">
          <tpl fld="7" item="912"/>
          <tpl fld="6" item="1"/>
          <tpl hier="236" item="0"/>
          <tpl fld="4" item="5"/>
        </tpls>
      </m>
      <m>
        <tpls c="4">
          <tpl fld="7" item="102"/>
          <tpl fld="6" item="1"/>
          <tpl hier="236" item="0"/>
          <tpl fld="4" item="5"/>
        </tpls>
      </m>
      <m>
        <tpls c="4">
          <tpl fld="7" item="22"/>
          <tpl fld="6" item="1"/>
          <tpl hier="236" item="0"/>
          <tpl fld="4" item="5"/>
        </tpls>
      </m>
      <m>
        <tpls c="3">
          <tpl fld="7" item="300"/>
          <tpl fld="6" item="3"/>
          <tpl hier="236" item="0"/>
        </tpls>
      </m>
      <m>
        <tpls c="4">
          <tpl fld="7" item="1010"/>
          <tpl fld="6" item="2"/>
          <tpl hier="236" item="0"/>
          <tpl fld="4" item="4"/>
        </tpls>
      </m>
      <m>
        <tpls c="4">
          <tpl fld="7" item="1096"/>
          <tpl fld="6" item="1"/>
          <tpl hier="236" item="0"/>
          <tpl fld="4" item="6"/>
        </tpls>
      </m>
      <m>
        <tpls c="4">
          <tpl fld="7" item="839"/>
          <tpl fld="6" item="1"/>
          <tpl hier="236" item="0"/>
          <tpl fld="4" item="4"/>
        </tpls>
      </m>
      <n v="33" in="1">
        <tpls c="4">
          <tpl fld="7" item="972"/>
          <tpl fld="6" item="1"/>
          <tpl hier="236" item="0"/>
          <tpl fld="4" item="4"/>
        </tpls>
      </n>
      <m>
        <tpls c="4">
          <tpl fld="7" item="800"/>
          <tpl fld="6" item="2"/>
          <tpl hier="236" item="0"/>
          <tpl fld="4" item="4"/>
        </tpls>
      </m>
      <m>
        <tpls c="3">
          <tpl fld="7" item="741"/>
          <tpl fld="6" item="3"/>
          <tpl hier="236" item="0"/>
        </tpls>
      </m>
      <m>
        <tpls c="4">
          <tpl fld="7" item="1197"/>
          <tpl fld="6" item="1"/>
          <tpl hier="236" item="0"/>
          <tpl fld="4" item="4"/>
        </tpls>
      </m>
      <m>
        <tpls c="4">
          <tpl fld="7" item="60"/>
          <tpl fld="6" item="2"/>
          <tpl hier="236" item="0"/>
          <tpl fld="1" item="0"/>
        </tpls>
      </m>
      <m>
        <tpls c="4">
          <tpl fld="7" item="906"/>
          <tpl fld="6" item="1"/>
          <tpl hier="236" item="0"/>
          <tpl fld="4" item="4"/>
        </tpls>
      </m>
      <m>
        <tpls c="4">
          <tpl fld="7" item="38"/>
          <tpl fld="6" item="2"/>
          <tpl hier="236" item="0"/>
          <tpl fld="4" item="5"/>
        </tpls>
      </m>
      <m>
        <tpls c="4">
          <tpl fld="7" item="366"/>
          <tpl fld="6" item="1"/>
          <tpl hier="236" item="0"/>
          <tpl fld="4" item="5"/>
        </tpls>
      </m>
      <m>
        <tpls c="4">
          <tpl fld="7" item="294"/>
          <tpl fld="6" item="1"/>
          <tpl hier="236" item="0"/>
          <tpl fld="4" item="1"/>
        </tpls>
      </m>
      <n v="1" in="1">
        <tpls c="4">
          <tpl fld="7" item="1284"/>
          <tpl fld="6" item="1"/>
          <tpl hier="236" item="0"/>
          <tpl fld="4" item="4"/>
        </tpls>
      </n>
      <m>
        <tpls c="4">
          <tpl fld="7" item="764"/>
          <tpl fld="6" item="2"/>
          <tpl hier="236" item="0"/>
          <tpl fld="4" item="5"/>
        </tpls>
      </m>
      <m>
        <tpls c="4">
          <tpl fld="7" item="263"/>
          <tpl fld="6" item="2"/>
          <tpl hier="236" item="0"/>
          <tpl fld="4" item="5"/>
        </tpls>
      </m>
      <m>
        <tpls c="4">
          <tpl fld="7" item="1102"/>
          <tpl fld="6" item="2"/>
          <tpl hier="236" item="0"/>
          <tpl fld="4" item="6"/>
        </tpls>
      </m>
      <m>
        <tpls c="4">
          <tpl fld="7" item="410"/>
          <tpl fld="6" item="2"/>
          <tpl hier="236" item="0"/>
          <tpl fld="4" item="6"/>
        </tpls>
      </m>
      <m>
        <tpls c="4">
          <tpl fld="7" item="516"/>
          <tpl fld="6" item="1"/>
          <tpl hier="236" item="0"/>
          <tpl fld="4" item="5"/>
        </tpls>
      </m>
      <m>
        <tpls c="4">
          <tpl fld="7" item="143"/>
          <tpl fld="6" item="1"/>
          <tpl hier="236" item="0"/>
          <tpl fld="4" item="5"/>
        </tpls>
      </m>
      <n v="1" in="1">
        <tpls c="4">
          <tpl fld="7" item="1029"/>
          <tpl fld="6" item="1"/>
          <tpl hier="236" item="0"/>
          <tpl fld="4" item="1"/>
        </tpls>
      </n>
      <m>
        <tpls c="4">
          <tpl fld="7" item="599"/>
          <tpl fld="6" item="1"/>
          <tpl hier="236" item="0"/>
          <tpl fld="4" item="1"/>
        </tpls>
      </m>
      <m>
        <tpls c="4">
          <tpl fld="7" item="1185"/>
          <tpl fld="6" item="1"/>
          <tpl hier="236" item="0"/>
          <tpl fld="4" item="1"/>
        </tpls>
      </m>
      <m>
        <tpls c="4">
          <tpl fld="7" item="714"/>
          <tpl fld="6" item="1"/>
          <tpl hier="236" item="0"/>
          <tpl fld="4" item="6"/>
        </tpls>
      </m>
      <m>
        <tpls c="4">
          <tpl fld="7" item="893"/>
          <tpl fld="6" item="2"/>
          <tpl hier="236" item="0"/>
          <tpl fld="4" item="1"/>
        </tpls>
      </m>
      <m>
        <tpls c="4">
          <tpl fld="7" item="1025"/>
          <tpl fld="6" item="1"/>
          <tpl hier="236" item="0"/>
          <tpl fld="4" item="6"/>
        </tpls>
      </m>
      <m>
        <tpls c="4">
          <tpl fld="7" item="413"/>
          <tpl fld="6" item="2"/>
          <tpl hier="236" item="0"/>
          <tpl fld="1" item="0"/>
        </tpls>
      </m>
      <m>
        <tpls c="4">
          <tpl fld="7" item="1216"/>
          <tpl fld="6" item="2"/>
          <tpl hier="236" item="0"/>
          <tpl fld="4" item="5"/>
        </tpls>
      </m>
      <m>
        <tpls c="4">
          <tpl fld="7" item="181"/>
          <tpl fld="6" item="2"/>
          <tpl hier="236" item="0"/>
          <tpl fld="4" item="5"/>
        </tpls>
      </m>
      <m>
        <tpls c="4">
          <tpl fld="7" item="17"/>
          <tpl fld="6" item="2"/>
          <tpl hier="236" item="0"/>
          <tpl fld="4" item="5"/>
        </tpls>
      </m>
      <m>
        <tpls c="4">
          <tpl fld="7" item="516"/>
          <tpl fld="6" item="2"/>
          <tpl hier="236" item="0"/>
          <tpl fld="4" item="6"/>
        </tpls>
      </m>
      <m>
        <tpls c="4">
          <tpl fld="7" item="412"/>
          <tpl fld="6" item="2"/>
          <tpl hier="236" item="0"/>
          <tpl fld="4" item="6"/>
        </tpls>
      </m>
      <m>
        <tpls c="4">
          <tpl fld="7" item="908"/>
          <tpl fld="6" item="1"/>
          <tpl hier="236" item="0"/>
          <tpl fld="4" item="5"/>
        </tpls>
      </m>
      <m>
        <tpls c="4">
          <tpl fld="7" item="598"/>
          <tpl fld="6" item="1"/>
          <tpl hier="236" item="0"/>
          <tpl fld="4" item="5"/>
        </tpls>
      </m>
      <m>
        <tpls c="4">
          <tpl fld="7" item="317"/>
          <tpl fld="6" item="1"/>
          <tpl hier="236" item="0"/>
          <tpl fld="4" item="5"/>
        </tpls>
      </m>
      <m>
        <tpls c="4">
          <tpl fld="7" item="486"/>
          <tpl fld="6" item="1"/>
          <tpl hier="236" item="0"/>
          <tpl fld="4" item="5"/>
        </tpls>
      </m>
      <m>
        <tpls c="4">
          <tpl fld="7" item="404"/>
          <tpl fld="6" item="1"/>
          <tpl hier="236" item="0"/>
          <tpl fld="4" item="5"/>
        </tpls>
      </m>
      <m>
        <tpls c="4">
          <tpl fld="7" item="237"/>
          <tpl fld="6" item="1"/>
          <tpl hier="236" item="0"/>
          <tpl fld="4" item="5"/>
        </tpls>
      </m>
      <m>
        <tpls c="4">
          <tpl fld="7" item="1259"/>
          <tpl fld="6" item="1"/>
          <tpl hier="236" item="0"/>
          <tpl fld="4" item="1"/>
        </tpls>
      </m>
      <m>
        <tpls c="4">
          <tpl fld="7" item="1253"/>
          <tpl fld="6" item="1"/>
          <tpl hier="236" item="0"/>
          <tpl fld="4" item="1"/>
        </tpls>
      </m>
      <n v="3" in="1">
        <tpls c="4">
          <tpl fld="7" item="871"/>
          <tpl fld="6" item="1"/>
          <tpl hier="236" item="0"/>
          <tpl fld="4" item="1"/>
        </tpls>
      </n>
      <n v="5" in="1">
        <tpls c="4">
          <tpl fld="7" item="851"/>
          <tpl fld="6" item="1"/>
          <tpl hier="236" item="0"/>
          <tpl fld="4" item="1"/>
        </tpls>
      </n>
      <m>
        <tpls c="4">
          <tpl fld="7" item="204"/>
          <tpl fld="6" item="1"/>
          <tpl hier="236" item="0"/>
          <tpl fld="4" item="1"/>
        </tpls>
      </m>
      <m>
        <tpls c="4">
          <tpl fld="7" item="440"/>
          <tpl fld="6" item="1"/>
          <tpl hier="236" item="0"/>
          <tpl fld="4" item="1"/>
        </tpls>
      </m>
      <m>
        <tpls c="4">
          <tpl fld="7" item="351"/>
          <tpl fld="6" item="1"/>
          <tpl hier="236" item="0"/>
          <tpl fld="4" item="1"/>
        </tpls>
      </m>
      <n v="0" in="1">
        <tpls c="4">
          <tpl fld="7" item="184"/>
          <tpl fld="6" item="1"/>
          <tpl hier="236" item="0"/>
          <tpl fld="4" item="1"/>
        </tpls>
      </n>
      <m>
        <tpls c="4">
          <tpl fld="7" item="407"/>
          <tpl fld="6" item="1"/>
          <tpl hier="236" item="0"/>
          <tpl fld="4" item="1"/>
        </tpls>
      </m>
      <m>
        <tpls c="4">
          <tpl fld="7" item="752"/>
          <tpl fld="6" item="1"/>
          <tpl hier="236" item="0"/>
          <tpl fld="4" item="1"/>
        </tpls>
      </m>
      <m>
        <tpls c="4">
          <tpl fld="7" item="669"/>
          <tpl fld="6" item="1"/>
          <tpl hier="236" item="0"/>
          <tpl fld="4" item="1"/>
        </tpls>
      </m>
      <n v="1" in="1">
        <tpls c="4">
          <tpl fld="7" item="921"/>
          <tpl fld="6" item="1"/>
          <tpl hier="236" item="0"/>
          <tpl fld="1" item="0"/>
        </tpls>
      </n>
      <m>
        <tpls c="4">
          <tpl fld="7" item="906"/>
          <tpl fld="6" item="1"/>
          <tpl hier="236" item="0"/>
          <tpl fld="1" item="0"/>
        </tpls>
      </m>
      <n v="32" in="1">
        <tpls c="4">
          <tpl fld="7" item="681"/>
          <tpl fld="6" item="1"/>
          <tpl hier="236" item="0"/>
          <tpl fld="1" item="0"/>
        </tpls>
      </n>
      <m>
        <tpls c="4">
          <tpl fld="7" item="676"/>
          <tpl fld="6" item="1"/>
          <tpl hier="236" item="0"/>
          <tpl fld="1" item="0"/>
        </tpls>
      </m>
      <m>
        <tpls c="4">
          <tpl fld="7" item="348"/>
          <tpl fld="6" item="1"/>
          <tpl hier="236" item="0"/>
          <tpl fld="1" item="0"/>
        </tpls>
      </m>
      <m>
        <tpls c="4">
          <tpl fld="7" item="177"/>
          <tpl fld="6" item="1"/>
          <tpl hier="236" item="0"/>
          <tpl fld="1" item="0"/>
        </tpls>
      </m>
      <m>
        <tpls c="4">
          <tpl fld="7" item="252"/>
          <tpl fld="6" item="1"/>
          <tpl hier="236" item="0"/>
          <tpl fld="1" item="0"/>
        </tpls>
      </m>
      <m>
        <tpls c="4">
          <tpl fld="7" item="328"/>
          <tpl fld="6" item="1"/>
          <tpl hier="236" item="0"/>
          <tpl fld="1" item="0"/>
        </tpls>
      </m>
      <n v="0" in="1">
        <tpls c="4">
          <tpl fld="7" item="692"/>
          <tpl fld="6" item="1"/>
          <tpl hier="236" item="0"/>
          <tpl fld="4" item="6"/>
        </tpls>
      </n>
      <m>
        <tpls c="4">
          <tpl fld="7" item="1215"/>
          <tpl fld="6" item="2"/>
          <tpl hier="236" item="0"/>
          <tpl fld="4" item="1"/>
        </tpls>
      </m>
      <n v="1" in="1">
        <tpls c="4">
          <tpl fld="7" item="1039"/>
          <tpl fld="6" item="1"/>
          <tpl hier="236" item="0"/>
          <tpl fld="4" item="4"/>
        </tpls>
      </n>
      <n v="0.75" in="2">
        <tpls c="4">
          <tpl fld="7" item="1122"/>
          <tpl fld="6" item="2"/>
          <tpl hier="236" item="0"/>
          <tpl fld="4" item="5"/>
        </tpls>
      </n>
      <m>
        <tpls c="4">
          <tpl fld="7" item="76"/>
          <tpl fld="6" item="2"/>
          <tpl hier="236" item="0"/>
          <tpl fld="4" item="5"/>
        </tpls>
      </m>
      <m>
        <tpls c="4">
          <tpl fld="7" item="1028"/>
          <tpl fld="6" item="2"/>
          <tpl hier="236" item="0"/>
          <tpl fld="4" item="6"/>
        </tpls>
      </m>
      <m>
        <tpls c="4">
          <tpl fld="7" item="346"/>
          <tpl fld="6" item="2"/>
          <tpl hier="236" item="0"/>
          <tpl fld="4" item="6"/>
        </tpls>
      </m>
      <n v="1" in="1">
        <tpls c="4">
          <tpl fld="7" item="850"/>
          <tpl fld="6" item="1"/>
          <tpl hier="236" item="0"/>
          <tpl fld="4" item="5"/>
        </tpls>
      </n>
      <m>
        <tpls c="4">
          <tpl fld="7" item="191"/>
          <tpl fld="6" item="1"/>
          <tpl hier="236" item="0"/>
          <tpl fld="4" item="5"/>
        </tpls>
      </m>
      <n v="1" in="1">
        <tpls c="4">
          <tpl fld="7" item="1143"/>
          <tpl fld="6" item="1"/>
          <tpl hier="236" item="0"/>
          <tpl fld="4" item="1"/>
        </tpls>
      </n>
      <n v="0" in="1">
        <tpls c="4">
          <tpl fld="7" item="368"/>
          <tpl fld="6" item="1"/>
          <tpl hier="236" item="0"/>
          <tpl fld="4" item="1"/>
        </tpls>
      </n>
      <m>
        <tpls c="4">
          <tpl fld="7" item="237"/>
          <tpl fld="6" item="1"/>
          <tpl hier="236" item="0"/>
          <tpl fld="4" item="1"/>
        </tpls>
      </m>
      <n v="3" in="1">
        <tpls c="4">
          <tpl fld="7" item="913"/>
          <tpl fld="6" item="1"/>
          <tpl hier="236" item="0"/>
          <tpl fld="1" item="0"/>
        </tpls>
      </n>
      <n v="6" in="1">
        <tpls c="4">
          <tpl fld="7" item="516"/>
          <tpl fld="6" item="1"/>
          <tpl hier="236" item="0"/>
          <tpl fld="1" item="0"/>
        </tpls>
      </n>
      <m>
        <tpls c="4">
          <tpl fld="7" item="104"/>
          <tpl fld="6" item="1"/>
          <tpl hier="236" item="0"/>
          <tpl fld="1" item="0"/>
        </tpls>
      </m>
      <m>
        <tpls c="4">
          <tpl fld="7" item="288"/>
          <tpl fld="6" item="1"/>
          <tpl hier="236" item="0"/>
          <tpl fld="1" item="0"/>
        </tpls>
      </m>
      <m>
        <tpls c="4">
          <tpl fld="7" item="35"/>
          <tpl fld="6" item="1"/>
          <tpl hier="236" item="0"/>
          <tpl fld="1" item="0"/>
        </tpls>
      </m>
      <n v="1" in="1">
        <tpls c="4">
          <tpl fld="7" item="630"/>
          <tpl fld="6" item="1"/>
          <tpl hier="236" item="0"/>
          <tpl fld="4" item="6"/>
        </tpls>
      </n>
      <m>
        <tpls c="4">
          <tpl fld="7" item="114"/>
          <tpl fld="6" item="1"/>
          <tpl hier="236" item="0"/>
          <tpl fld="4" item="6"/>
        </tpls>
      </m>
      <m>
        <tpls c="3">
          <tpl fld="7" item="63"/>
          <tpl fld="6" item="3"/>
          <tpl hier="236" item="0"/>
        </tpls>
      </m>
      <m>
        <tpls c="3">
          <tpl fld="7" item="122"/>
          <tpl fld="6" item="3"/>
          <tpl hier="236" item="0"/>
        </tpls>
      </m>
      <m>
        <tpls c="4">
          <tpl fld="7" item="1070"/>
          <tpl fld="6" item="2"/>
          <tpl hier="236" item="0"/>
          <tpl fld="4" item="4"/>
        </tpls>
      </m>
      <m>
        <tpls c="4">
          <tpl fld="7" item="1050"/>
          <tpl fld="6" item="2"/>
          <tpl hier="236" item="0"/>
          <tpl fld="4" item="4"/>
        </tpls>
      </m>
      <m>
        <tpls c="4">
          <tpl fld="7" item="927"/>
          <tpl fld="6" item="2"/>
          <tpl hier="236" item="0"/>
          <tpl fld="4" item="4"/>
        </tpls>
      </m>
      <m>
        <tpls c="4">
          <tpl fld="7" item="236"/>
          <tpl fld="6" item="2"/>
          <tpl hier="236" item="0"/>
          <tpl fld="4" item="4"/>
        </tpls>
      </m>
      <m>
        <tpls c="4">
          <tpl fld="7" item="129"/>
          <tpl fld="6" item="2"/>
          <tpl hier="236" item="0"/>
          <tpl fld="4" item="4"/>
        </tpls>
      </m>
      <m>
        <tpls c="4">
          <tpl fld="7" item="126"/>
          <tpl fld="6" item="2"/>
          <tpl hier="236" item="0"/>
          <tpl fld="4" item="6"/>
        </tpls>
      </m>
      <n v="2" in="1">
        <tpls c="4">
          <tpl fld="7" item="369"/>
          <tpl fld="6" item="1"/>
          <tpl hier="236" item="0"/>
          <tpl fld="4" item="1"/>
        </tpls>
      </n>
      <m>
        <tpls c="4">
          <tpl fld="7" item="454"/>
          <tpl fld="6" item="1"/>
          <tpl hier="236" item="0"/>
          <tpl fld="1" item="0"/>
        </tpls>
      </m>
      <n v="0" in="1">
        <tpls c="4">
          <tpl fld="7" item="171"/>
          <tpl fld="6" item="1"/>
          <tpl hier="236" item="0"/>
          <tpl fld="1" item="0"/>
        </tpls>
      </n>
      <m>
        <tpls c="3">
          <tpl fld="7" item="789"/>
          <tpl fld="6" item="3"/>
          <tpl hier="236" item="0"/>
        </tpls>
      </m>
      <m>
        <tpls c="4">
          <tpl fld="7" item="1162"/>
          <tpl fld="6" item="2"/>
          <tpl hier="236" item="0"/>
          <tpl fld="4" item="4"/>
        </tpls>
      </m>
      <m>
        <tpls c="4">
          <tpl fld="7" item="19"/>
          <tpl fld="6" item="2"/>
          <tpl hier="236" item="0"/>
          <tpl fld="4" item="4"/>
        </tpls>
      </m>
      <m>
        <tpls c="4">
          <tpl fld="7" item="1189"/>
          <tpl fld="6" item="2"/>
          <tpl hier="236" item="0"/>
          <tpl fld="4" item="1"/>
        </tpls>
      </m>
      <m>
        <tpls c="4">
          <tpl fld="7" item="1129"/>
          <tpl fld="6" item="2"/>
          <tpl hier="236" item="0"/>
          <tpl fld="4" item="4"/>
        </tpls>
      </m>
      <m>
        <tpls c="4">
          <tpl fld="7" item="145"/>
          <tpl fld="6" item="2"/>
          <tpl hier="236" item="0"/>
          <tpl fld="1" item="0"/>
        </tpls>
      </m>
      <m>
        <tpls c="4">
          <tpl fld="7" item="311"/>
          <tpl fld="6" item="2"/>
          <tpl hier="236" item="0"/>
          <tpl fld="4" item="5"/>
        </tpls>
      </m>
      <m>
        <tpls c="4">
          <tpl fld="7" item="750"/>
          <tpl fld="6" item="2"/>
          <tpl hier="236" item="0"/>
          <tpl fld="4" item="5"/>
        </tpls>
      </m>
      <m>
        <tpls c="4">
          <tpl fld="7" item="596"/>
          <tpl fld="6" item="2"/>
          <tpl hier="236" item="0"/>
          <tpl fld="4" item="6"/>
        </tpls>
      </m>
      <n v="1" in="1">
        <tpls c="4">
          <tpl fld="7" item="861"/>
          <tpl fld="6" item="1"/>
          <tpl hier="236" item="0"/>
          <tpl fld="4" item="5"/>
        </tpls>
      </n>
      <m>
        <tpls c="4">
          <tpl fld="7" item="419"/>
          <tpl fld="6" item="1"/>
          <tpl hier="236" item="0"/>
          <tpl fld="4" item="5"/>
        </tpls>
      </m>
      <m>
        <tpls c="4">
          <tpl fld="7" item="1170"/>
          <tpl fld="6" item="1"/>
          <tpl hier="236" item="0"/>
          <tpl fld="4" item="1"/>
        </tpls>
      </m>
      <n v="5" in="1">
        <tpls c="4">
          <tpl fld="7" item="379"/>
          <tpl fld="6" item="1"/>
          <tpl hier="236" item="0"/>
          <tpl fld="4" item="1"/>
        </tpls>
      </n>
      <m>
        <tpls c="4">
          <tpl fld="7" item="58"/>
          <tpl fld="6" item="1"/>
          <tpl hier="236" item="0"/>
          <tpl fld="4" item="1"/>
        </tpls>
      </m>
      <n v="1" in="1">
        <tpls c="4">
          <tpl fld="7" item="923"/>
          <tpl fld="6" item="1"/>
          <tpl hier="236" item="0"/>
          <tpl fld="1" item="0"/>
        </tpls>
      </n>
      <n v="1" in="1">
        <tpls c="4">
          <tpl fld="7" item="449"/>
          <tpl fld="6" item="1"/>
          <tpl hier="236" item="0"/>
          <tpl fld="1" item="0"/>
        </tpls>
      </n>
      <n v="1" in="1">
        <tpls c="4">
          <tpl fld="7" item="493"/>
          <tpl fld="6" item="1"/>
          <tpl hier="236" item="0"/>
          <tpl fld="1" item="0"/>
        </tpls>
      </n>
      <m>
        <tpls c="4">
          <tpl fld="7" item="297"/>
          <tpl fld="6" item="1"/>
          <tpl hier="236" item="0"/>
          <tpl fld="1" item="0"/>
        </tpls>
      </m>
      <m>
        <tpls c="4">
          <tpl fld="7" item="250"/>
          <tpl fld="6" item="1"/>
          <tpl hier="236" item="0"/>
          <tpl fld="1" item="0"/>
        </tpls>
      </m>
      <n v="14" in="1">
        <tpls c="4">
          <tpl fld="7" item="665"/>
          <tpl fld="6" item="1"/>
          <tpl hier="236" item="0"/>
          <tpl fld="4" item="6"/>
        </tpls>
      </n>
      <m>
        <tpls c="4">
          <tpl fld="7" item="22"/>
          <tpl fld="6" item="1"/>
          <tpl hier="236" item="0"/>
          <tpl fld="4" item="6"/>
        </tpls>
      </m>
      <m>
        <tpls c="3">
          <tpl fld="7" item="567"/>
          <tpl fld="6" item="3"/>
          <tpl hier="236" item="0"/>
        </tpls>
      </m>
      <m>
        <tpls c="3">
          <tpl fld="7" item="471"/>
          <tpl fld="6" item="3"/>
          <tpl hier="236" item="0"/>
        </tpls>
      </m>
      <n v="1" in="2">
        <tpls c="4">
          <tpl fld="7" item="973"/>
          <tpl fld="6" item="2"/>
          <tpl hier="236" item="0"/>
          <tpl fld="4" item="4"/>
        </tpls>
      </n>
      <m>
        <tpls c="4">
          <tpl fld="7" item="949"/>
          <tpl fld="6" item="2"/>
          <tpl hier="236" item="0"/>
          <tpl fld="4" item="4"/>
        </tpls>
      </m>
      <m>
        <tpls c="4">
          <tpl fld="7" item="929"/>
          <tpl fld="6" item="2"/>
          <tpl hier="236" item="0"/>
          <tpl fld="4" item="4"/>
        </tpls>
      </m>
      <m>
        <tpls c="4">
          <tpl fld="7" item="15"/>
          <tpl fld="6" item="2"/>
          <tpl hier="236" item="0"/>
          <tpl fld="4" item="4"/>
        </tpls>
      </m>
      <m>
        <tpls c="4">
          <tpl fld="7" item="904"/>
          <tpl fld="6" item="2"/>
          <tpl hier="236" item="0"/>
          <tpl fld="4" item="6"/>
        </tpls>
      </m>
      <m>
        <tpls c="4">
          <tpl fld="7" item="188"/>
          <tpl fld="6" item="1"/>
          <tpl hier="236" item="0"/>
          <tpl fld="4" item="5"/>
        </tpls>
      </m>
      <m>
        <tpls c="4">
          <tpl fld="7" item="336"/>
          <tpl fld="6" item="1"/>
          <tpl hier="236" item="0"/>
          <tpl fld="4" item="1"/>
        </tpls>
      </m>
      <m>
        <tpls c="4">
          <tpl fld="7" item="204"/>
          <tpl fld="6" item="1"/>
          <tpl hier="236" item="0"/>
          <tpl fld="1" item="0"/>
        </tpls>
      </m>
      <m>
        <tpls c="4">
          <tpl fld="7" item="1239"/>
          <tpl fld="6" item="1"/>
          <tpl hier="236" item="0"/>
          <tpl fld="4" item="6"/>
        </tpls>
      </m>
      <m>
        <tpls c="3">
          <tpl fld="7" item="400"/>
          <tpl fld="6" item="3"/>
          <tpl hier="236" item="0"/>
        </tpls>
      </m>
      <m>
        <tpls c="4">
          <tpl fld="7" item="1264"/>
          <tpl fld="6" item="2"/>
          <tpl hier="236" item="0"/>
          <tpl fld="4" item="4"/>
        </tpls>
      </m>
      <m>
        <tpls c="3">
          <tpl fld="7" item="1094"/>
          <tpl fld="6" item="3"/>
          <tpl hier="236" item="0"/>
        </tpls>
      </m>
      <m>
        <tpls c="4">
          <tpl fld="7" item="895"/>
          <tpl fld="6" item="2"/>
          <tpl hier="236" item="0"/>
          <tpl fld="4" item="1"/>
        </tpls>
      </m>
      <m>
        <tpls c="4">
          <tpl fld="7" item="679"/>
          <tpl fld="6" item="2"/>
          <tpl hier="236" item="0"/>
          <tpl fld="1" item="0"/>
        </tpls>
      </m>
      <m>
        <tpls c="4">
          <tpl fld="7" item="99"/>
          <tpl fld="6" item="2"/>
          <tpl hier="236" item="0"/>
          <tpl fld="4" item="5"/>
        </tpls>
      </m>
      <m>
        <tpls c="4">
          <tpl fld="7" item="278"/>
          <tpl fld="6" item="2"/>
          <tpl hier="236" item="0"/>
          <tpl fld="4" item="5"/>
        </tpls>
      </m>
      <n v="1" in="2">
        <tpls c="4">
          <tpl fld="7" item="381"/>
          <tpl fld="6" item="2"/>
          <tpl hier="236" item="0"/>
          <tpl fld="4" item="4"/>
        </tpls>
      </n>
      <m>
        <tpls c="4">
          <tpl fld="7" item="717"/>
          <tpl fld="6" item="2"/>
          <tpl hier="236" item="0"/>
          <tpl fld="4" item="1"/>
        </tpls>
      </m>
      <m>
        <tpls c="4">
          <tpl fld="7" item="707"/>
          <tpl fld="6" item="1"/>
          <tpl hier="236" item="0"/>
          <tpl fld="4" item="5"/>
        </tpls>
      </m>
      <m>
        <tpls c="4">
          <tpl fld="7" item="804"/>
          <tpl fld="6" item="2"/>
          <tpl hier="236" item="0"/>
          <tpl fld="4" item="6"/>
        </tpls>
      </m>
      <m>
        <tpls c="4">
          <tpl fld="7" item="1108"/>
          <tpl fld="6" item="2"/>
          <tpl hier="236" item="0"/>
          <tpl fld="4" item="1"/>
        </tpls>
      </m>
      <m>
        <tpls c="4">
          <tpl fld="7" item="457"/>
          <tpl fld="6" item="2"/>
          <tpl hier="236" item="0"/>
          <tpl fld="1" item="0"/>
        </tpls>
      </m>
      <m>
        <tpls c="4">
          <tpl fld="7" item="791"/>
          <tpl fld="6" item="1"/>
          <tpl hier="236" item="0"/>
          <tpl fld="1" item="0"/>
        </tpls>
      </m>
      <n v="2" in="1">
        <tpls c="4">
          <tpl fld="7" item="993"/>
          <tpl fld="6" item="1"/>
          <tpl hier="236" item="0"/>
          <tpl fld="4" item="6"/>
        </tpls>
      </n>
      <m>
        <tpls c="3">
          <tpl fld="7" item="816"/>
          <tpl fld="6" item="3"/>
          <tpl hier="236" item="0"/>
        </tpls>
      </m>
      <m>
        <tpls c="4">
          <tpl fld="7" item="743"/>
          <tpl fld="6" item="2"/>
          <tpl hier="236" item="0"/>
          <tpl fld="4" item="1"/>
        </tpls>
      </m>
      <m>
        <tpls c="4">
          <tpl fld="7" item="1107"/>
          <tpl fld="6" item="1"/>
          <tpl hier="236" item="0"/>
          <tpl fld="4" item="6"/>
        </tpls>
      </m>
      <n v="1" in="1">
        <tpls c="4">
          <tpl fld="7" item="1119"/>
          <tpl fld="6" item="1"/>
          <tpl hier="236" item="0"/>
          <tpl fld="4" item="6"/>
        </tpls>
      </n>
      <n v="36" in="1">
        <tpls c="4">
          <tpl fld="7" item="1032"/>
          <tpl fld="6" item="1"/>
          <tpl hier="236" item="0"/>
          <tpl fld="4" item="4"/>
        </tpls>
      </n>
      <n v="3" in="1">
        <tpls c="4">
          <tpl fld="7" item="968"/>
          <tpl fld="6" item="1"/>
          <tpl hier="236" item="0"/>
          <tpl fld="4" item="4"/>
        </tpls>
      </n>
      <n v="9.7516891891891895" in="2">
        <tpls c="4">
          <tpl fld="7" item="376"/>
          <tpl fld="6" item="2"/>
          <tpl hier="236" item="0"/>
          <tpl fld="1" item="0"/>
        </tpls>
      </n>
      <m>
        <tpls c="4">
          <tpl fld="7" item="547"/>
          <tpl fld="6" item="2"/>
          <tpl hier="236" item="0"/>
          <tpl fld="4" item="4"/>
        </tpls>
      </m>
      <n v="2" in="1">
        <tpls c="4">
          <tpl fld="7" item="991"/>
          <tpl fld="6" item="1"/>
          <tpl hier="236" item="0"/>
          <tpl fld="4" item="4"/>
        </tpls>
      </n>
      <n v="5" in="1">
        <tpls c="4">
          <tpl fld="7" item="806"/>
          <tpl fld="6" item="1"/>
          <tpl hier="236" item="0"/>
          <tpl fld="4" item="6"/>
        </tpls>
      </n>
      <m>
        <tpls c="3">
          <tpl fld="7" item="733"/>
          <tpl fld="6" item="3"/>
          <tpl hier="236" item="0"/>
        </tpls>
      </m>
      <m>
        <tpls c="4">
          <tpl fld="7" item="822"/>
          <tpl fld="6" item="1"/>
          <tpl hier="236" item="0"/>
          <tpl fld="4" item="6"/>
        </tpls>
      </m>
      <m>
        <tpls c="4">
          <tpl fld="7" item="896"/>
          <tpl fld="6" item="2"/>
          <tpl hier="236" item="0"/>
          <tpl fld="4" item="4"/>
        </tpls>
      </m>
      <n v="2" in="1">
        <tpls c="4">
          <tpl fld="7" item="1117"/>
          <tpl fld="6" item="1"/>
          <tpl hier="236" item="0"/>
          <tpl fld="4" item="6"/>
        </tpls>
      </n>
      <m>
        <tpls c="4">
          <tpl fld="7" item="1129"/>
          <tpl fld="6" item="1"/>
          <tpl hier="236" item="0"/>
          <tpl fld="4" item="6"/>
        </tpls>
      </m>
      <m>
        <tpls c="4">
          <tpl fld="7" item="953"/>
          <tpl fld="6" item="2"/>
          <tpl hier="236" item="0"/>
          <tpl fld="4" item="1"/>
        </tpls>
      </m>
      <m>
        <tpls c="4">
          <tpl fld="7" item="314"/>
          <tpl fld="6" item="2"/>
          <tpl hier="236" item="0"/>
          <tpl fld="1" item="0"/>
        </tpls>
      </m>
      <m>
        <tpls c="4">
          <tpl fld="7" item="262"/>
          <tpl fld="6" item="2"/>
          <tpl hier="236" item="0"/>
          <tpl fld="1" item="0"/>
        </tpls>
      </m>
      <m>
        <tpls c="4">
          <tpl fld="7" item="1246"/>
          <tpl fld="6" item="2"/>
          <tpl hier="236" item="0"/>
          <tpl fld="4" item="5"/>
        </tpls>
      </m>
      <n v="44" in="1">
        <tpls c="4">
          <tpl fld="7" item="722"/>
          <tpl fld="6" item="1"/>
          <tpl hier="236" item="0"/>
          <tpl fld="1" item="0"/>
        </tpls>
      </n>
      <m>
        <tpls c="3">
          <tpl fld="7" item="838"/>
          <tpl fld="6" item="3"/>
          <tpl hier="236" item="0"/>
        </tpls>
      </m>
      <m>
        <tpls c="4">
          <tpl fld="7" item="309"/>
          <tpl fld="6" item="2"/>
          <tpl hier="236" item="0"/>
          <tpl fld="1" item="0"/>
        </tpls>
      </m>
      <n v="0.3" in="2">
        <tpls c="4">
          <tpl fld="7" item="375"/>
          <tpl fld="6" item="2"/>
          <tpl hier="236" item="0"/>
          <tpl fld="4" item="5"/>
        </tpls>
      </n>
      <m>
        <tpls c="4">
          <tpl fld="7" item="260"/>
          <tpl fld="6" item="2"/>
          <tpl hier="236" item="0"/>
          <tpl fld="4" item="5"/>
        </tpls>
      </m>
      <m>
        <tpls c="4">
          <tpl fld="7" item="1003"/>
          <tpl fld="6" item="2"/>
          <tpl hier="236" item="0"/>
          <tpl fld="4" item="6"/>
        </tpls>
      </m>
      <m>
        <tpls c="4">
          <tpl fld="7" item="139"/>
          <tpl fld="6" item="2"/>
          <tpl hier="236" item="0"/>
          <tpl fld="4" item="6"/>
        </tpls>
      </m>
      <n v="7" in="1">
        <tpls c="4">
          <tpl fld="7" item="374"/>
          <tpl fld="6" item="1"/>
          <tpl hier="236" item="0"/>
          <tpl fld="4" item="5"/>
        </tpls>
      </n>
      <m>
        <tpls c="4">
          <tpl fld="7" item="41"/>
          <tpl fld="6" item="1"/>
          <tpl hier="236" item="0"/>
          <tpl fld="4" item="5"/>
        </tpls>
      </m>
      <m>
        <tpls c="4">
          <tpl fld="7" item="912"/>
          <tpl fld="6" item="1"/>
          <tpl hier="236" item="0"/>
          <tpl fld="4" item="1"/>
        </tpls>
      </m>
      <m>
        <tpls c="4">
          <tpl fld="7" item="90"/>
          <tpl fld="6" item="1"/>
          <tpl hier="236" item="0"/>
          <tpl fld="4" item="1"/>
        </tpls>
      </m>
      <m>
        <tpls c="4">
          <tpl fld="7" item="217"/>
          <tpl fld="6" item="1"/>
          <tpl hier="236" item="0"/>
          <tpl fld="4" item="1"/>
        </tpls>
      </m>
      <m>
        <tpls c="4">
          <tpl fld="7" item="1214"/>
          <tpl fld="6" item="2"/>
          <tpl hier="236" item="0"/>
          <tpl fld="1" item="0"/>
        </tpls>
      </m>
      <m>
        <tpls c="3">
          <tpl fld="7" item="839"/>
          <tpl fld="6" item="3"/>
          <tpl hier="236" item="0"/>
        </tpls>
      </m>
      <m>
        <tpls c="4">
          <tpl fld="7" item="1263"/>
          <tpl fld="6" item="2"/>
          <tpl hier="236" item="0"/>
          <tpl fld="1" item="0"/>
        </tpls>
      </m>
      <m>
        <tpls c="4">
          <tpl fld="7" item="917"/>
          <tpl fld="6" item="2"/>
          <tpl hier="236" item="0"/>
          <tpl fld="4" item="5"/>
        </tpls>
      </m>
      <m>
        <tpls c="4">
          <tpl fld="7" item="85"/>
          <tpl fld="6" item="2"/>
          <tpl hier="236" item="0"/>
          <tpl fld="4" item="5"/>
        </tpls>
      </m>
      <m>
        <tpls c="4">
          <tpl fld="7" item="495"/>
          <tpl fld="6" item="2"/>
          <tpl hier="236" item="0"/>
          <tpl fld="4" item="5"/>
        </tpls>
      </m>
      <m>
        <tpls c="4">
          <tpl fld="7" item="484"/>
          <tpl fld="6" item="2"/>
          <tpl hier="236" item="0"/>
          <tpl fld="4" item="5"/>
        </tpls>
      </m>
      <m>
        <tpls c="4">
          <tpl fld="7" item="271"/>
          <tpl fld="6" item="2"/>
          <tpl hier="236" item="0"/>
          <tpl fld="4" item="5"/>
        </tpls>
      </m>
      <m>
        <tpls c="4">
          <tpl fld="7" item="3"/>
          <tpl fld="6" item="2"/>
          <tpl hier="236" item="0"/>
          <tpl fld="4" item="5"/>
        </tpls>
      </m>
      <m>
        <tpls c="4">
          <tpl fld="7" item="1247"/>
          <tpl fld="6" item="2"/>
          <tpl hier="236" item="0"/>
          <tpl fld="4" item="6"/>
        </tpls>
      </m>
      <m>
        <tpls c="4">
          <tpl fld="7" item="1104"/>
          <tpl fld="6" item="2"/>
          <tpl hier="236" item="0"/>
          <tpl fld="4" item="6"/>
        </tpls>
      </m>
      <n v="2" in="2">
        <tpls c="4">
          <tpl fld="7" item="363"/>
          <tpl fld="6" item="2"/>
          <tpl hier="236" item="0"/>
          <tpl fld="4" item="6"/>
        </tpls>
      </n>
      <m>
        <tpls c="4">
          <tpl fld="7" item="87"/>
          <tpl fld="6" item="2"/>
          <tpl hier="236" item="0"/>
          <tpl fld="4" item="6"/>
        </tpls>
      </m>
      <m>
        <tpls c="4">
          <tpl fld="7" item="340"/>
          <tpl fld="6" item="2"/>
          <tpl hier="236" item="0"/>
          <tpl fld="4" item="6"/>
        </tpls>
      </m>
      <m>
        <tpls c="4">
          <tpl fld="7" item="234"/>
          <tpl fld="6" item="2"/>
          <tpl hier="236" item="0"/>
          <tpl fld="4" item="6"/>
        </tpls>
      </m>
      <m>
        <tpls c="4">
          <tpl fld="7" item="1114"/>
          <tpl fld="6" item="1"/>
          <tpl hier="236" item="0"/>
          <tpl fld="4" item="5"/>
        </tpls>
      </m>
      <m>
        <tpls c="4">
          <tpl fld="7" item="518"/>
          <tpl fld="6" item="1"/>
          <tpl hier="236" item="0"/>
          <tpl fld="4" item="5"/>
        </tpls>
      </m>
      <m>
        <tpls c="4">
          <tpl fld="7" item="497"/>
          <tpl fld="6" item="1"/>
          <tpl hier="236" item="0"/>
          <tpl fld="4" item="5"/>
        </tpls>
      </m>
      <m>
        <tpls c="4">
          <tpl fld="7" item="91"/>
          <tpl fld="6" item="1"/>
          <tpl hier="236" item="0"/>
          <tpl fld="4" item="5"/>
        </tpls>
      </m>
      <m>
        <tpls c="4">
          <tpl fld="7" item="285"/>
          <tpl fld="6" item="1"/>
          <tpl hier="236" item="0"/>
          <tpl fld="4" item="5"/>
        </tpls>
      </m>
      <m>
        <tpls c="4">
          <tpl fld="7" item="32"/>
          <tpl fld="6" item="1"/>
          <tpl hier="236" item="0"/>
          <tpl fld="4" item="5"/>
        </tpls>
      </m>
      <m>
        <tpls c="4">
          <tpl fld="7" item="11"/>
          <tpl fld="6" item="1"/>
          <tpl hier="236" item="0"/>
          <tpl fld="4" item="5"/>
        </tpls>
      </m>
      <n v="2" in="1">
        <tpls c="4">
          <tpl fld="7" item="955"/>
          <tpl fld="6" item="1"/>
          <tpl hier="236" item="0"/>
          <tpl fld="4" item="1"/>
        </tpls>
      </n>
      <n v="1" in="1">
        <tpls c="4">
          <tpl fld="7" item="939"/>
          <tpl fld="6" item="1"/>
          <tpl hier="236" item="0"/>
          <tpl fld="4" item="1"/>
        </tpls>
      </n>
      <n v="3" in="1">
        <tpls c="4">
          <tpl fld="7" item="1269"/>
          <tpl fld="6" item="1"/>
          <tpl hier="236" item="0"/>
          <tpl fld="4" item="1"/>
        </tpls>
      </n>
      <n v="2" in="1">
        <tpls c="4">
          <tpl fld="7" item="1272"/>
          <tpl fld="6" item="1"/>
          <tpl hier="236" item="0"/>
          <tpl fld="4" item="1"/>
        </tpls>
      </n>
      <n v="1" in="1">
        <tpls c="4">
          <tpl fld="7" item="1277"/>
          <tpl fld="6" item="1"/>
          <tpl hier="236" item="0"/>
          <tpl fld="4" item="1"/>
        </tpls>
      </n>
      <m>
        <tpls c="4">
          <tpl fld="7" item="193"/>
          <tpl fld="6" item="1"/>
          <tpl hier="236" item="0"/>
          <tpl fld="4" item="1"/>
        </tpls>
      </m>
      <m>
        <tpls c="4">
          <tpl fld="7" item="761"/>
          <tpl fld="6" item="1"/>
          <tpl hier="236" item="0"/>
          <tpl fld="4" item="1"/>
        </tpls>
      </m>
      <m>
        <tpls c="4">
          <tpl fld="7" item="757"/>
          <tpl fld="6" item="1"/>
          <tpl hier="236" item="0"/>
          <tpl fld="4" item="1"/>
        </tpls>
      </m>
      <m>
        <tpls c="4">
          <tpl fld="7" item="105"/>
          <tpl fld="6" item="1"/>
          <tpl hier="236" item="0"/>
          <tpl fld="4" item="1"/>
        </tpls>
      </m>
      <m>
        <tpls c="4">
          <tpl fld="7" item="343"/>
          <tpl fld="6" item="1"/>
          <tpl hier="236" item="0"/>
          <tpl fld="4" item="1"/>
        </tpls>
      </m>
      <m>
        <tpls c="4">
          <tpl fld="7" item="671"/>
          <tpl fld="6" item="1"/>
          <tpl hier="236" item="0"/>
          <tpl fld="4" item="1"/>
        </tpls>
      </m>
      <m>
        <tpls c="4">
          <tpl fld="7" item="134"/>
          <tpl fld="6" item="1"/>
          <tpl hier="236" item="0"/>
          <tpl fld="4" item="1"/>
        </tpls>
      </m>
      <m>
        <tpls c="4">
          <tpl fld="7" item="245"/>
          <tpl fld="6" item="1"/>
          <tpl hier="236" item="0"/>
          <tpl fld="4" item="1"/>
        </tpls>
      </m>
      <n v="0.25" in="2">
        <tpls c="4">
          <tpl fld="7" item="775"/>
          <tpl fld="6" item="2"/>
          <tpl hier="236" item="0"/>
          <tpl fld="4" item="1"/>
        </tpls>
      </n>
      <m>
        <tpls c="4">
          <tpl fld="7" item="632"/>
          <tpl fld="6" item="2"/>
          <tpl hier="236" item="0"/>
          <tpl fld="4" item="6"/>
        </tpls>
      </m>
      <n v="30" in="1">
        <tpls c="4">
          <tpl fld="7" item="585"/>
          <tpl fld="6" item="1"/>
          <tpl hier="236" item="0"/>
          <tpl fld="1" item="0"/>
        </tpls>
      </n>
      <m>
        <tpls c="4">
          <tpl fld="7" item="727"/>
          <tpl fld="6" item="2"/>
          <tpl hier="236" item="0"/>
          <tpl fld="4" item="6"/>
        </tpls>
      </m>
      <m>
        <tpls c="4">
          <tpl fld="7" item="653"/>
          <tpl fld="6" item="2"/>
          <tpl hier="236" item="0"/>
          <tpl fld="1" item="0"/>
        </tpls>
      </m>
      <m>
        <tpls c="3">
          <tpl fld="7" item="659"/>
          <tpl fld="6" item="3"/>
          <tpl hier="236" item="0"/>
        </tpls>
      </m>
      <n v="7" in="1">
        <tpls c="4">
          <tpl fld="7" item="665"/>
          <tpl fld="6" item="1"/>
          <tpl hier="236" item="0"/>
          <tpl fld="4" item="1"/>
        </tpls>
      </n>
      <n v="0.8" in="2">
        <tpls c="4">
          <tpl fld="7" item="1217"/>
          <tpl fld="6" item="2"/>
          <tpl hier="236" item="0"/>
          <tpl fld="4" item="4"/>
        </tpls>
      </n>
      <m>
        <tpls c="4">
          <tpl fld="7" item="1117"/>
          <tpl fld="6" item="1"/>
          <tpl hier="236" item="0"/>
          <tpl fld="4" item="4"/>
        </tpls>
      </m>
      <m>
        <tpls c="4">
          <tpl fld="7" item="920"/>
          <tpl fld="6" item="2"/>
          <tpl hier="236" item="0"/>
          <tpl fld="4" item="1"/>
        </tpls>
      </m>
      <n v="4" in="1">
        <tpls c="4">
          <tpl fld="7" item="1226"/>
          <tpl fld="6" item="1"/>
          <tpl hier="236" item="0"/>
          <tpl fld="4" item="4"/>
        </tpls>
      </n>
      <m>
        <tpls c="4">
          <tpl fld="7" item="1234"/>
          <tpl fld="6" item="1"/>
          <tpl hier="236" item="0"/>
          <tpl fld="4" item="4"/>
        </tpls>
      </m>
      <m>
        <tpls c="4">
          <tpl fld="7" item="317"/>
          <tpl fld="6" item="2"/>
          <tpl hier="236" item="0"/>
          <tpl fld="1" item="0"/>
        </tpls>
      </m>
      <m>
        <tpls c="4">
          <tpl fld="7" item="77"/>
          <tpl fld="6" item="2"/>
          <tpl hier="236" item="0"/>
          <tpl fld="1" item="0"/>
        </tpls>
      </m>
      <m>
        <tpls c="4">
          <tpl fld="7" item="406"/>
          <tpl fld="6" item="2"/>
          <tpl hier="236" item="0"/>
          <tpl fld="1" item="0"/>
        </tpls>
      </m>
      <m>
        <tpls c="4">
          <tpl fld="7" item="400"/>
          <tpl fld="6" item="2"/>
          <tpl hier="236" item="0"/>
          <tpl fld="1" item="0"/>
        </tpls>
      </m>
      <m>
        <tpls c="4">
          <tpl fld="7" item="1272"/>
          <tpl fld="6" item="2"/>
          <tpl hier="236" item="0"/>
          <tpl fld="4" item="5"/>
        </tpls>
      </m>
      <m>
        <tpls c="4">
          <tpl fld="7" item="835"/>
          <tpl fld="6" item="2"/>
          <tpl hier="236" item="0"/>
          <tpl fld="4" item="5"/>
        </tpls>
      </m>
      <n v="1" in="2">
        <tpls c="4">
          <tpl fld="7" item="982"/>
          <tpl fld="6" item="2"/>
          <tpl hier="236" item="0"/>
          <tpl fld="4" item="5"/>
        </tpls>
      </n>
      <m>
        <tpls c="4">
          <tpl fld="7" item="596"/>
          <tpl fld="6" item="2"/>
          <tpl hier="236" item="0"/>
          <tpl fld="4" item="5"/>
        </tpls>
      </m>
      <m>
        <tpls c="4">
          <tpl fld="7" item="418"/>
          <tpl fld="6" item="2"/>
          <tpl hier="236" item="0"/>
          <tpl fld="4" item="5"/>
        </tpls>
      </m>
      <m>
        <tpls c="4">
          <tpl fld="7" item="183"/>
          <tpl fld="6" item="2"/>
          <tpl hier="236" item="0"/>
          <tpl fld="4" item="5"/>
        </tpls>
      </m>
      <m>
        <tpls c="4">
          <tpl fld="7" item="165"/>
          <tpl fld="6" item="2"/>
          <tpl hier="236" item="0"/>
          <tpl fld="4" item="5"/>
        </tpls>
      </m>
      <m>
        <tpls c="4">
          <tpl fld="7" item="262"/>
          <tpl fld="6" item="2"/>
          <tpl hier="236" item="0"/>
          <tpl fld="4" item="5"/>
        </tpls>
      </m>
      <m>
        <tpls c="4">
          <tpl fld="7" item="403"/>
          <tpl fld="6" item="2"/>
          <tpl hier="236" item="0"/>
          <tpl fld="4" item="5"/>
        </tpls>
      </m>
      <m>
        <tpls c="4">
          <tpl fld="7" item="19"/>
          <tpl fld="6" item="2"/>
          <tpl hier="236" item="0"/>
          <tpl fld="4" item="5"/>
        </tpls>
      </m>
      <m>
        <tpls c="4">
          <tpl fld="7" item="868"/>
          <tpl fld="6" item="2"/>
          <tpl hier="236" item="0"/>
          <tpl fld="4" item="6"/>
        </tpls>
      </m>
      <m>
        <tpls c="4">
          <tpl fld="7" item="852"/>
          <tpl fld="6" item="2"/>
          <tpl hier="236" item="0"/>
          <tpl fld="4" item="6"/>
        </tpls>
      </m>
      <m>
        <tpls c="4">
          <tpl fld="7" item="836"/>
          <tpl fld="6" item="2"/>
          <tpl hier="236" item="0"/>
          <tpl fld="4" item="6"/>
        </tpls>
      </m>
      <n v="5.35" in="2">
        <tpls c="4">
          <tpl fld="7" item="518"/>
          <tpl fld="6" item="2"/>
          <tpl hier="236" item="0"/>
          <tpl fld="4" item="6"/>
        </tpls>
      </n>
      <m>
        <tpls c="4">
          <tpl fld="7" item="502"/>
          <tpl fld="6" item="2"/>
          <tpl hier="236" item="0"/>
          <tpl fld="4" item="6"/>
        </tpls>
      </m>
      <m>
        <tpls c="4">
          <tpl fld="7" item="317"/>
          <tpl fld="6" item="2"/>
          <tpl hier="236" item="0"/>
          <tpl fld="4" item="6"/>
        </tpls>
      </m>
      <m>
        <tpls c="4">
          <tpl fld="7" item="301"/>
          <tpl fld="6" item="2"/>
          <tpl hier="236" item="0"/>
          <tpl fld="4" item="6"/>
        </tpls>
      </m>
      <m>
        <tpls c="4">
          <tpl fld="7" item="483"/>
          <tpl fld="6" item="2"/>
          <tpl hier="236" item="0"/>
          <tpl fld="4" item="6"/>
        </tpls>
      </m>
      <m>
        <tpls c="4">
          <tpl fld="7" item="141"/>
          <tpl fld="6" item="2"/>
          <tpl hier="236" item="0"/>
          <tpl fld="4" item="6"/>
        </tpls>
      </m>
      <m>
        <tpls c="4">
          <tpl fld="7" item="471"/>
          <tpl fld="6" item="2"/>
          <tpl hier="236" item="0"/>
          <tpl fld="4" item="6"/>
        </tpls>
      </m>
      <m>
        <tpls c="4">
          <tpl fld="7" item="1128"/>
          <tpl fld="6" item="1"/>
          <tpl hier="236" item="0"/>
          <tpl fld="4" item="5"/>
        </tpls>
      </m>
      <m>
        <tpls c="4">
          <tpl fld="7" item="1116"/>
          <tpl fld="6" item="1"/>
          <tpl hier="236" item="0"/>
          <tpl fld="4" item="5"/>
        </tpls>
      </m>
      <n v="1" in="1">
        <tpls c="4">
          <tpl fld="7" item="1104"/>
          <tpl fld="6" item="1"/>
          <tpl hier="236" item="0"/>
          <tpl fld="4" item="5"/>
        </tpls>
      </n>
      <m>
        <tpls c="4">
          <tpl fld="7" item="762"/>
          <tpl fld="6" item="1"/>
          <tpl hier="236" item="0"/>
          <tpl fld="4" item="5"/>
        </tpls>
      </m>
      <m>
        <tpls c="4">
          <tpl fld="7" item="758"/>
          <tpl fld="6" item="1"/>
          <tpl hier="236" item="0"/>
          <tpl fld="4" item="5"/>
        </tpls>
      </m>
      <m>
        <tpls c="4">
          <tpl fld="7" item="315"/>
          <tpl fld="6" item="1"/>
          <tpl hier="236" item="0"/>
          <tpl fld="4" item="5"/>
        </tpls>
      </m>
      <m>
        <tpls c="4">
          <tpl fld="7" item="416"/>
          <tpl fld="6" item="1"/>
          <tpl hier="236" item="0"/>
          <tpl fld="4" item="5"/>
        </tpls>
      </m>
      <m>
        <tpls c="4">
          <tpl fld="7" item="412"/>
          <tpl fld="6" item="1"/>
          <tpl hier="236" item="0"/>
          <tpl fld="4" item="5"/>
        </tpls>
      </m>
      <m>
        <tpls c="4">
          <tpl fld="7" item="243"/>
          <tpl fld="6" item="1"/>
          <tpl hier="236" item="0"/>
          <tpl fld="4" item="5"/>
        </tpls>
      </m>
      <m>
        <tpls c="4">
          <tpl fld="7" item="235"/>
          <tpl fld="6" item="1"/>
          <tpl hier="236" item="0"/>
          <tpl fld="4" item="5"/>
        </tpls>
      </m>
      <m>
        <tpls c="4">
          <tpl fld="7" item="1208"/>
          <tpl fld="6" item="1"/>
          <tpl hier="236" item="0"/>
          <tpl fld="4" item="1"/>
        </tpls>
      </m>
      <m>
        <tpls c="4">
          <tpl fld="7" item="1204"/>
          <tpl fld="6" item="1"/>
          <tpl hier="236" item="0"/>
          <tpl fld="4" item="1"/>
        </tpls>
      </m>
      <m>
        <tpls c="4">
          <tpl fld="7" item="1200"/>
          <tpl fld="6" item="1"/>
          <tpl hier="236" item="0"/>
          <tpl fld="4" item="1"/>
        </tpls>
      </m>
      <m>
        <tpls c="4">
          <tpl fld="7" item="869"/>
          <tpl fld="6" item="1"/>
          <tpl hier="236" item="0"/>
          <tpl fld="4" item="1"/>
        </tpls>
      </m>
      <n v="2" in="1">
        <tpls c="4">
          <tpl fld="7" item="853"/>
          <tpl fld="6" item="1"/>
          <tpl hier="236" item="0"/>
          <tpl fld="4" item="1"/>
        </tpls>
      </n>
      <n v="1" in="1">
        <tpls c="4">
          <tpl fld="7" item="837"/>
          <tpl fld="6" item="1"/>
          <tpl hier="236" item="0"/>
          <tpl fld="4" item="1"/>
        </tpls>
      </n>
      <m>
        <tpls c="4">
          <tpl fld="7" item="454"/>
          <tpl fld="6" item="1"/>
          <tpl hier="236" item="0"/>
          <tpl fld="4" item="1"/>
        </tpls>
      </m>
      <m>
        <tpls c="4">
          <tpl fld="7" item="438"/>
          <tpl fld="6" item="1"/>
          <tpl hier="236" item="0"/>
          <tpl fld="4" item="1"/>
        </tpls>
      </m>
      <m>
        <tpls c="4">
          <tpl fld="7" item="1211"/>
          <tpl fld="6" item="1"/>
          <tpl hier="236" item="0"/>
          <tpl fld="4" item="1"/>
        </tpls>
      </m>
      <m>
        <tpls c="4">
          <tpl fld="7" item="92"/>
          <tpl fld="6" item="1"/>
          <tpl hier="236" item="0"/>
          <tpl fld="4" item="1"/>
        </tpls>
      </m>
      <m>
        <tpls c="4">
          <tpl fld="7" item="178"/>
          <tpl fld="6" item="1"/>
          <tpl hier="236" item="0"/>
          <tpl fld="4" item="1"/>
        </tpls>
      </m>
      <m>
        <tpls c="4">
          <tpl fld="7" item="170"/>
          <tpl fld="6" item="1"/>
          <tpl hier="236" item="0"/>
          <tpl fld="4" item="1"/>
        </tpls>
      </m>
      <m>
        <tpls c="4">
          <tpl fld="7" item="335"/>
          <tpl fld="6" item="1"/>
          <tpl hier="236" item="0"/>
          <tpl fld="4" item="1"/>
        </tpls>
      </m>
      <m>
        <tpls c="4">
          <tpl fld="7" item="25"/>
          <tpl fld="6" item="1"/>
          <tpl hier="236" item="0"/>
          <tpl fld="4" item="1"/>
        </tpls>
      </m>
      <m>
        <tpls c="4">
          <tpl fld="7" item="219"/>
          <tpl fld="6" item="1"/>
          <tpl hier="236" item="0"/>
          <tpl fld="4" item="1"/>
        </tpls>
      </m>
      <n v="1" in="1">
        <tpls c="4">
          <tpl fld="7" item="1126"/>
          <tpl fld="6" item="1"/>
          <tpl hier="236" item="0"/>
          <tpl fld="1" item="0"/>
        </tpls>
      </n>
      <n v="3" in="1">
        <tpls c="4">
          <tpl fld="7" item="1114"/>
          <tpl fld="6" item="1"/>
          <tpl hier="236" item="0"/>
          <tpl fld="1" item="0"/>
        </tpls>
      </n>
      <n v="7" in="1">
        <tpls c="4">
          <tpl fld="7" item="1190"/>
          <tpl fld="6" item="1"/>
          <tpl hier="236" item="0"/>
          <tpl fld="1" item="0"/>
        </tpls>
      </n>
      <n v="17" in="1">
        <tpls c="4">
          <tpl fld="7" item="878"/>
          <tpl fld="6" item="1"/>
          <tpl hier="236" item="0"/>
          <tpl fld="1" item="0"/>
        </tpls>
      </n>
      <m>
        <tpls c="4">
          <tpl fld="7" item="877"/>
          <tpl fld="6" item="1"/>
          <tpl hier="236" item="0"/>
          <tpl fld="1" item="0"/>
        </tpls>
      </m>
      <m>
        <tpls c="4">
          <tpl fld="7" item="594"/>
          <tpl fld="6" item="1"/>
          <tpl hier="236" item="0"/>
          <tpl fld="1" item="0"/>
        </tpls>
      </m>
      <m>
        <tpls c="4">
          <tpl fld="7" item="187"/>
          <tpl fld="6" item="1"/>
          <tpl hier="236" item="0"/>
          <tpl fld="1" item="0"/>
        </tpls>
      </m>
      <m>
        <tpls c="4">
          <tpl fld="7" item="592"/>
          <tpl fld="6" item="1"/>
          <tpl hier="236" item="0"/>
          <tpl fld="1" item="0"/>
        </tpls>
      </m>
      <m>
        <tpls c="4">
          <tpl fld="7" item="244"/>
          <tpl fld="6" item="1"/>
          <tpl hier="236" item="0"/>
          <tpl fld="1" item="0"/>
        </tpls>
      </m>
      <m>
        <tpls c="4">
          <tpl fld="7" item="589"/>
          <tpl fld="6" item="1"/>
          <tpl hier="236" item="0"/>
          <tpl fld="1" item="0"/>
        </tpls>
      </m>
      <m>
        <tpls c="4">
          <tpl fld="7" item="63"/>
          <tpl fld="6" item="1"/>
          <tpl hier="236" item="0"/>
          <tpl fld="4" item="6"/>
        </tpls>
      </m>
      <m>
        <tpls c="4">
          <tpl fld="7" item="639"/>
          <tpl fld="6" item="1"/>
          <tpl hier="236" item="0"/>
          <tpl fld="1" item="0"/>
        </tpls>
      </m>
      <n v="1" in="1">
        <tpls c="4">
          <tpl fld="7" item="823"/>
          <tpl fld="6" item="1"/>
          <tpl hier="236" item="0"/>
          <tpl fld="4" item="1"/>
        </tpls>
      </n>
      <m>
        <tpls c="3">
          <tpl fld="7" item="869"/>
          <tpl fld="6" item="3"/>
          <tpl hier="236" item="0"/>
        </tpls>
      </m>
      <m>
        <tpls c="4">
          <tpl fld="7" item="261"/>
          <tpl fld="6" item="2"/>
          <tpl hier="236" item="0"/>
          <tpl fld="1" item="0"/>
        </tpls>
      </m>
      <m>
        <tpls c="4">
          <tpl fld="7" item="88"/>
          <tpl fld="6" item="2"/>
          <tpl hier="236" item="0"/>
          <tpl fld="4" item="5"/>
        </tpls>
      </m>
      <m>
        <tpls c="4">
          <tpl fld="7" item="68"/>
          <tpl fld="6" item="2"/>
          <tpl hier="236" item="0"/>
          <tpl fld="4" item="5"/>
        </tpls>
      </m>
      <m>
        <tpls c="4">
          <tpl fld="7" item="13"/>
          <tpl fld="6" item="2"/>
          <tpl hier="236" item="0"/>
          <tpl fld="4" item="5"/>
        </tpls>
      </m>
      <m>
        <tpls c="4">
          <tpl fld="7" item="679"/>
          <tpl fld="6" item="2"/>
          <tpl hier="236" item="0"/>
          <tpl fld="4" item="6"/>
        </tpls>
      </m>
      <m>
        <tpls c="4">
          <tpl fld="7" item="62"/>
          <tpl fld="6" item="2"/>
          <tpl hier="236" item="0"/>
          <tpl fld="4" item="6"/>
        </tpls>
      </m>
      <m>
        <tpls c="4">
          <tpl fld="7" item="842"/>
          <tpl fld="6" item="1"/>
          <tpl hier="236" item="0"/>
          <tpl fld="4" item="5"/>
        </tpls>
      </m>
      <n v="0" in="1">
        <tpls c="4">
          <tpl fld="7" item="1083"/>
          <tpl fld="6" item="1"/>
          <tpl hier="236" item="0"/>
          <tpl fld="4" item="5"/>
        </tpls>
      </n>
      <m>
        <tpls c="4">
          <tpl fld="7" item="979"/>
          <tpl fld="6" item="1"/>
          <tpl hier="236" item="0"/>
          <tpl fld="4" item="5"/>
        </tpls>
      </m>
      <n v="1" in="1">
        <tpls c="4">
          <tpl fld="7" item="919"/>
          <tpl fld="6" item="1"/>
          <tpl hier="236" item="0"/>
          <tpl fld="4" item="1"/>
        </tpls>
      </n>
      <n v="8" in="1">
        <tpls c="4">
          <tpl fld="7" item="360"/>
          <tpl fld="6" item="1"/>
          <tpl hier="236" item="0"/>
          <tpl fld="4" item="1"/>
        </tpls>
      </n>
      <m>
        <tpls c="4">
          <tpl fld="7" item="262"/>
          <tpl fld="6" item="1"/>
          <tpl hier="236" item="0"/>
          <tpl fld="4" item="1"/>
        </tpls>
      </m>
      <m>
        <tpls c="4">
          <tpl fld="7" item="6"/>
          <tpl fld="6" item="1"/>
          <tpl hier="236" item="0"/>
          <tpl fld="4" item="1"/>
        </tpls>
      </m>
      <m>
        <tpls c="4">
          <tpl fld="7" item="904"/>
          <tpl fld="6" item="1"/>
          <tpl hier="236" item="0"/>
          <tpl fld="1" item="0"/>
        </tpls>
      </m>
      <n v="8" in="1">
        <tpls c="4">
          <tpl fld="7" item="372"/>
          <tpl fld="6" item="1"/>
          <tpl hier="236" item="0"/>
          <tpl fld="1" item="0"/>
        </tpls>
      </n>
      <n v="3" in="1">
        <tpls c="4">
          <tpl fld="7" item="107"/>
          <tpl fld="6" item="1"/>
          <tpl hier="236" item="0"/>
          <tpl fld="1" item="0"/>
        </tpls>
      </n>
      <m>
        <tpls c="4">
          <tpl fld="7" item="193"/>
          <tpl fld="6" item="1"/>
          <tpl hier="236" item="0"/>
          <tpl fld="1" item="0"/>
        </tpls>
      </m>
      <m>
        <tpls c="4">
          <tpl fld="7" item="280"/>
          <tpl fld="6" item="1"/>
          <tpl hier="236" item="0"/>
          <tpl fld="1" item="0"/>
        </tpls>
      </m>
      <m>
        <tpls c="4">
          <tpl fld="7" item="135"/>
          <tpl fld="6" item="1"/>
          <tpl hier="236" item="0"/>
          <tpl fld="1" item="0"/>
        </tpls>
      </m>
      <m>
        <tpls c="4">
          <tpl fld="7" item="791"/>
          <tpl fld="6" item="1"/>
          <tpl hier="236" item="0"/>
          <tpl fld="4" item="6"/>
        </tpls>
      </m>
      <m>
        <tpls c="4">
          <tpl fld="7" item="18"/>
          <tpl fld="6" item="1"/>
          <tpl hier="236" item="0"/>
          <tpl fld="4" item="6"/>
        </tpls>
      </m>
      <m>
        <tpls c="4">
          <tpl fld="7" item="5"/>
          <tpl fld="6" item="1"/>
          <tpl hier="236" item="0"/>
          <tpl fld="4" item="6"/>
        </tpls>
      </m>
      <m>
        <tpls c="3">
          <tpl fld="7" item="61"/>
          <tpl fld="6" item="3"/>
          <tpl hier="236" item="0"/>
        </tpls>
      </m>
      <m>
        <tpls c="3">
          <tpl fld="7" item="329"/>
          <tpl fld="6" item="3"/>
          <tpl hier="236" item="0"/>
        </tpls>
      </m>
      <m>
        <tpls c="4">
          <tpl fld="7" item="1080"/>
          <tpl fld="6" item="2"/>
          <tpl hier="236" item="0"/>
          <tpl fld="4" item="4"/>
        </tpls>
      </m>
      <m>
        <tpls c="4">
          <tpl fld="7" item="1064"/>
          <tpl fld="6" item="2"/>
          <tpl hier="236" item="0"/>
          <tpl fld="4" item="4"/>
        </tpls>
      </m>
      <m>
        <tpls c="4">
          <tpl fld="7" item="1048"/>
          <tpl fld="6" item="2"/>
          <tpl hier="236" item="0"/>
          <tpl fld="4" item="4"/>
        </tpls>
      </m>
      <m>
        <tpls c="4">
          <tpl fld="7" item="1135"/>
          <tpl fld="6" item="2"/>
          <tpl hier="236" item="0"/>
          <tpl fld="4" item="4"/>
        </tpls>
      </m>
      <m>
        <tpls c="4">
          <tpl fld="7" item="277"/>
          <tpl fld="6" item="2"/>
          <tpl hier="236" item="0"/>
          <tpl fld="4" item="4"/>
        </tpls>
      </m>
      <m>
        <tpls c="4">
          <tpl fld="7" item="469"/>
          <tpl fld="6" item="2"/>
          <tpl hier="236" item="0"/>
          <tpl fld="4" item="4"/>
        </tpls>
      </m>
      <m>
        <tpls c="4">
          <tpl fld="7" item="228"/>
          <tpl fld="6" item="2"/>
          <tpl hier="236" item="0"/>
          <tpl fld="4" item="4"/>
        </tpls>
      </m>
      <m>
        <tpls c="4">
          <tpl fld="7" item="59"/>
          <tpl fld="6" item="2"/>
          <tpl hier="236" item="0"/>
          <tpl fld="4" item="6"/>
        </tpls>
      </m>
      <m>
        <tpls c="4">
          <tpl fld="7" item="469"/>
          <tpl fld="6" item="1"/>
          <tpl hier="236" item="0"/>
          <tpl fld="4" item="5"/>
        </tpls>
      </m>
      <m>
        <tpls c="4">
          <tpl fld="7" item="266"/>
          <tpl fld="6" item="1"/>
          <tpl hier="236" item="0"/>
          <tpl fld="4" item="1"/>
        </tpls>
      </m>
      <n v="40" in="1">
        <tpls c="4">
          <tpl fld="7" item="375"/>
          <tpl fld="6" item="1"/>
          <tpl hier="236" item="0"/>
          <tpl fld="1" item="0"/>
        </tpls>
      </n>
      <m>
        <tpls c="4">
          <tpl fld="7" item="287"/>
          <tpl fld="6" item="1"/>
          <tpl hier="236" item="0"/>
          <tpl fld="1" item="0"/>
        </tpls>
      </m>
      <m>
        <tpls c="4">
          <tpl fld="7" item="131"/>
          <tpl fld="6" item="1"/>
          <tpl hier="236" item="0"/>
          <tpl fld="4" item="6"/>
        </tpls>
      </m>
      <m>
        <tpls c="3">
          <tpl fld="7" item="126"/>
          <tpl fld="6" item="3"/>
          <tpl hier="236" item="0"/>
        </tpls>
      </m>
      <m>
        <tpls c="4">
          <tpl fld="7" item="1156"/>
          <tpl fld="6" item="2"/>
          <tpl hier="236" item="0"/>
          <tpl fld="4" item="4"/>
        </tpls>
      </m>
      <m>
        <tpls c="4">
          <tpl fld="7" item="329"/>
          <tpl fld="6" item="2"/>
          <tpl hier="236" item="0"/>
          <tpl fld="4" item="4"/>
        </tpls>
      </m>
      <n v="1" in="1">
        <tpls c="4">
          <tpl fld="7" item="992"/>
          <tpl fld="6" item="1"/>
          <tpl hier="236" item="0"/>
          <tpl fld="4" item="6"/>
        </tpls>
      </n>
      <n v="23" in="1">
        <tpls c="4">
          <tpl fld="7" item="825"/>
          <tpl fld="6" item="1"/>
          <tpl hier="236" item="0"/>
          <tpl fld="4" item="4"/>
        </tpls>
      </n>
      <n v="9" in="1">
        <tpls c="4">
          <tpl fld="7" item="1033"/>
          <tpl fld="6" item="1"/>
          <tpl hier="236" item="0"/>
          <tpl fld="4" item="4"/>
        </tpls>
      </n>
      <m>
        <tpls c="4">
          <tpl fld="7" item="164"/>
          <tpl fld="6" item="2"/>
          <tpl hier="236" item="0"/>
          <tpl fld="1" item="0"/>
        </tpls>
      </m>
      <n v="0.75" in="2">
        <tpls c="4">
          <tpl fld="7" item="602"/>
          <tpl fld="6" item="2"/>
          <tpl hier="236" item="0"/>
          <tpl fld="4" item="5"/>
        </tpls>
      </n>
      <m>
        <tpls c="4">
          <tpl fld="7" item="56"/>
          <tpl fld="6" item="2"/>
          <tpl hier="236" item="0"/>
          <tpl fld="4" item="5"/>
        </tpls>
      </m>
      <m>
        <tpls c="4">
          <tpl fld="7" item="1236"/>
          <tpl fld="6" item="2"/>
          <tpl hier="236" item="0"/>
          <tpl fld="4" item="6"/>
        </tpls>
      </m>
      <m>
        <tpls c="4">
          <tpl fld="7" item="598"/>
          <tpl fld="6" item="2"/>
          <tpl hier="236" item="0"/>
          <tpl fld="4" item="6"/>
        </tpls>
      </m>
      <m>
        <tpls c="4">
          <tpl fld="7" item="37"/>
          <tpl fld="6" item="2"/>
          <tpl hier="236" item="0"/>
          <tpl fld="4" item="6"/>
        </tpls>
      </m>
      <m>
        <tpls c="4">
          <tpl fld="7" item="837"/>
          <tpl fld="6" item="1"/>
          <tpl hier="236" item="0"/>
          <tpl fld="4" item="5"/>
        </tpls>
      </m>
      <m>
        <tpls c="4">
          <tpl fld="7" item="417"/>
          <tpl fld="6" item="1"/>
          <tpl hier="236" item="0"/>
          <tpl fld="4" item="5"/>
        </tpls>
      </m>
      <n v="3" in="1">
        <tpls c="4">
          <tpl fld="7" item="1178"/>
          <tpl fld="6" item="1"/>
          <tpl hier="236" item="0"/>
          <tpl fld="4" item="1"/>
        </tpls>
      </n>
      <n v="1" in="1">
        <tpls c="4">
          <tpl fld="7" item="1019"/>
          <tpl fld="6" item="1"/>
          <tpl hier="236" item="0"/>
          <tpl fld="4" item="1"/>
        </tpls>
      </n>
      <m>
        <tpls c="4">
          <tpl fld="7" item="355"/>
          <tpl fld="6" item="1"/>
          <tpl hier="236" item="0"/>
          <tpl fld="4" item="1"/>
        </tpls>
      </m>
      <m>
        <tpls c="4">
          <tpl fld="7" item="131"/>
          <tpl fld="6" item="1"/>
          <tpl hier="236" item="0"/>
          <tpl fld="4" item="1"/>
        </tpls>
      </m>
      <n v="2" in="1">
        <tpls c="4">
          <tpl fld="7" item="1081"/>
          <tpl fld="6" item="1"/>
          <tpl hier="236" item="0"/>
          <tpl fld="1" item="0"/>
        </tpls>
      </n>
      <m>
        <tpls c="4">
          <tpl fld="7" item="902"/>
          <tpl fld="6" item="1"/>
          <tpl hier="236" item="0"/>
          <tpl fld="1" item="0"/>
        </tpls>
      </m>
      <n v="4" in="1">
        <tpls c="4">
          <tpl fld="7" item="441"/>
          <tpl fld="6" item="1"/>
          <tpl hier="236" item="0"/>
          <tpl fld="1" item="0"/>
        </tpls>
      </n>
      <m>
        <tpls c="4">
          <tpl fld="7" item="105"/>
          <tpl fld="6" item="1"/>
          <tpl hier="236" item="0"/>
          <tpl fld="1" item="0"/>
        </tpls>
      </m>
      <m>
        <tpls c="4">
          <tpl fld="7" item="673"/>
          <tpl fld="6" item="1"/>
          <tpl hier="236" item="0"/>
          <tpl fld="1" item="0"/>
        </tpls>
      </m>
      <m>
        <tpls c="4">
          <tpl fld="7" item="148"/>
          <tpl fld="6" item="1"/>
          <tpl hier="236" item="0"/>
          <tpl fld="1" item="0"/>
        </tpls>
      </m>
      <m>
        <tpls c="4">
          <tpl fld="7" item="25"/>
          <tpl fld="6" item="1"/>
          <tpl hier="236" item="0"/>
          <tpl fld="1" item="0"/>
        </tpls>
      </m>
      <m>
        <tpls c="4">
          <tpl fld="7" item="629"/>
          <tpl fld="6" item="1"/>
          <tpl hier="236" item="0"/>
          <tpl fld="4" item="6"/>
        </tpls>
      </m>
      <m>
        <tpls c="4">
          <tpl fld="7" item="119"/>
          <tpl fld="6" item="1"/>
          <tpl hier="236" item="0"/>
          <tpl fld="4" item="6"/>
        </tpls>
      </m>
      <m>
        <tpls c="4">
          <tpl fld="7" item="396"/>
          <tpl fld="6" item="1"/>
          <tpl hier="236" item="0"/>
          <tpl fld="4" item="6"/>
        </tpls>
      </m>
      <m>
        <tpls c="3">
          <tpl fld="7" item="276"/>
          <tpl fld="6" item="3"/>
          <tpl hier="236" item="0"/>
        </tpls>
      </m>
      <m>
        <tpls c="3">
          <tpl fld="7" item="11"/>
          <tpl fld="6" item="3"/>
          <tpl hier="236" item="0"/>
        </tpls>
      </m>
      <m>
        <tpls c="4">
          <tpl fld="7" item="975"/>
          <tpl fld="6" item="2"/>
          <tpl hier="236" item="0"/>
          <tpl fld="4" item="4"/>
        </tpls>
      </m>
      <m>
        <tpls c="4">
          <tpl fld="7" item="959"/>
          <tpl fld="6" item="2"/>
          <tpl hier="236" item="0"/>
          <tpl fld="4" item="4"/>
        </tpls>
      </m>
      <m>
        <tpls c="4">
          <tpl fld="7" item="943"/>
          <tpl fld="6" item="2"/>
          <tpl hier="236" item="0"/>
          <tpl fld="4" item="4"/>
        </tpls>
      </m>
      <m>
        <tpls c="4">
          <tpl fld="7" item="1134"/>
          <tpl fld="6" item="2"/>
          <tpl hier="236" item="0"/>
          <tpl fld="4" item="4"/>
        </tpls>
      </m>
      <m>
        <tpls c="4">
          <tpl fld="7" item="876"/>
          <tpl fld="6" item="2"/>
          <tpl hier="236" item="0"/>
          <tpl fld="4" item="4"/>
        </tpls>
      </m>
      <m>
        <tpls c="4">
          <tpl fld="7" item="326"/>
          <tpl fld="6" item="2"/>
          <tpl hier="236" item="0"/>
          <tpl fld="4" item="4"/>
        </tpls>
      </m>
      <m>
        <tpls c="4">
          <tpl fld="7" item="417"/>
          <tpl fld="6" item="2"/>
          <tpl hier="236" item="0"/>
          <tpl fld="4" item="6"/>
        </tpls>
      </m>
      <m>
        <tpls c="4">
          <tpl fld="7" item="403"/>
          <tpl fld="6" item="1"/>
          <tpl hier="236" item="0"/>
          <tpl fld="4" item="5"/>
        </tpls>
      </m>
      <m>
        <tpls c="4">
          <tpl fld="7" item="80"/>
          <tpl fld="6" item="1"/>
          <tpl hier="236" item="0"/>
          <tpl fld="4" item="1"/>
        </tpls>
      </m>
      <n v="1" in="1">
        <tpls c="4">
          <tpl fld="7" item="523"/>
          <tpl fld="6" item="1"/>
          <tpl hier="236" item="0"/>
          <tpl fld="1" item="0"/>
        </tpls>
      </n>
      <m>
        <tpls c="4">
          <tpl fld="7" item="72"/>
          <tpl fld="6" item="1"/>
          <tpl hier="236" item="0"/>
          <tpl fld="1" item="0"/>
        </tpls>
      </m>
      <m>
        <tpls c="4">
          <tpl fld="7" item="410"/>
          <tpl fld="6" item="1"/>
          <tpl hier="236" item="0"/>
          <tpl fld="4" item="6"/>
        </tpls>
      </m>
      <m>
        <tpls c="3">
          <tpl fld="7" item="12"/>
          <tpl fld="6" item="3"/>
          <tpl hier="236" item="0"/>
        </tpls>
      </m>
      <n v="0.5" in="2">
        <tpls c="4">
          <tpl fld="7" item="1157"/>
          <tpl fld="6" item="2"/>
          <tpl hier="236" item="0"/>
          <tpl fld="4" item="4"/>
        </tpls>
      </n>
      <m>
        <tpls c="4">
          <tpl fld="7" item="233"/>
          <tpl fld="6" item="2"/>
          <tpl hier="236" item="0"/>
          <tpl fld="4" item="4"/>
        </tpls>
      </m>
      <m>
        <tpls c="3">
          <tpl fld="7" item="721"/>
          <tpl fld="6" item="3"/>
          <tpl hier="236" item="0"/>
        </tpls>
      </m>
      <m>
        <tpls c="4">
          <tpl fld="7" item="894"/>
          <tpl fld="6" item="1"/>
          <tpl hier="236" item="0"/>
          <tpl fld="4" item="5"/>
        </tpls>
      </m>
      <n v="1" in="1">
        <tpls c="4">
          <tpl fld="7" item="1035"/>
          <tpl fld="6" item="1"/>
          <tpl hier="236" item="0"/>
          <tpl fld="4" item="4"/>
        </tpls>
      </n>
      <m>
        <tpls c="4">
          <tpl fld="7" item="156"/>
          <tpl fld="6" item="2"/>
          <tpl hier="236" item="0"/>
          <tpl fld="1" item="0"/>
        </tpls>
      </m>
      <m>
        <tpls c="4">
          <tpl fld="7" item="450"/>
          <tpl fld="6" item="2"/>
          <tpl hier="236" item="0"/>
          <tpl fld="4" item="5"/>
        </tpls>
      </m>
      <m>
        <tpls c="4">
          <tpl fld="7" item="52"/>
          <tpl fld="6" item="2"/>
          <tpl hier="236" item="0"/>
          <tpl fld="4" item="5"/>
        </tpls>
      </m>
      <m>
        <tpls c="4">
          <tpl fld="7" item="1249"/>
          <tpl fld="6" item="2"/>
          <tpl hier="236" item="0"/>
          <tpl fld="4" item="6"/>
        </tpls>
      </m>
      <m>
        <tpls c="4">
          <tpl fld="7" item="1084"/>
          <tpl fld="6" item="2"/>
          <tpl hier="236" item="0"/>
          <tpl fld="4" item="6"/>
        </tpls>
      </m>
      <m>
        <tpls c="4">
          <tpl fld="7" item="38"/>
          <tpl fld="6" item="2"/>
          <tpl hier="236" item="0"/>
          <tpl fld="4" item="6"/>
        </tpls>
      </m>
      <n v="1" in="1">
        <tpls c="4">
          <tpl fld="7" item="836"/>
          <tpl fld="6" item="1"/>
          <tpl hier="236" item="0"/>
          <tpl fld="4" item="5"/>
        </tpls>
      </n>
      <m>
        <tpls c="4">
          <tpl fld="7" item="346"/>
          <tpl fld="6" item="1"/>
          <tpl hier="236" item="0"/>
          <tpl fld="4" item="5"/>
        </tpls>
      </m>
      <n v="3" in="1">
        <tpls c="4">
          <tpl fld="7" item="1177"/>
          <tpl fld="6" item="1"/>
          <tpl hier="236" item="0"/>
          <tpl fld="4" item="1"/>
        </tpls>
      </n>
      <m>
        <tpls c="4">
          <tpl fld="7" item="1121"/>
          <tpl fld="6" item="1"/>
          <tpl hier="236" item="0"/>
          <tpl fld="4" item="1"/>
        </tpls>
      </m>
      <m>
        <tpls c="4">
          <tpl fld="7" item="354"/>
          <tpl fld="6" item="1"/>
          <tpl hier="236" item="0"/>
          <tpl fld="4" item="1"/>
        </tpls>
      </m>
      <m>
        <tpls c="4">
          <tpl fld="7" item="240"/>
          <tpl fld="6" item="1"/>
          <tpl hier="236" item="0"/>
          <tpl fld="4" item="1"/>
        </tpls>
      </m>
      <n v="29" in="1">
        <tpls c="4">
          <tpl fld="7" item="1249"/>
          <tpl fld="6" item="1"/>
          <tpl hier="236" item="0"/>
          <tpl fld="1" item="0"/>
        </tpls>
      </n>
      <n v="9" in="1">
        <tpls c="4">
          <tpl fld="7" item="1243"/>
          <tpl fld="6" item="1"/>
          <tpl hier="236" item="0"/>
          <tpl fld="1" item="0"/>
        </tpls>
      </n>
      <n v="5" in="1">
        <tpls c="4">
          <tpl fld="7" item="370"/>
          <tpl fld="6" item="1"/>
          <tpl hier="236" item="0"/>
          <tpl fld="1" item="0"/>
        </tpls>
      </n>
      <m>
        <tpls c="4">
          <tpl fld="7" item="321"/>
          <tpl fld="6" item="1"/>
          <tpl hier="236" item="0"/>
          <tpl fld="1" item="0"/>
        </tpls>
      </m>
      <m>
        <tpls c="4">
          <tpl fld="7" item="83"/>
          <tpl fld="6" item="1"/>
          <tpl hier="236" item="0"/>
          <tpl fld="1" item="0"/>
        </tpls>
      </m>
      <m>
        <tpls c="4">
          <tpl fld="7" item="144"/>
          <tpl fld="6" item="1"/>
          <tpl hier="236" item="0"/>
          <tpl fld="1" item="0"/>
        </tpls>
      </m>
      <m>
        <tpls c="4">
          <tpl fld="7" item="241"/>
          <tpl fld="6" item="1"/>
          <tpl hier="236" item="0"/>
          <tpl fld="1" item="0"/>
        </tpls>
      </m>
      <n v="1" in="1">
        <tpls c="4">
          <tpl fld="7" item="789"/>
          <tpl fld="6" item="1"/>
          <tpl hier="236" item="0"/>
          <tpl fld="4" item="6"/>
        </tpls>
      </n>
      <m>
        <tpls c="4">
          <tpl fld="7" item="331"/>
          <tpl fld="6" item="1"/>
          <tpl hier="236" item="0"/>
          <tpl fld="4" item="6"/>
        </tpls>
      </m>
      <m>
        <tpls c="4">
          <tpl fld="7" item="2"/>
          <tpl fld="6" item="1"/>
          <tpl hier="236" item="0"/>
          <tpl fld="4" item="6"/>
        </tpls>
      </m>
      <m>
        <tpls c="3">
          <tpl fld="7" item="876"/>
          <tpl fld="6" item="3"/>
          <tpl hier="236" item="0"/>
        </tpls>
      </m>
      <m>
        <tpls c="3">
          <tpl fld="7" item="123"/>
          <tpl fld="6" item="3"/>
          <tpl hier="236" item="0"/>
        </tpls>
      </m>
      <m>
        <tpls c="4">
          <tpl fld="7" item="1269"/>
          <tpl fld="6" item="2"/>
          <tpl hier="236" item="0"/>
          <tpl fld="4" item="4"/>
        </tpls>
      </m>
      <m>
        <tpls c="4">
          <tpl fld="7" item="1268"/>
          <tpl fld="6" item="2"/>
          <tpl hier="236" item="0"/>
          <tpl fld="4" item="4"/>
        </tpls>
      </m>
      <m>
        <tpls c="4">
          <tpl fld="7" item="1267"/>
          <tpl fld="6" item="2"/>
          <tpl hier="236" item="0"/>
          <tpl fld="4" item="4"/>
        </tpls>
      </m>
      <m>
        <tpls c="4">
          <tpl fld="7" item="873"/>
          <tpl fld="6" item="2"/>
          <tpl hier="236" item="0"/>
          <tpl fld="4" item="4"/>
        </tpls>
      </m>
      <m>
        <tpls c="4">
          <tpl fld="7" item="167"/>
          <tpl fld="6" item="2"/>
          <tpl hier="236" item="0"/>
          <tpl fld="4" item="4"/>
        </tpls>
      </m>
      <m>
        <tpls c="4">
          <tpl fld="7" item="121"/>
          <tpl fld="6" item="2"/>
          <tpl hier="236" item="0"/>
          <tpl fld="4" item="4"/>
        </tpls>
      </m>
      <m>
        <tpls c="4">
          <tpl fld="7" item="700"/>
          <tpl fld="6" item="2"/>
          <tpl hier="236" item="0"/>
          <tpl fld="4" item="6"/>
        </tpls>
      </m>
      <n v="6" in="1">
        <tpls c="4">
          <tpl fld="7" item="817"/>
          <tpl fld="6" item="1"/>
          <tpl hier="236" item="0"/>
          <tpl fld="4" item="4"/>
        </tpls>
      </n>
      <n v="7" in="1">
        <tpls c="4">
          <tpl fld="7" item="1018"/>
          <tpl fld="6" item="1"/>
          <tpl hier="236" item="0"/>
          <tpl fld="4" item="4"/>
        </tpls>
      </n>
      <n v="1" in="2">
        <tpls c="4">
          <tpl fld="7" item="678"/>
          <tpl fld="6" item="2"/>
          <tpl hier="236" item="0"/>
          <tpl fld="1" item="0"/>
        </tpls>
      </n>
      <m>
        <tpls c="4">
          <tpl fld="7" item="1107"/>
          <tpl fld="6" item="2"/>
          <tpl hier="236" item="0"/>
          <tpl fld="4" item="5"/>
        </tpls>
      </m>
      <m>
        <tpls c="4">
          <tpl fld="7" item="77"/>
          <tpl fld="6" item="2"/>
          <tpl hier="236" item="0"/>
          <tpl fld="4" item="5"/>
        </tpls>
      </m>
      <m>
        <tpls c="4">
          <tpl fld="7" item="233"/>
          <tpl fld="6" item="2"/>
          <tpl hier="236" item="0"/>
          <tpl fld="4" item="5"/>
        </tpls>
      </m>
      <m>
        <tpls c="4">
          <tpl fld="7" item="855"/>
          <tpl fld="6" item="1"/>
          <tpl hier="236" item="0"/>
          <tpl fld="4" item="5"/>
        </tpls>
      </m>
      <m>
        <tpls c="4">
          <tpl fld="7" item="1133"/>
          <tpl fld="6" item="1"/>
          <tpl hier="236" item="0"/>
          <tpl fld="4" item="1"/>
        </tpls>
      </m>
      <m>
        <tpls c="4">
          <tpl fld="7" item="229"/>
          <tpl fld="6" item="1"/>
          <tpl hier="236" item="0"/>
          <tpl fld="4" item="1"/>
        </tpls>
      </m>
      <n v="2" in="1">
        <tpls c="4">
          <tpl fld="7" item="215"/>
          <tpl fld="6" item="1"/>
          <tpl hier="236" item="0"/>
          <tpl fld="1" item="0"/>
        </tpls>
      </n>
      <m>
        <tpls c="4">
          <tpl fld="7" item="242"/>
          <tpl fld="6" item="1"/>
          <tpl hier="236" item="0"/>
          <tpl fld="1" item="0"/>
        </tpls>
      </m>
      <m>
        <tpls c="4">
          <tpl fld="7" item="668"/>
          <tpl fld="6" item="1"/>
          <tpl hier="236" item="0"/>
          <tpl fld="4" item="6"/>
        </tpls>
      </m>
      <m>
        <tpls c="4">
          <tpl fld="7" item="1183"/>
          <tpl fld="6" item="2"/>
          <tpl hier="236" item="0"/>
          <tpl fld="4" item="4"/>
        </tpls>
      </m>
      <m>
        <tpls c="4">
          <tpl fld="7" item="928"/>
          <tpl fld="6" item="2"/>
          <tpl hier="236" item="0"/>
          <tpl fld="4" item="4"/>
        </tpls>
      </m>
      <n v="2" in="1">
        <tpls c="4">
          <tpl fld="7" item="1086"/>
          <tpl fld="6" item="1"/>
          <tpl hier="236" item="0"/>
          <tpl fld="4" item="1"/>
        </tpls>
      </n>
      <n v="1.75" in="2">
        <tpls c="4">
          <tpl fld="7" item="690"/>
          <tpl fld="6" item="2"/>
          <tpl hier="236" item="0"/>
          <tpl fld="1" item="0"/>
        </tpls>
      </n>
      <m>
        <tpls c="4">
          <tpl fld="7" item="566"/>
          <tpl fld="6" item="2"/>
          <tpl hier="236" item="0"/>
          <tpl fld="1" item="0"/>
        </tpls>
      </m>
      <m>
        <tpls c="4">
          <tpl fld="7" item="1022"/>
          <tpl fld="6" item="2"/>
          <tpl hier="236" item="0"/>
          <tpl fld="4" item="4"/>
        </tpls>
      </m>
      <m>
        <tpls c="4">
          <tpl fld="7" item="1090"/>
          <tpl fld="6" item="2"/>
          <tpl hier="236" item="0"/>
          <tpl fld="4" item="6"/>
        </tpls>
      </m>
      <n v="2" in="1">
        <tpls c="4">
          <tpl fld="7" item="648"/>
          <tpl fld="6" item="1"/>
          <tpl hier="236" item="0"/>
          <tpl fld="4" item="1"/>
        </tpls>
      </n>
      <m>
        <tpls c="4">
          <tpl fld="7" item="741"/>
          <tpl fld="6" item="2"/>
          <tpl hier="236" item="0"/>
          <tpl fld="4" item="5"/>
        </tpls>
      </m>
      <m>
        <tpls c="4">
          <tpl fld="7" item="843"/>
          <tpl fld="6" item="1"/>
          <tpl hier="236" item="0"/>
          <tpl fld="4" item="4"/>
        </tpls>
      </m>
      <m>
        <tpls c="3">
          <tpl fld="7" item="924"/>
          <tpl fld="6" item="3"/>
          <tpl hier="236" item="0"/>
        </tpls>
      </m>
      <m>
        <tpls c="4">
          <tpl fld="7" item="866"/>
          <tpl fld="6" item="2"/>
          <tpl hier="236" item="0"/>
          <tpl fld="1" item="0"/>
        </tpls>
      </m>
      <m>
        <tpls c="3">
          <tpl fld="7" item="458"/>
          <tpl fld="6" item="3"/>
          <tpl hier="236" item="0"/>
        </tpls>
      </m>
      <m>
        <tpls c="3">
          <tpl fld="7" item="802"/>
          <tpl fld="6" item="3"/>
          <tpl hier="236" item="0"/>
        </tpls>
      </m>
      <m>
        <tpls c="4">
          <tpl fld="7" item="731"/>
          <tpl fld="6" item="2"/>
          <tpl hier="236" item="0"/>
          <tpl fld="1" item="0"/>
        </tpls>
      </m>
      <m>
        <tpls c="4">
          <tpl fld="7" item="663"/>
          <tpl fld="6" item="1"/>
          <tpl hier="236" item="0"/>
          <tpl fld="4" item="5"/>
        </tpls>
      </m>
      <m>
        <tpls c="4">
          <tpl fld="7" item="1114"/>
          <tpl fld="6" item="1"/>
          <tpl hier="236" item="0"/>
          <tpl fld="4" item="6"/>
        </tpls>
      </m>
      <m>
        <tpls c="4">
          <tpl fld="7" item="1134"/>
          <tpl fld="6" item="2"/>
          <tpl hier="236" item="0"/>
          <tpl fld="4" item="1"/>
        </tpls>
      </m>
      <m>
        <tpls c="4">
          <tpl fld="7" item="1115"/>
          <tpl fld="6" item="2"/>
          <tpl hier="236" item="0"/>
          <tpl fld="1" item="0"/>
        </tpls>
      </m>
      <m>
        <tpls c="4">
          <tpl fld="7" item="670"/>
          <tpl fld="6" item="2"/>
          <tpl hier="236" item="0"/>
          <tpl fld="1" item="0"/>
        </tpls>
      </m>
      <n v="0" in="1">
        <tpls c="4">
          <tpl fld="7" item="565"/>
          <tpl fld="6" item="1"/>
          <tpl hier="236" item="0"/>
          <tpl fld="1" item="0"/>
        </tpls>
      </n>
      <n v="2" in="1">
        <tpls c="4">
          <tpl fld="7" item="918"/>
          <tpl fld="6" item="1"/>
          <tpl hier="236" item="0"/>
          <tpl fld="4" item="4"/>
        </tpls>
      </n>
      <m>
        <tpls c="4">
          <tpl fld="7" item="1006"/>
          <tpl fld="6" item="2"/>
          <tpl hier="236" item="0"/>
          <tpl fld="4" item="5"/>
        </tpls>
      </m>
      <m>
        <tpls c="4">
          <tpl fld="7" item="114"/>
          <tpl fld="6" item="2"/>
          <tpl hier="236" item="0"/>
          <tpl fld="4" item="5"/>
        </tpls>
      </m>
      <m>
        <tpls c="4">
          <tpl fld="7" item="72"/>
          <tpl fld="6" item="2"/>
          <tpl hier="236" item="0"/>
          <tpl fld="4" item="6"/>
        </tpls>
      </m>
      <m>
        <tpls c="4">
          <tpl fld="7" item="210"/>
          <tpl fld="6" item="1"/>
          <tpl hier="236" item="0"/>
          <tpl fld="4" item="5"/>
        </tpls>
      </m>
      <m>
        <tpls c="4">
          <tpl fld="7" item="1079"/>
          <tpl fld="6" item="1"/>
          <tpl hier="236" item="0"/>
          <tpl fld="4" item="1"/>
        </tpls>
      </m>
      <m>
        <tpls c="4">
          <tpl fld="7" item="479"/>
          <tpl fld="6" item="1"/>
          <tpl hier="236" item="0"/>
          <tpl fld="4" item="1"/>
        </tpls>
      </m>
      <n v="0" in="1">
        <tpls c="4">
          <tpl fld="7" item="629"/>
          <tpl fld="6" item="1"/>
          <tpl hier="236" item="0"/>
          <tpl fld="1" item="0"/>
        </tpls>
      </n>
      <n v="2" in="1">
        <tpls c="4">
          <tpl fld="7" item="1278"/>
          <tpl fld="6" item="1"/>
          <tpl hier="236" item="0"/>
          <tpl fld="4" item="4"/>
        </tpls>
      </n>
      <m>
        <tpls c="4">
          <tpl fld="7" item="1077"/>
          <tpl fld="6" item="2"/>
          <tpl hier="236" item="0"/>
          <tpl fld="4" item="5"/>
        </tpls>
      </m>
      <m>
        <tpls c="4">
          <tpl fld="7" item="444"/>
          <tpl fld="6" item="2"/>
          <tpl hier="236" item="0"/>
          <tpl fld="4" item="5"/>
        </tpls>
      </m>
      <m>
        <tpls c="4">
          <tpl fld="7" item="593"/>
          <tpl fld="6" item="2"/>
          <tpl hier="236" item="0"/>
          <tpl fld="4" item="5"/>
        </tpls>
      </m>
      <m>
        <tpls c="4">
          <tpl fld="7" item="256"/>
          <tpl fld="6" item="2"/>
          <tpl hier="236" item="0"/>
          <tpl fld="4" item="5"/>
        </tpls>
      </m>
      <m>
        <tpls c="4">
          <tpl fld="7" item="1026"/>
          <tpl fld="6" item="2"/>
          <tpl hier="236" item="0"/>
          <tpl fld="4" item="6"/>
        </tpls>
      </m>
      <m>
        <tpls c="4">
          <tpl fld="7" item="381"/>
          <tpl fld="6" item="2"/>
          <tpl hier="236" item="0"/>
          <tpl fld="4" item="6"/>
        </tpls>
      </m>
      <m>
        <tpls c="4">
          <tpl fld="7" item="94"/>
          <tpl fld="6" item="2"/>
          <tpl hier="236" item="0"/>
          <tpl fld="4" item="6"/>
        </tpls>
      </m>
      <m>
        <tpls c="4">
          <tpl fld="7" item="402"/>
          <tpl fld="6" item="2"/>
          <tpl hier="236" item="0"/>
          <tpl fld="4" item="6"/>
        </tpls>
      </m>
      <n v="2" in="1">
        <tpls c="4">
          <tpl fld="7" item="1220"/>
          <tpl fld="6" item="1"/>
          <tpl hier="236" item="0"/>
          <tpl fld="4" item="5"/>
        </tpls>
      </n>
      <m>
        <tpls c="4">
          <tpl fld="7" item="509"/>
          <tpl fld="6" item="1"/>
          <tpl hier="236" item="0"/>
          <tpl fld="4" item="5"/>
        </tpls>
      </m>
      <m>
        <tpls c="4">
          <tpl fld="7" item="297"/>
          <tpl fld="6" item="1"/>
          <tpl hier="236" item="0"/>
          <tpl fld="4" item="5"/>
        </tpls>
      </m>
      <m>
        <tpls c="4">
          <tpl fld="7" item="23"/>
          <tpl fld="6" item="1"/>
          <tpl hier="236" item="0"/>
          <tpl fld="4" item="5"/>
        </tpls>
      </m>
      <m>
        <tpls c="4">
          <tpl fld="7" item="948"/>
          <tpl fld="6" item="1"/>
          <tpl hier="236" item="0"/>
          <tpl fld="4" item="1"/>
        </tpls>
      </m>
      <m>
        <tpls c="4">
          <tpl fld="7" item="1128"/>
          <tpl fld="6" item="1"/>
          <tpl hier="236" item="0"/>
          <tpl fld="4" item="1"/>
        </tpls>
      </m>
      <m>
        <tpls c="4">
          <tpl fld="7" item="1104"/>
          <tpl fld="6" item="1"/>
          <tpl hier="236" item="0"/>
          <tpl fld="4" item="1"/>
        </tpls>
      </m>
      <n v="2" in="1">
        <tpls c="4">
          <tpl fld="7" item="1084"/>
          <tpl fld="6" item="1"/>
          <tpl hier="236" item="0"/>
          <tpl fld="4" item="1"/>
        </tpls>
      </n>
      <m>
        <tpls c="4">
          <tpl fld="7" item="416"/>
          <tpl fld="6" item="1"/>
          <tpl hier="236" item="0"/>
          <tpl fld="4" item="1"/>
        </tpls>
      </m>
      <m>
        <tpls c="4">
          <tpl fld="7" item="410"/>
          <tpl fld="6" item="1"/>
          <tpl hier="236" item="0"/>
          <tpl fld="4" item="1"/>
        </tpls>
      </m>
      <m>
        <tpls c="4">
          <tpl fld="7" item="60"/>
          <tpl fld="6" item="1"/>
          <tpl hier="236" item="0"/>
          <tpl fld="4" item="4"/>
        </tpls>
      </m>
      <m>
        <tpls c="4">
          <tpl fld="7" item="639"/>
          <tpl fld="6" item="2"/>
          <tpl hier="236" item="0"/>
          <tpl fld="4" item="1"/>
        </tpls>
      </m>
      <n v="2" in="2">
        <tpls c="4">
          <tpl fld="7" item="1097"/>
          <tpl fld="6" item="2"/>
          <tpl hier="236" item="0"/>
          <tpl fld="4" item="5"/>
        </tpls>
      </n>
      <m>
        <tpls c="4">
          <tpl fld="7" item="823"/>
          <tpl fld="6" item="2"/>
          <tpl hier="236" item="0"/>
          <tpl fld="4" item="4"/>
        </tpls>
      </m>
      <m>
        <tpls c="4">
          <tpl fld="7" item="905"/>
          <tpl fld="6" item="2"/>
          <tpl hier="236" item="0"/>
          <tpl fld="4" item="1"/>
        </tpls>
      </m>
      <n v="2" in="1">
        <tpls c="4">
          <tpl fld="7" item="1028"/>
          <tpl fld="6" item="1"/>
          <tpl hier="236" item="0"/>
          <tpl fld="4" item="6"/>
        </tpls>
      </n>
      <m>
        <tpls c="4">
          <tpl fld="7" item="921"/>
          <tpl fld="6" item="2"/>
          <tpl hier="236" item="0"/>
          <tpl fld="1" item="0"/>
        </tpls>
      </m>
      <m>
        <tpls c="4">
          <tpl fld="7" item="263"/>
          <tpl fld="6" item="2"/>
          <tpl hier="236" item="0"/>
          <tpl fld="1" item="0"/>
        </tpls>
      </m>
      <m>
        <tpls c="4">
          <tpl fld="7" item="871"/>
          <tpl fld="6" item="2"/>
          <tpl hier="236" item="0"/>
          <tpl fld="4" item="5"/>
        </tpls>
      </m>
      <m>
        <tpls c="4">
          <tpl fld="7" item="89"/>
          <tpl fld="6" item="2"/>
          <tpl hier="236" item="0"/>
          <tpl fld="4" item="5"/>
        </tpls>
      </m>
      <m>
        <tpls c="4">
          <tpl fld="7" item="322"/>
          <tpl fld="6" item="2"/>
          <tpl hier="236" item="0"/>
          <tpl fld="4" item="5"/>
        </tpls>
      </m>
      <m>
        <tpls c="4">
          <tpl fld="7" item="176"/>
          <tpl fld="6" item="2"/>
          <tpl hier="236" item="0"/>
          <tpl fld="4" item="5"/>
        </tpls>
      </m>
      <m>
        <tpls c="4">
          <tpl fld="7" item="752"/>
          <tpl fld="6" item="2"/>
          <tpl hier="236" item="0"/>
          <tpl fld="4" item="5"/>
        </tpls>
      </m>
      <m>
        <tpls c="4">
          <tpl fld="7" item="328"/>
          <tpl fld="6" item="2"/>
          <tpl hier="236" item="0"/>
          <tpl fld="4" item="5"/>
        </tpls>
      </m>
      <m>
        <tpls c="4">
          <tpl fld="7" item="845"/>
          <tpl fld="6" item="2"/>
          <tpl hier="236" item="0"/>
          <tpl fld="4" item="6"/>
        </tpls>
      </m>
      <m>
        <tpls c="4">
          <tpl fld="7" item="511"/>
          <tpl fld="6" item="2"/>
          <tpl hier="236" item="0"/>
          <tpl fld="4" item="6"/>
        </tpls>
      </m>
      <m>
        <tpls c="4">
          <tpl fld="7" item="310"/>
          <tpl fld="6" item="2"/>
          <tpl hier="236" item="0"/>
          <tpl fld="4" item="6"/>
        </tpls>
      </m>
      <m>
        <tpls c="4">
          <tpl fld="7" item="145"/>
          <tpl fld="6" item="2"/>
          <tpl hier="236" item="0"/>
          <tpl fld="4" item="6"/>
        </tpls>
      </m>
      <m>
        <tpls c="4">
          <tpl fld="7" item="1026"/>
          <tpl fld="6" item="1"/>
          <tpl hier="236" item="0"/>
          <tpl fld="4" item="5"/>
        </tpls>
      </m>
      <n v="3" in="1">
        <tpls c="4">
          <tpl fld="7" item="1002"/>
          <tpl fld="6" item="1"/>
          <tpl hier="236" item="0"/>
          <tpl fld="4" item="5"/>
        </tpls>
      </n>
      <m>
        <tpls c="4">
          <tpl fld="7" item="324"/>
          <tpl fld="6" item="1"/>
          <tpl hier="236" item="0"/>
          <tpl fld="4" item="5"/>
        </tpls>
      </m>
      <m>
        <tpls c="4">
          <tpl fld="7" item="236"/>
          <tpl fld="6" item="1"/>
          <tpl hier="236" item="0"/>
          <tpl fld="4" item="5"/>
        </tpls>
      </m>
      <n v="1" in="1">
        <tpls c="4">
          <tpl fld="7" item="838"/>
          <tpl fld="6" item="1"/>
          <tpl hier="236" item="0"/>
          <tpl fld="4" item="1"/>
        </tpls>
      </n>
      <m>
        <tpls c="4">
          <tpl fld="7" item="386"/>
          <tpl fld="6" item="2"/>
          <tpl hier="236" item="0"/>
          <tpl fld="4" item="5"/>
        </tpls>
      </m>
      <m>
        <tpls c="4">
          <tpl fld="7" item="1150"/>
          <tpl fld="6" item="1"/>
          <tpl hier="236" item="0"/>
          <tpl fld="4" item="1"/>
        </tpls>
      </m>
      <n v="14" in="1">
        <tpls c="4">
          <tpl fld="7" item="513"/>
          <tpl fld="6" item="1"/>
          <tpl hier="236" item="0"/>
          <tpl fld="1" item="0"/>
        </tpls>
      </n>
      <m>
        <tpls c="4">
          <tpl fld="7" item="471"/>
          <tpl fld="6" item="1"/>
          <tpl hier="236" item="0"/>
          <tpl fld="4" item="6"/>
        </tpls>
      </m>
      <m>
        <tpls c="4">
          <tpl fld="7" item="952"/>
          <tpl fld="6" item="2"/>
          <tpl hier="236" item="0"/>
          <tpl fld="4" item="4"/>
        </tpls>
      </m>
      <m>
        <tpls c="4">
          <tpl fld="7" item="176"/>
          <tpl fld="6" item="1"/>
          <tpl hier="236" item="0"/>
          <tpl fld="4" item="5"/>
        </tpls>
      </m>
      <m>
        <tpls c="4">
          <tpl fld="7" item="1184"/>
          <tpl fld="6" item="2"/>
          <tpl hier="236" item="0"/>
          <tpl fld="4" item="4"/>
        </tpls>
      </m>
      <m>
        <tpls c="4">
          <tpl fld="7" item="1129"/>
          <tpl fld="6" item="2"/>
          <tpl hier="236" item="0"/>
          <tpl fld="4" item="5"/>
        </tpls>
      </m>
      <m>
        <tpls c="4">
          <tpl fld="7" item="592"/>
          <tpl fld="6" item="2"/>
          <tpl hier="236" item="0"/>
          <tpl fld="4" item="6"/>
        </tpls>
      </m>
      <n v="1" in="1">
        <tpls c="4">
          <tpl fld="7" item="1141"/>
          <tpl fld="6" item="1"/>
          <tpl hier="236" item="0"/>
          <tpl fld="4" item="1"/>
        </tpls>
      </n>
      <n v="1" in="1">
        <tpls c="4">
          <tpl fld="7" item="1025"/>
          <tpl fld="6" item="1"/>
          <tpl hier="236" item="0"/>
          <tpl fld="1" item="0"/>
        </tpls>
      </n>
      <m>
        <tpls c="4">
          <tpl fld="7" item="309"/>
          <tpl fld="6" item="1"/>
          <tpl hier="236" item="0"/>
          <tpl fld="1" item="0"/>
        </tpls>
      </m>
      <m>
        <tpls c="4">
          <tpl fld="7" item="279"/>
          <tpl fld="6" item="1"/>
          <tpl hier="236" item="0"/>
          <tpl fld="4" item="6"/>
        </tpls>
      </m>
      <m>
        <tpls c="3">
          <tpl fld="7" item="669"/>
          <tpl fld="6" item="3"/>
          <tpl hier="236" item="0"/>
        </tpls>
      </m>
      <m>
        <tpls c="4">
          <tpl fld="7" item="1228"/>
          <tpl fld="6" item="2"/>
          <tpl hier="236" item="0"/>
          <tpl fld="4" item="4"/>
        </tpls>
      </m>
      <m>
        <tpls c="4">
          <tpl fld="7" item="7"/>
          <tpl fld="6" item="2"/>
          <tpl hier="236" item="0"/>
          <tpl fld="4" item="4"/>
        </tpls>
      </m>
      <m>
        <tpls c="4">
          <tpl fld="7" item="278"/>
          <tpl fld="6" item="2"/>
          <tpl hier="236" item="0"/>
          <tpl fld="1" item="0"/>
        </tpls>
      </m>
      <m>
        <tpls c="4">
          <tpl fld="7" item="323"/>
          <tpl fld="6" item="2"/>
          <tpl hier="236" item="0"/>
          <tpl fld="4" item="6"/>
        </tpls>
      </m>
      <m>
        <tpls c="4">
          <tpl fld="7" item="359"/>
          <tpl fld="6" item="1"/>
          <tpl hier="236" item="0"/>
          <tpl fld="1" item="0"/>
        </tpls>
      </m>
      <m>
        <tpls c="4">
          <tpl fld="7" item="1174"/>
          <tpl fld="6" item="2"/>
          <tpl hier="236" item="0"/>
          <tpl fld="4" item="4"/>
        </tpls>
      </m>
      <m>
        <tpls c="4">
          <tpl fld="7" item="694"/>
          <tpl fld="6" item="2"/>
          <tpl hier="236" item="0"/>
          <tpl fld="1" item="0"/>
        </tpls>
      </m>
      <m>
        <tpls c="3">
          <tpl fld="7" item="923"/>
          <tpl fld="6" item="3"/>
          <tpl hier="236" item="0"/>
        </tpls>
      </m>
      <m>
        <tpls c="4">
          <tpl fld="7" item="653"/>
          <tpl fld="6" item="2"/>
          <tpl hier="236" item="0"/>
          <tpl fld="4" item="4"/>
        </tpls>
      </m>
      <m>
        <tpls c="4">
          <tpl fld="7" item="1122"/>
          <tpl fld="6" item="1"/>
          <tpl hier="236" item="0"/>
          <tpl fld="4" item="6"/>
        </tpls>
      </m>
      <m>
        <tpls c="4">
          <tpl fld="7" item="356"/>
          <tpl fld="6" item="2"/>
          <tpl hier="236" item="0"/>
          <tpl fld="1" item="0"/>
        </tpls>
      </m>
      <n v="6" in="1">
        <tpls c="4">
          <tpl fld="7" item="726"/>
          <tpl fld="6" item="1"/>
          <tpl hier="236" item="0"/>
          <tpl fld="1" item="0"/>
        </tpls>
      </n>
      <n v="0.75" in="2">
        <tpls c="4">
          <tpl fld="7" item="899"/>
          <tpl fld="6" item="2"/>
          <tpl hier="236" item="0"/>
          <tpl fld="4" item="4"/>
        </tpls>
      </n>
      <m>
        <tpls c="4">
          <tpl fld="7" item="947"/>
          <tpl fld="6" item="2"/>
          <tpl hier="236" item="0"/>
          <tpl fld="4" item="1"/>
        </tpls>
      </m>
      <m>
        <tpls c="4">
          <tpl fld="7" item="1271"/>
          <tpl fld="6" item="2"/>
          <tpl hier="236" item="0"/>
          <tpl fld="4" item="5"/>
        </tpls>
      </m>
      <m>
        <tpls c="4">
          <tpl fld="7" item="341"/>
          <tpl fld="6" item="2"/>
          <tpl hier="236" item="0"/>
          <tpl fld="1" item="0"/>
        </tpls>
      </m>
      <m>
        <tpls c="4">
          <tpl fld="7" item="204"/>
          <tpl fld="6" item="2"/>
          <tpl hier="236" item="0"/>
          <tpl fld="4" item="6"/>
        </tpls>
      </m>
      <n v="2" in="1">
        <tpls c="4">
          <tpl fld="7" item="1051"/>
          <tpl fld="6" item="1"/>
          <tpl hier="236" item="0"/>
          <tpl fld="4" item="1"/>
        </tpls>
      </n>
      <n v="2" in="1">
        <tpls c="4">
          <tpl fld="7" item="383"/>
          <tpl fld="6" item="1"/>
          <tpl hier="236" item="0"/>
          <tpl fld="1" item="0"/>
        </tpls>
      </n>
      <m>
        <tpls c="4">
          <tpl fld="7" item="8"/>
          <tpl fld="6" item="2"/>
          <tpl hier="236" item="0"/>
          <tpl fld="1" item="0"/>
        </tpls>
      </m>
      <m>
        <tpls c="4">
          <tpl fld="7" item="485"/>
          <tpl fld="6" item="2"/>
          <tpl hier="236" item="0"/>
          <tpl fld="4" item="5"/>
        </tpls>
      </m>
      <m>
        <tpls c="4">
          <tpl fld="7" item="1119"/>
          <tpl fld="6" item="2"/>
          <tpl hier="236" item="0"/>
          <tpl fld="4" item="6"/>
        </tpls>
      </m>
      <m>
        <tpls c="4">
          <tpl fld="7" item="286"/>
          <tpl fld="6" item="2"/>
          <tpl hier="236" item="0"/>
          <tpl fld="4" item="6"/>
        </tpls>
      </m>
      <m>
        <tpls c="4">
          <tpl fld="7" item="1006"/>
          <tpl fld="6" item="1"/>
          <tpl hier="236" item="0"/>
          <tpl fld="4" item="5"/>
        </tpls>
      </m>
      <m>
        <tpls c="4">
          <tpl fld="7" item="405"/>
          <tpl fld="6" item="1"/>
          <tpl hier="236" item="0"/>
          <tpl fld="4" item="5"/>
        </tpls>
      </m>
      <n v="1" in="1">
        <tpls c="4">
          <tpl fld="7" item="930"/>
          <tpl fld="6" item="1"/>
          <tpl hier="236" item="0"/>
          <tpl fld="4" item="1"/>
        </tpls>
      </n>
      <m>
        <tpls c="4">
          <tpl fld="7" item="679"/>
          <tpl fld="6" item="1"/>
          <tpl hier="236" item="0"/>
          <tpl fld="4" item="1"/>
        </tpls>
      </m>
      <m>
        <tpls c="4">
          <tpl fld="7" item="591"/>
          <tpl fld="6" item="1"/>
          <tpl hier="236" item="0"/>
          <tpl fld="4" item="1"/>
        </tpls>
      </m>
      <n v="1" in="1">
        <tpls c="4">
          <tpl fld="7" item="888"/>
          <tpl fld="6" item="1"/>
          <tpl hier="236" item="0"/>
          <tpl fld="4" item="4"/>
        </tpls>
      </n>
      <m>
        <tpls c="4">
          <tpl fld="7" item="739"/>
          <tpl fld="6" item="2"/>
          <tpl hier="236" item="0"/>
          <tpl fld="4" item="6"/>
        </tpls>
      </m>
      <m>
        <tpls c="3">
          <tpl fld="7" item="864"/>
          <tpl fld="6" item="3"/>
          <tpl hier="236" item="0"/>
        </tpls>
      </m>
      <m>
        <tpls c="4">
          <tpl fld="7" item="46"/>
          <tpl fld="6" item="2"/>
          <tpl hier="236" item="0"/>
          <tpl fld="1" item="0"/>
        </tpls>
      </m>
      <m>
        <tpls c="4">
          <tpl fld="7" item="385"/>
          <tpl fld="6" item="2"/>
          <tpl hier="236" item="0"/>
          <tpl fld="4" item="5"/>
        </tpls>
      </m>
      <m>
        <tpls c="4">
          <tpl fld="7" item="161"/>
          <tpl fld="6" item="2"/>
          <tpl hier="236" item="0"/>
          <tpl fld="4" item="5"/>
        </tpls>
      </m>
      <m>
        <tpls c="4">
          <tpl fld="7" item="867"/>
          <tpl fld="6" item="2"/>
          <tpl hier="236" item="0"/>
          <tpl fld="4" item="6"/>
        </tpls>
      </m>
      <n v="1" in="2">
        <tpls c="4">
          <tpl fld="7" item="501"/>
          <tpl fld="6" item="2"/>
          <tpl hier="236" item="0"/>
          <tpl fld="4" item="6"/>
        </tpls>
      </n>
      <m>
        <tpls c="4">
          <tpl fld="7" item="137"/>
          <tpl fld="6" item="2"/>
          <tpl hier="236" item="0"/>
          <tpl fld="4" item="6"/>
        </tpls>
      </m>
      <m>
        <tpls c="4">
          <tpl fld="7" item="682"/>
          <tpl fld="6" item="1"/>
          <tpl hier="236" item="0"/>
          <tpl fld="4" item="5"/>
        </tpls>
      </m>
      <m>
        <tpls c="4">
          <tpl fld="7" item="343"/>
          <tpl fld="6" item="1"/>
          <tpl hier="236" item="0"/>
          <tpl fld="4" item="5"/>
        </tpls>
      </m>
      <m>
        <tpls c="4">
          <tpl fld="7" item="1268"/>
          <tpl fld="6" item="1"/>
          <tpl hier="236" item="0"/>
          <tpl fld="4" item="1"/>
        </tpls>
      </m>
      <n v="2" in="1">
        <tpls c="4">
          <tpl fld="7" item="852"/>
          <tpl fld="6" item="1"/>
          <tpl hier="236" item="0"/>
          <tpl fld="4" item="1"/>
        </tpls>
      </n>
      <m>
        <tpls c="4">
          <tpl fld="7" item="422"/>
          <tpl fld="6" item="1"/>
          <tpl hier="236" item="0"/>
          <tpl fld="4" item="1"/>
        </tpls>
      </m>
      <m>
        <tpls c="4">
          <tpl fld="7" item="476"/>
          <tpl fld="6" item="1"/>
          <tpl hier="236" item="0"/>
          <tpl fld="4" item="1"/>
        </tpls>
      </m>
      <n v="2" in="1">
        <tpls c="4">
          <tpl fld="7" item="1217"/>
          <tpl fld="6" item="1"/>
          <tpl hier="236" item="0"/>
          <tpl fld="1" item="0"/>
        </tpls>
      </n>
      <m>
        <tpls c="4">
          <tpl fld="7" item="417"/>
          <tpl fld="6" item="1"/>
          <tpl hier="236" item="0"/>
          <tpl fld="1" item="0"/>
        </tpls>
      </m>
      <n v="16" in="1">
        <tpls c="4">
          <tpl fld="7" item="666"/>
          <tpl fld="6" item="1"/>
          <tpl hier="236" item="0"/>
          <tpl fld="4" item="6"/>
        </tpls>
      </n>
      <m>
        <tpls c="4">
          <tpl fld="7" item="1012"/>
          <tpl fld="6" item="2"/>
          <tpl hier="236" item="0"/>
          <tpl fld="1" item="0"/>
        </tpls>
      </m>
      <m>
        <tpls c="4">
          <tpl fld="7" item="678"/>
          <tpl fld="6" item="2"/>
          <tpl hier="236" item="0"/>
          <tpl fld="4" item="6"/>
        </tpls>
      </m>
      <m>
        <tpls c="4">
          <tpl fld="7" item="1179"/>
          <tpl fld="6" item="1"/>
          <tpl hier="236" item="0"/>
          <tpl fld="4" item="1"/>
        </tpls>
      </m>
      <n v="0" in="1">
        <tpls c="4">
          <tpl fld="7" item="1121"/>
          <tpl fld="6" item="1"/>
          <tpl hier="236" item="0"/>
          <tpl fld="1" item="0"/>
        </tpls>
      </n>
      <m>
        <tpls c="4">
          <tpl fld="7" item="73"/>
          <tpl fld="6" item="1"/>
          <tpl hier="236" item="0"/>
          <tpl fld="1" item="0"/>
        </tpls>
      </m>
      <m>
        <tpls c="4">
          <tpl fld="7" item="116"/>
          <tpl fld="6" item="1"/>
          <tpl hier="236" item="0"/>
          <tpl fld="4" item="6"/>
        </tpls>
      </m>
      <m>
        <tpls c="4">
          <tpl fld="7" item="1071"/>
          <tpl fld="6" item="2"/>
          <tpl hier="236" item="0"/>
          <tpl fld="4" item="4"/>
        </tpls>
      </m>
      <m>
        <tpls c="4">
          <tpl fld="7" item="470"/>
          <tpl fld="6" item="2"/>
          <tpl hier="236" item="0"/>
          <tpl fld="4" item="4"/>
        </tpls>
      </m>
      <m>
        <tpls c="4">
          <tpl fld="7" item="1172"/>
          <tpl fld="6" item="1"/>
          <tpl hier="236" item="0"/>
          <tpl fld="4" item="1"/>
        </tpls>
      </m>
      <m>
        <tpls c="3">
          <tpl fld="7" item="667"/>
          <tpl fld="6" item="3"/>
          <tpl hier="236" item="0"/>
        </tpls>
      </m>
      <m>
        <tpls c="4">
          <tpl fld="7" item="733"/>
          <tpl fld="6" item="1"/>
          <tpl hier="236" item="0"/>
          <tpl fld="4" item="6"/>
        </tpls>
      </m>
      <n v="3.95" in="2">
        <tpls c="4">
          <tpl fld="7" item="446"/>
          <tpl fld="6" item="2"/>
          <tpl hier="236" item="0"/>
          <tpl fld="4" item="5"/>
        </tpls>
      </n>
      <m>
        <tpls c="4">
          <tpl fld="7" item="140"/>
          <tpl fld="6" item="2"/>
          <tpl hier="236" item="0"/>
          <tpl fld="4" item="6"/>
        </tpls>
      </m>
      <n v="5" in="1">
        <tpls c="4">
          <tpl fld="7" item="383"/>
          <tpl fld="6" item="1"/>
          <tpl hier="236" item="0"/>
          <tpl fld="4" item="1"/>
        </tpls>
      </n>
      <m>
        <tpls c="4">
          <tpl fld="7" item="521"/>
          <tpl fld="6" item="1"/>
          <tpl hier="236" item="0"/>
          <tpl fld="1" item="0"/>
        </tpls>
      </m>
      <n v="0" in="1">
        <tpls c="4">
          <tpl fld="7" item="255"/>
          <tpl fld="6" item="1"/>
          <tpl hier="236" item="0"/>
          <tpl fld="1" item="0"/>
        </tpls>
      </n>
      <m>
        <tpls c="3">
          <tpl fld="7" item="627"/>
          <tpl fld="6" item="3"/>
          <tpl hier="236" item="0"/>
        </tpls>
      </m>
      <m>
        <tpls c="4">
          <tpl fld="7" item="958"/>
          <tpl fld="6" item="2"/>
          <tpl hier="236" item="0"/>
          <tpl fld="4" item="4"/>
        </tpls>
      </m>
      <m>
        <tpls c="4">
          <tpl fld="7" item="325"/>
          <tpl fld="6" item="2"/>
          <tpl hier="236" item="0"/>
          <tpl fld="4" item="4"/>
        </tpls>
      </m>
      <m>
        <tpls c="4">
          <tpl fld="7" item="208"/>
          <tpl fld="6" item="1"/>
          <tpl hier="236" item="0"/>
          <tpl fld="1" item="0"/>
        </tpls>
      </m>
      <n v="1" in="2">
        <tpls c="4">
          <tpl fld="7" item="667"/>
          <tpl fld="6" item="2"/>
          <tpl hier="236" item="0"/>
          <tpl fld="4" item="4"/>
        </tpls>
      </n>
      <m>
        <tpls c="4">
          <tpl fld="7" item="240"/>
          <tpl fld="6" item="2"/>
          <tpl hier="236" item="0"/>
          <tpl fld="1" item="0"/>
        </tpls>
      </m>
      <m>
        <tpls c="4">
          <tpl fld="7" item="1265"/>
          <tpl fld="6" item="2"/>
          <tpl hier="236" item="0"/>
          <tpl fld="4" item="6"/>
        </tpls>
      </m>
      <m>
        <tpls c="4">
          <tpl fld="7" item="840"/>
          <tpl fld="6" item="1"/>
          <tpl hier="236" item="0"/>
          <tpl fld="4" item="5"/>
        </tpls>
      </m>
      <n v="5" in="1">
        <tpls c="4">
          <tpl fld="7" item="1124"/>
          <tpl fld="6" item="1"/>
          <tpl hier="236" item="0"/>
          <tpl fld="4" item="1"/>
        </tpls>
      </n>
      <m>
        <tpls c="4">
          <tpl fld="7" item="234"/>
          <tpl fld="6" item="1"/>
          <tpl hier="236" item="0"/>
          <tpl fld="4" item="1"/>
        </tpls>
      </m>
      <n v="12" in="1">
        <tpls c="4">
          <tpl fld="7" item="434"/>
          <tpl fld="6" item="1"/>
          <tpl hier="236" item="0"/>
          <tpl fld="1" item="0"/>
        </tpls>
      </n>
      <m>
        <tpls c="4">
          <tpl fld="7" item="286"/>
          <tpl fld="6" item="1"/>
          <tpl hier="236" item="0"/>
          <tpl fld="1" item="0"/>
        </tpls>
      </m>
      <m>
        <tpls c="4">
          <tpl fld="7" item="240"/>
          <tpl fld="6" item="1"/>
          <tpl hier="236" item="0"/>
          <tpl fld="4" item="6"/>
        </tpls>
      </m>
      <m>
        <tpls c="3">
          <tpl fld="7" item="24"/>
          <tpl fld="6" item="3"/>
          <tpl hier="236" item="0"/>
        </tpls>
      </m>
      <m>
        <tpls c="4">
          <tpl fld="7" item="1256"/>
          <tpl fld="6" item="2"/>
          <tpl hier="236" item="0"/>
          <tpl fld="4" item="4"/>
        </tpls>
      </m>
      <m>
        <tpls c="4">
          <tpl fld="7" item="168"/>
          <tpl fld="6" item="2"/>
          <tpl hier="236" item="0"/>
          <tpl fld="4" item="4"/>
        </tpls>
      </m>
      <m>
        <tpls c="4">
          <tpl fld="7" item="1240"/>
          <tpl fld="6" item="2"/>
          <tpl hier="236" item="0"/>
          <tpl fld="4" item="1"/>
        </tpls>
      </m>
      <m>
        <tpls c="4">
          <tpl fld="7" item="1269"/>
          <tpl fld="6" item="2"/>
          <tpl hier="236" item="0"/>
          <tpl fld="4" item="5"/>
        </tpls>
      </m>
      <m>
        <tpls c="4">
          <tpl fld="7" item="901"/>
          <tpl fld="6" item="2"/>
          <tpl hier="236" item="0"/>
          <tpl fld="4" item="6"/>
        </tpls>
      </m>
      <m>
        <tpls c="4">
          <tpl fld="7" item="125"/>
          <tpl fld="6" item="1"/>
          <tpl hier="236" item="0"/>
          <tpl fld="4" item="1"/>
        </tpls>
      </m>
      <m>
        <tpls c="4">
          <tpl fld="7" item="327"/>
          <tpl fld="6" item="1"/>
          <tpl hier="236" item="0"/>
          <tpl fld="4" item="6"/>
        </tpls>
      </m>
      <m>
        <tpls c="4">
          <tpl fld="7" item="399"/>
          <tpl fld="6" item="2"/>
          <tpl hier="236" item="0"/>
          <tpl fld="4" item="4"/>
        </tpls>
      </m>
      <m>
        <tpls c="4">
          <tpl fld="7" item="778"/>
          <tpl fld="6" item="2"/>
          <tpl hier="236" item="0"/>
          <tpl fld="4" item="1"/>
        </tpls>
      </m>
      <m>
        <tpls c="4">
          <tpl fld="7" item="636"/>
          <tpl fld="6" item="2"/>
          <tpl hier="236" item="0"/>
          <tpl fld="4" item="6"/>
        </tpls>
      </m>
      <m>
        <tpls c="3">
          <tpl fld="7" item="894"/>
          <tpl fld="6" item="3"/>
          <tpl hier="236" item="0"/>
        </tpls>
      </m>
      <m>
        <tpls c="4">
          <tpl fld="7" item="28"/>
          <tpl fld="6" item="2"/>
          <tpl hier="236" item="0"/>
          <tpl fld="1" item="0"/>
        </tpls>
      </m>
      <m>
        <tpls c="4">
          <tpl fld="7" item="586"/>
          <tpl fld="6" item="1"/>
          <tpl hier="236" item="0"/>
          <tpl fld="4" item="5"/>
        </tpls>
      </m>
      <m>
        <tpls c="4">
          <tpl fld="7" item="657"/>
          <tpl fld="6" item="2"/>
          <tpl hier="236" item="0"/>
          <tpl fld="4" item="4"/>
        </tpls>
      </m>
      <m>
        <tpls c="4">
          <tpl fld="7" item="1104"/>
          <tpl fld="6" item="1"/>
          <tpl hier="236" item="0"/>
          <tpl fld="4" item="6"/>
        </tpls>
      </m>
      <n v="4" in="1">
        <tpls c="4">
          <tpl fld="7" item="859"/>
          <tpl fld="6" item="1"/>
          <tpl hier="236" item="0"/>
          <tpl fld="4" item="4"/>
        </tpls>
      </n>
      <n v="7" in="1">
        <tpls c="4">
          <tpl fld="7" item="958"/>
          <tpl fld="6" item="1"/>
          <tpl hier="236" item="0"/>
          <tpl fld="4" item="4"/>
        </tpls>
      </n>
      <m>
        <tpls c="4">
          <tpl fld="7" item="100"/>
          <tpl fld="6" item="2"/>
          <tpl hier="236" item="0"/>
          <tpl fld="1" item="0"/>
        </tpls>
      </m>
      <m>
        <tpls c="4">
          <tpl fld="7" item="631"/>
          <tpl fld="6" item="2"/>
          <tpl hier="236" item="0"/>
          <tpl fld="1" item="0"/>
        </tpls>
      </m>
      <m>
        <tpls c="4">
          <tpl fld="7" item="647"/>
          <tpl fld="6" item="1"/>
          <tpl hier="236" item="0"/>
          <tpl fld="4" item="5"/>
        </tpls>
      </m>
      <m>
        <tpls c="4">
          <tpl fld="7" item="1215"/>
          <tpl fld="6" item="1"/>
          <tpl hier="236" item="0"/>
          <tpl fld="4" item="4"/>
        </tpls>
      </m>
      <m>
        <tpls c="4">
          <tpl fld="7" item="837"/>
          <tpl fld="6" item="2"/>
          <tpl hier="236" item="0"/>
          <tpl fld="4" item="1"/>
        </tpls>
      </m>
      <m>
        <tpls c="4">
          <tpl fld="7" item="1126"/>
          <tpl fld="6" item="1"/>
          <tpl hier="236" item="0"/>
          <tpl fld="4" item="6"/>
        </tpls>
      </m>
      <m>
        <tpls c="4">
          <tpl fld="7" item="967"/>
          <tpl fld="6" item="2"/>
          <tpl hier="236" item="0"/>
          <tpl fld="4" item="1"/>
        </tpls>
      </m>
      <m>
        <tpls c="4">
          <tpl fld="7" item="188"/>
          <tpl fld="6" item="2"/>
          <tpl hier="236" item="0"/>
          <tpl fld="1" item="0"/>
        </tpls>
      </m>
      <m>
        <tpls c="4">
          <tpl fld="7" item="94"/>
          <tpl fld="6" item="2"/>
          <tpl hier="236" item="0"/>
          <tpl fld="4" item="5"/>
        </tpls>
      </m>
      <n v="0.5" in="2">
        <tpls c="4">
          <tpl fld="7" item="825"/>
          <tpl fld="6" item="2"/>
          <tpl hier="236" item="0"/>
          <tpl fld="4" item="4"/>
        </tpls>
      </n>
      <m>
        <tpls c="4">
          <tpl fld="7" item="162"/>
          <tpl fld="6" item="2"/>
          <tpl hier="236" item="0"/>
          <tpl fld="1" item="0"/>
        </tpls>
      </m>
      <m>
        <tpls c="4">
          <tpl fld="7" item="55"/>
          <tpl fld="6" item="2"/>
          <tpl hier="236" item="0"/>
          <tpl fld="4" item="5"/>
        </tpls>
      </m>
      <m>
        <tpls c="4">
          <tpl fld="7" item="435"/>
          <tpl fld="6" item="2"/>
          <tpl hier="236" item="0"/>
          <tpl fld="4" item="6"/>
        </tpls>
      </m>
      <m>
        <tpls c="4">
          <tpl fld="7" item="1004"/>
          <tpl fld="6" item="1"/>
          <tpl hier="236" item="0"/>
          <tpl fld="4" item="5"/>
        </tpls>
      </m>
      <n v="3" in="1">
        <tpls c="4">
          <tpl fld="7" item="1075"/>
          <tpl fld="6" item="1"/>
          <tpl hier="236" item="0"/>
          <tpl fld="4" item="1"/>
        </tpls>
      </n>
      <m>
        <tpls c="4">
          <tpl fld="7" item="496"/>
          <tpl fld="6" item="1"/>
          <tpl hier="236" item="0"/>
          <tpl fld="4" item="1"/>
        </tpls>
      </m>
      <n v="23" in="1">
        <tpls c="4">
          <tpl fld="7" item="850"/>
          <tpl fld="6" item="1"/>
          <tpl hier="236" item="0"/>
          <tpl fld="1" item="0"/>
        </tpls>
      </n>
      <m>
        <tpls c="4">
          <tpl fld="7" item="664"/>
          <tpl fld="6" item="2"/>
          <tpl hier="236" item="0"/>
          <tpl fld="4" item="4"/>
        </tpls>
      </m>
      <m>
        <tpls c="4">
          <tpl fld="7" item="152"/>
          <tpl fld="6" item="2"/>
          <tpl hier="236" item="0"/>
          <tpl fld="1" item="0"/>
        </tpls>
      </m>
      <m>
        <tpls c="4">
          <tpl fld="7" item="897"/>
          <tpl fld="6" item="2"/>
          <tpl hier="236" item="0"/>
          <tpl fld="4" item="5"/>
        </tpls>
      </m>
      <m>
        <tpls c="4">
          <tpl fld="7" item="195"/>
          <tpl fld="6" item="2"/>
          <tpl hier="236" item="0"/>
          <tpl fld="4" item="5"/>
        </tpls>
      </m>
      <m>
        <tpls c="4">
          <tpl fld="7" item="168"/>
          <tpl fld="6" item="2"/>
          <tpl hier="236" item="0"/>
          <tpl fld="4" item="5"/>
        </tpls>
      </m>
      <m>
        <tpls c="4">
          <tpl fld="7" item="125"/>
          <tpl fld="6" item="2"/>
          <tpl hier="236" item="0"/>
          <tpl fld="4" item="5"/>
        </tpls>
      </m>
      <m>
        <tpls c="4">
          <tpl fld="7" item="1277"/>
          <tpl fld="6" item="2"/>
          <tpl hier="236" item="0"/>
          <tpl fld="4" item="6"/>
        </tpls>
      </m>
      <m>
        <tpls c="4">
          <tpl fld="7" item="354"/>
          <tpl fld="6" item="2"/>
          <tpl hier="236" item="0"/>
          <tpl fld="4" item="6"/>
        </tpls>
      </m>
      <m>
        <tpls c="4">
          <tpl fld="7" item="283"/>
          <tpl fld="6" item="2"/>
          <tpl hier="236" item="0"/>
          <tpl fld="4" item="6"/>
        </tpls>
      </m>
      <n v="1" in="1">
        <tpls c="4">
          <tpl fld="7" item="1223"/>
          <tpl fld="6" item="1"/>
          <tpl hier="236" item="0"/>
          <tpl fld="4" item="5"/>
        </tpls>
      </n>
      <n v="5" in="1">
        <tpls c="4">
          <tpl fld="7" item="525"/>
          <tpl fld="6" item="1"/>
          <tpl hier="236" item="0"/>
          <tpl fld="4" item="5"/>
        </tpls>
      </n>
      <m>
        <tpls c="4">
          <tpl fld="7" item="97"/>
          <tpl fld="6" item="1"/>
          <tpl hier="236" item="0"/>
          <tpl fld="4" item="5"/>
        </tpls>
      </m>
      <m>
        <tpls c="4">
          <tpl fld="7" item="474"/>
          <tpl fld="6" item="1"/>
          <tpl hier="236" item="0"/>
          <tpl fld="4" item="5"/>
        </tpls>
      </m>
      <m>
        <tpls c="4">
          <tpl fld="7" item="961"/>
          <tpl fld="6" item="1"/>
          <tpl hier="236" item="0"/>
          <tpl fld="4" item="1"/>
        </tpls>
      </m>
      <n v="4" in="1">
        <tpls c="4">
          <tpl fld="7" item="1032"/>
          <tpl fld="6" item="1"/>
          <tpl hier="236" item="0"/>
          <tpl fld="4" item="1"/>
        </tpls>
      </n>
      <m>
        <tpls c="4">
          <tpl fld="7" item="1113"/>
          <tpl fld="6" item="1"/>
          <tpl hier="236" item="0"/>
          <tpl fld="4" item="1"/>
        </tpls>
      </m>
      <n v="17" in="1">
        <tpls c="4">
          <tpl fld="7" item="982"/>
          <tpl fld="6" item="1"/>
          <tpl hier="236" item="0"/>
          <tpl fld="4" item="1"/>
        </tpls>
      </n>
      <m>
        <tpls c="4">
          <tpl fld="7" item="320"/>
          <tpl fld="6" item="1"/>
          <tpl hier="236" item="0"/>
          <tpl fld="4" item="1"/>
        </tpls>
      </m>
      <m>
        <tpls c="4">
          <tpl fld="7" item="162"/>
          <tpl fld="6" item="1"/>
          <tpl hier="236" item="0"/>
          <tpl fld="4" item="1"/>
        </tpls>
      </m>
      <m>
        <tpls c="4">
          <tpl fld="7" item="250"/>
          <tpl fld="6" item="1"/>
          <tpl hier="236" item="0"/>
          <tpl fld="4" item="1"/>
        </tpls>
      </m>
      <n v="10" in="1">
        <tpls c="4">
          <tpl fld="7" item="787"/>
          <tpl fld="6" item="1"/>
          <tpl hier="236" item="0"/>
          <tpl fld="4" item="6"/>
        </tpls>
      </n>
      <m>
        <tpls c="4">
          <tpl fld="7" item="807"/>
          <tpl fld="6" item="2"/>
          <tpl hier="236" item="0"/>
          <tpl fld="4" item="4"/>
        </tpls>
      </m>
      <m>
        <tpls c="4">
          <tpl fld="7" item="657"/>
          <tpl fld="6" item="2"/>
          <tpl hier="236" item="0"/>
          <tpl fld="1" item="0"/>
        </tpls>
      </m>
      <m>
        <tpls c="4">
          <tpl fld="7" item="1242"/>
          <tpl fld="6" item="2"/>
          <tpl hier="236" item="0"/>
          <tpl fld="4" item="4"/>
        </tpls>
      </m>
      <m>
        <tpls c="4">
          <tpl fld="7" item="917"/>
          <tpl fld="6" item="2"/>
          <tpl hier="236" item="0"/>
          <tpl fld="4" item="1"/>
        </tpls>
      </m>
      <n v="5" in="1">
        <tpls c="4">
          <tpl fld="7" item="1268"/>
          <tpl fld="6" item="1"/>
          <tpl hier="236" item="0"/>
          <tpl fld="4" item="4"/>
        </tpls>
      </n>
      <m>
        <tpls c="4">
          <tpl fld="7" item="94"/>
          <tpl fld="6" item="2"/>
          <tpl hier="236" item="0"/>
          <tpl fld="1" item="0"/>
        </tpls>
      </m>
      <m>
        <tpls c="4">
          <tpl fld="7" item="401"/>
          <tpl fld="6" item="2"/>
          <tpl hier="236" item="0"/>
          <tpl fld="1" item="0"/>
        </tpls>
      </m>
      <m>
        <tpls c="4">
          <tpl fld="7" item="1192"/>
          <tpl fld="6" item="2"/>
          <tpl hier="236" item="0"/>
          <tpl fld="4" item="5"/>
        </tpls>
      </m>
      <m>
        <tpls c="4">
          <tpl fld="7" item="677"/>
          <tpl fld="6" item="2"/>
          <tpl hier="236" item="0"/>
          <tpl fld="4" item="5"/>
        </tpls>
      </m>
      <m>
        <tpls c="4">
          <tpl fld="7" item="188"/>
          <tpl fld="6" item="2"/>
          <tpl hier="236" item="0"/>
          <tpl fld="4" item="5"/>
        </tpls>
      </m>
      <m>
        <tpls c="4">
          <tpl fld="7" item="337"/>
          <tpl fld="6" item="2"/>
          <tpl hier="236" item="0"/>
          <tpl fld="4" item="5"/>
        </tpls>
      </m>
      <m>
        <tpls c="4">
          <tpl fld="7" item="119"/>
          <tpl fld="6" item="2"/>
          <tpl hier="236" item="0"/>
          <tpl fld="4" item="5"/>
        </tpls>
      </m>
      <m>
        <tpls c="4">
          <tpl fld="7" item="857"/>
          <tpl fld="6" item="2"/>
          <tpl hier="236" item="0"/>
          <tpl fld="4" item="6"/>
        </tpls>
      </m>
      <m>
        <tpls c="4">
          <tpl fld="7" item="523"/>
          <tpl fld="6" item="2"/>
          <tpl hier="236" item="0"/>
          <tpl fld="4" item="6"/>
        </tpls>
      </m>
      <m>
        <tpls c="4">
          <tpl fld="7" item="106"/>
          <tpl fld="6" item="2"/>
          <tpl hier="236" item="0"/>
          <tpl fld="4" item="6"/>
        </tpls>
      </m>
      <m>
        <tpls c="4">
          <tpl fld="7" item="343"/>
          <tpl fld="6" item="2"/>
          <tpl hier="236" item="0"/>
          <tpl fld="4" item="6"/>
        </tpls>
      </m>
      <m>
        <tpls c="4">
          <tpl fld="7" item="331"/>
          <tpl fld="6" item="2"/>
          <tpl hier="236" item="0"/>
          <tpl fld="4" item="6"/>
        </tpls>
      </m>
      <m>
        <tpls c="4">
          <tpl fld="7" item="1017"/>
          <tpl fld="6" item="1"/>
          <tpl hier="236" item="0"/>
          <tpl fld="4" item="5"/>
        </tpls>
      </m>
      <m>
        <tpls c="4">
          <tpl fld="7" item="1085"/>
          <tpl fld="6" item="1"/>
          <tpl hier="236" item="0"/>
          <tpl fld="4" item="5"/>
        </tpls>
      </m>
      <m>
        <tpls c="4">
          <tpl fld="7" item="320"/>
          <tpl fld="6" item="1"/>
          <tpl hier="236" item="0"/>
          <tpl fld="4" item="5"/>
        </tpls>
      </m>
      <m>
        <tpls c="4">
          <tpl fld="7" item="754"/>
          <tpl fld="6" item="1"/>
          <tpl hier="236" item="0"/>
          <tpl fld="4" item="5"/>
        </tpls>
      </m>
      <m>
        <tpls c="4">
          <tpl fld="7" item="240"/>
          <tpl fld="6" item="1"/>
          <tpl hier="236" item="0"/>
          <tpl fld="4" item="5"/>
        </tpls>
      </m>
      <m>
        <tpls c="4">
          <tpl fld="7" item="1231"/>
          <tpl fld="6" item="1"/>
          <tpl hier="236" item="0"/>
          <tpl fld="4" item="1"/>
        </tpls>
      </m>
      <m>
        <tpls c="4">
          <tpl fld="7" item="1262"/>
          <tpl fld="6" item="1"/>
          <tpl hier="236" item="0"/>
          <tpl fld="4" item="1"/>
        </tpls>
      </m>
      <m>
        <tpls c="4">
          <tpl fld="7" item="842"/>
          <tpl fld="6" item="1"/>
          <tpl hier="236" item="0"/>
          <tpl fld="4" item="1"/>
        </tpls>
      </m>
      <n v="4" in="1">
        <tpls c="4">
          <tpl fld="7" item="443"/>
          <tpl fld="6" item="1"/>
          <tpl hier="236" item="0"/>
          <tpl fld="4" item="1"/>
        </tpls>
      </n>
      <m>
        <tpls c="4">
          <tpl fld="7" item="307"/>
          <tpl fld="6" item="1"/>
          <tpl hier="236" item="0"/>
          <tpl fld="4" item="1"/>
        </tpls>
      </m>
      <m>
        <tpls c="4">
          <tpl fld="7" item="274"/>
          <tpl fld="6" item="1"/>
          <tpl hier="236" item="0"/>
          <tpl fld="4" item="1"/>
        </tpls>
      </m>
      <m>
        <tpls c="4">
          <tpl fld="7" item="403"/>
          <tpl fld="6" item="1"/>
          <tpl hier="236" item="0"/>
          <tpl fld="4" item="1"/>
        </tpls>
      </m>
      <n v="1" in="1">
        <tpls c="4">
          <tpl fld="7" item="1027"/>
          <tpl fld="6" item="1"/>
          <tpl hier="236" item="0"/>
          <tpl fld="1" item="0"/>
        </tpls>
      </n>
      <n v="3" in="1">
        <tpls c="4">
          <tpl fld="7" item="1003"/>
          <tpl fld="6" item="1"/>
          <tpl hier="236" item="0"/>
          <tpl fld="1" item="0"/>
        </tpls>
      </n>
      <m>
        <tpls c="4">
          <tpl fld="7" item="597"/>
          <tpl fld="6" item="1"/>
          <tpl hier="236" item="0"/>
          <tpl fld="1" item="0"/>
        </tpls>
      </m>
      <m>
        <tpls c="4">
          <tpl fld="7" item="487"/>
          <tpl fld="6" item="1"/>
          <tpl hier="236" item="0"/>
          <tpl fld="1" item="0"/>
        </tpls>
      </m>
      <m>
        <tpls c="4">
          <tpl fld="7" item="474"/>
          <tpl fld="6" item="1"/>
          <tpl hier="236" item="0"/>
          <tpl fld="1" item="0"/>
        </tpls>
      </m>
      <n v="5" in="1">
        <tpls c="4">
          <tpl fld="7" item="707"/>
          <tpl fld="6" item="1"/>
          <tpl hier="236" item="0"/>
          <tpl fld="4" item="6"/>
        </tpls>
      </n>
      <m>
        <tpls c="4">
          <tpl fld="7" item="734"/>
          <tpl fld="6" item="2"/>
          <tpl hier="236" item="0"/>
          <tpl fld="4" item="6"/>
        </tpls>
      </m>
      <n v="3.95" in="2">
        <tpls c="4">
          <tpl fld="7" item="681"/>
          <tpl fld="6" item="2"/>
          <tpl hier="236" item="0"/>
          <tpl fld="1" item="0"/>
        </tpls>
      </n>
      <m>
        <tpls c="4">
          <tpl fld="7" item="315"/>
          <tpl fld="6" item="2"/>
          <tpl hier="236" item="0"/>
          <tpl fld="4" item="5"/>
        </tpls>
      </m>
      <m>
        <tpls c="4">
          <tpl fld="7" item="1001"/>
          <tpl fld="6" item="2"/>
          <tpl hier="236" item="0"/>
          <tpl fld="4" item="6"/>
        </tpls>
      </m>
      <m>
        <tpls c="4">
          <tpl fld="7" item="862"/>
          <tpl fld="6" item="1"/>
          <tpl hier="236" item="0"/>
          <tpl fld="4" item="5"/>
        </tpls>
      </m>
      <m>
        <tpls c="4">
          <tpl fld="7" item="30"/>
          <tpl fld="6" item="1"/>
          <tpl hier="236" item="0"/>
          <tpl fld="4" item="5"/>
        </tpls>
      </m>
      <m>
        <tpls c="4">
          <tpl fld="7" item="380"/>
          <tpl fld="6" item="1"/>
          <tpl hier="236" item="0"/>
          <tpl fld="4" item="1"/>
        </tpls>
      </m>
      <m>
        <tpls c="4">
          <tpl fld="7" item="235"/>
          <tpl fld="6" item="1"/>
          <tpl hier="236" item="0"/>
          <tpl fld="4" item="1"/>
        </tpls>
      </m>
      <n v="15" in="1">
        <tpls c="4">
          <tpl fld="7" item="520"/>
          <tpl fld="6" item="1"/>
          <tpl hier="236" item="0"/>
          <tpl fld="1" item="0"/>
        </tpls>
      </n>
      <m>
        <tpls c="4">
          <tpl fld="7" item="92"/>
          <tpl fld="6" item="1"/>
          <tpl hier="236" item="0"/>
          <tpl fld="1" item="0"/>
        </tpls>
      </m>
      <m>
        <tpls c="4">
          <tpl fld="7" item="251"/>
          <tpl fld="6" item="1"/>
          <tpl hier="236" item="0"/>
          <tpl fld="1" item="0"/>
        </tpls>
      </m>
      <m>
        <tpls c="4">
          <tpl fld="7" item="241"/>
          <tpl fld="6" item="1"/>
          <tpl hier="236" item="0"/>
          <tpl fld="4" item="6"/>
        </tpls>
      </m>
      <m>
        <tpls c="3">
          <tpl fld="7" item="568"/>
          <tpl fld="6" item="3"/>
          <tpl hier="236" item="0"/>
        </tpls>
      </m>
      <m>
        <tpls c="3">
          <tpl fld="7" item="223"/>
          <tpl fld="6" item="3"/>
          <tpl hier="236" item="0"/>
        </tpls>
      </m>
      <m>
        <tpls c="4">
          <tpl fld="7" item="1053"/>
          <tpl fld="6" item="2"/>
          <tpl hier="236" item="0"/>
          <tpl fld="4" item="4"/>
        </tpls>
      </m>
      <m>
        <tpls c="4">
          <tpl fld="7" item="629"/>
          <tpl fld="6" item="2"/>
          <tpl hier="236" item="0"/>
          <tpl fld="4" item="4"/>
        </tpls>
      </m>
      <m>
        <tpls c="4">
          <tpl fld="7" item="112"/>
          <tpl fld="6" item="2"/>
          <tpl hier="236" item="0"/>
          <tpl fld="4" item="4"/>
        </tpls>
      </m>
      <m>
        <tpls c="4">
          <tpl fld="7" item="487"/>
          <tpl fld="6" item="1"/>
          <tpl hier="236" item="0"/>
          <tpl fld="4" item="5"/>
        </tpls>
      </m>
      <n v="2" in="1">
        <tpls c="4">
          <tpl fld="7" item="1244"/>
          <tpl fld="6" item="1"/>
          <tpl hier="236" item="0"/>
          <tpl fld="1" item="0"/>
        </tpls>
      </n>
      <m>
        <tpls c="4">
          <tpl fld="7" item="11"/>
          <tpl fld="6" item="1"/>
          <tpl hier="236" item="0"/>
          <tpl fld="1" item="0"/>
        </tpls>
      </m>
      <m>
        <tpls c="4">
          <tpl fld="7" item="1171"/>
          <tpl fld="6" item="2"/>
          <tpl hier="236" item="0"/>
          <tpl fld="4" item="4"/>
        </tpls>
      </m>
      <n v="2" in="1">
        <tpls c="4">
          <tpl fld="7" item="784"/>
          <tpl fld="6" item="1"/>
          <tpl hier="236" item="0"/>
          <tpl fld="4" item="6"/>
        </tpls>
      </n>
      <m>
        <tpls c="3">
          <tpl fld="7" item="857"/>
          <tpl fld="6" item="3"/>
          <tpl hier="236" item="0"/>
        </tpls>
      </m>
      <m>
        <tpls c="4">
          <tpl fld="7" item="1113"/>
          <tpl fld="6" item="2"/>
          <tpl hier="236" item="0"/>
          <tpl fld="4" item="5"/>
        </tpls>
      </m>
      <m>
        <tpls c="4">
          <tpl fld="7" item="8"/>
          <tpl fld="6" item="2"/>
          <tpl hier="236" item="0"/>
          <tpl fld="4" item="5"/>
        </tpls>
      </m>
      <m>
        <tpls c="4">
          <tpl fld="7" item="184"/>
          <tpl fld="6" item="2"/>
          <tpl hier="236" item="0"/>
          <tpl fld="4" item="6"/>
        </tpls>
      </m>
      <m>
        <tpls c="4">
          <tpl fld="7" item="422"/>
          <tpl fld="6" item="1"/>
          <tpl hier="236" item="0"/>
          <tpl fld="4" item="5"/>
        </tpls>
      </m>
      <n v="8" in="1">
        <tpls c="4">
          <tpl fld="7" item="928"/>
          <tpl fld="6" item="1"/>
          <tpl hier="236" item="0"/>
          <tpl fld="4" item="1"/>
        </tpls>
      </n>
      <m>
        <tpls c="4">
          <tpl fld="7" item="160"/>
          <tpl fld="6" item="1"/>
          <tpl hier="236" item="0"/>
          <tpl fld="4" item="1"/>
        </tpls>
      </m>
      <n v="50" in="1">
        <tpls c="4">
          <tpl fld="7" item="1116"/>
          <tpl fld="6" item="1"/>
          <tpl hier="236" item="0"/>
          <tpl fld="1" item="0"/>
        </tpls>
      </n>
      <m>
        <tpls c="4">
          <tpl fld="7" item="497"/>
          <tpl fld="6" item="1"/>
          <tpl hier="236" item="0"/>
          <tpl fld="1" item="0"/>
        </tpls>
      </m>
      <m>
        <tpls c="4">
          <tpl fld="7" item="285"/>
          <tpl fld="6" item="1"/>
          <tpl hier="236" item="0"/>
          <tpl fld="1" item="0"/>
        </tpls>
      </m>
      <m>
        <tpls c="4">
          <tpl fld="7" item="118"/>
          <tpl fld="6" item="1"/>
          <tpl hier="236" item="0"/>
          <tpl fld="1" item="0"/>
        </tpls>
      </m>
      <m>
        <tpls c="4">
          <tpl fld="7" item="218"/>
          <tpl fld="6" item="1"/>
          <tpl hier="236" item="0"/>
          <tpl fld="4" item="6"/>
        </tpls>
      </m>
      <m>
        <tpls c="3">
          <tpl fld="7" item="26"/>
          <tpl fld="6" item="3"/>
          <tpl hier="236" item="0"/>
        </tpls>
      </m>
      <m>
        <tpls c="4">
          <tpl fld="7" item="964"/>
          <tpl fld="6" item="2"/>
          <tpl hier="236" item="0"/>
          <tpl fld="4" item="4"/>
        </tpls>
      </m>
      <m>
        <tpls c="4">
          <tpl fld="7" item="932"/>
          <tpl fld="6" item="2"/>
          <tpl hier="236" item="0"/>
          <tpl fld="4" item="4"/>
        </tpls>
      </m>
      <m>
        <tpls c="4">
          <tpl fld="7" item="133"/>
          <tpl fld="6" item="2"/>
          <tpl hier="236" item="0"/>
          <tpl fld="4" item="4"/>
        </tpls>
      </m>
      <n v="1" in="1">
        <tpls c="4">
          <tpl fld="7" item="431"/>
          <tpl fld="6" item="1"/>
          <tpl hier="236" item="0"/>
          <tpl fld="4" item="5"/>
        </tpls>
      </n>
      <m>
        <tpls c="4">
          <tpl fld="7" item="1017"/>
          <tpl fld="6" item="1"/>
          <tpl hier="236" item="0"/>
          <tpl fld="1" item="0"/>
        </tpls>
      </m>
      <m>
        <tpls c="4">
          <tpl fld="7" item="120"/>
          <tpl fld="6" item="1"/>
          <tpl hier="236" item="0"/>
          <tpl fld="1" item="0"/>
        </tpls>
      </m>
      <m>
        <tpls c="4">
          <tpl fld="7" item="1172"/>
          <tpl fld="6" item="2"/>
          <tpl hier="236" item="0"/>
          <tpl fld="4" item="4"/>
        </tpls>
      </m>
      <n v="1" in="2">
        <tpls c="4">
          <tpl fld="7" item="785"/>
          <tpl fld="6" item="2"/>
          <tpl hier="236" item="0"/>
          <tpl fld="4" item="1"/>
        </tpls>
      </n>
      <m>
        <tpls c="4">
          <tpl fld="7" item="916"/>
          <tpl fld="6" item="1"/>
          <tpl hier="236" item="0"/>
          <tpl fld="4" item="6"/>
        </tpls>
      </m>
      <m>
        <tpls c="4">
          <tpl fld="7" item="844"/>
          <tpl fld="6" item="2"/>
          <tpl hier="236" item="0"/>
          <tpl fld="4" item="5"/>
        </tpls>
      </m>
      <m>
        <tpls c="4">
          <tpl fld="7" item="231"/>
          <tpl fld="6" item="2"/>
          <tpl hier="236" item="0"/>
          <tpl fld="4" item="5"/>
        </tpls>
      </m>
      <m>
        <tpls c="4">
          <tpl fld="7" item="981"/>
          <tpl fld="6" item="2"/>
          <tpl hier="236" item="0"/>
          <tpl fld="4" item="6"/>
        </tpls>
      </m>
      <m>
        <tpls c="4">
          <tpl fld="7" item="15"/>
          <tpl fld="6" item="2"/>
          <tpl hier="236" item="0"/>
          <tpl fld="4" item="6"/>
        </tpls>
      </m>
      <m>
        <tpls c="4">
          <tpl fld="7" item="351"/>
          <tpl fld="6" item="1"/>
          <tpl hier="236" item="0"/>
          <tpl fld="4" item="5"/>
        </tpls>
      </m>
      <n v="0" in="1">
        <tpls c="4">
          <tpl fld="7" item="1173"/>
          <tpl fld="6" item="1"/>
          <tpl hier="236" item="0"/>
          <tpl fld="4" item="1"/>
        </tpls>
      </n>
      <n v="1" in="1">
        <tpls c="4">
          <tpl fld="7" item="1103"/>
          <tpl fld="6" item="1"/>
          <tpl hier="236" item="0"/>
          <tpl fld="4" item="1"/>
        </tpls>
      </n>
      <m>
        <tpls c="4">
          <tpl fld="7" item="156"/>
          <tpl fld="6" item="1"/>
          <tpl hier="236" item="0"/>
          <tpl fld="4" item="1"/>
        </tpls>
      </m>
      <n v="4" in="1">
        <tpls c="4">
          <tpl fld="7" item="1028"/>
          <tpl fld="6" item="1"/>
          <tpl hier="236" item="0"/>
          <tpl fld="1" item="0"/>
        </tpls>
      </n>
      <n v="12" in="1">
        <tpls c="4">
          <tpl fld="7" item="525"/>
          <tpl fld="6" item="1"/>
          <tpl hier="236" item="0"/>
          <tpl fld="1" item="0"/>
        </tpls>
      </n>
      <m>
        <tpls c="4">
          <tpl fld="7" item="426"/>
          <tpl fld="6" item="1"/>
          <tpl hier="236" item="0"/>
          <tpl fld="1" item="0"/>
        </tpls>
      </m>
      <m>
        <tpls c="4">
          <tpl fld="7" item="298"/>
          <tpl fld="6" item="1"/>
          <tpl hier="236" item="0"/>
          <tpl fld="1" item="0"/>
        </tpls>
      </m>
      <m>
        <tpls c="4">
          <tpl fld="7" item="405"/>
          <tpl fld="6" item="1"/>
          <tpl hier="236" item="0"/>
          <tpl fld="1" item="0"/>
        </tpls>
      </m>
      <m>
        <tpls c="4">
          <tpl fld="7" item="1184"/>
          <tpl fld="6" item="1"/>
          <tpl hier="236" item="0"/>
          <tpl fld="4" item="6"/>
        </tpls>
      </m>
      <m>
        <tpls c="4">
          <tpl fld="7" item="751"/>
          <tpl fld="6" item="1"/>
          <tpl hier="236" item="0"/>
          <tpl fld="4" item="6"/>
        </tpls>
      </m>
      <m>
        <tpls c="3">
          <tpl fld="7" item="744"/>
          <tpl fld="6" item="3"/>
          <tpl hier="236" item="0"/>
        </tpls>
      </m>
      <m>
        <tpls c="3">
          <tpl fld="7" item="242"/>
          <tpl fld="6" item="3"/>
          <tpl hier="236" item="0"/>
        </tpls>
      </m>
      <m>
        <tpls c="4">
          <tpl fld="7" item="1261"/>
          <tpl fld="6" item="2"/>
          <tpl hier="236" item="0"/>
          <tpl fld="4" item="4"/>
        </tpls>
      </m>
      <m>
        <tpls c="4">
          <tpl fld="7" item="1230"/>
          <tpl fld="6" item="2"/>
          <tpl hier="236" item="0"/>
          <tpl fld="4" item="4"/>
        </tpls>
      </m>
      <m>
        <tpls c="4">
          <tpl fld="7" item="1199"/>
          <tpl fld="6" item="2"/>
          <tpl hier="236" item="0"/>
          <tpl fld="4" item="4"/>
        </tpls>
      </m>
      <m>
        <tpls c="4">
          <tpl fld="7" item="166"/>
          <tpl fld="6" item="2"/>
          <tpl hier="236" item="0"/>
          <tpl fld="4" item="4"/>
        </tpls>
      </m>
      <m>
        <tpls c="4">
          <tpl fld="7" item="1"/>
          <tpl fld="6" item="2"/>
          <tpl hier="236" item="0"/>
          <tpl fld="4" item="4"/>
        </tpls>
      </m>
      <m>
        <tpls c="4">
          <tpl fld="7" item="648"/>
          <tpl fld="6" item="2"/>
          <tpl hier="236" item="0"/>
          <tpl fld="1" item="0"/>
        </tpls>
      </m>
      <m>
        <tpls c="4">
          <tpl fld="7" item="1123"/>
          <tpl fld="6" item="2"/>
          <tpl hier="236" item="0"/>
          <tpl fld="4" item="4"/>
        </tpls>
      </m>
      <m>
        <tpls c="4">
          <tpl fld="7" item="141"/>
          <tpl fld="6" item="2"/>
          <tpl hier="236" item="0"/>
          <tpl fld="1" item="0"/>
        </tpls>
      </m>
      <m>
        <tpls c="4">
          <tpl fld="7" item="201"/>
          <tpl fld="6" item="2"/>
          <tpl hier="236" item="0"/>
          <tpl fld="4" item="5"/>
        </tpls>
      </m>
      <m>
        <tpls c="4">
          <tpl fld="7" item="220"/>
          <tpl fld="6" item="2"/>
          <tpl hier="236" item="0"/>
          <tpl fld="4" item="5"/>
        </tpls>
      </m>
      <m>
        <tpls c="4">
          <tpl fld="7" item="491"/>
          <tpl fld="6" item="1"/>
          <tpl hier="236" item="0"/>
          <tpl fld="4" item="5"/>
        </tpls>
      </m>
      <m>
        <tpls c="4">
          <tpl fld="7" item="60"/>
          <tpl fld="6" item="1"/>
          <tpl hier="236" item="0"/>
          <tpl fld="4" item="1"/>
        </tpls>
      </m>
      <m>
        <tpls c="4">
          <tpl fld="7" item="103"/>
          <tpl fld="6" item="1"/>
          <tpl hier="236" item="0"/>
          <tpl fld="1" item="0"/>
        </tpls>
      </m>
      <m>
        <tpls c="4">
          <tpl fld="7" item="565"/>
          <tpl fld="6" item="1"/>
          <tpl hier="236" item="0"/>
          <tpl fld="4" item="6"/>
        </tpls>
      </m>
      <m>
        <tpls c="3">
          <tpl fld="7" item="15"/>
          <tpl fld="6" item="3"/>
          <tpl hier="236" item="0"/>
        </tpls>
      </m>
      <m>
        <tpls c="4">
          <tpl fld="7" item="746"/>
          <tpl fld="6" item="2"/>
          <tpl hier="236" item="0"/>
          <tpl fld="4" item="4"/>
        </tpls>
      </m>
      <m>
        <tpls c="4">
          <tpl fld="7" item="531"/>
          <tpl fld="6" item="2"/>
          <tpl hier="236" item="0"/>
          <tpl fld="4" item="6"/>
        </tpls>
      </m>
      <m>
        <tpls c="4">
          <tpl fld="7" item="781"/>
          <tpl fld="6" item="2"/>
          <tpl hier="236" item="0"/>
          <tpl fld="1" item="0"/>
        </tpls>
      </m>
      <n v="5" in="1">
        <tpls c="4">
          <tpl fld="7" item="587"/>
          <tpl fld="6" item="1"/>
          <tpl hier="236" item="0"/>
          <tpl fld="4" item="1"/>
        </tpls>
      </n>
      <m>
        <tpls c="4">
          <tpl fld="7" item="1274"/>
          <tpl fld="6" item="2"/>
          <tpl hier="236" item="0"/>
          <tpl fld="4" item="1"/>
        </tpls>
      </m>
      <n v="1" in="1">
        <tpls c="4">
          <tpl fld="7" item="571"/>
          <tpl fld="6" item="1"/>
          <tpl hier="236" item="0"/>
          <tpl fld="4" item="5"/>
        </tpls>
      </n>
      <m>
        <tpls c="4">
          <tpl fld="7" item="651"/>
          <tpl fld="6" item="2"/>
          <tpl hier="236" item="0"/>
          <tpl fld="4" item="4"/>
        </tpls>
      </m>
      <n v="31" in="1">
        <tpls c="4">
          <tpl fld="7" item="825"/>
          <tpl fld="6" item="1"/>
          <tpl hier="236" item="0"/>
          <tpl fld="1" item="0"/>
        </tpls>
      </n>
      <m>
        <tpls c="4">
          <tpl fld="7" item="1115"/>
          <tpl fld="6" item="2"/>
          <tpl hier="236" item="0"/>
          <tpl fld="4" item="1"/>
        </tpls>
      </m>
      <n v="2" in="1">
        <tpls c="4">
          <tpl fld="7" item="930"/>
          <tpl fld="6" item="1"/>
          <tpl hier="236" item="0"/>
          <tpl fld="4" item="4"/>
        </tpls>
      </n>
      <m>
        <tpls c="4">
          <tpl fld="7" item="842"/>
          <tpl fld="6" item="2"/>
          <tpl hier="236" item="0"/>
          <tpl fld="1" item="0"/>
        </tpls>
      </m>
      <m>
        <tpls c="3">
          <tpl fld="7" item="1238"/>
          <tpl fld="6" item="3"/>
          <tpl hier="236" item="0"/>
        </tpls>
      </m>
      <m>
        <tpls c="4">
          <tpl fld="7" item="804"/>
          <tpl fld="6" item="2"/>
          <tpl hier="236" item="0"/>
          <tpl fld="4" item="5"/>
        </tpls>
      </m>
      <m>
        <tpls c="4">
          <tpl fld="7" item="815"/>
          <tpl fld="6" item="2"/>
          <tpl hier="236" item="0"/>
          <tpl fld="4" item="6"/>
        </tpls>
      </m>
      <n v="22" in="1">
        <tpls c="4">
          <tpl fld="7" item="1101"/>
          <tpl fld="6" item="1"/>
          <tpl hier="236" item="0"/>
          <tpl fld="4" item="4"/>
        </tpls>
      </n>
      <n v="0.81486486486486487" in="2">
        <tpls c="4">
          <tpl fld="7" item="911"/>
          <tpl fld="6" item="2"/>
          <tpl hier="236" item="0"/>
          <tpl fld="4" item="4"/>
        </tpls>
      </n>
      <m>
        <tpls c="4">
          <tpl fld="7" item="939"/>
          <tpl fld="6" item="2"/>
          <tpl hier="236" item="0"/>
          <tpl fld="4" item="1"/>
        </tpls>
      </m>
      <m>
        <tpls c="4">
          <tpl fld="7" item="527"/>
          <tpl fld="6" item="2"/>
          <tpl hier="236" item="0"/>
          <tpl fld="1" item="0"/>
        </tpls>
      </m>
      <m>
        <tpls c="4">
          <tpl fld="7" item="124"/>
          <tpl fld="6" item="2"/>
          <tpl hier="236" item="0"/>
          <tpl fld="1" item="0"/>
        </tpls>
      </m>
      <n v="2" in="2">
        <tpls c="4">
          <tpl fld="7" item="805"/>
          <tpl fld="6" item="2"/>
          <tpl hier="236" item="0"/>
          <tpl fld="1" item="0"/>
        </tpls>
      </n>
      <m>
        <tpls c="4">
          <tpl fld="7" item="1254"/>
          <tpl fld="6" item="1"/>
          <tpl hier="236" item="0"/>
          <tpl fld="4" item="4"/>
        </tpls>
      </m>
      <m>
        <tpls c="4">
          <tpl fld="7" item="679"/>
          <tpl fld="6" item="2"/>
          <tpl hier="236" item="0"/>
          <tpl fld="4" item="5"/>
        </tpls>
      </m>
      <m>
        <tpls c="4">
          <tpl fld="7" item="1024"/>
          <tpl fld="6" item="2"/>
          <tpl hier="236" item="0"/>
          <tpl fld="4" item="6"/>
        </tpls>
      </m>
      <m>
        <tpls c="4">
          <tpl fld="7" item="590"/>
          <tpl fld="6" item="2"/>
          <tpl hier="236" item="0"/>
          <tpl fld="4" item="6"/>
        </tpls>
      </m>
      <m>
        <tpls c="4">
          <tpl fld="7" item="78"/>
          <tpl fld="6" item="1"/>
          <tpl hier="236" item="0"/>
          <tpl fld="4" item="5"/>
        </tpls>
      </m>
      <n v="6" in="1">
        <tpls c="4">
          <tpl fld="7" item="909"/>
          <tpl fld="6" item="1"/>
          <tpl hier="236" item="0"/>
          <tpl fld="4" item="1"/>
        </tpls>
      </n>
      <m>
        <tpls c="4">
          <tpl fld="7" item="37"/>
          <tpl fld="6" item="1"/>
          <tpl hier="236" item="0"/>
          <tpl fld="4" item="1"/>
        </tpls>
      </m>
      <n v="7" in="1">
        <tpls c="4">
          <tpl fld="7" item="889"/>
          <tpl fld="6" item="1"/>
          <tpl hier="236" item="0"/>
          <tpl fld="4" item="1"/>
        </tpls>
      </n>
      <n v="4" in="1">
        <tpls c="4">
          <tpl fld="7" item="1052"/>
          <tpl fld="6" item="1"/>
          <tpl hier="236" item="0"/>
          <tpl fld="4" item="4"/>
        </tpls>
      </n>
      <m>
        <tpls c="4">
          <tpl fld="7" item="858"/>
          <tpl fld="6" item="2"/>
          <tpl hier="236" item="0"/>
          <tpl fld="4" item="5"/>
        </tpls>
      </m>
      <m>
        <tpls c="4">
          <tpl fld="7" item="504"/>
          <tpl fld="6" item="2"/>
          <tpl hier="236" item="0"/>
          <tpl fld="4" item="5"/>
        </tpls>
      </m>
      <m>
        <tpls c="4">
          <tpl fld="7" item="754"/>
          <tpl fld="6" item="2"/>
          <tpl hier="236" item="0"/>
          <tpl fld="4" item="5"/>
        </tpls>
      </m>
      <m>
        <tpls c="4">
          <tpl fld="7" item="248"/>
          <tpl fld="6" item="2"/>
          <tpl hier="236" item="0"/>
          <tpl fld="4" item="5"/>
        </tpls>
      </m>
      <m>
        <tpls c="4">
          <tpl fld="7" item="1020"/>
          <tpl fld="6" item="2"/>
          <tpl hier="236" item="0"/>
          <tpl fld="4" item="6"/>
        </tpls>
      </m>
      <m>
        <tpls c="4">
          <tpl fld="7" item="373"/>
          <tpl fld="6" item="2"/>
          <tpl hier="236" item="0"/>
          <tpl fld="4" item="6"/>
        </tpls>
      </m>
      <m>
        <tpls c="4">
          <tpl fld="7" item="86"/>
          <tpl fld="6" item="2"/>
          <tpl hier="236" item="0"/>
          <tpl fld="4" item="6"/>
        </tpls>
      </m>
      <m>
        <tpls c="4">
          <tpl fld="7" item="27"/>
          <tpl fld="6" item="2"/>
          <tpl hier="236" item="0"/>
          <tpl fld="4" item="6"/>
        </tpls>
      </m>
      <m>
        <tpls c="4">
          <tpl fld="7" item="1284"/>
          <tpl fld="6" item="1"/>
          <tpl hier="236" item="0"/>
          <tpl fld="4" item="5"/>
        </tpls>
      </m>
      <m>
        <tpls c="4">
          <tpl fld="7" item="501"/>
          <tpl fld="6" item="1"/>
          <tpl hier="236" item="0"/>
          <tpl fld="4" item="5"/>
        </tpls>
      </m>
      <m>
        <tpls c="4">
          <tpl fld="7" item="289"/>
          <tpl fld="6" item="1"/>
          <tpl hier="236" item="0"/>
          <tpl fld="4" item="5"/>
        </tpls>
      </m>
      <m>
        <tpls c="4">
          <tpl fld="7" item="15"/>
          <tpl fld="6" item="1"/>
          <tpl hier="236" item="0"/>
          <tpl fld="4" item="5"/>
        </tpls>
      </m>
      <m>
        <tpls c="4">
          <tpl fld="7" item="942"/>
          <tpl fld="6" item="1"/>
          <tpl hier="236" item="0"/>
          <tpl fld="4" item="1"/>
        </tpls>
      </m>
      <m>
        <tpls c="4">
          <tpl fld="7" item="917"/>
          <tpl fld="6" item="1"/>
          <tpl hier="236" item="0"/>
          <tpl fld="4" item="1"/>
        </tpls>
      </m>
      <m>
        <tpls c="4">
          <tpl fld="7" item="205"/>
          <tpl fld="6" item="1"/>
          <tpl hier="236" item="0"/>
          <tpl fld="4" item="1"/>
        </tpls>
      </m>
      <m>
        <tpls c="4">
          <tpl fld="7" item="676"/>
          <tpl fld="6" item="1"/>
          <tpl hier="236" item="0"/>
          <tpl fld="4" item="1"/>
        </tpls>
      </m>
      <n v="0" in="1">
        <tpls c="4">
          <tpl fld="7" item="485"/>
          <tpl fld="6" item="1"/>
          <tpl hier="236" item="0"/>
          <tpl fld="4" item="1"/>
        </tpls>
      </n>
      <m>
        <tpls c="4">
          <tpl fld="7" item="51"/>
          <tpl fld="6" item="1"/>
          <tpl hier="236" item="0"/>
          <tpl fld="4" item="1"/>
        </tpls>
      </m>
      <n v="6.6567567567567574" in="2">
        <tpls c="4">
          <tpl fld="7" item="539"/>
          <tpl fld="6" item="2"/>
          <tpl hier="236" item="0"/>
          <tpl fld="4" item="4"/>
        </tpls>
      </n>
      <n v="1" in="1">
        <tpls c="4">
          <tpl fld="7" item="641"/>
          <tpl fld="6" item="1"/>
          <tpl hier="236" item="0"/>
          <tpl fld="4" item="1"/>
        </tpls>
      </n>
      <n v="6" in="1">
        <tpls c="4">
          <tpl fld="7" item="652"/>
          <tpl fld="6" item="1"/>
          <tpl hier="236" item="0"/>
          <tpl fld="1" item="0"/>
        </tpls>
      </n>
      <m>
        <tpls c="4">
          <tpl fld="7" item="894"/>
          <tpl fld="6" item="2"/>
          <tpl hier="236" item="0"/>
          <tpl fld="4" item="1"/>
        </tpls>
      </m>
      <m>
        <tpls c="3">
          <tpl fld="7" item="848"/>
          <tpl fld="6" item="3"/>
          <tpl hier="236" item="0"/>
        </tpls>
      </m>
      <m>
        <tpls c="4">
          <tpl fld="7" item="1273"/>
          <tpl fld="6" item="1"/>
          <tpl hier="236" item="0"/>
          <tpl fld="4" item="4"/>
        </tpls>
      </m>
      <m>
        <tpls c="4">
          <tpl fld="7" item="903"/>
          <tpl fld="6" item="2"/>
          <tpl hier="236" item="0"/>
          <tpl fld="1" item="0"/>
        </tpls>
      </m>
      <m>
        <tpls c="4">
          <tpl fld="7" item="158"/>
          <tpl fld="6" item="2"/>
          <tpl hier="236" item="0"/>
          <tpl fld="1" item="0"/>
        </tpls>
      </m>
      <m>
        <tpls c="4">
          <tpl fld="7" item="1247"/>
          <tpl fld="6" item="2"/>
          <tpl hier="236" item="0"/>
          <tpl fld="4" item="5"/>
        </tpls>
      </m>
      <m>
        <tpls c="4">
          <tpl fld="7" item="1085"/>
          <tpl fld="6" item="2"/>
          <tpl hier="236" item="0"/>
          <tpl fld="4" item="5"/>
        </tpls>
      </m>
      <m>
        <tpls c="4">
          <tpl fld="7" item="421"/>
          <tpl fld="6" item="2"/>
          <tpl hier="236" item="0"/>
          <tpl fld="4" item="5"/>
        </tpls>
      </m>
      <m>
        <tpls c="4">
          <tpl fld="7" item="53"/>
          <tpl fld="6" item="2"/>
          <tpl hier="236" item="0"/>
          <tpl fld="4" item="5"/>
        </tpls>
      </m>
      <m>
        <tpls c="4">
          <tpl fld="7" item="333"/>
          <tpl fld="6" item="2"/>
          <tpl hier="236" item="0"/>
          <tpl fld="4" item="5"/>
        </tpls>
      </m>
      <m>
        <tpls c="4">
          <tpl fld="7" item="871"/>
          <tpl fld="6" item="2"/>
          <tpl hier="236" item="0"/>
          <tpl fld="4" item="6"/>
        </tpls>
      </m>
      <m>
        <tpls c="4">
          <tpl fld="7" item="839"/>
          <tpl fld="6" item="2"/>
          <tpl hier="236" item="0"/>
          <tpl fld="4" item="6"/>
        </tpls>
      </m>
      <m>
        <tpls c="4">
          <tpl fld="7" item="505"/>
          <tpl fld="6" item="2"/>
          <tpl hier="236" item="0"/>
          <tpl fld="4" item="6"/>
        </tpls>
      </m>
      <m>
        <tpls c="4">
          <tpl fld="7" item="304"/>
          <tpl fld="6" item="2"/>
          <tpl hier="236" item="0"/>
          <tpl fld="4" item="6"/>
        </tpls>
      </m>
      <m>
        <tpls c="4">
          <tpl fld="7" item="42"/>
          <tpl fld="6" item="2"/>
          <tpl hier="236" item="0"/>
          <tpl fld="4" item="6"/>
        </tpls>
      </m>
      <m>
        <tpls c="4">
          <tpl fld="7" item="1197"/>
          <tpl fld="6" item="1"/>
          <tpl hier="236" item="0"/>
          <tpl fld="4" item="5"/>
        </tpls>
      </m>
      <m>
        <tpls c="4">
          <tpl fld="7" item="1191"/>
          <tpl fld="6" item="1"/>
          <tpl hier="236" item="0"/>
          <tpl fld="4" item="5"/>
        </tpls>
      </m>
      <m>
        <tpls c="4">
          <tpl fld="7" item="677"/>
          <tpl fld="6" item="1"/>
          <tpl hier="236" item="0"/>
          <tpl fld="4" item="5"/>
        </tpls>
      </m>
      <m>
        <tpls c="4">
          <tpl fld="7" item="302"/>
          <tpl fld="6" item="1"/>
          <tpl hier="236" item="0"/>
          <tpl fld="4" item="5"/>
        </tpls>
      </m>
      <m>
        <tpls c="4">
          <tpl fld="7" item="255"/>
          <tpl fld="6" item="1"/>
          <tpl hier="236" item="0"/>
          <tpl fld="4" item="5"/>
        </tpls>
      </m>
      <n v="2" in="1">
        <tpls c="4">
          <tpl fld="7" item="1285"/>
          <tpl fld="6" item="1"/>
          <tpl hier="236" item="0"/>
          <tpl fld="4" item="1"/>
        </tpls>
      </n>
      <n v="1" in="1">
        <tpls c="4">
          <tpl fld="7" item="1287"/>
          <tpl fld="6" item="1"/>
          <tpl hier="236" item="0"/>
          <tpl fld="4" item="1"/>
        </tpls>
      </n>
      <n v="1" in="1">
        <tpls c="4">
          <tpl fld="7" item="856"/>
          <tpl fld="6" item="1"/>
          <tpl hier="236" item="0"/>
          <tpl fld="4" item="1"/>
        </tpls>
      </n>
      <n v="3" in="1">
        <tpls c="4">
          <tpl fld="7" item="457"/>
          <tpl fld="6" item="1"/>
          <tpl hier="236" item="0"/>
          <tpl fld="4" item="1"/>
        </tpls>
      </n>
      <m>
        <tpls c="4">
          <tpl fld="7" item="425"/>
          <tpl fld="6" item="1"/>
          <tpl hier="236" item="0"/>
          <tpl fld="4" item="1"/>
        </tpls>
      </m>
      <m>
        <tpls c="4">
          <tpl fld="7" item="181"/>
          <tpl fld="6" item="1"/>
          <tpl hier="236" item="0"/>
          <tpl fld="4" item="1"/>
        </tpls>
      </m>
      <m>
        <tpls c="4">
          <tpl fld="7" item="242"/>
          <tpl fld="6" item="1"/>
          <tpl hier="236" item="0"/>
          <tpl fld="4" item="1"/>
        </tpls>
      </m>
      <m>
        <tpls c="4">
          <tpl fld="7" item="470"/>
          <tpl fld="6" item="1"/>
          <tpl hier="236" item="0"/>
          <tpl fld="4" item="1"/>
        </tpls>
      </m>
      <n v="40" in="1">
        <tpls c="4">
          <tpl fld="7" item="1245"/>
          <tpl fld="6" item="1"/>
          <tpl hier="236" item="0"/>
          <tpl fld="1" item="0"/>
        </tpls>
      </n>
      <m>
        <tpls c="4">
          <tpl fld="7" item="762"/>
          <tpl fld="6" item="1"/>
          <tpl hier="236" item="0"/>
          <tpl fld="1" item="0"/>
        </tpls>
      </m>
      <m>
        <tpls c="4">
          <tpl fld="7" item="420"/>
          <tpl fld="6" item="1"/>
          <tpl hier="236" item="0"/>
          <tpl fld="1" item="0"/>
        </tpls>
      </m>
      <m>
        <tpls c="4">
          <tpl fld="7" item="174"/>
          <tpl fld="6" item="1"/>
          <tpl hier="236" item="0"/>
          <tpl fld="1" item="0"/>
        </tpls>
      </m>
      <m>
        <tpls c="4">
          <tpl fld="7" item="400"/>
          <tpl fld="6" item="1"/>
          <tpl hier="236" item="0"/>
          <tpl fld="1" item="0"/>
        </tpls>
      </m>
      <m>
        <tpls c="4">
          <tpl fld="7" item="563"/>
          <tpl fld="6" item="1"/>
          <tpl hier="236" item="0"/>
          <tpl fld="4" item="1"/>
        </tpls>
      </m>
      <m>
        <tpls c="4">
          <tpl fld="7" item="1021"/>
          <tpl fld="6" item="1"/>
          <tpl hier="236" item="0"/>
          <tpl fld="4" item="4"/>
        </tpls>
      </m>
      <m>
        <tpls c="4">
          <tpl fld="7" item="1110"/>
          <tpl fld="6" item="2"/>
          <tpl hier="236" item="0"/>
          <tpl fld="4" item="5"/>
        </tpls>
      </m>
      <m>
        <tpls c="4">
          <tpl fld="7" item="227"/>
          <tpl fld="6" item="2"/>
          <tpl hier="236" item="0"/>
          <tpl fld="4" item="5"/>
        </tpls>
      </m>
      <m>
        <tpls c="4">
          <tpl fld="7" item="181"/>
          <tpl fld="6" item="2"/>
          <tpl hier="236" item="0"/>
          <tpl fld="4" item="6"/>
        </tpls>
      </m>
      <m>
        <tpls c="4">
          <tpl fld="7" item="756"/>
          <tpl fld="6" item="1"/>
          <tpl hier="236" item="0"/>
          <tpl fld="4" item="5"/>
        </tpls>
      </m>
      <m>
        <tpls c="4">
          <tpl fld="7" item="1081"/>
          <tpl fld="6" item="1"/>
          <tpl hier="236" item="0"/>
          <tpl fld="4" item="1"/>
        </tpls>
      </m>
      <m>
        <tpls c="4">
          <tpl fld="7" item="339"/>
          <tpl fld="6" item="1"/>
          <tpl hier="236" item="0"/>
          <tpl fld="4" item="1"/>
        </tpls>
      </m>
      <n v="15" in="1">
        <tpls c="4">
          <tpl fld="7" item="1115"/>
          <tpl fld="6" item="1"/>
          <tpl hier="236" item="0"/>
          <tpl fld="1" item="0"/>
        </tpls>
      </n>
      <n v="0" in="1">
        <tpls c="4">
          <tpl fld="7" item="496"/>
          <tpl fld="6" item="1"/>
          <tpl hier="236" item="0"/>
          <tpl fld="1" item="0"/>
        </tpls>
      </n>
      <m>
        <tpls c="4">
          <tpl fld="7" item="284"/>
          <tpl fld="6" item="1"/>
          <tpl hier="236" item="0"/>
          <tpl fld="1" item="0"/>
        </tpls>
      </m>
      <n v="4" in="1">
        <tpls c="4">
          <tpl fld="7" item="745"/>
          <tpl fld="6" item="1"/>
          <tpl hier="236" item="0"/>
          <tpl fld="4" item="6"/>
        </tpls>
      </n>
      <m>
        <tpls c="4">
          <tpl fld="7" item="108"/>
          <tpl fld="6" item="1"/>
          <tpl hier="236" item="0"/>
          <tpl fld="4" item="6"/>
        </tpls>
      </m>
      <m>
        <tpls c="3">
          <tpl fld="7" item="241"/>
          <tpl fld="6" item="3"/>
          <tpl hier="236" item="0"/>
        </tpls>
      </m>
      <m>
        <tpls c="4">
          <tpl fld="7" item="1067"/>
          <tpl fld="6" item="2"/>
          <tpl hier="236" item="0"/>
          <tpl fld="4" item="4"/>
        </tpls>
      </m>
      <m>
        <tpls c="4">
          <tpl fld="7" item="1035"/>
          <tpl fld="6" item="2"/>
          <tpl hier="236" item="0"/>
          <tpl fld="4" item="4"/>
        </tpls>
      </m>
      <m>
        <tpls c="4">
          <tpl fld="7" item="240"/>
          <tpl fld="6" item="2"/>
          <tpl hier="236" item="0"/>
          <tpl fld="4" item="4"/>
        </tpls>
      </m>
      <m>
        <tpls c="4">
          <tpl fld="7" item="418"/>
          <tpl fld="6" item="2"/>
          <tpl hier="236" item="0"/>
          <tpl fld="4" item="6"/>
        </tpls>
      </m>
      <n v="0" in="1">
        <tpls c="4">
          <tpl fld="7" item="84"/>
          <tpl fld="6" item="1"/>
          <tpl hier="236" item="0"/>
          <tpl fld="4" item="1"/>
        </tpls>
      </n>
      <m>
        <tpls c="4">
          <tpl fld="7" item="299"/>
          <tpl fld="6" item="1"/>
          <tpl hier="236" item="0"/>
          <tpl fld="1" item="0"/>
        </tpls>
      </m>
      <m>
        <tpls c="3">
          <tpl fld="7" item="167"/>
          <tpl fld="6" item="3"/>
          <tpl hier="236" item="0"/>
        </tpls>
      </m>
      <m>
        <tpls c="4">
          <tpl fld="7" item="60"/>
          <tpl fld="6" item="2"/>
          <tpl hier="236" item="0"/>
          <tpl fld="4" item="4"/>
        </tpls>
      </m>
      <n v="2" in="1">
        <tpls c="4">
          <tpl fld="7" item="659"/>
          <tpl fld="6" item="1"/>
          <tpl hier="236" item="0"/>
          <tpl fld="1" item="0"/>
        </tpls>
      </n>
      <m>
        <tpls c="4">
          <tpl fld="7" item="76"/>
          <tpl fld="6" item="2"/>
          <tpl hier="236" item="0"/>
          <tpl fld="1" item="0"/>
        </tpls>
      </m>
      <m>
        <tpls c="4">
          <tpl fld="7" item="75"/>
          <tpl fld="6" item="2"/>
          <tpl hier="236" item="0"/>
          <tpl fld="4" item="5"/>
        </tpls>
      </m>
      <n v="0.95945945945945943" in="2">
        <tpls c="4">
          <tpl fld="7" item="601"/>
          <tpl fld="6" item="2"/>
          <tpl hier="236" item="0"/>
          <tpl fld="4" item="6"/>
        </tpls>
      </n>
      <m>
        <tpls c="4">
          <tpl fld="7" item="849"/>
          <tpl fld="6" item="1"/>
          <tpl hier="236" item="0"/>
          <tpl fld="4" item="5"/>
        </tpls>
      </m>
      <m>
        <tpls c="4">
          <tpl fld="7" item="400"/>
          <tpl fld="6" item="1"/>
          <tpl hier="236" item="0"/>
          <tpl fld="4" item="5"/>
        </tpls>
      </m>
      <n v="1" in="1">
        <tpls c="4">
          <tpl fld="7" item="367"/>
          <tpl fld="6" item="1"/>
          <tpl hier="236" item="0"/>
          <tpl fld="4" item="1"/>
        </tpls>
      </n>
      <m>
        <tpls c="4">
          <tpl fld="7" item="231"/>
          <tpl fld="6" item="1"/>
          <tpl hier="236" item="0"/>
          <tpl fld="4" item="1"/>
        </tpls>
      </m>
      <n v="9" in="1">
        <tpls c="4">
          <tpl fld="7" item="445"/>
          <tpl fld="6" item="1"/>
          <tpl hier="236" item="0"/>
          <tpl fld="1" item="0"/>
        </tpls>
      </n>
      <m>
        <tpls c="4">
          <tpl fld="7" item="304"/>
          <tpl fld="6" item="1"/>
          <tpl hier="236" item="0"/>
          <tpl fld="1" item="0"/>
        </tpls>
      </m>
      <m>
        <tpls c="4">
          <tpl fld="7" item="34"/>
          <tpl fld="6" item="1"/>
          <tpl hier="236" item="0"/>
          <tpl fld="1" item="0"/>
        </tpls>
      </m>
      <m>
        <tpls c="4">
          <tpl fld="7" item="232"/>
          <tpl fld="6" item="1"/>
          <tpl hier="236" item="0"/>
          <tpl fld="4" item="6"/>
        </tpls>
      </m>
      <m>
        <tpls c="3">
          <tpl fld="7" item="279"/>
          <tpl fld="6" item="3"/>
          <tpl hier="236" item="0"/>
        </tpls>
      </m>
      <m>
        <tpls c="3">
          <tpl fld="7" item="108"/>
          <tpl fld="6" item="3"/>
          <tpl hier="236" item="0"/>
        </tpls>
      </m>
      <m>
        <tpls c="4">
          <tpl fld="7" item="946"/>
          <tpl fld="6" item="2"/>
          <tpl hier="236" item="0"/>
          <tpl fld="4" item="4"/>
        </tpls>
      </m>
      <m>
        <tpls c="4">
          <tpl fld="7" item="411"/>
          <tpl fld="6" item="2"/>
          <tpl hier="236" item="0"/>
          <tpl fld="4" item="4"/>
        </tpls>
      </m>
      <m>
        <tpls c="4">
          <tpl fld="7" item="761"/>
          <tpl fld="6" item="2"/>
          <tpl hier="236" item="0"/>
          <tpl fld="4" item="6"/>
        </tpls>
      </m>
      <n v="2" in="1">
        <tpls c="4">
          <tpl fld="7" item="365"/>
          <tpl fld="6" item="1"/>
          <tpl hier="236" item="0"/>
          <tpl fld="4" item="1"/>
        </tpls>
      </n>
      <n v="1" in="1">
        <tpls c="4">
          <tpl fld="7" item="84"/>
          <tpl fld="6" item="1"/>
          <tpl hier="236" item="0"/>
          <tpl fld="1" item="0"/>
        </tpls>
      </n>
      <m>
        <tpls c="3">
          <tpl fld="7" item="168"/>
          <tpl fld="6" item="3"/>
          <tpl hier="236" item="0"/>
        </tpls>
      </m>
      <m>
        <tpls c="4">
          <tpl fld="7" item="61"/>
          <tpl fld="6" item="2"/>
          <tpl hier="236" item="0"/>
          <tpl fld="4" item="4"/>
        </tpls>
      </m>
      <m>
        <tpls c="4">
          <tpl fld="7" item="821"/>
          <tpl fld="6" item="1"/>
          <tpl hier="236" item="0"/>
          <tpl fld="4" item="4"/>
        </tpls>
      </m>
      <m>
        <tpls c="4">
          <tpl fld="7" item="72"/>
          <tpl fld="6" item="2"/>
          <tpl hier="236" item="0"/>
          <tpl fld="1" item="0"/>
        </tpls>
      </m>
      <m>
        <tpls c="4">
          <tpl fld="7" item="74"/>
          <tpl fld="6" item="2"/>
          <tpl hier="236" item="0"/>
          <tpl fld="4" item="5"/>
        </tpls>
      </m>
      <m>
        <tpls c="4">
          <tpl fld="7" item="1218"/>
          <tpl fld="6" item="2"/>
          <tpl hier="236" item="0"/>
          <tpl fld="4" item="6"/>
        </tpls>
      </m>
      <m>
        <tpls c="4">
          <tpl fld="7" item="175"/>
          <tpl fld="6" item="2"/>
          <tpl hier="236" item="0"/>
          <tpl fld="4" item="6"/>
        </tpls>
      </m>
      <m>
        <tpls c="4">
          <tpl fld="7" item="456"/>
          <tpl fld="6" item="1"/>
          <tpl hier="236" item="0"/>
          <tpl fld="4" item="5"/>
        </tpls>
      </m>
      <m>
        <tpls c="4">
          <tpl fld="7" item="166"/>
          <tpl fld="6" item="1"/>
          <tpl hier="236" item="0"/>
          <tpl fld="4" item="5"/>
        </tpls>
      </m>
      <n v="1" in="1">
        <tpls c="4">
          <tpl fld="7" item="1130"/>
          <tpl fld="6" item="1"/>
          <tpl hier="236" item="0"/>
          <tpl fld="4" item="1"/>
        </tpls>
      </n>
      <m>
        <tpls c="4">
          <tpl fld="7" item="489"/>
          <tpl fld="6" item="1"/>
          <tpl hier="236" item="0"/>
          <tpl fld="4" item="1"/>
        </tpls>
      </m>
      <m>
        <tpls c="4">
          <tpl fld="7" item="979"/>
          <tpl fld="6" item="1"/>
          <tpl hier="236" item="0"/>
          <tpl fld="4" item="1"/>
        </tpls>
      </m>
      <n v="2" in="1">
        <tpls c="4">
          <tpl fld="7" item="1010"/>
          <tpl fld="6" item="1"/>
          <tpl hier="236" item="0"/>
          <tpl fld="1" item="0"/>
        </tpls>
      </n>
      <n v="5" in="1">
        <tpls c="4">
          <tpl fld="7" item="438"/>
          <tpl fld="6" item="1"/>
          <tpl hier="236" item="0"/>
          <tpl fld="1" item="0"/>
        </tpls>
      </n>
      <m>
        <tpls c="4">
          <tpl fld="7" item="203"/>
          <tpl fld="6" item="1"/>
          <tpl hier="236" item="0"/>
          <tpl fld="1" item="0"/>
        </tpls>
      </m>
      <m>
        <tpls c="4">
          <tpl fld="7" item="282"/>
          <tpl fld="6" item="1"/>
          <tpl hier="236" item="0"/>
          <tpl fld="1" item="0"/>
        </tpls>
      </m>
      <m>
        <tpls c="4">
          <tpl fld="7" item="22"/>
          <tpl fld="6" item="1"/>
          <tpl hier="236" item="0"/>
          <tpl fld="1" item="0"/>
        </tpls>
      </m>
      <m>
        <tpls c="4">
          <tpl fld="7" item="470"/>
          <tpl fld="6" item="1"/>
          <tpl hier="236" item="0"/>
          <tpl fld="4" item="6"/>
        </tpls>
      </m>
      <m>
        <tpls c="4">
          <tpl fld="7" item="8"/>
          <tpl fld="6" item="1"/>
          <tpl hier="236" item="0"/>
          <tpl fld="4" item="6"/>
        </tpls>
      </m>
      <m>
        <tpls c="3">
          <tpl fld="7" item="42"/>
          <tpl fld="6" item="3"/>
          <tpl hier="236" item="0"/>
        </tpls>
      </m>
      <m>
        <tpls c="3">
          <tpl fld="7" item="325"/>
          <tpl fld="6" item="3"/>
          <tpl hier="236" item="0"/>
        </tpls>
      </m>
      <m>
        <tpls c="4">
          <tpl fld="7" item="1258"/>
          <tpl fld="6" item="2"/>
          <tpl hier="236" item="0"/>
          <tpl fld="4" item="4"/>
        </tpls>
      </m>
      <m>
        <tpls c="4">
          <tpl fld="7" item="1227"/>
          <tpl fld="6" item="2"/>
          <tpl hier="236" item="0"/>
          <tpl fld="4" item="4"/>
        </tpls>
      </m>
      <m>
        <tpls c="4">
          <tpl fld="7" item="566"/>
          <tpl fld="6" item="2"/>
          <tpl hier="236" item="0"/>
          <tpl fld="4" item="4"/>
        </tpls>
      </m>
      <m>
        <tpls c="4">
          <tpl fld="7" item="20"/>
          <tpl fld="6" item="2"/>
          <tpl hier="236" item="0"/>
          <tpl fld="4" item="4"/>
        </tpls>
      </m>
      <n v="5" in="1">
        <tpls c="4">
          <tpl fld="7" item="1092"/>
          <tpl fld="6" item="1"/>
          <tpl hier="236" item="0"/>
          <tpl fld="1" item="0"/>
        </tpls>
      </n>
      <m>
        <tpls c="4">
          <tpl fld="7" item="746"/>
          <tpl fld="6" item="2"/>
          <tpl hier="236" item="0"/>
          <tpl fld="4" item="1"/>
        </tpls>
      </m>
      <m>
        <tpls c="4">
          <tpl fld="7" item="1015"/>
          <tpl fld="6" item="2"/>
          <tpl hier="236" item="0"/>
          <tpl fld="1" item="0"/>
        </tpls>
      </m>
      <m>
        <tpls c="4">
          <tpl fld="7" item="93"/>
          <tpl fld="6" item="2"/>
          <tpl hier="236" item="0"/>
          <tpl fld="4" item="5"/>
        </tpls>
      </m>
      <m>
        <tpls c="4">
          <tpl fld="7" item="479"/>
          <tpl fld="6" item="2"/>
          <tpl hier="236" item="0"/>
          <tpl fld="4" item="5"/>
        </tpls>
      </m>
      <m>
        <tpls c="4">
          <tpl fld="7" item="476"/>
          <tpl fld="6" item="2"/>
          <tpl hier="236" item="0"/>
          <tpl fld="4" item="6"/>
        </tpls>
      </m>
      <m>
        <tpls c="4">
          <tpl fld="7" item="1265"/>
          <tpl fld="6" item="1"/>
          <tpl hier="236" item="0"/>
          <tpl fld="4" item="1"/>
        </tpls>
      </m>
      <n v="11" in="1">
        <tpls c="4">
          <tpl fld="7" item="1002"/>
          <tpl fld="6" item="1"/>
          <tpl hier="236" item="0"/>
          <tpl fld="1" item="0"/>
        </tpls>
      </n>
      <m>
        <tpls c="4">
          <tpl fld="7" item="334"/>
          <tpl fld="6" item="1"/>
          <tpl hier="236" item="0"/>
          <tpl fld="1" item="0"/>
        </tpls>
      </m>
      <m>
        <tpls c="3">
          <tpl fld="7" item="747"/>
          <tpl fld="6" item="3"/>
          <tpl hier="236" item="0"/>
        </tpls>
      </m>
      <m>
        <tpls c="4">
          <tpl fld="7" item="1161"/>
          <tpl fld="6" item="2"/>
          <tpl hier="236" item="0"/>
          <tpl fld="4" item="4"/>
        </tpls>
      </m>
      <m>
        <tpls c="4">
          <tpl fld="7" item="225"/>
          <tpl fld="6" item="2"/>
          <tpl hier="236" item="0"/>
          <tpl fld="4" item="4"/>
        </tpls>
      </m>
      <m>
        <tpls c="4">
          <tpl fld="7" item="980"/>
          <tpl fld="6" item="1"/>
          <tpl hier="236" item="0"/>
          <tpl fld="4" item="5"/>
        </tpls>
      </m>
      <m>
        <tpls c="4">
          <tpl fld="7" item="228"/>
          <tpl fld="6" item="1"/>
          <tpl hier="236" item="0"/>
          <tpl fld="4" item="5"/>
        </tpls>
      </m>
      <m>
        <tpls c="4">
          <tpl fld="7" item="875"/>
          <tpl fld="6" item="1"/>
          <tpl hier="236" item="0"/>
          <tpl fld="4" item="1"/>
        </tpls>
      </m>
      <n v="3" in="1">
        <tpls c="4">
          <tpl fld="7" item="830"/>
          <tpl fld="6" item="1"/>
          <tpl hier="236" item="0"/>
          <tpl fld="4" item="1"/>
        </tpls>
      </n>
      <n v="11" in="1">
        <tpls c="4">
          <tpl fld="7" item="431"/>
          <tpl fld="6" item="1"/>
          <tpl hier="236" item="0"/>
          <tpl fld="4" item="1"/>
        </tpls>
      </n>
      <m>
        <tpls c="4">
          <tpl fld="7" item="187"/>
          <tpl fld="6" item="1"/>
          <tpl hier="236" item="0"/>
          <tpl fld="4" item="1"/>
        </tpls>
      </m>
      <m>
        <tpls c="4">
          <tpl fld="7" item="263"/>
          <tpl fld="6" item="1"/>
          <tpl hier="236" item="0"/>
          <tpl fld="4" item="1"/>
        </tpls>
      </m>
      <m>
        <tpls c="4">
          <tpl fld="7" item="750"/>
          <tpl fld="6" item="1"/>
          <tpl hier="236" item="0"/>
          <tpl fld="4" item="1"/>
        </tpls>
      </m>
      <n v="10" in="1">
        <tpls c="4">
          <tpl fld="7" item="1018"/>
          <tpl fld="6" item="1"/>
          <tpl hier="236" item="0"/>
          <tpl fld="1" item="0"/>
        </tpls>
      </n>
      <n v="4" in="1">
        <tpls c="4">
          <tpl fld="7" item="602"/>
          <tpl fld="6" item="1"/>
          <tpl hier="236" item="0"/>
          <tpl fld="1" item="0"/>
        </tpls>
      </n>
      <m>
        <tpls c="4">
          <tpl fld="7" item="492"/>
          <tpl fld="6" item="1"/>
          <tpl hier="236" item="0"/>
          <tpl fld="1" item="0"/>
        </tpls>
      </m>
      <m>
        <tpls c="4">
          <tpl fld="7" item="180"/>
          <tpl fld="6" item="1"/>
          <tpl hier="236" item="0"/>
          <tpl fld="1" item="0"/>
        </tpls>
      </m>
      <m>
        <tpls c="4">
          <tpl fld="7" item="472"/>
          <tpl fld="6" item="1"/>
          <tpl hier="236" item="0"/>
          <tpl fld="1" item="0"/>
        </tpls>
      </m>
      <m>
        <tpls c="4">
          <tpl fld="7" item="669"/>
          <tpl fld="6" item="1"/>
          <tpl hier="236" item="0"/>
          <tpl fld="4" item="6"/>
        </tpls>
      </m>
      <m>
        <tpls c="4">
          <tpl fld="7" item="1277"/>
          <tpl fld="6" item="2"/>
          <tpl hier="236" item="0"/>
          <tpl fld="4" item="1"/>
        </tpls>
      </m>
      <m>
        <tpls c="4">
          <tpl fld="7" item="230"/>
          <tpl fld="6" item="2"/>
          <tpl hier="236" item="0"/>
          <tpl fld="1" item="0"/>
        </tpls>
      </m>
      <m>
        <tpls c="4">
          <tpl fld="7" item="1"/>
          <tpl fld="6" item="2"/>
          <tpl hier="236" item="0"/>
          <tpl fld="4" item="5"/>
        </tpls>
      </m>
      <m>
        <tpls c="4">
          <tpl fld="7" item="349"/>
          <tpl fld="6" item="2"/>
          <tpl hier="236" item="0"/>
          <tpl fld="4" item="6"/>
        </tpls>
      </m>
      <m>
        <tpls c="4">
          <tpl fld="7" item="442"/>
          <tpl fld="6" item="1"/>
          <tpl hier="236" item="0"/>
          <tpl fld="4" item="5"/>
        </tpls>
      </m>
      <n v="1" in="1">
        <tpls c="4">
          <tpl fld="7" item="1155"/>
          <tpl fld="6" item="1"/>
          <tpl hier="236" item="0"/>
          <tpl fld="4" item="1"/>
        </tpls>
      </n>
      <m>
        <tpls c="4">
          <tpl fld="7" item="83"/>
          <tpl fld="6" item="1"/>
          <tpl hier="236" item="0"/>
          <tpl fld="4" item="1"/>
        </tpls>
      </m>
      <n v="2" in="1">
        <tpls c="4">
          <tpl fld="7" item="1124"/>
          <tpl fld="6" item="1"/>
          <tpl hier="236" item="0"/>
          <tpl fld="1" item="0"/>
        </tpls>
      </n>
      <n v="13" in="1">
        <tpls c="4">
          <tpl fld="7" item="504"/>
          <tpl fld="6" item="1"/>
          <tpl hier="236" item="0"/>
          <tpl fld="1" item="0"/>
        </tpls>
      </n>
      <m>
        <tpls c="4">
          <tpl fld="7" item="292"/>
          <tpl fld="6" item="1"/>
          <tpl hier="236" item="0"/>
          <tpl fld="1" item="0"/>
        </tpls>
      </m>
      <n v="19" in="1">
        <tpls c="4">
          <tpl fld="7" item="667"/>
          <tpl fld="6" item="1"/>
          <tpl hier="236" item="0"/>
          <tpl fld="4" item="6"/>
        </tpls>
      </n>
      <m>
        <tpls c="4">
          <tpl fld="7" item="7"/>
          <tpl fld="6" item="1"/>
          <tpl hier="236" item="0"/>
          <tpl fld="4" item="6"/>
        </tpls>
      </m>
      <m>
        <tpls c="3">
          <tpl fld="7" item="237"/>
          <tpl fld="6" item="3"/>
          <tpl hier="236" item="0"/>
        </tpls>
      </m>
      <m>
        <tpls c="4">
          <tpl fld="7" item="1065"/>
          <tpl fld="6" item="2"/>
          <tpl hier="236" item="0"/>
          <tpl fld="4" item="4"/>
        </tpls>
      </m>
      <m>
        <tpls c="4">
          <tpl fld="7" item="1033"/>
          <tpl fld="6" item="2"/>
          <tpl hier="236" item="0"/>
          <tpl fld="4" item="4"/>
        </tpls>
      </m>
      <m>
        <tpls c="4">
          <tpl fld="7" item="18"/>
          <tpl fld="6" item="2"/>
          <tpl hier="236" item="0"/>
          <tpl fld="4" item="4"/>
        </tpls>
      </m>
      <m>
        <tpls c="4">
          <tpl fld="7" item="178"/>
          <tpl fld="6" item="2"/>
          <tpl hier="236" item="0"/>
          <tpl fld="4" item="6"/>
        </tpls>
      </m>
      <m>
        <tpls c="4">
          <tpl fld="7" item="152"/>
          <tpl fld="6" item="1"/>
          <tpl hier="236" item="0"/>
          <tpl fld="4" item="1"/>
        </tpls>
      </m>
      <m>
        <tpls c="4">
          <tpl fld="7" item="136"/>
          <tpl fld="6" item="1"/>
          <tpl hier="236" item="0"/>
          <tpl fld="1" item="0"/>
        </tpls>
      </m>
      <m>
        <tpls c="4">
          <tpl fld="7" item="1182"/>
          <tpl fld="6" item="2"/>
          <tpl hier="236" item="0"/>
          <tpl fld="4" item="4"/>
        </tpls>
      </m>
      <m>
        <tpls c="4">
          <tpl fld="7" item="323"/>
          <tpl fld="6" item="1"/>
          <tpl hier="236" item="0"/>
          <tpl fld="4" item="6"/>
        </tpls>
      </m>
      <m>
        <tpls c="4">
          <tpl fld="7" item="925"/>
          <tpl fld="6" item="1"/>
          <tpl hier="236" item="0"/>
          <tpl fld="4" item="6"/>
        </tpls>
      </m>
      <m>
        <tpls c="4">
          <tpl fld="7" item="209"/>
          <tpl fld="6" item="2"/>
          <tpl hier="236" item="0"/>
          <tpl fld="4" item="5"/>
        </tpls>
      </m>
      <m>
        <tpls c="4">
          <tpl fld="7" item="599"/>
          <tpl fld="6" item="2"/>
          <tpl hier="236" item="0"/>
          <tpl fld="4" item="6"/>
        </tpls>
      </m>
      <m>
        <tpls c="4">
          <tpl fld="7" item="418"/>
          <tpl fld="6" item="1"/>
          <tpl hier="236" item="0"/>
          <tpl fld="4" item="5"/>
        </tpls>
      </m>
      <m>
        <tpls c="4">
          <tpl fld="7" item="211"/>
          <tpl fld="6" item="1"/>
          <tpl hier="236" item="0"/>
          <tpl fld="4" item="1"/>
        </tpls>
      </m>
      <n v="9" in="1">
        <tpls c="4">
          <tpl fld="7" item="1122"/>
          <tpl fld="6" item="1"/>
          <tpl hier="236" item="0"/>
          <tpl fld="1" item="0"/>
        </tpls>
      </n>
      <m>
        <tpls c="4">
          <tpl fld="7" item="85"/>
          <tpl fld="6" item="1"/>
          <tpl hier="236" item="0"/>
          <tpl fld="1" item="0"/>
        </tpls>
      </m>
      <n v="2" in="1">
        <tpls c="4">
          <tpl fld="7" item="989"/>
          <tpl fld="6" item="1"/>
          <tpl hier="236" item="0"/>
          <tpl fld="4" item="6"/>
        </tpls>
      </n>
      <m>
        <tpls c="3">
          <tpl fld="7" item="277"/>
          <tpl fld="6" item="3"/>
          <tpl hier="236" item="0"/>
        </tpls>
      </m>
      <m>
        <tpls c="4">
          <tpl fld="7" item="960"/>
          <tpl fld="6" item="2"/>
          <tpl hier="236" item="0"/>
          <tpl fld="4" item="4"/>
        </tpls>
      </m>
      <m>
        <tpls c="4">
          <tpl fld="7" item="669"/>
          <tpl fld="6" item="2"/>
          <tpl hier="236" item="0"/>
          <tpl fld="4" item="4"/>
        </tpls>
      </m>
      <n v="2" in="1">
        <tpls c="4">
          <tpl fld="7" item="1249"/>
          <tpl fld="6" item="1"/>
          <tpl hier="236" item="0"/>
          <tpl fld="4" item="1"/>
        </tpls>
      </n>
      <m>
        <tpls c="4">
          <tpl fld="7" item="31"/>
          <tpl fld="6" item="1"/>
          <tpl hier="236" item="0"/>
          <tpl fld="1" item="0"/>
        </tpls>
      </m>
      <m>
        <tpls c="4">
          <tpl fld="7" item="1136"/>
          <tpl fld="6" item="2"/>
          <tpl hier="236" item="0"/>
          <tpl fld="4" item="4"/>
        </tpls>
      </m>
      <m>
        <tpls c="3">
          <tpl fld="7" item="845"/>
          <tpl fld="6" item="3"/>
          <tpl hier="236" item="0"/>
        </tpls>
      </m>
      <m>
        <tpls c="4">
          <tpl fld="7" item="205"/>
          <tpl fld="6" item="2"/>
          <tpl hier="236" item="0"/>
          <tpl fld="4" item="5"/>
        </tpls>
      </m>
      <n v="1" in="2">
        <tpls c="4">
          <tpl fld="7" item="878"/>
          <tpl fld="6" item="2"/>
          <tpl hier="236" item="0"/>
          <tpl fld="4" item="6"/>
        </tpls>
      </n>
      <n v="1" in="1">
        <tpls c="4">
          <tpl fld="7" item="452"/>
          <tpl fld="6" item="1"/>
          <tpl hier="236" item="0"/>
          <tpl fld="4" item="5"/>
        </tpls>
      </n>
      <m>
        <tpls c="4">
          <tpl fld="7" item="1165"/>
          <tpl fld="6" item="1"/>
          <tpl hier="236" item="0"/>
          <tpl fld="4" item="1"/>
        </tpls>
      </m>
      <m>
        <tpls c="4">
          <tpl fld="7" item="69"/>
          <tpl fld="6" item="1"/>
          <tpl hier="236" item="0"/>
          <tpl fld="4" item="1"/>
        </tpls>
      </m>
      <n v="14" in="1">
        <tpls c="4">
          <tpl fld="7" item="1016"/>
          <tpl fld="6" item="1"/>
          <tpl hier="236" item="0"/>
          <tpl fld="1" item="0"/>
        </tpls>
      </n>
      <m>
        <tpls c="4">
          <tpl fld="7" item="1211"/>
          <tpl fld="6" item="1"/>
          <tpl hier="236" item="0"/>
          <tpl fld="1" item="0"/>
        </tpls>
      </m>
      <m>
        <tpls c="4">
          <tpl fld="7" item="482"/>
          <tpl fld="6" item="1"/>
          <tpl hier="236" item="0"/>
          <tpl fld="1" item="0"/>
        </tpls>
      </m>
      <n v="2" in="1">
        <tpls c="4">
          <tpl fld="7" item="664"/>
          <tpl fld="6" item="1"/>
          <tpl hier="236" item="0"/>
          <tpl fld="4" item="6"/>
        </tpls>
      </n>
      <m>
        <tpls c="4">
          <tpl fld="7" item="6"/>
          <tpl fld="6" item="1"/>
          <tpl hier="236" item="0"/>
          <tpl fld="4" item="6"/>
        </tpls>
      </m>
      <m>
        <tpls c="3">
          <tpl fld="7" item="327"/>
          <tpl fld="6" item="3"/>
          <tpl hier="236" item="0"/>
        </tpls>
      </m>
      <m>
        <tpls c="4">
          <tpl fld="7" item="1255"/>
          <tpl fld="6" item="2"/>
          <tpl hier="236" item="0"/>
          <tpl fld="4" item="4"/>
        </tpls>
      </m>
      <m>
        <tpls c="4">
          <tpl fld="7" item="792"/>
          <tpl fld="6" item="2"/>
          <tpl hier="236" item="0"/>
          <tpl fld="4" item="4"/>
        </tpls>
      </m>
      <n v="11" in="1">
        <tpls c="4">
          <tpl fld="7" item="543"/>
          <tpl fld="6" item="1"/>
          <tpl hier="236" item="0"/>
          <tpl fld="1" item="0"/>
        </tpls>
      </n>
      <m>
        <tpls c="3">
          <tpl fld="7" item="849"/>
          <tpl fld="6" item="3"/>
          <tpl hier="236" item="0"/>
        </tpls>
      </m>
      <m>
        <tpls c="4">
          <tpl fld="7" item="454"/>
          <tpl fld="6" item="2"/>
          <tpl hier="236" item="0"/>
          <tpl fld="4" item="5"/>
        </tpls>
      </m>
      <m>
        <tpls c="4">
          <tpl fld="7" item="916"/>
          <tpl fld="6" item="2"/>
          <tpl hier="236" item="0"/>
          <tpl fld="4" item="6"/>
        </tpls>
      </m>
      <m>
        <tpls c="4">
          <tpl fld="7" item="76"/>
          <tpl fld="6" item="1"/>
          <tpl hier="236" item="0"/>
          <tpl fld="4" item="1"/>
        </tpls>
      </m>
      <m>
        <tpls c="4">
          <tpl fld="7" item="253"/>
          <tpl fld="6" item="1"/>
          <tpl hier="236" item="0"/>
          <tpl fld="1" item="0"/>
        </tpls>
      </m>
      <m>
        <tpls c="3">
          <tpl fld="7" item="117"/>
          <tpl fld="6" item="3"/>
          <tpl hier="236" item="0"/>
        </tpls>
      </m>
      <m>
        <tpls c="4">
          <tpl fld="7" item="219"/>
          <tpl fld="6" item="2"/>
          <tpl hier="236" item="0"/>
          <tpl fld="4" item="4"/>
        </tpls>
      </m>
      <m>
        <tpls c="3">
          <tpl fld="7" item="624"/>
          <tpl fld="6" item="3"/>
          <tpl hier="236" item="0"/>
        </tpls>
      </m>
      <m>
        <tpls c="4">
          <tpl fld="7" item="976"/>
          <tpl fld="6" item="2"/>
          <tpl hier="236" item="0"/>
          <tpl fld="1" item="0"/>
        </tpls>
      </m>
      <m>
        <tpls c="4">
          <tpl fld="7" item="649"/>
          <tpl fld="6" item="1"/>
          <tpl hier="236" item="0"/>
          <tpl fld="4" item="1"/>
        </tpls>
      </m>
      <m>
        <tpls c="3">
          <tpl fld="7" item="906"/>
          <tpl fld="6" item="3"/>
          <tpl hier="236" item="0"/>
        </tpls>
      </m>
      <n v="4" in="1">
        <tpls c="4">
          <tpl fld="7" item="970"/>
          <tpl fld="6" item="1"/>
          <tpl hier="236" item="0"/>
          <tpl fld="4" item="4"/>
        </tpls>
      </n>
      <m>
        <tpls c="4">
          <tpl fld="7" item="579"/>
          <tpl fld="6" item="2"/>
          <tpl hier="236" item="0"/>
          <tpl fld="4" item="5"/>
        </tpls>
      </m>
      <m>
        <tpls c="4">
          <tpl fld="7" item="997"/>
          <tpl fld="6" item="1"/>
          <tpl hier="236" item="0"/>
          <tpl fld="4" item="1"/>
        </tpls>
      </m>
      <m>
        <tpls c="4">
          <tpl fld="7" item="931"/>
          <tpl fld="6" item="2"/>
          <tpl hier="236" item="0"/>
          <tpl fld="4" item="1"/>
        </tpls>
      </m>
      <m>
        <tpls c="4">
          <tpl fld="7" item="45"/>
          <tpl fld="6" item="2"/>
          <tpl hier="236" item="0"/>
          <tpl fld="1" item="0"/>
        </tpls>
      </m>
      <m>
        <tpls c="4">
          <tpl fld="7" item="1110"/>
          <tpl fld="6" item="2"/>
          <tpl hier="236" item="0"/>
          <tpl fld="4" item="1"/>
        </tpls>
      </m>
      <m>
        <tpls c="4">
          <tpl fld="7" item="42"/>
          <tpl fld="6" item="2"/>
          <tpl hier="236" item="0"/>
          <tpl fld="4" item="5"/>
        </tpls>
      </m>
      <m>
        <tpls c="4">
          <tpl fld="7" item="1010"/>
          <tpl fld="6" item="1"/>
          <tpl hier="236" item="0"/>
          <tpl fld="4" item="5"/>
        </tpls>
      </m>
      <n v="7" in="1">
        <tpls c="4">
          <tpl fld="7" item="504"/>
          <tpl fld="6" item="1"/>
          <tpl hier="236" item="0"/>
          <tpl fld="4" item="1"/>
        </tpls>
      </n>
      <m>
        <tpls c="4">
          <tpl fld="7" item="661"/>
          <tpl fld="6" item="1"/>
          <tpl hier="236" item="0"/>
          <tpl fld="1" item="0"/>
        </tpls>
      </m>
      <m>
        <tpls c="4">
          <tpl fld="7" item="900"/>
          <tpl fld="6" item="2"/>
          <tpl hier="236" item="0"/>
          <tpl fld="4" item="5"/>
        </tpls>
      </m>
      <m>
        <tpls c="4">
          <tpl fld="7" item="341"/>
          <tpl fld="6" item="2"/>
          <tpl hier="236" item="0"/>
          <tpl fld="4" item="5"/>
        </tpls>
      </m>
      <m>
        <tpls c="4">
          <tpl fld="7" item="1222"/>
          <tpl fld="6" item="2"/>
          <tpl hier="236" item="0"/>
          <tpl fld="4" item="6"/>
        </tpls>
      </m>
      <m>
        <tpls c="4">
          <tpl fld="7" item="102"/>
          <tpl fld="6" item="2"/>
          <tpl hier="236" item="0"/>
          <tpl fld="4" item="6"/>
        </tpls>
      </m>
      <m>
        <tpls c="4">
          <tpl fld="7" item="1117"/>
          <tpl fld="6" item="1"/>
          <tpl hier="236" item="0"/>
          <tpl fld="4" item="5"/>
        </tpls>
      </m>
      <m>
        <tpls c="4">
          <tpl fld="7" item="89"/>
          <tpl fld="6" item="1"/>
          <tpl hier="236" item="0"/>
          <tpl fld="4" item="5"/>
        </tpls>
      </m>
      <m>
        <tpls c="4">
          <tpl fld="7" item="954"/>
          <tpl fld="6" item="1"/>
          <tpl hier="236" item="0"/>
          <tpl fld="4" item="1"/>
        </tpls>
      </m>
      <m>
        <tpls c="4">
          <tpl fld="7" item="902"/>
          <tpl fld="6" item="1"/>
          <tpl hier="236" item="0"/>
          <tpl fld="4" item="1"/>
        </tpls>
      </m>
      <m>
        <tpls c="4">
          <tpl fld="7" item="418"/>
          <tpl fld="6" item="1"/>
          <tpl hier="236" item="0"/>
          <tpl fld="4" item="1"/>
        </tpls>
      </m>
      <m>
        <tpls c="4">
          <tpl fld="7" item="252"/>
          <tpl fld="6" item="1"/>
          <tpl hier="236" item="0"/>
          <tpl fld="4" item="1"/>
        </tpls>
      </m>
      <n v="2" in="1">
        <tpls c="4">
          <tpl fld="7" item="804"/>
          <tpl fld="6" item="1"/>
          <tpl hier="236" item="0"/>
          <tpl fld="4" item="5"/>
        </tpls>
      </n>
      <m>
        <tpls c="3">
          <tpl fld="7" item="832"/>
          <tpl fld="6" item="3"/>
          <tpl hier="236" item="0"/>
        </tpls>
      </m>
      <n v="2" in="1">
        <tpls c="4">
          <tpl fld="7" item="1287"/>
          <tpl fld="6" item="1"/>
          <tpl hier="236" item="0"/>
          <tpl fld="4" item="4"/>
        </tpls>
      </n>
      <m>
        <tpls c="4">
          <tpl fld="7" item="243"/>
          <tpl fld="6" item="2"/>
          <tpl hier="236" item="0"/>
          <tpl fld="1" item="0"/>
        </tpls>
      </m>
      <m>
        <tpls c="4">
          <tpl fld="7" item="445"/>
          <tpl fld="6" item="2"/>
          <tpl hier="236" item="0"/>
          <tpl fld="4" item="5"/>
        </tpls>
      </m>
      <m>
        <tpls c="4">
          <tpl fld="7" item="174"/>
          <tpl fld="6" item="2"/>
          <tpl hier="236" item="0"/>
          <tpl fld="4" item="5"/>
        </tpls>
      </m>
      <m>
        <tpls c="4">
          <tpl fld="7" item="225"/>
          <tpl fld="6" item="2"/>
          <tpl hier="236" item="0"/>
          <tpl fld="4" item="5"/>
        </tpls>
      </m>
      <m>
        <tpls c="4">
          <tpl fld="7" item="509"/>
          <tpl fld="6" item="2"/>
          <tpl hier="236" item="0"/>
          <tpl fld="4" item="6"/>
        </tpls>
      </m>
      <m>
        <tpls c="4">
          <tpl fld="7" item="168"/>
          <tpl fld="6" item="2"/>
          <tpl hier="236" item="0"/>
          <tpl fld="4" item="6"/>
        </tpls>
      </m>
      <m>
        <tpls c="4">
          <tpl fld="7" item="1219"/>
          <tpl fld="6" item="1"/>
          <tpl hier="236" item="0"/>
          <tpl fld="4" item="5"/>
        </tpls>
      </m>
      <m>
        <tpls c="4">
          <tpl fld="7" item="314"/>
          <tpl fld="6" item="1"/>
          <tpl hier="236" item="0"/>
          <tpl fld="4" item="5"/>
        </tpls>
      </m>
      <m>
        <tpls c="4">
          <tpl fld="7" item="234"/>
          <tpl fld="6" item="1"/>
          <tpl hier="236" item="0"/>
          <tpl fld="4" item="5"/>
        </tpls>
      </m>
      <m>
        <tpls c="4">
          <tpl fld="7" item="860"/>
          <tpl fld="6" item="1"/>
          <tpl hier="236" item="0"/>
          <tpl fld="4" item="1"/>
        </tpls>
      </m>
      <n v="1" in="1">
        <tpls c="4">
          <tpl fld="7" item="429"/>
          <tpl fld="6" item="1"/>
          <tpl hier="236" item="0"/>
          <tpl fld="4" item="1"/>
        </tpls>
      </n>
      <m>
        <tpls c="4">
          <tpl fld="7" item="54"/>
          <tpl fld="6" item="1"/>
          <tpl hier="236" item="0"/>
          <tpl fld="4" item="1"/>
        </tpls>
      </m>
      <n v="2" in="1">
        <tpls c="4">
          <tpl fld="7" item="1278"/>
          <tpl fld="6" item="1"/>
          <tpl hier="236" item="0"/>
          <tpl fld="1" item="0"/>
        </tpls>
      </n>
      <n v="0" in="1">
        <tpls c="4">
          <tpl fld="7" item="757"/>
          <tpl fld="6" item="1"/>
          <tpl hier="236" item="0"/>
          <tpl fld="1" item="0"/>
        </tpls>
      </n>
      <m>
        <tpls c="4">
          <tpl fld="7" item="40"/>
          <tpl fld="6" item="1"/>
          <tpl hier="236" item="0"/>
          <tpl fld="1" item="0"/>
        </tpls>
      </m>
      <n v="3" in="1">
        <tpls c="4">
          <tpl fld="7" item="663"/>
          <tpl fld="6" item="1"/>
          <tpl hier="236" item="0"/>
          <tpl fld="1" item="0"/>
        </tpls>
      </n>
      <m>
        <tpls c="4">
          <tpl fld="7" item="64"/>
          <tpl fld="6" item="2"/>
          <tpl hier="236" item="0"/>
          <tpl fld="4" item="5"/>
        </tpls>
      </m>
      <m>
        <tpls c="4">
          <tpl fld="7" item="870"/>
          <tpl fld="6" item="1"/>
          <tpl hier="236" item="0"/>
          <tpl fld="4" item="5"/>
        </tpls>
      </m>
      <n v="1" in="1">
        <tpls c="4">
          <tpl fld="7" item="916"/>
          <tpl fld="6" item="1"/>
          <tpl hier="236" item="0"/>
          <tpl fld="4" item="1"/>
        </tpls>
      </n>
      <n v="2" in="1">
        <tpls c="4">
          <tpl fld="7" item="1109"/>
          <tpl fld="6" item="1"/>
          <tpl hier="236" item="0"/>
          <tpl fld="1" item="0"/>
        </tpls>
      </n>
      <m>
        <tpls c="4">
          <tpl fld="7" item="63"/>
          <tpl fld="6" item="1"/>
          <tpl hier="236" item="0"/>
          <tpl fld="1" item="0"/>
        </tpls>
      </m>
      <m>
        <tpls c="4">
          <tpl fld="7" item="3"/>
          <tpl fld="6" item="1"/>
          <tpl hier="236" item="0"/>
          <tpl fld="4" item="6"/>
        </tpls>
      </m>
      <n v="0.7" in="2">
        <tpls c="4">
          <tpl fld="7" item="1063"/>
          <tpl fld="6" item="2"/>
          <tpl hier="236" item="0"/>
          <tpl fld="4" item="4"/>
        </tpls>
      </n>
      <m>
        <tpls c="4">
          <tpl fld="7" item="122"/>
          <tpl fld="6" item="2"/>
          <tpl hier="236" item="0"/>
          <tpl fld="4" item="4"/>
        </tpls>
      </m>
      <m>
        <tpls c="4">
          <tpl fld="7" item="147"/>
          <tpl fld="6" item="1"/>
          <tpl hier="236" item="0"/>
          <tpl fld="4" item="1"/>
        </tpls>
      </m>
      <m>
        <tpls c="3">
          <tpl fld="7" item="131"/>
          <tpl fld="6" item="3"/>
          <tpl hier="236" item="0"/>
        </tpls>
      </m>
      <m>
        <tpls c="4">
          <tpl fld="7" item="745"/>
          <tpl fld="6" item="2"/>
          <tpl hier="236" item="0"/>
          <tpl fld="4" item="1"/>
        </tpls>
      </m>
      <m>
        <tpls c="4">
          <tpl fld="7" item="138"/>
          <tpl fld="6" item="2"/>
          <tpl hier="236" item="0"/>
          <tpl fld="4" item="5"/>
        </tpls>
      </m>
      <m>
        <tpls c="4">
          <tpl fld="7" item="833"/>
          <tpl fld="6" item="1"/>
          <tpl hier="236" item="0"/>
          <tpl fld="4" item="5"/>
        </tpls>
      </m>
      <n v="0" in="1">
        <tpls c="4">
          <tpl fld="7" item="215"/>
          <tpl fld="6" item="1"/>
          <tpl hier="236" item="0"/>
          <tpl fld="4" item="1"/>
        </tpls>
      </n>
      <n v="3" in="1">
        <tpls c="4">
          <tpl fld="7" item="369"/>
          <tpl fld="6" item="1"/>
          <tpl hier="236" item="0"/>
          <tpl fld="1" item="0"/>
        </tpls>
      </n>
      <m>
        <tpls c="4">
          <tpl fld="7" item="240"/>
          <tpl fld="6" item="1"/>
          <tpl hier="236" item="0"/>
          <tpl fld="1" item="0"/>
        </tpls>
      </m>
      <m>
        <tpls c="3">
          <tpl fld="7" item="128"/>
          <tpl fld="6" item="3"/>
          <tpl hier="236" item="0"/>
        </tpls>
      </m>
      <m>
        <tpls c="4">
          <tpl fld="7" item="934"/>
          <tpl fld="6" item="2"/>
          <tpl hier="236" item="0"/>
          <tpl fld="4" item="4"/>
        </tpls>
      </m>
      <n v="3" in="1">
        <tpls c="4">
          <tpl fld="7" item="455"/>
          <tpl fld="6" item="1"/>
          <tpl hier="236" item="0"/>
          <tpl fld="4" item="5"/>
        </tpls>
      </n>
      <m>
        <tpls c="4">
          <tpl fld="7" item="68"/>
          <tpl fld="6" item="1"/>
          <tpl hier="236" item="0"/>
          <tpl fld="1" item="0"/>
        </tpls>
      </m>
      <m>
        <tpls c="4">
          <tpl fld="7" item="130"/>
          <tpl fld="6" item="2"/>
          <tpl hier="236" item="0"/>
          <tpl fld="4" item="4"/>
        </tpls>
      </m>
      <n v="5" in="2">
        <tpls c="4">
          <tpl fld="7" item="683"/>
          <tpl fld="6" item="2"/>
          <tpl hier="236" item="0"/>
          <tpl fld="1" item="0"/>
        </tpls>
      </n>
      <m>
        <tpls c="4">
          <tpl fld="7" item="749"/>
          <tpl fld="6" item="2"/>
          <tpl hier="236" item="0"/>
          <tpl fld="4" item="6"/>
        </tpls>
      </m>
      <m>
        <tpls c="4">
          <tpl fld="7" item="444"/>
          <tpl fld="6" item="1"/>
          <tpl hier="236" item="0"/>
          <tpl fld="4" item="5"/>
        </tpls>
      </m>
      <m>
        <tpls c="4">
          <tpl fld="7" item="1137"/>
          <tpl fld="6" item="1"/>
          <tpl hier="236" item="0"/>
          <tpl fld="4" item="1"/>
        </tpls>
      </m>
      <m>
        <tpls c="4">
          <tpl fld="7" item="401"/>
          <tpl fld="6" item="1"/>
          <tpl hier="236" item="0"/>
          <tpl fld="4" item="1"/>
        </tpls>
      </m>
      <m>
        <tpls c="4">
          <tpl fld="7" item="442"/>
          <tpl fld="6" item="1"/>
          <tpl hier="236" item="0"/>
          <tpl fld="1" item="0"/>
        </tpls>
      </m>
      <m>
        <tpls c="4">
          <tpl fld="7" item="279"/>
          <tpl fld="6" item="1"/>
          <tpl hier="236" item="0"/>
          <tpl fld="1" item="0"/>
        </tpls>
      </m>
      <m>
        <tpls c="4">
          <tpl fld="7" item="168"/>
          <tpl fld="6" item="1"/>
          <tpl hier="236" item="0"/>
          <tpl fld="4" item="6"/>
        </tpls>
      </m>
      <m>
        <tpls c="3">
          <tpl fld="7" item="481"/>
          <tpl fld="6" item="3"/>
          <tpl hier="236" item="0"/>
        </tpls>
      </m>
      <m>
        <tpls c="4">
          <tpl fld="7" item="1260"/>
          <tpl fld="6" item="2"/>
          <tpl hier="236" item="0"/>
          <tpl fld="4" item="4"/>
        </tpls>
      </m>
      <n v="0.88297297297297306" in="2">
        <tpls c="4">
          <tpl fld="7" item="874"/>
          <tpl fld="6" item="2"/>
          <tpl hier="236" item="0"/>
          <tpl fld="4" item="4"/>
        </tpls>
      </n>
      <m>
        <tpls c="4">
          <tpl fld="7" item="111"/>
          <tpl fld="6" item="2"/>
          <tpl hier="236" item="0"/>
          <tpl fld="4" item="4"/>
        </tpls>
      </m>
      <m>
        <tpls c="4">
          <tpl fld="7" item="1030"/>
          <tpl fld="6" item="1"/>
          <tpl hier="236" item="0"/>
          <tpl fld="4" item="4"/>
        </tpls>
      </m>
      <m>
        <tpls c="4">
          <tpl fld="7" item="422"/>
          <tpl fld="6" item="2"/>
          <tpl hier="236" item="0"/>
          <tpl fld="4" item="5"/>
        </tpls>
      </m>
      <m>
        <tpls c="4">
          <tpl fld="7" item="423"/>
          <tpl fld="6" item="1"/>
          <tpl hier="236" item="0"/>
          <tpl fld="4" item="5"/>
        </tpls>
      </m>
      <m>
        <tpls c="4">
          <tpl fld="7" item="355"/>
          <tpl fld="6" item="1"/>
          <tpl hier="236" item="0"/>
          <tpl fld="1" item="0"/>
        </tpls>
      </m>
      <m>
        <tpls c="3">
          <tpl fld="7" item="169"/>
          <tpl fld="6" item="3"/>
          <tpl hier="236" item="0"/>
        </tpls>
      </m>
      <n v="44" in="1">
        <tpls c="4">
          <tpl fld="7" item="787"/>
          <tpl fld="6" item="1"/>
          <tpl hier="236" item="0"/>
          <tpl fld="4" item="4"/>
        </tpls>
      </n>
      <n v="6" in="1">
        <tpls c="4">
          <tpl fld="7" item="520"/>
          <tpl fld="6" item="1"/>
          <tpl hier="236" item="0"/>
          <tpl fld="4" item="1"/>
        </tpls>
      </n>
      <n v="1" in="2">
        <tpls c="4">
          <tpl fld="7" item="1237"/>
          <tpl fld="6" item="2"/>
          <tpl hier="236" item="0"/>
          <tpl fld="1" item="0"/>
        </tpls>
      </n>
      <m>
        <tpls c="4">
          <tpl fld="7" item="494"/>
          <tpl fld="6" item="2"/>
          <tpl hier="236" item="0"/>
          <tpl fld="4" item="5"/>
        </tpls>
      </m>
      <m>
        <tpls c="4">
          <tpl fld="7" item="230"/>
          <tpl fld="6" item="2"/>
          <tpl hier="236" item="0"/>
          <tpl fld="4" item="5"/>
        </tpls>
      </m>
      <m>
        <tpls c="4">
          <tpl fld="7" item="362"/>
          <tpl fld="6" item="2"/>
          <tpl hier="236" item="0"/>
          <tpl fld="4" item="6"/>
        </tpls>
      </m>
      <m>
        <tpls c="4">
          <tpl fld="7" item="291"/>
          <tpl fld="6" item="2"/>
          <tpl hier="236" item="0"/>
          <tpl fld="4" item="6"/>
        </tpls>
      </m>
      <n v="1" in="1">
        <tpls c="4">
          <tpl fld="7" item="1105"/>
          <tpl fld="6" item="1"/>
          <tpl hier="236" item="0"/>
          <tpl fld="4" item="5"/>
        </tpls>
      </n>
      <m>
        <tpls c="4">
          <tpl fld="7" item="105"/>
          <tpl fld="6" item="1"/>
          <tpl hier="236" item="0"/>
          <tpl fld="4" item="5"/>
        </tpls>
      </m>
      <m>
        <tpls c="4">
          <tpl fld="7" item="969"/>
          <tpl fld="6" item="1"/>
          <tpl hier="236" item="0"/>
          <tpl fld="4" item="1"/>
        </tpls>
      </m>
      <m>
        <tpls c="4">
          <tpl fld="7" item="934"/>
          <tpl fld="6" item="1"/>
          <tpl hier="236" item="0"/>
          <tpl fld="4" item="1"/>
        </tpls>
      </m>
      <n v="1" in="1">
        <tpls c="4">
          <tpl fld="7" item="682"/>
          <tpl fld="6" item="1"/>
          <tpl hier="236" item="0"/>
          <tpl fld="4" item="1"/>
        </tpls>
      </n>
      <m>
        <tpls c="4">
          <tpl fld="7" item="483"/>
          <tpl fld="6" item="1"/>
          <tpl hier="236" item="0"/>
          <tpl fld="4" item="1"/>
        </tpls>
      </m>
      <m>
        <tpls c="4">
          <tpl fld="7" item="256"/>
          <tpl fld="6" item="1"/>
          <tpl hier="236" item="0"/>
          <tpl fld="4" item="1"/>
        </tpls>
      </m>
      <m>
        <tpls c="4">
          <tpl fld="7" item="587"/>
          <tpl fld="6" item="2"/>
          <tpl hier="236" item="0"/>
          <tpl fld="4" item="6"/>
        </tpls>
      </m>
      <m>
        <tpls c="3">
          <tpl fld="7" item="655"/>
          <tpl fld="6" item="3"/>
          <tpl hier="236" item="0"/>
        </tpls>
      </m>
      <n v="3" in="1">
        <tpls c="4">
          <tpl fld="7" item="1120"/>
          <tpl fld="6" item="1"/>
          <tpl hier="236" item="0"/>
          <tpl fld="4" item="4"/>
        </tpls>
      </n>
      <n v="4" in="1">
        <tpls c="4">
          <tpl fld="7" item="1274"/>
          <tpl fld="6" item="1"/>
          <tpl hier="236" item="0"/>
          <tpl fld="4" item="4"/>
        </tpls>
      </n>
      <m>
        <tpls c="4">
          <tpl fld="7" item="252"/>
          <tpl fld="6" item="2"/>
          <tpl hier="236" item="0"/>
          <tpl fld="1" item="0"/>
        </tpls>
      </m>
      <m>
        <tpls c="4">
          <tpl fld="7" item="1245"/>
          <tpl fld="6" item="2"/>
          <tpl hier="236" item="0"/>
          <tpl fld="4" item="5"/>
        </tpls>
      </m>
      <m>
        <tpls c="4">
          <tpl fld="7" item="308"/>
          <tpl fld="6" item="2"/>
          <tpl hier="236" item="0"/>
          <tpl fld="4" item="5"/>
        </tpls>
      </m>
      <m>
        <tpls c="4">
          <tpl fld="7" item="242"/>
          <tpl fld="6" item="2"/>
          <tpl hier="236" item="0"/>
          <tpl fld="4" item="5"/>
        </tpls>
      </m>
      <m>
        <tpls c="4">
          <tpl fld="7" item="863"/>
          <tpl fld="6" item="2"/>
          <tpl hier="236" item="0"/>
          <tpl fld="4" item="6"/>
        </tpls>
      </m>
      <m>
        <tpls c="4">
          <tpl fld="7" item="497"/>
          <tpl fld="6" item="2"/>
          <tpl hier="236" item="0"/>
          <tpl fld="4" item="6"/>
        </tpls>
      </m>
      <m>
        <tpls c="4">
          <tpl fld="7" item="593"/>
          <tpl fld="6" item="2"/>
          <tpl hier="236" item="0"/>
          <tpl fld="4" item="6"/>
        </tpls>
      </m>
      <n v="1" in="1">
        <tpls c="4">
          <tpl fld="7" item="1247"/>
          <tpl fld="6" item="1"/>
          <tpl hier="236" item="0"/>
          <tpl fld="4" item="5"/>
        </tpls>
      </n>
      <m>
        <tpls c="4">
          <tpl fld="7" item="683"/>
          <tpl fld="6" item="1"/>
          <tpl hier="236" item="0"/>
          <tpl fld="4" item="5"/>
        </tpls>
      </m>
      <m>
        <tpls c="4">
          <tpl fld="7" item="344"/>
          <tpl fld="6" item="1"/>
          <tpl hier="236" item="0"/>
          <tpl fld="4" item="5"/>
        </tpls>
      </m>
      <m>
        <tpls c="4">
          <tpl fld="7" item="1273"/>
          <tpl fld="6" item="1"/>
          <tpl hier="236" item="0"/>
          <tpl fld="4" item="1"/>
        </tpls>
      </m>
      <n v="1" in="1">
        <tpls c="4">
          <tpl fld="7" item="449"/>
          <tpl fld="6" item="1"/>
          <tpl hier="236" item="0"/>
          <tpl fld="4" item="1"/>
        </tpls>
      </n>
      <m>
        <tpls c="4">
          <tpl fld="7" item="348"/>
          <tpl fld="6" item="1"/>
          <tpl hier="236" item="0"/>
          <tpl fld="4" item="1"/>
        </tpls>
      </m>
      <m>
        <tpls c="4">
          <tpl fld="7" item="475"/>
          <tpl fld="6" item="1"/>
          <tpl hier="236" item="0"/>
          <tpl fld="4" item="1"/>
        </tpls>
      </m>
      <m>
        <tpls c="4">
          <tpl fld="7" item="5"/>
          <tpl fld="6" item="1"/>
          <tpl hier="236" item="0"/>
          <tpl fld="4" item="1"/>
        </tpls>
      </m>
      <n v="3" in="1">
        <tpls c="4">
          <tpl fld="7" item="760"/>
          <tpl fld="6" item="1"/>
          <tpl hier="236" item="0"/>
          <tpl fld="1" item="0"/>
        </tpls>
      </n>
      <n v="0" in="1">
        <tpls c="4">
          <tpl fld="7" item="418"/>
          <tpl fld="6" item="1"/>
          <tpl hier="236" item="0"/>
          <tpl fld="1" item="0"/>
        </tpls>
      </n>
      <m>
        <tpls c="4">
          <tpl fld="7" item="398"/>
          <tpl fld="6" item="1"/>
          <tpl hier="236" item="0"/>
          <tpl fld="1" item="0"/>
        </tpls>
      </m>
      <n v="7" in="1">
        <tpls c="4">
          <tpl fld="7" item="1063"/>
          <tpl fld="6" item="1"/>
          <tpl hier="236" item="0"/>
          <tpl fld="4" item="4"/>
        </tpls>
      </n>
      <n v="0.25" in="2">
        <tpls c="4">
          <tpl fld="7" item="432"/>
          <tpl fld="6" item="2"/>
          <tpl hier="236" item="0"/>
          <tpl fld="4" item="5"/>
        </tpls>
      </n>
      <m>
        <tpls c="4">
          <tpl fld="7" item="133"/>
          <tpl fld="6" item="2"/>
          <tpl hier="236" item="0"/>
          <tpl fld="4" item="6"/>
        </tpls>
      </m>
      <m>
        <tpls c="4">
          <tpl fld="7" item="179"/>
          <tpl fld="6" item="1"/>
          <tpl hier="236" item="0"/>
          <tpl fld="4" item="5"/>
        </tpls>
      </m>
      <m>
        <tpls c="4">
          <tpl fld="7" item="138"/>
          <tpl fld="6" item="1"/>
          <tpl hier="236" item="0"/>
          <tpl fld="4" item="1"/>
        </tpls>
      </m>
      <m>
        <tpls c="4">
          <tpl fld="7" item="1103"/>
          <tpl fld="6" item="1"/>
          <tpl hier="236" item="0"/>
          <tpl fld="1" item="0"/>
        </tpls>
      </m>
      <m>
        <tpls c="4">
          <tpl fld="7" item="149"/>
          <tpl fld="6" item="1"/>
          <tpl hier="236" item="0"/>
          <tpl fld="1" item="0"/>
        </tpls>
      </m>
      <m>
        <tpls c="4">
          <tpl fld="7" item="170"/>
          <tpl fld="6" item="1"/>
          <tpl hier="236" item="0"/>
          <tpl fld="4" item="6"/>
        </tpls>
      </m>
      <m>
        <tpls c="3">
          <tpl fld="7" item="468"/>
          <tpl fld="6" item="3"/>
          <tpl hier="236" item="0"/>
        </tpls>
      </m>
      <m>
        <tpls c="4">
          <tpl fld="7" item="745"/>
          <tpl fld="6" item="2"/>
          <tpl hier="236" item="0"/>
          <tpl fld="4" item="4"/>
        </tpls>
      </m>
      <m>
        <tpls c="4">
          <tpl fld="7" item="6"/>
          <tpl fld="6" item="2"/>
          <tpl hier="236" item="0"/>
          <tpl fld="4" item="4"/>
        </tpls>
      </m>
      <m>
        <tpls c="4">
          <tpl fld="7" item="226"/>
          <tpl fld="6" item="1"/>
          <tpl hier="236" item="0"/>
          <tpl fld="4" item="1"/>
        </tpls>
      </m>
      <m>
        <tpls c="4">
          <tpl fld="7" item="258"/>
          <tpl fld="6" item="1"/>
          <tpl hier="236" item="0"/>
          <tpl fld="1" item="0"/>
        </tpls>
      </m>
      <m>
        <tpls c="4">
          <tpl fld="7" item="466"/>
          <tpl fld="6" item="2"/>
          <tpl hier="236" item="0"/>
          <tpl fld="4" item="4"/>
        </tpls>
      </m>
      <n v="2" in="1">
        <tpls c="4">
          <tpl fld="7" item="901"/>
          <tpl fld="6" item="1"/>
          <tpl hier="236" item="0"/>
          <tpl fld="4" item="6"/>
        </tpls>
      </n>
      <m>
        <tpls c="4">
          <tpl fld="7" item="261"/>
          <tpl fld="6" item="2"/>
          <tpl hier="236" item="0"/>
          <tpl fld="4" item="5"/>
        </tpls>
      </m>
      <m>
        <tpls c="4">
          <tpl fld="7" item="491"/>
          <tpl fld="6" item="2"/>
          <tpl hier="236" item="0"/>
          <tpl fld="4" item="6"/>
        </tpls>
      </m>
      <m>
        <tpls c="4">
          <tpl fld="7" item="1158"/>
          <tpl fld="6" item="1"/>
          <tpl hier="236" item="0"/>
          <tpl fld="4" item="1"/>
        </tpls>
      </m>
      <m>
        <tpls c="4">
          <tpl fld="7" item="91"/>
          <tpl fld="6" item="1"/>
          <tpl hier="236" item="0"/>
          <tpl fld="4" item="1"/>
        </tpls>
      </m>
      <n v="9" in="1">
        <tpls c="4">
          <tpl fld="7" item="505"/>
          <tpl fld="6" item="1"/>
          <tpl hier="236" item="0"/>
          <tpl fld="1" item="0"/>
        </tpls>
      </n>
      <m>
        <tpls c="4">
          <tpl fld="7" item="126"/>
          <tpl fld="6" item="1"/>
          <tpl hier="236" item="0"/>
          <tpl fld="1" item="0"/>
        </tpls>
      </m>
      <m>
        <tpls c="4">
          <tpl fld="7" item="14"/>
          <tpl fld="6" item="1"/>
          <tpl hier="236" item="0"/>
          <tpl fld="4" item="6"/>
        </tpls>
      </m>
      <m>
        <tpls c="4">
          <tpl fld="7" item="970"/>
          <tpl fld="6" item="2"/>
          <tpl hier="236" item="0"/>
          <tpl fld="4" item="4"/>
        </tpls>
      </m>
      <m>
        <tpls c="4">
          <tpl fld="7" item="24"/>
          <tpl fld="6" item="2"/>
          <tpl hier="236" item="0"/>
          <tpl fld="4" item="4"/>
        </tpls>
      </m>
      <m>
        <tpls c="4">
          <tpl fld="7" item="14"/>
          <tpl fld="6" item="2"/>
          <tpl hier="236" item="0"/>
          <tpl fld="4" item="6"/>
        </tpls>
      </m>
      <m>
        <tpls c="4">
          <tpl fld="7" item="590"/>
          <tpl fld="6" item="1"/>
          <tpl hier="236" item="0"/>
          <tpl fld="1" item="0"/>
        </tpls>
      </m>
      <m>
        <tpls c="3">
          <tpl fld="7" item="3"/>
          <tpl fld="6" item="3"/>
          <tpl hier="236" item="0"/>
        </tpls>
      </m>
      <m>
        <tpls c="4">
          <tpl fld="7" item="1108"/>
          <tpl fld="6" item="2"/>
          <tpl hier="236" item="0"/>
          <tpl fld="4" item="4"/>
        </tpls>
      </m>
      <m>
        <tpls c="4">
          <tpl fld="7" item="16"/>
          <tpl fld="6" item="2"/>
          <tpl hier="236" item="0"/>
          <tpl fld="1" item="0"/>
        </tpls>
      </m>
      <n v="2" in="2">
        <tpls c="4">
          <tpl fld="7" item="982"/>
          <tpl fld="6" item="2"/>
          <tpl hier="236" item="0"/>
          <tpl fld="4" item="6"/>
        </tpls>
      </n>
      <m>
        <tpls c="4">
          <tpl fld="7" item="436"/>
          <tpl fld="6" item="1"/>
          <tpl hier="236" item="0"/>
          <tpl fld="4" item="5"/>
        </tpls>
      </m>
      <m>
        <tpls c="4">
          <tpl fld="7" item="329"/>
          <tpl fld="6" item="1"/>
          <tpl hier="236" item="0"/>
          <tpl fld="4" item="5"/>
        </tpls>
      </m>
      <m>
        <tpls c="4">
          <tpl fld="7" item="77"/>
          <tpl fld="6" item="1"/>
          <tpl hier="236" item="0"/>
          <tpl fld="4" item="1"/>
        </tpls>
      </m>
      <m>
        <tpls c="4">
          <tpl fld="7" item="230"/>
          <tpl fld="6" item="1"/>
          <tpl hier="236" item="0"/>
          <tpl fld="4" item="1"/>
        </tpls>
      </m>
      <m>
        <tpls c="4">
          <tpl fld="7" item="502"/>
          <tpl fld="6" item="1"/>
          <tpl hier="236" item="0"/>
          <tpl fld="1" item="0"/>
        </tpls>
      </m>
      <m>
        <tpls c="4">
          <tpl fld="7" item="60"/>
          <tpl fld="6" item="1"/>
          <tpl hier="236" item="0"/>
          <tpl fld="1" item="0"/>
        </tpls>
      </m>
      <m>
        <tpls c="4">
          <tpl fld="7" item="123"/>
          <tpl fld="6" item="1"/>
          <tpl hier="236" item="0"/>
          <tpl fld="1" item="0"/>
        </tpls>
      </m>
      <m>
        <tpls c="3">
          <tpl fld="7" item="1262"/>
          <tpl fld="6" item="3"/>
          <tpl hier="236" item="0"/>
        </tpls>
      </m>
      <m>
        <tpls c="3">
          <tpl fld="7" item="216"/>
          <tpl fld="6" item="3"/>
          <tpl hier="236" item="0"/>
        </tpls>
      </m>
      <m>
        <tpls c="4">
          <tpl fld="7" item="1231"/>
          <tpl fld="6" item="2"/>
          <tpl hier="236" item="0"/>
          <tpl fld="4" item="4"/>
        </tpls>
      </m>
      <m>
        <tpls c="4">
          <tpl fld="7" item="170"/>
          <tpl fld="6" item="2"/>
          <tpl hier="236" item="0"/>
          <tpl fld="4" item="4"/>
        </tpls>
      </m>
      <m>
        <tpls c="4">
          <tpl fld="7" item="9"/>
          <tpl fld="6" item="2"/>
          <tpl hier="236" item="0"/>
          <tpl fld="4" item="4"/>
        </tpls>
      </m>
      <n v="2" in="1">
        <tpls c="4">
          <tpl fld="7" item="907"/>
          <tpl fld="6" item="1"/>
          <tpl hier="236" item="0"/>
          <tpl fld="4" item="6"/>
        </tpls>
      </n>
      <m>
        <tpls c="4">
          <tpl fld="7" item="269"/>
          <tpl fld="6" item="2"/>
          <tpl hier="236" item="0"/>
          <tpl fld="1" item="0"/>
        </tpls>
      </m>
      <m>
        <tpls c="4">
          <tpl fld="7" item="131"/>
          <tpl fld="6" item="2"/>
          <tpl hier="236" item="0"/>
          <tpl fld="4" item="5"/>
        </tpls>
      </m>
      <m>
        <tpls c="4">
          <tpl fld="7" item="831"/>
          <tpl fld="6" item="1"/>
          <tpl hier="236" item="0"/>
          <tpl fld="4" item="5"/>
        </tpls>
      </m>
      <n v="18" in="1">
        <tpls c="4">
          <tpl fld="7" item="363"/>
          <tpl fld="6" item="1"/>
          <tpl hier="236" item="0"/>
          <tpl fld="1" item="0"/>
        </tpls>
      </n>
      <m>
        <tpls c="4">
          <tpl fld="7" item="234"/>
          <tpl fld="6" item="1"/>
          <tpl hier="236" item="0"/>
          <tpl fld="1" item="0"/>
        </tpls>
      </m>
      <m>
        <tpls c="4">
          <tpl fld="7" item="1143"/>
          <tpl fld="6" item="2"/>
          <tpl hier="236" item="0"/>
          <tpl fld="4" item="4"/>
        </tpls>
      </m>
      <m>
        <tpls c="4">
          <tpl fld="7" item="302"/>
          <tpl fld="6" item="2"/>
          <tpl hier="236" item="0"/>
          <tpl fld="4" item="6"/>
        </tpls>
      </m>
      <m>
        <tpls c="4">
          <tpl fld="7" item="1234"/>
          <tpl fld="6" item="1"/>
          <tpl hier="236" item="0"/>
          <tpl fld="4" item="1"/>
        </tpls>
      </m>
      <m>
        <tpls c="4">
          <tpl fld="7" item="870"/>
          <tpl fld="6" item="1"/>
          <tpl hier="236" item="0"/>
          <tpl fld="4" item="1"/>
        </tpls>
      </m>
      <m>
        <tpls c="4">
          <tpl fld="7" item="423"/>
          <tpl fld="6" item="1"/>
          <tpl hier="236" item="0"/>
          <tpl fld="4" item="1"/>
        </tpls>
      </m>
      <m>
        <tpls c="4">
          <tpl fld="7" item="179"/>
          <tpl fld="6" item="1"/>
          <tpl hier="236" item="0"/>
          <tpl fld="4" item="1"/>
        </tpls>
      </m>
      <m>
        <tpls c="4">
          <tpl fld="7" item="223"/>
          <tpl fld="6" item="1"/>
          <tpl hier="236" item="0"/>
          <tpl fld="4" item="1"/>
        </tpls>
      </m>
      <n v="12" in="1">
        <tpls c="4">
          <tpl fld="7" item="1012"/>
          <tpl fld="6" item="1"/>
          <tpl hier="236" item="0"/>
          <tpl fld="1" item="0"/>
        </tpls>
      </n>
      <m>
        <tpls c="4">
          <tpl fld="7" item="490"/>
          <tpl fld="6" item="1"/>
          <tpl hier="236" item="0"/>
          <tpl fld="1" item="0"/>
        </tpls>
      </m>
      <m>
        <tpls c="4">
          <tpl fld="7" item="172"/>
          <tpl fld="6" item="1"/>
          <tpl hier="236" item="0"/>
          <tpl fld="1" item="0"/>
        </tpls>
      </m>
      <n v="10" in="1">
        <tpls c="4">
          <tpl fld="7" item="797"/>
          <tpl fld="6" item="1"/>
          <tpl hier="236" item="0"/>
          <tpl fld="1" item="0"/>
        </tpls>
      </n>
      <m>
        <tpls c="4">
          <tpl fld="7" item="1190"/>
          <tpl fld="6" item="2"/>
          <tpl hier="236" item="0"/>
          <tpl fld="4" item="5"/>
        </tpls>
      </m>
      <m>
        <tpls c="4">
          <tpl fld="7" item="232"/>
          <tpl fld="6" item="2"/>
          <tpl hier="236" item="0"/>
          <tpl fld="4" item="5"/>
        </tpls>
      </m>
      <m>
        <tpls c="4">
          <tpl fld="7" item="594"/>
          <tpl fld="6" item="1"/>
          <tpl hier="236" item="0"/>
          <tpl fld="4" item="5"/>
        </tpls>
      </m>
      <m>
        <tpls c="4">
          <tpl fld="7" item="922"/>
          <tpl fld="6" item="1"/>
          <tpl hier="236" item="0"/>
          <tpl fld="4" item="1"/>
        </tpls>
      </m>
      <n v="1" in="1">
        <tpls c="4">
          <tpl fld="7" item="1112"/>
          <tpl fld="6" item="1"/>
          <tpl hier="236" item="0"/>
          <tpl fld="1" item="0"/>
        </tpls>
      </n>
      <m>
        <tpls c="4">
          <tpl fld="7" item="352"/>
          <tpl fld="6" item="1"/>
          <tpl hier="236" item="0"/>
          <tpl fld="1" item="0"/>
        </tpls>
      </m>
      <m>
        <tpls c="4">
          <tpl fld="7" item="876"/>
          <tpl fld="6" item="1"/>
          <tpl hier="236" item="0"/>
          <tpl fld="4" item="6"/>
        </tpls>
      </m>
      <m>
        <tpls c="3">
          <tpl fld="7" item="467"/>
          <tpl fld="6" item="3"/>
          <tpl hier="236" item="0"/>
        </tpls>
      </m>
      <m>
        <tpls c="4">
          <tpl fld="7" item="1057"/>
          <tpl fld="6" item="2"/>
          <tpl hier="236" item="0"/>
          <tpl fld="4" item="4"/>
        </tpls>
      </m>
      <m>
        <tpls c="4">
          <tpl fld="7" item="534"/>
          <tpl fld="6" item="2"/>
          <tpl hier="236" item="0"/>
          <tpl fld="4" item="5"/>
        </tpls>
      </m>
      <m>
        <tpls c="4">
          <tpl fld="7" item="1091"/>
          <tpl fld="6" item="2"/>
          <tpl hier="236" item="0"/>
          <tpl fld="4" item="6"/>
        </tpls>
      </m>
      <n v="0" in="1">
        <tpls c="4">
          <tpl fld="7" item="1188"/>
          <tpl fld="6" item="1"/>
          <tpl hier="236" item="0"/>
          <tpl fld="4" item="6"/>
        </tpls>
      </n>
      <m>
        <tpls c="4">
          <tpl fld="7" item="718"/>
          <tpl fld="6" item="2"/>
          <tpl hier="236" item="0"/>
          <tpl fld="4" item="5"/>
        </tpls>
      </m>
      <m>
        <tpls c="4">
          <tpl fld="7" item="1215"/>
          <tpl fld="6" item="2"/>
          <tpl hier="236" item="0"/>
          <tpl fld="1" item="0"/>
        </tpls>
      </m>
      <m>
        <tpls c="4">
          <tpl fld="7" item="552"/>
          <tpl fld="6" item="2"/>
          <tpl hier="236" item="0"/>
          <tpl fld="1" item="0"/>
        </tpls>
      </m>
      <m>
        <tpls c="4">
          <tpl fld="7" item="1165"/>
          <tpl fld="6" item="1"/>
          <tpl hier="236" item="0"/>
          <tpl fld="4" item="4"/>
        </tpls>
      </m>
      <m>
        <tpls c="4">
          <tpl fld="7" item="821"/>
          <tpl fld="6" item="1"/>
          <tpl hier="236" item="0"/>
          <tpl fld="4" item="6"/>
        </tpls>
      </m>
      <m>
        <tpls c="4">
          <tpl fld="7" item="1158"/>
          <tpl fld="6" item="2"/>
          <tpl hier="236" item="0"/>
          <tpl fld="4" item="1"/>
        </tpls>
      </m>
      <m>
        <tpls c="4">
          <tpl fld="7" item="1093"/>
          <tpl fld="6" item="2"/>
          <tpl hier="236" item="0"/>
          <tpl fld="4" item="4"/>
        </tpls>
      </m>
      <m>
        <tpls c="4">
          <tpl fld="7" item="340"/>
          <tpl fld="6" item="2"/>
          <tpl hier="236" item="0"/>
          <tpl fld="4" item="5"/>
        </tpls>
      </m>
      <m>
        <tpls c="4">
          <tpl fld="7" item="62"/>
          <tpl fld="6" item="1"/>
          <tpl hier="236" item="0"/>
          <tpl fld="4" item="5"/>
        </tpls>
      </m>
      <m>
        <tpls c="4">
          <tpl fld="7" item="12"/>
          <tpl fld="6" item="1"/>
          <tpl hier="236" item="0"/>
          <tpl fld="4" item="1"/>
        </tpls>
      </m>
      <m>
        <tpls c="4">
          <tpl fld="7" item="1248"/>
          <tpl fld="6" item="2"/>
          <tpl hier="236" item="0"/>
          <tpl fld="1" item="0"/>
        </tpls>
      </m>
      <n v="0" in="1">
        <tpls c="4">
          <tpl fld="7" item="560"/>
          <tpl fld="6" item="1"/>
          <tpl hier="236" item="0"/>
          <tpl fld="4" item="6"/>
        </tpls>
      </n>
      <m>
        <tpls c="4">
          <tpl fld="7" item="1269"/>
          <tpl fld="6" item="2"/>
          <tpl hier="236" item="0"/>
          <tpl fld="4" item="1"/>
        </tpls>
      </m>
      <m>
        <tpls c="4">
          <tpl fld="7" item="995"/>
          <tpl fld="6" item="1"/>
          <tpl hier="236" item="0"/>
          <tpl fld="4" item="6"/>
        </tpls>
      </m>
      <m>
        <tpls c="3">
          <tpl fld="7" item="1117"/>
          <tpl fld="6" item="3"/>
          <tpl hier="236" item="0"/>
        </tpls>
      </m>
      <m>
        <tpls c="4">
          <tpl fld="7" item="315"/>
          <tpl fld="6" item="2"/>
          <tpl hier="236" item="0"/>
          <tpl fld="1" item="0"/>
        </tpls>
      </m>
      <m>
        <tpls c="3">
          <tpl fld="7" item="587"/>
          <tpl fld="6" item="3"/>
          <tpl hier="236" item="0"/>
        </tpls>
      </m>
      <n v="25" in="1">
        <tpls c="4">
          <tpl fld="7" item="829"/>
          <tpl fld="6" item="1"/>
          <tpl hier="236" item="0"/>
          <tpl fld="4" item="4"/>
        </tpls>
      </n>
      <m>
        <tpls c="4">
          <tpl fld="7" item="946"/>
          <tpl fld="6" item="2"/>
          <tpl hier="236" item="0"/>
          <tpl fld="4" item="1"/>
        </tpls>
      </m>
      <m>
        <tpls c="4">
          <tpl fld="7" item="1028"/>
          <tpl fld="6" item="2"/>
          <tpl hier="236" item="0"/>
          <tpl fld="4" item="5"/>
        </tpls>
      </m>
      <n v="31" in="1">
        <tpls c="4">
          <tpl fld="7" item="1261"/>
          <tpl fld="6" item="1"/>
          <tpl hier="236" item="0"/>
          <tpl fld="4" item="4"/>
        </tpls>
      </n>
      <m>
        <tpls c="4">
          <tpl fld="7" item="1245"/>
          <tpl fld="6" item="2"/>
          <tpl hier="236" item="0"/>
          <tpl fld="4" item="6"/>
        </tpls>
      </m>
      <m>
        <tpls c="4">
          <tpl fld="7" item="64"/>
          <tpl fld="6" item="1"/>
          <tpl hier="236" item="0"/>
          <tpl fld="4" item="5"/>
        </tpls>
      </m>
      <m>
        <tpls c="4">
          <tpl fld="7" item="112"/>
          <tpl fld="6" item="1"/>
          <tpl hier="236" item="0"/>
          <tpl fld="4" item="1"/>
        </tpls>
      </m>
      <n v="3" in="1">
        <tpls c="4">
          <tpl fld="7" item="1080"/>
          <tpl fld="6" item="1"/>
          <tpl hier="236" item="0"/>
          <tpl fld="4" item="4"/>
        </tpls>
      </n>
      <m>
        <tpls c="4">
          <tpl fld="7" item="1091"/>
          <tpl fld="6" item="2"/>
          <tpl hier="236" item="0"/>
          <tpl fld="4" item="4"/>
        </tpls>
      </m>
      <m>
        <tpls c="4">
          <tpl fld="7" item="1244"/>
          <tpl fld="6" item="2"/>
          <tpl hier="236" item="0"/>
          <tpl fld="1" item="0"/>
        </tpls>
      </m>
      <m>
        <tpls c="4">
          <tpl fld="7" item="1098"/>
          <tpl fld="6" item="2"/>
          <tpl hier="236" item="0"/>
          <tpl fld="4" item="6"/>
        </tpls>
      </m>
      <m>
        <tpls c="4">
          <tpl fld="7" item="1194"/>
          <tpl fld="6" item="1"/>
          <tpl hier="236" item="0"/>
          <tpl fld="4" item="6"/>
        </tpls>
      </m>
      <n v="1" in="2">
        <tpls c="4">
          <tpl fld="7" item="381"/>
          <tpl fld="6" item="2"/>
          <tpl hier="236" item="0"/>
          <tpl fld="1" item="0"/>
        </tpls>
      </n>
      <m>
        <tpls c="4">
          <tpl fld="7" item="724"/>
          <tpl fld="6" item="1"/>
          <tpl hier="236" item="0"/>
          <tpl fld="4" item="5"/>
        </tpls>
      </m>
      <m>
        <tpls c="4">
          <tpl fld="7" item="1102"/>
          <tpl fld="6" item="2"/>
          <tpl hier="236" item="0"/>
          <tpl fld="4" item="4"/>
        </tpls>
      </m>
      <m>
        <tpls c="4">
          <tpl fld="7" item="1157"/>
          <tpl fld="6" item="2"/>
          <tpl hier="236" item="0"/>
          <tpl fld="4" item="1"/>
        </tpls>
      </m>
      <m>
        <tpls c="4">
          <tpl fld="7" item="1124"/>
          <tpl fld="6" item="2"/>
          <tpl hier="236" item="0"/>
          <tpl fld="4" item="5"/>
        </tpls>
      </m>
      <m>
        <tpls c="4">
          <tpl fld="7" item="1114"/>
          <tpl fld="6" item="2"/>
          <tpl hier="236" item="0"/>
          <tpl fld="1" item="0"/>
        </tpls>
      </m>
      <m>
        <tpls c="4">
          <tpl fld="7" item="903"/>
          <tpl fld="6" item="2"/>
          <tpl hier="236" item="0"/>
          <tpl fld="4" item="6"/>
        </tpls>
      </m>
      <m>
        <tpls c="4">
          <tpl fld="7" item="475"/>
          <tpl fld="6" item="1"/>
          <tpl hier="236" item="0"/>
          <tpl fld="4" item="5"/>
        </tpls>
      </m>
      <m>
        <tpls c="4">
          <tpl fld="7" item="18"/>
          <tpl fld="6" item="1"/>
          <tpl hier="236" item="0"/>
          <tpl fld="4" item="1"/>
        </tpls>
      </m>
      <m>
        <tpls c="4">
          <tpl fld="7" item="1192"/>
          <tpl fld="6" item="2"/>
          <tpl hier="236" item="0"/>
          <tpl fld="1" item="0"/>
        </tpls>
      </m>
      <m>
        <tpls c="4">
          <tpl fld="7" item="902"/>
          <tpl fld="6" item="2"/>
          <tpl hier="236" item="0"/>
          <tpl fld="4" item="6"/>
        </tpls>
      </m>
      <m>
        <tpls c="4">
          <tpl fld="7" item="256"/>
          <tpl fld="6" item="1"/>
          <tpl hier="236" item="0"/>
          <tpl fld="4" item="5"/>
        </tpls>
      </m>
      <n v="1" in="2">
        <tpls c="4">
          <tpl fld="7" item="1101"/>
          <tpl fld="6" item="2"/>
          <tpl hier="236" item="0"/>
          <tpl fld="1" item="0"/>
        </tpls>
      </n>
      <m>
        <tpls c="4">
          <tpl fld="7" item="914"/>
          <tpl fld="6" item="2"/>
          <tpl hier="236" item="0"/>
          <tpl fld="4" item="4"/>
        </tpls>
      </m>
      <m>
        <tpls c="4">
          <tpl fld="7" item="228"/>
          <tpl fld="6" item="2"/>
          <tpl hier="236" item="0"/>
          <tpl fld="4" item="6"/>
        </tpls>
      </m>
      <m>
        <tpls c="4">
          <tpl fld="7" item="482"/>
          <tpl fld="6" item="2"/>
          <tpl hier="236" item="0"/>
          <tpl fld="4" item="5"/>
        </tpls>
      </m>
      <m>
        <tpls c="4">
          <tpl fld="7" item="283"/>
          <tpl fld="6" item="1"/>
          <tpl hier="236" item="0"/>
          <tpl fld="4" item="5"/>
        </tpls>
      </m>
      <m>
        <tpls c="4">
          <tpl fld="7" item="777"/>
          <tpl fld="6" item="2"/>
          <tpl hier="236" item="0"/>
          <tpl fld="1" item="0"/>
        </tpls>
      </m>
      <m>
        <tpls c="4">
          <tpl fld="7" item="1220"/>
          <tpl fld="6" item="2"/>
          <tpl hier="236" item="0"/>
          <tpl fld="4" item="5"/>
        </tpls>
      </m>
      <m>
        <tpls c="4">
          <tpl fld="7" item="416"/>
          <tpl fld="6" item="2"/>
          <tpl hier="236" item="0"/>
          <tpl fld="4" item="6"/>
        </tpls>
      </m>
      <m>
        <tpls c="4">
          <tpl fld="7" item="301"/>
          <tpl fld="6" item="1"/>
          <tpl hier="236" item="0"/>
          <tpl fld="4" item="5"/>
        </tpls>
      </m>
      <m>
        <tpls c="4">
          <tpl fld="7" item="1255"/>
          <tpl fld="6" item="1"/>
          <tpl hier="236" item="0"/>
          <tpl fld="4" item="1"/>
        </tpls>
      </m>
      <n v="5" in="1">
        <tpls c="4">
          <tpl fld="7" item="444"/>
          <tpl fld="6" item="1"/>
          <tpl hier="236" item="0"/>
          <tpl fld="4" item="1"/>
        </tpls>
      </n>
      <m>
        <tpls c="4">
          <tpl fld="7" item="132"/>
          <tpl fld="6" item="1"/>
          <tpl hier="236" item="0"/>
          <tpl fld="4" item="1"/>
        </tpls>
      </m>
      <n v="22" in="1">
        <tpls c="4">
          <tpl fld="7" item="683"/>
          <tpl fld="6" item="1"/>
          <tpl hier="236" item="0"/>
          <tpl fld="1" item="0"/>
        </tpls>
      </n>
      <m>
        <tpls c="4">
          <tpl fld="7" item="475"/>
          <tpl fld="6" item="1"/>
          <tpl hier="236" item="0"/>
          <tpl fld="1" item="0"/>
        </tpls>
      </m>
      <m>
        <tpls c="4">
          <tpl fld="7" item="1126"/>
          <tpl fld="6" item="2"/>
          <tpl hier="236" item="0"/>
          <tpl fld="4" item="4"/>
        </tpls>
      </m>
      <n v="0.89999999999999991" in="2">
        <tpls c="4">
          <tpl fld="7" item="677"/>
          <tpl fld="6" item="2"/>
          <tpl hier="236" item="0"/>
          <tpl fld="4" item="6"/>
        </tpls>
      </n>
      <n v="3" in="1">
        <tpls c="4">
          <tpl fld="7" item="384"/>
          <tpl fld="6" item="1"/>
          <tpl hier="236" item="0"/>
          <tpl fld="4" item="1"/>
        </tpls>
      </n>
      <m>
        <tpls c="4">
          <tpl fld="7" item="424"/>
          <tpl fld="6" item="1"/>
          <tpl hier="236" item="0"/>
          <tpl fld="1" item="0"/>
        </tpls>
      </m>
      <m>
        <tpls c="4">
          <tpl fld="7" item="472"/>
          <tpl fld="6" item="1"/>
          <tpl hier="236" item="0"/>
          <tpl fld="4" item="6"/>
        </tpls>
      </m>
      <m>
        <tpls c="4">
          <tpl fld="7" item="1054"/>
          <tpl fld="6" item="2"/>
          <tpl hier="236" item="0"/>
          <tpl fld="4" item="4"/>
        </tpls>
      </m>
      <m>
        <tpls c="4">
          <tpl fld="7" item="186"/>
          <tpl fld="6" item="2"/>
          <tpl hier="236" item="0"/>
          <tpl fld="4" item="6"/>
        </tpls>
      </m>
      <m>
        <tpls c="4">
          <tpl fld="7" item="25"/>
          <tpl fld="6" item="1"/>
          <tpl hier="236" item="0"/>
          <tpl fld="4" item="6"/>
        </tpls>
      </m>
      <n v="2" in="1">
        <tpls c="4">
          <tpl fld="7" item="913"/>
          <tpl fld="6" item="1"/>
          <tpl hier="236" item="0"/>
          <tpl fld="4" item="6"/>
        </tpls>
      </n>
      <m>
        <tpls c="4">
          <tpl fld="7" item="600"/>
          <tpl fld="6" item="2"/>
          <tpl hier="236" item="0"/>
          <tpl fld="4" item="6"/>
        </tpls>
      </m>
      <m>
        <tpls c="4">
          <tpl fld="7" item="1013"/>
          <tpl fld="6" item="1"/>
          <tpl hier="236" item="0"/>
          <tpl fld="4" item="1"/>
        </tpls>
      </m>
      <m>
        <tpls c="4">
          <tpl fld="7" item="357"/>
          <tpl fld="6" item="1"/>
          <tpl hier="236" item="0"/>
          <tpl fld="1" item="0"/>
        </tpls>
      </m>
      <m>
        <tpls c="4">
          <tpl fld="7" item="26"/>
          <tpl fld="6" item="1"/>
          <tpl hier="236" item="0"/>
          <tpl fld="4" item="6"/>
        </tpls>
      </m>
      <m>
        <tpls c="4">
          <tpl fld="7" item="957"/>
          <tpl fld="6" item="2"/>
          <tpl hier="236" item="0"/>
          <tpl fld="4" item="4"/>
        </tpls>
      </m>
      <m>
        <tpls c="4">
          <tpl fld="7" item="443"/>
          <tpl fld="6" item="1"/>
          <tpl hier="236" item="0"/>
          <tpl fld="4" item="5"/>
        </tpls>
      </m>
      <m>
        <tpls c="3">
          <tpl fld="7" item="234"/>
          <tpl fld="6" item="3"/>
          <tpl hier="236" item="0"/>
        </tpls>
      </m>
      <n v="3" in="1">
        <tpls c="4">
          <tpl fld="7" item="1051"/>
          <tpl fld="6" item="1"/>
          <tpl hier="236" item="0"/>
          <tpl fld="4" item="4"/>
        </tpls>
      </n>
      <m>
        <tpls c="4">
          <tpl fld="7" item="987"/>
          <tpl fld="6" item="2"/>
          <tpl hier="236" item="0"/>
          <tpl fld="4" item="4"/>
        </tpls>
      </m>
      <m>
        <tpls c="4">
          <tpl fld="7" item="1285"/>
          <tpl fld="6" item="2"/>
          <tpl hier="236" item="0"/>
          <tpl fld="4" item="1"/>
        </tpls>
      </m>
      <m>
        <tpls c="4">
          <tpl fld="7" item="740"/>
          <tpl fld="6" item="1"/>
          <tpl hier="236" item="0"/>
          <tpl fld="4" item="5"/>
        </tpls>
      </m>
      <m>
        <tpls c="4">
          <tpl fld="7" item="960"/>
          <tpl fld="6" item="1"/>
          <tpl hier="236" item="0"/>
          <tpl fld="4" item="4"/>
        </tpls>
      </m>
      <n v="1" in="1">
        <tpls c="4">
          <tpl fld="7" item="805"/>
          <tpl fld="6" item="1"/>
          <tpl hier="236" item="0"/>
          <tpl fld="4" item="5"/>
        </tpls>
      </n>
      <n v="2" in="1">
        <tpls c="4">
          <tpl fld="7" item="1244"/>
          <tpl fld="6" item="1"/>
          <tpl hier="236" item="0"/>
          <tpl fld="4" item="4"/>
        </tpls>
      </n>
      <m>
        <tpls c="4">
          <tpl fld="7" item="184"/>
          <tpl fld="6" item="2"/>
          <tpl hier="236" item="0"/>
          <tpl fld="1" item="0"/>
        </tpls>
      </m>
      <n v="1" in="1">
        <tpls c="4">
          <tpl fld="7" item="1260"/>
          <tpl fld="6" item="1"/>
          <tpl hier="236" item="0"/>
          <tpl fld="4" item="4"/>
        </tpls>
      </n>
      <m>
        <tpls c="4">
          <tpl fld="7" item="84"/>
          <tpl fld="6" item="2"/>
          <tpl hier="236" item="0"/>
          <tpl fld="4" item="6"/>
        </tpls>
      </m>
      <n v="0" in="1">
        <tpls c="4">
          <tpl fld="7" item="107"/>
          <tpl fld="6" item="1"/>
          <tpl hier="236" item="0"/>
          <tpl fld="4" item="1"/>
        </tpls>
      </n>
      <m>
        <tpls c="4">
          <tpl fld="7" item="1076"/>
          <tpl fld="6" item="1"/>
          <tpl hier="236" item="0"/>
          <tpl fld="4" item="4"/>
        </tpls>
      </m>
      <m>
        <tpls c="4">
          <tpl fld="7" item="673"/>
          <tpl fld="6" item="2"/>
          <tpl hier="236" item="0"/>
          <tpl fld="4" item="5"/>
        </tpls>
      </m>
      <m>
        <tpls c="4">
          <tpl fld="7" item="1005"/>
          <tpl fld="6" item="2"/>
          <tpl hier="236" item="0"/>
          <tpl fld="4" item="6"/>
        </tpls>
      </m>
      <m>
        <tpls c="4">
          <tpl fld="7" item="239"/>
          <tpl fld="6" item="2"/>
          <tpl hier="236" item="0"/>
          <tpl fld="4" item="6"/>
        </tpls>
      </m>
      <m>
        <tpls c="4">
          <tpl fld="7" item="96"/>
          <tpl fld="6" item="1"/>
          <tpl hier="236" item="0"/>
          <tpl fld="4" item="5"/>
        </tpls>
      </m>
      <m>
        <tpls c="4">
          <tpl fld="7" item="960"/>
          <tpl fld="6" item="1"/>
          <tpl hier="236" item="0"/>
          <tpl fld="4" item="1"/>
        </tpls>
      </m>
      <m>
        <tpls c="4">
          <tpl fld="7" item="1244"/>
          <tpl fld="6" item="1"/>
          <tpl hier="236" item="0"/>
          <tpl fld="4" item="1"/>
        </tpls>
      </m>
      <m>
        <tpls c="4">
          <tpl fld="7" item="316"/>
          <tpl fld="6" item="1"/>
          <tpl hier="236" item="0"/>
          <tpl fld="4" item="1"/>
        </tpls>
      </m>
      <m>
        <tpls c="4">
          <tpl fld="7" item="249"/>
          <tpl fld="6" item="1"/>
          <tpl hier="236" item="0"/>
          <tpl fld="4" item="1"/>
        </tpls>
      </m>
      <m>
        <tpls c="4">
          <tpl fld="7" item="1096"/>
          <tpl fld="6" item="2"/>
          <tpl hier="236" item="0"/>
          <tpl fld="4" item="5"/>
        </tpls>
      </m>
      <n v="6" in="1">
        <tpls c="4">
          <tpl fld="7" item="1105"/>
          <tpl fld="6" item="1"/>
          <tpl hier="236" item="0"/>
          <tpl fld="4" item="4"/>
        </tpls>
      </n>
      <n v="4" in="1">
        <tpls c="4">
          <tpl fld="7" item="1232"/>
          <tpl fld="6" item="1"/>
          <tpl hier="236" item="0"/>
          <tpl fld="4" item="4"/>
        </tpls>
      </n>
      <m>
        <tpls c="4">
          <tpl fld="7" item="219"/>
          <tpl fld="6" item="2"/>
          <tpl hier="236" item="0"/>
          <tpl fld="1" item="0"/>
        </tpls>
      </m>
      <m>
        <tpls c="4">
          <tpl fld="7" item="597"/>
          <tpl fld="6" item="2"/>
          <tpl hier="236" item="0"/>
          <tpl fld="4" item="5"/>
        </tpls>
      </m>
      <m>
        <tpls c="4">
          <tpl fld="7" item="336"/>
          <tpl fld="6" item="2"/>
          <tpl hier="236" item="0"/>
          <tpl fld="4" item="5"/>
        </tpls>
      </m>
      <m>
        <tpls c="4">
          <tpl fld="7" item="856"/>
          <tpl fld="6" item="2"/>
          <tpl hier="236" item="0"/>
          <tpl fld="4" item="6"/>
        </tpls>
      </m>
      <m>
        <tpls c="4">
          <tpl fld="7" item="321"/>
          <tpl fld="6" item="2"/>
          <tpl hier="236" item="0"/>
          <tpl fld="4" item="6"/>
        </tpls>
      </m>
      <m>
        <tpls c="4">
          <tpl fld="7" item="472"/>
          <tpl fld="6" item="2"/>
          <tpl hier="236" item="0"/>
          <tpl fld="4" item="6"/>
        </tpls>
      </m>
      <m>
        <tpls c="4">
          <tpl fld="7" item="763"/>
          <tpl fld="6" item="1"/>
          <tpl hier="236" item="0"/>
          <tpl fld="4" item="5"/>
        </tpls>
      </m>
      <m>
        <tpls c="4">
          <tpl fld="7" item="413"/>
          <tpl fld="6" item="1"/>
          <tpl hier="236" item="0"/>
          <tpl fld="4" item="5"/>
        </tpls>
      </m>
      <m>
        <tpls c="4">
          <tpl fld="7" item="1205"/>
          <tpl fld="6" item="1"/>
          <tpl hier="236" item="0"/>
          <tpl fld="4" item="1"/>
        </tpls>
      </m>
      <m>
        <tpls c="4">
          <tpl fld="7" item="841"/>
          <tpl fld="6" item="1"/>
          <tpl hier="236" item="0"/>
          <tpl fld="4" item="1"/>
        </tpls>
      </m>
      <m>
        <tpls c="4">
          <tpl fld="7" item="303"/>
          <tpl fld="6" item="1"/>
          <tpl hier="236" item="0"/>
          <tpl fld="4" item="1"/>
        </tpls>
      </m>
      <m>
        <tpls c="4">
          <tpl fld="7" item="332"/>
          <tpl fld="6" item="1"/>
          <tpl hier="236" item="0"/>
          <tpl fld="4" item="1"/>
        </tpls>
      </m>
      <n v="7" in="1">
        <tpls c="4">
          <tpl fld="7" item="1105"/>
          <tpl fld="6" item="1"/>
          <tpl hier="236" item="0"/>
          <tpl fld="1" item="0"/>
        </tpls>
      </n>
      <m>
        <tpls c="4">
          <tpl fld="7" item="191"/>
          <tpl fld="6" item="1"/>
          <tpl hier="236" item="0"/>
          <tpl fld="1" item="0"/>
        </tpls>
      </m>
      <m>
        <tpls c="4">
          <tpl fld="7" item="708"/>
          <tpl fld="6" item="1"/>
          <tpl hier="236" item="0"/>
          <tpl fld="4" item="6"/>
        </tpls>
      </m>
      <n v="1.9" in="2">
        <tpls c="4">
          <tpl fld="7" item="677"/>
          <tpl fld="6" item="2"/>
          <tpl hier="236" item="0"/>
          <tpl fld="1" item="0"/>
        </tpls>
      </n>
      <n v="3" in="2">
        <tpls c="4">
          <tpl fld="7" item="683"/>
          <tpl fld="6" item="2"/>
          <tpl hier="236" item="0"/>
          <tpl fld="4" item="6"/>
        </tpls>
      </n>
      <m>
        <tpls c="4">
          <tpl fld="7" item="137"/>
          <tpl fld="6" item="1"/>
          <tpl hier="236" item="0"/>
          <tpl fld="4" item="5"/>
        </tpls>
      </m>
      <m>
        <tpls c="4">
          <tpl fld="7" item="233"/>
          <tpl fld="6" item="1"/>
          <tpl hier="236" item="0"/>
          <tpl fld="4" item="1"/>
        </tpls>
      </m>
      <m>
        <tpls c="4">
          <tpl fld="7" item="307"/>
          <tpl fld="6" item="1"/>
          <tpl hier="236" item="0"/>
          <tpl fld="1" item="0"/>
        </tpls>
      </m>
      <m>
        <tpls c="4">
          <tpl fld="7" item="239"/>
          <tpl fld="6" item="1"/>
          <tpl hier="236" item="0"/>
          <tpl fld="4" item="6"/>
        </tpls>
      </m>
      <m>
        <tpls c="3">
          <tpl fld="7" item="221"/>
          <tpl fld="6" item="3"/>
          <tpl hier="236" item="0"/>
        </tpls>
      </m>
      <m>
        <tpls c="4">
          <tpl fld="7" item="630"/>
          <tpl fld="6" item="2"/>
          <tpl hier="236" item="0"/>
          <tpl fld="4" item="4"/>
        </tpls>
      </m>
      <m>
        <tpls c="4">
          <tpl fld="7" item="180"/>
          <tpl fld="6" item="1"/>
          <tpl hier="236" item="0"/>
          <tpl fld="4" item="5"/>
        </tpls>
      </m>
      <m>
        <tpls c="4">
          <tpl fld="7" item="631"/>
          <tpl fld="6" item="1"/>
          <tpl hier="236" item="0"/>
          <tpl fld="4" item="6"/>
        </tpls>
      </m>
      <n v="30" in="1">
        <tpls c="4">
          <tpl fld="7" item="1213"/>
          <tpl fld="6" item="1"/>
          <tpl hier="236" item="0"/>
          <tpl fld="1" item="0"/>
        </tpls>
      </n>
      <m>
        <tpls c="4">
          <tpl fld="7" item="840"/>
          <tpl fld="6" item="2"/>
          <tpl hier="236" item="0"/>
          <tpl fld="4" item="5"/>
        </tpls>
      </m>
      <m>
        <tpls c="4">
          <tpl fld="7" item="180"/>
          <tpl fld="6" item="2"/>
          <tpl hier="236" item="0"/>
          <tpl fld="4" item="6"/>
        </tpls>
      </m>
      <m>
        <tpls c="4">
          <tpl fld="7" item="1182"/>
          <tpl fld="6" item="1"/>
          <tpl hier="236" item="0"/>
          <tpl fld="4" item="1"/>
        </tpls>
      </m>
      <n v="1" in="1">
        <tpls c="4">
          <tpl fld="7" item="908"/>
          <tpl fld="6" item="1"/>
          <tpl hier="236" item="0"/>
          <tpl fld="1" item="0"/>
        </tpls>
      </n>
      <m>
        <tpls c="4">
          <tpl fld="7" item="672"/>
          <tpl fld="6" item="1"/>
          <tpl hier="236" item="0"/>
          <tpl fld="1" item="0"/>
        </tpls>
      </m>
      <m>
        <tpls c="4">
          <tpl fld="7" item="216"/>
          <tpl fld="6" item="1"/>
          <tpl hier="236" item="0"/>
          <tpl fld="4" item="6"/>
        </tpls>
      </m>
      <m>
        <tpls c="4">
          <tpl fld="7" item="963"/>
          <tpl fld="6" item="2"/>
          <tpl hier="236" item="0"/>
          <tpl fld="4" item="4"/>
        </tpls>
      </m>
      <m>
        <tpls c="4">
          <tpl fld="7" item="131"/>
          <tpl fld="6" item="2"/>
          <tpl hier="236" item="0"/>
          <tpl fld="4" item="4"/>
        </tpls>
      </m>
      <n v="11" in="1">
        <tpls c="4">
          <tpl fld="7" item="1219"/>
          <tpl fld="6" item="1"/>
          <tpl hier="236" item="0"/>
          <tpl fld="1" item="0"/>
        </tpls>
      </n>
      <m>
        <tpls c="4">
          <tpl fld="7" item="1169"/>
          <tpl fld="6" item="2"/>
          <tpl hier="236" item="0"/>
          <tpl fld="4" item="4"/>
        </tpls>
      </m>
      <m>
        <tpls c="3">
          <tpl fld="7" item="861"/>
          <tpl fld="6" item="3"/>
          <tpl hier="236" item="0"/>
        </tpls>
      </m>
      <m>
        <tpls c="4">
          <tpl fld="7" item="111"/>
          <tpl fld="6" item="2"/>
          <tpl hier="236" item="0"/>
          <tpl fld="4" item="5"/>
        </tpls>
      </m>
      <m>
        <tpls c="4">
          <tpl fld="7" item="350"/>
          <tpl fld="6" item="1"/>
          <tpl hier="236" item="0"/>
          <tpl fld="4" item="5"/>
        </tpls>
      </m>
      <m>
        <tpls c="4">
          <tpl fld="7" item="337"/>
          <tpl fld="6" item="1"/>
          <tpl hier="236" item="0"/>
          <tpl fld="4" item="1"/>
        </tpls>
      </m>
      <m>
        <tpls c="4">
          <tpl fld="7" item="354"/>
          <tpl fld="6" item="1"/>
          <tpl hier="236" item="0"/>
          <tpl fld="1" item="0"/>
        </tpls>
      </m>
      <n v="4" in="1">
        <tpls c="4">
          <tpl fld="7" item="829"/>
          <tpl fld="6" item="1"/>
          <tpl hier="236" item="0"/>
          <tpl fld="4" item="6"/>
        </tpls>
      </n>
      <m>
        <tpls c="3">
          <tpl fld="7" item="240"/>
          <tpl fld="6" item="3"/>
          <tpl hier="236" item="0"/>
        </tpls>
      </m>
      <m>
        <tpls c="4">
          <tpl fld="7" item="1273"/>
          <tpl fld="6" item="2"/>
          <tpl hier="236" item="0"/>
          <tpl fld="4" item="4"/>
        </tpls>
      </m>
      <n v="3" in="1">
        <tpls c="4">
          <tpl fld="7" item="811"/>
          <tpl fld="6" item="1"/>
          <tpl hier="236" item="0"/>
          <tpl fld="4" item="1"/>
        </tpls>
      </n>
      <m>
        <tpls c="4">
          <tpl fld="7" item="349"/>
          <tpl fld="6" item="2"/>
          <tpl hier="236" item="0"/>
          <tpl fld="4" item="5"/>
        </tpls>
      </m>
      <m>
        <tpls c="4">
          <tpl fld="7" item="130"/>
          <tpl fld="6" item="1"/>
          <tpl hier="236" item="0"/>
          <tpl fld="4" item="1"/>
        </tpls>
      </m>
      <m>
        <tpls c="3">
          <tpl fld="7" item="227"/>
          <tpl fld="6" item="3"/>
          <tpl hier="236" item="0"/>
        </tpls>
      </m>
      <m>
        <tpls c="4">
          <tpl fld="7" item="720"/>
          <tpl fld="6" item="2"/>
          <tpl hier="236" item="0"/>
          <tpl fld="1" item="0"/>
        </tpls>
      </m>
      <m>
        <tpls c="3">
          <tpl fld="7" item="820"/>
          <tpl fld="6" item="3"/>
          <tpl hier="236" item="0"/>
        </tpls>
      </m>
      <m>
        <tpls c="4">
          <tpl fld="7" item="416"/>
          <tpl fld="6" item="2"/>
          <tpl hier="236" item="0"/>
          <tpl fld="1" item="0"/>
        </tpls>
      </m>
      <n v="1" in="1">
        <tpls c="4">
          <tpl fld="7" item="1277"/>
          <tpl fld="6" item="1"/>
          <tpl hier="236" item="0"/>
          <tpl fld="4" item="4"/>
        </tpls>
      </n>
      <m>
        <tpls c="4">
          <tpl fld="7" item="514"/>
          <tpl fld="6" item="2"/>
          <tpl hier="236" item="0"/>
          <tpl fld="4" item="5"/>
        </tpls>
      </m>
      <m>
        <tpls c="4">
          <tpl fld="7" item="212"/>
          <tpl fld="6" item="2"/>
          <tpl hier="236" item="0"/>
          <tpl fld="4" item="6"/>
        </tpls>
      </m>
      <n v="4" in="1">
        <tpls c="4">
          <tpl fld="7" item="834"/>
          <tpl fld="6" item="1"/>
          <tpl hier="236" item="0"/>
          <tpl fld="1" item="0"/>
        </tpls>
      </n>
      <m>
        <tpls c="4">
          <tpl fld="7" item="321"/>
          <tpl fld="6" item="2"/>
          <tpl hier="236" item="0"/>
          <tpl fld="4" item="5"/>
        </tpls>
      </m>
      <m>
        <tpls c="4">
          <tpl fld="7" item="105"/>
          <tpl fld="6" item="2"/>
          <tpl hier="236" item="0"/>
          <tpl fld="4" item="6"/>
        </tpls>
      </m>
      <m>
        <tpls c="4">
          <tpl fld="7" item="92"/>
          <tpl fld="6" item="1"/>
          <tpl hier="236" item="0"/>
          <tpl fld="4" item="5"/>
        </tpls>
      </m>
      <n v="0" in="1">
        <tpls c="4">
          <tpl fld="7" item="1110"/>
          <tpl fld="6" item="1"/>
          <tpl hier="236" item="0"/>
          <tpl fld="4" item="1"/>
        </tpls>
      </n>
      <m>
        <tpls c="4">
          <tpl fld="7" item="246"/>
          <tpl fld="6" item="1"/>
          <tpl hier="236" item="0"/>
          <tpl fld="4" item="1"/>
        </tpls>
      </m>
      <m>
        <tpls c="4">
          <tpl fld="7" item="1004"/>
          <tpl fld="6" item="1"/>
          <tpl hier="236" item="0"/>
          <tpl fld="4" item="6"/>
        </tpls>
      </m>
      <m>
        <tpls c="4">
          <tpl fld="7" item="471"/>
          <tpl fld="6" item="2"/>
          <tpl hier="236" item="0"/>
          <tpl fld="1" item="0"/>
        </tpls>
      </m>
      <m>
        <tpls c="4">
          <tpl fld="7" item="266"/>
          <tpl fld="6" item="2"/>
          <tpl hier="236" item="0"/>
          <tpl fld="4" item="5"/>
        </tpls>
      </m>
      <m>
        <tpls c="4">
          <tpl fld="7" item="318"/>
          <tpl fld="6" item="2"/>
          <tpl hier="236" item="0"/>
          <tpl fld="4" item="6"/>
        </tpls>
      </m>
      <m>
        <tpls c="4">
          <tpl fld="7" item="1237"/>
          <tpl fld="6" item="1"/>
          <tpl hier="236" item="0"/>
          <tpl fld="4" item="5"/>
        </tpls>
      </m>
      <m>
        <tpls c="4">
          <tpl fld="7" item="437"/>
          <tpl fld="6" item="1"/>
          <tpl hier="236" item="0"/>
          <tpl fld="4" item="5"/>
        </tpls>
      </m>
      <m>
        <tpls c="4">
          <tpl fld="7" item="925"/>
          <tpl fld="6" item="2"/>
          <tpl hier="236" item="0"/>
          <tpl fld="4" item="6"/>
        </tpls>
      </m>
      <m>
        <tpls c="4">
          <tpl fld="7" item="38"/>
          <tpl fld="6" item="1"/>
          <tpl hier="236" item="0"/>
          <tpl fld="4" item="5"/>
        </tpls>
      </m>
      <m>
        <tpls c="3">
          <tpl fld="7" item="340"/>
          <tpl fld="6" item="3"/>
          <tpl hier="236" item="0"/>
        </tpls>
      </m>
      <m>
        <tpls c="4">
          <tpl fld="7" item="401"/>
          <tpl fld="6" item="2"/>
          <tpl hier="236" item="0"/>
          <tpl fld="4" item="5"/>
        </tpls>
      </m>
      <n v="4" in="1">
        <tpls c="4">
          <tpl fld="7" item="997"/>
          <tpl fld="6" item="1"/>
          <tpl hier="236" item="0"/>
          <tpl fld="1" item="0"/>
        </tpls>
      </n>
      <m>
        <tpls c="4">
          <tpl fld="7" item="721"/>
          <tpl fld="6" item="2"/>
          <tpl hier="236" item="0"/>
          <tpl fld="4" item="1"/>
        </tpls>
      </m>
      <n v="1" in="1">
        <tpls c="4">
          <tpl fld="7" item="1286"/>
          <tpl fld="6" item="1"/>
          <tpl hier="236" item="0"/>
          <tpl fld="4" item="6"/>
        </tpls>
      </n>
      <m>
        <tpls c="4">
          <tpl fld="7" item="1223"/>
          <tpl fld="6" item="2"/>
          <tpl hier="236" item="0"/>
          <tpl fld="1" item="0"/>
        </tpls>
      </m>
      <m>
        <tpls c="4">
          <tpl fld="7" item="1278"/>
          <tpl fld="6" item="1"/>
          <tpl hier="236" item="0"/>
          <tpl fld="4" item="5"/>
        </tpls>
      </m>
      <m>
        <tpls c="4">
          <tpl fld="7" item="484"/>
          <tpl fld="6" item="1"/>
          <tpl hier="236" item="0"/>
          <tpl fld="4" item="1"/>
        </tpls>
      </m>
      <m>
        <tpls c="4">
          <tpl fld="7" item="757"/>
          <tpl fld="6" item="2"/>
          <tpl hier="236" item="0"/>
          <tpl fld="1" item="0"/>
        </tpls>
      </m>
      <n v="3" in="2">
        <tpls c="4">
          <tpl fld="7" item="517"/>
          <tpl fld="6" item="2"/>
          <tpl hier="236" item="0"/>
          <tpl fld="4" item="6"/>
        </tpls>
      </n>
      <m>
        <tpls c="4">
          <tpl fld="7" item="1184"/>
          <tpl fld="6" item="1"/>
          <tpl hier="236" item="0"/>
          <tpl fld="4" item="1"/>
        </tpls>
      </m>
      <n v="3" in="1">
        <tpls c="4">
          <tpl fld="7" item="1220"/>
          <tpl fld="6" item="1"/>
          <tpl hier="236" item="0"/>
          <tpl fld="1" item="0"/>
        </tpls>
      </n>
      <m>
        <tpls c="4">
          <tpl fld="7" item="143"/>
          <tpl fld="6" item="2"/>
          <tpl hier="236" item="0"/>
          <tpl fld="4" item="5"/>
        </tpls>
      </m>
      <m>
        <tpls c="4">
          <tpl fld="7" item="122"/>
          <tpl fld="6" item="1"/>
          <tpl hier="236" item="0"/>
          <tpl fld="4" item="6"/>
        </tpls>
      </m>
      <m>
        <tpls c="4">
          <tpl fld="7" item="19"/>
          <tpl fld="6" item="1"/>
          <tpl hier="236" item="0"/>
          <tpl fld="1" item="0"/>
        </tpls>
      </m>
      <n v="1" in="1">
        <tpls c="4">
          <tpl fld="7" item="1142"/>
          <tpl fld="6" item="1"/>
          <tpl hier="236" item="0"/>
          <tpl fld="4" item="1"/>
        </tpls>
      </n>
      <m>
        <tpls c="4">
          <tpl fld="7" item="974"/>
          <tpl fld="6" item="2"/>
          <tpl hier="236" item="0"/>
          <tpl fld="4" item="4"/>
        </tpls>
      </m>
      <n v="24" in="1">
        <tpls c="4">
          <tpl fld="7" item="1015"/>
          <tpl fld="6" item="1"/>
          <tpl hier="236" item="0"/>
          <tpl fld="4" item="4"/>
        </tpls>
      </n>
      <m>
        <tpls c="4">
          <tpl fld="7" item="53"/>
          <tpl fld="6" item="1"/>
          <tpl hier="236" item="0"/>
          <tpl fld="4" item="1"/>
        </tpls>
      </m>
      <m>
        <tpls c="3">
          <tpl fld="7" item="566"/>
          <tpl fld="6" item="3"/>
          <tpl hier="236" item="0"/>
        </tpls>
      </m>
      <m>
        <tpls c="4">
          <tpl fld="7" item="682"/>
          <tpl fld="6" item="2"/>
          <tpl hier="236" item="0"/>
          <tpl fld="1" item="0"/>
        </tpls>
      </m>
      <m>
        <tpls c="4">
          <tpl fld="7" item="1137"/>
          <tpl fld="6" item="2"/>
          <tpl hier="236" item="0"/>
          <tpl fld="4" item="4"/>
        </tpls>
      </m>
      <m>
        <tpls c="4">
          <tpl fld="7" item="1277"/>
          <tpl fld="6" item="2"/>
          <tpl hier="236" item="0"/>
          <tpl fld="1" item="0"/>
        </tpls>
      </m>
      <m>
        <tpls c="3">
          <tpl fld="7" item="912"/>
          <tpl fld="6" item="3"/>
          <tpl hier="236" item="0"/>
        </tpls>
      </m>
      <m>
        <tpls c="4">
          <tpl fld="7" item="724"/>
          <tpl fld="6" item="2"/>
          <tpl hier="236" item="0"/>
          <tpl fld="4" item="5"/>
        </tpls>
      </m>
      <m>
        <tpls c="4">
          <tpl fld="7" item="951"/>
          <tpl fld="6" item="2"/>
          <tpl hier="236" item="0"/>
          <tpl fld="4" item="1"/>
        </tpls>
      </m>
      <m>
        <tpls c="4">
          <tpl fld="7" item="1111"/>
          <tpl fld="6" item="2"/>
          <tpl hier="236" item="0"/>
          <tpl fld="1" item="0"/>
        </tpls>
      </m>
      <m>
        <tpls c="4">
          <tpl fld="7" item="257"/>
          <tpl fld="6" item="1"/>
          <tpl hier="236" item="0"/>
          <tpl fld="4" item="5"/>
        </tpls>
      </m>
      <n v="0.8" in="2">
        <tpls c="4">
          <tpl fld="7" item="1217"/>
          <tpl fld="6" item="2"/>
          <tpl hier="236" item="0"/>
          <tpl fld="1" item="0"/>
        </tpls>
      </n>
      <m>
        <tpls c="4">
          <tpl fld="7" item="130"/>
          <tpl fld="6" item="2"/>
          <tpl hier="236" item="0"/>
          <tpl fld="4" item="5"/>
        </tpls>
      </m>
      <m>
        <tpls c="4">
          <tpl fld="7" item="235"/>
          <tpl fld="6" item="2"/>
          <tpl hier="236" item="0"/>
          <tpl fld="4" item="6"/>
        </tpls>
      </m>
      <n v="3" in="1">
        <tpls c="4">
          <tpl fld="7" item="972"/>
          <tpl fld="6" item="1"/>
          <tpl hier="236" item="0"/>
          <tpl fld="4" item="1"/>
        </tpls>
      </n>
      <m>
        <tpls c="4">
          <tpl fld="7" item="324"/>
          <tpl fld="6" item="1"/>
          <tpl hier="236" item="0"/>
          <tpl fld="4" item="1"/>
        </tpls>
      </m>
      <n v="17" in="1">
        <tpls c="4">
          <tpl fld="7" item="643"/>
          <tpl fld="6" item="1"/>
          <tpl hier="236" item="0"/>
          <tpl fld="4" item="1"/>
        </tpls>
      </n>
      <m>
        <tpls c="4">
          <tpl fld="7" item="1267"/>
          <tpl fld="6" item="1"/>
          <tpl hier="236" item="0"/>
          <tpl fld="4" item="4"/>
        </tpls>
      </m>
      <m>
        <tpls c="4">
          <tpl fld="7" item="878"/>
          <tpl fld="6" item="2"/>
          <tpl hier="236" item="0"/>
          <tpl fld="4" item="5"/>
        </tpls>
      </m>
      <m>
        <tpls c="4">
          <tpl fld="7" item="865"/>
          <tpl fld="6" item="2"/>
          <tpl hier="236" item="0"/>
          <tpl fld="4" item="6"/>
        </tpls>
      </m>
      <m>
        <tpls c="4">
          <tpl fld="7" item="334"/>
          <tpl fld="6" item="2"/>
          <tpl hier="236" item="0"/>
          <tpl fld="4" item="6"/>
        </tpls>
      </m>
      <m>
        <tpls c="4">
          <tpl fld="7" item="593"/>
          <tpl fld="6" item="1"/>
          <tpl hier="236" item="0"/>
          <tpl fld="4" item="5"/>
        </tpls>
      </m>
      <n v="1" in="1">
        <tpls c="4">
          <tpl fld="7" item="850"/>
          <tpl fld="6" item="1"/>
          <tpl hier="236" item="0"/>
          <tpl fld="4" item="1"/>
        </tpls>
      </n>
      <m>
        <tpls c="4">
          <tpl fld="7" item="405"/>
          <tpl fld="6" item="1"/>
          <tpl hier="236" item="0"/>
          <tpl fld="4" item="1"/>
        </tpls>
      </m>
      <m>
        <tpls c="4">
          <tpl fld="7" item="489"/>
          <tpl fld="6" item="1"/>
          <tpl hier="236" item="0"/>
          <tpl fld="1" item="0"/>
        </tpls>
      </m>
      <m>
        <tpls c="4">
          <tpl fld="7" item="1047"/>
          <tpl fld="6" item="1"/>
          <tpl hier="236" item="0"/>
          <tpl fld="4" item="4"/>
        </tpls>
      </m>
      <m>
        <tpls c="4">
          <tpl fld="7" item="187"/>
          <tpl fld="6" item="1"/>
          <tpl hier="236" item="0"/>
          <tpl fld="4" item="5"/>
        </tpls>
      </m>
      <m>
        <tpls c="4">
          <tpl fld="7" item="319"/>
          <tpl fld="6" item="1"/>
          <tpl hier="236" item="0"/>
          <tpl fld="1" item="0"/>
        </tpls>
      </m>
      <m>
        <tpls c="3">
          <tpl fld="7" item="120"/>
          <tpl fld="6" item="3"/>
          <tpl hier="236" item="0"/>
        </tpls>
      </m>
      <m>
        <tpls c="4">
          <tpl fld="7" item="867"/>
          <tpl fld="6" item="1"/>
          <tpl hier="236" item="0"/>
          <tpl fld="4" item="5"/>
        </tpls>
      </m>
      <m>
        <tpls c="4">
          <tpl fld="7" item="229"/>
          <tpl fld="6" item="2"/>
          <tpl hier="236" item="0"/>
          <tpl fld="4" item="4"/>
        </tpls>
      </m>
      <m>
        <tpls c="4">
          <tpl fld="7" item="595"/>
          <tpl fld="6" item="2"/>
          <tpl hier="236" item="0"/>
          <tpl fld="4" item="6"/>
        </tpls>
      </m>
      <m>
        <tpls c="4">
          <tpl fld="7" item="1128"/>
          <tpl fld="6" item="1"/>
          <tpl hier="236" item="0"/>
          <tpl fld="1" item="0"/>
        </tpls>
      </m>
      <m>
        <tpls c="4">
          <tpl fld="7" item="127"/>
          <tpl fld="6" item="1"/>
          <tpl hier="236" item="0"/>
          <tpl fld="4" item="6"/>
        </tpls>
      </m>
      <m>
        <tpls c="4">
          <tpl fld="7" item="125"/>
          <tpl fld="6" item="2"/>
          <tpl hier="236" item="0"/>
          <tpl fld="4" item="4"/>
        </tpls>
      </m>
      <m>
        <tpls c="4">
          <tpl fld="7" item="480"/>
          <tpl fld="6" item="2"/>
          <tpl hier="236" item="0"/>
          <tpl fld="4" item="5"/>
        </tpls>
      </m>
      <m>
        <tpls c="4">
          <tpl fld="7" item="331"/>
          <tpl fld="6" item="1"/>
          <tpl hier="236" item="0"/>
          <tpl fld="4" item="5"/>
        </tpls>
      </m>
      <m>
        <tpls c="4">
          <tpl fld="7" item="1004"/>
          <tpl fld="6" item="1"/>
          <tpl hier="236" item="0"/>
          <tpl fld="1" item="0"/>
        </tpls>
      </m>
      <m>
        <tpls c="4">
          <tpl fld="7" item="233"/>
          <tpl fld="6" item="1"/>
          <tpl hier="236" item="0"/>
          <tpl fld="1" item="0"/>
        </tpls>
      </m>
      <m>
        <tpls c="3">
          <tpl fld="7" item="220"/>
          <tpl fld="6" item="3"/>
          <tpl hier="236" item="0"/>
        </tpls>
      </m>
      <m>
        <tpls c="4">
          <tpl fld="7" item="119"/>
          <tpl fld="6" item="2"/>
          <tpl hier="236" item="0"/>
          <tpl fld="4" item="4"/>
        </tpls>
      </m>
      <m>
        <tpls c="4">
          <tpl fld="7" item="438"/>
          <tpl fld="6" item="2"/>
          <tpl hier="236" item="0"/>
          <tpl fld="4" item="5"/>
        </tpls>
      </m>
      <m>
        <tpls c="4">
          <tpl fld="7" item="371"/>
          <tpl fld="6" item="1"/>
          <tpl hier="236" item="0"/>
          <tpl fld="1" item="0"/>
        </tpls>
      </m>
      <n v="1" in="1">
        <tpls c="4">
          <tpl fld="7" item="539"/>
          <tpl fld="6" item="1"/>
          <tpl hier="236" item="0"/>
          <tpl fld="4" item="5"/>
        </tpls>
      </n>
      <m>
        <tpls c="4">
          <tpl fld="7" item="1270"/>
          <tpl fld="6" item="2"/>
          <tpl hier="236" item="0"/>
          <tpl fld="4" item="6"/>
        </tpls>
      </m>
      <m>
        <tpls c="4">
          <tpl fld="7" item="1282"/>
          <tpl fld="6" item="1"/>
          <tpl hier="236" item="0"/>
          <tpl fld="4" item="4"/>
        </tpls>
      </m>
      <m>
        <tpls c="4">
          <tpl fld="7" item="1014"/>
          <tpl fld="6" item="2"/>
          <tpl hier="236" item="0"/>
          <tpl fld="4" item="5"/>
        </tpls>
      </m>
      <m>
        <tpls c="4">
          <tpl fld="7" item="1131"/>
          <tpl fld="6" item="2"/>
          <tpl hier="236" item="0"/>
          <tpl fld="4" item="6"/>
        </tpls>
      </m>
      <m>
        <tpls c="4">
          <tpl fld="7" item="85"/>
          <tpl fld="6" item="1"/>
          <tpl hier="236" item="0"/>
          <tpl fld="4" item="1"/>
        </tpls>
      </m>
      <m>
        <tpls c="4">
          <tpl fld="7" item="324"/>
          <tpl fld="6" item="2"/>
          <tpl hier="236" item="0"/>
          <tpl fld="4" item="5"/>
        </tpls>
      </m>
      <m>
        <tpls c="4">
          <tpl fld="7" item="333"/>
          <tpl fld="6" item="1"/>
          <tpl hier="236" item="0"/>
          <tpl fld="4" item="5"/>
        </tpls>
      </m>
      <m>
        <tpls c="4">
          <tpl fld="7" item="182"/>
          <tpl fld="6" item="1"/>
          <tpl hier="236" item="0"/>
          <tpl fld="1" item="0"/>
        </tpls>
      </m>
      <m>
        <tpls c="4">
          <tpl fld="7" item="1075"/>
          <tpl fld="6" item="2"/>
          <tpl hier="236" item="0"/>
          <tpl fld="4" item="4"/>
        </tpls>
      </m>
      <m>
        <tpls c="4">
          <tpl fld="7" item="128"/>
          <tpl fld="6" item="2"/>
          <tpl hier="236" item="0"/>
          <tpl fld="4" item="6"/>
        </tpls>
      </m>
      <m>
        <tpls c="4">
          <tpl fld="7" item="1152"/>
          <tpl fld="6" item="1"/>
          <tpl hier="236" item="0"/>
          <tpl fld="4" item="1"/>
        </tpls>
      </m>
      <m>
        <tpls c="4">
          <tpl fld="7" item="426"/>
          <tpl fld="6" item="2"/>
          <tpl hier="236" item="0"/>
          <tpl fld="4" item="5"/>
        </tpls>
      </m>
      <n v="6" in="1">
        <tpls c="4">
          <tpl fld="7" item="1019"/>
          <tpl fld="6" item="1"/>
          <tpl hier="236" item="0"/>
          <tpl fld="1" item="0"/>
        </tpls>
      </n>
      <m>
        <tpls c="3">
          <tpl fld="7" item="119"/>
          <tpl fld="6" item="3"/>
          <tpl hier="236" item="0"/>
        </tpls>
      </m>
      <n v="0.75" in="2">
        <tpls c="4">
          <tpl fld="7" item="1119"/>
          <tpl fld="6" item="2"/>
          <tpl hier="236" item="0"/>
          <tpl fld="4" item="5"/>
        </tpls>
      </n>
      <m>
        <tpls c="4">
          <tpl fld="7" item="21"/>
          <tpl fld="6" item="2"/>
          <tpl hier="236" item="0"/>
          <tpl fld="4" item="4"/>
        </tpls>
      </m>
      <m>
        <tpls c="4">
          <tpl fld="7" item="26"/>
          <tpl fld="6" item="1"/>
          <tpl hier="236" item="0"/>
          <tpl fld="4" item="1"/>
        </tpls>
      </m>
      <n v="2" in="1">
        <tpls c="4">
          <tpl fld="7" item="566"/>
          <tpl fld="6" item="1"/>
          <tpl hier="236" item="0"/>
          <tpl fld="4" item="6"/>
        </tpls>
      </n>
      <m>
        <tpls c="4">
          <tpl fld="7" item="228"/>
          <tpl fld="6" item="1"/>
          <tpl hier="236" item="0"/>
          <tpl fld="4" item="1"/>
        </tpls>
      </m>
      <m>
        <tpls c="4">
          <tpl fld="7" item="1073"/>
          <tpl fld="6" item="2"/>
          <tpl hier="236" item="0"/>
          <tpl fld="4" item="4"/>
        </tpls>
      </m>
      <m>
        <tpls c="4">
          <tpl fld="7" item="1197"/>
          <tpl fld="6" item="1"/>
          <tpl hier="236" item="0"/>
          <tpl fld="1" item="0"/>
        </tpls>
      </m>
      <m>
        <tpls c="4">
          <tpl fld="7" item="1021"/>
          <tpl fld="6" item="2"/>
          <tpl hier="236" item="0"/>
          <tpl fld="1" item="0"/>
        </tpls>
      </m>
      <m>
        <tpls c="4">
          <tpl fld="7" item="78"/>
          <tpl fld="6" item="1"/>
          <tpl hier="236" item="0"/>
          <tpl fld="4" item="1"/>
        </tpls>
      </m>
      <m>
        <tpls c="4">
          <tpl fld="7" item="936"/>
          <tpl fld="6" item="2"/>
          <tpl hier="236" item="0"/>
          <tpl fld="4" item="4"/>
        </tpls>
      </m>
      <m>
        <tpls c="4">
          <tpl fld="7" item="603"/>
          <tpl fld="6" item="2"/>
          <tpl hier="236" item="0"/>
          <tpl fld="4" item="5"/>
        </tpls>
      </m>
      <n v="3" in="1">
        <tpls c="4">
          <tpl fld="7" item="362"/>
          <tpl fld="6" item="1"/>
          <tpl hier="236" item="0"/>
          <tpl fld="4" item="1"/>
        </tpls>
      </n>
      <m>
        <tpls c="4">
          <tpl fld="7" item="229"/>
          <tpl fld="6" item="1"/>
          <tpl hier="236" item="0"/>
          <tpl fld="1" item="0"/>
        </tpls>
      </m>
      <n v="3" in="1">
        <tpls c="4">
          <tpl fld="7" item="725"/>
          <tpl fld="6" item="1"/>
          <tpl hier="236" item="0"/>
          <tpl fld="4" item="6"/>
        </tpls>
      </n>
      <n v="5" in="1">
        <tpls c="4">
          <tpl fld="7" item="1020"/>
          <tpl fld="6" item="1"/>
          <tpl hier="236" item="0"/>
          <tpl fld="1" item="0"/>
        </tpls>
      </n>
      <n v="50" in="1">
        <tpls c="4">
          <tpl fld="7" item="804"/>
          <tpl fld="6" item="1"/>
          <tpl hier="236" item="0"/>
          <tpl fld="1" item="0"/>
        </tpls>
      </n>
      <m>
        <tpls c="3">
          <tpl fld="7" item="729"/>
          <tpl fld="6" item="3"/>
          <tpl hier="236" item="0"/>
        </tpls>
      </m>
      <m>
        <tpls c="4">
          <tpl fld="7" item="64"/>
          <tpl fld="6" item="2"/>
          <tpl hier="236" item="0"/>
          <tpl fld="4" item="6"/>
        </tpls>
      </m>
      <m>
        <tpls c="4">
          <tpl fld="7" item="313"/>
          <tpl fld="6" item="2"/>
          <tpl hier="236" item="0"/>
          <tpl fld="4" item="5"/>
        </tpls>
      </m>
      <m>
        <tpls c="4">
          <tpl fld="7" item="100"/>
          <tpl fld="6" item="1"/>
          <tpl hier="236" item="0"/>
          <tpl fld="4" item="5"/>
        </tpls>
      </m>
      <m>
        <tpls c="4">
          <tpl fld="7" item="890"/>
          <tpl fld="6" item="2"/>
          <tpl hier="236" item="0"/>
          <tpl fld="4" item="1"/>
        </tpls>
      </m>
      <m>
        <tpls c="4">
          <tpl fld="7" item="877"/>
          <tpl fld="6" item="2"/>
          <tpl hier="236" item="0"/>
          <tpl fld="4" item="5"/>
        </tpls>
      </m>
      <m>
        <tpls c="4">
          <tpl fld="7" item="245"/>
          <tpl fld="6" item="2"/>
          <tpl hier="236" item="0"/>
          <tpl fld="4" item="6"/>
        </tpls>
      </m>
      <n v="1" in="1">
        <tpls c="4">
          <tpl fld="7" item="844"/>
          <tpl fld="6" item="1"/>
          <tpl hier="236" item="0"/>
          <tpl fld="4" item="1"/>
        </tpls>
      </n>
      <m>
        <tpls c="4">
          <tpl fld="7" item="62"/>
          <tpl fld="6" item="1"/>
          <tpl hier="236" item="0"/>
          <tpl fld="4" item="6"/>
        </tpls>
      </m>
      <m>
        <tpls c="4">
          <tpl fld="7" item="45"/>
          <tpl fld="6" item="1"/>
          <tpl hier="236" item="0"/>
          <tpl fld="4" item="1"/>
        </tpls>
      </m>
      <m>
        <tpls c="4">
          <tpl fld="7" item="1198"/>
          <tpl fld="6" item="2"/>
          <tpl hier="236" item="0"/>
          <tpl fld="4" item="4"/>
        </tpls>
      </m>
      <m>
        <tpls c="4">
          <tpl fld="7" item="856"/>
          <tpl fld="6" item="2"/>
          <tpl hier="236" item="0"/>
          <tpl fld="4" item="5"/>
        </tpls>
      </m>
      <m>
        <tpls c="4">
          <tpl fld="7" item="466"/>
          <tpl fld="6" item="1"/>
          <tpl hier="236" item="0"/>
          <tpl fld="4" item="6"/>
        </tpls>
      </m>
      <m>
        <tpls c="4">
          <tpl fld="7" item="1154"/>
          <tpl fld="6" item="2"/>
          <tpl hier="236" item="0"/>
          <tpl fld="4" item="4"/>
        </tpls>
      </m>
      <n v="1" in="1">
        <tpls c="4">
          <tpl fld="7" item="1236"/>
          <tpl fld="6" item="1"/>
          <tpl hier="236" item="0"/>
          <tpl fld="4" item="1"/>
        </tpls>
      </n>
      <m>
        <tpls c="4">
          <tpl fld="7" item="119"/>
          <tpl fld="6" item="1"/>
          <tpl hier="236" item="0"/>
          <tpl fld="1" item="0"/>
        </tpls>
      </m>
      <m>
        <tpls c="4">
          <tpl fld="7" item="1069"/>
          <tpl fld="6" item="1"/>
          <tpl hier="236" item="0"/>
          <tpl fld="4" item="4"/>
        </tpls>
      </m>
      <m>
        <tpls c="3">
          <tpl fld="7" item="2"/>
          <tpl fld="6" item="3"/>
          <tpl hier="236" item="0"/>
        </tpls>
      </m>
      <m>
        <tpls c="4">
          <tpl fld="7" item="328"/>
          <tpl fld="6" item="1"/>
          <tpl hier="236" item="0"/>
          <tpl fld="4" item="5"/>
        </tpls>
      </m>
      <m>
        <tpls c="4">
          <tpl fld="7" item="242"/>
          <tpl fld="6" item="1"/>
          <tpl hier="236" item="0"/>
          <tpl fld="4" item="6"/>
        </tpls>
      </m>
      <m>
        <tpls c="4">
          <tpl fld="7" item="11"/>
          <tpl fld="6" item="2"/>
          <tpl hier="236" item="0"/>
          <tpl fld="4" item="4"/>
        </tpls>
      </m>
      <m>
        <tpls c="4">
          <tpl fld="7" item="130"/>
          <tpl fld="6" item="2"/>
          <tpl hier="236" item="0"/>
          <tpl fld="4" item="6"/>
        </tpls>
      </m>
      <m>
        <tpls c="4">
          <tpl fld="7" item="88"/>
          <tpl fld="6" item="2"/>
          <tpl hier="236" item="0"/>
          <tpl fld="4" item="1"/>
        </tpls>
      </m>
      <m>
        <tpls c="4">
          <tpl fld="7" item="642"/>
          <tpl fld="6" item="2"/>
          <tpl hier="236" item="0"/>
          <tpl fld="4" item="5"/>
        </tpls>
      </m>
      <m>
        <tpls c="4">
          <tpl fld="7" item="655"/>
          <tpl fld="6" item="1"/>
          <tpl hier="236" item="0"/>
          <tpl fld="4" item="5"/>
        </tpls>
      </m>
      <m>
        <tpls c="4">
          <tpl fld="7" item="352"/>
          <tpl fld="6" item="2"/>
          <tpl hier="236" item="0"/>
          <tpl fld="4" item="5"/>
        </tpls>
      </m>
      <m>
        <tpls c="4">
          <tpl fld="7" item="1248"/>
          <tpl fld="6" item="2"/>
          <tpl hier="236" item="0"/>
          <tpl fld="4" item="5"/>
        </tpls>
      </m>
      <m>
        <tpls c="4">
          <tpl fld="7" item="378"/>
          <tpl fld="6" item="2"/>
          <tpl hier="236" item="0"/>
          <tpl fld="4" item="6"/>
        </tpls>
      </m>
      <n v="8" in="1">
        <tpls c="4">
          <tpl fld="7" item="973"/>
          <tpl fld="6" item="1"/>
          <tpl hier="236" item="0"/>
          <tpl fld="4" item="1"/>
        </tpls>
      </n>
      <n v="1" in="1">
        <tpls c="4">
          <tpl fld="7" item="818"/>
          <tpl fld="6" item="1"/>
          <tpl hier="236" item="0"/>
          <tpl fld="4" item="4"/>
        </tpls>
      </n>
      <m>
        <tpls c="4">
          <tpl fld="7" item="470"/>
          <tpl fld="6" item="2"/>
          <tpl hier="236" item="0"/>
          <tpl fld="1" item="0"/>
        </tpls>
      </m>
      <m>
        <tpls c="4">
          <tpl fld="7" item="493"/>
          <tpl fld="6" item="2"/>
          <tpl hier="236" item="0"/>
          <tpl fld="4" item="6"/>
        </tpls>
      </m>
      <m>
        <tpls c="4">
          <tpl fld="7" item="676"/>
          <tpl fld="6" item="1"/>
          <tpl hier="236" item="0"/>
          <tpl fld="4" item="5"/>
        </tpls>
      </m>
      <m>
        <tpls c="4">
          <tpl fld="7" item="157"/>
          <tpl fld="6" item="1"/>
          <tpl hier="236" item="0"/>
          <tpl fld="4" item="1"/>
        </tpls>
      </m>
      <m>
        <tpls c="4">
          <tpl fld="7" item="802"/>
          <tpl fld="6" item="2"/>
          <tpl hier="236" item="0"/>
          <tpl fld="4" item="4"/>
        </tpls>
      </m>
      <n v="3" in="1">
        <tpls c="4">
          <tpl fld="7" item="1080"/>
          <tpl fld="6" item="1"/>
          <tpl hier="236" item="0"/>
          <tpl fld="1" item="0"/>
        </tpls>
      </n>
      <m>
        <tpls c="4">
          <tpl fld="7" item="276"/>
          <tpl fld="6" item="2"/>
          <tpl hier="236" item="0"/>
          <tpl fld="4" item="4"/>
        </tpls>
      </m>
      <m>
        <tpls c="4">
          <tpl fld="7" item="347"/>
          <tpl fld="6" item="2"/>
          <tpl hier="236" item="0"/>
          <tpl fld="4" item="5"/>
        </tpls>
      </m>
      <n v="4" in="1">
        <tpls c="4">
          <tpl fld="7" item="1131"/>
          <tpl fld="6" item="1"/>
          <tpl hier="236" item="0"/>
          <tpl fld="1" item="0"/>
        </tpls>
      </n>
      <m>
        <tpls c="4">
          <tpl fld="7" item="235"/>
          <tpl fld="6" item="2"/>
          <tpl hier="236" item="0"/>
          <tpl fld="4" item="4"/>
        </tpls>
      </m>
      <m>
        <tpls c="4">
          <tpl fld="7" item="346"/>
          <tpl fld="6" item="2"/>
          <tpl hier="236" item="0"/>
          <tpl fld="4" item="5"/>
        </tpls>
      </m>
      <n v="2" in="1">
        <tpls c="4">
          <tpl fld="7" item="1106"/>
          <tpl fld="6" item="1"/>
          <tpl hier="236" item="0"/>
          <tpl fld="4" item="1"/>
        </tpls>
      </n>
      <m>
        <tpls c="4">
          <tpl fld="7" item="16"/>
          <tpl fld="6" item="1"/>
          <tpl hier="236" item="0"/>
          <tpl fld="4" item="6"/>
        </tpls>
      </m>
      <m>
        <tpls c="4">
          <tpl fld="7" item="640"/>
          <tpl fld="6" item="2"/>
          <tpl hier="236" item="0"/>
          <tpl fld="4" item="4"/>
        </tpls>
      </m>
      <m>
        <tpls c="4">
          <tpl fld="7" item="341"/>
          <tpl fld="6" item="1"/>
          <tpl hier="236" item="0"/>
          <tpl fld="1" item="0"/>
        </tpls>
      </m>
      <m>
        <tpls c="4">
          <tpl fld="7" item="1212"/>
          <tpl fld="6" item="2"/>
          <tpl hier="236" item="0"/>
          <tpl fld="4" item="6"/>
        </tpls>
      </m>
      <m>
        <tpls c="4">
          <tpl fld="7" item="67"/>
          <tpl fld="6" item="2"/>
          <tpl hier="236" item="0"/>
          <tpl fld="4" item="6"/>
        </tpls>
      </m>
      <m>
        <tpls c="4">
          <tpl fld="7" item="798"/>
          <tpl fld="6" item="2"/>
          <tpl hier="236" item="0"/>
          <tpl fld="4" item="6"/>
        </tpls>
      </m>
      <n v="4" in="1">
        <tpls c="4">
          <tpl fld="7" item="780"/>
          <tpl fld="6" item="1"/>
          <tpl hier="236" item="0"/>
          <tpl fld="1" item="0"/>
        </tpls>
      </n>
      <n v="1.3" in="2">
        <tpls c="4">
          <tpl fld="7" item="513"/>
          <tpl fld="6" item="2"/>
          <tpl hier="236" item="0"/>
          <tpl fld="1" item="0"/>
        </tpls>
      </n>
      <m>
        <tpls c="4">
          <tpl fld="7" item="18"/>
          <tpl fld="6" item="2"/>
          <tpl hier="236" item="0"/>
          <tpl fld="4" item="6"/>
        </tpls>
      </m>
      <m>
        <tpls c="4">
          <tpl fld="7" item="777"/>
          <tpl fld="6" item="2"/>
          <tpl hier="236" item="0"/>
          <tpl fld="4" item="6"/>
        </tpls>
      </m>
      <m>
        <tpls c="4">
          <tpl fld="7" item="639"/>
          <tpl fld="6" item="2"/>
          <tpl hier="236" item="0"/>
          <tpl fld="4" item="4"/>
        </tpls>
      </m>
      <m>
        <tpls c="4">
          <tpl fld="7" item="621"/>
          <tpl fld="6" item="2"/>
          <tpl hier="236" item="0"/>
          <tpl fld="4" item="6"/>
        </tpls>
      </m>
      <n v="1" in="2">
        <tpls c="4">
          <tpl fld="7" item="504"/>
          <tpl fld="6" item="2"/>
          <tpl hier="236" item="0"/>
          <tpl fld="1" item="0"/>
        </tpls>
      </n>
      <m>
        <tpls c="4">
          <tpl fld="7" item="925"/>
          <tpl fld="6" item="1"/>
          <tpl hier="236" item="0"/>
          <tpl fld="4" item="5"/>
        </tpls>
      </m>
      <m>
        <tpls c="4">
          <tpl fld="7" item="756"/>
          <tpl fld="6" item="2"/>
          <tpl hier="236" item="0"/>
          <tpl fld="4" item="5"/>
        </tpls>
      </m>
      <m>
        <tpls c="4">
          <tpl fld="7" item="700"/>
          <tpl fld="6" item="1"/>
          <tpl hier="236" item="0"/>
          <tpl fld="4" item="6"/>
        </tpls>
      </m>
      <m>
        <tpls c="4">
          <tpl fld="7" item="295"/>
          <tpl fld="6" item="2"/>
          <tpl hier="236" item="0"/>
          <tpl fld="4" item="6"/>
        </tpls>
      </m>
      <m>
        <tpls c="4">
          <tpl fld="7" item="600"/>
          <tpl fld="6" item="1"/>
          <tpl hier="236" item="0"/>
          <tpl fld="4" item="5"/>
        </tpls>
      </m>
      <m>
        <tpls c="4">
          <tpl fld="7" item="592"/>
          <tpl fld="6" item="1"/>
          <tpl hier="236" item="0"/>
          <tpl fld="4" item="1"/>
        </tpls>
      </m>
      <m>
        <tpls c="4">
          <tpl fld="7" item="61"/>
          <tpl fld="6" item="1"/>
          <tpl hier="236" item="0"/>
          <tpl fld="4" item="6"/>
        </tpls>
      </m>
      <m>
        <tpls c="4">
          <tpl fld="7" item="925"/>
          <tpl fld="6" item="1"/>
          <tpl hier="236" item="0"/>
          <tpl fld="1" item="0"/>
        </tpls>
      </m>
      <m>
        <tpls c="4">
          <tpl fld="7" item="275"/>
          <tpl fld="6" item="2"/>
          <tpl hier="236" item="0"/>
          <tpl fld="4" item="4"/>
        </tpls>
      </m>
      <m>
        <tpls c="4">
          <tpl fld="7" item="370"/>
          <tpl fld="6" item="2"/>
          <tpl hier="236" item="0"/>
          <tpl fld="4" item="5"/>
        </tpls>
      </m>
      <m>
        <tpls c="3">
          <tpl fld="7" item="124"/>
          <tpl fld="6" item="3"/>
          <tpl hier="236" item="0"/>
        </tpls>
      </m>
      <m>
        <tpls c="4">
          <tpl fld="7" item="619"/>
          <tpl fld="6" item="2"/>
          <tpl hier="236" item="0"/>
          <tpl fld="4" item="5"/>
        </tpls>
      </m>
      <m>
        <tpls c="4">
          <tpl fld="7" item="723"/>
          <tpl fld="6" item="2"/>
          <tpl hier="236" item="0"/>
          <tpl fld="4" item="6"/>
        </tpls>
      </m>
      <m>
        <tpls c="4">
          <tpl fld="7" item="659"/>
          <tpl fld="6" item="1"/>
          <tpl hier="236" item="0"/>
          <tpl fld="4" item="5"/>
        </tpls>
      </m>
      <m>
        <tpls c="4">
          <tpl fld="7" item="163"/>
          <tpl fld="6" item="2"/>
          <tpl hier="236" item="0"/>
          <tpl fld="4" item="5"/>
        </tpls>
      </m>
      <m>
        <tpls c="4">
          <tpl fld="7" item="896"/>
          <tpl fld="6" item="2"/>
          <tpl hier="236" item="0"/>
          <tpl fld="4" item="5"/>
        </tpls>
      </m>
      <m>
        <tpls c="4">
          <tpl fld="7" item="252"/>
          <tpl fld="6" item="1"/>
          <tpl hier="236" item="0"/>
          <tpl fld="4" item="5"/>
        </tpls>
      </m>
      <m>
        <tpls c="4">
          <tpl fld="7" item="158"/>
          <tpl fld="6" item="1"/>
          <tpl hier="236" item="0"/>
          <tpl fld="4" item="1"/>
        </tpls>
      </m>
      <m>
        <tpls c="3">
          <tpl fld="7" item="860"/>
          <tpl fld="6" item="3"/>
          <tpl hier="236" item="0"/>
        </tpls>
      </m>
      <m>
        <tpls c="4">
          <tpl fld="7" item="187"/>
          <tpl fld="6" item="2"/>
          <tpl hier="236" item="0"/>
          <tpl fld="4" item="5"/>
        </tpls>
      </m>
      <m>
        <tpls c="4">
          <tpl fld="7" item="484"/>
          <tpl fld="6" item="2"/>
          <tpl hier="236" item="0"/>
          <tpl fld="4" item="6"/>
        </tpls>
      </m>
      <m>
        <tpls c="4">
          <tpl fld="7" item="239"/>
          <tpl fld="6" item="1"/>
          <tpl hier="236" item="0"/>
          <tpl fld="4" item="5"/>
        </tpls>
      </m>
      <m>
        <tpls c="4">
          <tpl fld="7" item="1129"/>
          <tpl fld="6" item="1"/>
          <tpl hier="236" item="0"/>
          <tpl fld="1" item="0"/>
        </tpls>
      </m>
      <m>
        <tpls c="4">
          <tpl fld="7" item="892"/>
          <tpl fld="6" item="1"/>
          <tpl hier="236" item="0"/>
          <tpl fld="4" item="5"/>
        </tpls>
      </m>
      <n v="27" in="1">
        <tpls c="4">
          <tpl fld="7" item="376"/>
          <tpl fld="6" item="1"/>
          <tpl hier="236" item="0"/>
          <tpl fld="4" item="1"/>
        </tpls>
      </n>
      <m>
        <tpls c="3">
          <tpl fld="7" item="631"/>
          <tpl fld="6" item="3"/>
          <tpl hier="236" item="0"/>
        </tpls>
      </m>
      <m>
        <tpls c="4">
          <tpl fld="7" item="1005"/>
          <tpl fld="6" item="1"/>
          <tpl hier="236" item="0"/>
          <tpl fld="1" item="0"/>
        </tpls>
      </m>
      <m>
        <tpls c="4">
          <tpl fld="7" item="115"/>
          <tpl fld="6" item="2"/>
          <tpl hier="236" item="0"/>
          <tpl fld="4" item="5"/>
        </tpls>
      </m>
      <m>
        <tpls c="4">
          <tpl fld="7" item="425"/>
          <tpl fld="6" item="1"/>
          <tpl hier="236" item="0"/>
          <tpl fld="1" item="0"/>
        </tpls>
      </m>
      <m>
        <tpls c="4">
          <tpl fld="7" item="492"/>
          <tpl fld="6" item="1"/>
          <tpl hier="236" item="0"/>
          <tpl fld="4" item="5"/>
        </tpls>
      </m>
      <m>
        <tpls c="4">
          <tpl fld="7" item="1108"/>
          <tpl fld="6" item="2"/>
          <tpl hier="236" item="0"/>
          <tpl fld="4" item="5"/>
        </tpls>
      </m>
      <n v="5" in="1">
        <tpls c="4">
          <tpl fld="7" item="1193"/>
          <tpl fld="6" item="1"/>
          <tpl hier="236" item="0"/>
          <tpl fld="1" item="0"/>
        </tpls>
      </n>
      <m>
        <tpls c="4">
          <tpl fld="7" item="1275"/>
          <tpl fld="6" item="2"/>
          <tpl hier="236" item="0"/>
          <tpl fld="4" item="4"/>
        </tpls>
      </m>
      <m>
        <tpls c="4">
          <tpl fld="7" item="174"/>
          <tpl fld="6" item="2"/>
          <tpl hier="236" item="0"/>
          <tpl fld="4" item="6"/>
        </tpls>
      </m>
      <m>
        <tpls c="4">
          <tpl fld="7" item="606"/>
          <tpl fld="6" item="2"/>
          <tpl hier="236" item="0"/>
          <tpl fld="4" item="6"/>
        </tpls>
      </m>
      <m>
        <tpls c="4">
          <tpl fld="7" item="975"/>
          <tpl fld="6" item="2"/>
          <tpl hier="236" item="0"/>
          <tpl fld="4" item="1"/>
        </tpls>
      </m>
      <m>
        <tpls c="4">
          <tpl fld="7" item="221"/>
          <tpl fld="6" item="2"/>
          <tpl hier="236" item="0"/>
          <tpl fld="1" item="0"/>
        </tpls>
      </m>
      <m>
        <tpls c="4">
          <tpl fld="7" item="304"/>
          <tpl fld="6" item="1"/>
          <tpl hier="236" item="0"/>
          <tpl fld="4" item="1"/>
        </tpls>
      </m>
      <m>
        <tpls c="4">
          <tpl fld="7" item="676"/>
          <tpl fld="6" item="2"/>
          <tpl hier="236" item="0"/>
          <tpl fld="4" item="5"/>
        </tpls>
      </m>
      <m>
        <tpls c="4">
          <tpl fld="7" item="862"/>
          <tpl fld="6" item="1"/>
          <tpl hier="236" item="0"/>
          <tpl fld="4" item="1"/>
        </tpls>
      </m>
      <m>
        <tpls c="4">
          <tpl fld="7" item="234"/>
          <tpl fld="6" item="2"/>
          <tpl hier="236" item="0"/>
          <tpl fld="4" item="4"/>
        </tpls>
      </m>
      <m>
        <tpls c="4">
          <tpl fld="7" item="923"/>
          <tpl fld="6" item="2"/>
          <tpl hier="236" item="0"/>
          <tpl fld="4" item="4"/>
        </tpls>
      </m>
      <m>
        <tpls c="4">
          <tpl fld="7" item="946"/>
          <tpl fld="6" item="1"/>
          <tpl hier="236" item="0"/>
          <tpl fld="4" item="1"/>
        </tpls>
      </m>
      <m>
        <tpls c="4">
          <tpl fld="7" item="1277"/>
          <tpl fld="6" item="1"/>
          <tpl hier="236" item="0"/>
          <tpl fld="4" item="5"/>
        </tpls>
      </m>
      <m>
        <tpls c="4">
          <tpl fld="7" item="468"/>
          <tpl fld="6" item="1"/>
          <tpl hier="236" item="0"/>
          <tpl fld="4" item="1"/>
        </tpls>
      </m>
      <m>
        <tpls c="4">
          <tpl fld="7" item="68"/>
          <tpl fld="6" item="1"/>
          <tpl hier="236" item="0"/>
          <tpl fld="4" item="1"/>
        </tpls>
      </m>
      <m>
        <tpls c="4">
          <tpl fld="7" item="895"/>
          <tpl fld="6" item="2"/>
          <tpl hier="236" item="0"/>
          <tpl fld="4" item="4"/>
        </tpls>
      </m>
      <m>
        <tpls c="4">
          <tpl fld="7" item="654"/>
          <tpl fld="6" item="1"/>
          <tpl hier="236" item="0"/>
          <tpl fld="4" item="4"/>
        </tpls>
      </m>
      <m>
        <tpls c="4">
          <tpl fld="7" item="1221"/>
          <tpl fld="6" item="2"/>
          <tpl hier="236" item="0"/>
          <tpl fld="4" item="5"/>
        </tpls>
      </m>
      <m>
        <tpls c="4">
          <tpl fld="7" item="496"/>
          <tpl fld="6" item="2"/>
          <tpl hier="236" item="0"/>
          <tpl fld="4" item="5"/>
        </tpls>
      </m>
      <m>
        <tpls c="4">
          <tpl fld="7" item="258"/>
          <tpl fld="6" item="1"/>
          <tpl hier="236" item="0"/>
          <tpl fld="4" item="1"/>
        </tpls>
      </m>
      <m>
        <tpls c="4">
          <tpl fld="7" item="153"/>
          <tpl fld="6" item="2"/>
          <tpl hier="236" item="0"/>
          <tpl fld="4" item="5"/>
        </tpls>
      </m>
      <m>
        <tpls c="4">
          <tpl fld="7" item="1233"/>
          <tpl fld="6" item="1"/>
          <tpl hier="236" item="0"/>
          <tpl fld="4" item="1"/>
        </tpls>
      </m>
      <m>
        <tpls c="4">
          <tpl fld="7" item="469"/>
          <tpl fld="6" item="1"/>
          <tpl hier="236" item="0"/>
          <tpl fld="1" item="0"/>
        </tpls>
      </m>
      <n v="0" in="1">
        <tpls c="4">
          <tpl fld="7" item="569"/>
          <tpl fld="6" item="1"/>
          <tpl hier="236" item="0"/>
          <tpl fld="4" item="6"/>
        </tpls>
      </n>
      <m>
        <tpls c="4">
          <tpl fld="7" item="137"/>
          <tpl fld="6" item="2"/>
          <tpl hier="236" item="0"/>
          <tpl fld="1" item="0"/>
        </tpls>
      </m>
      <n v="0.25" in="2">
        <tpls c="4">
          <tpl fld="7" item="972"/>
          <tpl fld="6" item="2"/>
          <tpl hier="236" item="0"/>
          <tpl fld="4" item="4"/>
        </tpls>
      </n>
      <m>
        <tpls c="4">
          <tpl fld="7" item="136"/>
          <tpl fld="6" item="2"/>
          <tpl hier="236" item="0"/>
          <tpl fld="4" item="6"/>
        </tpls>
      </m>
      <m>
        <tpls c="4">
          <tpl fld="7" item="1226"/>
          <tpl fld="6" item="2"/>
          <tpl hier="236" item="0"/>
          <tpl fld="4" item="4"/>
        </tpls>
      </m>
      <m>
        <tpls c="3">
          <tpl fld="7" item="166"/>
          <tpl fld="6" item="3"/>
          <tpl hier="236" item="0"/>
        </tpls>
      </m>
      <n v="-1" in="1">
        <tpls c="4">
          <tpl fld="7" item="759"/>
          <tpl fld="6" item="1"/>
          <tpl hier="236" item="0"/>
          <tpl fld="4" item="6"/>
        </tpls>
      </n>
      <m>
        <tpls c="4">
          <tpl fld="7" item="80"/>
          <tpl fld="6" item="2"/>
          <tpl hier="236" item="0"/>
          <tpl fld="4" item="6"/>
        </tpls>
      </m>
      <m>
        <tpls c="4">
          <tpl fld="7" item="300"/>
          <tpl fld="6" item="1"/>
          <tpl hier="236" item="0"/>
          <tpl fld="4" item="5"/>
        </tpls>
      </m>
      <m>
        <tpls c="4">
          <tpl fld="7" item="1192"/>
          <tpl fld="6" item="2"/>
          <tpl hier="236" item="0"/>
          <tpl fld="4" item="4"/>
        </tpls>
      </m>
      <m>
        <tpls c="4">
          <tpl fld="7" item="312"/>
          <tpl fld="6" item="2"/>
          <tpl hier="236" item="0"/>
          <tpl fld="4" item="6"/>
        </tpls>
      </m>
      <m>
        <tpls c="4">
          <tpl fld="7" item="189"/>
          <tpl fld="6" item="1"/>
          <tpl hier="236" item="0"/>
          <tpl fld="4" item="1"/>
        </tpls>
      </m>
      <m>
        <tpls c="4">
          <tpl fld="7" item="322"/>
          <tpl fld="6" item="2"/>
          <tpl hier="236" item="0"/>
          <tpl fld="4" item="6"/>
        </tpls>
      </m>
      <m>
        <tpls c="4">
          <tpl fld="7" item="13"/>
          <tpl fld="6" item="2"/>
          <tpl hier="236" item="0"/>
          <tpl fld="4" item="4"/>
        </tpls>
      </m>
      <m>
        <tpls c="4">
          <tpl fld="7" item="1004"/>
          <tpl fld="6" item="1"/>
          <tpl hier="236" item="0"/>
          <tpl fld="4" item="1"/>
        </tpls>
      </m>
      <m>
        <tpls c="4">
          <tpl fld="7" item="136"/>
          <tpl fld="6" item="2"/>
          <tpl hier="236" item="0"/>
          <tpl fld="4" item="5"/>
        </tpls>
      </m>
      <n v="27" in="1">
        <tpls c="4">
          <tpl fld="7" item="1075"/>
          <tpl fld="6" item="1"/>
          <tpl hier="236" item="0"/>
          <tpl fld="4" item="4"/>
        </tpls>
      </n>
      <m>
        <tpls c="4">
          <tpl fld="7" item="1149"/>
          <tpl fld="6" item="1"/>
          <tpl hier="236" item="0"/>
          <tpl fld="4" item="1"/>
        </tpls>
      </m>
      <m>
        <tpls c="4">
          <tpl fld="7" item="567"/>
          <tpl fld="6" item="1"/>
          <tpl hier="236" item="0"/>
          <tpl fld="4" item="6"/>
        </tpls>
      </m>
      <n v="1" in="1">
        <tpls c="4">
          <tpl fld="7" item="447"/>
          <tpl fld="6" item="1"/>
          <tpl hier="236" item="0"/>
          <tpl fld="4" item="4"/>
        </tpls>
      </n>
      <m>
        <tpls c="4">
          <tpl fld="7" item="1168"/>
          <tpl fld="6" item="1"/>
          <tpl hier="236" item="0"/>
          <tpl fld="4" item="1"/>
        </tpls>
      </m>
      <n v="0" in="1">
        <tpls c="4">
          <tpl fld="7" item="308"/>
          <tpl fld="6" item="1"/>
          <tpl hier="236" item="0"/>
          <tpl fld="4" item="5"/>
        </tpls>
      </n>
      <m>
        <tpls c="4">
          <tpl fld="7" item="406"/>
          <tpl fld="6" item="1"/>
          <tpl hier="236" item="0"/>
          <tpl fld="4" item="1"/>
        </tpls>
      </m>
      <m>
        <tpls c="4">
          <tpl fld="7" item="248"/>
          <tpl fld="6" item="1"/>
          <tpl hier="236" item="0"/>
          <tpl fld="1" item="0"/>
        </tpls>
      </m>
      <m>
        <tpls c="4">
          <tpl fld="7" item="846"/>
          <tpl fld="6" item="1"/>
          <tpl hier="236" item="0"/>
          <tpl fld="4" item="5"/>
        </tpls>
      </m>
      <m>
        <tpls c="4">
          <tpl fld="7" item="125"/>
          <tpl fld="6" item="1"/>
          <tpl hier="236" item="0"/>
          <tpl fld="1" item="0"/>
        </tpls>
      </m>
      <m>
        <tpls c="4">
          <tpl fld="7" item="2"/>
          <tpl fld="6" item="2"/>
          <tpl hier="236" item="0"/>
          <tpl fld="4" item="4"/>
        </tpls>
      </m>
      <m>
        <tpls c="3">
          <tpl fld="7" item="662"/>
          <tpl fld="6" item="3"/>
          <tpl hier="236" item="0"/>
        </tpls>
      </m>
      <m>
        <tpls c="4">
          <tpl fld="7" item="398"/>
          <tpl fld="6" item="1"/>
          <tpl hier="236" item="0"/>
          <tpl fld="4" item="5"/>
        </tpls>
      </m>
      <m>
        <tpls c="4">
          <tpl fld="7" item="411"/>
          <tpl fld="6" item="1"/>
          <tpl hier="236" item="0"/>
          <tpl fld="1" item="0"/>
        </tpls>
      </m>
      <m>
        <tpls c="4">
          <tpl fld="7" item="327"/>
          <tpl fld="6" item="2"/>
          <tpl hier="236" item="0"/>
          <tpl fld="4" item="4"/>
        </tpls>
      </m>
      <n v="0.4" in="2">
        <tpls c="4">
          <tpl fld="7" item="1018"/>
          <tpl fld="6" item="2"/>
          <tpl hier="236" item="0"/>
          <tpl fld="1" item="0"/>
        </tpls>
      </n>
      <n v="1" in="1">
        <tpls c="4">
          <tpl fld="7" item="1127"/>
          <tpl fld="6" item="1"/>
          <tpl hier="236" item="0"/>
          <tpl fld="4" item="1"/>
        </tpls>
      </n>
      <m>
        <tpls c="4">
          <tpl fld="7" item="20"/>
          <tpl fld="6" item="1"/>
          <tpl hier="236" item="0"/>
          <tpl fld="4" item="6"/>
        </tpls>
      </m>
      <m>
        <tpls c="4">
          <tpl fld="7" item="16"/>
          <tpl fld="6" item="2"/>
          <tpl hier="236" item="0"/>
          <tpl fld="4" item="4"/>
        </tpls>
      </m>
      <m>
        <tpls c="4">
          <tpl fld="7" item="169"/>
          <tpl fld="6" item="1"/>
          <tpl hier="236" item="0"/>
          <tpl fld="4" item="5"/>
        </tpls>
      </m>
      <m>
        <tpls c="4">
          <tpl fld="7" item="456"/>
          <tpl fld="6" item="1"/>
          <tpl hier="236" item="0"/>
          <tpl fld="4" item="4"/>
        </tpls>
      </m>
      <m>
        <tpls c="4">
          <tpl fld="7" item="1127"/>
          <tpl fld="6" item="2"/>
          <tpl hier="236" item="0"/>
          <tpl fld="4" item="1"/>
        </tpls>
      </m>
      <m>
        <tpls c="4">
          <tpl fld="7" item="1109"/>
          <tpl fld="6" item="2"/>
          <tpl hier="236" item="0"/>
          <tpl fld="1" item="0"/>
        </tpls>
      </m>
      <m>
        <tpls c="4">
          <tpl fld="7" item="122"/>
          <tpl fld="6" item="1"/>
          <tpl hier="236" item="0"/>
          <tpl fld="4" item="5"/>
        </tpls>
      </m>
      <m>
        <tpls c="4">
          <tpl fld="7" item="253"/>
          <tpl fld="6" item="2"/>
          <tpl hier="236" item="0"/>
          <tpl fld="4" item="5"/>
        </tpls>
      </m>
      <m>
        <tpls c="4">
          <tpl fld="7" item="28"/>
          <tpl fld="6" item="1"/>
          <tpl hier="236" item="0"/>
          <tpl fld="4" item="5"/>
        </tpls>
      </m>
      <m>
        <tpls c="4">
          <tpl fld="7" item="776"/>
          <tpl fld="6" item="2"/>
          <tpl hier="236" item="0"/>
          <tpl fld="4" item="1"/>
        </tpls>
      </m>
      <m>
        <tpls c="4">
          <tpl fld="7" item="855"/>
          <tpl fld="6" item="2"/>
          <tpl hier="236" item="0"/>
          <tpl fld="4" item="5"/>
        </tpls>
      </m>
      <m>
        <tpls c="4">
          <tpl fld="7" item="308"/>
          <tpl fld="6" item="2"/>
          <tpl hier="236" item="0"/>
          <tpl fld="4" item="6"/>
        </tpls>
      </m>
      <n v="4" in="1">
        <tpls c="4">
          <tpl fld="7" item="1280"/>
          <tpl fld="6" item="1"/>
          <tpl hier="236" item="0"/>
          <tpl fld="4" item="1"/>
        </tpls>
      </n>
      <m>
        <tpls c="4">
          <tpl fld="7" item="999"/>
          <tpl fld="6" item="1"/>
          <tpl hier="236" item="0"/>
          <tpl fld="1" item="0"/>
        </tpls>
      </m>
      <m>
        <tpls c="4">
          <tpl fld="7" item="1007"/>
          <tpl fld="6" item="2"/>
          <tpl hier="236" item="0"/>
          <tpl fld="4" item="6"/>
        </tpls>
      </m>
      <n v="3" in="1">
        <tpls c="4">
          <tpl fld="7" item="1092"/>
          <tpl fld="6" item="1"/>
          <tpl hier="236" item="0"/>
          <tpl fld="4" item="6"/>
        </tpls>
      </n>
      <m>
        <tpls c="4">
          <tpl fld="7" item="283"/>
          <tpl fld="6" item="1"/>
          <tpl hier="236" item="0"/>
          <tpl fld="1" item="0"/>
        </tpls>
      </m>
      <n v="2" in="1">
        <tpls c="4">
          <tpl fld="7" item="1174"/>
          <tpl fld="6" item="1"/>
          <tpl hier="236" item="0"/>
          <tpl fld="4" item="1"/>
        </tpls>
      </n>
      <m>
        <tpls c="4">
          <tpl fld="7" item="966"/>
          <tpl fld="6" item="2"/>
          <tpl hier="236" item="0"/>
          <tpl fld="4" item="4"/>
        </tpls>
      </m>
      <m>
        <tpls c="4">
          <tpl fld="7" item="1101"/>
          <tpl fld="6" item="2"/>
          <tpl hier="236" item="0"/>
          <tpl fld="4" item="1"/>
        </tpls>
      </m>
      <m>
        <tpls c="4">
          <tpl fld="7" item="358"/>
          <tpl fld="6" item="1"/>
          <tpl hier="236" item="0"/>
          <tpl fld="4" item="1"/>
        </tpls>
      </m>
      <m>
        <tpls c="4">
          <tpl fld="7" item="111"/>
          <tpl fld="6" item="1"/>
          <tpl hier="236" item="0"/>
          <tpl fld="4" item="6"/>
        </tpls>
      </m>
      <m>
        <tpls c="3">
          <tpl fld="7" item="654"/>
          <tpl fld="6" item="3"/>
          <tpl hier="236" item="0"/>
        </tpls>
      </m>
      <m>
        <tpls c="4">
          <tpl fld="7" item="1144"/>
          <tpl fld="6" item="1"/>
          <tpl hier="236" item="0"/>
          <tpl fld="4" item="1"/>
        </tpls>
      </m>
      <m>
        <tpls c="4">
          <tpl fld="7" item="636"/>
          <tpl fld="6" item="2"/>
          <tpl hier="236" item="0"/>
          <tpl fld="4" item="1"/>
        </tpls>
      </m>
      <n v="2" in="2">
        <tpls c="4">
          <tpl fld="7" item="541"/>
          <tpl fld="6" item="2"/>
          <tpl hier="236" item="0"/>
          <tpl fld="4" item="4"/>
        </tpls>
      </n>
      <n v="1" in="1">
        <tpls c="4">
          <tpl fld="7" item="834"/>
          <tpl fld="6" item="1"/>
          <tpl hier="236" item="0"/>
          <tpl fld="4" item="6"/>
        </tpls>
      </n>
      <n v="5" in="1">
        <tpls c="4">
          <tpl fld="7" item="612"/>
          <tpl fld="6" item="1"/>
          <tpl hier="236" item="0"/>
          <tpl fld="4" item="1"/>
        </tpls>
      </n>
      <m>
        <tpls c="4">
          <tpl fld="7" item="863"/>
          <tpl fld="6" item="1"/>
          <tpl hier="236" item="0"/>
          <tpl fld="4" item="6"/>
        </tpls>
      </m>
      <m>
        <tpls c="4">
          <tpl fld="7" item="664"/>
          <tpl fld="6" item="2"/>
          <tpl hier="236" item="0"/>
          <tpl fld="4" item="5"/>
        </tpls>
      </m>
      <m>
        <tpls c="4">
          <tpl fld="7" item="793"/>
          <tpl fld="6" item="2"/>
          <tpl hier="236" item="0"/>
          <tpl fld="4" item="4"/>
        </tpls>
      </m>
      <m>
        <tpls c="3">
          <tpl fld="7" item="749"/>
          <tpl fld="6" item="3"/>
          <tpl hier="236" item="0"/>
        </tpls>
      </m>
      <m>
        <tpls c="4">
          <tpl fld="7" item="1218"/>
          <tpl fld="6" item="2"/>
          <tpl hier="236" item="0"/>
          <tpl fld="1" item="0"/>
        </tpls>
      </m>
      <m>
        <tpls c="4">
          <tpl fld="7" item="895"/>
          <tpl fld="6" item="2"/>
          <tpl hier="236" item="0"/>
          <tpl fld="4" item="5"/>
        </tpls>
      </m>
      <m>
        <tpls c="4">
          <tpl fld="7" item="1108"/>
          <tpl fld="6" item="2"/>
          <tpl hier="236" item="0"/>
          <tpl fld="4" item="6"/>
        </tpls>
      </m>
      <m>
        <tpls c="4">
          <tpl fld="7" item="1050"/>
          <tpl fld="6" item="1"/>
          <tpl hier="236" item="0"/>
          <tpl fld="4" item="1"/>
        </tpls>
      </m>
      <m>
        <tpls c="4">
          <tpl fld="7" item="408"/>
          <tpl fld="6" item="2"/>
          <tpl hier="236" item="0"/>
          <tpl fld="4" item="1"/>
        </tpls>
      </m>
      <m>
        <tpls c="4">
          <tpl fld="7" item="270"/>
          <tpl fld="6" item="2"/>
          <tpl hier="236" item="0"/>
          <tpl fld="4" item="6"/>
        </tpls>
      </m>
      <n v="1" in="2">
        <tpls c="4">
          <tpl fld="7" item="642"/>
          <tpl fld="6" item="2"/>
          <tpl hier="236" item="0"/>
          <tpl fld="4" item="6"/>
        </tpls>
      </n>
      <m>
        <tpls c="4">
          <tpl fld="7" item="881"/>
          <tpl fld="6" item="2"/>
          <tpl hier="236" item="0"/>
          <tpl fld="4" item="4"/>
        </tpls>
      </m>
      <m>
        <tpls c="4">
          <tpl fld="7" item="659"/>
          <tpl fld="6" item="2"/>
          <tpl hier="236" item="0"/>
          <tpl fld="4" item="4"/>
        </tpls>
      </m>
      <m>
        <tpls c="4">
          <tpl fld="7" item="920"/>
          <tpl fld="6" item="1"/>
          <tpl hier="236" item="0"/>
          <tpl fld="4" item="6"/>
        </tpls>
      </m>
      <m>
        <tpls c="4">
          <tpl fld="7" item="485"/>
          <tpl fld="6" item="2"/>
          <tpl hier="236" item="0"/>
          <tpl fld="1" item="0"/>
        </tpls>
      </m>
      <m>
        <tpls c="4">
          <tpl fld="7" item="649"/>
          <tpl fld="6" item="1"/>
          <tpl hier="236" item="0"/>
          <tpl fld="4" item="5"/>
        </tpls>
      </m>
      <m>
        <tpls c="4">
          <tpl fld="7" item="1110"/>
          <tpl fld="6" item="2"/>
          <tpl hier="236" item="0"/>
          <tpl fld="4" item="4"/>
        </tpls>
      </m>
      <m>
        <tpls c="4">
          <tpl fld="7" item="978"/>
          <tpl fld="6" item="2"/>
          <tpl hier="236" item="0"/>
          <tpl fld="4" item="1"/>
        </tpls>
      </m>
      <m>
        <tpls c="4">
          <tpl fld="7" item="508"/>
          <tpl fld="6" item="2"/>
          <tpl hier="236" item="0"/>
          <tpl fld="4" item="5"/>
        </tpls>
      </m>
      <m>
        <tpls c="4">
          <tpl fld="7" item="110"/>
          <tpl fld="6" item="2"/>
          <tpl hier="236" item="0"/>
          <tpl fld="1" item="0"/>
        </tpls>
      </m>
      <m>
        <tpls c="4">
          <tpl fld="7" item="206"/>
          <tpl fld="6" item="2"/>
          <tpl hier="236" item="0"/>
          <tpl fld="4" item="6"/>
        </tpls>
      </m>
      <n v="4" in="1">
        <tpls c="4">
          <tpl fld="7" item="1053"/>
          <tpl fld="6" item="1"/>
          <tpl hier="236" item="0"/>
          <tpl fld="4" item="1"/>
        </tpls>
      </n>
      <m>
        <tpls c="4">
          <tpl fld="7" item="385"/>
          <tpl fld="6" item="1"/>
          <tpl hier="236" item="0"/>
          <tpl fld="1" item="0"/>
        </tpls>
      </m>
      <m>
        <tpls c="4">
          <tpl fld="7" item="189"/>
          <tpl fld="6" item="1"/>
          <tpl hier="236" item="0"/>
          <tpl fld="4" item="6"/>
        </tpls>
      </m>
      <m>
        <tpls c="4">
          <tpl fld="7" item="463"/>
          <tpl fld="6" item="1"/>
          <tpl hier="236" item="0"/>
          <tpl fld="1" item="0"/>
        </tpls>
      </m>
      <m>
        <tpls c="3">
          <tpl fld="7" item="777"/>
          <tpl fld="6" item="3"/>
          <tpl hier="236" item="0"/>
        </tpls>
      </m>
      <m>
        <tpls c="4">
          <tpl fld="7" item="893"/>
          <tpl fld="6" item="2"/>
          <tpl hier="236" item="0"/>
          <tpl fld="4" item="6"/>
        </tpls>
      </m>
      <m>
        <tpls c="4">
          <tpl fld="7" item="865"/>
          <tpl fld="6" item="2"/>
          <tpl hier="236" item="0"/>
          <tpl fld="4" item="4"/>
        </tpls>
      </m>
      <m>
        <tpls c="4">
          <tpl fld="7" item="480"/>
          <tpl fld="6" item="2"/>
          <tpl hier="236" item="0"/>
          <tpl fld="4" item="1"/>
        </tpls>
      </m>
      <n v="1" in="1">
        <tpls c="4">
          <tpl fld="7" item="1097"/>
          <tpl fld="6" item="1"/>
          <tpl hier="236" item="0"/>
          <tpl fld="4" item="1"/>
        </tpls>
      </n>
      <m>
        <tpls c="4">
          <tpl fld="7" item="905"/>
          <tpl fld="6" item="1"/>
          <tpl hier="236" item="0"/>
          <tpl fld="4" item="4"/>
        </tpls>
      </m>
      <m>
        <tpls c="4">
          <tpl fld="7" item="1025"/>
          <tpl fld="6" item="2"/>
          <tpl hier="236" item="0"/>
          <tpl fld="1" item="0"/>
        </tpls>
      </m>
      <n v="1" in="1">
        <tpls c="4">
          <tpl fld="7" item="389"/>
          <tpl fld="6" item="1"/>
          <tpl hier="236" item="0"/>
          <tpl fld="4" item="5"/>
        </tpls>
      </n>
      <m>
        <tpls c="4">
          <tpl fld="7" item="1023"/>
          <tpl fld="6" item="2"/>
          <tpl hier="236" item="0"/>
          <tpl fld="4" item="5"/>
        </tpls>
      </m>
      <m>
        <tpls c="4">
          <tpl fld="7" item="197"/>
          <tpl fld="6" item="2"/>
          <tpl hier="236" item="0"/>
          <tpl fld="4" item="6"/>
        </tpls>
      </m>
      <m>
        <tpls c="4">
          <tpl fld="7" item="1044"/>
          <tpl fld="6" item="1"/>
          <tpl hier="236" item="0"/>
          <tpl fld="4" item="1"/>
        </tpls>
      </m>
      <n v="3" in="1">
        <tpls c="4">
          <tpl fld="7" item="768"/>
          <tpl fld="6" item="1"/>
          <tpl hier="236" item="0"/>
          <tpl fld="1" item="0"/>
        </tpls>
      </n>
      <m>
        <tpls c="4">
          <tpl fld="7" item="918"/>
          <tpl fld="6" item="2"/>
          <tpl hier="236" item="0"/>
          <tpl fld="4" item="5"/>
        </tpls>
      </m>
      <m>
        <tpls c="4">
          <tpl fld="7" item="88"/>
          <tpl fld="6" item="2"/>
          <tpl hier="236" item="0"/>
          <tpl fld="4" item="6"/>
        </tpls>
      </m>
      <n v="5" in="1">
        <tpls c="4">
          <tpl fld="7" item="612"/>
          <tpl fld="6" item="1"/>
          <tpl hier="236" item="0"/>
          <tpl fld="4" item="4"/>
        </tpls>
      </n>
      <n v="5" in="1">
        <tpls c="4">
          <tpl fld="7" item="940"/>
          <tpl fld="6" item="1"/>
          <tpl hier="236" item="0"/>
          <tpl fld="4" item="4"/>
        </tpls>
      </n>
      <m>
        <tpls c="4">
          <tpl fld="7" item="507"/>
          <tpl fld="6" item="2"/>
          <tpl hier="236" item="0"/>
          <tpl fld="1" item="0"/>
        </tpls>
      </m>
      <m>
        <tpls c="4">
          <tpl fld="7" item="210"/>
          <tpl fld="6" item="1"/>
          <tpl hier="236" item="0"/>
          <tpl fld="4" item="1"/>
        </tpls>
      </m>
      <m>
        <tpls c="4">
          <tpl fld="7" item="1194"/>
          <tpl fld="6" item="2"/>
          <tpl hier="236" item="0"/>
          <tpl fld="4" item="6"/>
        </tpls>
      </m>
      <n v="1" in="1">
        <tpls c="4">
          <tpl fld="7" item="937"/>
          <tpl fld="6" item="1"/>
          <tpl hier="236" item="0"/>
          <tpl fld="4" item="1"/>
        </tpls>
      </n>
      <m>
        <tpls c="4">
          <tpl fld="7" item="1098"/>
          <tpl fld="6" item="2"/>
          <tpl hier="236" item="0"/>
          <tpl fld="4" item="5"/>
        </tpls>
      </m>
      <m>
        <tpls c="4">
          <tpl fld="7" item="320"/>
          <tpl fld="6" item="2"/>
          <tpl hier="236" item="0"/>
          <tpl fld="4" item="5"/>
        </tpls>
      </m>
      <n v="1" in="1">
        <tpls c="4">
          <tpl fld="7" item="920"/>
          <tpl fld="6" item="1"/>
          <tpl hier="236" item="0"/>
          <tpl fld="4" item="5"/>
        </tpls>
      </n>
      <m>
        <tpls c="4">
          <tpl fld="7" item="482"/>
          <tpl fld="6" item="1"/>
          <tpl hier="236" item="0"/>
          <tpl fld="4" item="5"/>
        </tpls>
      </m>
      <n v="3" in="1">
        <tpls c="4">
          <tpl fld="7" item="872"/>
          <tpl fld="6" item="1"/>
          <tpl hier="236" item="0"/>
          <tpl fld="4" item="1"/>
        </tpls>
      </n>
      <n v="0" in="1">
        <tpls c="4">
          <tpl fld="7" item="424"/>
          <tpl fld="6" item="1"/>
          <tpl hier="236" item="0"/>
          <tpl fld="4" item="1"/>
        </tpls>
      </n>
      <m>
        <tpls c="4">
          <tpl fld="7" item="21"/>
          <tpl fld="6" item="1"/>
          <tpl hier="236" item="0"/>
          <tpl fld="4" item="1"/>
        </tpls>
      </m>
      <n v="12" in="1">
        <tpls c="4">
          <tpl fld="7" item="677"/>
          <tpl fld="6" item="1"/>
          <tpl hier="236" item="0"/>
          <tpl fld="1" item="0"/>
        </tpls>
      </n>
      <m>
        <tpls c="4">
          <tpl fld="7" item="329"/>
          <tpl fld="6" item="1"/>
          <tpl hier="236" item="0"/>
          <tpl fld="1" item="0"/>
        </tpls>
      </m>
      <m>
        <tpls c="4">
          <tpl fld="7" item="478"/>
          <tpl fld="6" item="2"/>
          <tpl hier="236" item="0"/>
          <tpl fld="1" item="0"/>
        </tpls>
      </m>
      <m>
        <tpls c="4">
          <tpl fld="7" item="866"/>
          <tpl fld="6" item="1"/>
          <tpl hier="236" item="0"/>
          <tpl fld="4" item="5"/>
        </tpls>
      </m>
      <m>
        <tpls c="4">
          <tpl fld="7" item="63"/>
          <tpl fld="6" item="1"/>
          <tpl hier="236" item="0"/>
          <tpl fld="4" item="1"/>
        </tpls>
      </m>
      <m>
        <tpls c="4">
          <tpl fld="7" item="416"/>
          <tpl fld="6" item="1"/>
          <tpl hier="236" item="0"/>
          <tpl fld="1" item="0"/>
        </tpls>
      </m>
      <m>
        <tpls c="3">
          <tpl fld="7" item="885"/>
          <tpl fld="6" item="3"/>
          <tpl hier="236" item="0"/>
        </tpls>
      </m>
      <m>
        <tpls c="4">
          <tpl fld="7" item="1034"/>
          <tpl fld="6" item="2"/>
          <tpl hier="236" item="0"/>
          <tpl fld="4" item="4"/>
        </tpls>
      </m>
      <m>
        <tpls c="4">
          <tpl fld="7" item="1160"/>
          <tpl fld="6" item="1"/>
          <tpl hier="236" item="0"/>
          <tpl fld="4" item="1"/>
        </tpls>
      </m>
      <m>
        <tpls c="4">
          <tpl fld="7" item="1173"/>
          <tpl fld="6" item="2"/>
          <tpl hier="236" item="0"/>
          <tpl fld="4" item="4"/>
        </tpls>
      </m>
      <m>
        <tpls c="4">
          <tpl fld="7" item="66"/>
          <tpl fld="6" item="2"/>
          <tpl hier="236" item="0"/>
          <tpl fld="1" item="0"/>
        </tpls>
      </m>
      <m>
        <tpls c="4">
          <tpl fld="7" item="474"/>
          <tpl fld="6" item="2"/>
          <tpl hier="236" item="0"/>
          <tpl fld="4" item="6"/>
        </tpls>
      </m>
      <m>
        <tpls c="4">
          <tpl fld="7" item="66"/>
          <tpl fld="6" item="1"/>
          <tpl hier="236" item="0"/>
          <tpl fld="4" item="1"/>
        </tpls>
      </m>
      <m>
        <tpls c="4">
          <tpl fld="7" item="194"/>
          <tpl fld="6" item="1"/>
          <tpl hier="236" item="0"/>
          <tpl fld="1" item="0"/>
        </tpls>
      </m>
      <m>
        <tpls c="3">
          <tpl fld="7" item="978"/>
          <tpl fld="6" item="3"/>
          <tpl hier="236" item="0"/>
        </tpls>
      </m>
      <m>
        <tpls c="4">
          <tpl fld="7" item="933"/>
          <tpl fld="6" item="2"/>
          <tpl hier="236" item="0"/>
          <tpl fld="4" item="4"/>
        </tpls>
      </m>
      <m>
        <tpls c="4">
          <tpl fld="7" item="353"/>
          <tpl fld="6" item="1"/>
          <tpl hier="236" item="0"/>
          <tpl fld="4" item="1"/>
        </tpls>
      </m>
      <m>
        <tpls c="4">
          <tpl fld="7" item="1151"/>
          <tpl fld="6" item="2"/>
          <tpl hier="236" item="0"/>
          <tpl fld="4" item="4"/>
        </tpls>
      </m>
      <m>
        <tpls c="4">
          <tpl fld="7" item="1116"/>
          <tpl fld="6" item="2"/>
          <tpl hier="236" item="0"/>
          <tpl fld="4" item="5"/>
        </tpls>
      </m>
      <m>
        <tpls c="4">
          <tpl fld="7" item="1187"/>
          <tpl fld="6" item="2"/>
          <tpl hier="236" item="0"/>
          <tpl fld="4" item="4"/>
        </tpls>
      </m>
      <m>
        <tpls c="4">
          <tpl fld="7" item="552"/>
          <tpl fld="6" item="2"/>
          <tpl hier="236" item="0"/>
          <tpl fld="4" item="4"/>
        </tpls>
      </m>
      <m>
        <tpls c="4">
          <tpl fld="7" item="834"/>
          <tpl fld="6" item="2"/>
          <tpl hier="236" item="0"/>
          <tpl fld="4" item="4"/>
        </tpls>
      </m>
      <n v="0.55000000000000004" in="2">
        <tpls c="4">
          <tpl fld="7" item="830"/>
          <tpl fld="6" item="2"/>
          <tpl hier="236" item="0"/>
          <tpl fld="1" item="0"/>
        </tpls>
      </n>
      <n v="7" in="1">
        <tpls c="4">
          <tpl fld="7" item="730"/>
          <tpl fld="6" item="1"/>
          <tpl hier="236" item="0"/>
          <tpl fld="1" item="0"/>
        </tpls>
      </n>
      <m>
        <tpls c="4">
          <tpl fld="7" item="920"/>
          <tpl fld="6" item="2"/>
          <tpl hier="236" item="0"/>
          <tpl fld="4" item="4"/>
        </tpls>
      </m>
      <m>
        <tpls c="4">
          <tpl fld="7" item="1249"/>
          <tpl fld="6" item="2"/>
          <tpl hier="236" item="0"/>
          <tpl fld="4" item="5"/>
        </tpls>
      </m>
      <m>
        <tpls c="4">
          <tpl fld="7" item="1018"/>
          <tpl fld="6" item="2"/>
          <tpl hier="236" item="0"/>
          <tpl fld="4" item="5"/>
        </tpls>
      </m>
      <m>
        <tpls c="4">
          <tpl fld="7" item="1001"/>
          <tpl fld="6" item="1"/>
          <tpl hier="236" item="0"/>
          <tpl fld="4" item="5"/>
        </tpls>
      </m>
      <m>
        <tpls c="4">
          <tpl fld="7" item="24"/>
          <tpl fld="6" item="1"/>
          <tpl hier="236" item="0"/>
          <tpl fld="4" item="1"/>
        </tpls>
      </m>
      <m>
        <tpls c="4">
          <tpl fld="7" item="108"/>
          <tpl fld="6" item="2"/>
          <tpl hier="236" item="0"/>
          <tpl fld="1" item="0"/>
        </tpls>
      </m>
      <m>
        <tpls c="4">
          <tpl fld="7" item="167"/>
          <tpl fld="6" item="2"/>
          <tpl hier="236" item="0"/>
          <tpl fld="4" item="5"/>
        </tpls>
      </m>
      <m>
        <tpls c="4">
          <tpl fld="7" item="369"/>
          <tpl fld="6" item="2"/>
          <tpl hier="236" item="0"/>
          <tpl fld="4" item="6"/>
        </tpls>
      </m>
      <m>
        <tpls c="4">
          <tpl fld="7" item="1195"/>
          <tpl fld="6" item="1"/>
          <tpl hier="236" item="0"/>
          <tpl fld="4" item="5"/>
        </tpls>
      </m>
      <m>
        <tpls c="4">
          <tpl fld="7" item="291"/>
          <tpl fld="6" item="1"/>
          <tpl hier="236" item="0"/>
          <tpl fld="4" item="5"/>
        </tpls>
      </m>
      <m>
        <tpls c="4">
          <tpl fld="7" item="943"/>
          <tpl fld="6" item="1"/>
          <tpl hier="236" item="0"/>
          <tpl fld="4" item="1"/>
        </tpls>
      </m>
      <m>
        <tpls c="4">
          <tpl fld="7" item="209"/>
          <tpl fld="6" item="1"/>
          <tpl hier="236" item="0"/>
          <tpl fld="4" item="1"/>
        </tpls>
      </m>
      <m>
        <tpls c="4">
          <tpl fld="7" item="344"/>
          <tpl fld="6" item="1"/>
          <tpl hier="236" item="0"/>
          <tpl fld="4" item="1"/>
        </tpls>
      </m>
      <m>
        <tpls c="4">
          <tpl fld="7" item="392"/>
          <tpl fld="6" item="2"/>
          <tpl hier="236" item="0"/>
          <tpl fld="4" item="1"/>
        </tpls>
      </m>
      <m>
        <tpls c="4">
          <tpl fld="7" item="891"/>
          <tpl fld="6" item="2"/>
          <tpl hier="236" item="0"/>
          <tpl fld="4" item="1"/>
        </tpls>
      </m>
      <m>
        <tpls c="4">
          <tpl fld="7" item="908"/>
          <tpl fld="6" item="2"/>
          <tpl hier="236" item="0"/>
          <tpl fld="4" item="1"/>
        </tpls>
      </m>
      <m>
        <tpls c="4">
          <tpl fld="7" item="906"/>
          <tpl fld="6" item="2"/>
          <tpl hier="236" item="0"/>
          <tpl fld="1" item="0"/>
        </tpls>
      </m>
      <m>
        <tpls c="4">
          <tpl fld="7" item="1278"/>
          <tpl fld="6" item="2"/>
          <tpl hier="236" item="0"/>
          <tpl fld="4" item="5"/>
        </tpls>
      </m>
      <m>
        <tpls c="4">
          <tpl fld="7" item="194"/>
          <tpl fld="6" item="2"/>
          <tpl hier="236" item="0"/>
          <tpl fld="4" item="5"/>
        </tpls>
      </m>
      <m>
        <tpls c="4">
          <tpl fld="7" item="404"/>
          <tpl fld="6" item="2"/>
          <tpl hier="236" item="0"/>
          <tpl fld="4" item="5"/>
        </tpls>
      </m>
      <m>
        <tpls c="4">
          <tpl fld="7" item="840"/>
          <tpl fld="6" item="2"/>
          <tpl hier="236" item="0"/>
          <tpl fld="4" item="6"/>
        </tpls>
      </m>
      <m>
        <tpls c="4">
          <tpl fld="7" item="305"/>
          <tpl fld="6" item="2"/>
          <tpl hier="236" item="0"/>
          <tpl fld="4" item="6"/>
        </tpls>
      </m>
      <m>
        <tpls c="4">
          <tpl fld="7" item="1131"/>
          <tpl fld="6" item="1"/>
          <tpl hier="236" item="0"/>
          <tpl fld="4" item="5"/>
        </tpls>
      </m>
      <m>
        <tpls c="4">
          <tpl fld="7" item="759"/>
          <tpl fld="6" item="1"/>
          <tpl hier="236" item="0"/>
          <tpl fld="4" item="5"/>
        </tpls>
      </m>
      <m>
        <tpls c="4">
          <tpl fld="7" item="473"/>
          <tpl fld="6" item="1"/>
          <tpl hier="236" item="0"/>
          <tpl fld="4" item="5"/>
        </tpls>
      </m>
      <n v="0" in="1">
        <tpls c="4">
          <tpl fld="7" item="1201"/>
          <tpl fld="6" item="1"/>
          <tpl hier="236" item="0"/>
          <tpl fld="4" item="1"/>
        </tpls>
      </n>
      <m>
        <tpls c="4">
          <tpl fld="7" item="196"/>
          <tpl fld="6" item="1"/>
          <tpl hier="236" item="0"/>
          <tpl fld="4" item="1"/>
        </tpls>
      </m>
      <m>
        <tpls c="4">
          <tpl fld="7" item="182"/>
          <tpl fld="6" item="1"/>
          <tpl hier="236" item="0"/>
          <tpl fld="4" item="1"/>
        </tpls>
      </m>
      <m>
        <tpls c="4">
          <tpl fld="7" item="329"/>
          <tpl fld="6" item="1"/>
          <tpl hier="236" item="0"/>
          <tpl fld="4" item="1"/>
        </tpls>
      </m>
      <n v="31" in="1">
        <tpls c="4">
          <tpl fld="7" item="982"/>
          <tpl fld="6" item="1"/>
          <tpl hier="236" item="0"/>
          <tpl fld="1" item="0"/>
        </tpls>
      </n>
      <m>
        <tpls c="4">
          <tpl fld="7" item="175"/>
          <tpl fld="6" item="1"/>
          <tpl hier="236" item="0"/>
          <tpl fld="1" item="0"/>
        </tpls>
      </m>
      <m>
        <tpls c="4">
          <tpl fld="7" item="701"/>
          <tpl fld="6" item="1"/>
          <tpl hier="236" item="0"/>
          <tpl fld="4" item="5"/>
        </tpls>
      </m>
      <m>
        <tpls c="4">
          <tpl fld="7" item="1114"/>
          <tpl fld="6" item="2"/>
          <tpl hier="236" item="0"/>
          <tpl fld="4" item="5"/>
        </tpls>
      </m>
      <m>
        <tpls c="4">
          <tpl fld="7" item="185"/>
          <tpl fld="6" item="2"/>
          <tpl hier="236" item="0"/>
          <tpl fld="4" item="6"/>
        </tpls>
      </m>
      <n v="2" in="1">
        <tpls c="4">
          <tpl fld="7" item="1224"/>
          <tpl fld="6" item="1"/>
          <tpl hier="236" item="0"/>
          <tpl fld="4" item="1"/>
        </tpls>
      </n>
      <n v="27" in="1">
        <tpls c="4">
          <tpl fld="7" item="910"/>
          <tpl fld="6" item="1"/>
          <tpl hier="236" item="0"/>
          <tpl fld="1" item="0"/>
        </tpls>
      </n>
      <m>
        <tpls c="4">
          <tpl fld="7" item="69"/>
          <tpl fld="6" item="1"/>
          <tpl hier="236" item="0"/>
          <tpl fld="1" item="0"/>
        </tpls>
      </m>
      <m>
        <tpls c="4">
          <tpl fld="7" item="110"/>
          <tpl fld="6" item="1"/>
          <tpl hier="236" item="0"/>
          <tpl fld="4" item="6"/>
        </tpls>
      </m>
      <m>
        <tpls c="4">
          <tpl fld="7" item="1068"/>
          <tpl fld="6" item="2"/>
          <tpl hier="236" item="0"/>
          <tpl fld="4" item="4"/>
        </tpls>
      </m>
      <m>
        <tpls c="4">
          <tpl fld="7" item="242"/>
          <tpl fld="6" item="2"/>
          <tpl hier="236" item="0"/>
          <tpl fld="4" item="4"/>
        </tpls>
      </m>
      <m>
        <tpls c="4">
          <tpl fld="7" item="488"/>
          <tpl fld="6" item="1"/>
          <tpl hier="236" item="0"/>
          <tpl fld="4" item="1"/>
        </tpls>
      </m>
      <m>
        <tpls c="3">
          <tpl fld="7" item="170"/>
          <tpl fld="6" item="3"/>
          <tpl hier="236" item="0"/>
        </tpls>
      </m>
      <m>
        <tpls c="4">
          <tpl fld="7" item="819"/>
          <tpl fld="6" item="1"/>
          <tpl hier="236" item="0"/>
          <tpl fld="4" item="1"/>
        </tpls>
      </m>
      <m>
        <tpls c="4">
          <tpl fld="7" item="79"/>
          <tpl fld="6" item="2"/>
          <tpl hier="236" item="0"/>
          <tpl fld="4" item="5"/>
        </tpls>
      </m>
      <n v="3" in="1">
        <tpls c="4">
          <tpl fld="7" item="853"/>
          <tpl fld="6" item="1"/>
          <tpl hier="236" item="0"/>
          <tpl fld="4" item="5"/>
        </tpls>
      </n>
      <n v="1" in="1">
        <tpls c="4">
          <tpl fld="7" item="371"/>
          <tpl fld="6" item="1"/>
          <tpl hier="236" item="0"/>
          <tpl fld="4" item="1"/>
        </tpls>
      </n>
      <n v="27" in="1">
        <tpls c="4">
          <tpl fld="7" item="517"/>
          <tpl fld="6" item="1"/>
          <tpl hier="236" item="0"/>
          <tpl fld="1" item="0"/>
        </tpls>
      </n>
      <m>
        <tpls c="4">
          <tpl fld="7" item="39"/>
          <tpl fld="6" item="1"/>
          <tpl hier="236" item="0"/>
          <tpl fld="1" item="0"/>
        </tpls>
      </m>
      <m>
        <tpls c="3">
          <tpl fld="7" item="707"/>
          <tpl fld="6" item="3"/>
          <tpl hier="236" item="0"/>
        </tpls>
      </m>
      <m>
        <tpls c="4">
          <tpl fld="7" item="947"/>
          <tpl fld="6" item="2"/>
          <tpl hier="236" item="0"/>
          <tpl fld="4" item="4"/>
        </tpls>
      </m>
      <m>
        <tpls c="4">
          <tpl fld="7" item="763"/>
          <tpl fld="6" item="2"/>
          <tpl hier="236" item="0"/>
          <tpl fld="4" item="6"/>
        </tpls>
      </m>
      <m>
        <tpls c="4">
          <tpl fld="7" item="196"/>
          <tpl fld="6" item="1"/>
          <tpl hier="236" item="0"/>
          <tpl fld="1" item="0"/>
        </tpls>
      </m>
      <m>
        <tpls c="4">
          <tpl fld="7" item="885"/>
          <tpl fld="6" item="2"/>
          <tpl hier="236" item="0"/>
          <tpl fld="4" item="4"/>
        </tpls>
      </m>
      <m>
        <tpls c="4">
          <tpl fld="7" item="674"/>
          <tpl fld="6" item="2"/>
          <tpl hier="236" item="0"/>
          <tpl fld="1" item="0"/>
        </tpls>
      </m>
      <m>
        <tpls c="4">
          <tpl fld="7" item="1085"/>
          <tpl fld="6" item="2"/>
          <tpl hier="236" item="0"/>
          <tpl fld="4" item="6"/>
        </tpls>
      </m>
      <m>
        <tpls c="4">
          <tpl fld="7" item="330"/>
          <tpl fld="6" item="1"/>
          <tpl hier="236" item="0"/>
          <tpl fld="4" item="5"/>
        </tpls>
      </m>
      <m>
        <tpls c="4">
          <tpl fld="7" item="220"/>
          <tpl fld="6" item="1"/>
          <tpl hier="236" item="0"/>
          <tpl fld="4" item="1"/>
        </tpls>
      </m>
      <m>
        <tpls c="4">
          <tpl fld="7" item="305"/>
          <tpl fld="6" item="1"/>
          <tpl hier="236" item="0"/>
          <tpl fld="1" item="0"/>
        </tpls>
      </m>
      <m>
        <tpls c="4">
          <tpl fld="7" item="235"/>
          <tpl fld="6" item="1"/>
          <tpl hier="236" item="0"/>
          <tpl fld="4" item="6"/>
        </tpls>
      </m>
      <m>
        <tpls c="3">
          <tpl fld="7" item="218"/>
          <tpl fld="6" item="3"/>
          <tpl hier="236" item="0"/>
        </tpls>
      </m>
      <m>
        <tpls c="4">
          <tpl fld="7" item="171"/>
          <tpl fld="6" item="2"/>
          <tpl hier="236" item="0"/>
          <tpl fld="4" item="4"/>
        </tpls>
      </m>
      <m>
        <tpls c="4">
          <tpl fld="7" item="1111"/>
          <tpl fld="6" item="2"/>
          <tpl hier="236" item="0"/>
          <tpl fld="4" item="4"/>
        </tpls>
      </m>
      <m>
        <tpls c="4">
          <tpl fld="7" item="140"/>
          <tpl fld="6" item="2"/>
          <tpl hier="236" item="0"/>
          <tpl fld="4" item="5"/>
        </tpls>
      </m>
      <n v="5" in="1">
        <tpls c="4">
          <tpl fld="7" item="367"/>
          <tpl fld="6" item="1"/>
          <tpl hier="236" item="0"/>
          <tpl fld="1" item="0"/>
        </tpls>
      </n>
      <m>
        <tpls c="4">
          <tpl fld="7" item="1146"/>
          <tpl fld="6" item="2"/>
          <tpl hier="236" item="0"/>
          <tpl fld="4" item="4"/>
        </tpls>
      </m>
      <m>
        <tpls c="3">
          <tpl fld="7" item="899"/>
          <tpl fld="6" item="3"/>
          <tpl hier="236" item="0"/>
        </tpls>
      </m>
      <m>
        <tpls c="3">
          <tpl fld="7" item="900"/>
          <tpl fld="6" item="3"/>
          <tpl hier="236" item="0"/>
        </tpls>
      </m>
      <m>
        <tpls c="3">
          <tpl fld="7" item="797"/>
          <tpl fld="6" item="3"/>
          <tpl hier="236" item="0"/>
        </tpls>
      </m>
      <m>
        <tpls c="3">
          <tpl fld="7" item="922"/>
          <tpl fld="6" item="3"/>
          <tpl hier="236" item="0"/>
        </tpls>
      </m>
      <m>
        <tpls c="4">
          <tpl fld="7" item="1271"/>
          <tpl fld="6" item="1"/>
          <tpl hier="236" item="0"/>
          <tpl fld="4" item="6"/>
        </tpls>
      </m>
      <m>
        <tpls c="4">
          <tpl fld="7" item="378"/>
          <tpl fld="6" item="1"/>
          <tpl hier="236" item="0"/>
          <tpl fld="4" item="5"/>
        </tpls>
      </m>
      <n v="0" in="1">
        <tpls c="4">
          <tpl fld="7" item="1106"/>
          <tpl fld="6" item="1"/>
          <tpl hier="236" item="0"/>
          <tpl fld="4" item="6"/>
        </tpls>
      </n>
      <m>
        <tpls c="4">
          <tpl fld="7" item="407"/>
          <tpl fld="6" item="2"/>
          <tpl hier="236" item="0"/>
          <tpl fld="4" item="5"/>
        </tpls>
      </m>
      <m>
        <tpls c="4">
          <tpl fld="7" item="31"/>
          <tpl fld="6" item="2"/>
          <tpl hier="236" item="0"/>
          <tpl fld="4" item="6"/>
        </tpls>
      </m>
      <m>
        <tpls c="4">
          <tpl fld="7" item="36"/>
          <tpl fld="6" item="1"/>
          <tpl hier="236" item="0"/>
          <tpl fld="4" item="5"/>
        </tpls>
      </m>
      <n v="8" in="1">
        <tpls c="4">
          <tpl fld="7" item="878"/>
          <tpl fld="6" item="1"/>
          <tpl hier="236" item="0"/>
          <tpl fld="4" item="1"/>
        </tpls>
      </n>
      <m>
        <tpls c="4">
          <tpl fld="7" item="570"/>
          <tpl fld="6" item="1"/>
          <tpl hier="236" item="0"/>
          <tpl fld="1" item="0"/>
        </tpls>
      </m>
      <n v="1" in="1">
        <tpls c="4">
          <tpl fld="7" item="1126"/>
          <tpl fld="6" item="1"/>
          <tpl hier="236" item="0"/>
          <tpl fld="4" item="4"/>
        </tpls>
      </n>
      <m>
        <tpls c="4">
          <tpl fld="7" item="1191"/>
          <tpl fld="6" item="2"/>
          <tpl hier="236" item="0"/>
          <tpl fld="4" item="5"/>
        </tpls>
      </m>
      <m>
        <tpls c="4">
          <tpl fld="7" item="20"/>
          <tpl fld="6" item="2"/>
          <tpl hier="236" item="0"/>
          <tpl fld="4" item="5"/>
        </tpls>
      </m>
      <m>
        <tpls c="4">
          <tpl fld="7" item="170"/>
          <tpl fld="6" item="2"/>
          <tpl hier="236" item="0"/>
          <tpl fld="4" item="6"/>
        </tpls>
      </m>
      <m>
        <tpls c="4">
          <tpl fld="7" item="481"/>
          <tpl fld="6" item="1"/>
          <tpl hier="236" item="0"/>
          <tpl fld="4" item="5"/>
        </tpls>
      </m>
      <n v="1" in="1">
        <tpls c="4">
          <tpl fld="7" item="1110"/>
          <tpl fld="6" item="1"/>
          <tpl hier="236" item="0"/>
          <tpl fld="1" item="0"/>
        </tpls>
      </n>
      <m>
        <tpls c="4">
          <tpl fld="7" item="750"/>
          <tpl fld="6" item="1"/>
          <tpl hier="236" item="0"/>
          <tpl fld="4" item="6"/>
        </tpls>
      </m>
      <m>
        <tpls c="4">
          <tpl fld="7" item="140"/>
          <tpl fld="6" item="1"/>
          <tpl hier="236" item="0"/>
          <tpl fld="4" item="1"/>
        </tpls>
      </m>
      <m>
        <tpls c="4">
          <tpl fld="7" item="1205"/>
          <tpl fld="6" item="2"/>
          <tpl hier="236" item="0"/>
          <tpl fld="4" item="4"/>
        </tpls>
      </m>
      <m>
        <tpls c="4">
          <tpl fld="7" item="398"/>
          <tpl fld="6" item="1"/>
          <tpl hier="236" item="0"/>
          <tpl fld="4" item="1"/>
        </tpls>
      </m>
      <m>
        <tpls c="4">
          <tpl fld="7" item="725"/>
          <tpl fld="6" item="2"/>
          <tpl hier="236" item="0"/>
          <tpl fld="4" item="1"/>
        </tpls>
      </m>
      <m>
        <tpls c="4">
          <tpl fld="7" item="894"/>
          <tpl fld="6" item="2"/>
          <tpl hier="236" item="0"/>
          <tpl fld="4" item="4"/>
        </tpls>
      </m>
      <m>
        <tpls c="4">
          <tpl fld="7" item="1012"/>
          <tpl fld="6" item="2"/>
          <tpl hier="236" item="0"/>
          <tpl fld="4" item="6"/>
        </tpls>
      </m>
      <m>
        <tpls c="4">
          <tpl fld="7" item="203"/>
          <tpl fld="6" item="2"/>
          <tpl hier="236" item="0"/>
          <tpl fld="4" item="5"/>
        </tpls>
      </m>
      <m>
        <tpls c="4">
          <tpl fld="7" item="295"/>
          <tpl fld="6" item="1"/>
          <tpl hier="236" item="0"/>
          <tpl fld="4" item="5"/>
        </tpls>
      </m>
      <m>
        <tpls c="4">
          <tpl fld="7" item="703"/>
          <tpl fld="6" item="2"/>
          <tpl hier="236" item="0"/>
          <tpl fld="4" item="6"/>
        </tpls>
      </m>
      <m>
        <tpls c="4">
          <tpl fld="7" item="1244"/>
          <tpl fld="6" item="2"/>
          <tpl hier="236" item="0"/>
          <tpl fld="4" item="5"/>
        </tpls>
      </m>
      <m>
        <tpls c="4">
          <tpl fld="7" item="672"/>
          <tpl fld="6" item="2"/>
          <tpl hier="236" item="0"/>
          <tpl fld="4" item="6"/>
        </tpls>
      </m>
      <m>
        <tpls c="4">
          <tpl fld="7" item="868"/>
          <tpl fld="6" item="1"/>
          <tpl hier="236" item="0"/>
          <tpl fld="4" item="1"/>
        </tpls>
      </m>
      <m>
        <tpls c="4">
          <tpl fld="7" item="421"/>
          <tpl fld="6" item="1"/>
          <tpl hier="236" item="0"/>
          <tpl fld="1" item="0"/>
        </tpls>
      </m>
      <m>
        <tpls c="4">
          <tpl fld="7" item="755"/>
          <tpl fld="6" item="1"/>
          <tpl hier="236" item="0"/>
          <tpl fld="4" item="5"/>
        </tpls>
      </m>
      <m>
        <tpls c="3">
          <tpl fld="7" item="466"/>
          <tpl fld="6" item="3"/>
          <tpl hier="236" item="0"/>
        </tpls>
      </m>
      <n v="1" in="1">
        <tpls c="4">
          <tpl fld="7" item="547"/>
          <tpl fld="6" item="1"/>
          <tpl hier="236" item="0"/>
          <tpl fld="4" item="1"/>
        </tpls>
      </n>
      <n v="3" in="1">
        <tpls c="4">
          <tpl fld="7" item="1119"/>
          <tpl fld="6" item="1"/>
          <tpl hier="236" item="0"/>
          <tpl fld="1" item="0"/>
        </tpls>
      </n>
      <m>
        <tpls c="4">
          <tpl fld="7" item="410"/>
          <tpl fld="6" item="2"/>
          <tpl hier="236" item="0"/>
          <tpl fld="4" item="4"/>
        </tpls>
      </m>
      <m>
        <tpls c="4">
          <tpl fld="7" item="224"/>
          <tpl fld="6" item="2"/>
          <tpl hier="236" item="0"/>
          <tpl fld="4" item="5"/>
        </tpls>
      </m>
      <n v="1" in="1">
        <tpls c="4">
          <tpl fld="7" item="378"/>
          <tpl fld="6" item="1"/>
          <tpl hier="236" item="0"/>
          <tpl fld="1" item="0"/>
        </tpls>
      </n>
      <m>
        <tpls c="4">
          <tpl fld="7" item="1233"/>
          <tpl fld="6" item="2"/>
          <tpl hier="236" item="0"/>
          <tpl fld="4" item="4"/>
        </tpls>
      </m>
      <m>
        <tpls c="4">
          <tpl fld="7" item="148"/>
          <tpl fld="6" item="2"/>
          <tpl hier="236" item="0"/>
          <tpl fld="4" item="5"/>
        </tpls>
      </m>
      <m>
        <tpls c="4">
          <tpl fld="7" item="551"/>
          <tpl fld="6" item="1"/>
          <tpl hier="236" item="0"/>
          <tpl fld="4" item="5"/>
        </tpls>
      </m>
      <m>
        <tpls c="4">
          <tpl fld="7" item="581"/>
          <tpl fld="6" item="1"/>
          <tpl hier="236" item="0"/>
          <tpl fld="4" item="6"/>
        </tpls>
      </m>
      <n v="1" in="1">
        <tpls c="4">
          <tpl fld="7" item="942"/>
          <tpl fld="6" item="1"/>
          <tpl hier="236" item="0"/>
          <tpl fld="4" item="4"/>
        </tpls>
      </n>
      <m>
        <tpls c="4">
          <tpl fld="7" item="892"/>
          <tpl fld="6" item="2"/>
          <tpl hier="236" item="0"/>
          <tpl fld="4" item="4"/>
        </tpls>
      </m>
      <n v="2.85" in="2">
        <tpls c="4">
          <tpl fld="7" item="503"/>
          <tpl fld="6" item="2"/>
          <tpl hier="236" item="0"/>
          <tpl fld="1" item="0"/>
        </tpls>
      </n>
      <m>
        <tpls c="4">
          <tpl fld="7" item="492"/>
          <tpl fld="6" item="2"/>
          <tpl hier="236" item="0"/>
          <tpl fld="4" item="5"/>
        </tpls>
      </m>
      <m>
        <tpls c="4">
          <tpl fld="7" item="194"/>
          <tpl fld="6" item="1"/>
          <tpl hier="236" item="0"/>
          <tpl fld="4" item="1"/>
        </tpls>
      </m>
      <m>
        <tpls c="4">
          <tpl fld="7" item="908"/>
          <tpl fld="6" item="2"/>
          <tpl hier="236" item="0"/>
          <tpl fld="4" item="5"/>
        </tpls>
      </m>
      <m>
        <tpls c="4">
          <tpl fld="7" item="1014"/>
          <tpl fld="6" item="2"/>
          <tpl hier="236" item="0"/>
          <tpl fld="4" item="6"/>
        </tpls>
      </m>
      <m>
        <tpls c="4">
          <tpl fld="7" item="1217"/>
          <tpl fld="6" item="1"/>
          <tpl hier="236" item="0"/>
          <tpl fld="4" item="5"/>
        </tpls>
      </m>
      <m>
        <tpls c="4">
          <tpl fld="7" item="936"/>
          <tpl fld="6" item="1"/>
          <tpl hier="236" item="0"/>
          <tpl fld="4" item="1"/>
        </tpls>
      </m>
      <m>
        <tpls c="4">
          <tpl fld="7" item="413"/>
          <tpl fld="6" item="1"/>
          <tpl hier="236" item="0"/>
          <tpl fld="4" item="1"/>
        </tpls>
      </m>
      <m>
        <tpls c="4">
          <tpl fld="7" item="734"/>
          <tpl fld="6" item="1"/>
          <tpl hier="236" item="0"/>
          <tpl fld="4" item="6"/>
        </tpls>
      </m>
      <n v="1.7972972972972974" in="2">
        <tpls c="4">
          <tpl fld="7" item="763"/>
          <tpl fld="6" item="2"/>
          <tpl hier="236" item="0"/>
          <tpl fld="1" item="0"/>
        </tpls>
      </n>
      <m>
        <tpls c="4">
          <tpl fld="7" item="316"/>
          <tpl fld="6" item="2"/>
          <tpl hier="236" item="0"/>
          <tpl fld="4" item="5"/>
        </tpls>
      </m>
      <m>
        <tpls c="4">
          <tpl fld="7" item="833"/>
          <tpl fld="6" item="2"/>
          <tpl hier="236" item="0"/>
          <tpl fld="4" item="6"/>
        </tpls>
      </m>
      <m>
        <tpls c="4">
          <tpl fld="7" item="1023"/>
          <tpl fld="6" item="1"/>
          <tpl hier="236" item="0"/>
          <tpl fld="4" item="5"/>
        </tpls>
      </m>
      <m>
        <tpls c="4">
          <tpl fld="7" item="31"/>
          <tpl fld="6" item="1"/>
          <tpl hier="236" item="0"/>
          <tpl fld="4" item="5"/>
        </tpls>
      </m>
      <n v="1" in="1">
        <tpls c="4">
          <tpl fld="7" item="451"/>
          <tpl fld="6" item="1"/>
          <tpl hier="236" item="0"/>
          <tpl fld="4" item="1"/>
        </tpls>
      </n>
      <m>
        <tpls c="4">
          <tpl fld="7" item="119"/>
          <tpl fld="6" item="1"/>
          <tpl hier="236" item="0"/>
          <tpl fld="4" item="1"/>
        </tpls>
      </m>
      <n v="1" in="1">
        <tpls c="4">
          <tpl fld="7" item="169"/>
          <tpl fld="6" item="1"/>
          <tpl hier="236" item="0"/>
          <tpl fld="1" item="0"/>
        </tpls>
      </n>
      <m>
        <tpls c="4">
          <tpl fld="7" item="442"/>
          <tpl fld="6" item="2"/>
          <tpl hier="236" item="0"/>
          <tpl fld="4" item="5"/>
        </tpls>
      </m>
      <n v="8" in="1">
        <tpls c="4">
          <tpl fld="7" item="910"/>
          <tpl fld="6" item="1"/>
          <tpl hier="236" item="0"/>
          <tpl fld="4" item="1"/>
        </tpls>
      </n>
      <m>
        <tpls c="4">
          <tpl fld="7" item="277"/>
          <tpl fld="6" item="1"/>
          <tpl hier="236" item="0"/>
          <tpl fld="1" item="0"/>
        </tpls>
      </m>
      <m>
        <tpls c="4">
          <tpl fld="7" item="1061"/>
          <tpl fld="6" item="2"/>
          <tpl hier="236" item="0"/>
          <tpl fld="4" item="4"/>
        </tpls>
      </m>
      <m>
        <tpls c="4">
          <tpl fld="7" item="399"/>
          <tpl fld="6" item="1"/>
          <tpl hier="236" item="0"/>
          <tpl fld="4" item="1"/>
        </tpls>
      </m>
      <m>
        <tpls c="4">
          <tpl fld="7" item="1000"/>
          <tpl fld="6" item="1"/>
          <tpl hier="236" item="0"/>
          <tpl fld="4" item="4"/>
        </tpls>
      </m>
      <n v="1" in="1">
        <tpls c="4">
          <tpl fld="7" item="453"/>
          <tpl fld="6" item="1"/>
          <tpl hier="236" item="0"/>
          <tpl fld="4" item="5"/>
        </tpls>
      </n>
      <n v="12" in="1">
        <tpls c="4">
          <tpl fld="7" item="437"/>
          <tpl fld="6" item="1"/>
          <tpl hier="236" item="0"/>
          <tpl fld="1" item="0"/>
        </tpls>
      </n>
      <m>
        <tpls c="3">
          <tpl fld="7" item="979"/>
          <tpl fld="6" item="3"/>
          <tpl hier="236" item="0"/>
        </tpls>
      </m>
      <m>
        <tpls c="4">
          <tpl fld="7" item="148"/>
          <tpl fld="6" item="2"/>
          <tpl hier="236" item="0"/>
          <tpl fld="4" item="6"/>
        </tpls>
      </m>
      <m>
        <tpls c="4">
          <tpl fld="7" item="468"/>
          <tpl fld="6" item="2"/>
          <tpl hier="236" item="0"/>
          <tpl fld="4" item="4"/>
        </tpls>
      </m>
      <m>
        <tpls c="4">
          <tpl fld="7" item="1263"/>
          <tpl fld="6" item="2"/>
          <tpl hier="236" item="0"/>
          <tpl fld="4" item="6"/>
        </tpls>
      </m>
      <n v="3" in="1">
        <tpls c="4">
          <tpl fld="7" item="1118"/>
          <tpl fld="6" item="1"/>
          <tpl hier="236" item="0"/>
          <tpl fld="4" item="1"/>
        </tpls>
      </n>
      <n v="6" in="1">
        <tpls c="4">
          <tpl fld="7" item="362"/>
          <tpl fld="6" item="1"/>
          <tpl hier="236" item="0"/>
          <tpl fld="1" item="0"/>
        </tpls>
      </n>
      <m>
        <tpls c="4">
          <tpl fld="7" item="238"/>
          <tpl fld="6" item="1"/>
          <tpl hier="236" item="0"/>
          <tpl fld="4" item="6"/>
        </tpls>
      </m>
      <m>
        <tpls c="4">
          <tpl fld="7" item="1257"/>
          <tpl fld="6" item="2"/>
          <tpl hier="236" item="0"/>
          <tpl fld="4" item="4"/>
        </tpls>
      </m>
      <m>
        <tpls c="3">
          <tpl fld="7" item="803"/>
          <tpl fld="6" item="3"/>
          <tpl hier="236" item="0"/>
        </tpls>
      </m>
      <m>
        <tpls c="4">
          <tpl fld="7" item="144"/>
          <tpl fld="6" item="2"/>
          <tpl hier="236" item="0"/>
          <tpl fld="4" item="5"/>
        </tpls>
      </m>
      <m>
        <tpls c="4">
          <tpl fld="7" item="238"/>
          <tpl fld="6" item="1"/>
          <tpl hier="236" item="0"/>
          <tpl fld="1" item="0"/>
        </tpls>
      </m>
      <m>
        <tpls c="4">
          <tpl fld="7" item="604"/>
          <tpl fld="6" item="2"/>
          <tpl hier="236" item="0"/>
          <tpl fld="4" item="6"/>
        </tpls>
      </m>
      <m>
        <tpls c="4">
          <tpl fld="7" item="727"/>
          <tpl fld="6" item="2"/>
          <tpl hier="236" item="0"/>
          <tpl fld="4" item="1"/>
        </tpls>
      </m>
      <n v="10" in="1">
        <tpls c="4">
          <tpl fld="7" item="978"/>
          <tpl fld="6" item="1"/>
          <tpl hier="236" item="0"/>
          <tpl fld="4" item="4"/>
        </tpls>
      </n>
      <n v="4" in="1">
        <tpls c="4">
          <tpl fld="7" item="742"/>
          <tpl fld="6" item="1"/>
          <tpl hier="236" item="0"/>
          <tpl fld="1" item="0"/>
        </tpls>
      </n>
      <m>
        <tpls c="4">
          <tpl fld="7" item="242"/>
          <tpl fld="6" item="2"/>
          <tpl hier="236" item="0"/>
          <tpl fld="1" item="0"/>
        </tpls>
      </m>
      <m>
        <tpls c="4">
          <tpl fld="7" item="2"/>
          <tpl fld="6" item="2"/>
          <tpl hier="236" item="0"/>
          <tpl fld="4" item="5"/>
        </tpls>
      </m>
      <m>
        <tpls c="4">
          <tpl fld="7" item="282"/>
          <tpl fld="6" item="1"/>
          <tpl hier="236" item="0"/>
          <tpl fld="4" item="1"/>
        </tpls>
      </m>
      <m>
        <tpls c="4">
          <tpl fld="7" item="448"/>
          <tpl fld="6" item="2"/>
          <tpl hier="236" item="0"/>
          <tpl fld="4" item="5"/>
        </tpls>
      </m>
      <m>
        <tpls c="4">
          <tpl fld="7" item="383"/>
          <tpl fld="6" item="2"/>
          <tpl hier="236" item="0"/>
          <tpl fld="4" item="6"/>
        </tpls>
      </m>
      <m>
        <tpls c="4">
          <tpl fld="7" item="512"/>
          <tpl fld="6" item="1"/>
          <tpl hier="236" item="0"/>
          <tpl fld="4" item="5"/>
        </tpls>
      </m>
      <m>
        <tpls c="4">
          <tpl fld="7" item="923"/>
          <tpl fld="6" item="1"/>
          <tpl hier="236" item="0"/>
          <tpl fld="4" item="1"/>
        </tpls>
      </m>
      <m>
        <tpls c="4">
          <tpl fld="7" item="481"/>
          <tpl fld="6" item="1"/>
          <tpl hier="236" item="0"/>
          <tpl fld="4" item="1"/>
        </tpls>
      </m>
      <m>
        <tpls c="4">
          <tpl fld="7" item="997"/>
          <tpl fld="6" item="1"/>
          <tpl hier="236" item="0"/>
          <tpl fld="4" item="5"/>
        </tpls>
      </m>
      <m>
        <tpls c="4">
          <tpl fld="7" item="482"/>
          <tpl fld="6" item="2"/>
          <tpl hier="236" item="0"/>
          <tpl fld="1" item="0"/>
        </tpls>
      </m>
      <m>
        <tpls c="4">
          <tpl fld="7" item="178"/>
          <tpl fld="6" item="2"/>
          <tpl hier="236" item="0"/>
          <tpl fld="4" item="5"/>
        </tpls>
      </m>
      <n v="1" in="2">
        <tpls c="4">
          <tpl fld="7" item="513"/>
          <tpl fld="6" item="2"/>
          <tpl hier="236" item="0"/>
          <tpl fld="4" item="6"/>
        </tpls>
      </n>
      <m>
        <tpls c="4">
          <tpl fld="7" item="1244"/>
          <tpl fld="6" item="1"/>
          <tpl hier="236" item="0"/>
          <tpl fld="4" item="5"/>
        </tpls>
      </m>
      <m>
        <tpls c="4">
          <tpl fld="7" item="230"/>
          <tpl fld="6" item="1"/>
          <tpl hier="236" item="0"/>
          <tpl fld="4" item="5"/>
        </tpls>
      </m>
      <m>
        <tpls c="4">
          <tpl fld="7" item="433"/>
          <tpl fld="6" item="1"/>
          <tpl hier="236" item="0"/>
          <tpl fld="4" item="1"/>
        </tpls>
      </m>
      <n v="1" in="1">
        <tpls c="4">
          <tpl fld="7" item="1195"/>
          <tpl fld="6" item="1"/>
          <tpl hier="236" item="0"/>
          <tpl fld="1" item="0"/>
        </tpls>
      </n>
      <m>
        <tpls c="4">
          <tpl fld="7" item="402"/>
          <tpl fld="6" item="1"/>
          <tpl hier="236" item="0"/>
          <tpl fld="1" item="0"/>
        </tpls>
      </m>
      <m>
        <tpls c="4">
          <tpl fld="7" item="478"/>
          <tpl fld="6" item="2"/>
          <tpl hier="236" item="0"/>
          <tpl fld="4" item="5"/>
        </tpls>
      </m>
      <m>
        <tpls c="4">
          <tpl fld="7" item="306"/>
          <tpl fld="6" item="1"/>
          <tpl hier="236" item="0"/>
          <tpl fld="4" item="1"/>
        </tpls>
      </m>
      <m>
        <tpls c="4">
          <tpl fld="7" item="20"/>
          <tpl fld="6" item="1"/>
          <tpl hier="236" item="0"/>
          <tpl fld="1" item="0"/>
        </tpls>
      </m>
      <m>
        <tpls c="4">
          <tpl fld="7" item="1043"/>
          <tpl fld="6" item="2"/>
          <tpl hier="236" item="0"/>
          <tpl fld="4" item="4"/>
        </tpls>
      </m>
      <m>
        <tpls c="4">
          <tpl fld="7" item="499"/>
          <tpl fld="6" item="1"/>
          <tpl hier="236" item="0"/>
          <tpl fld="1" item="0"/>
        </tpls>
      </m>
      <n v="4" in="1">
        <tpls c="4">
          <tpl fld="7" item="1073"/>
          <tpl fld="6" item="1"/>
          <tpl hier="236" item="0"/>
          <tpl fld="4" item="4"/>
        </tpls>
      </n>
      <m>
        <tpls c="4">
          <tpl fld="7" item="174"/>
          <tpl fld="6" item="1"/>
          <tpl hier="236" item="0"/>
          <tpl fld="4" item="5"/>
        </tpls>
      </m>
      <m>
        <tpls c="4">
          <tpl fld="7" item="206"/>
          <tpl fld="6" item="1"/>
          <tpl hier="236" item="0"/>
          <tpl fld="1" item="0"/>
        </tpls>
      </m>
      <m>
        <tpls c="3">
          <tpl fld="7" item="6"/>
          <tpl fld="6" item="3"/>
          <tpl hier="236" item="0"/>
        </tpls>
      </m>
      <m>
        <tpls c="4">
          <tpl fld="7" item="17"/>
          <tpl fld="6" item="2"/>
          <tpl hier="236" item="0"/>
          <tpl fld="4" item="4"/>
        </tpls>
      </m>
      <n v="1" in="1">
        <tpls c="4">
          <tpl fld="7" item="1008"/>
          <tpl fld="6" item="1"/>
          <tpl hier="236" item="0"/>
          <tpl fld="1" item="0"/>
        </tpls>
      </n>
      <m>
        <tpls c="4">
          <tpl fld="7" item="1166"/>
          <tpl fld="6" item="2"/>
          <tpl hier="236" item="0"/>
          <tpl fld="4" item="4"/>
        </tpls>
      </m>
      <m>
        <tpls c="4">
          <tpl fld="7" item="1222"/>
          <tpl fld="6" item="2"/>
          <tpl hier="236" item="0"/>
          <tpl fld="4" item="1"/>
        </tpls>
      </m>
      <m>
        <tpls c="4">
          <tpl fld="7" item="234"/>
          <tpl fld="6" item="2"/>
          <tpl hier="236" item="0"/>
          <tpl fld="4" item="5"/>
        </tpls>
      </m>
      <m>
        <tpls c="4">
          <tpl fld="7" item="11"/>
          <tpl fld="6" item="2"/>
          <tpl hier="236" item="0"/>
          <tpl fld="4" item="6"/>
        </tpls>
      </m>
      <m>
        <tpls c="4">
          <tpl fld="7" item="1169"/>
          <tpl fld="6" item="1"/>
          <tpl hier="236" item="0"/>
          <tpl fld="4" item="1"/>
        </tpls>
      </m>
      <m>
        <tpls c="4">
          <tpl fld="7" item="61"/>
          <tpl fld="6" item="1"/>
          <tpl hier="236" item="0"/>
          <tpl fld="4" item="1"/>
        </tpls>
      </m>
      <n v="13" in="1">
        <tpls c="4">
          <tpl fld="7" item="382"/>
          <tpl fld="6" item="1"/>
          <tpl hier="236" item="0"/>
          <tpl fld="1" item="0"/>
        </tpls>
      </n>
      <m>
        <tpls c="4">
          <tpl fld="7" item="486"/>
          <tpl fld="6" item="1"/>
          <tpl hier="236" item="0"/>
          <tpl fld="1" item="0"/>
        </tpls>
      </m>
      <n v="10" in="1">
        <tpls c="4">
          <tpl fld="7" item="1101"/>
          <tpl fld="6" item="1"/>
          <tpl hier="236" item="0"/>
          <tpl fld="4" item="6"/>
        </tpls>
      </n>
      <m>
        <tpls c="3">
          <tpl fld="7" item="708"/>
          <tpl fld="6" item="3"/>
          <tpl hier="236" item="0"/>
        </tpls>
      </m>
      <m>
        <tpls c="4">
          <tpl fld="7" item="1235"/>
          <tpl fld="6" item="2"/>
          <tpl hier="236" item="0"/>
          <tpl fld="4" item="4"/>
        </tpls>
      </m>
      <m>
        <tpls c="4">
          <tpl fld="7" item="1250"/>
          <tpl fld="6" item="2"/>
          <tpl hier="236" item="0"/>
          <tpl fld="4" item="4"/>
        </tpls>
      </m>
      <m>
        <tpls c="4">
          <tpl fld="7" item="117"/>
          <tpl fld="6" item="2"/>
          <tpl hier="236" item="0"/>
          <tpl fld="4" item="4"/>
        </tpls>
      </m>
      <m>
        <tpls c="4">
          <tpl fld="7" item="919"/>
          <tpl fld="6" item="1"/>
          <tpl hier="236" item="0"/>
          <tpl fld="4" item="6"/>
        </tpls>
      </m>
      <m>
        <tpls c="4">
          <tpl fld="7" item="319"/>
          <tpl fld="6" item="2"/>
          <tpl hier="236" item="0"/>
          <tpl fld="4" item="5"/>
        </tpls>
      </m>
      <m>
        <tpls c="4">
          <tpl fld="7" item="488"/>
          <tpl fld="6" item="1"/>
          <tpl hier="236" item="0"/>
          <tpl fld="4" item="5"/>
        </tpls>
      </m>
      <m>
        <tpls c="4">
          <tpl fld="7" item="99"/>
          <tpl fld="6" item="1"/>
          <tpl hier="236" item="0"/>
          <tpl fld="1" item="0"/>
        </tpls>
      </m>
      <m>
        <tpls c="3">
          <tpl fld="7" item="5"/>
          <tpl fld="6" item="3"/>
          <tpl hier="236" item="0"/>
        </tpls>
      </m>
      <m>
        <tpls c="4">
          <tpl fld="7" item="981"/>
          <tpl fld="6" item="1"/>
          <tpl hier="236" item="0"/>
          <tpl fld="4" item="5"/>
        </tpls>
      </m>
      <n v="2" in="1">
        <tpls c="4">
          <tpl fld="7" item="1230"/>
          <tpl fld="6" item="1"/>
          <tpl hier="236" item="0"/>
          <tpl fld="4" item="1"/>
        </tpls>
      </n>
      <m>
        <tpls c="4">
          <tpl fld="7" item="447"/>
          <tpl fld="6" item="1"/>
          <tpl hier="236" item="0"/>
          <tpl fld="4" item="1"/>
        </tpls>
      </m>
      <m>
        <tpls c="4">
          <tpl fld="7" item="165"/>
          <tpl fld="6" item="1"/>
          <tpl hier="236" item="0"/>
          <tpl fld="4" item="1"/>
        </tpls>
      </m>
      <m>
        <tpls c="4">
          <tpl fld="7" item="1184"/>
          <tpl fld="6" item="1"/>
          <tpl hier="236" item="0"/>
          <tpl fld="1" item="0"/>
        </tpls>
      </m>
      <n v="7" in="1">
        <tpls c="4">
          <tpl fld="7" item="598"/>
          <tpl fld="6" item="1"/>
          <tpl hier="236" item="0"/>
          <tpl fld="1" item="0"/>
        </tpls>
      </n>
      <m>
        <tpls c="4">
          <tpl fld="7" item="137"/>
          <tpl fld="6" item="1"/>
          <tpl hier="236" item="0"/>
          <tpl fld="1" item="0"/>
        </tpls>
      </m>
      <m>
        <tpls c="4">
          <tpl fld="7" item="810"/>
          <tpl fld="6" item="2"/>
          <tpl hier="236" item="0"/>
          <tpl fld="4" item="4"/>
        </tpls>
      </m>
      <m>
        <tpls c="4">
          <tpl fld="7" item="424"/>
          <tpl fld="6" item="2"/>
          <tpl hier="236" item="0"/>
          <tpl fld="4" item="5"/>
        </tpls>
      </m>
      <m>
        <tpls c="4">
          <tpl fld="7" item="125"/>
          <tpl fld="6" item="2"/>
          <tpl hier="236" item="0"/>
          <tpl fld="4" item="6"/>
        </tpls>
      </m>
      <n v="2" in="1">
        <tpls c="4">
          <tpl fld="7" item="898"/>
          <tpl fld="6" item="1"/>
          <tpl hier="236" item="0"/>
          <tpl fld="4" item="1"/>
        </tpls>
      </n>
      <n v="9" in="1">
        <tpls c="4">
          <tpl fld="7" item="526"/>
          <tpl fld="6" item="1"/>
          <tpl hier="236" item="0"/>
          <tpl fld="1" item="0"/>
        </tpls>
      </n>
      <m>
        <tpls c="4">
          <tpl fld="7" item="30"/>
          <tpl fld="6" item="1"/>
          <tpl hier="236" item="0"/>
          <tpl fld="1" item="0"/>
        </tpls>
      </m>
      <m>
        <tpls c="3">
          <tpl fld="7" item="62"/>
          <tpl fld="6" item="3"/>
          <tpl hier="236" item="0"/>
        </tpls>
      </m>
      <m>
        <tpls c="4">
          <tpl fld="7" item="1049"/>
          <tpl fld="6" item="2"/>
          <tpl hier="236" item="0"/>
          <tpl fld="4" item="4"/>
        </tpls>
      </m>
      <m>
        <tpls c="4">
          <tpl fld="7" item="401"/>
          <tpl fld="6" item="2"/>
          <tpl hier="236" item="0"/>
          <tpl fld="4" item="4"/>
        </tpls>
      </m>
      <m>
        <tpls c="4">
          <tpl fld="7" item="451"/>
          <tpl fld="6" item="1"/>
          <tpl hier="236" item="0"/>
          <tpl fld="4" item="5"/>
        </tpls>
      </m>
      <m>
        <tpls c="4">
          <tpl fld="7" item="106"/>
          <tpl fld="6" item="1"/>
          <tpl hier="236" item="0"/>
          <tpl fld="1" item="0"/>
        </tpls>
      </m>
      <m>
        <tpls c="3">
          <tpl fld="7" item="330"/>
          <tpl fld="6" item="3"/>
          <tpl hier="236" item="0"/>
        </tpls>
      </m>
      <n v="2" in="1">
        <tpls c="4">
          <tpl fld="7" item="719"/>
          <tpl fld="6" item="1"/>
          <tpl hier="236" item="0"/>
          <tpl fld="1" item="0"/>
        </tpls>
      </n>
      <m>
        <tpls c="4">
          <tpl fld="7" item="52"/>
          <tpl fld="6" item="2"/>
          <tpl hier="236" item="0"/>
          <tpl fld="1" item="0"/>
        </tpls>
      </m>
      <m>
        <tpls c="4">
          <tpl fld="7" item="11"/>
          <tpl fld="6" item="2"/>
          <tpl hier="236" item="0"/>
          <tpl fld="4" item="5"/>
        </tpls>
      </m>
      <m>
        <tpls c="4">
          <tpl fld="7" item="167"/>
          <tpl fld="6" item="1"/>
          <tpl hier="236" item="0"/>
          <tpl fld="4" item="5"/>
        </tpls>
      </m>
      <m>
        <tpls c="4">
          <tpl fld="7" item="57"/>
          <tpl fld="6" item="1"/>
          <tpl hier="236" item="0"/>
          <tpl fld="4" item="1"/>
        </tpls>
      </m>
      <m>
        <tpls c="4">
          <tpl fld="7" item="17"/>
          <tpl fld="6" item="1"/>
          <tpl hier="236" item="0"/>
          <tpl fld="4" item="6"/>
        </tpls>
      </m>
      <m>
        <tpls c="4">
          <tpl fld="7" item="567"/>
          <tpl fld="6" item="2"/>
          <tpl hier="236" item="0"/>
          <tpl fld="4" item="4"/>
        </tpls>
      </m>
      <m>
        <tpls c="4">
          <tpl fld="7" item="310"/>
          <tpl fld="6" item="1"/>
          <tpl hier="236" item="0"/>
          <tpl fld="4" item="1"/>
        </tpls>
      </m>
      <m>
        <tpls c="3">
          <tpl fld="7" item="751"/>
          <tpl fld="6" item="3"/>
          <tpl hier="236" item="0"/>
        </tpls>
      </m>
      <m>
        <tpls c="4">
          <tpl fld="7" item="742"/>
          <tpl fld="6" item="2"/>
          <tpl hier="236" item="0"/>
          <tpl fld="4" item="6"/>
        </tpls>
      </m>
      <m>
        <tpls c="4">
          <tpl fld="7" item="145"/>
          <tpl fld="6" item="2"/>
          <tpl hier="236" item="0"/>
          <tpl fld="4" item="5"/>
        </tpls>
      </m>
      <m>
        <tpls c="4">
          <tpl fld="7" item="244"/>
          <tpl fld="6" item="2"/>
          <tpl hier="236" item="0"/>
          <tpl fld="4" item="6"/>
        </tpls>
      </m>
      <n v="7" in="1">
        <tpls c="4">
          <tpl fld="7" item="450"/>
          <tpl fld="6" item="1"/>
          <tpl hier="236" item="0"/>
          <tpl fld="1" item="0"/>
        </tpls>
      </n>
      <m>
        <tpls c="3">
          <tpl fld="7" item="236"/>
          <tpl fld="6" item="3"/>
          <tpl hier="236" item="0"/>
        </tpls>
      </m>
      <m>
        <tpls c="4">
          <tpl fld="7" item="814"/>
          <tpl fld="6" item="2"/>
          <tpl hier="236" item="0"/>
          <tpl fld="4" item="4"/>
        </tpls>
      </m>
      <m>
        <tpls c="3">
          <tpl fld="7" item="790"/>
          <tpl fld="6" item="3"/>
          <tpl hier="236" item="0"/>
        </tpls>
      </m>
      <m>
        <tpls c="4">
          <tpl fld="7" item="414"/>
          <tpl fld="6" item="2"/>
          <tpl hier="236" item="0"/>
          <tpl fld="1" item="0"/>
        </tpls>
      </m>
      <m>
        <tpls c="4">
          <tpl fld="7" item="202"/>
          <tpl fld="6" item="1"/>
          <tpl hier="236" item="0"/>
          <tpl fld="4" item="5"/>
        </tpls>
      </m>
      <m>
        <tpls c="4">
          <tpl fld="7" item="398"/>
          <tpl fld="6" item="2"/>
          <tpl hier="236" item="0"/>
          <tpl fld="4" item="6"/>
        </tpls>
      </m>
      <m>
        <tpls c="4">
          <tpl fld="7" item="244"/>
          <tpl fld="6" item="1"/>
          <tpl hier="236" item="0"/>
          <tpl fld="4" item="1"/>
        </tpls>
      </m>
      <m>
        <tpls c="4">
          <tpl fld="7" item="123"/>
          <tpl fld="6" item="2"/>
          <tpl hier="236" item="0"/>
          <tpl fld="4" item="5"/>
        </tpls>
      </m>
      <m>
        <tpls c="4">
          <tpl fld="7" item="1281"/>
          <tpl fld="6" item="1"/>
          <tpl hier="236" item="0"/>
          <tpl fld="4" item="1"/>
        </tpls>
      </m>
      <m>
        <tpls c="4">
          <tpl fld="7" item="186"/>
          <tpl fld="6" item="1"/>
          <tpl hier="236" item="0"/>
          <tpl fld="1" item="0"/>
        </tpls>
      </m>
      <m>
        <tpls c="4">
          <tpl fld="7" item="133"/>
          <tpl fld="6" item="1"/>
          <tpl hier="236" item="0"/>
          <tpl fld="1" item="0"/>
        </tpls>
      </m>
      <m>
        <tpls c="4">
          <tpl fld="7" item="402"/>
          <tpl fld="6" item="2"/>
          <tpl hier="236" item="0"/>
          <tpl fld="4" item="4"/>
        </tpls>
      </m>
      <m>
        <tpls c="4">
          <tpl fld="7" item="278"/>
          <tpl fld="6" item="1"/>
          <tpl hier="236" item="0"/>
          <tpl fld="1" item="0"/>
        </tpls>
      </m>
      <m>
        <tpls c="4">
          <tpl fld="7" item="1214"/>
          <tpl fld="6" item="1"/>
          <tpl hier="236" item="0"/>
          <tpl fld="4" item="4"/>
        </tpls>
      </m>
      <n v="0" in="1">
        <tpls c="4">
          <tpl fld="7" item="485"/>
          <tpl fld="6" item="1"/>
          <tpl hier="236" item="0"/>
          <tpl fld="1" item="0"/>
        </tpls>
      </n>
      <m>
        <tpls c="4">
          <tpl fld="7" item="149"/>
          <tpl fld="6" item="2"/>
          <tpl hier="236" item="0"/>
          <tpl fld="1" item="0"/>
        </tpls>
      </m>
      <m>
        <tpls c="4">
          <tpl fld="7" item="455"/>
          <tpl fld="6" item="2"/>
          <tpl hier="236" item="0"/>
          <tpl fld="1" item="0"/>
        </tpls>
      </m>
      <m>
        <tpls c="4">
          <tpl fld="7" item="572"/>
          <tpl fld="6" item="2"/>
          <tpl hier="236" item="0"/>
          <tpl fld="4" item="4"/>
        </tpls>
      </m>
      <m>
        <tpls c="4">
          <tpl fld="7" item="294"/>
          <tpl fld="6" item="2"/>
          <tpl hier="236" item="0"/>
          <tpl fld="1" item="0"/>
        </tpls>
      </m>
      <m>
        <tpls c="3">
          <tpl fld="7" item="643"/>
          <tpl fld="6" item="3"/>
          <tpl hier="236" item="0"/>
        </tpls>
      </m>
      <m>
        <tpls c="3">
          <tpl fld="7" item="588"/>
          <tpl fld="6" item="3"/>
          <tpl hier="236" item="0"/>
        </tpls>
      </m>
      <n v="3" in="1">
        <tpls c="4">
          <tpl fld="7" item="1012"/>
          <tpl fld="6" item="1"/>
          <tpl hier="236" item="0"/>
          <tpl fld="4" item="6"/>
        </tpls>
      </n>
      <m>
        <tpls c="4">
          <tpl fld="7" item="179"/>
          <tpl fld="6" item="2"/>
          <tpl hier="236" item="0"/>
          <tpl fld="1" item="0"/>
        </tpls>
      </m>
      <m>
        <tpls c="4">
          <tpl fld="7" item="1000"/>
          <tpl fld="6" item="1"/>
          <tpl hier="236" item="0"/>
          <tpl fld="4" item="1"/>
        </tpls>
      </m>
      <n v="2" in="1">
        <tpls c="4">
          <tpl fld="7" item="981"/>
          <tpl fld="6" item="1"/>
          <tpl hier="236" item="0"/>
          <tpl fld="4" item="6"/>
        </tpls>
      </n>
      <n v="5" in="1">
        <tpls c="4">
          <tpl fld="7" item="937"/>
          <tpl fld="6" item="1"/>
          <tpl hier="236" item="0"/>
          <tpl fld="4" item="4"/>
        </tpls>
      </n>
      <m>
        <tpls c="4">
          <tpl fld="7" item="1017"/>
          <tpl fld="6" item="1"/>
          <tpl hier="236" item="0"/>
          <tpl fld="4" item="4"/>
        </tpls>
      </m>
      <m>
        <tpls c="4">
          <tpl fld="7" item="354"/>
          <tpl fld="6" item="2"/>
          <tpl hier="236" item="0"/>
          <tpl fld="4" item="5"/>
        </tpls>
      </m>
      <m>
        <tpls c="4">
          <tpl fld="7" item="994"/>
          <tpl fld="6" item="2"/>
          <tpl hier="236" item="0"/>
          <tpl fld="4" item="1"/>
        </tpls>
      </m>
      <n v="1" in="1">
        <tpls c="4">
          <tpl fld="7" item="746"/>
          <tpl fld="6" item="1"/>
          <tpl hier="236" item="0"/>
          <tpl fld="1" item="0"/>
        </tpls>
      </n>
      <n v="0" in="1">
        <tpls c="4">
          <tpl fld="7" item="892"/>
          <tpl fld="6" item="1"/>
          <tpl hier="236" item="0"/>
          <tpl fld="4" item="4"/>
        </tpls>
      </n>
      <m>
        <tpls c="4">
          <tpl fld="7" item="813"/>
          <tpl fld="6" item="2"/>
          <tpl hier="236" item="0"/>
          <tpl fld="4" item="4"/>
        </tpls>
      </m>
      <m>
        <tpls c="4">
          <tpl fld="7" item="198"/>
          <tpl fld="6" item="1"/>
          <tpl hier="236" item="0"/>
          <tpl fld="4" item="1"/>
        </tpls>
      </m>
      <m>
        <tpls c="4">
          <tpl fld="7" item="812"/>
          <tpl fld="6" item="2"/>
          <tpl hier="236" item="0"/>
          <tpl fld="4" item="5"/>
        </tpls>
      </m>
      <m>
        <tpls c="4">
          <tpl fld="7" item="1282"/>
          <tpl fld="6" item="2"/>
          <tpl hier="236" item="0"/>
          <tpl fld="4" item="5"/>
        </tpls>
      </m>
      <m>
        <tpls c="3">
          <tpl fld="7" item="852"/>
          <tpl fld="6" item="3"/>
          <tpl hier="236" item="0"/>
        </tpls>
      </m>
      <m>
        <tpls c="4">
          <tpl fld="7" item="241"/>
          <tpl fld="6" item="1"/>
          <tpl hier="236" item="0"/>
          <tpl fld="4" item="5"/>
        </tpls>
      </m>
      <n v="2" in="1">
        <tpls c="4">
          <tpl fld="7" item="924"/>
          <tpl fld="6" item="1"/>
          <tpl hier="236" item="0"/>
          <tpl fld="1" item="0"/>
        </tpls>
      </n>
      <m>
        <tpls c="4">
          <tpl fld="7" item="348"/>
          <tpl fld="6" item="2"/>
          <tpl hier="236" item="0"/>
          <tpl fld="4" item="5"/>
        </tpls>
      </m>
      <m>
        <tpls c="4">
          <tpl fld="7" item="257"/>
          <tpl fld="6" item="1"/>
          <tpl hier="236" item="0"/>
          <tpl fld="1" item="0"/>
        </tpls>
      </m>
      <n v="29" in="1">
        <tpls c="4">
          <tpl fld="7" item="1014"/>
          <tpl fld="6" item="1"/>
          <tpl hier="236" item="0"/>
          <tpl fld="1" item="0"/>
        </tpls>
      </n>
      <m>
        <tpls c="4">
          <tpl fld="7" item="227"/>
          <tpl fld="6" item="1"/>
          <tpl hier="236" item="0"/>
          <tpl fld="4" item="1"/>
        </tpls>
      </m>
      <m>
        <tpls c="4">
          <tpl fld="7" item="340"/>
          <tpl fld="6" item="2"/>
          <tpl hier="236" item="0"/>
          <tpl fld="4" item="4"/>
        </tpls>
      </m>
      <m>
        <tpls c="4">
          <tpl fld="7" item="70"/>
          <tpl fld="6" item="2"/>
          <tpl hier="236" item="0"/>
          <tpl fld="4" item="5"/>
        </tpls>
      </m>
      <m>
        <tpls c="4">
          <tpl fld="7" item="850"/>
          <tpl fld="6" item="2"/>
          <tpl hier="236" item="0"/>
          <tpl fld="4" item="4"/>
        </tpls>
      </m>
      <m>
        <tpls c="4">
          <tpl fld="7" item="945"/>
          <tpl fld="6" item="2"/>
          <tpl hier="236" item="0"/>
          <tpl fld="4" item="1"/>
        </tpls>
      </m>
      <m>
        <tpls c="4">
          <tpl fld="7" item="695"/>
          <tpl fld="6" item="1"/>
          <tpl hier="236" item="0"/>
          <tpl fld="4" item="5"/>
        </tpls>
      </m>
      <m>
        <tpls c="4">
          <tpl fld="7" item="98"/>
          <tpl fld="6" item="2"/>
          <tpl hier="236" item="0"/>
          <tpl fld="4" item="6"/>
        </tpls>
      </m>
      <m>
        <tpls c="4">
          <tpl fld="7" item="1134"/>
          <tpl fld="6" item="1"/>
          <tpl hier="236" item="0"/>
          <tpl fld="4" item="1"/>
        </tpls>
      </m>
      <m>
        <tpls c="4">
          <tpl fld="7" item="788"/>
          <tpl fld="6" item="2"/>
          <tpl hier="236" item="0"/>
          <tpl fld="4" item="1"/>
        </tpls>
      </m>
      <m>
        <tpls c="4">
          <tpl fld="7" item="207"/>
          <tpl fld="6" item="2"/>
          <tpl hier="236" item="0"/>
          <tpl fld="1" item="0"/>
        </tpls>
      </m>
      <m>
        <tpls c="4">
          <tpl fld="7" item="522"/>
          <tpl fld="6" item="2"/>
          <tpl hier="236" item="0"/>
          <tpl fld="4" item="6"/>
        </tpls>
      </m>
      <m>
        <tpls c="4">
          <tpl fld="7" item="319"/>
          <tpl fld="6" item="1"/>
          <tpl hier="236" item="0"/>
          <tpl fld="4" item="5"/>
        </tpls>
      </m>
      <m>
        <tpls c="4">
          <tpl fld="7" item="442"/>
          <tpl fld="6" item="1"/>
          <tpl hier="236" item="0"/>
          <tpl fld="4" item="1"/>
        </tpls>
      </m>
      <n v="8" in="1">
        <tpls c="4">
          <tpl fld="7" item="981"/>
          <tpl fld="6" item="1"/>
          <tpl hier="236" item="0"/>
          <tpl fld="1" item="0"/>
        </tpls>
      </n>
      <m>
        <tpls c="4">
          <tpl fld="7" item="84"/>
          <tpl fld="6" item="2"/>
          <tpl hier="236" item="0"/>
          <tpl fld="4" item="5"/>
        </tpls>
      </m>
      <n v="35" in="1">
        <tpls c="4">
          <tpl fld="7" item="448"/>
          <tpl fld="6" item="1"/>
          <tpl hier="236" item="0"/>
          <tpl fld="1" item="0"/>
        </tpls>
      </n>
      <m>
        <tpls c="4">
          <tpl fld="7" item="1052"/>
          <tpl fld="6" item="2"/>
          <tpl hier="236" item="0"/>
          <tpl fld="4" item="4"/>
        </tpls>
      </m>
      <m>
        <tpls c="4">
          <tpl fld="7" item="1168"/>
          <tpl fld="6" item="2"/>
          <tpl hier="236" item="0"/>
          <tpl fld="4" item="4"/>
        </tpls>
      </m>
      <m>
        <tpls c="4">
          <tpl fld="7" item="338"/>
          <tpl fld="6" item="1"/>
          <tpl hier="236" item="0"/>
          <tpl fld="4" item="1"/>
        </tpls>
      </m>
      <m>
        <tpls c="3">
          <tpl fld="7" item="132"/>
          <tpl fld="6" item="3"/>
          <tpl hier="236" item="0"/>
        </tpls>
      </m>
      <n v="8" in="1">
        <tpls c="4">
          <tpl fld="7" item="747"/>
          <tpl fld="6" item="1"/>
          <tpl hier="236" item="0"/>
          <tpl fld="4" item="6"/>
        </tpls>
      </n>
      <m>
        <tpls c="4">
          <tpl fld="7" item="179"/>
          <tpl fld="6" item="2"/>
          <tpl hier="236" item="0"/>
          <tpl fld="4" item="6"/>
        </tpls>
      </m>
      <m>
        <tpls c="4">
          <tpl fld="7" item="67"/>
          <tpl fld="6" item="1"/>
          <tpl hier="236" item="0"/>
          <tpl fld="1" item="0"/>
        </tpls>
      </m>
      <m>
        <tpls c="4">
          <tpl fld="7" item="239"/>
          <tpl fld="6" item="2"/>
          <tpl hier="236" item="0"/>
          <tpl fld="4" item="4"/>
        </tpls>
      </m>
      <m>
        <tpls c="4">
          <tpl fld="7" item="410"/>
          <tpl fld="6" item="1"/>
          <tpl hier="236" item="0"/>
          <tpl fld="1" item="0"/>
        </tpls>
      </m>
      <m>
        <tpls c="4">
          <tpl fld="7" item="862"/>
          <tpl fld="6" item="2"/>
          <tpl hier="236" item="0"/>
          <tpl fld="4" item="4"/>
        </tpls>
      </m>
      <m>
        <tpls c="4">
          <tpl fld="7" item="14"/>
          <tpl fld="6" item="2"/>
          <tpl hier="236" item="0"/>
          <tpl fld="1" item="0"/>
        </tpls>
      </m>
      <m>
        <tpls c="4">
          <tpl fld="7" item="1024"/>
          <tpl fld="6" item="1"/>
          <tpl hier="236" item="0"/>
          <tpl fld="4" item="5"/>
        </tpls>
      </m>
      <m>
        <tpls c="3">
          <tpl fld="7" item="647"/>
          <tpl fld="6" item="3"/>
          <tpl hier="236" item="0"/>
        </tpls>
      </m>
      <m>
        <tpls c="4">
          <tpl fld="7" item="853"/>
          <tpl fld="6" item="2"/>
          <tpl hier="236" item="0"/>
          <tpl fld="4" item="6"/>
        </tpls>
      </m>
      <n v="1" in="2">
        <tpls c="4">
          <tpl fld="7" item="1132"/>
          <tpl fld="6" item="2"/>
          <tpl hier="236" item="0"/>
          <tpl fld="4" item="4"/>
        </tpls>
      </n>
      <m>
        <tpls c="3">
          <tpl fld="7" item="469"/>
          <tpl fld="6" item="3"/>
          <tpl hier="236" item="0"/>
        </tpls>
      </m>
      <m>
        <tpls c="4">
          <tpl fld="7" item="335"/>
          <tpl fld="6" item="1"/>
          <tpl hier="236" item="0"/>
          <tpl fld="4" item="5"/>
        </tpls>
      </m>
      <m>
        <tpls c="4">
          <tpl fld="7" item="815"/>
          <tpl fld="6" item="2"/>
          <tpl hier="236" item="0"/>
          <tpl fld="4" item="4"/>
        </tpls>
      </m>
      <n v="2" in="1">
        <tpls c="4">
          <tpl fld="7" item="437"/>
          <tpl fld="6" item="1"/>
          <tpl hier="236" item="0"/>
          <tpl fld="4" item="1"/>
        </tpls>
      </n>
      <m>
        <tpls c="4">
          <tpl fld="7" item="239"/>
          <tpl fld="6" item="2"/>
          <tpl hier="236" item="0"/>
          <tpl fld="1" item="0"/>
        </tpls>
      </m>
      <m>
        <tpls c="4">
          <tpl fld="7" item="127"/>
          <tpl fld="6" item="2"/>
          <tpl hier="236" item="0"/>
          <tpl fld="4" item="6"/>
        </tpls>
      </m>
      <n v="6" in="1">
        <tpls c="4">
          <tpl fld="7" item="377"/>
          <tpl fld="6" item="1"/>
          <tpl hier="236" item="0"/>
          <tpl fld="4" item="1"/>
        </tpls>
      </n>
      <m>
        <tpls c="4">
          <tpl fld="7" item="380"/>
          <tpl fld="6" item="2"/>
          <tpl hier="236" item="0"/>
          <tpl fld="1" item="0"/>
        </tpls>
      </m>
      <m>
        <tpls c="4">
          <tpl fld="7" item="17"/>
          <tpl fld="6" item="1"/>
          <tpl hier="236" item="0"/>
          <tpl fld="4" item="1"/>
        </tpls>
      </m>
      <m>
        <tpls c="4">
          <tpl fld="7" item="493"/>
          <tpl fld="6" item="1"/>
          <tpl hier="236" item="0"/>
          <tpl fld="4" item="5"/>
        </tpls>
      </m>
      <m>
        <tpls c="4">
          <tpl fld="7" item="828"/>
          <tpl fld="6" item="1"/>
          <tpl hier="236" item="0"/>
          <tpl fld="4" item="1"/>
        </tpls>
      </m>
      <m>
        <tpls c="4">
          <tpl fld="7" item="499"/>
          <tpl fld="6" item="2"/>
          <tpl hier="236" item="0"/>
          <tpl fld="4" item="6"/>
        </tpls>
      </m>
      <m>
        <tpls c="4">
          <tpl fld="7" item="350"/>
          <tpl fld="6" item="1"/>
          <tpl hier="236" item="0"/>
          <tpl fld="4" item="1"/>
        </tpls>
      </m>
      <m>
        <tpls c="4">
          <tpl fld="7" item="1025"/>
          <tpl fld="6" item="2"/>
          <tpl hier="236" item="0"/>
          <tpl fld="4" item="6"/>
        </tpls>
      </m>
      <m>
        <tpls c="4">
          <tpl fld="7" item="1030"/>
          <tpl fld="6" item="2"/>
          <tpl hier="236" item="0"/>
          <tpl fld="4" item="4"/>
        </tpls>
      </m>
      <n v="0" in="1">
        <tpls c="4">
          <tpl fld="7" item="1166"/>
          <tpl fld="6" item="1"/>
          <tpl hier="236" item="0"/>
          <tpl fld="4" item="1"/>
        </tpls>
      </n>
      <m>
        <tpls c="4">
          <tpl fld="7" item="1216"/>
          <tpl fld="6" item="2"/>
          <tpl hier="236" item="0"/>
          <tpl fld="4" item="1"/>
        </tpls>
      </m>
      <m>
        <tpls c="4">
          <tpl fld="7" item="90"/>
          <tpl fld="6" item="1"/>
          <tpl hier="236" item="0"/>
          <tpl fld="1" item="0"/>
        </tpls>
      </m>
      <n v="1" in="1">
        <tpls c="4">
          <tpl fld="7" item="1006"/>
          <tpl fld="6" item="1"/>
          <tpl hier="236" item="0"/>
          <tpl fld="4" item="4"/>
        </tpls>
      </n>
      <m>
        <tpls c="4">
          <tpl fld="7" item="554"/>
          <tpl fld="6" item="1"/>
          <tpl hier="236" item="0"/>
          <tpl fld="4" item="1"/>
        </tpls>
      </m>
      <n v="1" in="1">
        <tpls c="4">
          <tpl fld="7" item="698"/>
          <tpl fld="6" item="1"/>
          <tpl hier="236" item="0"/>
          <tpl fld="4" item="5"/>
        </tpls>
      </n>
      <m>
        <tpls c="4">
          <tpl fld="7" item="345"/>
          <tpl fld="6" item="2"/>
          <tpl hier="236" item="0"/>
          <tpl fld="4" item="5"/>
        </tpls>
      </m>
      <n v="5" in="1">
        <tpls c="4">
          <tpl fld="7" item="899"/>
          <tpl fld="6" item="1"/>
          <tpl hier="236" item="0"/>
          <tpl fld="4" item="1"/>
        </tpls>
      </n>
      <m>
        <tpls c="4">
          <tpl fld="7" item="396"/>
          <tpl fld="6" item="2"/>
          <tpl hier="236" item="0"/>
          <tpl fld="1" item="0"/>
        </tpls>
      </m>
      <m>
        <tpls c="4">
          <tpl fld="7" item="679"/>
          <tpl fld="6" item="1"/>
          <tpl hier="236" item="0"/>
          <tpl fld="4" item="5"/>
        </tpls>
      </m>
      <n v="16" in="1">
        <tpls c="4">
          <tpl fld="7" item="764"/>
          <tpl fld="6" item="1"/>
          <tpl hier="236" item="0"/>
          <tpl fld="1" item="0"/>
        </tpls>
      </n>
      <n v="1" in="1">
        <tpls c="4">
          <tpl fld="7" item="1127"/>
          <tpl fld="6" item="1"/>
          <tpl hier="236" item="0"/>
          <tpl fld="1" item="0"/>
        </tpls>
      </n>
      <m>
        <tpls c="4">
          <tpl fld="7" item="221"/>
          <tpl fld="6" item="1"/>
          <tpl hier="236" item="0"/>
          <tpl fld="4" item="6"/>
        </tpls>
      </m>
      <m>
        <tpls c="4">
          <tpl fld="7" item="138"/>
          <tpl fld="6" item="1"/>
          <tpl hier="236" item="0"/>
          <tpl fld="1" item="0"/>
        </tpls>
      </m>
      <n v="6" in="1">
        <tpls c="4">
          <tpl fld="7" item="431"/>
          <tpl fld="6" item="1"/>
          <tpl hier="236" item="0"/>
          <tpl fld="1" item="0"/>
        </tpls>
      </n>
      <m>
        <tpls c="4">
          <tpl fld="7" item="1196"/>
          <tpl fld="6" item="2"/>
          <tpl hier="236" item="0"/>
          <tpl fld="4" item="6"/>
        </tpls>
      </m>
      <n v="33" in="1">
        <tpls c="4">
          <tpl fld="7" item="374"/>
          <tpl fld="6" item="1"/>
          <tpl hier="236" item="0"/>
          <tpl fld="1" item="0"/>
        </tpls>
      </n>
      <m>
        <tpls c="3">
          <tpl fld="7" item="411"/>
          <tpl fld="6" item="3"/>
          <tpl hier="236" item="0"/>
        </tpls>
      </m>
      <m>
        <tpls c="4">
          <tpl fld="7" item="1262"/>
          <tpl fld="6" item="2"/>
          <tpl hier="236" item="0"/>
          <tpl fld="4" item="4"/>
        </tpls>
      </m>
      <m>
        <tpls c="4">
          <tpl fld="7" item="69"/>
          <tpl fld="6" item="2"/>
          <tpl hier="236" item="0"/>
          <tpl fld="4" item="5"/>
        </tpls>
      </m>
      <n v="1" in="2">
        <tpls c="4">
          <tpl fld="7" item="1177"/>
          <tpl fld="6" item="2"/>
          <tpl hier="236" item="0"/>
          <tpl fld="4" item="4"/>
        </tpls>
      </n>
      <n v="2" in="1">
        <tpls c="4">
          <tpl fld="7" item="439"/>
          <tpl fld="6" item="1"/>
          <tpl hier="236" item="0"/>
          <tpl fld="4" item="1"/>
        </tpls>
      </n>
      <m>
        <tpls c="4">
          <tpl fld="7" item="596"/>
          <tpl fld="6" item="1"/>
          <tpl hier="236" item="0"/>
          <tpl fld="1" item="0"/>
        </tpls>
      </m>
      <m>
        <tpls c="4">
          <tpl fld="7" item="72"/>
          <tpl fld="6" item="2"/>
          <tpl hier="236" item="0"/>
          <tpl fld="4" item="5"/>
        </tpls>
      </m>
      <n v="25" in="1">
        <tpls c="4">
          <tpl fld="7" item="444"/>
          <tpl fld="6" item="1"/>
          <tpl hier="236" item="0"/>
          <tpl fld="1" item="0"/>
        </tpls>
      </n>
      <m>
        <tpls c="4">
          <tpl fld="7" item="1041"/>
          <tpl fld="6" item="2"/>
          <tpl hier="236" item="0"/>
          <tpl fld="4" item="4"/>
        </tpls>
      </m>
      <m>
        <tpls c="4">
          <tpl fld="7" item="291"/>
          <tpl fld="6" item="1"/>
          <tpl hier="236" item="0"/>
          <tpl fld="1" item="0"/>
        </tpls>
      </m>
      <m>
        <tpls c="4">
          <tpl fld="7" item="489"/>
          <tpl fld="6" item="2"/>
          <tpl hier="236" item="0"/>
          <tpl fld="4" item="6"/>
        </tpls>
      </m>
      <m>
        <tpls c="4">
          <tpl fld="7" item="226"/>
          <tpl fld="6" item="1"/>
          <tpl hier="236" item="0"/>
          <tpl fld="4" item="6"/>
        </tpls>
      </m>
      <n v="6" in="1">
        <tpls c="4">
          <tpl fld="7" item="1102"/>
          <tpl fld="6" item="1"/>
          <tpl hier="236" item="0"/>
          <tpl fld="1" item="0"/>
        </tpls>
      </n>
      <m>
        <tpls c="4">
          <tpl fld="7" item="864"/>
          <tpl fld="6" item="1"/>
          <tpl hier="236" item="0"/>
          <tpl fld="4" item="5"/>
        </tpls>
      </m>
      <n v="6" in="1">
        <tpls c="4">
          <tpl fld="7" item="366"/>
          <tpl fld="6" item="1"/>
          <tpl hier="236" item="0"/>
          <tpl fld="1" item="0"/>
        </tpls>
      </n>
      <m>
        <tpls c="3">
          <tpl fld="7" item="127"/>
          <tpl fld="6" item="3"/>
          <tpl hier="236" item="0"/>
        </tpls>
      </m>
      <m>
        <tpls c="3">
          <tpl fld="7" item="833"/>
          <tpl fld="6" item="3"/>
          <tpl hier="236" item="0"/>
        </tpls>
      </m>
      <m>
        <tpls c="4">
          <tpl fld="7" item="95"/>
          <tpl fld="6" item="1"/>
          <tpl hier="236" item="0"/>
          <tpl fld="1" item="0"/>
        </tpls>
      </m>
      <m>
        <tpls c="4">
          <tpl fld="7" item="904"/>
          <tpl fld="6" item="1"/>
          <tpl hier="236" item="0"/>
          <tpl fld="4" item="4"/>
        </tpls>
      </m>
      <m>
        <tpls c="4">
          <tpl fld="7" item="619"/>
          <tpl fld="6" item="1"/>
          <tpl hier="236" item="0"/>
          <tpl fld="4" item="5"/>
        </tpls>
      </m>
      <m>
        <tpls c="3">
          <tpl fld="7" item="649"/>
          <tpl fld="6" item="3"/>
          <tpl hier="236" item="0"/>
        </tpls>
      </m>
      <m>
        <tpls c="4">
          <tpl fld="7" item="580"/>
          <tpl fld="6" item="2"/>
          <tpl hier="236" item="0"/>
          <tpl fld="4" item="1"/>
        </tpls>
      </m>
      <m>
        <tpls c="4">
          <tpl fld="7" item="367"/>
          <tpl fld="6" item="2"/>
          <tpl hier="236" item="0"/>
          <tpl fld="4" item="6"/>
        </tpls>
      </m>
      <n v="3" in="1">
        <tpls c="4">
          <tpl fld="7" item="914"/>
          <tpl fld="6" item="1"/>
          <tpl hier="236" item="0"/>
          <tpl fld="4" item="1"/>
        </tpls>
      </n>
      <m>
        <tpls c="4">
          <tpl fld="7" item="742"/>
          <tpl fld="6" item="1"/>
          <tpl hier="236" item="0"/>
          <tpl fld="4" item="6"/>
        </tpls>
      </m>
      <m>
        <tpls c="4">
          <tpl fld="7" item="182"/>
          <tpl fld="6" item="2"/>
          <tpl hier="236" item="0"/>
          <tpl fld="4" item="5"/>
        </tpls>
      </m>
      <m>
        <tpls c="4">
          <tpl fld="7" item="1222"/>
          <tpl fld="6" item="1"/>
          <tpl hier="236" item="0"/>
          <tpl fld="4" item="5"/>
        </tpls>
      </m>
      <n v="12" in="1">
        <tpls c="4">
          <tpl fld="7" item="445"/>
          <tpl fld="6" item="1"/>
          <tpl hier="236" item="0"/>
          <tpl fld="4" item="1"/>
        </tpls>
      </n>
      <m>
        <tpls c="4">
          <tpl fld="7" item="58"/>
          <tpl fld="6" item="1"/>
          <tpl hier="236" item="0"/>
          <tpl fld="1" item="0"/>
        </tpls>
      </m>
      <m>
        <tpls c="4">
          <tpl fld="7" item="1147"/>
          <tpl fld="6" item="1"/>
          <tpl hier="236" item="0"/>
          <tpl fld="4" item="1"/>
        </tpls>
      </m>
      <m>
        <tpls c="4">
          <tpl fld="7" item="1079"/>
          <tpl fld="6" item="2"/>
          <tpl hier="236" item="0"/>
          <tpl fld="4" item="4"/>
        </tpls>
      </m>
      <n v="33" in="1">
        <tpls c="4">
          <tpl fld="7" item="722"/>
          <tpl fld="6" item="1"/>
          <tpl hier="236" item="0"/>
          <tpl fld="4" item="4"/>
        </tpls>
      </n>
      <n v="4" in="1">
        <tpls c="4">
          <tpl fld="7" item="1107"/>
          <tpl fld="6" item="1"/>
          <tpl hier="236" item="0"/>
          <tpl fld="1" item="0"/>
        </tpls>
      </n>
      <m>
        <tpls c="4">
          <tpl fld="7" item="133"/>
          <tpl fld="6" item="1"/>
          <tpl hier="236" item="0"/>
          <tpl fld="4" item="6"/>
        </tpls>
      </m>
      <m>
        <tpls c="4">
          <tpl fld="7" item="347"/>
          <tpl fld="6" item="1"/>
          <tpl hier="236" item="0"/>
          <tpl fld="4" item="5"/>
        </tpls>
      </m>
      <m>
        <tpls c="4">
          <tpl fld="7" item="249"/>
          <tpl fld="6" item="1"/>
          <tpl hier="236" item="0"/>
          <tpl fld="1" item="0"/>
        </tpls>
      </m>
      <m>
        <tpls c="4">
          <tpl fld="7" item="789"/>
          <tpl fld="6" item="2"/>
          <tpl hier="236" item="0"/>
          <tpl fld="4" item="4"/>
        </tpls>
      </m>
      <n v="0" in="1">
        <tpls c="4">
          <tpl fld="7" item="792"/>
          <tpl fld="6" item="1"/>
          <tpl hier="236" item="0"/>
          <tpl fld="4" item="6"/>
        </tpls>
      </n>
      <n v="1" in="2">
        <tpls c="4">
          <tpl fld="7" item="532"/>
          <tpl fld="6" item="2"/>
          <tpl hier="236" item="0"/>
          <tpl fld="4" item="6"/>
        </tpls>
      </n>
      <m>
        <tpls c="4">
          <tpl fld="7" item="689"/>
          <tpl fld="6" item="2"/>
          <tpl hier="236" item="0"/>
          <tpl fld="4" item="1"/>
        </tpls>
      </m>
      <m>
        <tpls c="4">
          <tpl fld="7" item="126"/>
          <tpl fld="6" item="1"/>
          <tpl hier="236" item="0"/>
          <tpl fld="4" item="4"/>
        </tpls>
      </m>
      <n v="7" in="1">
        <tpls c="4">
          <tpl fld="7" item="886"/>
          <tpl fld="6" item="1"/>
          <tpl hier="236" item="0"/>
          <tpl fld="1" item="0"/>
        </tpls>
      </n>
      <n v="1" in="2">
        <tpls c="4">
          <tpl fld="7" item="642"/>
          <tpl fld="6" item="2"/>
          <tpl hier="236" item="0"/>
          <tpl fld="4" item="4"/>
        </tpls>
      </n>
      <m>
        <tpls c="3">
          <tpl fld="7" item="1242"/>
          <tpl fld="6" item="3"/>
          <tpl hier="236" item="0"/>
        </tpls>
      </m>
      <n v="2" in="1">
        <tpls c="4">
          <tpl fld="7" item="891"/>
          <tpl fld="6" item="1"/>
          <tpl hier="236" item="0"/>
          <tpl fld="4" item="1"/>
        </tpls>
      </n>
      <m>
        <tpls c="4">
          <tpl fld="7" item="1222"/>
          <tpl fld="6" item="2"/>
          <tpl hier="236" item="0"/>
          <tpl fld="4" item="4"/>
        </tpls>
      </m>
      <m>
        <tpls c="4">
          <tpl fld="7" item="916"/>
          <tpl fld="6" item="2"/>
          <tpl hier="236" item="0"/>
          <tpl fld="4" item="5"/>
        </tpls>
      </m>
      <m>
        <tpls c="4">
          <tpl fld="7" item="833"/>
          <tpl fld="6" item="2"/>
          <tpl hier="236" item="0"/>
          <tpl fld="4" item="5"/>
        </tpls>
      </m>
      <m>
        <tpls c="4">
          <tpl fld="7" item="385"/>
          <tpl fld="6" item="1"/>
          <tpl hier="236" item="0"/>
          <tpl fld="4" item="5"/>
        </tpls>
      </m>
      <m>
        <tpls c="4">
          <tpl fld="7" item="297"/>
          <tpl fld="6" item="1"/>
          <tpl hier="236" item="0"/>
          <tpl fld="4" item="1"/>
        </tpls>
      </m>
      <m>
        <tpls c="3">
          <tpl fld="7" item="843"/>
          <tpl fld="6" item="3"/>
          <tpl hier="236" item="0"/>
        </tpls>
      </m>
      <m>
        <tpls c="4">
          <tpl fld="7" item="1094"/>
          <tpl fld="6" item="1"/>
          <tpl hier="236" item="0"/>
          <tpl fld="4" item="1"/>
        </tpls>
      </m>
      <n v="1" in="1">
        <tpls c="4">
          <tpl fld="7" item="840"/>
          <tpl fld="6" item="1"/>
          <tpl hier="236" item="0"/>
          <tpl fld="4" item="6"/>
        </tpls>
      </n>
      <n v="0.3" in="2">
        <tpls c="4">
          <tpl fld="7" item="645"/>
          <tpl fld="6" item="2"/>
          <tpl hier="236" item="0"/>
          <tpl fld="4" item="4"/>
        </tpls>
      </n>
      <m>
        <tpls c="4">
          <tpl fld="7" item="901"/>
          <tpl fld="6" item="2"/>
          <tpl hier="236" item="0"/>
          <tpl fld="4" item="1"/>
        </tpls>
      </m>
      <m>
        <tpls c="4">
          <tpl fld="7" item="969"/>
          <tpl fld="6" item="1"/>
          <tpl hier="236" item="0"/>
          <tpl fld="4" item="4"/>
        </tpls>
      </m>
      <m>
        <tpls c="4">
          <tpl fld="7" item="637"/>
          <tpl fld="6" item="2"/>
          <tpl hier="236" item="0"/>
          <tpl fld="1" item="0"/>
        </tpls>
      </m>
      <n v="4" in="1">
        <tpls c="4">
          <tpl fld="7" item="997"/>
          <tpl fld="6" item="1"/>
          <tpl hier="236" item="0"/>
          <tpl fld="4" item="4"/>
        </tpls>
      </n>
      <m>
        <tpls c="4">
          <tpl fld="7" item="867"/>
          <tpl fld="6" item="2"/>
          <tpl hier="236" item="0"/>
          <tpl fld="4" item="1"/>
        </tpls>
      </m>
      <m>
        <tpls c="4">
          <tpl fld="7" item="53"/>
          <tpl fld="6" item="2"/>
          <tpl hier="236" item="0"/>
          <tpl fld="1" item="0"/>
        </tpls>
      </m>
      <m>
        <tpls c="4">
          <tpl fld="7" item="1006"/>
          <tpl fld="6" item="2"/>
          <tpl hier="236" item="0"/>
          <tpl fld="4" item="4"/>
        </tpls>
      </m>
      <m>
        <tpls c="4">
          <tpl fld="7" item="25"/>
          <tpl fld="6" item="2"/>
          <tpl hier="236" item="0"/>
          <tpl fld="4" item="5"/>
        </tpls>
      </m>
      <m>
        <tpls c="4">
          <tpl fld="7" item="372"/>
          <tpl fld="6" item="1"/>
          <tpl hier="236" item="0"/>
          <tpl fld="4" item="5"/>
        </tpls>
      </m>
      <m>
        <tpls c="4">
          <tpl fld="7" item="300"/>
          <tpl fld="6" item="1"/>
          <tpl hier="236" item="0"/>
          <tpl fld="4" item="1"/>
        </tpls>
      </m>
      <m>
        <tpls c="4">
          <tpl fld="7" item="903"/>
          <tpl fld="6" item="2"/>
          <tpl hier="236" item="0"/>
          <tpl fld="4" item="4"/>
        </tpls>
      </m>
      <m>
        <tpls c="3">
          <tpl fld="7" item="494"/>
          <tpl fld="6" item="3"/>
          <tpl hier="236" item="0"/>
        </tpls>
      </m>
      <m>
        <tpls c="3">
          <tpl fld="7" item="908"/>
          <tpl fld="6" item="3"/>
          <tpl hier="236" item="0"/>
        </tpls>
      </m>
      <n v="2" in="1">
        <tpls c="4">
          <tpl fld="7" item="646"/>
          <tpl fld="6" item="1"/>
          <tpl hier="236" item="0"/>
          <tpl fld="4" item="1"/>
        </tpls>
      </n>
      <m>
        <tpls c="3">
          <tpl fld="7" item="1006"/>
          <tpl fld="6" item="3"/>
          <tpl hier="236" item="0"/>
        </tpls>
      </m>
      <n v="29" in="1">
        <tpls c="4">
          <tpl fld="7" item="1180"/>
          <tpl fld="6" item="1"/>
          <tpl hier="236" item="0"/>
          <tpl fld="4" item="4"/>
        </tpls>
      </n>
      <m>
        <tpls c="4">
          <tpl fld="7" item="639"/>
          <tpl fld="6" item="1"/>
          <tpl hier="236" item="0"/>
          <tpl fld="4" item="4"/>
        </tpls>
      </m>
      <n v="1" in="1">
        <tpls c="4">
          <tpl fld="7" item="823"/>
          <tpl fld="6" item="1"/>
          <tpl hier="236" item="0"/>
          <tpl fld="4" item="6"/>
        </tpls>
      </n>
      <m>
        <tpls c="3">
          <tpl fld="7" item="1028"/>
          <tpl fld="6" item="3"/>
          <tpl hier="236" item="0"/>
        </tpls>
      </m>
      <m>
        <tpls c="4">
          <tpl fld="7" item="161"/>
          <tpl fld="6" item="2"/>
          <tpl hier="236" item="0"/>
          <tpl fld="1" item="0"/>
        </tpls>
      </m>
      <n v="2" in="1">
        <tpls c="4">
          <tpl fld="7" item="1193"/>
          <tpl fld="6" item="1"/>
          <tpl hier="236" item="0"/>
          <tpl fld="4" item="6"/>
        </tpls>
      </n>
      <m>
        <tpls c="4">
          <tpl fld="7" item="35"/>
          <tpl fld="6" item="2"/>
          <tpl hier="236" item="0"/>
          <tpl fld="4" item="5"/>
        </tpls>
      </m>
      <n v="1" in="1">
        <tpls c="4">
          <tpl fld="7" item="363"/>
          <tpl fld="6" item="1"/>
          <tpl hier="236" item="0"/>
          <tpl fld="4" item="5"/>
        </tpls>
      </n>
      <m>
        <tpls c="4">
          <tpl fld="7" item="291"/>
          <tpl fld="6" item="1"/>
          <tpl hier="236" item="0"/>
          <tpl fld="4" item="1"/>
        </tpls>
      </m>
      <n v="5" in="1">
        <tpls c="4">
          <tpl fld="7" item="1115"/>
          <tpl fld="6" item="1"/>
          <tpl hier="236" item="0"/>
          <tpl fld="4" item="6"/>
        </tpls>
      </n>
      <m>
        <tpls c="4">
          <tpl fld="7" item="250"/>
          <tpl fld="6" item="2"/>
          <tpl hier="236" item="0"/>
          <tpl fld="4" item="5"/>
        </tpls>
      </m>
      <n v="3" in="1">
        <tpls c="4">
          <tpl fld="7" item="503"/>
          <tpl fld="6" item="1"/>
          <tpl hier="236" item="0"/>
          <tpl fld="4" item="5"/>
        </tpls>
      </n>
      <m>
        <tpls c="3">
          <tpl fld="7" item="800"/>
          <tpl fld="6" item="3"/>
          <tpl hier="236" item="0"/>
        </tpls>
      </m>
      <m>
        <tpls c="4">
          <tpl fld="7" item="735"/>
          <tpl fld="6" item="2"/>
          <tpl hier="236" item="0"/>
          <tpl fld="1" item="0"/>
        </tpls>
      </m>
      <m>
        <tpls c="4">
          <tpl fld="7" item="208"/>
          <tpl fld="6" item="2"/>
          <tpl hier="236" item="0"/>
          <tpl fld="4" item="5"/>
        </tpls>
      </m>
      <m>
        <tpls c="4">
          <tpl fld="7" item="909"/>
          <tpl fld="6" item="2"/>
          <tpl hier="236" item="0"/>
          <tpl fld="4" item="5"/>
        </tpls>
      </m>
      <m>
        <tpls c="4">
          <tpl fld="7" item="1108"/>
          <tpl fld="6" item="1"/>
          <tpl hier="236" item="0"/>
          <tpl fld="4" item="5"/>
        </tpls>
      </m>
      <m>
        <tpls c="4">
          <tpl fld="7" item="754"/>
          <tpl fld="6" item="1"/>
          <tpl hier="236" item="0"/>
          <tpl fld="4" item="1"/>
        </tpls>
      </m>
      <n v="1.1000000000000001" in="2">
        <tpls c="4">
          <tpl fld="7" item="764"/>
          <tpl fld="6" item="2"/>
          <tpl hier="236" item="0"/>
          <tpl fld="1" item="0"/>
        </tpls>
      </n>
      <m>
        <tpls c="4">
          <tpl fld="7" item="834"/>
          <tpl fld="6" item="2"/>
          <tpl hier="236" item="0"/>
          <tpl fld="4" item="6"/>
        </tpls>
      </m>
      <m>
        <tpls c="4">
          <tpl fld="7" item="321"/>
          <tpl fld="6" item="1"/>
          <tpl hier="236" item="0"/>
          <tpl fld="4" item="5"/>
        </tpls>
      </m>
      <m>
        <tpls c="4">
          <tpl fld="7" item="1260"/>
          <tpl fld="6" item="1"/>
          <tpl hier="236" item="0"/>
          <tpl fld="4" item="1"/>
        </tpls>
      </m>
      <m>
        <tpls c="4">
          <tpl fld="7" item="835"/>
          <tpl fld="6" item="1"/>
          <tpl hier="236" item="0"/>
          <tpl fld="4" item="1"/>
        </tpls>
      </m>
      <m>
        <tpls c="4">
          <tpl fld="7" item="153"/>
          <tpl fld="6" item="1"/>
          <tpl hier="236" item="0"/>
          <tpl fld="4" item="1"/>
        </tpls>
      </m>
      <n v="12" in="1">
        <tpls c="4">
          <tpl fld="7" item="909"/>
          <tpl fld="6" item="1"/>
          <tpl hier="236" item="0"/>
          <tpl fld="1" item="0"/>
        </tpls>
      </n>
      <n v="0" in="1">
        <tpls c="4">
          <tpl fld="7" item="185"/>
          <tpl fld="6" item="1"/>
          <tpl hier="236" item="0"/>
          <tpl fld="1" item="0"/>
        </tpls>
      </n>
      <m>
        <tpls c="4">
          <tpl fld="7" item="995"/>
          <tpl fld="6" item="2"/>
          <tpl hier="236" item="0"/>
          <tpl fld="4" item="5"/>
        </tpls>
      </m>
      <m>
        <tpls c="4">
          <tpl fld="7" item="236"/>
          <tpl fld="6" item="2"/>
          <tpl hier="236" item="0"/>
          <tpl fld="4" item="5"/>
        </tpls>
      </m>
      <m>
        <tpls c="4">
          <tpl fld="7" item="1175"/>
          <tpl fld="6" item="1"/>
          <tpl hier="236" item="0"/>
          <tpl fld="4" item="1"/>
        </tpls>
      </m>
      <m>
        <tpls c="4">
          <tpl fld="7" item="380"/>
          <tpl fld="6" item="1"/>
          <tpl hier="236" item="0"/>
          <tpl fld="1" item="0"/>
        </tpls>
      </m>
      <n v="1" in="1">
        <tpls c="4">
          <tpl fld="7" item="826"/>
          <tpl fld="6" item="1"/>
          <tpl hier="236" item="0"/>
          <tpl fld="4" item="6"/>
        </tpls>
      </n>
      <m>
        <tpls c="4">
          <tpl fld="7" item="1078"/>
          <tpl fld="6" item="2"/>
          <tpl hier="236" item="0"/>
          <tpl fld="4" item="4"/>
        </tpls>
      </m>
      <m>
        <tpls c="4">
          <tpl fld="7" item="114"/>
          <tpl fld="6" item="2"/>
          <tpl hier="236" item="0"/>
          <tpl fld="4" item="4"/>
        </tpls>
      </m>
      <m>
        <tpls c="4">
          <tpl fld="7" item="295"/>
          <tpl fld="6" item="1"/>
          <tpl hier="236" item="0"/>
          <tpl fld="1" item="0"/>
        </tpls>
      </m>
      <n v="45" in="1">
        <tpls c="4">
          <tpl fld="7" item="805"/>
          <tpl fld="6" item="1"/>
          <tpl hier="236" item="0"/>
          <tpl fld="1" item="0"/>
        </tpls>
      </n>
      <m>
        <tpls c="4">
          <tpl fld="7" item="6"/>
          <tpl fld="6" item="2"/>
          <tpl hier="236" item="0"/>
          <tpl fld="4" item="5"/>
        </tpls>
      </m>
      <m>
        <tpls c="4">
          <tpl fld="7" item="399"/>
          <tpl fld="6" item="1"/>
          <tpl hier="236" item="0"/>
          <tpl fld="4" item="5"/>
        </tpls>
      </m>
      <n v="6" in="1">
        <tpls c="4">
          <tpl fld="7" item="899"/>
          <tpl fld="6" item="1"/>
          <tpl hier="236" item="0"/>
          <tpl fld="1" item="0"/>
        </tpls>
      </n>
      <m>
        <tpls c="4">
          <tpl fld="7" item="228"/>
          <tpl fld="6" item="1"/>
          <tpl hier="236" item="0"/>
          <tpl fld="1" item="0"/>
        </tpls>
      </m>
      <m>
        <tpls c="4">
          <tpl fld="7" item="977"/>
          <tpl fld="6" item="2"/>
          <tpl hier="236" item="0"/>
          <tpl fld="4" item="4"/>
        </tpls>
      </m>
      <m>
        <tpls c="4">
          <tpl fld="7" item="224"/>
          <tpl fld="6" item="2"/>
          <tpl hier="236" item="0"/>
          <tpl fld="4" item="4"/>
        </tpls>
      </m>
      <m>
        <tpls c="4">
          <tpl fld="7" item="124"/>
          <tpl fld="6" item="1"/>
          <tpl hier="236" item="0"/>
          <tpl fld="1" item="0"/>
        </tpls>
      </m>
      <m>
        <tpls c="4">
          <tpl fld="7" item="997"/>
          <tpl fld="6" item="2"/>
          <tpl hier="236" item="0"/>
          <tpl fld="4" item="5"/>
        </tpls>
      </m>
      <n v="6.35" in="2">
        <tpls c="4">
          <tpl fld="7" item="431"/>
          <tpl fld="6" item="2"/>
          <tpl hier="236" item="0"/>
          <tpl fld="4" item="1"/>
        </tpls>
      </n>
      <m>
        <tpls c="4">
          <tpl fld="7" item="827"/>
          <tpl fld="6" item="2"/>
          <tpl hier="236" item="0"/>
          <tpl fld="4" item="5"/>
        </tpls>
      </m>
      <m>
        <tpls c="3">
          <tpl fld="7" item="814"/>
          <tpl fld="6" item="3"/>
          <tpl hier="236" item="0"/>
        </tpls>
      </m>
      <m>
        <tpls c="4">
          <tpl fld="7" item="866"/>
          <tpl fld="6" item="2"/>
          <tpl hier="236" item="0"/>
          <tpl fld="4" item="4"/>
        </tpls>
      </m>
      <m>
        <tpls c="4">
          <tpl fld="7" item="712"/>
          <tpl fld="6" item="1"/>
          <tpl hier="236" item="0"/>
          <tpl fld="4" item="1"/>
        </tpls>
      </m>
      <n v="24" in="1">
        <tpls c="4">
          <tpl fld="7" item="747"/>
          <tpl fld="6" item="1"/>
          <tpl hier="236" item="0"/>
          <tpl fld="4" item="4"/>
        </tpls>
      </n>
      <m>
        <tpls c="4">
          <tpl fld="7" item="1124"/>
          <tpl fld="6" item="2"/>
          <tpl hier="236" item="0"/>
          <tpl fld="1" item="0"/>
        </tpls>
      </m>
      <n v="5" in="1">
        <tpls c="4">
          <tpl fld="7" item="745"/>
          <tpl fld="6" item="1"/>
          <tpl hier="236" item="0"/>
          <tpl fld="4" item="1"/>
        </tpls>
      </n>
      <m>
        <tpls c="4">
          <tpl fld="7" item="1015"/>
          <tpl fld="6" item="2"/>
          <tpl hier="236" item="0"/>
          <tpl fld="4" item="6"/>
        </tpls>
      </m>
      <m>
        <tpls c="4">
          <tpl fld="7" item="1039"/>
          <tpl fld="6" item="1"/>
          <tpl hier="236" item="0"/>
          <tpl fld="4" item="1"/>
        </tpls>
      </m>
      <n v="1" in="2">
        <tpls c="4">
          <tpl fld="7" item="666"/>
          <tpl fld="6" item="2"/>
          <tpl hier="236" item="0"/>
          <tpl fld="4" item="1"/>
        </tpls>
      </n>
      <m>
        <tpls c="4">
          <tpl fld="7" item="500"/>
          <tpl fld="6" item="2"/>
          <tpl hier="236" item="0"/>
          <tpl fld="4" item="5"/>
        </tpls>
      </m>
      <m>
        <tpls c="4">
          <tpl fld="7" item="1029"/>
          <tpl fld="6" item="2"/>
          <tpl hier="236" item="0"/>
          <tpl fld="4" item="6"/>
        </tpls>
      </m>
      <m>
        <tpls c="4">
          <tpl fld="7" item="282"/>
          <tpl fld="6" item="2"/>
          <tpl hier="236" item="0"/>
          <tpl fld="4" item="6"/>
        </tpls>
      </m>
      <n v="1" in="1">
        <tpls c="4">
          <tpl fld="7" item="502"/>
          <tpl fld="6" item="1"/>
          <tpl hier="236" item="0"/>
          <tpl fld="4" item="5"/>
        </tpls>
      </n>
      <m>
        <tpls c="4">
          <tpl fld="7" item="16"/>
          <tpl fld="6" item="1"/>
          <tpl hier="236" item="0"/>
          <tpl fld="4" item="5"/>
        </tpls>
      </m>
      <n v="2" in="1">
        <tpls c="4">
          <tpl fld="7" item="1247"/>
          <tpl fld="6" item="1"/>
          <tpl hier="236" item="0"/>
          <tpl fld="4" item="1"/>
        </tpls>
      </n>
      <n v="17" in="1">
        <tpls c="4">
          <tpl fld="7" item="758"/>
          <tpl fld="6" item="1"/>
          <tpl hier="236" item="0"/>
          <tpl fld="4" item="1"/>
        </tpls>
      </n>
      <m>
        <tpls c="4">
          <tpl fld="7" item="55"/>
          <tpl fld="6" item="1"/>
          <tpl hier="236" item="0"/>
          <tpl fld="4" item="1"/>
        </tpls>
      </m>
      <m>
        <tpls c="4">
          <tpl fld="7" item="583"/>
          <tpl fld="6" item="2"/>
          <tpl hier="236" item="0"/>
          <tpl fld="4" item="5"/>
        </tpls>
      </m>
      <m>
        <tpls c="4">
          <tpl fld="7" item="743"/>
          <tpl fld="6" item="2"/>
          <tpl hier="236" item="0"/>
          <tpl fld="4" item="6"/>
        </tpls>
      </m>
      <n v="2" in="1">
        <tpls c="4">
          <tpl fld="7" item="875"/>
          <tpl fld="6" item="1"/>
          <tpl hier="236" item="0"/>
          <tpl fld="4" item="4"/>
        </tpls>
      </n>
      <m>
        <tpls c="4">
          <tpl fld="7" item="166"/>
          <tpl fld="6" item="2"/>
          <tpl hier="236" item="0"/>
          <tpl fld="1" item="0"/>
        </tpls>
      </m>
      <m>
        <tpls c="4">
          <tpl fld="7" item="381"/>
          <tpl fld="6" item="2"/>
          <tpl hier="236" item="0"/>
          <tpl fld="4" item="5"/>
        </tpls>
      </m>
      <m>
        <tpls c="4">
          <tpl fld="7" item="57"/>
          <tpl fld="6" item="2"/>
          <tpl hier="236" item="0"/>
          <tpl fld="4" item="5"/>
        </tpls>
      </m>
      <m>
        <tpls c="4">
          <tpl fld="7" item="977"/>
          <tpl fld="6" item="2"/>
          <tpl hier="236" item="0"/>
          <tpl fld="4" item="6"/>
        </tpls>
      </m>
      <m>
        <tpls c="4">
          <tpl fld="7" item="506"/>
          <tpl fld="6" item="2"/>
          <tpl hier="236" item="0"/>
          <tpl fld="4" item="6"/>
        </tpls>
      </m>
      <m>
        <tpls c="4">
          <tpl fld="7" item="41"/>
          <tpl fld="6" item="2"/>
          <tpl hier="236" item="0"/>
          <tpl fld="4" item="6"/>
        </tpls>
      </m>
      <m>
        <tpls c="4">
          <tpl fld="7" item="1107"/>
          <tpl fld="6" item="1"/>
          <tpl hier="236" item="0"/>
          <tpl fld="4" item="5"/>
        </tpls>
      </m>
      <m>
        <tpls c="4">
          <tpl fld="7" item="303"/>
          <tpl fld="6" item="1"/>
          <tpl hier="236" item="0"/>
          <tpl fld="4" item="5"/>
        </tpls>
      </m>
      <n v="3" in="1">
        <tpls c="4">
          <tpl fld="7" item="1209"/>
          <tpl fld="6" item="1"/>
          <tpl hier="236" item="0"/>
          <tpl fld="4" item="1"/>
        </tpls>
      </n>
      <m>
        <tpls c="4">
          <tpl fld="7" item="857"/>
          <tpl fld="6" item="1"/>
          <tpl hier="236" item="0"/>
          <tpl fld="4" item="1"/>
        </tpls>
      </m>
      <m>
        <tpls c="4">
          <tpl fld="7" item="426"/>
          <tpl fld="6" item="1"/>
          <tpl hier="236" item="0"/>
          <tpl fld="4" item="1"/>
        </tpls>
      </m>
      <m>
        <tpls c="4">
          <tpl fld="7" item="133"/>
          <tpl fld="6" item="1"/>
          <tpl hier="236" item="0"/>
          <tpl fld="4" item="1"/>
        </tpls>
      </m>
      <n v="2" in="1">
        <tpls c="4">
          <tpl fld="7" item="1117"/>
          <tpl fld="6" item="1"/>
          <tpl hier="236" item="0"/>
          <tpl fld="1" item="0"/>
        </tpls>
      </n>
      <n v="0" in="1">
        <tpls c="4">
          <tpl fld="7" item="674"/>
          <tpl fld="6" item="1"/>
          <tpl hier="236" item="0"/>
          <tpl fld="1" item="0"/>
        </tpls>
      </n>
      <m>
        <tpls c="4">
          <tpl fld="7" item="669"/>
          <tpl fld="6" item="1"/>
          <tpl hier="236" item="0"/>
          <tpl fld="1" item="0"/>
        </tpls>
      </m>
      <m>
        <tpls c="4">
          <tpl fld="7" item="1272"/>
          <tpl fld="6" item="2"/>
          <tpl hier="236" item="0"/>
          <tpl fld="4" item="1"/>
        </tpls>
      </m>
      <m>
        <tpls c="4">
          <tpl fld="7" item="129"/>
          <tpl fld="6" item="2"/>
          <tpl hier="236" item="0"/>
          <tpl fld="4" item="5"/>
        </tpls>
      </m>
      <m>
        <tpls c="4">
          <tpl fld="7" item="1211"/>
          <tpl fld="6" item="1"/>
          <tpl hier="236" item="0"/>
          <tpl fld="4" item="5"/>
        </tpls>
      </m>
      <m>
        <tpls c="4">
          <tpl fld="7" item="164"/>
          <tpl fld="6" item="1"/>
          <tpl hier="236" item="0"/>
          <tpl fld="4" item="1"/>
        </tpls>
      </m>
      <m>
        <tpls c="4">
          <tpl fld="7" item="356"/>
          <tpl fld="6" item="1"/>
          <tpl hier="236" item="0"/>
          <tpl fld="1" item="0"/>
        </tpls>
      </m>
      <m>
        <tpls c="4">
          <tpl fld="7" item="227"/>
          <tpl fld="6" item="1"/>
          <tpl hier="236" item="0"/>
          <tpl fld="1" item="0"/>
        </tpls>
      </m>
      <m>
        <tpls c="3">
          <tpl fld="7" item="398"/>
          <tpl fld="6" item="3"/>
          <tpl hier="236" item="0"/>
        </tpls>
      </m>
      <m>
        <tpls c="4">
          <tpl fld="7" item="1036"/>
          <tpl fld="6" item="2"/>
          <tpl hier="236" item="0"/>
          <tpl fld="4" item="4"/>
        </tpls>
      </m>
      <m>
        <tpls c="4">
          <tpl fld="7" item="420"/>
          <tpl fld="6" item="2"/>
          <tpl hier="236" item="0"/>
          <tpl fld="4" item="6"/>
        </tpls>
      </m>
      <m>
        <tpls c="4">
          <tpl fld="7" item="87"/>
          <tpl fld="6" item="1"/>
          <tpl hier="236" item="0"/>
          <tpl fld="1" item="0"/>
        </tpls>
      </m>
      <m>
        <tpls c="4">
          <tpl fld="7" item="62"/>
          <tpl fld="6" item="2"/>
          <tpl hier="236" item="0"/>
          <tpl fld="4" item="4"/>
        </tpls>
      </m>
      <m>
        <tpls c="4">
          <tpl fld="7" item="203"/>
          <tpl fld="6" item="2"/>
          <tpl hier="236" item="0"/>
          <tpl fld="1" item="0"/>
        </tpls>
      </m>
      <m>
        <tpls c="4">
          <tpl fld="7" item="602"/>
          <tpl fld="6" item="2"/>
          <tpl hier="236" item="0"/>
          <tpl fld="4" item="6"/>
        </tpls>
      </m>
      <m>
        <tpls c="4">
          <tpl fld="7" item="401"/>
          <tpl fld="6" item="1"/>
          <tpl hier="236" item="0"/>
          <tpl fld="4" item="5"/>
        </tpls>
      </m>
      <m>
        <tpls c="4">
          <tpl fld="7" item="222"/>
          <tpl fld="6" item="1"/>
          <tpl hier="236" item="0"/>
          <tpl fld="4" item="1"/>
        </tpls>
      </m>
      <m>
        <tpls c="4">
          <tpl fld="7" item="89"/>
          <tpl fld="6" item="1"/>
          <tpl hier="236" item="0"/>
          <tpl fld="1" item="0"/>
        </tpls>
      </m>
      <m>
        <tpls c="4">
          <tpl fld="7" item="236"/>
          <tpl fld="6" item="1"/>
          <tpl hier="236" item="0"/>
          <tpl fld="4" item="6"/>
        </tpls>
      </m>
      <m>
        <tpls c="3">
          <tpl fld="7" item="110"/>
          <tpl fld="6" item="3"/>
          <tpl hier="236" item="0"/>
        </tpls>
      </m>
      <m>
        <tpls c="4">
          <tpl fld="7" item="592"/>
          <tpl fld="6" item="2"/>
          <tpl hier="236" item="0"/>
          <tpl fld="4" item="4"/>
        </tpls>
      </m>
      <n v="1" in="1">
        <tpls c="4">
          <tpl fld="7" item="373"/>
          <tpl fld="6" item="1"/>
          <tpl hier="236" item="0"/>
          <tpl fld="4" item="1"/>
        </tpls>
      </n>
      <m>
        <tpls c="3">
          <tpl fld="7" item="171"/>
          <tpl fld="6" item="3"/>
          <tpl hier="236" item="0"/>
        </tpls>
      </m>
      <m>
        <tpls c="3">
          <tpl fld="7" item="658"/>
          <tpl fld="6" item="3"/>
          <tpl hier="236" item="0"/>
        </tpls>
      </m>
      <m>
        <tpls c="4">
          <tpl fld="7" item="78"/>
          <tpl fld="6" item="2"/>
          <tpl hier="236" item="0"/>
          <tpl fld="4" item="5"/>
        </tpls>
      </m>
      <n v="0" in="1">
        <tpls c="4">
          <tpl fld="7" item="852"/>
          <tpl fld="6" item="1"/>
          <tpl hier="236" item="0"/>
          <tpl fld="4" item="5"/>
        </tpls>
      </n>
      <m>
        <tpls c="4">
          <tpl fld="7" item="370"/>
          <tpl fld="6" item="1"/>
          <tpl hier="236" item="0"/>
          <tpl fld="4" item="1"/>
        </tpls>
      </m>
      <n v="44" in="1">
        <tpls c="4">
          <tpl fld="7" item="446"/>
          <tpl fld="6" item="1"/>
          <tpl hier="236" item="0"/>
          <tpl fld="1" item="0"/>
        </tpls>
      </n>
      <m>
        <tpls c="4">
          <tpl fld="7" item="38"/>
          <tpl fld="6" item="1"/>
          <tpl hier="236" item="0"/>
          <tpl fld="1" item="0"/>
        </tpls>
      </m>
      <m>
        <tpls c="3">
          <tpl fld="7" item="592"/>
          <tpl fld="6" item="3"/>
          <tpl hier="236" item="0"/>
        </tpls>
      </m>
      <m>
        <tpls c="4">
          <tpl fld="7" item="1274"/>
          <tpl fld="6" item="2"/>
          <tpl hier="236" item="0"/>
          <tpl fld="4" item="4"/>
        </tpls>
      </m>
      <m>
        <tpls c="3">
          <tpl fld="7" item="246"/>
          <tpl fld="6" item="3"/>
          <tpl hier="236" item="0"/>
        </tpls>
      </m>
      <m>
        <tpls c="4">
          <tpl fld="7" item="1123"/>
          <tpl fld="6" item="2"/>
          <tpl hier="236" item="0"/>
          <tpl fld="4" item="5"/>
        </tpls>
      </m>
      <m>
        <tpls c="4">
          <tpl fld="7" item="1078"/>
          <tpl fld="6" item="1"/>
          <tpl hier="236" item="0"/>
          <tpl fld="4" item="1"/>
        </tpls>
      </m>
      <m>
        <tpls c="4">
          <tpl fld="7" item="125"/>
          <tpl fld="6" item="1"/>
          <tpl hier="236" item="0"/>
          <tpl fld="4" item="6"/>
        </tpls>
      </m>
      <m>
        <tpls c="4">
          <tpl fld="7" item="635"/>
          <tpl fld="6" item="1"/>
          <tpl hier="236" item="0"/>
          <tpl fld="4" item="5"/>
        </tpls>
      </m>
      <n v="1" in="1">
        <tpls c="4">
          <tpl fld="7" item="588"/>
          <tpl fld="6" item="1"/>
          <tpl hier="236" item="0"/>
          <tpl fld="4" item="5"/>
        </tpls>
      </n>
      <n v="1" in="1">
        <tpls c="4">
          <tpl fld="7" item="966"/>
          <tpl fld="6" item="1"/>
          <tpl hier="236" item="0"/>
          <tpl fld="4" item="4"/>
        </tpls>
      </n>
      <m>
        <tpls c="4">
          <tpl fld="7" item="660"/>
          <tpl fld="6" item="2"/>
          <tpl hier="236" item="0"/>
          <tpl fld="4" item="5"/>
        </tpls>
      </m>
      <m>
        <tpls c="4">
          <tpl fld="7" item="172"/>
          <tpl fld="6" item="2"/>
          <tpl hier="236" item="0"/>
          <tpl fld="1" item="0"/>
        </tpls>
      </m>
      <m>
        <tpls c="4">
          <tpl fld="7" item="1185"/>
          <tpl fld="6" item="2"/>
          <tpl hier="236" item="0"/>
          <tpl fld="4" item="5"/>
        </tpls>
      </m>
      <m>
        <tpls c="4">
          <tpl fld="7" item="301"/>
          <tpl fld="6" item="1"/>
          <tpl hier="236" item="0"/>
          <tpl fld="4" item="1"/>
        </tpls>
      </m>
      <m>
        <tpls c="4">
          <tpl fld="7" item="91"/>
          <tpl fld="6" item="2"/>
          <tpl hier="236" item="0"/>
          <tpl fld="4" item="5"/>
        </tpls>
      </m>
      <m>
        <tpls c="4">
          <tpl fld="7" item="1002"/>
          <tpl fld="6" item="2"/>
          <tpl hier="236" item="0"/>
          <tpl fld="4" item="6"/>
        </tpls>
      </m>
      <m>
        <tpls c="4">
          <tpl fld="7" item="520"/>
          <tpl fld="6" item="1"/>
          <tpl hier="236" item="0"/>
          <tpl fld="4" item="5"/>
        </tpls>
      </m>
      <n v="1" in="1">
        <tpls c="4">
          <tpl fld="7" item="1183"/>
          <tpl fld="6" item="1"/>
          <tpl hier="236" item="0"/>
          <tpl fld="4" item="1"/>
        </tpls>
      </n>
      <m>
        <tpls c="4">
          <tpl fld="7" item="753"/>
          <tpl fld="6" item="1"/>
          <tpl hier="236" item="0"/>
          <tpl fld="4" item="1"/>
        </tpls>
      </m>
      <m>
        <tpls c="4">
          <tpl fld="7" item="820"/>
          <tpl fld="6" item="1"/>
          <tpl hier="236" item="0"/>
          <tpl fld="4" item="1"/>
        </tpls>
      </m>
      <m>
        <tpls c="4">
          <tpl fld="7" item="81"/>
          <tpl fld="6" item="2"/>
          <tpl hier="236" item="0"/>
          <tpl fld="1" item="0"/>
        </tpls>
      </m>
      <m>
        <tpls c="4">
          <tpl fld="7" item="184"/>
          <tpl fld="6" item="2"/>
          <tpl hier="236" item="0"/>
          <tpl fld="4" item="5"/>
        </tpls>
      </m>
      <n v="3" in="2">
        <tpls c="4">
          <tpl fld="7" item="519"/>
          <tpl fld="6" item="2"/>
          <tpl hier="236" item="0"/>
          <tpl fld="4" item="6"/>
        </tpls>
      </n>
      <m>
        <tpls c="4">
          <tpl fld="7" item="1008"/>
          <tpl fld="6" item="1"/>
          <tpl hier="236" item="0"/>
          <tpl fld="4" item="5"/>
        </tpls>
      </m>
      <m>
        <tpls c="4">
          <tpl fld="7" item="730"/>
          <tpl fld="6" item="2"/>
          <tpl hier="236" item="0"/>
          <tpl fld="4" item="6"/>
        </tpls>
      </m>
      <m>
        <tpls c="4">
          <tpl fld="7" item="976"/>
          <tpl fld="6" item="2"/>
          <tpl hier="236" item="0"/>
          <tpl fld="4" item="4"/>
        </tpls>
      </m>
      <m>
        <tpls c="4">
          <tpl fld="7" item="324"/>
          <tpl fld="6" item="2"/>
          <tpl hier="236" item="0"/>
          <tpl fld="4" item="6"/>
        </tpls>
      </m>
      <m>
        <tpls c="4">
          <tpl fld="7" item="237"/>
          <tpl fld="6" item="1"/>
          <tpl hier="236" item="0"/>
          <tpl fld="1" item="0"/>
        </tpls>
      </m>
      <m>
        <tpls c="3">
          <tpl fld="7" item="865"/>
          <tpl fld="6" item="3"/>
          <tpl hier="236" item="0"/>
        </tpls>
      </m>
      <n v="7" in="1">
        <tpls c="4">
          <tpl fld="7" item="453"/>
          <tpl fld="6" item="1"/>
          <tpl hier="236" item="0"/>
          <tpl fld="4" item="4"/>
        </tpls>
      </n>
      <m>
        <tpls c="4">
          <tpl fld="7" item="858"/>
          <tpl fld="6" item="2"/>
          <tpl hier="236" item="0"/>
          <tpl fld="1" item="0"/>
        </tpls>
      </m>
      <m>
        <tpls c="4">
          <tpl fld="7" item="1082"/>
          <tpl fld="6" item="2"/>
          <tpl hier="236" item="0"/>
          <tpl fld="1" item="0"/>
        </tpls>
      </m>
      <m>
        <tpls c="4">
          <tpl fld="7" item="14"/>
          <tpl fld="6" item="1"/>
          <tpl hier="236" item="0"/>
          <tpl fld="4" item="1"/>
        </tpls>
      </m>
      <m>
        <tpls c="4">
          <tpl fld="7" item="91"/>
          <tpl fld="6" item="2"/>
          <tpl hier="236" item="0"/>
          <tpl fld="4" item="6"/>
        </tpls>
      </m>
      <n v="1" in="1">
        <tpls c="4">
          <tpl fld="7" item="896"/>
          <tpl fld="6" item="1"/>
          <tpl hier="236" item="0"/>
          <tpl fld="4" item="1"/>
        </tpls>
      </n>
      <m>
        <tpls c="4">
          <tpl fld="7" item="911"/>
          <tpl fld="6" item="2"/>
          <tpl hier="236" item="0"/>
          <tpl fld="4" item="1"/>
        </tpls>
      </m>
      <m>
        <tpls c="4">
          <tpl fld="7" item="18"/>
          <tpl fld="6" item="2"/>
          <tpl hier="236" item="0"/>
          <tpl fld="4" item="5"/>
        </tpls>
      </m>
      <m>
        <tpls c="4">
          <tpl fld="7" item="306"/>
          <tpl fld="6" item="1"/>
          <tpl hier="236" item="0"/>
          <tpl fld="4" item="5"/>
        </tpls>
      </m>
      <n v="0" in="1">
        <tpls c="4">
          <tpl fld="7" item="169"/>
          <tpl fld="6" item="1"/>
          <tpl hier="236" item="0"/>
          <tpl fld="4" item="1"/>
        </tpls>
      </n>
      <m>
        <tpls c="4">
          <tpl fld="7" item="1114"/>
          <tpl fld="6" item="2"/>
          <tpl hier="236" item="0"/>
          <tpl fld="4" item="4"/>
        </tpls>
      </m>
      <m>
        <tpls c="4">
          <tpl fld="7" item="311"/>
          <tpl fld="6" item="1"/>
          <tpl hier="236" item="0"/>
          <tpl fld="1" item="0"/>
        </tpls>
      </m>
      <m>
        <tpls c="4">
          <tpl fld="7" item="427"/>
          <tpl fld="6" item="1"/>
          <tpl hier="236" item="0"/>
          <tpl fld="4" item="5"/>
        </tpls>
      </m>
      <m>
        <tpls c="4">
          <tpl fld="7" item="597"/>
          <tpl fld="6" item="2"/>
          <tpl hier="236" item="0"/>
          <tpl fld="4" item="6"/>
        </tpls>
      </m>
      <m>
        <tpls c="4">
          <tpl fld="7" item="222"/>
          <tpl fld="6" item="1"/>
          <tpl hier="236" item="0"/>
          <tpl fld="4" item="6"/>
        </tpls>
      </m>
      <m>
        <tpls c="4">
          <tpl fld="7" item="1178"/>
          <tpl fld="6" item="2"/>
          <tpl hier="236" item="0"/>
          <tpl fld="4" item="4"/>
        </tpls>
      </m>
      <n v="5" in="1">
        <tpls c="4">
          <tpl fld="7" item="1157"/>
          <tpl fld="6" item="1"/>
          <tpl hier="236" item="0"/>
          <tpl fld="4" item="1"/>
        </tpls>
      </n>
      <n v="2" in="1">
        <tpls c="4">
          <tpl fld="7" item="628"/>
          <tpl fld="6" item="1"/>
          <tpl hier="236" item="0"/>
          <tpl fld="4" item="6"/>
        </tpls>
      </n>
      <m>
        <tpls c="4">
          <tpl fld="7" item="550"/>
          <tpl fld="6" item="2"/>
          <tpl hier="236" item="0"/>
          <tpl fld="4" item="4"/>
        </tpls>
      </m>
      <m>
        <tpls c="4">
          <tpl fld="7" item="37"/>
          <tpl fld="6" item="1"/>
          <tpl hier="236" item="0"/>
          <tpl fld="1" item="0"/>
        </tpls>
      </m>
      <m>
        <tpls c="4">
          <tpl fld="7" item="652"/>
          <tpl fld="6" item="2"/>
          <tpl hier="236" item="0"/>
          <tpl fld="4" item="6"/>
        </tpls>
      </m>
      <m>
        <tpls c="4">
          <tpl fld="7" item="746"/>
          <tpl fld="6" item="2"/>
          <tpl hier="236" item="0"/>
          <tpl fld="1" item="0"/>
        </tpls>
      </m>
      <m>
        <tpls c="4">
          <tpl fld="7" item="701"/>
          <tpl fld="6" item="2"/>
          <tpl hier="236" item="0"/>
          <tpl fld="4" item="1"/>
        </tpls>
      </m>
      <n v="5" in="1">
        <tpls c="4">
          <tpl fld="7" item="1272"/>
          <tpl fld="6" item="1"/>
          <tpl hier="236" item="0"/>
          <tpl fld="4" item="4"/>
        </tpls>
      </n>
      <m>
        <tpls c="4">
          <tpl fld="7" item="891"/>
          <tpl fld="6" item="2"/>
          <tpl hier="236" item="0"/>
          <tpl fld="4" item="5"/>
        </tpls>
      </m>
      <m>
        <tpls c="4">
          <tpl fld="7" item="1028"/>
          <tpl fld="6" item="1"/>
          <tpl hier="236" item="0"/>
          <tpl fld="4" item="5"/>
        </tpls>
      </m>
      <m>
        <tpls c="4">
          <tpl fld="7" item="732"/>
          <tpl fld="6" item="2"/>
          <tpl hier="236" item="0"/>
          <tpl fld="4" item="6"/>
        </tpls>
      </m>
      <m>
        <tpls c="4">
          <tpl fld="7" item="592"/>
          <tpl fld="6" item="2"/>
          <tpl hier="236" item="0"/>
          <tpl fld="4" item="5"/>
        </tpls>
      </m>
      <m>
        <tpls c="4">
          <tpl fld="7" item="294"/>
          <tpl fld="6" item="2"/>
          <tpl hier="236" item="0"/>
          <tpl fld="4" item="6"/>
        </tpls>
      </m>
      <m>
        <tpls c="4">
          <tpl fld="7" item="281"/>
          <tpl fld="6" item="1"/>
          <tpl hier="236" item="0"/>
          <tpl fld="4" item="5"/>
        </tpls>
      </m>
      <m>
        <tpls c="4">
          <tpl fld="7" item="1263"/>
          <tpl fld="6" item="1"/>
          <tpl hier="236" item="0"/>
          <tpl fld="4" item="1"/>
        </tpls>
      </m>
      <m>
        <tpls c="4">
          <tpl fld="7" item="551"/>
          <tpl fld="6" item="1"/>
          <tpl hier="236" item="0"/>
          <tpl fld="4" item="1"/>
        </tpls>
      </m>
      <m>
        <tpls c="4">
          <tpl fld="7" item="1016"/>
          <tpl fld="6" item="1"/>
          <tpl hier="236" item="0"/>
          <tpl fld="4" item="6"/>
        </tpls>
      </m>
      <m>
        <tpls c="4">
          <tpl fld="7" item="1194"/>
          <tpl fld="6" item="2"/>
          <tpl hier="236" item="0"/>
          <tpl fld="4" item="5"/>
        </tpls>
      </m>
      <m>
        <tpls c="4">
          <tpl fld="7" item="1082"/>
          <tpl fld="6" item="2"/>
          <tpl hier="236" item="0"/>
          <tpl fld="4" item="5"/>
        </tpls>
      </m>
      <m>
        <tpls c="4">
          <tpl fld="7" item="345"/>
          <tpl fld="6" item="2"/>
          <tpl hier="236" item="0"/>
          <tpl fld="4" item="6"/>
        </tpls>
      </m>
      <m>
        <tpls c="4">
          <tpl fld="7" item="877"/>
          <tpl fld="6" item="1"/>
          <tpl hier="236" item="0"/>
          <tpl fld="4" item="5"/>
        </tpls>
      </m>
      <n v="1" in="1">
        <tpls c="4">
          <tpl fld="7" item="1225"/>
          <tpl fld="6" item="1"/>
          <tpl hier="236" item="0"/>
          <tpl fld="4" item="1"/>
        </tpls>
      </n>
      <m>
        <tpls c="4">
          <tpl fld="7" item="175"/>
          <tpl fld="6" item="1"/>
          <tpl hier="236" item="0"/>
          <tpl fld="4" item="1"/>
        </tpls>
      </m>
      <n v="1" in="1">
        <tpls c="4">
          <tpl fld="7" item="599"/>
          <tpl fld="6" item="1"/>
          <tpl hier="236" item="0"/>
          <tpl fld="1" item="0"/>
        </tpls>
      </n>
      <m>
        <tpls c="4">
          <tpl fld="7" item="723"/>
          <tpl fld="6" item="2"/>
          <tpl hier="236" item="0"/>
          <tpl fld="4" item="1"/>
        </tpls>
      </m>
      <m>
        <tpls c="4">
          <tpl fld="7" item="475"/>
          <tpl fld="6" item="2"/>
          <tpl hier="236" item="0"/>
          <tpl fld="4" item="6"/>
        </tpls>
      </m>
      <n v="2" in="1">
        <tpls c="4">
          <tpl fld="7" item="1106"/>
          <tpl fld="6" item="1"/>
          <tpl hier="236" item="0"/>
          <tpl fld="1" item="0"/>
        </tpls>
      </n>
      <m>
        <tpls c="3">
          <tpl fld="7" item="1081"/>
          <tpl fld="6" item="3"/>
          <tpl hier="236" item="0"/>
        </tpls>
      </m>
      <m>
        <tpls c="4">
          <tpl fld="7" item="10"/>
          <tpl fld="6" item="2"/>
          <tpl hier="236" item="0"/>
          <tpl fld="4" item="4"/>
        </tpls>
      </m>
      <m>
        <tpls c="3">
          <tpl fld="7" item="9"/>
          <tpl fld="6" item="3"/>
          <tpl hier="236" item="0"/>
        </tpls>
      </m>
      <m>
        <tpls c="4">
          <tpl fld="7" item="275"/>
          <tpl fld="6" item="2"/>
          <tpl hier="236" item="0"/>
          <tpl fld="4" item="5"/>
        </tpls>
      </m>
      <m>
        <tpls c="4">
          <tpl fld="7" item="318"/>
          <tpl fld="6" item="1"/>
          <tpl hier="236" item="0"/>
          <tpl fld="4" item="1"/>
        </tpls>
      </m>
      <m>
        <tpls c="4">
          <tpl fld="7" item="21"/>
          <tpl fld="6" item="1"/>
          <tpl hier="236" item="0"/>
          <tpl fld="1" item="0"/>
        </tpls>
      </m>
      <m>
        <tpls c="4">
          <tpl fld="7" item="940"/>
          <tpl fld="6" item="2"/>
          <tpl hier="236" item="0"/>
          <tpl fld="4" item="4"/>
        </tpls>
      </m>
      <n v="0" in="1">
        <tpls c="4">
          <tpl fld="7" item="61"/>
          <tpl fld="6" item="1"/>
          <tpl hier="236" item="0"/>
          <tpl fld="1" item="0"/>
        </tpls>
      </n>
      <m>
        <tpls c="4">
          <tpl fld="7" item="135"/>
          <tpl fld="6" item="2"/>
          <tpl hier="236" item="0"/>
          <tpl fld="1" item="0"/>
        </tpls>
      </m>
      <m>
        <tpls c="4">
          <tpl fld="7" item="440"/>
          <tpl fld="6" item="1"/>
          <tpl hier="236" item="0"/>
          <tpl fld="4" item="5"/>
        </tpls>
      </m>
      <m>
        <tpls c="4">
          <tpl fld="7" item="232"/>
          <tpl fld="6" item="1"/>
          <tpl hier="236" item="0"/>
          <tpl fld="4" item="1"/>
        </tpls>
      </m>
      <m>
        <tpls c="4">
          <tpl fld="7" item="340"/>
          <tpl fld="6" item="1"/>
          <tpl hier="236" item="0"/>
          <tpl fld="1" item="0"/>
        </tpls>
      </m>
      <m>
        <tpls c="3">
          <tpl fld="7" item="22"/>
          <tpl fld="6" item="3"/>
          <tpl hier="236" item="0"/>
        </tpls>
      </m>
      <m>
        <tpls c="4">
          <tpl fld="7" item="790"/>
          <tpl fld="6" item="2"/>
          <tpl hier="236" item="0"/>
          <tpl fld="4" item="4"/>
        </tpls>
      </m>
      <m>
        <tpls c="4">
          <tpl fld="7" item="70"/>
          <tpl fld="6" item="2"/>
          <tpl hier="236" item="0"/>
          <tpl fld="1" item="0"/>
        </tpls>
      </m>
      <n v="7" in="1">
        <tpls c="4">
          <tpl fld="7" item="361"/>
          <tpl fld="6" item="1"/>
          <tpl hier="236" item="0"/>
          <tpl fld="4" item="1"/>
        </tpls>
      </n>
      <m>
        <tpls c="4">
          <tpl fld="7" item="1149"/>
          <tpl fld="6" item="2"/>
          <tpl hier="236" item="0"/>
          <tpl fld="4" item="4"/>
        </tpls>
      </m>
      <n v="1" in="2">
        <tpls c="4">
          <tpl fld="7" item="1120"/>
          <tpl fld="6" item="2"/>
          <tpl hier="236" item="0"/>
          <tpl fld="4" item="1"/>
        </tpls>
      </n>
      <m>
        <tpls c="4">
          <tpl fld="7" item="1110"/>
          <tpl fld="6" item="1"/>
          <tpl hier="236" item="0"/>
          <tpl fld="4" item="6"/>
        </tpls>
      </m>
      <m>
        <tpls c="4">
          <tpl fld="7" item="888"/>
          <tpl fld="6" item="2"/>
          <tpl hier="236" item="0"/>
          <tpl fld="4" item="4"/>
        </tpls>
      </m>
      <n v="3" in="1">
        <tpls c="4">
          <tpl fld="7" item="1132"/>
          <tpl fld="6" item="1"/>
          <tpl hier="236" item="0"/>
          <tpl fld="4" item="6"/>
        </tpls>
      </n>
      <m>
        <tpls c="3">
          <tpl fld="7" item="854"/>
          <tpl fld="6" item="3"/>
          <tpl hier="236" item="0"/>
        </tpls>
      </m>
      <m>
        <tpls c="4">
          <tpl fld="7" item="354"/>
          <tpl fld="6" item="1"/>
          <tpl hier="236" item="0"/>
          <tpl fld="4" item="5"/>
        </tpls>
      </m>
      <m>
        <tpls c="3">
          <tpl fld="7" item="855"/>
          <tpl fld="6" item="3"/>
          <tpl hier="236" item="0"/>
        </tpls>
      </m>
      <m>
        <tpls c="4">
          <tpl fld="7" item="751"/>
          <tpl fld="6" item="2"/>
          <tpl hier="236" item="0"/>
          <tpl fld="4" item="5"/>
        </tpls>
      </m>
      <m>
        <tpls c="4">
          <tpl fld="7" item="146"/>
          <tpl fld="6" item="2"/>
          <tpl hier="236" item="0"/>
          <tpl fld="4" item="6"/>
        </tpls>
      </m>
      <m>
        <tpls c="4">
          <tpl fld="7" item="25"/>
          <tpl fld="6" item="1"/>
          <tpl hier="236" item="0"/>
          <tpl fld="4" item="5"/>
        </tpls>
      </m>
      <n v="3" in="1">
        <tpls c="4">
          <tpl fld="7" item="678"/>
          <tpl fld="6" item="1"/>
          <tpl hier="236" item="0"/>
          <tpl fld="4" item="1"/>
        </tpls>
      </n>
      <m>
        <tpls c="4">
          <tpl fld="7" item="799"/>
          <tpl fld="6" item="1"/>
          <tpl hier="236" item="0"/>
          <tpl fld="4" item="1"/>
        </tpls>
      </m>
      <m>
        <tpls c="4">
          <tpl fld="7" item="923"/>
          <tpl fld="6" item="2"/>
          <tpl hier="236" item="0"/>
          <tpl fld="4" item="1"/>
        </tpls>
      </m>
      <m>
        <tpls c="4">
          <tpl fld="7" item="100"/>
          <tpl fld="6" item="2"/>
          <tpl hier="236" item="0"/>
          <tpl fld="4" item="5"/>
        </tpls>
      </m>
      <m>
        <tpls c="4">
          <tpl fld="7" item="467"/>
          <tpl fld="6" item="2"/>
          <tpl hier="236" item="0"/>
          <tpl fld="4" item="5"/>
        </tpls>
      </m>
      <m>
        <tpls c="4">
          <tpl fld="7" item="63"/>
          <tpl fld="6" item="2"/>
          <tpl hier="236" item="0"/>
          <tpl fld="4" item="6"/>
        </tpls>
      </m>
      <m>
        <tpls c="4">
          <tpl fld="7" item="310"/>
          <tpl fld="6" item="1"/>
          <tpl hier="236" item="0"/>
          <tpl fld="4" item="5"/>
        </tpls>
      </m>
      <m>
        <tpls c="4">
          <tpl fld="7" item="864"/>
          <tpl fld="6" item="1"/>
          <tpl hier="236" item="0"/>
          <tpl fld="4" item="1"/>
        </tpls>
      </m>
      <m>
        <tpls c="4">
          <tpl fld="7" item="271"/>
          <tpl fld="6" item="1"/>
          <tpl hier="236" item="0"/>
          <tpl fld="4" item="1"/>
        </tpls>
      </m>
      <m>
        <tpls c="4">
          <tpl fld="7" item="323"/>
          <tpl fld="6" item="1"/>
          <tpl hier="236" item="0"/>
          <tpl fld="1" item="0"/>
        </tpls>
      </m>
      <n v="0" in="1">
        <tpls c="4">
          <tpl fld="7" item="898"/>
          <tpl fld="6" item="1"/>
          <tpl hier="236" item="0"/>
          <tpl fld="4" item="6"/>
        </tpls>
      </n>
      <n v="1" in="1">
        <tpls c="4">
          <tpl fld="7" item="450"/>
          <tpl fld="6" item="1"/>
          <tpl hier="236" item="0"/>
          <tpl fld="4" item="5"/>
        </tpls>
      </n>
      <n v="2" in="1">
        <tpls c="4">
          <tpl fld="7" item="436"/>
          <tpl fld="6" item="1"/>
          <tpl hier="236" item="0"/>
          <tpl fld="1" item="0"/>
        </tpls>
      </n>
      <m>
        <tpls c="3">
          <tpl fld="7" item="328"/>
          <tpl fld="6" item="3"/>
          <tpl hier="236" item="0"/>
        </tpls>
      </m>
      <m>
        <tpls c="4">
          <tpl fld="7" item="218"/>
          <tpl fld="6" item="2"/>
          <tpl hier="236" item="0"/>
          <tpl fld="4" item="4"/>
        </tpls>
      </m>
      <m>
        <tpls c="4">
          <tpl fld="7" item="1141"/>
          <tpl fld="6" item="2"/>
          <tpl hier="236" item="0"/>
          <tpl fld="4" item="4"/>
        </tpls>
      </m>
      <m>
        <tpls c="4">
          <tpl fld="7" item="1118"/>
          <tpl fld="6" item="2"/>
          <tpl hier="236" item="0"/>
          <tpl fld="4" item="6"/>
        </tpls>
      </m>
      <m>
        <tpls c="4">
          <tpl fld="7" item="472"/>
          <tpl fld="6" item="1"/>
          <tpl hier="236" item="0"/>
          <tpl fld="4" item="1"/>
        </tpls>
      </m>
      <m>
        <tpls c="4">
          <tpl fld="7" item="481"/>
          <tpl fld="6" item="1"/>
          <tpl hier="236" item="0"/>
          <tpl fld="4" item="6"/>
        </tpls>
      </m>
      <m>
        <tpls c="4">
          <tpl fld="7" item="930"/>
          <tpl fld="6" item="2"/>
          <tpl hier="236" item="0"/>
          <tpl fld="4" item="4"/>
        </tpls>
      </m>
      <m>
        <tpls c="4">
          <tpl fld="7" item="489"/>
          <tpl fld="6" item="1"/>
          <tpl hier="236" item="0"/>
          <tpl fld="4" item="5"/>
        </tpls>
      </m>
      <n v="4" in="1">
        <tpls c="4">
          <tpl fld="7" item="998"/>
          <tpl fld="6" item="1"/>
          <tpl hier="236" item="0"/>
          <tpl fld="4" item="6"/>
        </tpls>
      </n>
      <n v="0.96621621621621623" in="2">
        <tpls c="4">
          <tpl fld="7" item="713"/>
          <tpl fld="6" item="2"/>
          <tpl hier="236" item="0"/>
          <tpl fld="1" item="0"/>
        </tpls>
      </n>
      <m>
        <tpls c="4">
          <tpl fld="7" item="1104"/>
          <tpl fld="6" item="2"/>
          <tpl hier="236" item="0"/>
          <tpl fld="4" item="5"/>
        </tpls>
      </m>
      <m>
        <tpls c="4">
          <tpl fld="7" item="877"/>
          <tpl fld="6" item="2"/>
          <tpl hier="236" item="0"/>
          <tpl fld="4" item="6"/>
        </tpls>
      </m>
      <m>
        <tpls c="4">
          <tpl fld="7" item="349"/>
          <tpl fld="6" item="1"/>
          <tpl hier="236" item="0"/>
          <tpl fld="4" item="5"/>
        </tpls>
      </m>
      <n v="0" in="1">
        <tpls c="4">
          <tpl fld="7" item="207"/>
          <tpl fld="6" item="1"/>
          <tpl hier="236" item="0"/>
          <tpl fld="4" item="1"/>
        </tpls>
      </n>
      <n v="5" in="1">
        <tpls c="4">
          <tpl fld="7" item="1286"/>
          <tpl fld="6" item="1"/>
          <tpl hier="236" item="0"/>
          <tpl fld="1" item="0"/>
        </tpls>
      </n>
      <m>
        <tpls c="4">
          <tpl fld="7" item="494"/>
          <tpl fld="6" item="1"/>
          <tpl hier="236" item="0"/>
          <tpl fld="1" item="0"/>
        </tpls>
      </m>
      <m>
        <tpls c="4">
          <tpl fld="7" item="333"/>
          <tpl fld="6" item="1"/>
          <tpl hier="236" item="0"/>
          <tpl fld="1" item="0"/>
        </tpls>
      </m>
      <m>
        <tpls c="4">
          <tpl fld="7" item="330"/>
          <tpl fld="6" item="1"/>
          <tpl hier="236" item="0"/>
          <tpl fld="4" item="6"/>
        </tpls>
      </m>
      <m>
        <tpls c="3">
          <tpl fld="7" item="238"/>
          <tpl fld="6" item="3"/>
          <tpl hier="236" item="0"/>
        </tpls>
      </m>
      <m>
        <tpls c="4">
          <tpl fld="7" item="1204"/>
          <tpl fld="6" item="2"/>
          <tpl hier="236" item="0"/>
          <tpl fld="4" item="4"/>
        </tpls>
      </m>
      <m>
        <tpls c="4">
          <tpl fld="7" item="128"/>
          <tpl fld="6" item="2"/>
          <tpl hier="236" item="0"/>
          <tpl fld="4" item="4"/>
        </tpls>
      </m>
      <n v="5" in="1">
        <tpls c="4">
          <tpl fld="7" item="651"/>
          <tpl fld="6" item="1"/>
          <tpl hier="236" item="0"/>
          <tpl fld="1" item="0"/>
        </tpls>
      </n>
      <m>
        <tpls c="4">
          <tpl fld="7" item="331"/>
          <tpl fld="6" item="2"/>
          <tpl hier="236" item="0"/>
          <tpl fld="1" item="0"/>
        </tpls>
      </m>
      <m>
        <tpls c="4">
          <tpl fld="7" item="922"/>
          <tpl fld="6" item="2"/>
          <tpl hier="236" item="0"/>
          <tpl fld="4" item="6"/>
        </tpls>
      </m>
      <m>
        <tpls c="4">
          <tpl fld="7" item="139"/>
          <tpl fld="6" item="1"/>
          <tpl hier="236" item="0"/>
          <tpl fld="4" item="1"/>
        </tpls>
      </m>
      <m>
        <tpls c="4">
          <tpl fld="7" item="276"/>
          <tpl fld="6" item="1"/>
          <tpl hier="236" item="0"/>
          <tpl fld="4" item="6"/>
        </tpls>
      </m>
      <n v="1" in="2">
        <tpls c="4">
          <tpl fld="7" item="569"/>
          <tpl fld="6" item="2"/>
          <tpl hier="236" item="0"/>
          <tpl fld="4" item="4"/>
        </tpls>
      </n>
      <m>
        <tpls c="4">
          <tpl fld="7" item="247"/>
          <tpl fld="6" item="1"/>
          <tpl hier="236" item="0"/>
          <tpl fld="4" item="5"/>
        </tpls>
      </m>
      <n v="1" in="1">
        <tpls c="4">
          <tpl fld="7" item="854"/>
          <tpl fld="6" item="1"/>
          <tpl hier="236" item="0"/>
          <tpl fld="4" item="1"/>
        </tpls>
      </n>
      <m>
        <tpls c="4">
          <tpl fld="7" item="346"/>
          <tpl fld="6" item="1"/>
          <tpl hier="236" item="0"/>
          <tpl fld="4" item="1"/>
        </tpls>
      </m>
      <m>
        <tpls c="4">
          <tpl fld="7" item="404"/>
          <tpl fld="6" item="1"/>
          <tpl hier="236" item="0"/>
          <tpl fld="4" item="1"/>
        </tpls>
      </m>
      <n v="1" in="1">
        <tpls c="4">
          <tpl fld="7" item="1006"/>
          <tpl fld="6" item="1"/>
          <tpl hier="236" item="0"/>
          <tpl fld="1" item="0"/>
        </tpls>
      </n>
      <m>
        <tpls c="4">
          <tpl fld="7" item="488"/>
          <tpl fld="6" item="1"/>
          <tpl hier="236" item="0"/>
          <tpl fld="1" item="0"/>
        </tpls>
      </m>
      <m>
        <tpls c="4">
          <tpl fld="7" item="828"/>
          <tpl fld="6" item="1"/>
          <tpl hier="236" item="0"/>
          <tpl fld="4" item="6"/>
        </tpls>
      </m>
      <n v="7" in="1">
        <tpls c="4">
          <tpl fld="7" item="1079"/>
          <tpl fld="6" item="1"/>
          <tpl hier="236" item="0"/>
          <tpl fld="4" item="4"/>
        </tpls>
      </n>
      <m>
        <tpls c="4">
          <tpl fld="7" item="1013"/>
          <tpl fld="6" item="2"/>
          <tpl hier="236" item="0"/>
          <tpl fld="4" item="6"/>
        </tpls>
      </m>
      <m>
        <tpls c="4">
          <tpl fld="7" item="411"/>
          <tpl fld="6" item="1"/>
          <tpl hier="236" item="0"/>
          <tpl fld="4" item="5"/>
        </tpls>
      </m>
      <m>
        <tpls c="4">
          <tpl fld="7" item="108"/>
          <tpl fld="6" item="1"/>
          <tpl hier="236" item="0"/>
          <tpl fld="4" item="1"/>
        </tpls>
      </m>
      <m>
        <tpls c="4">
          <tpl fld="7" item="205"/>
          <tpl fld="6" item="1"/>
          <tpl hier="236" item="0"/>
          <tpl fld="1" item="0"/>
        </tpls>
      </m>
      <m>
        <tpls c="4">
          <tpl fld="7" item="227"/>
          <tpl fld="6" item="1"/>
          <tpl hier="236" item="0"/>
          <tpl fld="4" item="6"/>
        </tpls>
      </m>
      <m>
        <tpls c="4">
          <tpl fld="7" item="1081"/>
          <tpl fld="6" item="2"/>
          <tpl hier="236" item="0"/>
          <tpl fld="4" item="4"/>
        </tpls>
      </m>
      <n v="1" in="2">
        <tpls c="4">
          <tpl fld="7" item="1101"/>
          <tpl fld="6" item="2"/>
          <tpl hier="236" item="0"/>
          <tpl fld="4" item="4"/>
        </tpls>
      </n>
      <m>
        <tpls c="4">
          <tpl fld="7" item="398"/>
          <tpl fld="6" item="2"/>
          <tpl hier="236" item="0"/>
          <tpl fld="4" item="4"/>
        </tpls>
      </m>
      <n v="1" in="1">
        <tpls c="4">
          <tpl fld="7" item="1218"/>
          <tpl fld="6" item="1"/>
          <tpl hier="236" item="0"/>
          <tpl fld="4" item="1"/>
        </tpls>
      </n>
      <m>
        <tpls c="4">
          <tpl fld="7" item="120"/>
          <tpl fld="6" item="1"/>
          <tpl hier="236" item="0"/>
          <tpl fld="4" item="6"/>
        </tpls>
      </m>
      <m>
        <tpls c="4">
          <tpl fld="7" item="1224"/>
          <tpl fld="6" item="2"/>
          <tpl hier="236" item="0"/>
          <tpl fld="4" item="4"/>
        </tpls>
      </m>
      <m>
        <tpls c="4">
          <tpl fld="7" item="1244"/>
          <tpl fld="6" item="2"/>
          <tpl hier="236" item="0"/>
          <tpl fld="4" item="1"/>
        </tpls>
      </m>
      <m>
        <tpls c="4">
          <tpl fld="7" item="67"/>
          <tpl fld="6" item="2"/>
          <tpl hier="236" item="0"/>
          <tpl fld="4" item="5"/>
        </tpls>
      </m>
      <m>
        <tpls c="4">
          <tpl fld="7" item="12"/>
          <tpl fld="6" item="2"/>
          <tpl hier="236" item="0"/>
          <tpl fld="4" item="6"/>
        </tpls>
      </m>
      <n v="1" in="1">
        <tpls c="4">
          <tpl fld="7" item="1022"/>
          <tpl fld="6" item="1"/>
          <tpl hier="236" item="0"/>
          <tpl fld="4" item="1"/>
        </tpls>
      </n>
      <n v="7" in="1">
        <tpls c="4">
          <tpl fld="7" item="453"/>
          <tpl fld="6" item="1"/>
          <tpl hier="236" item="0"/>
          <tpl fld="1" item="0"/>
        </tpls>
      </n>
      <m>
        <tpls c="4">
          <tpl fld="7" item="404"/>
          <tpl fld="6" item="1"/>
          <tpl hier="236" item="0"/>
          <tpl fld="1" item="0"/>
        </tpls>
      </m>
      <m>
        <tpls c="3">
          <tpl fld="7" item="629"/>
          <tpl fld="6" item="3"/>
          <tpl hier="236" item="0"/>
        </tpls>
      </m>
      <m>
        <tpls c="4">
          <tpl fld="7" item="944"/>
          <tpl fld="6" item="2"/>
          <tpl hier="236" item="0"/>
          <tpl fld="4" item="4"/>
        </tpls>
      </m>
      <m>
        <tpls c="4">
          <tpl fld="7" item="421"/>
          <tpl fld="6" item="2"/>
          <tpl hier="236" item="0"/>
          <tpl fld="4" item="6"/>
        </tpls>
      </m>
      <m>
        <tpls c="4">
          <tpl fld="7" item="423"/>
          <tpl fld="6" item="1"/>
          <tpl hier="236" item="0"/>
          <tpl fld="1" item="0"/>
        </tpls>
      </m>
      <n v="1" in="2">
        <tpls c="4">
          <tpl fld="7" item="434"/>
          <tpl fld="6" item="2"/>
          <tpl hier="236" item="0"/>
          <tpl fld="4" item="4"/>
        </tpls>
      </n>
      <m>
        <tpls c="4">
          <tpl fld="7" item="44"/>
          <tpl fld="6" item="2"/>
          <tpl hier="236" item="0"/>
          <tpl fld="1" item="0"/>
        </tpls>
      </m>
      <m>
        <tpls c="4">
          <tpl fld="7" item="1271"/>
          <tpl fld="6" item="2"/>
          <tpl hier="236" item="0"/>
          <tpl fld="4" item="6"/>
        </tpls>
      </m>
      <m>
        <tpls c="4">
          <tpl fld="7" item="428"/>
          <tpl fld="6" item="1"/>
          <tpl hier="236" item="0"/>
          <tpl fld="4" item="5"/>
        </tpls>
      </m>
      <m>
        <tpls c="4">
          <tpl fld="7" item="1112"/>
          <tpl fld="6" item="1"/>
          <tpl hier="236" item="0"/>
          <tpl fld="4" item="1"/>
        </tpls>
      </m>
      <m>
        <tpls c="4">
          <tpl fld="7" item="10"/>
          <tpl fld="6" item="1"/>
          <tpl hier="236" item="0"/>
          <tpl fld="4" item="1"/>
        </tpls>
      </m>
      <m>
        <tpls c="4">
          <tpl fld="7" item="317"/>
          <tpl fld="6" item="1"/>
          <tpl hier="236" item="0"/>
          <tpl fld="1" item="0"/>
        </tpls>
      </m>
      <m>
        <tpls c="4">
          <tpl fld="7" item="27"/>
          <tpl fld="6" item="1"/>
          <tpl hier="236" item="0"/>
          <tpl fld="1" item="0"/>
        </tpls>
      </m>
      <m>
        <tpls c="4">
          <tpl fld="7" item="113"/>
          <tpl fld="6" item="1"/>
          <tpl hier="236" item="0"/>
          <tpl fld="4" item="6"/>
        </tpls>
      </m>
      <m>
        <tpls c="4">
          <tpl fld="7" item="1236"/>
          <tpl fld="6" item="2"/>
          <tpl hier="236" item="0"/>
          <tpl fld="4" item="4"/>
        </tpls>
      </m>
      <m>
        <tpls c="4">
          <tpl fld="7" item="1251"/>
          <tpl fld="6" item="2"/>
          <tpl hier="236" item="0"/>
          <tpl fld="4" item="4"/>
        </tpls>
      </m>
      <m>
        <tpls c="4">
          <tpl fld="7" item="113"/>
          <tpl fld="6" item="2"/>
          <tpl hier="236" item="0"/>
          <tpl fld="4" item="4"/>
        </tpls>
      </m>
      <n v="7" in="1">
        <tpls c="4">
          <tpl fld="7" item="1061"/>
          <tpl fld="6" item="1"/>
          <tpl hier="236" item="0"/>
          <tpl fld="4" item="4"/>
        </tpls>
      </n>
      <m>
        <tpls c="4">
          <tpl fld="7" item="65"/>
          <tpl fld="6" item="2"/>
          <tpl hier="236" item="0"/>
          <tpl fld="4" item="5"/>
        </tpls>
      </m>
      <n v="5" in="1">
        <tpls c="4">
          <tpl fld="7" item="1156"/>
          <tpl fld="6" item="1"/>
          <tpl hier="236" item="0"/>
          <tpl fld="4" item="1"/>
        </tpls>
      </n>
      <m>
        <tpls c="4">
          <tpl fld="7" item="230"/>
          <tpl fld="6" item="1"/>
          <tpl hier="236" item="0"/>
          <tpl fld="1" item="0"/>
        </tpls>
      </m>
      <m>
        <tpls c="4">
          <tpl fld="7" item="1140"/>
          <tpl fld="6" item="2"/>
          <tpl hier="236" item="0"/>
          <tpl fld="4" item="4"/>
        </tpls>
      </m>
      <m>
        <tpls c="4">
          <tpl fld="7" item="9"/>
          <tpl fld="6" item="2"/>
          <tpl hier="236" item="0"/>
          <tpl fld="4" item="6"/>
        </tpls>
      </m>
      <m>
        <tpls c="3">
          <tpl fld="7" item="546"/>
          <tpl fld="6" item="3"/>
          <tpl hier="236" item="0"/>
        </tpls>
      </m>
      <n v="1" in="1">
        <tpls c="4">
          <tpl fld="7" item="662"/>
          <tpl fld="6" item="1"/>
          <tpl hier="236" item="0"/>
          <tpl fld="4" item="1"/>
        </tpls>
      </n>
      <n v="5" in="1">
        <tpls c="4">
          <tpl fld="7" item="938"/>
          <tpl fld="6" item="1"/>
          <tpl hier="236" item="0"/>
          <tpl fld="4" item="4"/>
        </tpls>
      </n>
      <m>
        <tpls c="4">
          <tpl fld="7" item="587"/>
          <tpl fld="6" item="2"/>
          <tpl hier="236" item="0"/>
          <tpl fld="1" item="0"/>
        </tpls>
      </m>
      <m>
        <tpls c="3">
          <tpl fld="7" item="904"/>
          <tpl fld="6" item="3"/>
          <tpl hier="236" item="0"/>
        </tpls>
      </m>
      <m>
        <tpls c="4">
          <tpl fld="7" item="511"/>
          <tpl fld="6" item="2"/>
          <tpl hier="236" item="0"/>
          <tpl fld="1" item="0"/>
        </tpls>
      </m>
      <m>
        <tpls c="4">
          <tpl fld="7" item="1262"/>
          <tpl fld="6" item="1"/>
          <tpl hier="236" item="0"/>
          <tpl fld="4" item="4"/>
        </tpls>
      </m>
      <n v="1" in="2">
        <tpls c="4">
          <tpl fld="7" item="443"/>
          <tpl fld="6" item="2"/>
          <tpl hier="236" item="0"/>
          <tpl fld="4" item="6"/>
        </tpls>
      </n>
      <m>
        <tpls c="4">
          <tpl fld="7" item="921"/>
          <tpl fld="6" item="1"/>
          <tpl hier="236" item="0"/>
          <tpl fld="4" item="1"/>
        </tpls>
      </m>
      <m>
        <tpls c="4">
          <tpl fld="7" item="1130"/>
          <tpl fld="6" item="1"/>
          <tpl hier="236" item="0"/>
          <tpl fld="4" item="6"/>
        </tpls>
      </m>
      <m>
        <tpls c="4">
          <tpl fld="7" item="499"/>
          <tpl fld="6" item="2"/>
          <tpl hier="236" item="0"/>
          <tpl fld="4" item="5"/>
        </tpls>
      </m>
      <m>
        <tpls c="4">
          <tpl fld="7" item="128"/>
          <tpl fld="6" item="2"/>
          <tpl hier="236" item="0"/>
          <tpl fld="4" item="5"/>
        </tpls>
      </m>
      <m>
        <tpls c="4">
          <tpl fld="7" item="297"/>
          <tpl fld="6" item="2"/>
          <tpl hier="236" item="0"/>
          <tpl fld="4" item="6"/>
        </tpls>
      </m>
      <m>
        <tpls c="4">
          <tpl fld="7" item="506"/>
          <tpl fld="6" item="1"/>
          <tpl hier="236" item="0"/>
          <tpl fld="4" item="5"/>
        </tpls>
      </m>
      <n v="1" in="1">
        <tpls c="4">
          <tpl fld="7" item="1210"/>
          <tpl fld="6" item="1"/>
          <tpl hier="236" item="0"/>
          <tpl fld="4" item="1"/>
        </tpls>
      </n>
      <n v="5" in="1">
        <tpls c="4">
          <tpl fld="7" item="683"/>
          <tpl fld="6" item="1"/>
          <tpl hier="236" item="0"/>
          <tpl fld="4" item="1"/>
        </tpls>
      </n>
      <m>
        <tpls c="4">
          <tpl fld="7" item="482"/>
          <tpl fld="6" item="1"/>
          <tpl hier="236" item="0"/>
          <tpl fld="4" item="1"/>
        </tpls>
      </m>
      <n v="2" in="1">
        <tpls c="4">
          <tpl fld="7" item="573"/>
          <tpl fld="6" item="1"/>
          <tpl hier="236" item="0"/>
          <tpl fld="4" item="5"/>
        </tpls>
      </n>
      <n v="2" in="1">
        <tpls c="4">
          <tpl fld="7" item="1010"/>
          <tpl fld="6" item="1"/>
          <tpl hier="236" item="0"/>
          <tpl fld="4" item="6"/>
        </tpls>
      </n>
      <m>
        <tpls c="4">
          <tpl fld="7" item="301"/>
          <tpl fld="6" item="2"/>
          <tpl hier="236" item="0"/>
          <tpl fld="1" item="0"/>
        </tpls>
      </m>
      <m>
        <tpls c="4">
          <tpl fld="7" item="1242"/>
          <tpl fld="6" item="2"/>
          <tpl hier="236" item="0"/>
          <tpl fld="4" item="5"/>
        </tpls>
      </m>
      <m>
        <tpls c="4">
          <tpl fld="7" item="339"/>
          <tpl fld="6" item="2"/>
          <tpl hier="236" item="0"/>
          <tpl fld="4" item="5"/>
        </tpls>
      </m>
      <m>
        <tpls c="4">
          <tpl fld="7" item="843"/>
          <tpl fld="6" item="2"/>
          <tpl hier="236" item="0"/>
          <tpl fld="4" item="6"/>
        </tpls>
      </m>
      <m>
        <tpls c="4">
          <tpl fld="7" item="980"/>
          <tpl fld="6" item="2"/>
          <tpl hier="236" item="0"/>
          <tpl fld="4" item="6"/>
        </tpls>
      </m>
      <m>
        <tpls c="4">
          <tpl fld="7" item="1216"/>
          <tpl fld="6" item="1"/>
          <tpl hier="236" item="0"/>
          <tpl fld="4" item="5"/>
        </tpls>
      </m>
      <m>
        <tpls c="4">
          <tpl fld="7" item="341"/>
          <tpl fld="6" item="1"/>
          <tpl hier="236" item="0"/>
          <tpl fld="4" item="5"/>
        </tpls>
      </m>
      <n v="6" in="1">
        <tpls c="4">
          <tpl fld="7" item="873"/>
          <tpl fld="6" item="1"/>
          <tpl hier="236" item="0"/>
          <tpl fld="4" item="1"/>
        </tpls>
      </n>
      <m>
        <tpls c="4">
          <tpl fld="7" item="315"/>
          <tpl fld="6" item="1"/>
          <tpl hier="236" item="0"/>
          <tpl fld="4" item="1"/>
        </tpls>
      </m>
      <m>
        <tpls c="4">
          <tpl fld="7" item="23"/>
          <tpl fld="6" item="1"/>
          <tpl hier="236" item="0"/>
          <tpl fld="4" item="1"/>
        </tpls>
      </m>
      <n v="4" in="1">
        <tpls c="4">
          <tpl fld="7" item="761"/>
          <tpl fld="6" item="1"/>
          <tpl hier="236" item="0"/>
          <tpl fld="1" item="0"/>
        </tpls>
      </n>
      <m>
        <tpls c="4">
          <tpl fld="7" item="399"/>
          <tpl fld="6" item="1"/>
          <tpl hier="236" item="0"/>
          <tpl fld="1" item="0"/>
        </tpls>
      </m>
      <m>
        <tpls c="4">
          <tpl fld="7" item="276"/>
          <tpl fld="6" item="2"/>
          <tpl hier="236" item="0"/>
          <tpl fld="1" item="0"/>
        </tpls>
      </m>
      <m>
        <tpls c="4">
          <tpl fld="7" item="347"/>
          <tpl fld="6" item="2"/>
          <tpl hier="236" item="0"/>
          <tpl fld="4" item="6"/>
        </tpls>
      </m>
      <m>
        <tpls c="4">
          <tpl fld="7" item="356"/>
          <tpl fld="6" item="1"/>
          <tpl hier="236" item="0"/>
          <tpl fld="4" item="1"/>
        </tpls>
      </m>
      <m>
        <tpls c="4">
          <tpl fld="7" item="213"/>
          <tpl fld="6" item="1"/>
          <tpl hier="236" item="0"/>
          <tpl fld="1" item="0"/>
        </tpls>
      </m>
      <m>
        <tpls c="4">
          <tpl fld="7" item="121"/>
          <tpl fld="6" item="1"/>
          <tpl hier="236" item="0"/>
          <tpl fld="4" item="6"/>
        </tpls>
      </m>
      <m>
        <tpls c="4">
          <tpl fld="7" item="1047"/>
          <tpl fld="6" item="2"/>
          <tpl hier="236" item="0"/>
          <tpl fld="4" item="4"/>
        </tpls>
      </m>
      <m>
        <tpls c="4">
          <tpl fld="7" item="256"/>
          <tpl fld="6" item="2"/>
          <tpl hier="236" item="0"/>
          <tpl fld="4" item="6"/>
        </tpls>
      </m>
      <m>
        <tpls c="4">
          <tpl fld="7" item="229"/>
          <tpl fld="6" item="1"/>
          <tpl hier="236" item="0"/>
          <tpl fld="4" item="6"/>
        </tpls>
      </m>
      <m>
        <tpls c="4">
          <tpl fld="7" item="313"/>
          <tpl fld="6" item="2"/>
          <tpl hier="236" item="0"/>
          <tpl fld="1" item="0"/>
        </tpls>
      </m>
      <m>
        <tpls c="4">
          <tpl fld="7" item="487"/>
          <tpl fld="6" item="2"/>
          <tpl hier="236" item="0"/>
          <tpl fld="4" item="6"/>
        </tpls>
      </m>
      <n v="5" in="1">
        <tpls c="4">
          <tpl fld="7" item="1016"/>
          <tpl fld="6" item="1"/>
          <tpl hier="236" item="0"/>
          <tpl fld="4" item="1"/>
        </tpls>
      </n>
      <n v="0" in="1">
        <tpls c="4">
          <tpl fld="7" item="320"/>
          <tpl fld="6" item="1"/>
          <tpl hier="236" item="0"/>
          <tpl fld="1" item="0"/>
        </tpls>
      </n>
      <m>
        <tpls c="4">
          <tpl fld="7" item="24"/>
          <tpl fld="6" item="1"/>
          <tpl hier="236" item="0"/>
          <tpl fld="4" item="6"/>
        </tpls>
      </m>
      <m>
        <tpls c="4">
          <tpl fld="7" item="950"/>
          <tpl fld="6" item="2"/>
          <tpl hier="236" item="0"/>
          <tpl fld="4" item="4"/>
        </tpls>
      </m>
      <n v="1" in="1">
        <tpls c="4">
          <tpl fld="7" item="1193"/>
          <tpl fld="6" item="1"/>
          <tpl hier="236" item="0"/>
          <tpl fld="4" item="1"/>
        </tpls>
      </n>
      <m>
        <tpls c="3">
          <tpl fld="7" item="133"/>
          <tpl fld="6" item="3"/>
          <tpl hier="236" item="0"/>
        </tpls>
      </m>
      <m>
        <tpls c="4">
          <tpl fld="7" item="1043"/>
          <tpl fld="6" item="1"/>
          <tpl hier="236" item="0"/>
          <tpl fld="4" item="4"/>
        </tpls>
      </m>
      <m>
        <tpls c="4">
          <tpl fld="7" item="674"/>
          <tpl fld="6" item="2"/>
          <tpl hier="236" item="0"/>
          <tpl fld="4" item="6"/>
        </tpls>
      </m>
      <m>
        <tpls c="4">
          <tpl fld="7" item="173"/>
          <tpl fld="6" item="1"/>
          <tpl hier="236" item="0"/>
          <tpl fld="4" item="5"/>
        </tpls>
      </m>
      <m>
        <tpls c="4">
          <tpl fld="7" item="65"/>
          <tpl fld="6" item="1"/>
          <tpl hier="236" item="0"/>
          <tpl fld="4" item="1"/>
        </tpls>
      </m>
      <m>
        <tpls c="4">
          <tpl fld="7" item="498"/>
          <tpl fld="6" item="1"/>
          <tpl hier="236" item="0"/>
          <tpl fld="1" item="0"/>
        </tpls>
      </m>
      <m>
        <tpls c="4">
          <tpl fld="7" item="18"/>
          <tpl fld="6" item="1"/>
          <tpl hier="236" item="0"/>
          <tpl fld="1" item="0"/>
        </tpls>
      </m>
      <m>
        <tpls c="3">
          <tpl fld="7" item="664"/>
          <tpl fld="6" item="3"/>
          <tpl hier="236" item="0"/>
        </tpls>
      </m>
      <m>
        <tpls c="4">
          <tpl fld="7" item="1206"/>
          <tpl fld="6" item="2"/>
          <tpl hier="236" item="0"/>
          <tpl fld="4" item="4"/>
        </tpls>
      </m>
      <m>
        <tpls c="4">
          <tpl fld="7" item="751"/>
          <tpl fld="6" item="2"/>
          <tpl hier="236" item="0"/>
          <tpl fld="4" item="4"/>
        </tpls>
      </m>
      <m>
        <tpls c="4">
          <tpl fld="7" item="1191"/>
          <tpl fld="6" item="2"/>
          <tpl hier="236" item="0"/>
          <tpl fld="4" item="1"/>
        </tpls>
      </m>
      <m>
        <tpls c="4">
          <tpl fld="7" item="156"/>
          <tpl fld="6" item="2"/>
          <tpl hier="236" item="0"/>
          <tpl fld="4" item="5"/>
        </tpls>
      </m>
      <m>
        <tpls c="4">
          <tpl fld="7" item="64"/>
          <tpl fld="6" item="1"/>
          <tpl hier="236" item="0"/>
          <tpl fld="4" item="1"/>
        </tpls>
      </m>
      <m>
        <tpls c="4">
          <tpl fld="7" item="19"/>
          <tpl fld="6" item="1"/>
          <tpl hier="236" item="0"/>
          <tpl fld="4" item="6"/>
        </tpls>
      </m>
      <m>
        <tpls c="3">
          <tpl fld="7" item="229"/>
          <tpl fld="6" item="3"/>
          <tpl hier="236" item="0"/>
        </tpls>
      </m>
      <n v="1" in="1">
        <tpls c="4">
          <tpl fld="7" item="867"/>
          <tpl fld="6" item="1"/>
          <tpl hier="236" item="0"/>
          <tpl fld="4" item="4"/>
        </tpls>
      </n>
      <m>
        <tpls c="4">
          <tpl fld="7" item="1121"/>
          <tpl fld="6" item="2"/>
          <tpl hier="236" item="0"/>
          <tpl fld="1" item="0"/>
        </tpls>
      </m>
      <n v="1" in="1">
        <tpls c="4">
          <tpl fld="7" item="1035"/>
          <tpl fld="6" item="1"/>
          <tpl hier="236" item="0"/>
          <tpl fld="4" item="1"/>
        </tpls>
      </n>
      <m>
        <tpls c="4">
          <tpl fld="7" item="228"/>
          <tpl fld="6" item="2"/>
          <tpl hier="236" item="0"/>
          <tpl fld="1" item="0"/>
        </tpls>
      </m>
      <m>
        <tpls c="4">
          <tpl fld="7" item="1018"/>
          <tpl fld="6" item="1"/>
          <tpl hier="236" item="0"/>
          <tpl fld="4" item="5"/>
        </tpls>
      </m>
      <m>
        <tpls c="4">
          <tpl fld="7" item="950"/>
          <tpl fld="6" item="1"/>
          <tpl hier="236" item="0"/>
          <tpl fld="4" item="1"/>
        </tpls>
      </m>
      <m>
        <tpls c="4">
          <tpl fld="7" item="649"/>
          <tpl fld="6" item="2"/>
          <tpl hier="236" item="0"/>
          <tpl fld="1" item="0"/>
        </tpls>
      </m>
      <m>
        <tpls c="4">
          <tpl fld="7" item="1080"/>
          <tpl fld="6" item="2"/>
          <tpl hier="236" item="0"/>
          <tpl fld="1" item="0"/>
        </tpls>
      </m>
      <m>
        <tpls c="4">
          <tpl fld="7" item="847"/>
          <tpl fld="6" item="2"/>
          <tpl hier="236" item="0"/>
          <tpl fld="4" item="6"/>
        </tpls>
      </m>
      <m>
        <tpls c="4">
          <tpl fld="7" item="123"/>
          <tpl fld="6" item="2"/>
          <tpl hier="236" item="0"/>
          <tpl fld="4" item="6"/>
        </tpls>
      </m>
      <m>
        <tpls c="4">
          <tpl fld="7" item="832"/>
          <tpl fld="6" item="1"/>
          <tpl hier="236" item="0"/>
          <tpl fld="4" item="1"/>
        </tpls>
      </m>
      <m>
        <tpls c="4">
          <tpl fld="7" item="13"/>
          <tpl fld="6" item="1"/>
          <tpl hier="236" item="0"/>
          <tpl fld="4" item="1"/>
        </tpls>
      </m>
      <m>
        <tpls c="4">
          <tpl fld="7" item="330"/>
          <tpl fld="6" item="2"/>
          <tpl hier="236" item="0"/>
          <tpl fld="1" item="0"/>
        </tpls>
      </m>
      <m>
        <tpls c="4">
          <tpl fld="7" item="1163"/>
          <tpl fld="6" item="1"/>
          <tpl hier="236" item="0"/>
          <tpl fld="4" item="1"/>
        </tpls>
      </m>
      <m>
        <tpls c="4">
          <tpl fld="7" item="415"/>
          <tpl fld="6" item="1"/>
          <tpl hier="236" item="0"/>
          <tpl fld="1" item="0"/>
        </tpls>
      </m>
      <m>
        <tpls c="4">
          <tpl fld="7" item="1286"/>
          <tpl fld="6" item="1"/>
          <tpl hier="236" item="0"/>
          <tpl fld="4" item="1"/>
        </tpls>
      </m>
      <m>
        <tpls c="4">
          <tpl fld="7" item="809"/>
          <tpl fld="6" item="1"/>
          <tpl hier="236" item="0"/>
          <tpl fld="4" item="4"/>
        </tpls>
      </m>
      <n v="3" in="1">
        <tpls c="4">
          <tpl fld="7" item="457"/>
          <tpl fld="6" item="1"/>
          <tpl hier="236" item="0"/>
          <tpl fld="1" item="0"/>
        </tpls>
      </n>
      <m>
        <tpls c="3">
          <tpl fld="7" item="665"/>
          <tpl fld="6" item="3"/>
          <tpl hier="236" item="0"/>
        </tpls>
      </m>
      <m>
        <tpls c="4">
          <tpl fld="7" item="826"/>
          <tpl fld="6" item="2"/>
          <tpl hier="236" item="0"/>
          <tpl fld="4" item="4"/>
        </tpls>
      </m>
      <m>
        <tpls c="4">
          <tpl fld="7" item="11"/>
          <tpl fld="6" item="1"/>
          <tpl hier="236" item="0"/>
          <tpl fld="4" item="6"/>
        </tpls>
      </m>
      <m>
        <tpls c="4">
          <tpl fld="7" item="890"/>
          <tpl fld="6" item="1"/>
          <tpl hier="236" item="0"/>
          <tpl fld="4" item="5"/>
        </tpls>
      </m>
      <m>
        <tpls c="4">
          <tpl fld="7" item="1083"/>
          <tpl fld="6" item="2"/>
          <tpl hier="236" item="0"/>
          <tpl fld="4" item="6"/>
        </tpls>
      </m>
      <m>
        <tpls c="4">
          <tpl fld="7" item="185"/>
          <tpl fld="6" item="1"/>
          <tpl hier="236" item="0"/>
          <tpl fld="4" item="5"/>
        </tpls>
      </m>
      <n v="3" in="1">
        <tpls c="4">
          <tpl fld="7" item="366"/>
          <tpl fld="6" item="1"/>
          <tpl hier="236" item="0"/>
          <tpl fld="4" item="1"/>
        </tpls>
      </n>
      <m>
        <tpls c="4">
          <tpl fld="7" item="102"/>
          <tpl fld="6" item="1"/>
          <tpl hier="236" item="0"/>
          <tpl fld="1" item="0"/>
        </tpls>
      </m>
      <m>
        <tpls c="4">
          <tpl fld="7" item="33"/>
          <tpl fld="6" item="1"/>
          <tpl hier="236" item="0"/>
          <tpl fld="1" item="0"/>
        </tpls>
      </m>
      <m>
        <tpls c="4">
          <tpl fld="7" item="117"/>
          <tpl fld="6" item="1"/>
          <tpl hier="236" item="0"/>
          <tpl fld="4" item="6"/>
        </tpls>
      </m>
      <m>
        <tpls c="4">
          <tpl fld="7" item="1254"/>
          <tpl fld="6" item="2"/>
          <tpl hier="236" item="0"/>
          <tpl fld="4" item="4"/>
        </tpls>
      </m>
      <m>
        <tpls c="4">
          <tpl fld="7" item="400"/>
          <tpl fld="6" item="2"/>
          <tpl hier="236" item="0"/>
          <tpl fld="4" item="4"/>
        </tpls>
      </m>
      <m>
        <tpls c="4">
          <tpl fld="7" item="738"/>
          <tpl fld="6" item="2"/>
          <tpl hier="236" item="0"/>
          <tpl fld="4" item="6"/>
        </tpls>
      </m>
      <m>
        <tpls c="4">
          <tpl fld="7" item="762"/>
          <tpl fld="6" item="2"/>
          <tpl hier="236" item="0"/>
          <tpl fld="4" item="6"/>
        </tpls>
      </m>
      <m>
        <tpls c="4">
          <tpl fld="7" item="1222"/>
          <tpl fld="6" item="1"/>
          <tpl hier="236" item="0"/>
          <tpl fld="1" item="0"/>
        </tpls>
      </m>
      <m>
        <tpls c="4">
          <tpl fld="7" item="13"/>
          <tpl fld="6" item="1"/>
          <tpl hier="236" item="0"/>
          <tpl fld="4" item="6"/>
        </tpls>
      </m>
      <m>
        <tpls c="4">
          <tpl fld="7" item="138"/>
          <tpl fld="6" item="1"/>
          <tpl hier="236" item="0"/>
          <tpl fld="4" item="5"/>
        </tpls>
      </m>
      <n v="2" in="1">
        <tpls c="4">
          <tpl fld="7" item="846"/>
          <tpl fld="6" item="1"/>
          <tpl hier="236" item="0"/>
          <tpl fld="4" item="1"/>
        </tpls>
      </n>
      <m>
        <tpls c="4">
          <tpl fld="7" item="96"/>
          <tpl fld="6" item="1"/>
          <tpl hier="236" item="0"/>
          <tpl fld="4" item="1"/>
        </tpls>
      </m>
      <m>
        <tpls c="4">
          <tpl fld="7" item="1000"/>
          <tpl fld="6" item="1"/>
          <tpl hier="236" item="0"/>
          <tpl fld="1" item="0"/>
        </tpls>
      </m>
      <m>
        <tpls c="4">
          <tpl fld="7" item="188"/>
          <tpl fld="6" item="1"/>
          <tpl hier="236" item="0"/>
          <tpl fld="1" item="0"/>
        </tpls>
      </m>
      <m>
        <tpls c="4">
          <tpl fld="7" item="68"/>
          <tpl fld="6" item="2"/>
          <tpl hier="236" item="0"/>
          <tpl fld="1" item="0"/>
        </tpls>
      </m>
      <m>
        <tpls c="4">
          <tpl fld="7" item="680"/>
          <tpl fld="6" item="2"/>
          <tpl hier="236" item="0"/>
          <tpl fld="4" item="6"/>
        </tpls>
      </m>
      <m>
        <tpls c="4">
          <tpl fld="7" item="589"/>
          <tpl fld="6" item="1"/>
          <tpl hier="236" item="0"/>
          <tpl fld="4" item="5"/>
        </tpls>
      </m>
      <m>
        <tpls c="4">
          <tpl fld="7" item="303"/>
          <tpl fld="6" item="1"/>
          <tpl hier="236" item="0"/>
          <tpl fld="1" item="0"/>
        </tpls>
      </m>
      <m>
        <tpls c="4">
          <tpl fld="7" item="469"/>
          <tpl fld="6" item="1"/>
          <tpl hier="236" item="0"/>
          <tpl fld="4" item="6"/>
        </tpls>
      </m>
      <m>
        <tpls c="4">
          <tpl fld="7" item="278"/>
          <tpl fld="6" item="2"/>
          <tpl hier="236" item="0"/>
          <tpl fld="4" item="4"/>
        </tpls>
      </m>
      <m>
        <tpls c="4">
          <tpl fld="7" item="84"/>
          <tpl fld="6" item="2"/>
          <tpl hier="236" item="0"/>
          <tpl fld="1" item="0"/>
        </tpls>
      </m>
      <m>
        <tpls c="4">
          <tpl fld="7" item="326"/>
          <tpl fld="6" item="1"/>
          <tpl hier="236" item="0"/>
          <tpl fld="4" item="6"/>
        </tpls>
      </m>
      <m>
        <tpls c="4">
          <tpl fld="7" item="23"/>
          <tpl fld="6" item="2"/>
          <tpl hier="236" item="0"/>
          <tpl fld="4" item="4"/>
        </tpls>
      </m>
      <m>
        <tpls c="4">
          <tpl fld="7" item="146"/>
          <tpl fld="6" item="2"/>
          <tpl hier="236" item="0"/>
          <tpl fld="4" item="5"/>
        </tpls>
      </m>
      <m>
        <tpls c="4">
          <tpl fld="7" item="841"/>
          <tpl fld="6" item="1"/>
          <tpl hier="236" item="0"/>
          <tpl fld="4" item="5"/>
        </tpls>
      </m>
      <n v="16" in="1">
        <tpls c="4">
          <tpl fld="7" item="361"/>
          <tpl fld="6" item="1"/>
          <tpl hier="236" item="0"/>
          <tpl fld="1" item="0"/>
        </tpls>
      </n>
      <m>
        <tpls c="4">
          <tpl fld="7" item="232"/>
          <tpl fld="6" item="1"/>
          <tpl hier="236" item="0"/>
          <tpl fld="1" item="0"/>
        </tpls>
      </m>
      <m>
        <tpls c="3">
          <tpl fld="7" item="470"/>
          <tpl fld="6" item="3"/>
          <tpl hier="236" item="0"/>
        </tpls>
      </m>
      <m>
        <tpls c="4">
          <tpl fld="7" item="851"/>
          <tpl fld="6" item="1"/>
          <tpl hier="236" item="0"/>
          <tpl fld="4" item="5"/>
        </tpls>
      </m>
      <m>
        <tpls c="4">
          <tpl fld="7" item="411"/>
          <tpl fld="6" item="1"/>
          <tpl hier="236" item="0"/>
          <tpl fld="4" item="6"/>
        </tpls>
      </m>
      <m>
        <tpls c="4">
          <tpl fld="7" item="888"/>
          <tpl fld="6" item="1"/>
          <tpl hier="236" item="0"/>
          <tpl fld="4" item="5"/>
        </tpls>
      </m>
      <m>
        <tpls c="4">
          <tpl fld="7" item="191"/>
          <tpl fld="6" item="2"/>
          <tpl hier="236" item="0"/>
          <tpl fld="4" item="6"/>
        </tpls>
      </m>
      <m>
        <tpls c="4">
          <tpl fld="7" item="181"/>
          <tpl fld="6" item="1"/>
          <tpl hier="236" item="0"/>
          <tpl fld="4" item="5"/>
        </tpls>
      </m>
      <n v="1" in="1">
        <tpls c="4">
          <tpl fld="7" item="1218"/>
          <tpl fld="6" item="1"/>
          <tpl hier="236" item="0"/>
          <tpl fld="1" item="0"/>
        </tpls>
      </n>
      <m>
        <tpls c="4">
          <tpl fld="7" item="86"/>
          <tpl fld="6" item="1"/>
          <tpl hier="236" item="0"/>
          <tpl fld="1" item="0"/>
        </tpls>
      </m>
      <m>
        <tpls c="3">
          <tpl fld="7" item="570"/>
          <tpl fld="6" item="3"/>
          <tpl hier="236" item="0"/>
        </tpls>
      </m>
      <m>
        <tpls c="4">
          <tpl fld="7" item="1259"/>
          <tpl fld="6" item="2"/>
          <tpl hier="236" item="0"/>
          <tpl fld="4" item="4"/>
        </tpls>
      </m>
      <m>
        <tpls c="4">
          <tpl fld="7" item="747"/>
          <tpl fld="6" item="2"/>
          <tpl hier="236" item="0"/>
          <tpl fld="4" item="4"/>
        </tpls>
      </m>
      <m>
        <tpls c="4">
          <tpl fld="7" item="1003"/>
          <tpl fld="6" item="2"/>
          <tpl hier="236" item="0"/>
          <tpl fld="1" item="0"/>
        </tpls>
      </m>
      <m>
        <tpls c="4">
          <tpl fld="7" item="229"/>
          <tpl fld="6" item="2"/>
          <tpl hier="236" item="0"/>
          <tpl fld="4" item="5"/>
        </tpls>
      </m>
      <m>
        <tpls c="4">
          <tpl fld="7" item="223"/>
          <tpl fld="6" item="1"/>
          <tpl hier="236" item="0"/>
          <tpl fld="4" item="6"/>
        </tpls>
      </m>
      <m>
        <tpls c="4">
          <tpl fld="7" item="132"/>
          <tpl fld="6" item="2"/>
          <tpl hier="236" item="0"/>
          <tpl fld="4" item="4"/>
        </tpls>
      </m>
      <m>
        <tpls c="3">
          <tpl fld="7" item="786"/>
          <tpl fld="6" item="3"/>
          <tpl hier="236" item="0"/>
        </tpls>
      </m>
      <m>
        <tpls c="4">
          <tpl fld="7" item="1103"/>
          <tpl fld="6" item="2"/>
          <tpl hier="236" item="0"/>
          <tpl fld="4" item="1"/>
        </tpls>
      </m>
      <m>
        <tpls c="4">
          <tpl fld="7" item="307"/>
          <tpl fld="6" item="2"/>
          <tpl hier="236" item="0"/>
          <tpl fld="1" item="0"/>
        </tpls>
      </m>
      <m>
        <tpls c="4">
          <tpl fld="7" item="1120"/>
          <tpl fld="6" item="1"/>
          <tpl hier="236" item="0"/>
          <tpl fld="4" item="6"/>
        </tpls>
      </m>
      <m>
        <tpls c="4">
          <tpl fld="7" item="1286"/>
          <tpl fld="6" item="2"/>
          <tpl hier="236" item="0"/>
          <tpl fld="4" item="5"/>
        </tpls>
      </m>
      <m>
        <tpls c="4">
          <tpl fld="7" item="397"/>
          <tpl fld="6" item="2"/>
          <tpl hier="236" item="0"/>
          <tpl fld="1" item="0"/>
        </tpls>
      </m>
      <m>
        <tpls c="4">
          <tpl fld="7" item="273"/>
          <tpl fld="6" item="1"/>
          <tpl hier="236" item="0"/>
          <tpl fld="4" item="1"/>
        </tpls>
      </m>
      <m>
        <tpls c="4">
          <tpl fld="7" item="273"/>
          <tpl fld="6" item="2"/>
          <tpl hier="236" item="0"/>
          <tpl fld="1" item="0"/>
        </tpls>
      </m>
      <m>
        <tpls c="4">
          <tpl fld="7" item="1008"/>
          <tpl fld="6" item="2"/>
          <tpl hier="236" item="0"/>
          <tpl fld="4" item="6"/>
        </tpls>
      </m>
      <m>
        <tpls c="4">
          <tpl fld="7" item="404"/>
          <tpl fld="6" item="2"/>
          <tpl hier="236" item="0"/>
          <tpl fld="4" item="6"/>
        </tpls>
      </m>
      <n v="0" in="1">
        <tpls c="4">
          <tpl fld="7" item="938"/>
          <tpl fld="6" item="1"/>
          <tpl hier="236" item="0"/>
          <tpl fld="4" item="1"/>
        </tpls>
      </n>
      <n v="6" in="1">
        <tpls c="4">
          <tpl fld="7" item="681"/>
          <tpl fld="6" item="1"/>
          <tpl hier="236" item="0"/>
          <tpl fld="4" item="1"/>
        </tpls>
      </n>
      <m>
        <tpls c="4">
          <tpl fld="7" item="268"/>
          <tpl fld="6" item="1"/>
          <tpl hier="236" item="0"/>
          <tpl fld="4" item="1"/>
        </tpls>
      </m>
      <m>
        <tpls c="4">
          <tpl fld="7" item="1195"/>
          <tpl fld="6" item="2"/>
          <tpl hier="236" item="0"/>
          <tpl fld="4" item="4"/>
        </tpls>
      </m>
      <m>
        <tpls c="4">
          <tpl fld="7" item="73"/>
          <tpl fld="6" item="2"/>
          <tpl hier="236" item="0"/>
          <tpl fld="1" item="0"/>
        </tpls>
      </m>
      <m>
        <tpls c="4">
          <tpl fld="7" item="334"/>
          <tpl fld="6" item="2"/>
          <tpl hier="236" item="0"/>
          <tpl fld="4" item="5"/>
        </tpls>
      </m>
      <m>
        <tpls c="4">
          <tpl fld="7" item="525"/>
          <tpl fld="6" item="2"/>
          <tpl hier="236" item="0"/>
          <tpl fld="4" item="6"/>
        </tpls>
      </m>
      <m>
        <tpls c="4">
          <tpl fld="7" item="680"/>
          <tpl fld="6" item="1"/>
          <tpl hier="236" item="0"/>
          <tpl fld="4" item="5"/>
        </tpls>
      </m>
      <m>
        <tpls c="4">
          <tpl fld="7" item="39"/>
          <tpl fld="6" item="1"/>
          <tpl hier="236" item="0"/>
          <tpl fld="4" item="5"/>
        </tpls>
      </m>
      <n v="0" in="1">
        <tpls c="4">
          <tpl fld="7" item="185"/>
          <tpl fld="6" item="1"/>
          <tpl hier="236" item="0"/>
          <tpl fld="4" item="1"/>
        </tpls>
      </n>
      <n v="0" in="1">
        <tpls c="4">
          <tpl fld="7" item="123"/>
          <tpl fld="6" item="1"/>
          <tpl hier="236" item="0"/>
          <tpl fld="4" item="1"/>
        </tpls>
      </n>
      <m>
        <tpls c="4">
          <tpl fld="7" item="419"/>
          <tpl fld="6" item="1"/>
          <tpl hier="236" item="0"/>
          <tpl fld="1" item="0"/>
        </tpls>
      </m>
      <m>
        <tpls c="4">
          <tpl fld="7" item="382"/>
          <tpl fld="6" item="2"/>
          <tpl hier="236" item="0"/>
          <tpl fld="4" item="5"/>
        </tpls>
      </m>
      <m>
        <tpls c="4">
          <tpl fld="7" item="434"/>
          <tpl fld="6" item="1"/>
          <tpl hier="236" item="0"/>
          <tpl fld="4" item="5"/>
        </tpls>
      </m>
      <m>
        <tpls c="4">
          <tpl fld="7" item="300"/>
          <tpl fld="6" item="1"/>
          <tpl hier="236" item="0"/>
          <tpl fld="1" item="0"/>
        </tpls>
      </m>
      <m>
        <tpls c="3">
          <tpl fld="7" item="60"/>
          <tpl fld="6" item="3"/>
          <tpl hier="236" item="0"/>
        </tpls>
      </m>
      <n v="5" in="1">
        <tpls c="4">
          <tpl fld="7" item="381"/>
          <tpl fld="6" item="1"/>
          <tpl hier="236" item="0"/>
          <tpl fld="4" item="1"/>
        </tpls>
      </n>
      <m>
        <tpls c="4">
          <tpl fld="7" item="1153"/>
          <tpl fld="6" item="2"/>
          <tpl hier="236" item="0"/>
          <tpl fld="4" item="4"/>
        </tpls>
      </m>
      <m>
        <tpls c="4">
          <tpl fld="7" item="865"/>
          <tpl fld="6" item="1"/>
          <tpl hier="236" item="0"/>
          <tpl fld="4" item="5"/>
        </tpls>
      </m>
      <m>
        <tpls c="4">
          <tpl fld="7" item="149"/>
          <tpl fld="6" item="1"/>
          <tpl hier="236" item="0"/>
          <tpl fld="4" item="1"/>
        </tpls>
      </m>
      <m>
        <tpls c="4">
          <tpl fld="7" item="82"/>
          <tpl fld="6" item="1"/>
          <tpl hier="236" item="0"/>
          <tpl fld="1" item="0"/>
        </tpls>
      </m>
      <m>
        <tpls c="4">
          <tpl fld="7" item="707"/>
          <tpl fld="6" item="2"/>
          <tpl hier="236" item="0"/>
          <tpl fld="4" item="4"/>
        </tpls>
      </m>
      <m>
        <tpls c="4">
          <tpl fld="7" item="1026"/>
          <tpl fld="6" item="1"/>
          <tpl hier="236" item="0"/>
          <tpl fld="1" item="0"/>
        </tpls>
      </m>
      <m>
        <tpls c="4">
          <tpl fld="7" item="1120"/>
          <tpl fld="6" item="2"/>
          <tpl hier="236" item="0"/>
          <tpl fld="4" item="5"/>
        </tpls>
      </m>
      <m>
        <tpls c="4">
          <tpl fld="7" item="60"/>
          <tpl fld="6" item="2"/>
          <tpl hier="236" item="0"/>
          <tpl fld="4" item="6"/>
        </tpls>
      </m>
      <m>
        <tpls c="4">
          <tpl fld="7" item="2"/>
          <tpl fld="6" item="1"/>
          <tpl hier="236" item="0"/>
          <tpl fld="4" item="1"/>
        </tpls>
      </m>
      <n v="0" in="1">
        <tpls c="4">
          <tpl fld="7" item="199"/>
          <tpl fld="6" item="1"/>
          <tpl hier="236" item="0"/>
          <tpl fld="1" item="0"/>
        </tpls>
      </n>
      <m>
        <tpls c="3">
          <tpl fld="7" item="399"/>
          <tpl fld="6" item="3"/>
          <tpl hier="236" item="0"/>
        </tpls>
      </m>
      <m>
        <tpls c="4">
          <tpl fld="7" item="1229"/>
          <tpl fld="6" item="2"/>
          <tpl hier="236" item="0"/>
          <tpl fld="4" item="4"/>
        </tpls>
      </m>
      <m>
        <tpls c="4">
          <tpl fld="7" item="123"/>
          <tpl fld="6" item="2"/>
          <tpl hier="236" item="0"/>
          <tpl fld="4" item="4"/>
        </tpls>
      </m>
      <m>
        <tpls c="4">
          <tpl fld="7" item="237"/>
          <tpl fld="6" item="2"/>
          <tpl hier="236" item="0"/>
          <tpl fld="4" item="5"/>
        </tpls>
      </m>
      <n v="2" in="1">
        <tpls c="4">
          <tpl fld="7" item="1011"/>
          <tpl fld="6" item="1"/>
          <tpl hier="236" item="0"/>
          <tpl fld="1" item="0"/>
        </tpls>
      </n>
      <m>
        <tpls c="3">
          <tpl fld="7" item="111"/>
          <tpl fld="6" item="3"/>
          <tpl hier="236" item="0"/>
        </tpls>
      </m>
      <m>
        <tpls c="4">
          <tpl fld="7" item="422"/>
          <tpl fld="6" item="1"/>
          <tpl hier="236" item="0"/>
          <tpl fld="1" item="0"/>
        </tpls>
      </m>
      <m>
        <tpls c="4">
          <tpl fld="7" item="270"/>
          <tpl fld="6" item="1"/>
          <tpl hier="236" item="0"/>
          <tpl fld="4" item="1"/>
        </tpls>
      </m>
      <m>
        <tpls c="4">
          <tpl fld="7" item="79"/>
          <tpl fld="6" item="1"/>
          <tpl hier="236" item="0"/>
          <tpl fld="1" item="0"/>
        </tpls>
      </m>
      <m>
        <tpls c="4">
          <tpl fld="7" item="1232"/>
          <tpl fld="6" item="2"/>
          <tpl hier="236" item="0"/>
          <tpl fld="4" item="4"/>
        </tpls>
      </m>
      <m>
        <tpls c="4">
          <tpl fld="7" item="112"/>
          <tpl fld="6" item="2"/>
          <tpl hier="236" item="0"/>
          <tpl fld="1" item="0"/>
        </tpls>
      </m>
      <n v="2" in="1">
        <tpls c="4">
          <tpl fld="7" item="451"/>
          <tpl fld="6" item="1"/>
          <tpl hier="236" item="0"/>
          <tpl fld="1" item="0"/>
        </tpls>
      </n>
      <n v="8" in="1">
        <tpls c="4">
          <tpl fld="7" item="729"/>
          <tpl fld="6" item="1"/>
          <tpl hier="236" item="0"/>
          <tpl fld="4" item="4"/>
        </tpls>
      </n>
      <n v="30" in="1">
        <tpls c="4">
          <tpl fld="7" item="851"/>
          <tpl fld="6" item="1"/>
          <tpl hier="236" item="0"/>
          <tpl fld="4" item="4"/>
        </tpls>
      </n>
      <m>
        <tpls c="4">
          <tpl fld="7" item="963"/>
          <tpl fld="6" item="2"/>
          <tpl hier="236" item="0"/>
          <tpl fld="4" item="1"/>
        </tpls>
      </m>
      <m>
        <tpls c="4">
          <tpl fld="7" item="506"/>
          <tpl fld="6" item="2"/>
          <tpl hier="236" item="0"/>
          <tpl fld="4" item="5"/>
        </tpls>
      </m>
      <n v="3" in="1">
        <tpls c="4">
          <tpl fld="7" item="858"/>
          <tpl fld="6" item="1"/>
          <tpl hier="236" item="0"/>
          <tpl fld="1" item="0"/>
        </tpls>
      </n>
      <m>
        <tpls c="4">
          <tpl fld="7" item="267"/>
          <tpl fld="6" item="2"/>
          <tpl hier="236" item="0"/>
          <tpl fld="4" item="5"/>
        </tpls>
      </m>
      <m>
        <tpls c="4">
          <tpl fld="7" item="284"/>
          <tpl fld="6" item="1"/>
          <tpl hier="236" item="0"/>
          <tpl fld="4" item="5"/>
        </tpls>
      </m>
      <n v="8" in="1">
        <tpls c="4">
          <tpl fld="7" item="677"/>
          <tpl fld="6" item="1"/>
          <tpl hier="236" item="0"/>
          <tpl fld="4" item="1"/>
        </tpls>
      </n>
      <n v="9" in="1">
        <tpls c="4">
          <tpl fld="7" item="1132"/>
          <tpl fld="6" item="1"/>
          <tpl hier="236" item="0"/>
          <tpl fld="4" item="4"/>
        </tpls>
      </n>
      <m>
        <tpls c="4">
          <tpl fld="7" item="417"/>
          <tpl fld="6" item="2"/>
          <tpl hier="236" item="0"/>
          <tpl fld="4" item="5"/>
        </tpls>
      </m>
      <m>
        <tpls c="4">
          <tpl fld="7" item="669"/>
          <tpl fld="6" item="2"/>
          <tpl hier="236" item="0"/>
          <tpl fld="4" item="6"/>
        </tpls>
      </m>
      <m>
        <tpls c="4">
          <tpl fld="7" item="208"/>
          <tpl fld="6" item="1"/>
          <tpl hier="236" item="0"/>
          <tpl fld="4" item="1"/>
        </tpls>
      </m>
      <n v="1" in="1">
        <tpls c="4">
          <tpl fld="7" item="1284"/>
          <tpl fld="6" item="1"/>
          <tpl hier="236" item="0"/>
          <tpl fld="1" item="0"/>
        </tpls>
      </n>
      <m>
        <tpls c="4">
          <tpl fld="7" item="216"/>
          <tpl fld="6" item="2"/>
          <tpl hier="236" item="0"/>
          <tpl fld="4" item="5"/>
        </tpls>
      </m>
      <m>
        <tpls c="4">
          <tpl fld="7" item="476"/>
          <tpl fld="6" item="1"/>
          <tpl hier="236" item="0"/>
          <tpl fld="4" item="5"/>
        </tpls>
      </m>
      <m>
        <tpls c="3">
          <tpl fld="7" item="13"/>
          <tpl fld="6" item="3"/>
          <tpl hier="236" item="0"/>
        </tpls>
      </m>
      <n v="6" in="1">
        <tpls c="4">
          <tpl fld="7" item="443"/>
          <tpl fld="6" item="1"/>
          <tpl hier="236" item="0"/>
          <tpl fld="1" item="0"/>
        </tpls>
      </n>
      <m>
        <tpls c="4">
          <tpl fld="7" item="190"/>
          <tpl fld="6" item="1"/>
          <tpl hier="236" item="0"/>
          <tpl fld="4" item="5"/>
        </tpls>
      </m>
      <m>
        <tpls c="3">
          <tpl fld="7" item="116"/>
          <tpl fld="6" item="3"/>
          <tpl hier="236" item="0"/>
        </tpls>
      </m>
      <n v="32" in="1">
        <tpls c="4">
          <tpl fld="7" item="519"/>
          <tpl fld="6" item="1"/>
          <tpl hier="236" item="0"/>
          <tpl fld="1" item="0"/>
        </tpls>
      </n>
      <m>
        <tpls c="4">
          <tpl fld="7" item="860"/>
          <tpl fld="6" item="1"/>
          <tpl hier="236" item="0"/>
          <tpl fld="4" item="5"/>
        </tpls>
      </m>
      <m>
        <tpls c="4">
          <tpl fld="7" item="1265"/>
          <tpl fld="6" item="1"/>
          <tpl hier="236" item="0"/>
          <tpl fld="1" item="0"/>
        </tpls>
      </m>
      <m>
        <tpls c="3">
          <tpl fld="7" item="589"/>
          <tpl fld="6" item="3"/>
          <tpl hier="236" item="0"/>
        </tpls>
      </m>
      <m>
        <tpls c="4">
          <tpl fld="7" item="1252"/>
          <tpl fld="6" item="2"/>
          <tpl hier="236" item="0"/>
          <tpl fld="4" item="4"/>
        </tpls>
      </m>
      <m>
        <tpls c="4">
          <tpl fld="7" item="419"/>
          <tpl fld="6" item="2"/>
          <tpl hier="236" item="0"/>
          <tpl fld="4" item="6"/>
        </tpls>
      </m>
      <m>
        <tpls c="4">
          <tpl fld="7" item="1152"/>
          <tpl fld="6" item="2"/>
          <tpl hier="236" item="0"/>
          <tpl fld="4" item="4"/>
        </tpls>
      </m>
      <m>
        <tpls c="4">
          <tpl fld="7" item="1021"/>
          <tpl fld="6" item="2"/>
          <tpl hier="236" item="0"/>
          <tpl fld="4" item="1"/>
        </tpls>
      </m>
      <m>
        <tpls c="4">
          <tpl fld="7" item="1108"/>
          <tpl fld="6" item="2"/>
          <tpl hier="236" item="0"/>
          <tpl fld="1" item="0"/>
        </tpls>
      </m>
      <n v="4" in="1">
        <tpls c="4">
          <tpl fld="7" item="1097"/>
          <tpl fld="6" item="1"/>
          <tpl hier="236" item="0"/>
          <tpl fld="4" item="5"/>
        </tpls>
      </n>
      <m>
        <tpls c="4">
          <tpl fld="7" item="810"/>
          <tpl fld="6" item="2"/>
          <tpl hier="236" item="0"/>
          <tpl fld="4" item="1"/>
        </tpls>
      </m>
      <n v="3" in="2">
        <tpls c="4">
          <tpl fld="7" item="665"/>
          <tpl fld="6" item="2"/>
          <tpl hier="236" item="0"/>
          <tpl fld="1" item="0"/>
        </tpls>
      </n>
      <n v="1" in="1">
        <tpls c="4">
          <tpl fld="7" item="1189"/>
          <tpl fld="6" item="1"/>
          <tpl hier="236" item="0"/>
          <tpl fld="4" item="1"/>
        </tpls>
      </n>
      <m>
        <tpls c="4">
          <tpl fld="7" item="728"/>
          <tpl fld="6" item="1"/>
          <tpl hier="236" item="0"/>
          <tpl fld="4" item="6"/>
        </tpls>
      </m>
      <m>
        <tpls c="4">
          <tpl fld="7" item="1105"/>
          <tpl fld="6" item="1"/>
          <tpl hier="236" item="0"/>
          <tpl fld="4" item="1"/>
        </tpls>
      </m>
      <m>
        <tpls c="3">
          <tpl fld="7" item="891"/>
          <tpl fld="6" item="3"/>
          <tpl hier="236" item="0"/>
        </tpls>
      </m>
      <n v="3" in="1">
        <tpls c="4">
          <tpl fld="7" item="1148"/>
          <tpl fld="6" item="1"/>
          <tpl hier="236" item="0"/>
          <tpl fld="4" item="4"/>
        </tpls>
      </n>
      <m>
        <tpls c="4">
          <tpl fld="7" item="856"/>
          <tpl fld="6" item="2"/>
          <tpl hier="236" item="0"/>
          <tpl fld="4" item="1"/>
        </tpls>
      </m>
      <m>
        <tpls c="4">
          <tpl fld="7" item="196"/>
          <tpl fld="6" item="2"/>
          <tpl hier="236" item="0"/>
          <tpl fld="4" item="5"/>
        </tpls>
      </m>
      <m>
        <tpls c="3">
          <tpl fld="7" item="652"/>
          <tpl fld="6" item="3"/>
          <tpl hier="236" item="0"/>
        </tpls>
      </m>
      <m>
        <tpls c="4">
          <tpl fld="7" item="924"/>
          <tpl fld="6" item="1"/>
          <tpl hier="236" item="0"/>
          <tpl fld="4" item="5"/>
        </tpls>
      </m>
      <m>
        <tpls c="4">
          <tpl fld="7" item="812"/>
          <tpl fld="6" item="1"/>
          <tpl hier="236" item="0"/>
          <tpl fld="4" item="4"/>
        </tpls>
      </m>
      <n v="5" in="1">
        <tpls c="4">
          <tpl fld="7" item="603"/>
          <tpl fld="6" item="1"/>
          <tpl hier="236" item="0"/>
          <tpl fld="4" item="1"/>
        </tpls>
      </n>
      <m>
        <tpls c="4">
          <tpl fld="7" item="473"/>
          <tpl fld="6" item="2"/>
          <tpl hier="236" item="0"/>
          <tpl fld="4" item="5"/>
        </tpls>
      </m>
      <n v="0" in="1">
        <tpls c="4">
          <tpl fld="7" item="855"/>
          <tpl fld="6" item="1"/>
          <tpl hier="236" item="0"/>
          <tpl fld="4" item="1"/>
        </tpls>
      </n>
      <m>
        <tpls c="4">
          <tpl fld="7" item="349"/>
          <tpl fld="6" item="1"/>
          <tpl hier="236" item="0"/>
          <tpl fld="1" item="0"/>
        </tpls>
      </m>
      <m>
        <tpls c="4">
          <tpl fld="7" item="674"/>
          <tpl fld="6" item="1"/>
          <tpl hier="236" item="0"/>
          <tpl fld="4" item="5"/>
        </tpls>
      </m>
      <m>
        <tpls c="3">
          <tpl fld="7" item="239"/>
          <tpl fld="6" item="3"/>
          <tpl hier="236" item="0"/>
        </tpls>
      </m>
      <m>
        <tpls c="4">
          <tpl fld="7" item="124"/>
          <tpl fld="6" item="2"/>
          <tpl hier="236" item="0"/>
          <tpl fld="4" item="4"/>
        </tpls>
      </m>
      <m>
        <tpls c="4">
          <tpl fld="7" item="425"/>
          <tpl fld="6" item="1"/>
          <tpl hier="236" item="0"/>
          <tpl fld="4" item="5"/>
        </tpls>
      </m>
      <m>
        <tpls c="4">
          <tpl fld="7" item="481"/>
          <tpl fld="6" item="1"/>
          <tpl hier="236" item="0"/>
          <tpl fld="1" item="0"/>
        </tpls>
      </m>
      <n v="25" in="1">
        <tpls c="4">
          <tpl fld="7" item="515"/>
          <tpl fld="6" item="1"/>
          <tpl hier="236" item="0"/>
          <tpl fld="1" item="0"/>
        </tpls>
      </n>
      <m>
        <tpls c="4">
          <tpl fld="7" item="776"/>
          <tpl fld="6" item="1"/>
          <tpl hier="236" item="0"/>
          <tpl fld="4" item="5"/>
        </tpls>
      </m>
      <m>
        <tpls c="3">
          <tpl fld="7" item="106"/>
          <tpl fld="6" item="3"/>
          <tpl hier="236" item="0"/>
        </tpls>
      </m>
      <m>
        <tpls c="3">
          <tpl fld="7" item="614"/>
          <tpl fld="6" item="3"/>
          <tpl hier="236" item="0"/>
        </tpls>
      </m>
      <m>
        <tpls c="4">
          <tpl fld="7" item="66"/>
          <tpl fld="6" item="1"/>
          <tpl hier="236" item="0"/>
          <tpl fld="4" item="5"/>
        </tpls>
      </m>
      <m>
        <tpls c="4">
          <tpl fld="7" item="244"/>
          <tpl fld="6" item="2"/>
          <tpl hier="236" item="0"/>
          <tpl fld="4" item="5"/>
        </tpls>
      </m>
      <n v="1" in="1">
        <tpls c="4">
          <tpl fld="7" item="524"/>
          <tpl fld="6" item="1"/>
          <tpl hier="236" item="0"/>
          <tpl fld="4" item="5"/>
        </tpls>
      </n>
      <m>
        <tpls c="4">
          <tpl fld="7" item="762"/>
          <tpl fld="6" item="1"/>
          <tpl hier="236" item="0"/>
          <tpl fld="4" item="1"/>
        </tpls>
      </m>
      <m>
        <tpls c="4">
          <tpl fld="7" item="819"/>
          <tpl fld="6" item="2"/>
          <tpl hier="236" item="0"/>
          <tpl fld="4" item="4"/>
        </tpls>
      </m>
      <m>
        <tpls c="4">
          <tpl fld="7" item="1277"/>
          <tpl fld="6" item="2"/>
          <tpl hier="236" item="0"/>
          <tpl fld="4" item="5"/>
        </tpls>
      </m>
      <m>
        <tpls c="4">
          <tpl fld="7" item="116"/>
          <tpl fld="6" item="2"/>
          <tpl hier="236" item="0"/>
          <tpl fld="4" item="5"/>
        </tpls>
      </m>
      <n v="1" in="1">
        <tpls c="4">
          <tpl fld="7" item="1119"/>
          <tpl fld="6" item="1"/>
          <tpl hier="236" item="0"/>
          <tpl fld="4" item="5"/>
        </tpls>
      </n>
      <n v="3" in="1">
        <tpls c="4">
          <tpl fld="7" item="1080"/>
          <tpl fld="6" item="1"/>
          <tpl hier="236" item="0"/>
          <tpl fld="4" item="1"/>
        </tpls>
      </n>
      <m>
        <tpls c="4">
          <tpl fld="7" item="409"/>
          <tpl fld="6" item="1"/>
          <tpl hier="236" item="0"/>
          <tpl fld="4" item="1"/>
        </tpls>
      </m>
      <m>
        <tpls c="4">
          <tpl fld="7" item="473"/>
          <tpl fld="6" item="1"/>
          <tpl hier="236" item="0"/>
          <tpl fld="1" item="0"/>
        </tpls>
      </m>
      <m>
        <tpls c="4">
          <tpl fld="7" item="858"/>
          <tpl fld="6" item="1"/>
          <tpl hier="236" item="0"/>
          <tpl fld="4" item="5"/>
        </tpls>
      </m>
      <m>
        <tpls c="4">
          <tpl fld="7" item="246"/>
          <tpl fld="6" item="1"/>
          <tpl hier="236" item="0"/>
          <tpl fld="1" item="0"/>
        </tpls>
      </m>
      <m>
        <tpls c="4">
          <tpl fld="7" item="110"/>
          <tpl fld="6" item="2"/>
          <tpl hier="236" item="0"/>
          <tpl fld="4" item="4"/>
        </tpls>
      </m>
      <m>
        <tpls c="4">
          <tpl fld="7" item="1247"/>
          <tpl fld="6" item="2"/>
          <tpl hier="236" item="0"/>
          <tpl fld="4" item="1"/>
        </tpls>
      </m>
      <m>
        <tpls c="4">
          <tpl fld="7" item="421"/>
          <tpl fld="6" item="1"/>
          <tpl hier="236" item="0"/>
          <tpl fld="4" item="5"/>
        </tpls>
      </m>
      <n v="6" in="1">
        <tpls c="4">
          <tpl fld="7" item="744"/>
          <tpl fld="6" item="1"/>
          <tpl hier="236" item="0"/>
          <tpl fld="4" item="6"/>
        </tpls>
      </n>
      <m>
        <tpls c="4">
          <tpl fld="7" item="931"/>
          <tpl fld="6" item="2"/>
          <tpl hier="236" item="0"/>
          <tpl fld="4" item="4"/>
        </tpls>
      </m>
      <n v="1" in="1">
        <tpls c="4">
          <tpl fld="7" item="708"/>
          <tpl fld="6" item="1"/>
          <tpl hier="236" item="0"/>
          <tpl fld="1" item="0"/>
        </tpls>
      </n>
      <n v="2" in="1">
        <tpls c="4">
          <tpl fld="7" item="1261"/>
          <tpl fld="6" item="1"/>
          <tpl hier="236" item="0"/>
          <tpl fld="4" item="1"/>
        </tpls>
      </n>
      <m>
        <tpls c="4">
          <tpl fld="7" item="10"/>
          <tpl fld="6" item="1"/>
          <tpl hier="236" item="0"/>
          <tpl fld="4" item="6"/>
        </tpls>
      </m>
      <m>
        <tpls c="4">
          <tpl fld="7" item="1027"/>
          <tpl fld="6" item="2"/>
          <tpl hier="236" item="0"/>
          <tpl fld="1" item="0"/>
        </tpls>
      </m>
      <m>
        <tpls c="4">
          <tpl fld="7" item="467"/>
          <tpl fld="6" item="2"/>
          <tpl hier="236" item="0"/>
          <tpl fld="4" item="4"/>
        </tpls>
      </m>
      <m>
        <tpls c="4">
          <tpl fld="7" item="810"/>
          <tpl fld="6" item="1"/>
          <tpl hier="236" item="0"/>
          <tpl fld="4" item="6"/>
        </tpls>
      </m>
      <n v="1" in="1">
        <tpls c="4">
          <tpl fld="7" item="1059"/>
          <tpl fld="6" item="1"/>
          <tpl hier="236" item="0"/>
          <tpl fld="4" item="1"/>
        </tpls>
      </n>
      <m>
        <tpls c="4">
          <tpl fld="7" item="14"/>
          <tpl fld="6" item="2"/>
          <tpl hier="236" item="0"/>
          <tpl fld="4" item="5"/>
        </tpls>
      </m>
      <m>
        <tpls c="4">
          <tpl fld="7" item="956"/>
          <tpl fld="6" item="1"/>
          <tpl hier="236" item="0"/>
          <tpl fld="4" item="1"/>
        </tpls>
      </m>
      <m>
        <tpls c="4">
          <tpl fld="7" item="1281"/>
          <tpl fld="6" item="1"/>
          <tpl hier="236" item="0"/>
          <tpl fld="4" item="4"/>
        </tpls>
      </m>
      <m>
        <tpls c="4">
          <tpl fld="7" item="121"/>
          <tpl fld="6" item="2"/>
          <tpl hier="236" item="0"/>
          <tpl fld="4" item="6"/>
        </tpls>
      </m>
      <m>
        <tpls c="4">
          <tpl fld="7" item="134"/>
          <tpl fld="6" item="1"/>
          <tpl hier="236" item="0"/>
          <tpl fld="1" item="0"/>
        </tpls>
      </m>
      <m>
        <tpls c="4">
          <tpl fld="7" item="358"/>
          <tpl fld="6" item="1"/>
          <tpl hier="236" item="0"/>
          <tpl fld="1" item="0"/>
        </tpls>
      </m>
      <m>
        <tpls c="4">
          <tpl fld="7" item="838"/>
          <tpl fld="6" item="2"/>
          <tpl hier="236" item="0"/>
          <tpl fld="4" item="4"/>
        </tpls>
      </m>
      <m>
        <tpls c="4">
          <tpl fld="7" item="222"/>
          <tpl fld="6" item="2"/>
          <tpl hier="236" item="0"/>
          <tpl fld="4" item="5"/>
        </tpls>
      </m>
      <m>
        <tpls c="4">
          <tpl fld="7" item="190"/>
          <tpl fld="6" item="2"/>
          <tpl hier="236" item="0"/>
          <tpl fld="4" item="5"/>
        </tpls>
      </m>
      <m>
        <tpls c="4">
          <tpl fld="7" item="401"/>
          <tpl fld="6" item="1"/>
          <tpl hier="236" item="0"/>
          <tpl fld="1" item="0"/>
        </tpls>
      </m>
      <m>
        <tpls c="4">
          <tpl fld="7" item="631"/>
          <tpl fld="6" item="2"/>
          <tpl hier="236" item="0"/>
          <tpl fld="4" item="4"/>
        </tpls>
      </m>
      <m>
        <tpls c="4">
          <tpl fld="7" item="754"/>
          <tpl fld="6" item="1"/>
          <tpl hier="236" item="0"/>
          <tpl fld="1" item="0"/>
        </tpls>
      </m>
      <m>
        <tpls c="4">
          <tpl fld="7" item="301"/>
          <tpl fld="6" item="1"/>
          <tpl hier="236" item="0"/>
          <tpl fld="1" item="0"/>
        </tpls>
      </m>
      <m>
        <tpls c="4">
          <tpl fld="7" item="626"/>
          <tpl fld="6" item="2"/>
          <tpl hier="236" item="0"/>
          <tpl fld="4" item="5"/>
        </tpls>
      </m>
      <n v="4" in="1">
        <tpls c="4">
          <tpl fld="7" item="1190"/>
          <tpl fld="6" item="1"/>
          <tpl hier="236" item="0"/>
          <tpl fld="4" item="6"/>
        </tpls>
      </n>
      <m>
        <tpls c="4">
          <tpl fld="7" item="1006"/>
          <tpl fld="6" item="2"/>
          <tpl hier="236" item="0"/>
          <tpl fld="4" item="6"/>
        </tpls>
      </m>
      <m>
        <tpls c="4">
          <tpl fld="7" item="365"/>
          <tpl fld="6" item="2"/>
          <tpl hier="236" item="0"/>
          <tpl fld="4" item="6"/>
        </tpls>
      </m>
      <n v="1" in="1">
        <tpls c="4">
          <tpl fld="7" item="1119"/>
          <tpl fld="6" item="1"/>
          <tpl hier="236" item="0"/>
          <tpl fld="4" item="1"/>
        </tpls>
      </n>
      <m>
        <tpls c="4">
          <tpl fld="7" item="256"/>
          <tpl fld="6" item="2"/>
          <tpl hier="236" item="0"/>
          <tpl fld="1" item="0"/>
        </tpls>
      </m>
      <n v="4" in="1">
        <tpls c="4">
          <tpl fld="7" item="1102"/>
          <tpl fld="6" item="1"/>
          <tpl hier="236" item="0"/>
          <tpl fld="4" item="5"/>
        </tpls>
      </n>
      <m>
        <tpls c="4">
          <tpl fld="7" item="1009"/>
          <tpl fld="6" item="1"/>
          <tpl hier="236" item="0"/>
          <tpl fld="1" item="0"/>
        </tpls>
      </m>
      <m>
        <tpls c="4">
          <tpl fld="7" item="146"/>
          <tpl fld="6" item="1"/>
          <tpl hier="236" item="0"/>
          <tpl fld="4" item="1"/>
        </tpls>
      </m>
      <m>
        <tpls c="4">
          <tpl fld="7" item="276"/>
          <tpl fld="6" item="1"/>
          <tpl hier="236" item="0"/>
          <tpl fld="1" item="0"/>
        </tpls>
      </m>
      <m>
        <tpls c="4">
          <tpl fld="7" item="593"/>
          <tpl fld="6" item="1"/>
          <tpl hier="236" item="0"/>
          <tpl fld="1" item="0"/>
        </tpls>
      </m>
      <m>
        <tpls c="4">
          <tpl fld="7" item="49"/>
          <tpl fld="6" item="1"/>
          <tpl hier="236" item="0"/>
          <tpl fld="4" item="1"/>
        </tpls>
      </m>
      <m>
        <tpls c="4">
          <tpl fld="7" item="81"/>
          <tpl fld="6" item="1"/>
          <tpl hier="236" item="0"/>
          <tpl fld="4" item="1"/>
        </tpls>
      </m>
      <m>
        <tpls c="4">
          <tpl fld="7" item="0"/>
          <tpl fld="6" item="1"/>
          <tpl hier="236" item="0"/>
          <tpl fld="4" item="6"/>
        </tpls>
      </m>
      <m>
        <tpls c="4">
          <tpl fld="7" item="843"/>
          <tpl fld="6" item="1"/>
          <tpl hier="236" item="0"/>
          <tpl fld="4" item="5"/>
        </tpls>
      </m>
      <m>
        <tpls c="4">
          <tpl fld="7" item="822"/>
          <tpl fld="6" item="2"/>
          <tpl hier="236" item="0"/>
          <tpl fld="1" item="0"/>
        </tpls>
      </m>
      <m>
        <tpls c="4">
          <tpl fld="7" item="845"/>
          <tpl fld="6" item="2"/>
          <tpl hier="236" item="0"/>
          <tpl fld="4" item="1"/>
        </tpls>
      </m>
      <n v="0" in="1">
        <tpls c="4">
          <tpl fld="7" item="555"/>
          <tpl fld="6" item="1"/>
          <tpl hier="236" item="0"/>
          <tpl fld="4" item="1"/>
        </tpls>
      </n>
      <m>
        <tpls c="4">
          <tpl fld="7" item="97"/>
          <tpl fld="6" item="2"/>
          <tpl hier="236" item="0"/>
          <tpl fld="4" item="6"/>
        </tpls>
      </m>
      <m>
        <tpls c="4">
          <tpl fld="7" item="330"/>
          <tpl fld="6" item="1"/>
          <tpl hier="236" item="0"/>
          <tpl fld="4" item="1"/>
        </tpls>
      </m>
      <m>
        <tpls c="4">
          <tpl fld="7" item="335"/>
          <tpl fld="6" item="2"/>
          <tpl hier="236" item="0"/>
          <tpl fld="4" item="5"/>
        </tpls>
      </m>
      <m>
        <tpls c="4">
          <tpl fld="7" item="1274"/>
          <tpl fld="6" item="1"/>
          <tpl hier="236" item="0"/>
          <tpl fld="4" item="1"/>
        </tpls>
      </m>
      <m>
        <tpls c="4">
          <tpl fld="7" item="274"/>
          <tpl fld="6" item="1"/>
          <tpl hier="236" item="0"/>
          <tpl fld="4" item="6"/>
        </tpls>
      </m>
      <m>
        <tpls c="4">
          <tpl fld="7" item="124"/>
          <tpl fld="6" item="1"/>
          <tpl hier="236" item="0"/>
          <tpl fld="4" item="6"/>
        </tpls>
      </m>
      <m>
        <tpls c="4">
          <tpl fld="7" item="427"/>
          <tpl fld="6" item="2"/>
          <tpl hier="236" item="0"/>
          <tpl fld="4" item="5"/>
        </tpls>
      </m>
      <m>
        <tpls c="4">
          <tpl fld="7" item="954"/>
          <tpl fld="6" item="2"/>
          <tpl hier="236" item="0"/>
          <tpl fld="4" item="4"/>
        </tpls>
      </m>
      <m>
        <tpls c="4">
          <tpl fld="7" item="1142"/>
          <tpl fld="6" item="2"/>
          <tpl hier="236" item="0"/>
          <tpl fld="4" item="4"/>
        </tpls>
      </m>
      <n v="2" in="1">
        <tpls c="4">
          <tpl fld="7" item="848"/>
          <tpl fld="6" item="1"/>
          <tpl hier="236" item="0"/>
          <tpl fld="4" item="5"/>
        </tpls>
      </n>
      <m>
        <tpls c="4">
          <tpl fld="7" item="144"/>
          <tpl fld="6" item="1"/>
          <tpl hier="236" item="0"/>
          <tpl fld="4" item="1"/>
        </tpls>
      </m>
      <m>
        <tpls c="4">
          <tpl fld="7" item="290"/>
          <tpl fld="6" item="1"/>
          <tpl hier="236" item="0"/>
          <tpl fld="1" item="0"/>
        </tpls>
      </m>
      <m>
        <tpls c="4">
          <tpl fld="7" item="1208"/>
          <tpl fld="6" item="2"/>
          <tpl hier="236" item="0"/>
          <tpl fld="4" item="4"/>
        </tpls>
      </m>
      <m>
        <tpls c="4">
          <tpl fld="7" item="1045"/>
          <tpl fld="6" item="1"/>
          <tpl hier="236" item="0"/>
          <tpl fld="4" item="4"/>
        </tpls>
      </m>
      <m>
        <tpls c="4">
          <tpl fld="7" item="344"/>
          <tpl fld="6" item="1"/>
          <tpl hier="236" item="0"/>
          <tpl fld="1" item="0"/>
        </tpls>
      </m>
      <m>
        <tpls c="4">
          <tpl fld="7" item="1228"/>
          <tpl fld="6" item="1"/>
          <tpl hier="236" item="0"/>
          <tpl fld="4" item="1"/>
        </tpls>
      </m>
      <n v="2" in="1">
        <tpls c="4">
          <tpl fld="7" item="1024"/>
          <tpl fld="6" item="1"/>
          <tpl hier="236" item="0"/>
          <tpl fld="1" item="0"/>
        </tpls>
      </n>
      <m>
        <tpls c="4">
          <tpl fld="7" item="660"/>
          <tpl fld="6" item="2"/>
          <tpl hier="236" item="0"/>
          <tpl fld="1" item="0"/>
        </tpls>
      </m>
      <m>
        <tpls c="4">
          <tpl fld="7" item="364"/>
          <tpl fld="6" item="1"/>
          <tpl hier="236" item="0"/>
          <tpl fld="4" item="1"/>
        </tpls>
      </m>
      <m>
        <tpls c="3">
          <tpl fld="7" item="23"/>
          <tpl fld="6" item="3"/>
          <tpl hier="236" item="0"/>
        </tpls>
      </m>
      <m>
        <tpls c="4">
          <tpl fld="7" item="472"/>
          <tpl fld="6" item="1"/>
          <tpl hier="236" item="0"/>
          <tpl fld="4" item="5"/>
        </tpls>
      </m>
      <m>
        <tpls c="4">
          <tpl fld="7" item="1159"/>
          <tpl fld="6" item="2"/>
          <tpl hier="236" item="0"/>
          <tpl fld="4" item="4"/>
        </tpls>
      </m>
      <m>
        <tpls c="4">
          <tpl fld="7" item="924"/>
          <tpl fld="6" item="2"/>
          <tpl hier="236" item="0"/>
          <tpl fld="4" item="5"/>
        </tpls>
      </m>
      <m>
        <tpls c="4">
          <tpl fld="7" item="4"/>
          <tpl fld="6" item="1"/>
          <tpl hier="236" item="0"/>
          <tpl fld="4" item="1"/>
        </tpls>
      </m>
      <m>
        <tpls c="4">
          <tpl fld="7" item="968"/>
          <tpl fld="6" item="2"/>
          <tpl hier="236" item="0"/>
          <tpl fld="4" item="4"/>
        </tpls>
      </m>
      <m>
        <tpls c="4">
          <tpl fld="7" item="1160"/>
          <tpl fld="6" item="2"/>
          <tpl hier="236" item="0"/>
          <tpl fld="4" item="4"/>
        </tpls>
      </m>
      <m>
        <tpls c="4">
          <tpl fld="7" item="668"/>
          <tpl fld="6" item="2"/>
          <tpl hier="236" item="0"/>
          <tpl fld="4" item="5"/>
        </tpls>
      </m>
      <m>
        <tpls c="4">
          <tpl fld="7" item="236"/>
          <tpl fld="6" item="1"/>
          <tpl hier="236" item="0"/>
          <tpl fld="4" item="1"/>
        </tpls>
      </m>
      <m>
        <tpls c="4">
          <tpl fld="7" item="275"/>
          <tpl fld="6" item="1"/>
          <tpl hier="236" item="0"/>
          <tpl fld="1" item="0"/>
        </tpls>
      </m>
      <m>
        <tpls c="4">
          <tpl fld="7" item="1201"/>
          <tpl fld="6" item="2"/>
          <tpl hier="236" item="0"/>
          <tpl fld="4" item="4"/>
        </tpls>
      </m>
      <m>
        <tpls c="4">
          <tpl fld="7" item="425"/>
          <tpl fld="6" item="2"/>
          <tpl hier="236" item="0"/>
          <tpl fld="4" item="5"/>
        </tpls>
      </m>
      <m>
        <tpls c="4">
          <tpl fld="7" item="1155"/>
          <tpl fld="6" item="2"/>
          <tpl hier="236" item="0"/>
          <tpl fld="4" item="4"/>
        </tpls>
      </m>
      <m>
        <tpls c="4">
          <tpl fld="7" item="736"/>
          <tpl fld="6" item="1"/>
          <tpl hier="236" item="0"/>
          <tpl fld="4" item="5"/>
        </tpls>
      </m>
      <n v="1" in="1">
        <tpls c="4">
          <tpl fld="7" item="895"/>
          <tpl fld="6" item="1"/>
          <tpl hier="236" item="0"/>
          <tpl fld="4" item="4"/>
        </tpls>
      </n>
      <m>
        <tpls c="4">
          <tpl fld="7" item="397"/>
          <tpl fld="6" item="2"/>
          <tpl hier="236" item="0"/>
          <tpl fld="4" item="5"/>
        </tpls>
      </m>
      <m>
        <tpls c="4">
          <tpl fld="7" item="384"/>
          <tpl fld="6" item="2"/>
          <tpl hier="236" item="0"/>
          <tpl fld="4" item="5"/>
        </tpls>
      </m>
      <m>
        <tpls c="4">
          <tpl fld="7" item="999"/>
          <tpl fld="6" item="1"/>
          <tpl hier="236" item="0"/>
          <tpl fld="4" item="5"/>
        </tpls>
      </m>
      <m>
        <tpls c="4">
          <tpl fld="7" item="486"/>
          <tpl fld="6" item="1"/>
          <tpl hier="236" item="0"/>
          <tpl fld="4" item="1"/>
        </tpls>
      </m>
      <n v="8" in="1">
        <tpls c="4">
          <tpl fld="7" item="1285"/>
          <tpl fld="6" item="1"/>
          <tpl hier="236" item="0"/>
          <tpl fld="4" item="4"/>
        </tpls>
      </n>
      <m>
        <tpls c="4">
          <tpl fld="7" item="859"/>
          <tpl fld="6" item="2"/>
          <tpl hier="236" item="0"/>
          <tpl fld="4" item="6"/>
        </tpls>
      </m>
      <m>
        <tpls c="4">
          <tpl fld="7" item="345"/>
          <tpl fld="6" item="1"/>
          <tpl hier="236" item="0"/>
          <tpl fld="4" item="5"/>
        </tpls>
      </m>
      <m>
        <tpls c="4">
          <tpl fld="7" item="474"/>
          <tpl fld="6" item="1"/>
          <tpl hier="236" item="0"/>
          <tpl fld="4" item="1"/>
        </tpls>
      </m>
      <n v="3" in="1">
        <tpls c="4">
          <tpl fld="7" item="1198"/>
          <tpl fld="6" item="1"/>
          <tpl hier="236" item="0"/>
          <tpl fld="4" item="4"/>
        </tpls>
      </n>
      <n v="3" in="1">
        <tpls c="4">
          <tpl fld="7" item="512"/>
          <tpl fld="6" item="1"/>
          <tpl hier="236" item="0"/>
          <tpl fld="1" item="0"/>
        </tpls>
      </n>
      <m>
        <tpls c="4">
          <tpl fld="7" item="750"/>
          <tpl fld="6" item="2"/>
          <tpl hier="236" item="0"/>
          <tpl fld="4" item="4"/>
        </tpls>
      </m>
      <m>
        <tpls c="4">
          <tpl fld="7" item="1106"/>
          <tpl fld="6" item="2"/>
          <tpl hier="236" item="0"/>
          <tpl fld="4" item="6"/>
        </tpls>
      </m>
      <m>
        <tpls c="4">
          <tpl fld="7" item="790"/>
          <tpl fld="6" item="1"/>
          <tpl hier="236" item="0"/>
          <tpl fld="4" item="6"/>
        </tpls>
      </m>
      <m>
        <tpls c="4">
          <tpl fld="7" item="910"/>
          <tpl fld="6" item="2"/>
          <tpl hier="236" item="0"/>
          <tpl fld="4" item="6"/>
        </tpls>
      </m>
      <m>
        <tpls c="4">
          <tpl fld="7" item="137"/>
          <tpl fld="6" item="2"/>
          <tpl hier="236" item="0"/>
          <tpl fld="4" item="5"/>
        </tpls>
      </m>
      <n v="12" in="1">
        <tpls c="4">
          <tpl fld="7" item="527"/>
          <tpl fld="6" item="1"/>
          <tpl hier="236" item="0"/>
          <tpl fld="1" item="0"/>
        </tpls>
      </n>
      <m>
        <tpls c="3">
          <tpl fld="7" item="222"/>
          <tpl fld="6" item="3"/>
          <tpl hier="236" item="0"/>
        </tpls>
      </m>
      <m>
        <tpls c="4">
          <tpl fld="7" item="1111"/>
          <tpl fld="6" item="2"/>
          <tpl hier="236" item="0"/>
          <tpl fld="4" item="5"/>
        </tpls>
      </m>
      <m>
        <tpls c="4">
          <tpl fld="7" item="59"/>
          <tpl fld="6" item="2"/>
          <tpl hier="236" item="0"/>
          <tpl fld="4" item="4"/>
        </tpls>
      </m>
      <n v="1" in="1">
        <tpls c="4">
          <tpl fld="7" item="1037"/>
          <tpl fld="6" item="1"/>
          <tpl hier="236" item="0"/>
          <tpl fld="4" item="5"/>
        </tpls>
      </n>
      <n v="0" in="1">
        <tpls c="4">
          <tpl fld="7" item="1140"/>
          <tpl fld="6" item="1"/>
          <tpl hier="236" item="0"/>
          <tpl fld="4" item="5"/>
        </tpls>
      </n>
      <m>
        <tpls c="4">
          <tpl fld="7" item="1150"/>
          <tpl fld="6" item="1"/>
          <tpl hier="236" item="0"/>
          <tpl fld="4" item="5"/>
        </tpls>
      </m>
      <m>
        <tpls c="4">
          <tpl fld="7" item="928"/>
          <tpl fld="6" item="1"/>
          <tpl hier="236" item="0"/>
          <tpl fld="4" item="5"/>
        </tpls>
      </m>
      <m>
        <tpls c="4">
          <tpl fld="7" item="1143"/>
          <tpl fld="6" item="1"/>
          <tpl hier="236" item="0"/>
          <tpl fld="4" item="5"/>
        </tpls>
      </m>
      <n v="1" in="1">
        <tpls c="4">
          <tpl fld="7" item="1037"/>
          <tpl fld="6" item="1"/>
          <tpl hier="236" item="0"/>
          <tpl fld="1" item="0"/>
        </tpls>
      </n>
      <n v="8" in="1">
        <tpls c="4">
          <tpl fld="7" item="940"/>
          <tpl fld="6" item="1"/>
          <tpl hier="236" item="0"/>
          <tpl fld="1" item="0"/>
        </tpls>
      </n>
      <n v="1" in="1">
        <tpls c="4">
          <tpl fld="7" item="1044"/>
          <tpl fld="6" item="1"/>
          <tpl hier="236" item="0"/>
          <tpl fld="1" item="0"/>
        </tpls>
      </n>
      <m>
        <tpls c="4">
          <tpl fld="7" item="1038"/>
          <tpl fld="6" item="1"/>
          <tpl hier="236" item="0"/>
          <tpl fld="1" item="0"/>
        </tpls>
      </m>
      <m>
        <tpls c="4">
          <tpl fld="7" item="1047"/>
          <tpl fld="6" item="1"/>
          <tpl hier="236" item="0"/>
          <tpl fld="1" item="0"/>
        </tpls>
      </m>
      <n v="3" in="1">
        <tpls c="4">
          <tpl fld="7" item="1198"/>
          <tpl fld="6" item="1"/>
          <tpl hier="236" item="0"/>
          <tpl fld="1" item="0"/>
        </tpls>
      </n>
      <n v="3" in="1">
        <tpls c="4">
          <tpl fld="7" item="944"/>
          <tpl fld="6" item="1"/>
          <tpl hier="236" item="0"/>
          <tpl fld="1" item="0"/>
        </tpls>
      </n>
      <n v="48" in="1">
        <tpls c="4">
          <tpl fld="7" item="1032"/>
          <tpl fld="6" item="1"/>
          <tpl hier="236" item="0"/>
          <tpl fld="1" item="0"/>
        </tpls>
      </n>
      <n v="1" in="1">
        <tpls c="4">
          <tpl fld="7" item="1041"/>
          <tpl fld="6" item="1"/>
          <tpl hier="236" item="0"/>
          <tpl fld="1" item="0"/>
        </tpls>
      </n>
      <n v="4" in="1">
        <tpls c="4">
          <tpl fld="7" item="1048"/>
          <tpl fld="6" item="1"/>
          <tpl hier="236" item="0"/>
          <tpl fld="1" item="0"/>
        </tpls>
      </n>
      <n v="23" in="1">
        <tpls c="4">
          <tpl fld="7" item="1135"/>
          <tpl fld="6" item="1"/>
          <tpl hier="236" item="0"/>
          <tpl fld="1" item="0"/>
        </tpls>
      </n>
      <n v="6" in="1">
        <tpls c="4">
          <tpl fld="7" item="1042"/>
          <tpl fld="6" item="1"/>
          <tpl hier="236" item="0"/>
          <tpl fld="1" item="0"/>
        </tpls>
      </n>
      <n v="2" in="1">
        <tpls c="4">
          <tpl fld="7" item="1035"/>
          <tpl fld="6" item="1"/>
          <tpl hier="236" item="0"/>
          <tpl fld="1" item="0"/>
        </tpls>
      </n>
      <n v="41" in="1">
        <tpls c="4">
          <tpl fld="7" item="1266"/>
          <tpl fld="6" item="1"/>
          <tpl hier="236" item="0"/>
          <tpl fld="1" item="0"/>
        </tpls>
      </n>
      <n v="1" in="2">
        <tpls c="4">
          <tpl fld="7" item="1266"/>
          <tpl fld="6" item="2"/>
          <tpl hier="236" item="0"/>
          <tpl fld="1" item="0"/>
        </tpls>
      </n>
      <m>
        <tpls c="4">
          <tpl fld="7" item="1266"/>
          <tpl fld="6" item="2"/>
          <tpl hier="236" item="0"/>
          <tpl fld="4" item="6"/>
        </tpls>
      </m>
      <m>
        <tpls c="4">
          <tpl fld="7" item="1273"/>
          <tpl fld="6" item="1"/>
          <tpl hier="236" item="0"/>
          <tpl fld="4" item="6"/>
        </tpls>
      </m>
      <m>
        <tpls c="4">
          <tpl fld="7" item="1273"/>
          <tpl fld="6" item="2"/>
          <tpl hier="236" item="0"/>
          <tpl fld="4" item="6"/>
        </tpls>
      </m>
      <m>
        <tpls c="4">
          <tpl fld="7" item="1273"/>
          <tpl fld="6" item="2"/>
          <tpl hier="236" item="0"/>
          <tpl fld="1" item="0"/>
        </tpls>
      </m>
      <m>
        <tpls c="4">
          <tpl fld="7" item="1274"/>
          <tpl fld="6" item="2"/>
          <tpl hier="236" item="0"/>
          <tpl fld="4" item="6"/>
        </tpls>
      </m>
      <m>
        <tpls c="4">
          <tpl fld="7" item="1274"/>
          <tpl fld="6" item="1"/>
          <tpl hier="236" item="0"/>
          <tpl fld="4" item="5"/>
        </tpls>
      </m>
      <m>
        <tpls c="4">
          <tpl fld="7" item="1274"/>
          <tpl fld="6" item="2"/>
          <tpl hier="236" item="0"/>
          <tpl fld="1" item="0"/>
        </tpls>
      </m>
      <n v="1" in="2">
        <tpls c="4">
          <tpl fld="7" item="973"/>
          <tpl fld="6" item="2"/>
          <tpl hier="236" item="0"/>
          <tpl fld="1" item="0"/>
        </tpls>
      </n>
      <m>
        <tpls c="4">
          <tpl fld="7" item="960"/>
          <tpl fld="6" item="2"/>
          <tpl hier="236" item="0"/>
          <tpl fld="1" item="0"/>
        </tpls>
      </m>
      <m>
        <tpls c="4">
          <tpl fld="7" item="1260"/>
          <tpl fld="6" item="2"/>
          <tpl hier="236" item="0"/>
          <tpl fld="1" item="0"/>
        </tpls>
      </m>
      <m>
        <tpls c="4">
          <tpl fld="7" item="1141"/>
          <tpl fld="6" item="2"/>
          <tpl hier="236" item="0"/>
          <tpl fld="1" item="0"/>
        </tpls>
      </m>
      <m>
        <tpls c="4">
          <tpl fld="7" item="1234"/>
          <tpl fld="6" item="2"/>
          <tpl hier="236" item="0"/>
          <tpl fld="1" item="0"/>
        </tpls>
      </m>
      <n v="1.5999999999999999" in="2">
        <tpls c="4">
          <tpl fld="7" item="1031"/>
          <tpl fld="6" item="2"/>
          <tpl hier="236" item="0"/>
          <tpl fld="1" item="0"/>
        </tpls>
      </n>
      <m>
        <tpls c="4">
          <tpl fld="7" item="1210"/>
          <tpl fld="6" item="2"/>
          <tpl hier="236" item="0"/>
          <tpl fld="1" item="0"/>
        </tpls>
      </m>
      <m>
        <tpls c="4">
          <tpl fld="7" item="1066"/>
          <tpl fld="6" item="2"/>
          <tpl hier="236" item="0"/>
          <tpl fld="1" item="0"/>
        </tpls>
      </m>
      <m>
        <tpls c="4">
          <tpl fld="7" item="1147"/>
          <tpl fld="6" item="2"/>
          <tpl hier="236" item="0"/>
          <tpl fld="1" item="0"/>
        </tpls>
      </m>
      <m>
        <tpls c="4">
          <tpl fld="7" item="1060"/>
          <tpl fld="6" item="2"/>
          <tpl hier="236" item="0"/>
          <tpl fld="1" item="0"/>
        </tpls>
      </m>
      <m>
        <tpls c="4">
          <tpl fld="7" item="1258"/>
          <tpl fld="6" item="2"/>
          <tpl hier="236" item="0"/>
          <tpl fld="1" item="0"/>
        </tpls>
      </m>
      <m>
        <tpls c="4">
          <tpl fld="7" item="1161"/>
          <tpl fld="6" item="2"/>
          <tpl hier="236" item="0"/>
          <tpl fld="1" item="0"/>
        </tpls>
      </m>
      <m>
        <tpls c="4">
          <tpl fld="7" item="1143"/>
          <tpl fld="6" item="2"/>
          <tpl hier="236" item="0"/>
          <tpl fld="1" item="0"/>
        </tpls>
      </m>
      <n v="1" in="2">
        <tpls c="4">
          <tpl fld="7" item="1177"/>
          <tpl fld="6" item="2"/>
          <tpl hier="236" item="0"/>
          <tpl fld="1" item="0"/>
        </tpls>
      </n>
      <m>
        <tpls c="4">
          <tpl fld="7" item="953"/>
          <tpl fld="6" item="2"/>
          <tpl hier="236" item="0"/>
          <tpl fld="1" item="0"/>
        </tpls>
      </m>
      <m>
        <tpls c="4">
          <tpl fld="7" item="1230"/>
          <tpl fld="6" item="2"/>
          <tpl hier="236" item="0"/>
          <tpl fld="1" item="0"/>
        </tpls>
      </m>
      <m>
        <tpls c="4">
          <tpl fld="7" item="1176"/>
          <tpl fld="6" item="2"/>
          <tpl hier="236" item="0"/>
          <tpl fld="1" item="0"/>
        </tpls>
      </m>
      <m>
        <tpls c="4">
          <tpl fld="7" item="952"/>
          <tpl fld="6" item="2"/>
          <tpl hier="236" item="0"/>
          <tpl fld="1" item="0"/>
        </tpls>
      </m>
      <m>
        <tpls c="4">
          <tpl fld="7" item="1204"/>
          <tpl fld="6" item="2"/>
          <tpl hier="236" item="0"/>
          <tpl fld="1" item="0"/>
        </tpls>
      </m>
      <m>
        <tpls c="4">
          <tpl fld="7" item="967"/>
          <tpl fld="6" item="2"/>
          <tpl hier="236" item="0"/>
          <tpl fld="1" item="0"/>
        </tpls>
      </m>
      <m>
        <tpls c="4">
          <tpl fld="7" item="1156"/>
          <tpl fld="6" item="2"/>
          <tpl hier="236" item="0"/>
          <tpl fld="1" item="0"/>
        </tpls>
      </m>
      <m>
        <tpls c="4">
          <tpl fld="7" item="1053"/>
          <tpl fld="6" item="2"/>
          <tpl hier="236" item="0"/>
          <tpl fld="1" item="0"/>
        </tpls>
      </m>
      <m>
        <tpls c="4">
          <tpl fld="7" item="1267"/>
          <tpl fld="6" item="2"/>
          <tpl hier="236" item="0"/>
          <tpl fld="1" item="0"/>
        </tpls>
      </m>
      <m>
        <tpls c="4">
          <tpl fld="7" item="1076"/>
          <tpl fld="6" item="2"/>
          <tpl hier="236" item="0"/>
          <tpl fld="1" item="0"/>
        </tpls>
      </m>
      <m>
        <tpls c="4">
          <tpl fld="7" item="1068"/>
          <tpl fld="6" item="2"/>
          <tpl hier="236" item="0"/>
          <tpl fld="1" item="0"/>
        </tpls>
      </m>
      <m>
        <tpls c="4">
          <tpl fld="7" item="1139"/>
          <tpl fld="6" item="2"/>
          <tpl hier="236" item="0"/>
          <tpl fld="1" item="0"/>
        </tpls>
      </m>
      <m>
        <tpls c="4">
          <tpl fld="7" item="1036"/>
          <tpl fld="6" item="2"/>
          <tpl hier="236" item="0"/>
          <tpl fld="1" item="0"/>
        </tpls>
      </m>
      <m>
        <tpls c="4">
          <tpl fld="7" item="1206"/>
          <tpl fld="6" item="2"/>
          <tpl hier="236" item="0"/>
          <tpl fld="1" item="0"/>
        </tpls>
      </m>
      <m>
        <tpls c="4">
          <tpl fld="7" item="964"/>
          <tpl fld="6" item="2"/>
          <tpl hier="236" item="0"/>
          <tpl fld="1" item="0"/>
        </tpls>
      </m>
      <m>
        <tpls c="4">
          <tpl fld="7" item="1153"/>
          <tpl fld="6" item="2"/>
          <tpl hier="236" item="0"/>
          <tpl fld="1" item="0"/>
        </tpls>
      </m>
      <m>
        <tpls c="4">
          <tpl fld="7" item="1050"/>
          <tpl fld="6" item="2"/>
          <tpl hier="236" item="0"/>
          <tpl fld="1" item="0"/>
        </tpls>
      </m>
      <m>
        <tpls c="4">
          <tpl fld="7" item="1075"/>
          <tpl fld="6" item="2"/>
          <tpl hier="236" item="0"/>
          <tpl fld="1" item="0"/>
        </tpls>
      </m>
      <m>
        <tpls c="4">
          <tpl fld="7" item="1067"/>
          <tpl fld="6" item="2"/>
          <tpl hier="236" item="0"/>
          <tpl fld="1" item="0"/>
        </tpls>
      </m>
      <n v="1" in="2">
        <tpls c="4">
          <tpl fld="7" item="1224"/>
          <tpl fld="6" item="2"/>
          <tpl hier="236" item="0"/>
          <tpl fld="1" item="0"/>
        </tpls>
      </n>
      <m>
        <tpls c="4">
          <tpl fld="7" item="1135"/>
          <tpl fld="6" item="2"/>
          <tpl hier="236" item="0"/>
          <tpl fld="1" item="0"/>
        </tpls>
      </m>
      <m>
        <tpls c="4">
          <tpl fld="7" item="1175"/>
          <tpl fld="6" item="2"/>
          <tpl hier="236" item="0"/>
          <tpl fld="1" item="0"/>
        </tpls>
      </m>
      <m>
        <tpls c="4">
          <tpl fld="7" item="1167"/>
          <tpl fld="6" item="2"/>
          <tpl hier="236" item="0"/>
          <tpl fld="1" item="0"/>
        </tpls>
      </m>
      <m>
        <tpls c="4">
          <tpl fld="7" item="951"/>
          <tpl fld="6" item="2"/>
          <tpl hier="236" item="0"/>
          <tpl fld="1" item="0"/>
        </tpls>
      </m>
      <m>
        <tpls c="4">
          <tpl fld="7" item="943"/>
          <tpl fld="6" item="2"/>
          <tpl hier="236" item="0"/>
          <tpl fld="1" item="0"/>
        </tpls>
      </m>
      <m>
        <tpls c="4">
          <tpl fld="7" item="935"/>
          <tpl fld="6" item="2"/>
          <tpl hier="236" item="0"/>
          <tpl fld="1" item="0"/>
        </tpls>
      </m>
      <m>
        <tpls c="4">
          <tpl fld="7" item="1134"/>
          <tpl fld="6" item="2"/>
          <tpl hier="236" item="0"/>
          <tpl fld="1" item="0"/>
        </tpls>
      </m>
      <m>
        <tpls c="4">
          <tpl fld="7" item="873"/>
          <tpl fld="6" item="2"/>
          <tpl hier="236" item="0"/>
          <tpl fld="1" item="0"/>
        </tpls>
      </m>
      <m>
        <tpls c="4">
          <tpl fld="7" item="1174"/>
          <tpl fld="6" item="2"/>
          <tpl hier="236" item="0"/>
          <tpl fld="1" item="0"/>
        </tpls>
      </m>
      <m>
        <tpls c="4">
          <tpl fld="7" item="1166"/>
          <tpl fld="6" item="2"/>
          <tpl hier="236" item="0"/>
          <tpl fld="1" item="0"/>
        </tpls>
      </m>
      <m>
        <tpls c="4">
          <tpl fld="7" item="958"/>
          <tpl fld="6" item="2"/>
          <tpl hier="236" item="0"/>
          <tpl fld="1" item="0"/>
        </tpls>
      </m>
      <m>
        <tpls c="4">
          <tpl fld="7" item="950"/>
          <tpl fld="6" item="2"/>
          <tpl hier="236" item="0"/>
          <tpl fld="1" item="0"/>
        </tpls>
      </m>
      <m>
        <tpls c="4">
          <tpl fld="7" item="942"/>
          <tpl fld="6" item="2"/>
          <tpl hier="236" item="0"/>
          <tpl fld="1" item="0"/>
        </tpls>
      </m>
      <m>
        <tpls c="4">
          <tpl fld="7" item="934"/>
          <tpl fld="6" item="2"/>
          <tpl hier="236" item="0"/>
          <tpl fld="1" item="0"/>
        </tpls>
      </m>
      <m>
        <tpls c="4">
          <tpl fld="7" item="1257"/>
          <tpl fld="6" item="2"/>
          <tpl hier="236" item="0"/>
          <tpl fld="1" item="0"/>
        </tpls>
      </m>
      <m>
        <tpls c="4">
          <tpl fld="7" item="1255"/>
          <tpl fld="6" item="2"/>
          <tpl hier="236" item="0"/>
          <tpl fld="1" item="0"/>
        </tpls>
      </m>
      <m>
        <tpls c="4">
          <tpl fld="7" item="1253"/>
          <tpl fld="6" item="2"/>
          <tpl hier="236" item="0"/>
          <tpl fld="1" item="0"/>
        </tpls>
      </m>
      <m>
        <tpls c="4">
          <tpl fld="7" item="1251"/>
          <tpl fld="6" item="2"/>
          <tpl hier="236" item="0"/>
          <tpl fld="1" item="0"/>
        </tpls>
      </m>
      <m>
        <tpls c="4">
          <tpl fld="7" item="872"/>
          <tpl fld="6" item="2"/>
          <tpl hier="236" item="0"/>
          <tpl fld="1" item="0"/>
        </tpls>
      </m>
      <m>
        <tpls c="4">
          <tpl fld="7" item="965"/>
          <tpl fld="6" item="2"/>
          <tpl hier="236" item="0"/>
          <tpl fld="1" item="0"/>
        </tpls>
      </m>
      <m>
        <tpls c="4">
          <tpl fld="7" item="926"/>
          <tpl fld="6" item="2"/>
          <tpl hier="236" item="0"/>
          <tpl fld="1" item="0"/>
        </tpls>
      </m>
      <m>
        <tpls c="4">
          <tpl fld="7" item="1162"/>
          <tpl fld="6" item="2"/>
          <tpl hier="236" item="0"/>
          <tpl fld="1" item="0"/>
        </tpls>
      </m>
      <n v="1" in="2">
        <tpls c="4">
          <tpl fld="7" item="1154"/>
          <tpl fld="6" item="2"/>
          <tpl hier="236" item="0"/>
          <tpl fld="1" item="0"/>
        </tpls>
      </n>
      <m>
        <tpls c="4">
          <tpl fld="7" item="1146"/>
          <tpl fld="6" item="2"/>
          <tpl hier="236" item="0"/>
          <tpl fld="1" item="0"/>
        </tpls>
      </m>
      <m>
        <tpls c="4">
          <tpl fld="7" item="1138"/>
          <tpl fld="6" item="2"/>
          <tpl hier="236" item="0"/>
          <tpl fld="1" item="0"/>
        </tpls>
      </m>
      <m>
        <tpls c="4">
          <tpl fld="7" item="1059"/>
          <tpl fld="6" item="2"/>
          <tpl hier="236" item="0"/>
          <tpl fld="1" item="0"/>
        </tpls>
      </m>
      <m>
        <tpls c="4">
          <tpl fld="7" item="1051"/>
          <tpl fld="6" item="2"/>
          <tpl hier="236" item="0"/>
          <tpl fld="1" item="0"/>
        </tpls>
      </m>
      <m>
        <tpls c="4">
          <tpl fld="7" item="1043"/>
          <tpl fld="6" item="2"/>
          <tpl hier="236" item="0"/>
          <tpl fld="1" item="0"/>
        </tpls>
      </m>
      <m>
        <tpls c="4">
          <tpl fld="7" item="1035"/>
          <tpl fld="6" item="2"/>
          <tpl hier="236" item="0"/>
          <tpl fld="1" item="0"/>
        </tpls>
      </m>
      <m>
        <tpls c="4">
          <tpl fld="7" item="1256"/>
          <tpl fld="6" item="2"/>
          <tpl hier="236" item="0"/>
          <tpl fld="1" item="0"/>
        </tpls>
      </m>
      <m>
        <tpls c="4">
          <tpl fld="7" item="1254"/>
          <tpl fld="6" item="2"/>
          <tpl hier="236" item="0"/>
          <tpl fld="1" item="0"/>
        </tpls>
      </m>
      <m>
        <tpls c="4">
          <tpl fld="7" item="1252"/>
          <tpl fld="6" item="2"/>
          <tpl hier="236" item="0"/>
          <tpl fld="1" item="0"/>
        </tpls>
      </m>
      <m>
        <tpls c="4">
          <tpl fld="7" item="1250"/>
          <tpl fld="6" item="2"/>
          <tpl hier="236" item="0"/>
          <tpl fld="1" item="0"/>
        </tpls>
      </m>
      <m>
        <tpls c="4">
          <tpl fld="7" item="1145"/>
          <tpl fld="6" item="2"/>
          <tpl hier="236" item="0"/>
          <tpl fld="1" item="0"/>
        </tpls>
      </m>
      <m>
        <tpls c="4">
          <tpl fld="7" item="1042"/>
          <tpl fld="6" item="2"/>
          <tpl hier="236" item="0"/>
          <tpl fld="1" item="0"/>
        </tpls>
      </m>
      <m>
        <tpls c="4">
          <tpl fld="7" item="1073"/>
          <tpl fld="6" item="2"/>
          <tpl hier="236" item="0"/>
          <tpl fld="1" item="0"/>
        </tpls>
      </m>
      <m>
        <tpls c="4">
          <tpl fld="7" item="1065"/>
          <tpl fld="6" item="2"/>
          <tpl hier="236" item="0"/>
          <tpl fld="1" item="0"/>
        </tpls>
      </m>
      <m>
        <tpls c="4">
          <tpl fld="7" item="970"/>
          <tpl fld="6" item="2"/>
          <tpl hier="236" item="0"/>
          <tpl fld="1" item="0"/>
        </tpls>
      </m>
      <m>
        <tpls c="4">
          <tpl fld="7" item="1159"/>
          <tpl fld="6" item="2"/>
          <tpl hier="236" item="0"/>
          <tpl fld="1" item="0"/>
        </tpls>
      </m>
      <m>
        <tpls c="4">
          <tpl fld="7" item="1056"/>
          <tpl fld="6" item="2"/>
          <tpl hier="236" item="0"/>
          <tpl fld="1" item="0"/>
        </tpls>
      </m>
      <m>
        <tpls c="4">
          <tpl fld="7" item="1173"/>
          <tpl fld="6" item="2"/>
          <tpl hier="236" item="0"/>
          <tpl fld="1" item="0"/>
        </tpls>
      </m>
      <m>
        <tpls c="4">
          <tpl fld="7" item="957"/>
          <tpl fld="6" item="2"/>
          <tpl hier="236" item="0"/>
          <tpl fld="1" item="0"/>
        </tpls>
      </m>
      <m>
        <tpls c="4">
          <tpl fld="7" item="949"/>
          <tpl fld="6" item="2"/>
          <tpl hier="236" item="0"/>
          <tpl fld="1" item="0"/>
        </tpls>
      </m>
      <m>
        <tpls c="4">
          <tpl fld="7" item="941"/>
          <tpl fld="6" item="2"/>
          <tpl hier="236" item="0"/>
          <tpl fld="1" item="0"/>
        </tpls>
      </m>
      <m>
        <tpls c="4">
          <tpl fld="7" item="933"/>
          <tpl fld="6" item="2"/>
          <tpl hier="236" item="0"/>
          <tpl fld="1" item="0"/>
        </tpls>
      </m>
      <m>
        <tpls c="4">
          <tpl fld="7" item="1231"/>
          <tpl fld="6" item="2"/>
          <tpl hier="236" item="0"/>
          <tpl fld="1" item="0"/>
        </tpls>
      </m>
      <m>
        <tpls c="4">
          <tpl fld="7" item="1229"/>
          <tpl fld="6" item="2"/>
          <tpl hier="236" item="0"/>
          <tpl fld="1" item="0"/>
        </tpls>
      </m>
      <m>
        <tpls c="4">
          <tpl fld="7" item="1227"/>
          <tpl fld="6" item="2"/>
          <tpl hier="236" item="0"/>
          <tpl fld="1" item="0"/>
        </tpls>
      </m>
      <m>
        <tpls c="4">
          <tpl fld="7" item="1225"/>
          <tpl fld="6" item="2"/>
          <tpl hier="236" item="0"/>
          <tpl fld="1" item="0"/>
        </tpls>
      </m>
      <m>
        <tpls c="4">
          <tpl fld="7" item="974"/>
          <tpl fld="6" item="2"/>
          <tpl hier="236" item="0"/>
          <tpl fld="1" item="0"/>
        </tpls>
      </m>
      <m>
        <tpls c="4">
          <tpl fld="7" item="1172"/>
          <tpl fld="6" item="2"/>
          <tpl hier="236" item="0"/>
          <tpl fld="1" item="0"/>
        </tpls>
      </m>
      <m>
        <tpls c="4">
          <tpl fld="7" item="956"/>
          <tpl fld="6" item="2"/>
          <tpl hier="236" item="0"/>
          <tpl fld="1" item="0"/>
        </tpls>
      </m>
      <m>
        <tpls c="4">
          <tpl fld="7" item="948"/>
          <tpl fld="6" item="2"/>
          <tpl hier="236" item="0"/>
          <tpl fld="1" item="0"/>
        </tpls>
      </m>
      <m>
        <tpls c="4">
          <tpl fld="7" item="940"/>
          <tpl fld="6" item="2"/>
          <tpl hier="236" item="0"/>
          <tpl fld="1" item="0"/>
        </tpls>
      </m>
      <m>
        <tpls c="4">
          <tpl fld="7" item="932"/>
          <tpl fld="6" item="2"/>
          <tpl hier="236" item="0"/>
          <tpl fld="1" item="0"/>
        </tpls>
      </m>
      <m>
        <tpls c="4">
          <tpl fld="7" item="1205"/>
          <tpl fld="6" item="2"/>
          <tpl hier="236" item="0"/>
          <tpl fld="1" item="0"/>
        </tpls>
      </m>
      <m>
        <tpls c="4">
          <tpl fld="7" item="1203"/>
          <tpl fld="6" item="2"/>
          <tpl hier="236" item="0"/>
          <tpl fld="1" item="0"/>
        </tpls>
      </m>
      <m>
        <tpls c="4">
          <tpl fld="7" item="1201"/>
          <tpl fld="6" item="2"/>
          <tpl hier="236" item="0"/>
          <tpl fld="1" item="0"/>
        </tpls>
      </m>
      <m>
        <tpls c="4">
          <tpl fld="7" item="1199"/>
          <tpl fld="6" item="2"/>
          <tpl hier="236" item="0"/>
          <tpl fld="1" item="0"/>
        </tpls>
      </m>
      <m>
        <tpls c="4">
          <tpl fld="7" item="971"/>
          <tpl fld="6" item="2"/>
          <tpl hier="236" item="0"/>
          <tpl fld="1" item="0"/>
        </tpls>
      </m>
      <m>
        <tpls c="4">
          <tpl fld="7" item="963"/>
          <tpl fld="6" item="2"/>
          <tpl hier="236" item="0"/>
          <tpl fld="1" item="0"/>
        </tpls>
      </m>
      <m>
        <tpls c="4">
          <tpl fld="7" item="1160"/>
          <tpl fld="6" item="2"/>
          <tpl hier="236" item="0"/>
          <tpl fld="1" item="0"/>
        </tpls>
      </m>
      <m>
        <tpls c="4">
          <tpl fld="7" item="1152"/>
          <tpl fld="6" item="2"/>
          <tpl hier="236" item="0"/>
          <tpl fld="1" item="0"/>
        </tpls>
      </m>
      <m>
        <tpls c="4">
          <tpl fld="7" item="1144"/>
          <tpl fld="6" item="2"/>
          <tpl hier="236" item="0"/>
          <tpl fld="1" item="0"/>
        </tpls>
      </m>
      <m>
        <tpls c="4">
          <tpl fld="7" item="1136"/>
          <tpl fld="6" item="2"/>
          <tpl hier="236" item="0"/>
          <tpl fld="1" item="0"/>
        </tpls>
      </m>
      <m>
        <tpls c="4">
          <tpl fld="7" item="1057"/>
          <tpl fld="6" item="2"/>
          <tpl hier="236" item="0"/>
          <tpl fld="1" item="0"/>
        </tpls>
      </m>
      <m>
        <tpls c="4">
          <tpl fld="7" item="1049"/>
          <tpl fld="6" item="2"/>
          <tpl hier="236" item="0"/>
          <tpl fld="1" item="0"/>
        </tpls>
      </m>
      <m>
        <tpls c="4">
          <tpl fld="7" item="1041"/>
          <tpl fld="6" item="2"/>
          <tpl hier="236" item="0"/>
          <tpl fld="1" item="0"/>
        </tpls>
      </m>
      <m>
        <tpls c="4">
          <tpl fld="7" item="1033"/>
          <tpl fld="6" item="2"/>
          <tpl hier="236" item="0"/>
          <tpl fld="1" item="0"/>
        </tpls>
      </m>
      <m>
        <tpls c="4">
          <tpl fld="7" item="1137"/>
          <tpl fld="6" item="2"/>
          <tpl hier="236" item="0"/>
          <tpl fld="1" item="0"/>
        </tpls>
      </m>
      <m>
        <tpls c="4">
          <tpl fld="7" item="1034"/>
          <tpl fld="6" item="2"/>
          <tpl hier="236" item="0"/>
          <tpl fld="1" item="0"/>
        </tpls>
      </m>
      <m>
        <tpls c="4">
          <tpl fld="7" item="1071"/>
          <tpl fld="6" item="2"/>
          <tpl hier="236" item="0"/>
          <tpl fld="1" item="0"/>
        </tpls>
      </m>
      <n v="0.7" in="2">
        <tpls c="4">
          <tpl fld="7" item="1063"/>
          <tpl fld="6" item="2"/>
          <tpl hier="236" item="0"/>
          <tpl fld="1" item="0"/>
        </tpls>
      </n>
      <m>
        <tpls c="4">
          <tpl fld="7" item="1077"/>
          <tpl fld="6" item="2"/>
          <tpl hier="236" item="0"/>
          <tpl fld="1" item="0"/>
        </tpls>
      </m>
      <m>
        <tpls c="4">
          <tpl fld="7" item="962"/>
          <tpl fld="6" item="2"/>
          <tpl hier="236" item="0"/>
          <tpl fld="1" item="0"/>
        </tpls>
      </m>
      <m>
        <tpls c="4">
          <tpl fld="7" item="1151"/>
          <tpl fld="6" item="2"/>
          <tpl hier="236" item="0"/>
          <tpl fld="1" item="0"/>
        </tpls>
      </m>
      <m>
        <tpls c="4">
          <tpl fld="7" item="1048"/>
          <tpl fld="6" item="2"/>
          <tpl hier="236" item="0"/>
          <tpl fld="1" item="0"/>
        </tpls>
      </m>
      <m>
        <tpls c="4">
          <tpl fld="7" item="1179"/>
          <tpl fld="6" item="2"/>
          <tpl hier="236" item="0"/>
          <tpl fld="1" item="0"/>
        </tpls>
      </m>
      <m>
        <tpls c="4">
          <tpl fld="7" item="1171"/>
          <tpl fld="6" item="2"/>
          <tpl hier="236" item="0"/>
          <tpl fld="1" item="0"/>
        </tpls>
      </m>
      <m>
        <tpls c="4">
          <tpl fld="7" item="955"/>
          <tpl fld="6" item="2"/>
          <tpl hier="236" item="0"/>
          <tpl fld="1" item="0"/>
        </tpls>
      </m>
      <m>
        <tpls c="4">
          <tpl fld="7" item="947"/>
          <tpl fld="6" item="2"/>
          <tpl hier="236" item="0"/>
          <tpl fld="1" item="0"/>
        </tpls>
      </m>
      <m>
        <tpls c="4">
          <tpl fld="7" item="939"/>
          <tpl fld="6" item="2"/>
          <tpl hier="236" item="0"/>
          <tpl fld="1" item="0"/>
        </tpls>
      </m>
      <m>
        <tpls c="4">
          <tpl fld="7" item="931"/>
          <tpl fld="6" item="2"/>
          <tpl hier="236" item="0"/>
          <tpl fld="1" item="0"/>
        </tpls>
      </m>
      <m>
        <tpls c="4">
          <tpl fld="7" item="1178"/>
          <tpl fld="6" item="2"/>
          <tpl hier="236" item="0"/>
          <tpl fld="1" item="0"/>
        </tpls>
      </m>
      <m>
        <tpls c="4">
          <tpl fld="7" item="1170"/>
          <tpl fld="6" item="2"/>
          <tpl hier="236" item="0"/>
          <tpl fld="1" item="0"/>
        </tpls>
      </m>
      <m>
        <tpls c="4">
          <tpl fld="7" item="954"/>
          <tpl fld="6" item="2"/>
          <tpl hier="236" item="0"/>
          <tpl fld="1" item="0"/>
        </tpls>
      </m>
      <m>
        <tpls c="4">
          <tpl fld="7" item="946"/>
          <tpl fld="6" item="2"/>
          <tpl hier="236" item="0"/>
          <tpl fld="1" item="0"/>
        </tpls>
      </m>
      <m>
        <tpls c="4">
          <tpl fld="7" item="938"/>
          <tpl fld="6" item="2"/>
          <tpl hier="236" item="0"/>
          <tpl fld="1" item="0"/>
        </tpls>
      </m>
      <m>
        <tpls c="4">
          <tpl fld="7" item="930"/>
          <tpl fld="6" item="2"/>
          <tpl hier="236" item="0"/>
          <tpl fld="1" item="0"/>
        </tpls>
      </m>
      <m>
        <tpls c="4">
          <tpl fld="7" item="969"/>
          <tpl fld="6" item="2"/>
          <tpl hier="236" item="0"/>
          <tpl fld="1" item="0"/>
        </tpls>
      </m>
      <m>
        <tpls c="4">
          <tpl fld="7" item="961"/>
          <tpl fld="6" item="2"/>
          <tpl hier="236" item="0"/>
          <tpl fld="1" item="0"/>
        </tpls>
      </m>
      <m>
        <tpls c="4">
          <tpl fld="7" item="1158"/>
          <tpl fld="6" item="2"/>
          <tpl hier="236" item="0"/>
          <tpl fld="1" item="0"/>
        </tpls>
      </m>
      <m>
        <tpls c="4">
          <tpl fld="7" item="1150"/>
          <tpl fld="6" item="2"/>
          <tpl hier="236" item="0"/>
          <tpl fld="1" item="0"/>
        </tpls>
      </m>
      <m>
        <tpls c="4">
          <tpl fld="7" item="1142"/>
          <tpl fld="6" item="2"/>
          <tpl hier="236" item="0"/>
          <tpl fld="1" item="0"/>
        </tpls>
      </m>
      <m>
        <tpls c="4">
          <tpl fld="7" item="928"/>
          <tpl fld="6" item="2"/>
          <tpl hier="236" item="0"/>
          <tpl fld="1" item="0"/>
        </tpls>
      </m>
      <m>
        <tpls c="4">
          <tpl fld="7" item="1055"/>
          <tpl fld="6" item="2"/>
          <tpl hier="236" item="0"/>
          <tpl fld="1" item="0"/>
        </tpls>
      </m>
      <m>
        <tpls c="4">
          <tpl fld="7" item="1047"/>
          <tpl fld="6" item="2"/>
          <tpl hier="236" item="0"/>
          <tpl fld="1" item="0"/>
        </tpls>
      </m>
      <m>
        <tpls c="4">
          <tpl fld="7" item="1039"/>
          <tpl fld="6" item="2"/>
          <tpl hier="236" item="0"/>
          <tpl fld="1" item="0"/>
        </tpls>
      </m>
      <m>
        <tpls c="4">
          <tpl fld="7" item="1198"/>
          <tpl fld="6" item="2"/>
          <tpl hier="236" item="0"/>
          <tpl fld="1" item="0"/>
        </tpls>
      </m>
      <m>
        <tpls c="4">
          <tpl fld="7" item="1279"/>
          <tpl fld="6" item="2"/>
          <tpl hier="236" item="0"/>
          <tpl fld="1" item="0"/>
        </tpls>
      </m>
      <m>
        <tpls c="4">
          <tpl fld="7" item="1279"/>
          <tpl fld="6" item="2"/>
          <tpl hier="236" item="0"/>
          <tpl fld="4" item="6"/>
        </tpls>
      </m>
      <n v="40" in="1">
        <tpls c="4">
          <tpl fld="7" item="1280"/>
          <tpl fld="6" item="1"/>
          <tpl hier="236" item="0"/>
          <tpl fld="1" item="0"/>
        </tpls>
      </n>
      <m>
        <tpls c="4">
          <tpl fld="7" item="1280"/>
          <tpl fld="6" item="2"/>
          <tpl hier="236" item="0"/>
          <tpl fld="4" item="6"/>
        </tpls>
      </m>
      <m>
        <tpls c="4">
          <tpl fld="7" item="1280"/>
          <tpl fld="6" item="2"/>
          <tpl hier="236" item="0"/>
          <tpl fld="1" item="0"/>
        </tpls>
      </m>
      <m>
        <tpls c="3">
          <tpl fld="7" item="948"/>
          <tpl fld="6" item="3"/>
          <tpl hier="236" item="0"/>
        </tpls>
      </m>
      <m>
        <tpls c="3">
          <tpl fld="7" item="934"/>
          <tpl fld="6" item="3"/>
          <tpl hier="236" item="0"/>
        </tpls>
      </m>
      <m>
        <tpls c="3">
          <tpl fld="7" item="1205"/>
          <tpl fld="6" item="3"/>
          <tpl hier="236" item="0"/>
        </tpls>
      </m>
      <m>
        <tpls c="3">
          <tpl fld="7" item="1049"/>
          <tpl fld="6" item="3"/>
          <tpl hier="236" item="0"/>
        </tpls>
      </m>
      <m>
        <tpls c="3">
          <tpl fld="7" item="1038"/>
          <tpl fld="6" item="3"/>
          <tpl hier="236" item="0"/>
        </tpls>
      </m>
      <m>
        <tpls c="3">
          <tpl fld="7" item="1176"/>
          <tpl fld="6" item="3"/>
          <tpl hier="236" item="0"/>
        </tpls>
      </m>
      <m>
        <tpls c="3">
          <tpl fld="7" item="1168"/>
          <tpl fld="6" item="3"/>
          <tpl hier="236" item="0"/>
        </tpls>
      </m>
      <m>
        <tpls c="3">
          <tpl fld="7" item="1158"/>
          <tpl fld="6" item="3"/>
          <tpl hier="236" item="0"/>
        </tpls>
      </m>
      <m>
        <tpls c="3">
          <tpl fld="7" item="1059"/>
          <tpl fld="6" item="3"/>
          <tpl hier="236" item="0"/>
        </tpls>
      </m>
      <m>
        <tpls c="3">
          <tpl fld="7" item="1048"/>
          <tpl fld="6" item="3"/>
          <tpl hier="236" item="0"/>
        </tpls>
      </m>
      <m>
        <tpls c="3">
          <tpl fld="7" item="1251"/>
          <tpl fld="6" item="3"/>
          <tpl hier="236" item="0"/>
        </tpls>
      </m>
      <m>
        <tpls c="3">
          <tpl fld="7" item="931"/>
          <tpl fld="6" item="3"/>
          <tpl hier="236" item="0"/>
        </tpls>
      </m>
      <m>
        <tpls c="3">
          <tpl fld="7" item="936"/>
          <tpl fld="6" item="3"/>
          <tpl hier="236" item="0"/>
        </tpls>
      </m>
      <m>
        <tpls c="3">
          <tpl fld="7" item="1274"/>
          <tpl fld="6" item="3"/>
          <tpl hier="236" item="0"/>
        </tpls>
      </m>
      <m>
        <tpls c="3">
          <tpl fld="7" item="1273"/>
          <tpl fld="6" item="3"/>
          <tpl hier="236" item="0"/>
        </tpls>
      </m>
      <m>
        <tpls c="3">
          <tpl fld="7" item="1266"/>
          <tpl fld="6" item="3"/>
          <tpl hier="236" item="0"/>
        </tpls>
      </m>
      <m>
        <tpls c="3">
          <tpl fld="7" item="1133"/>
          <tpl fld="6" item="3"/>
          <tpl hier="236" item="0"/>
        </tpls>
      </m>
      <m>
        <tpls c="3">
          <tpl fld="7" item="1057"/>
          <tpl fld="6" item="3"/>
          <tpl hier="236" item="0"/>
        </tpls>
      </m>
      <m>
        <tpls c="3">
          <tpl fld="7" item="1046"/>
          <tpl fld="6" item="3"/>
          <tpl hier="236" item="0"/>
        </tpls>
      </m>
      <m>
        <tpls c="3">
          <tpl fld="7" item="1199"/>
          <tpl fld="6" item="3"/>
          <tpl hier="236" item="0"/>
        </tpls>
      </m>
      <m>
        <tpls c="3">
          <tpl fld="7" item="926"/>
          <tpl fld="6" item="3"/>
          <tpl hier="236" item="0"/>
        </tpls>
      </m>
      <m>
        <tpls c="3">
          <tpl fld="7" item="1182"/>
          <tpl fld="6" item="3"/>
          <tpl hier="236" item="0"/>
        </tpls>
      </m>
      <m>
        <tpls c="3">
          <tpl fld="7" item="1174"/>
          <tpl fld="6" item="3"/>
          <tpl hier="236" item="0"/>
        </tpls>
      </m>
      <m>
        <tpls c="3">
          <tpl fld="7" item="1166"/>
          <tpl fld="6" item="3"/>
          <tpl hier="236" item="0"/>
        </tpls>
      </m>
      <m>
        <tpls c="3">
          <tpl fld="7" item="958"/>
          <tpl fld="6" item="3"/>
          <tpl hier="236" item="0"/>
        </tpls>
      </m>
      <m>
        <tpls c="3">
          <tpl fld="7" item="1056"/>
          <tpl fld="6" item="3"/>
          <tpl hier="236" item="0"/>
        </tpls>
      </m>
      <m>
        <tpls c="3">
          <tpl fld="7" item="1253"/>
          <tpl fld="6" item="3"/>
          <tpl hier="236" item="0"/>
        </tpls>
      </m>
      <m>
        <tpls c="3">
          <tpl fld="7" item="1035"/>
          <tpl fld="6" item="3"/>
          <tpl hier="236" item="0"/>
        </tpls>
      </m>
      <m>
        <tpls c="3">
          <tpl fld="7" item="944"/>
          <tpl fld="6" item="3"/>
          <tpl hier="236" item="0"/>
        </tpls>
      </m>
      <m>
        <tpls c="3">
          <tpl fld="7" item="1230"/>
          <tpl fld="6" item="3"/>
          <tpl hier="236" item="0"/>
        </tpls>
      </m>
      <m>
        <tpls c="3">
          <tpl fld="7" item="1228"/>
          <tpl fld="6" item="3"/>
          <tpl hier="236" item="0"/>
        </tpls>
      </m>
      <m>
        <tpls c="3">
          <tpl fld="7" item="1226"/>
          <tpl fld="6" item="3"/>
          <tpl hier="236" item="0"/>
        </tpls>
      </m>
      <m>
        <tpls c="3">
          <tpl fld="7" item="875"/>
          <tpl fld="6" item="3"/>
          <tpl hier="236" item="0"/>
        </tpls>
      </m>
      <m>
        <tpls c="3">
          <tpl fld="7" item="1137"/>
          <tpl fld="6" item="3"/>
          <tpl hier="236" item="0"/>
        </tpls>
      </m>
      <m>
        <tpls c="3">
          <tpl fld="7" item="932"/>
          <tpl fld="6" item="3"/>
          <tpl hier="236" item="0"/>
        </tpls>
      </m>
      <m>
        <tpls c="3">
          <tpl fld="7" item="1138"/>
          <tpl fld="6" item="3"/>
          <tpl hier="236" item="0"/>
        </tpls>
      </m>
      <m>
        <tpls c="3">
          <tpl fld="7" item="1283"/>
          <tpl fld="6" item="3"/>
          <tpl hier="236" item="0"/>
        </tpls>
      </m>
      <m>
        <tpls c="4">
          <tpl fld="7" item="1283"/>
          <tpl fld="6" item="1"/>
          <tpl hier="236" item="0"/>
          <tpl fld="4" item="6"/>
        </tpls>
      </m>
      <m>
        <tpls c="4">
          <tpl fld="7" item="1283"/>
          <tpl fld="6" item="1"/>
          <tpl hier="236" item="0"/>
          <tpl fld="4" item="5"/>
        </tpls>
      </m>
      <m>
        <tpls c="4">
          <tpl fld="7" item="1283"/>
          <tpl fld="6" item="2"/>
          <tpl hier="236" item="0"/>
          <tpl fld="4" item="5"/>
        </tpls>
      </m>
      <m>
        <tpls c="4">
          <tpl fld="7" item="1283"/>
          <tpl fld="6" item="2"/>
          <tpl hier="236" item="0"/>
          <tpl fld="1" item="0"/>
        </tpls>
      </m>
      <n v="14" in="1">
        <tpls c="5">
          <tpl fld="11" item="0"/>
          <tpl fld="5" item="0"/>
          <tpl fld="6" item="1"/>
          <tpl hier="236" item="0"/>
          <tpl fld="4" item="2"/>
        </tpls>
      </n>
      <n v="8.1999999999999993" in="2">
        <tpls c="5">
          <tpl fld="11" item="0"/>
          <tpl fld="5" item="2"/>
          <tpl fld="6" item="2"/>
          <tpl hier="236" item="0"/>
          <tpl fld="4" item="2"/>
        </tpls>
      </n>
      <m>
        <tpls c="4">
          <tpl fld="7" item="1285"/>
          <tpl fld="6" item="1"/>
          <tpl hier="236" item="0"/>
          <tpl fld="4" item="5"/>
        </tpls>
      </m>
      <m>
        <tpls c="4">
          <tpl fld="7" item="1285"/>
          <tpl fld="6" item="2"/>
          <tpl hier="236" item="0"/>
          <tpl fld="1" item="0"/>
        </tpls>
      </m>
      <n v="43" in="1">
        <tpls c="4">
          <tpl fld="7" item="1285"/>
          <tpl fld="6" item="1"/>
          <tpl hier="236" item="0"/>
          <tpl fld="1" item="0"/>
        </tpls>
      </n>
      <n v="2.2999999999999998" in="2">
        <tpls c="6">
          <tpl fld="3" item="2"/>
          <tpl fld="11" item="0"/>
          <tpl fld="6" item="2"/>
          <tpl hier="236" item="0"/>
          <tpl fld="4" item="1"/>
          <tpl fld="9" item="3"/>
        </tpls>
      </n>
      <m>
        <tpls c="6">
          <tpl fld="3" item="2"/>
          <tpl fld="11" item="0"/>
          <tpl fld="6" item="2"/>
          <tpl hier="236" item="0"/>
          <tpl fld="4" item="3"/>
          <tpl fld="10" item="4"/>
        </tpls>
      </m>
      <n v="47.55" in="2">
        <tpls c="6">
          <tpl fld="11" item="0"/>
          <tpl fld="5" item="2"/>
          <tpl fld="6" item="2"/>
          <tpl hier="236" item="0"/>
          <tpl fld="4" item="4"/>
          <tpl fld="10" item="0"/>
        </tpls>
      </n>
      <n v="1291" in="1">
        <tpls c="6">
          <tpl fld="11" item="0"/>
          <tpl fld="5" item="3"/>
          <tpl fld="6" item="1"/>
          <tpl hier="236" item="0"/>
          <tpl fld="4" item="4"/>
          <tpl fld="10" item="0"/>
        </tpls>
      </n>
      <n v="355" in="1">
        <tpls c="6">
          <tpl fld="3" item="4"/>
          <tpl fld="11" item="0"/>
          <tpl fld="6" item="1"/>
          <tpl hier="236" item="0"/>
          <tpl fld="4" item="4"/>
          <tpl fld="10" item="5"/>
        </tpls>
      </n>
      <m>
        <tpls c="6">
          <tpl fld="3" item="3"/>
          <tpl fld="11" item="0"/>
          <tpl fld="6" item="2"/>
          <tpl hier="236" item="0"/>
          <tpl fld="4" item="4"/>
          <tpl fld="10" item="5"/>
        </tpls>
      </m>
      <n v="531" in="1">
        <tpls c="6">
          <tpl fld="11" item="0"/>
          <tpl fld="2" item="3"/>
          <tpl fld="6" item="1"/>
          <tpl hier="236" item="0"/>
          <tpl fld="4" item="4"/>
          <tpl fld="10" item="8"/>
        </tpls>
      </n>
      <n v="985" in="1">
        <tpls c="6">
          <tpl fld="11" item="0"/>
          <tpl fld="2" item="0"/>
          <tpl fld="6" item="1"/>
          <tpl hier="236" item="0"/>
          <tpl fld="4" item="4"/>
          <tpl fld="10" item="8"/>
        </tpls>
      </n>
      <n v="481" in="1">
        <tpls c="6">
          <tpl fld="11" item="0"/>
          <tpl fld="2" item="4"/>
          <tpl fld="6" item="1"/>
          <tpl hier="236" item="0"/>
          <tpl fld="4" item="4"/>
          <tpl fld="10" item="8"/>
        </tpls>
      </n>
      <n v="0" in="1">
        <tpls c="6">
          <tpl fld="11" item="0"/>
          <tpl fld="5" item="0"/>
          <tpl fld="6" item="1"/>
          <tpl hier="236" item="0"/>
          <tpl fld="4" item="3"/>
          <tpl fld="10" item="0"/>
        </tpls>
      </n>
      <n v="0" in="1">
        <tpls c="6">
          <tpl fld="11" item="0"/>
          <tpl fld="5" item="4"/>
          <tpl fld="6" item="1"/>
          <tpl hier="236" item="0"/>
          <tpl fld="4" item="3"/>
          <tpl fld="10" item="0"/>
        </tpls>
      </n>
      <m>
        <tpls c="6">
          <tpl fld="11" item="0"/>
          <tpl fld="5" item="3"/>
          <tpl fld="6" item="2"/>
          <tpl hier="236" item="0"/>
          <tpl fld="4" item="3"/>
          <tpl fld="10" item="0"/>
        </tpls>
      </m>
      <m>
        <tpls c="6">
          <tpl fld="11" item="0"/>
          <tpl fld="5" item="2"/>
          <tpl fld="6" item="2"/>
          <tpl hier="236" item="0"/>
          <tpl fld="4" item="3"/>
          <tpl fld="10" item="0"/>
        </tpls>
      </m>
      <m>
        <tpls c="4">
          <tpl fld="7" item="1287"/>
          <tpl fld="6" item="1"/>
          <tpl hier="236" item="0"/>
          <tpl fld="4" item="5"/>
        </tpls>
      </m>
      <n v="1" in="1">
        <tpls c="4">
          <tpl fld="7" item="1287"/>
          <tpl fld="6" item="1"/>
          <tpl hier="236" item="0"/>
          <tpl fld="4" item="6"/>
        </tpls>
      </n>
      <n v="3" in="1">
        <tpls c="4">
          <tpl fld="7" item="1287"/>
          <tpl fld="6" item="1"/>
          <tpl hier="236" item="0"/>
          <tpl fld="1" item="0"/>
        </tpls>
      </n>
      <m>
        <tpls c="3">
          <tpl fld="7" item="1287"/>
          <tpl fld="6" item="3"/>
          <tpl hier="236" item="0"/>
        </tpls>
      </m>
      <m>
        <tpls c="4">
          <tpl fld="7" item="1287"/>
          <tpl fld="6" item="2"/>
          <tpl hier="236" item="0"/>
          <tpl fld="4" item="5"/>
        </tpls>
      </m>
      <m>
        <tpls c="4">
          <tpl fld="7" item="1287"/>
          <tpl fld="6" item="2"/>
          <tpl hier="236" item="0"/>
          <tpl fld="4" item="6"/>
        </tpls>
      </m>
      <m>
        <tpls c="4">
          <tpl fld="7" item="1287"/>
          <tpl fld="6" item="2"/>
          <tpl hier="236" item="0"/>
          <tpl fld="1" item="0"/>
        </tpls>
      </m>
      <n v="141" in="1">
        <tpls c="6">
          <tpl fld="11" item="0"/>
          <tpl fld="5" item="5"/>
          <tpl fld="6" item="1"/>
          <tpl hier="236" item="0"/>
          <tpl fld="4" item="1"/>
          <tpl fld="9" item="1"/>
        </tpls>
      </n>
      <m>
        <tpls c="6">
          <tpl fld="11" item="0"/>
          <tpl fld="5" item="0"/>
          <tpl fld="6" item="2"/>
          <tpl hier="236" item="0"/>
          <tpl fld="4" item="1"/>
          <tpl fld="9" item="1"/>
        </tpls>
      </m>
      <n v="91" in="1">
        <tpls c="6">
          <tpl fld="11" item="0"/>
          <tpl fld="5" item="2"/>
          <tpl fld="6" item="1"/>
          <tpl hier="236" item="0"/>
          <tpl fld="4" item="1"/>
          <tpl fld="9" item="1"/>
        </tpls>
      </n>
      <n v="60" in="1">
        <tpls c="6">
          <tpl fld="11" item="0"/>
          <tpl fld="5" item="0"/>
          <tpl fld="6" item="1"/>
          <tpl hier="236" item="0"/>
          <tpl fld="4" item="1"/>
          <tpl fld="9" item="1"/>
        </tpls>
      </n>
      <n v="9.6718918918918924" in="2">
        <tpls c="6">
          <tpl fld="11" item="0"/>
          <tpl fld="5" item="3"/>
          <tpl fld="6" item="2"/>
          <tpl hier="236" item="0"/>
          <tpl fld="4" item="1"/>
          <tpl fld="9" item="1"/>
        </tpls>
      </n>
      <n v="0" in="1">
        <tpls c="6">
          <tpl fld="11" item="0"/>
          <tpl fld="5" item="0"/>
          <tpl fld="6" item="1"/>
          <tpl hier="236" item="0"/>
          <tpl fld="4" item="7"/>
          <tpl fld="10" item="4"/>
        </tpls>
      </n>
      <n v="0" in="1">
        <tpls c="6">
          <tpl fld="11" item="0"/>
          <tpl fld="5" item="3"/>
          <tpl fld="6" item="1"/>
          <tpl hier="236" item="0"/>
          <tpl fld="4" item="7"/>
          <tpl fld="10" item="4"/>
        </tpls>
      </n>
      <m>
        <tpls c="6">
          <tpl fld="11" item="0"/>
          <tpl fld="5" item="3"/>
          <tpl fld="6" item="2"/>
          <tpl hier="236" item="0"/>
          <tpl fld="4" item="7"/>
          <tpl fld="10" item="4"/>
        </tpls>
      </m>
      <m>
        <tpls c="6">
          <tpl fld="11" item="0"/>
          <tpl fld="5" item="2"/>
          <tpl fld="6" item="2"/>
          <tpl hier="236" item="0"/>
          <tpl fld="4" item="7"/>
          <tpl fld="10" item="4"/>
        </tpls>
      </m>
      <n v="102" in="1">
        <tpls c="6">
          <tpl fld="11" item="0"/>
          <tpl fld="5" item="5"/>
          <tpl fld="6" item="1"/>
          <tpl hier="236" item="0"/>
          <tpl fld="4" item="7"/>
          <tpl fld="10" item="4"/>
        </tpls>
      </n>
      <n v="0" in="1">
        <tpls c="6">
          <tpl fld="11" item="0"/>
          <tpl fld="5" item="4"/>
          <tpl fld="6" item="1"/>
          <tpl hier="236" item="0"/>
          <tpl fld="4" item="7"/>
          <tpl fld="10" item="4"/>
        </tpls>
      </n>
      <m>
        <tpls c="6">
          <tpl fld="11" item="0"/>
          <tpl fld="5" item="0"/>
          <tpl fld="6" item="2"/>
          <tpl hier="236" item="0"/>
          <tpl fld="4" item="7"/>
          <tpl fld="10" item="4"/>
        </tpls>
      </m>
      <m>
        <tpls c="6">
          <tpl fld="11" item="0"/>
          <tpl fld="5" item="4"/>
          <tpl fld="6" item="2"/>
          <tpl hier="236" item="0"/>
          <tpl fld="4" item="7"/>
          <tpl fld="10" item="4"/>
        </tpls>
      </m>
      <m>
        <tpls c="6">
          <tpl fld="11" item="0"/>
          <tpl fld="2" item="0"/>
          <tpl fld="6" item="2"/>
          <tpl hier="236" item="0"/>
          <tpl fld="4" item="3"/>
          <tpl fld="10" item="1"/>
        </tpls>
      </m>
      <n v="83" in="1">
        <tpls c="6">
          <tpl fld="11" item="0"/>
          <tpl fld="2" item="3"/>
          <tpl fld="6" item="1"/>
          <tpl hier="236" item="0"/>
          <tpl fld="4" item="3"/>
          <tpl fld="10" item="1"/>
        </tpls>
      </n>
      <m>
        <tpls c="6">
          <tpl fld="3" item="3"/>
          <tpl fld="11" item="0"/>
          <tpl fld="6" item="2"/>
          <tpl hier="236" item="0"/>
          <tpl fld="4" item="1"/>
          <tpl fld="9" item="3"/>
        </tpls>
      </m>
      <n v="523" in="1">
        <tpls c="6">
          <tpl fld="3" item="3"/>
          <tpl fld="11" item="0"/>
          <tpl fld="6" item="1"/>
          <tpl hier="236" item="0"/>
          <tpl fld="4" item="3"/>
          <tpl fld="10" item="4"/>
        </tpls>
      </n>
      <n v="1" in="1">
        <tpls c="6">
          <tpl fld="3" item="3"/>
          <tpl fld="11" item="0"/>
          <tpl fld="6" item="1"/>
          <tpl hier="236" item="0"/>
          <tpl fld="4" item="1"/>
          <tpl fld="9" item="0"/>
        </tpls>
      </n>
      <n v="65" in="1">
        <tpls c="6">
          <tpl fld="3" item="3"/>
          <tpl fld="11" item="0"/>
          <tpl fld="6" item="1"/>
          <tpl hier="236" item="0"/>
          <tpl fld="4" item="6"/>
          <tpl fld="10" item="0"/>
        </tpls>
      </n>
      <n v="1.6" in="2">
        <tpls c="6">
          <tpl fld="3" item="3"/>
          <tpl fld="11" item="0"/>
          <tpl fld="6" item="2"/>
          <tpl hier="236" item="0"/>
          <tpl fld="4" item="6"/>
          <tpl fld="10" item="4"/>
        </tpls>
      </n>
      <n v="26" in="1">
        <tpls c="6">
          <tpl fld="3" item="3"/>
          <tpl fld="11" item="0"/>
          <tpl fld="6" item="1"/>
          <tpl hier="236" item="0"/>
          <tpl fld="4" item="1"/>
          <tpl fld="9" item="2"/>
        </tpls>
      </n>
      <n v="2" in="2">
        <tpls c="5">
          <tpl fld="3" item="3"/>
          <tpl fld="11" item="0"/>
          <tpl fld="6" item="2"/>
          <tpl hier="236" item="0"/>
          <tpl fld="4" item="0"/>
        </tpls>
      </n>
      <n v="536" in="1">
        <tpls c="6">
          <tpl fld="3" item="3"/>
          <tpl fld="11" item="0"/>
          <tpl fld="6" item="1"/>
          <tpl hier="236" item="0"/>
          <tpl fld="4" item="7"/>
          <tpl fld="10" item="3"/>
        </tpls>
      </n>
      <m>
        <tpls c="6">
          <tpl fld="3" item="3"/>
          <tpl fld="11" item="0"/>
          <tpl fld="6" item="1"/>
          <tpl hier="236" item="0"/>
          <tpl fld="4" item="3"/>
          <tpl fld="10" item="6"/>
        </tpls>
      </m>
      <n v="11.895945945945945" in="2">
        <tpls c="6">
          <tpl fld="3" item="3"/>
          <tpl fld="11" item="0"/>
          <tpl fld="6" item="2"/>
          <tpl hier="236" item="0"/>
          <tpl fld="4" item="4"/>
          <tpl fld="10" item="3"/>
        </tpls>
      </n>
      <n v="284" in="1">
        <tpls c="6">
          <tpl fld="3" item="3"/>
          <tpl fld="11" item="0"/>
          <tpl fld="6" item="1"/>
          <tpl hier="236" item="0"/>
          <tpl fld="4" item="3"/>
          <tpl fld="10" item="0"/>
        </tpls>
      </n>
      <n v="168" in="1">
        <tpls c="6">
          <tpl fld="3" item="3"/>
          <tpl fld="11" item="0"/>
          <tpl fld="6" item="1"/>
          <tpl hier="236" item="0"/>
          <tpl fld="4" item="6"/>
          <tpl fld="10" item="8"/>
        </tpls>
      </n>
      <n v="8.3175675675675684" in="2">
        <tpls c="6">
          <tpl fld="3" item="3"/>
          <tpl fld="11" item="0"/>
          <tpl fld="6" item="2"/>
          <tpl hier="236" item="0"/>
          <tpl fld="4" item="4"/>
          <tpl fld="10" item="2"/>
        </tpls>
      </n>
      <n v="208.33675675675667" in="2">
        <tpls c="5">
          <tpl fld="3" item="3"/>
          <tpl fld="11" item="0"/>
          <tpl fld="6" item="2"/>
          <tpl hier="236" item="0"/>
          <tpl fld="1" item="0"/>
        </tpls>
      </n>
      <m>
        <tpls c="6">
          <tpl fld="3" item="3"/>
          <tpl fld="11" item="0"/>
          <tpl fld="6" item="2"/>
          <tpl hier="236" item="0"/>
          <tpl fld="4" item="6"/>
          <tpl fld="10" item="7"/>
        </tpls>
      </m>
      <n v="1" in="1">
        <tpls c="6">
          <tpl fld="3" item="3"/>
          <tpl fld="11" item="0"/>
          <tpl fld="6" item="1"/>
          <tpl hier="236" item="0"/>
          <tpl fld="4" item="7"/>
          <tpl fld="10" item="5"/>
        </tpls>
      </n>
      <m>
        <tpls c="6">
          <tpl fld="3" item="3"/>
          <tpl fld="11" item="0"/>
          <tpl fld="6" item="2"/>
          <tpl hier="236" item="0"/>
          <tpl fld="4" item="7"/>
          <tpl fld="10" item="5"/>
        </tpls>
      </m>
      <n v="32" in="1">
        <tpls c="6">
          <tpl fld="3" item="3"/>
          <tpl fld="11" item="0"/>
          <tpl fld="6" item="1"/>
          <tpl hier="236" item="0"/>
          <tpl fld="4" item="1"/>
          <tpl fld="9" item="1"/>
        </tpls>
      </n>
      <m>
        <tpls c="6">
          <tpl fld="3" item="3"/>
          <tpl fld="11" item="0"/>
          <tpl fld="6" item="2"/>
          <tpl hier="236" item="0"/>
          <tpl fld="4" item="3"/>
          <tpl fld="10" item="5"/>
        </tpls>
      </m>
      <n v="19.05" in="2">
        <tpls c="6">
          <tpl fld="3" item="3"/>
          <tpl fld="11" item="0"/>
          <tpl fld="6" item="2"/>
          <tpl hier="236" item="0"/>
          <tpl fld="4" item="4"/>
          <tpl fld="10" item="8"/>
        </tpls>
      </n>
      <n v="21" in="1">
        <tpls c="6">
          <tpl fld="3" item="3"/>
          <tpl fld="11" item="0"/>
          <tpl fld="6" item="1"/>
          <tpl hier="236" item="0"/>
          <tpl fld="4" item="4"/>
          <tpl fld="10" item="1"/>
        </tpls>
      </n>
      <n v="8.2959459459459453" in="2">
        <tpls c="6">
          <tpl fld="3" item="3"/>
          <tpl fld="11" item="0"/>
          <tpl fld="6" item="2"/>
          <tpl hier="236" item="0"/>
          <tpl fld="4" item="4"/>
          <tpl fld="10" item="7"/>
        </tpls>
      </n>
      <n v="34.581081081081081" in="2">
        <tpls c="6">
          <tpl fld="3" item="3"/>
          <tpl fld="11" item="0"/>
          <tpl fld="6" item="2"/>
          <tpl hier="236" item="0"/>
          <tpl fld="4" item="3"/>
          <tpl fld="10" item="8"/>
        </tpls>
      </n>
      <n v="54" in="1">
        <tpls c="6">
          <tpl fld="3" item="3"/>
          <tpl fld="11" item="0"/>
          <tpl fld="6" item="1"/>
          <tpl hier="236" item="0"/>
          <tpl fld="4" item="1"/>
          <tpl fld="9" item="4"/>
        </tpls>
      </n>
      <n v="3.8" in="2">
        <tpls c="6">
          <tpl fld="3" item="3"/>
          <tpl fld="11" item="0"/>
          <tpl fld="6" item="2"/>
          <tpl hier="236" item="0"/>
          <tpl fld="4" item="3"/>
          <tpl fld="10" item="0"/>
        </tpls>
      </n>
      <m>
        <tpls c="6">
          <tpl fld="3" item="3"/>
          <tpl fld="11" item="0"/>
          <tpl fld="6" item="1"/>
          <tpl hier="236" item="0"/>
          <tpl fld="4" item="7"/>
          <tpl fld="10" item="6"/>
        </tpls>
      </m>
      <n v="17.202702702702702" in="2">
        <tpls c="6">
          <tpl fld="3" item="3"/>
          <tpl fld="11" item="0"/>
          <tpl fld="6" item="2"/>
          <tpl hier="236" item="0"/>
          <tpl fld="4" item="3"/>
          <tpl fld="10" item="4"/>
        </tpls>
      </n>
      <n v="4.9000000000000004" in="2">
        <tpls c="5">
          <tpl fld="3" item="3"/>
          <tpl fld="11" item="0"/>
          <tpl fld="6" item="2"/>
          <tpl hier="236" item="0"/>
          <tpl fld="4" item="5"/>
        </tpls>
      </n>
      <n v="7.9797297297297298" in="2">
        <tpls c="6">
          <tpl fld="3" item="3"/>
          <tpl fld="11" item="0"/>
          <tpl fld="6" item="2"/>
          <tpl hier="236" item="0"/>
          <tpl fld="4" item="6"/>
          <tpl fld="10" item="8"/>
        </tpls>
      </n>
      <n v="3" in="2">
        <tpls c="6">
          <tpl fld="3" item="3"/>
          <tpl fld="11" item="0"/>
          <tpl fld="6" item="2"/>
          <tpl hier="236" item="0"/>
          <tpl fld="4" item="3"/>
          <tpl fld="10" item="3"/>
        </tpls>
      </n>
      <n v="851" in="1">
        <tpls c="6">
          <tpl fld="3" item="3"/>
          <tpl fld="11" item="0"/>
          <tpl fld="6" item="1"/>
          <tpl hier="236" item="0"/>
          <tpl fld="4" item="4"/>
          <tpl fld="10" item="2"/>
        </tpls>
      </n>
      <n v="7" in="2">
        <tpls c="6">
          <tpl fld="3" item="3"/>
          <tpl fld="11" item="0"/>
          <tpl fld="6" item="2"/>
          <tpl hier="236" item="0"/>
          <tpl fld="4" item="7"/>
          <tpl fld="10" item="3"/>
        </tpls>
      </n>
      <n v="677" in="1">
        <tpls c="6">
          <tpl fld="3" item="3"/>
          <tpl fld="11" item="0"/>
          <tpl fld="6" item="1"/>
          <tpl hier="236" item="0"/>
          <tpl fld="4" item="7"/>
          <tpl fld="10" item="8"/>
        </tpls>
      </n>
      <n v="1" in="2">
        <tpls c="6">
          <tpl fld="3" item="3"/>
          <tpl fld="11" item="0"/>
          <tpl fld="6" item="2"/>
          <tpl hier="236" item="0"/>
          <tpl fld="4" item="3"/>
          <tpl fld="10" item="1"/>
        </tpls>
      </n>
      <n v="2144" in="1">
        <tpls c="6">
          <tpl fld="3" item="3"/>
          <tpl fld="11" item="0"/>
          <tpl fld="6" item="1"/>
          <tpl hier="236" item="0"/>
          <tpl fld="4" item="3"/>
          <tpl fld="10" item="2"/>
        </tpls>
      </n>
      <n v="4.8033783783783779" in="2">
        <tpls c="5">
          <tpl fld="3" item="3"/>
          <tpl fld="11" item="0"/>
          <tpl fld="6" item="2"/>
          <tpl hier="236" item="0"/>
          <tpl fld="4" item="2"/>
        </tpls>
      </n>
      <n v="5" in="1">
        <tpls c="6">
          <tpl fld="3" item="3"/>
          <tpl fld="11" item="0"/>
          <tpl fld="6" item="1"/>
          <tpl hier="236" item="0"/>
          <tpl fld="4" item="6"/>
          <tpl fld="10" item="5"/>
        </tpls>
      </n>
      <n v="29" in="1">
        <tpls c="5">
          <tpl fld="3" item="3"/>
          <tpl fld="11" item="0"/>
          <tpl fld="6" item="1"/>
          <tpl hier="236" item="0"/>
          <tpl fld="4" item="2"/>
        </tpls>
      </n>
      <n v="15" in="1">
        <tpls c="6">
          <tpl fld="3" item="3"/>
          <tpl fld="11" item="0"/>
          <tpl fld="6" item="1"/>
          <tpl hier="236" item="0"/>
          <tpl fld="4" item="4"/>
          <tpl fld="10" item="5"/>
        </tpls>
      </n>
      <n v="2" in="1">
        <tpls c="6">
          <tpl fld="3" item="3"/>
          <tpl fld="11" item="0"/>
          <tpl fld="6" item="1"/>
          <tpl hier="236" item="0"/>
          <tpl fld="4" item="6"/>
          <tpl fld="10" item="6"/>
        </tpls>
      </n>
      <n v="15460" in="1">
        <tpls c="5">
          <tpl fld="3" item="3"/>
          <tpl fld="11" item="0"/>
          <tpl fld="6" item="1"/>
          <tpl hier="236" item="0"/>
          <tpl fld="1" item="0"/>
        </tpls>
      </n>
      <m>
        <tpls c="6">
          <tpl fld="3" item="3"/>
          <tpl fld="11" item="0"/>
          <tpl fld="6" item="2"/>
          <tpl hier="236" item="0"/>
          <tpl fld="4" item="6"/>
          <tpl fld="10" item="6"/>
        </tpls>
      </m>
      <n v="51" in="1">
        <tpls c="5">
          <tpl fld="3" item="3"/>
          <tpl fld="11" item="0"/>
          <tpl fld="6" item="1"/>
          <tpl hier="236" item="0"/>
          <tpl fld="4" item="0"/>
        </tpls>
      </n>
      <n v="2" in="1">
        <tpls c="6">
          <tpl fld="3" item="3"/>
          <tpl fld="11" item="0"/>
          <tpl fld="6" item="1"/>
          <tpl hier="236" item="0"/>
          <tpl fld="4" item="4"/>
          <tpl fld="10" item="6"/>
        </tpls>
      </n>
      <n v="27.40844594594595" in="2">
        <tpls c="6">
          <tpl fld="3" item="3"/>
          <tpl fld="11" item="0"/>
          <tpl fld="6" item="2"/>
          <tpl hier="236" item="0"/>
          <tpl fld="4" item="3"/>
          <tpl fld="10" item="2"/>
        </tpls>
      </n>
      <n v="1.7999999999999998" in="2">
        <tpls c="6">
          <tpl fld="3" item="3"/>
          <tpl fld="11" item="0"/>
          <tpl fld="6" item="2"/>
          <tpl hier="236" item="0"/>
          <tpl fld="4" item="7"/>
          <tpl fld="10" item="7"/>
        </tpls>
      </n>
      <m>
        <tpls c="6">
          <tpl fld="3" item="3"/>
          <tpl fld="11" item="0"/>
          <tpl fld="6" item="2"/>
          <tpl hier="236" item="0"/>
          <tpl fld="4" item="1"/>
          <tpl fld="9" item="2"/>
        </tpls>
      </m>
      <m>
        <tpls c="6">
          <tpl fld="3" item="3"/>
          <tpl fld="11" item="0"/>
          <tpl fld="6" item="2"/>
          <tpl hier="236" item="0"/>
          <tpl fld="4" item="4"/>
          <tpl fld="10" item="6"/>
        </tpls>
      </m>
      <n v="1" in="2">
        <tpls c="6">
          <tpl fld="3" item="3"/>
          <tpl fld="11" item="0"/>
          <tpl fld="6" item="2"/>
          <tpl hier="236" item="0"/>
          <tpl fld="4" item="1"/>
          <tpl fld="9" item="0"/>
        </tpls>
      </n>
      <n v="2.7228623476180481E-2" in="0">
        <tpls c="5">
          <tpl fld="11" item="0"/>
          <tpl fld="6" item="0"/>
          <tpl hier="208" item="4294967295"/>
          <tpl hier="236" item="1"/>
          <tpl fld="4" item="4"/>
        </tpls>
      </n>
      <n v="90.802972972972952" in="2">
        <tpls c="3">
          <tpl fld="6" item="2"/>
          <tpl hier="236" item="1"/>
          <tpl fld="4" item="5"/>
        </tpls>
      </n>
      <n v="126.53945945945948" in="2">
        <tpls c="3">
          <tpl fld="6" item="2"/>
          <tpl hier="236" item="1"/>
          <tpl fld="4" item="0"/>
        </tpls>
      </n>
      <m>
        <tpls c="4">
          <tpl fld="7" item="937"/>
          <tpl fld="6" item="2"/>
          <tpl hier="236" item="1"/>
          <tpl fld="4" item="5"/>
        </tpls>
      </m>
      <m>
        <tpls c="4">
          <tpl fld="7" item="1040"/>
          <tpl fld="6" item="2"/>
          <tpl hier="236" item="1"/>
          <tpl fld="4" item="5"/>
        </tpls>
      </m>
      <m>
        <tpls c="5">
          <tpl fld="11" item="0"/>
          <tpl fld="5" item="1"/>
          <tpl fld="6" item="0"/>
          <tpl hier="236" item="1"/>
          <tpl fld="4" item="3"/>
        </tpls>
      </m>
      <n v="9.5113087951598715E-3" in="0">
        <tpls c="5">
          <tpl fld="11" item="0"/>
          <tpl fld="5" item="0"/>
          <tpl fld="6" item="0"/>
          <tpl hier="236" item="1"/>
          <tpl fld="4" item="4"/>
        </tpls>
      </n>
      <n v="0.12862629092507144" in="0">
        <tpls c="5">
          <tpl fld="11" item="0"/>
          <tpl fld="5" item="2"/>
          <tpl fld="6" item="0"/>
          <tpl hier="236" item="1"/>
          <tpl fld="4" item="1"/>
        </tpls>
      </n>
      <m>
        <tpls c="4">
          <tpl fld="7" item="1154"/>
          <tpl fld="6" item="2"/>
          <tpl hier="236" item="1"/>
          <tpl fld="4" item="5"/>
        </tpls>
      </m>
      <m>
        <tpls c="4">
          <tpl fld="7" item="933"/>
          <tpl fld="6" item="2"/>
          <tpl hier="236" item="1"/>
          <tpl fld="4" item="6"/>
        </tpls>
      </m>
      <n v="5.4140091648742165E-2" in="0">
        <tpls c="5">
          <tpl fld="11" item="0"/>
          <tpl fld="6" item="0"/>
          <tpl fld="8" item="0"/>
          <tpl hier="236" item="1"/>
          <tpl fld="4" item="2"/>
        </tpls>
      </n>
      <n v="0.11670103717162535" in="0">
        <tpls c="4">
          <tpl fld="11" item="0"/>
          <tpl fld="6" item="0"/>
          <tpl hier="236" item="1"/>
          <tpl fld="4" item="1"/>
        </tpls>
      </n>
      <n v="8.4454675914852912E-3" in="0">
        <tpls c="5">
          <tpl fld="3" item="1"/>
          <tpl fld="11" item="0"/>
          <tpl fld="6" item="0"/>
          <tpl hier="236" item="1"/>
          <tpl fld="4" item="3"/>
        </tpls>
      </n>
      <m>
        <tpls c="4">
          <tpl fld="7" item="1163"/>
          <tpl fld="6" item="2"/>
          <tpl hier="236" item="1"/>
          <tpl fld="4" item="5"/>
        </tpls>
      </m>
      <n v="2.6883763752873702E-2" in="0">
        <tpls c="5">
          <tpl hier="32" item="4294967295"/>
          <tpl fld="11" item="0"/>
          <tpl fld="6" item="0"/>
          <tpl hier="236" item="1"/>
          <tpl fld="4" item="6"/>
        </tpls>
      </n>
      <n v="6.8466030736618971E-2" in="0">
        <tpls c="5">
          <tpl fld="3" item="4"/>
          <tpl fld="11" item="0"/>
          <tpl fld="6" item="0"/>
          <tpl hier="236" item="1"/>
          <tpl fld="4" item="1"/>
        </tpls>
      </n>
      <n v="1.1393024576364052E-2" in="0">
        <tpls c="5">
          <tpl hier="32" item="4294967295"/>
          <tpl fld="11" item="0"/>
          <tpl fld="6" item="0"/>
          <tpl hier="236" item="1"/>
          <tpl fld="4" item="3"/>
        </tpls>
      </n>
      <n v="0.48" in="2">
        <tpls c="4">
          <tpl fld="7" item="1032"/>
          <tpl fld="6" item="2"/>
          <tpl hier="236" item="1"/>
          <tpl fld="4" item="6"/>
        </tpls>
      </n>
      <m>
        <tpls c="5">
          <tpl fld="11" item="0"/>
          <tpl fld="5" item="3"/>
          <tpl fld="6" item="0"/>
          <tpl hier="236" item="1"/>
          <tpl fld="4" item="2"/>
        </tpls>
      </m>
      <m>
        <tpls c="5">
          <tpl fld="11" item="0"/>
          <tpl fld="5" item="3"/>
          <tpl fld="6" item="0"/>
          <tpl hier="236" item="1"/>
          <tpl fld="4" item="7"/>
        </tpls>
      </m>
      <n v="4.3243243243243246E-2" in="0">
        <tpls c="5">
          <tpl fld="11" item="0"/>
          <tpl fld="5" item="3"/>
          <tpl fld="6" item="0"/>
          <tpl hier="236" item="1"/>
          <tpl fld="4" item="0"/>
        </tpls>
      </n>
      <m>
        <tpls c="4">
          <tpl fld="7" item="931"/>
          <tpl fld="6" item="2"/>
          <tpl hier="236" item="1"/>
          <tpl fld="4" item="5"/>
        </tpls>
      </m>
      <n v="27937" in="1">
        <tpls c="3">
          <tpl fld="6" item="1"/>
          <tpl hier="236" item="1"/>
          <tpl fld="4" item="4"/>
        </tpls>
      </n>
      <n v="704" in="1">
        <tpls c="3">
          <tpl fld="6" item="1"/>
          <tpl hier="236" item="1"/>
          <tpl fld="4" item="2"/>
        </tpls>
      </n>
      <n v="0.10062260442260441" in="0">
        <tpls c="5">
          <tpl fld="11" item="0"/>
          <tpl fld="2" item="1"/>
          <tpl fld="6" item="0"/>
          <tpl hier="236" item="1"/>
          <tpl fld="4" item="0"/>
        </tpls>
      </n>
      <m>
        <tpls c="4">
          <tpl fld="7" item="1140"/>
          <tpl fld="6" item="2"/>
          <tpl hier="236" item="1"/>
          <tpl fld="4" item="5"/>
        </tpls>
      </m>
      <n v="6783" in="1">
        <tpls c="3">
          <tpl fld="6" item="1"/>
          <tpl hier="236" item="1"/>
          <tpl fld="4" item="1"/>
        </tpls>
      </n>
      <m>
        <tpls c="4">
          <tpl fld="7" item="945"/>
          <tpl fld="6" item="2"/>
          <tpl hier="236" item="1"/>
          <tpl fld="4" item="6"/>
        </tpls>
      </m>
      <n v="395.37951351351353" in="2">
        <tpls c="3">
          <tpl fld="6" item="2"/>
          <tpl hier="236" item="1"/>
          <tpl fld="4" item="6"/>
        </tpls>
      </n>
      <m>
        <tpls c="4">
          <tpl fld="7" item="999"/>
          <tpl fld="6" item="2"/>
          <tpl hier="236" item="1"/>
          <tpl fld="4" item="1"/>
        </tpls>
      </m>
      <m>
        <tpls c="4">
          <tpl fld="7" item="1031"/>
          <tpl fld="6" item="2"/>
          <tpl hier="236" item="1"/>
          <tpl fld="4" item="5"/>
        </tpls>
      </m>
      <m>
        <tpls c="4">
          <tpl fld="7" item="1165"/>
          <tpl fld="6" item="2"/>
          <tpl hier="236" item="1"/>
          <tpl fld="4" item="5"/>
        </tpls>
      </m>
      <n v="2" in="1">
        <tpls c="4">
          <tpl fld="7" item="1136"/>
          <tpl fld="6" item="1"/>
          <tpl hier="236" item="1"/>
          <tpl fld="4" item="5"/>
        </tpls>
      </n>
      <n v="0.19799711220722321" in="0">
        <tpls c="5">
          <tpl fld="3" item="2"/>
          <tpl fld="11" item="0"/>
          <tpl fld="6" item="0"/>
          <tpl hier="236" item="1"/>
          <tpl fld="4" item="1"/>
        </tpls>
      </n>
      <m>
        <tpls c="4">
          <tpl fld="7" item="875"/>
          <tpl fld="6" item="2"/>
          <tpl hier="236" item="1"/>
          <tpl fld="4" item="5"/>
        </tpls>
      </m>
      <n v="7.8215067294014669E-3" in="0">
        <tpls c="5">
          <tpl fld="11" item="0"/>
          <tpl fld="2" item="4"/>
          <tpl fld="6" item="0"/>
          <tpl hier="236" item="1"/>
          <tpl fld="4" item="4"/>
        </tpls>
      </n>
      <n v="0.12161292847725774" in="0">
        <tpls c="5">
          <tpl fld="11" item="0"/>
          <tpl fld="2" item="2"/>
          <tpl fld="6" item="0"/>
          <tpl hier="236" item="1"/>
          <tpl fld="4" item="1"/>
        </tpls>
      </n>
      <m>
        <tpls c="4">
          <tpl fld="7" item="1262"/>
          <tpl fld="6" item="2"/>
          <tpl hier="236" item="1"/>
          <tpl fld="4" item="5"/>
        </tpls>
      </m>
      <n v="2.6883763752873702E-2" in="0">
        <tpls c="4">
          <tpl fld="11" item="0"/>
          <tpl fld="6" item="0"/>
          <tpl hier="236" item="1"/>
          <tpl fld="4" item="6"/>
        </tpls>
      </n>
      <n v="2.3076923076923075E-2" in="0">
        <tpls c="5">
          <tpl fld="3" item="3"/>
          <tpl fld="11" item="0"/>
          <tpl fld="6" item="0"/>
          <tpl hier="236" item="1"/>
          <tpl fld="4" item="0"/>
        </tpls>
      </n>
      <m>
        <tpls c="4">
          <tpl fld="7" item="933"/>
          <tpl fld="6" item="2"/>
          <tpl hier="236" item="1"/>
          <tpl fld="4" item="5"/>
        </tpls>
      </m>
      <n v="3.2499656189177523E-2" in="0">
        <tpls c="5">
          <tpl fld="11" item="0"/>
          <tpl fld="6" item="0"/>
          <tpl fld="8" item="0"/>
          <tpl hier="236" item="1"/>
          <tpl fld="4" item="4"/>
        </tpls>
      </n>
      <m>
        <tpls c="4">
          <tpl fld="7" item="934"/>
          <tpl fld="6" item="2"/>
          <tpl hier="236" item="1"/>
          <tpl fld="4" item="6"/>
        </tpls>
      </m>
      <n v="2.7408751254693487E-2" in="0">
        <tpls c="5">
          <tpl fld="3" item="1"/>
          <tpl fld="11" item="0"/>
          <tpl fld="6" item="0"/>
          <tpl hier="236" item="1"/>
          <tpl fld="4" item="1"/>
        </tpls>
      </n>
      <n v="0.28202320579005979" in="0">
        <tpls c="5">
          <tpl fld="11" item="0"/>
          <tpl fld="5" item="1"/>
          <tpl fld="6" item="0"/>
          <tpl hier="236" item="1"/>
          <tpl fld="1" item="0"/>
        </tpls>
      </n>
      <m>
        <tpls c="4">
          <tpl fld="7" item="928"/>
          <tpl fld="6" item="2"/>
          <tpl hier="236" item="1"/>
          <tpl fld="4" item="5"/>
        </tpls>
      </m>
      <n v="0.16989018940200046" in="0">
        <tpls c="5">
          <tpl fld="11" item="0"/>
          <tpl fld="2" item="0"/>
          <tpl fld="6" item="0"/>
          <tpl hier="236" item="1"/>
          <tpl fld="4" item="1"/>
        </tpls>
      </n>
      <m>
        <tpls c="4">
          <tpl fld="7" item="1142"/>
          <tpl fld="6" item="1"/>
          <tpl hier="236" item="1"/>
          <tpl fld="4" item="5"/>
        </tpls>
      </m>
      <m>
        <tpls c="5">
          <tpl fld="3" item="4"/>
          <tpl fld="11" item="0"/>
          <tpl fld="6" item="0"/>
          <tpl hier="236" item="1"/>
          <tpl fld="4" item="7"/>
        </tpls>
      </m>
      <n v="8.2227192819472068E-3" in="0">
        <tpls c="5">
          <tpl fld="3" item="1"/>
          <tpl fld="11" item="0"/>
          <tpl fld="6" item="0"/>
          <tpl hier="236" item="1"/>
          <tpl fld="1" item="0"/>
        </tpls>
      </n>
      <n v="5.6120502455483903E-2" in="0">
        <tpls c="5">
          <tpl hier="32" item="4294967295"/>
          <tpl fld="11" item="0"/>
          <tpl fld="6" item="0"/>
          <tpl hier="236" item="1"/>
          <tpl fld="4" item="5"/>
        </tpls>
      </n>
      <m>
        <tpls c="4">
          <tpl fld="7" item="1151"/>
          <tpl fld="6" item="2"/>
          <tpl hier="236" item="1"/>
          <tpl fld="4" item="5"/>
        </tpls>
      </m>
      <m>
        <tpls c="4">
          <tpl fld="7" item="1133"/>
          <tpl fld="6" item="1"/>
          <tpl hier="236" item="1"/>
          <tpl fld="4" item="5"/>
        </tpls>
      </m>
      <n v="0.10338191132308781" in="0">
        <tpls c="5">
          <tpl hier="32" item="4294967295"/>
          <tpl fld="11" item="0"/>
          <tpl fld="6" item="0"/>
          <tpl hier="236" item="1"/>
          <tpl fld="4" item="0"/>
        </tpls>
      </n>
      <m>
        <tpls c="4">
          <tpl fld="7" item="961"/>
          <tpl fld="6" item="2"/>
          <tpl hier="236" item="1"/>
          <tpl fld="4" item="5"/>
        </tpls>
      </m>
      <m>
        <tpls c="4">
          <tpl fld="7" item="1045"/>
          <tpl fld="6" item="1"/>
          <tpl hier="236" item="1"/>
          <tpl fld="4" item="5"/>
        </tpls>
      </m>
      <n v="1.6524216524216522E-2" in="0">
        <tpls c="5">
          <tpl fld="11" item="0"/>
          <tpl fld="5" item="5"/>
          <tpl fld="6" item="0"/>
          <tpl hier="236" item="1"/>
          <tpl fld="4" item="0"/>
        </tpls>
      </n>
      <n v="9.1921801076730644E-3" in="0">
        <tpls c="5">
          <tpl fld="11" item="0"/>
          <tpl fld="6" item="0"/>
          <tpl fld="8" item="1"/>
          <tpl hier="236" item="1"/>
          <tpl fld="4" item="7"/>
        </tpls>
      </n>
      <m>
        <tpls c="4">
          <tpl fld="7" item="1251"/>
          <tpl fld="6" item="2"/>
          <tpl hier="236" item="1"/>
          <tpl fld="4" item="6"/>
        </tpls>
      </m>
      <n v="4.086455773955773E-2" in="0">
        <tpls c="4">
          <tpl fld="11" item="0"/>
          <tpl fld="6" item="0"/>
          <tpl hier="236" item="1"/>
          <tpl fld="4" item="2"/>
        </tpls>
      </n>
      <n v="28.768648648648643" in="2">
        <tpls c="3">
          <tpl fld="6" item="2"/>
          <tpl hier="236" item="1"/>
          <tpl fld="4" item="2"/>
        </tpls>
      </n>
      <m>
        <tpls c="4">
          <tpl fld="7" item="962"/>
          <tpl fld="6" item="2"/>
          <tpl hier="236" item="1"/>
          <tpl fld="4" item="5"/>
        </tpls>
      </m>
      <n v="1" in="1">
        <tpls c="4">
          <tpl fld="7" item="942"/>
          <tpl fld="6" item="1"/>
          <tpl hier="236" item="1"/>
          <tpl fld="1" item="0"/>
        </tpls>
      </n>
      <m>
        <tpls c="4">
          <tpl fld="7" item="951"/>
          <tpl fld="6" item="2"/>
          <tpl hier="236" item="1"/>
          <tpl fld="4" item="5"/>
        </tpls>
      </m>
      <n v="2.4404197824531664E-2" in="0">
        <tpls c="5">
          <tpl fld="11" item="0"/>
          <tpl fld="6" item="0"/>
          <tpl fld="8" item="1"/>
          <tpl hier="236" item="1"/>
          <tpl fld="4" item="6"/>
        </tpls>
      </n>
      <n v="8.3779764895006534E-2" in="0">
        <tpls c="5">
          <tpl fld="11" item="0"/>
          <tpl fld="6" item="0"/>
          <tpl fld="8" item="0"/>
          <tpl hier="236" item="1"/>
          <tpl fld="4" item="5"/>
        </tpls>
      </n>
      <m>
        <tpls c="4">
          <tpl fld="7" item="932"/>
          <tpl fld="6" item="2"/>
          <tpl hier="236" item="1"/>
          <tpl fld="4" item="6"/>
        </tpls>
      </m>
      <m>
        <tpls c="4">
          <tpl fld="7" item="944"/>
          <tpl fld="6" item="2"/>
          <tpl hier="236" item="1"/>
          <tpl fld="4" item="6"/>
        </tpls>
      </m>
      <n v="3" in="1">
        <tpls c="4">
          <tpl fld="7" item="935"/>
          <tpl fld="6" item="1"/>
          <tpl hier="236" item="1"/>
          <tpl fld="1" item="0"/>
        </tpls>
      </n>
      <n v="9.586453923803322E-3" in="0">
        <tpls c="5">
          <tpl fld="11" item="0"/>
          <tpl fld="5" item="0"/>
          <tpl fld="6" item="0"/>
          <tpl hier="236" item="1"/>
          <tpl fld="1" item="0"/>
        </tpls>
      </n>
      <m>
        <tpls c="4">
          <tpl fld="7" item="960"/>
          <tpl fld="6" item="2"/>
          <tpl hier="236" item="1"/>
          <tpl fld="4" item="5"/>
        </tpls>
      </m>
      <m>
        <tpls c="4">
          <tpl fld="7" item="1047"/>
          <tpl fld="6" item="1"/>
          <tpl hier="236" item="1"/>
          <tpl fld="4" item="5"/>
        </tpls>
      </m>
      <m>
        <tpls c="4">
          <tpl fld="7" item="1146"/>
          <tpl fld="6" item="2"/>
          <tpl hier="236" item="1"/>
          <tpl fld="4" item="6"/>
        </tpls>
      </m>
      <m>
        <tpls c="4">
          <tpl fld="7" item="1250"/>
          <tpl fld="6" item="2"/>
          <tpl hier="236" item="1"/>
          <tpl fld="4" item="5"/>
        </tpls>
      </m>
      <m>
        <tpls c="4">
          <tpl fld="7" item="1173"/>
          <tpl fld="6" item="2"/>
          <tpl hier="236" item="1"/>
          <tpl fld="4" item="6"/>
        </tpls>
      </m>
      <n v="1" in="1">
        <tpls c="4">
          <tpl fld="7" item="1032"/>
          <tpl fld="6" item="1"/>
          <tpl hier="236" item="1"/>
          <tpl fld="4" item="5"/>
        </tpls>
      </n>
      <m>
        <tpls c="4">
          <tpl fld="7" item="1163"/>
          <tpl fld="6" item="2"/>
          <tpl hier="236" item="1"/>
          <tpl fld="4" item="6"/>
        </tpls>
      </m>
      <m>
        <tpls c="4">
          <tpl fld="7" item="1177"/>
          <tpl fld="6" item="2"/>
          <tpl hier="236" item="1"/>
          <tpl fld="4" item="6"/>
        </tpls>
      </m>
      <m>
        <tpls c="4">
          <tpl fld="7" item="1230"/>
          <tpl fld="6" item="2"/>
          <tpl hier="236" item="1"/>
          <tpl fld="4" item="6"/>
        </tpls>
      </m>
      <n v="9" in="1">
        <tpls c="4">
          <tpl fld="7" item="1182"/>
          <tpl fld="6" item="1"/>
          <tpl hier="236" item="1"/>
          <tpl fld="1" item="0"/>
        </tpls>
      </n>
      <m>
        <tpls c="4">
          <tpl fld="7" item="1165"/>
          <tpl fld="6" item="1"/>
          <tpl hier="236" item="1"/>
          <tpl fld="4" item="5"/>
        </tpls>
      </m>
      <m>
        <tpls c="4">
          <tpl fld="7" item="1137"/>
          <tpl fld="6" item="1"/>
          <tpl hier="236" item="1"/>
          <tpl fld="4" item="5"/>
        </tpls>
      </m>
      <m>
        <tpls c="4">
          <tpl fld="7" item="1200"/>
          <tpl fld="6" item="1"/>
          <tpl hier="236" item="1"/>
          <tpl fld="1" item="0"/>
        </tpls>
      </m>
      <m>
        <tpls c="4">
          <tpl fld="7" item="1075"/>
          <tpl fld="6" item="2"/>
          <tpl hier="236" item="1"/>
          <tpl fld="4" item="5"/>
        </tpls>
      </m>
      <m>
        <tpls c="4">
          <tpl fld="7" item="976"/>
          <tpl fld="6" item="1"/>
          <tpl hier="236" item="1"/>
          <tpl fld="4" item="5"/>
        </tpls>
      </m>
      <m>
        <tpls c="4">
          <tpl fld="7" item="1206"/>
          <tpl fld="6" item="1"/>
          <tpl hier="236" item="1"/>
          <tpl fld="4" item="5"/>
        </tpls>
      </m>
      <m>
        <tpls c="4">
          <tpl fld="7" item="959"/>
          <tpl fld="6" item="2"/>
          <tpl hier="236" item="1"/>
          <tpl fld="4" item="6"/>
        </tpls>
      </m>
      <m>
        <tpls c="4">
          <tpl fld="7" item="1171"/>
          <tpl fld="6" item="2"/>
          <tpl hier="236" item="1"/>
          <tpl fld="4" item="5"/>
        </tpls>
      </m>
      <m>
        <tpls c="4">
          <tpl fld="7" item="1148"/>
          <tpl fld="6" item="2"/>
          <tpl hier="236" item="1"/>
          <tpl fld="4" item="6"/>
        </tpls>
      </m>
      <n v="1" in="1">
        <tpls c="4">
          <tpl fld="7" item="1152"/>
          <tpl fld="6" item="1"/>
          <tpl hier="236" item="1"/>
          <tpl fld="1" item="0"/>
        </tpls>
      </n>
      <n v="1" in="1">
        <tpls c="4">
          <tpl fld="7" item="975"/>
          <tpl fld="6" item="1"/>
          <tpl hier="236" item="1"/>
          <tpl fld="4" item="5"/>
        </tpls>
      </n>
      <n v="2" in="1">
        <tpls c="4">
          <tpl fld="7" item="1268"/>
          <tpl fld="6" item="1"/>
          <tpl hier="236" item="1"/>
          <tpl fld="4" item="5"/>
        </tpls>
      </n>
      <n v="2" in="1">
        <tpls c="4">
          <tpl fld="7" item="1250"/>
          <tpl fld="6" item="1"/>
          <tpl hier="236" item="1"/>
          <tpl fld="4" item="6"/>
        </tpls>
      </n>
      <m>
        <tpls c="4">
          <tpl fld="7" item="1257"/>
          <tpl fld="6" item="2"/>
          <tpl hier="236" item="1"/>
          <tpl fld="4" item="6"/>
        </tpls>
      </m>
      <m>
        <tpls c="4">
          <tpl fld="7" item="1068"/>
          <tpl fld="6" item="1"/>
          <tpl hier="236" item="1"/>
          <tpl fld="4" item="5"/>
        </tpls>
      </m>
      <m>
        <tpls c="5">
          <tpl fld="11" item="0"/>
          <tpl fld="6" item="2"/>
          <tpl hier="236" item="1"/>
          <tpl fld="4" item="7"/>
          <tpl fld="10" item="6"/>
        </tpls>
      </m>
      <m>
        <tpls c="4">
          <tpl fld="7" item="974"/>
          <tpl fld="6" item="1"/>
          <tpl hier="236" item="1"/>
          <tpl fld="1" item="0"/>
        </tpls>
      </m>
      <m>
        <tpls c="4">
          <tpl fld="7" item="1182"/>
          <tpl fld="6" item="2"/>
          <tpl hier="236" item="1"/>
          <tpl fld="4" item="6"/>
        </tpls>
      </m>
      <m>
        <tpls c="4">
          <tpl fld="7" item="973"/>
          <tpl fld="6" item="2"/>
          <tpl hier="236" item="1"/>
          <tpl fld="4" item="6"/>
        </tpls>
      </m>
      <n v="9.52" in="2">
        <tpls c="5">
          <tpl fld="11" item="0"/>
          <tpl fld="6" item="2"/>
          <tpl hier="236" item="1"/>
          <tpl fld="4" item="3"/>
          <tpl fld="10" item="5"/>
        </tpls>
      </n>
      <m>
        <tpls c="4">
          <tpl fld="7" item="1250"/>
          <tpl fld="6" item="1"/>
          <tpl hier="236" item="1"/>
          <tpl fld="4" item="5"/>
        </tpls>
      </m>
      <n v="43" in="1">
        <tpls c="6">
          <tpl fld="11" item="0"/>
          <tpl fld="2" item="4"/>
          <tpl fld="6" item="1"/>
          <tpl hier="236" item="1"/>
          <tpl fld="4" item="4"/>
          <tpl fld="10" item="6"/>
        </tpls>
      </n>
      <n v="1.5892951775304715E-2" in="0">
        <tpls c="5">
          <tpl fld="11" item="0"/>
          <tpl fld="2" item="0"/>
          <tpl fld="6" item="0"/>
          <tpl hier="236" item="1"/>
          <tpl fld="4" item="7"/>
        </tpls>
      </n>
      <m>
        <tpls c="4">
          <tpl fld="7" item="1184"/>
          <tpl fld="6" item="2"/>
          <tpl hier="236" item="1"/>
          <tpl fld="4" item="6"/>
        </tpls>
      </m>
      <m>
        <tpls c="4">
          <tpl fld="7" item="1134"/>
          <tpl fld="6" item="1"/>
          <tpl hier="236" item="1"/>
          <tpl fld="4" item="6"/>
        </tpls>
      </m>
      <n v="16.919999999999998" in="2">
        <tpls c="5">
          <tpl fld="11" item="0"/>
          <tpl fld="6" item="2"/>
          <tpl hier="236" item="1"/>
          <tpl fld="4" item="3"/>
          <tpl fld="10" item="7"/>
        </tpls>
      </n>
      <n v="0.12" in="2">
        <tpls c="4">
          <tpl fld="7" item="1061"/>
          <tpl fld="6" item="2"/>
          <tpl hier="236" item="1"/>
          <tpl fld="1" item="0"/>
        </tpls>
      </n>
      <n v="0.11670103717162535" in="0">
        <tpls c="5">
          <tpl hier="32" item="4294967295"/>
          <tpl fld="11" item="0"/>
          <tpl fld="6" item="0"/>
          <tpl hier="236" item="1"/>
          <tpl fld="4" item="1"/>
        </tpls>
      </n>
      <n v="9.0797546012269959E-3" in="0">
        <tpls c="5">
          <tpl fld="11" item="0"/>
          <tpl fld="2" item="1"/>
          <tpl fld="6" item="0"/>
          <tpl hier="236" item="1"/>
          <tpl fld="4" item="7"/>
        </tpls>
      </n>
      <n v="2.272207074057735E-2" in="0">
        <tpls c="5">
          <tpl fld="11" item="0"/>
          <tpl fld="2" item="1"/>
          <tpl fld="6" item="0"/>
          <tpl hier="236" item="1"/>
          <tpl fld="4" item="4"/>
        </tpls>
      </n>
      <n v="3.5728203497615255E-2" in="0">
        <tpls c="5">
          <tpl fld="11" item="0"/>
          <tpl fld="5" item="3"/>
          <tpl fld="6" item="0"/>
          <tpl hier="236" item="1"/>
          <tpl fld="4" item="1"/>
        </tpls>
      </n>
      <n v="4.3359275505872361E-2" in="0">
        <tpls c="5">
          <tpl fld="3" item="1"/>
          <tpl fld="11" item="0"/>
          <tpl fld="6" item="0"/>
          <tpl hier="236" item="1"/>
          <tpl fld="4" item="0"/>
        </tpls>
      </n>
      <m>
        <tpls c="4">
          <tpl fld="7" item="1250"/>
          <tpl fld="6" item="2"/>
          <tpl hier="236" item="1"/>
          <tpl fld="4" item="6"/>
        </tpls>
      </m>
      <m>
        <tpls c="4">
          <tpl fld="7" item="1207"/>
          <tpl fld="6" item="2"/>
          <tpl hier="236" item="1"/>
          <tpl fld="1" item="0"/>
        </tpls>
      </m>
      <m>
        <tpls c="4">
          <tpl fld="7" item="1266"/>
          <tpl fld="6" item="2"/>
          <tpl hier="236" item="1"/>
          <tpl fld="4" item="5"/>
        </tpls>
      </m>
      <m>
        <tpls c="4">
          <tpl fld="7" item="964"/>
          <tpl fld="6" item="2"/>
          <tpl hier="236" item="1"/>
          <tpl fld="4" item="5"/>
        </tpls>
      </m>
      <m>
        <tpls c="4">
          <tpl fld="7" item="1228"/>
          <tpl fld="6" item="2"/>
          <tpl hier="236" item="1"/>
          <tpl fld="4" item="6"/>
        </tpls>
      </m>
      <m>
        <tpls c="4">
          <tpl fld="7" item="930"/>
          <tpl fld="6" item="1"/>
          <tpl hier="236" item="1"/>
          <tpl fld="4" item="5"/>
        </tpls>
      </m>
      <m>
        <tpls c="4">
          <tpl fld="7" item="1158"/>
          <tpl fld="6" item="2"/>
          <tpl hier="236" item="1"/>
          <tpl fld="4" item="6"/>
        </tpls>
      </m>
      <n v="41" in="1">
        <tpls c="4">
          <tpl fld="7" item="1156"/>
          <tpl fld="6" item="1"/>
          <tpl hier="236" item="1"/>
          <tpl fld="1" item="0"/>
        </tpls>
      </n>
      <n v="2.2237377503125114E-2" in="0">
        <tpls c="5">
          <tpl hier="32" item="4294967295"/>
          <tpl fld="11" item="0"/>
          <tpl fld="6" item="0"/>
          <tpl hier="236" item="1"/>
          <tpl fld="1" item="0"/>
        </tpls>
      </n>
      <m>
        <tpls c="4">
          <tpl fld="7" item="1235"/>
          <tpl fld="6" item="2"/>
          <tpl hier="236" item="1"/>
          <tpl fld="1" item="0"/>
        </tpls>
      </m>
      <n v="2.0442104916846244E-2" in="0">
        <tpls c="5">
          <tpl fld="3" item="0"/>
          <tpl fld="11" item="0"/>
          <tpl fld="6" item="0"/>
          <tpl hier="236" item="1"/>
          <tpl fld="4" item="3"/>
        </tpls>
      </n>
      <n v="0.32" in="0">
        <tpls c="5">
          <tpl fld="3" item="0"/>
          <tpl fld="11" item="0"/>
          <tpl fld="6" item="0"/>
          <tpl hier="236" item="1"/>
          <tpl fld="4" item="5"/>
        </tpls>
      </n>
      <n v="1.1393024576364052E-2" in="0">
        <tpls c="4">
          <tpl fld="11" item="0"/>
          <tpl fld="6" item="0"/>
          <tpl hier="236" item="1"/>
          <tpl fld="4" item="3"/>
        </tpls>
      </n>
      <m>
        <tpls c="4">
          <tpl fld="7" item="945"/>
          <tpl fld="6" item="2"/>
          <tpl hier="236" item="1"/>
          <tpl fld="4" item="5"/>
        </tpls>
      </m>
      <m>
        <tpls c="4">
          <tpl fld="7" item="942"/>
          <tpl fld="6" item="2"/>
          <tpl hier="236" item="1"/>
          <tpl fld="4" item="6"/>
        </tpls>
      </m>
      <n v="2.5480740988843949E-2" in="0">
        <tpls c="5">
          <tpl fld="11" item="0"/>
          <tpl fld="6" item="0"/>
          <tpl fld="8" item="1"/>
          <tpl hier="236" item="1"/>
          <tpl fld="4" item="4"/>
        </tpls>
      </n>
      <n v="4.2342092092092096E-2" in="0">
        <tpls c="5">
          <tpl fld="11" item="0"/>
          <tpl fld="6" item="0"/>
          <tpl fld="8" item="1"/>
          <tpl hier="236" item="1"/>
          <tpl fld="4" item="5"/>
        </tpls>
      </n>
      <n v="0.10086486486486486" in="0">
        <tpls c="5">
          <tpl fld="3" item="3"/>
          <tpl fld="11" item="0"/>
          <tpl fld="6" item="0"/>
          <tpl hier="236" item="1"/>
          <tpl fld="4" item="2"/>
        </tpls>
      </n>
      <m>
        <tpls c="4">
          <tpl fld="7" item="1162"/>
          <tpl fld="6" item="2"/>
          <tpl hier="236" item="1"/>
          <tpl fld="4" item="5"/>
        </tpls>
      </m>
      <m>
        <tpls c="5">
          <tpl fld="11" item="0"/>
          <tpl fld="5" item="4"/>
          <tpl fld="6" item="0"/>
          <tpl hier="236" item="1"/>
          <tpl fld="4" item="3"/>
        </tpls>
      </m>
      <n v="3.2112722478576133E-2" in="0">
        <tpls c="5">
          <tpl fld="11" item="0"/>
          <tpl fld="5" item="4"/>
          <tpl fld="6" item="0"/>
          <tpl hier="236" item="1"/>
          <tpl fld="4" item="0"/>
        </tpls>
      </n>
      <n v="6.5476526126126117E-2" in="0">
        <tpls c="5">
          <tpl fld="11" item="0"/>
          <tpl fld="5" item="2"/>
          <tpl fld="6" item="0"/>
          <tpl hier="236" item="1"/>
          <tpl fld="1" item="0"/>
        </tpls>
      </n>
      <m>
        <tpls c="4">
          <tpl fld="7" item="1139"/>
          <tpl fld="6" item="2"/>
          <tpl hier="236" item="1"/>
          <tpl fld="4" item="5"/>
        </tpls>
      </m>
      <n v="0.10939208075545426" in="0">
        <tpls c="5">
          <tpl fld="3" item="2"/>
          <tpl fld="11" item="0"/>
          <tpl fld="6" item="0"/>
          <tpl hier="236" item="1"/>
          <tpl fld="4" item="4"/>
        </tpls>
      </n>
      <m>
        <tpls c="4">
          <tpl fld="7" item="965"/>
          <tpl fld="6" item="2"/>
          <tpl hier="236" item="1"/>
          <tpl fld="4" item="5"/>
        </tpls>
      </m>
      <n v="2.5830961594795022E-2" in="0">
        <tpls c="5">
          <tpl fld="11" item="0"/>
          <tpl fld="5" item="4"/>
          <tpl fld="6" item="0"/>
          <tpl hier="236" item="1"/>
          <tpl fld="4" item="6"/>
        </tpls>
      </n>
      <n v="1.7507987220447285E-2" in="0">
        <tpls c="5">
          <tpl fld="11" item="0"/>
          <tpl fld="2" item="3"/>
          <tpl fld="6" item="0"/>
          <tpl hier="236" item="1"/>
          <tpl fld="4" item="7"/>
        </tpls>
      </n>
      <m>
        <tpls c="4">
          <tpl fld="7" item="1230"/>
          <tpl fld="6" item="2"/>
          <tpl hier="236" item="1"/>
          <tpl fld="4" item="5"/>
        </tpls>
      </m>
      <n v="0.11454545454545455" in="0">
        <tpls c="5">
          <tpl fld="11" item="0"/>
          <tpl fld="2" item="4"/>
          <tpl fld="6" item="0"/>
          <tpl hier="236" item="1"/>
          <tpl fld="4" item="0"/>
        </tpls>
      </n>
      <n v="1.0479631429398104E-2" in="0">
        <tpls c="5">
          <tpl fld="11" item="0"/>
          <tpl fld="2" item="2"/>
          <tpl fld="6" item="0"/>
          <tpl hier="236" item="1"/>
          <tpl fld="4" item="3"/>
        </tpls>
      </n>
      <n v="0.10134095634095634" in="0">
        <tpls c="5">
          <tpl fld="11" item="0"/>
          <tpl fld="2" item="3"/>
          <tpl fld="6" item="0"/>
          <tpl hier="236" item="1"/>
          <tpl fld="4" item="5"/>
        </tpls>
      </n>
      <m>
        <tpls c="4">
          <tpl fld="7" item="939"/>
          <tpl fld="6" item="2"/>
          <tpl hier="236" item="1"/>
          <tpl fld="4" item="5"/>
        </tpls>
      </m>
      <m>
        <tpls c="4">
          <tpl fld="7" item="1048"/>
          <tpl fld="6" item="2"/>
          <tpl hier="236" item="1"/>
          <tpl fld="4" item="5"/>
        </tpls>
      </m>
      <n v="1.1191335740072203E-2" in="0">
        <tpls c="5">
          <tpl fld="11" item="0"/>
          <tpl fld="2" item="0"/>
          <tpl fld="6" item="0"/>
          <tpl hier="236" item="1"/>
          <tpl fld="4" item="3"/>
        </tpls>
      </n>
      <n v="3.2031821628028659E-2" in="0">
        <tpls c="5">
          <tpl fld="11" item="0"/>
          <tpl fld="2" item="3"/>
          <tpl fld="6" item="0"/>
          <tpl hier="236" item="1"/>
          <tpl fld="4" item="4"/>
        </tpls>
      </n>
      <n v="2.7228623476180481E-2" in="0">
        <tpls c="5">
          <tpl hier="32" item="4294967295"/>
          <tpl fld="11" item="0"/>
          <tpl fld="6" item="0"/>
          <tpl hier="236" item="1"/>
          <tpl fld="4" item="4"/>
        </tpls>
      </n>
      <m>
        <tpls c="4">
          <tpl fld="7" item="1148"/>
          <tpl fld="6" item="2"/>
          <tpl hier="236" item="1"/>
          <tpl fld="4" item="5"/>
        </tpls>
      </m>
      <m>
        <tpls c="4">
          <tpl fld="7" item="1058"/>
          <tpl fld="6" item="2"/>
          <tpl hier="236" item="1"/>
          <tpl fld="4" item="5"/>
        </tpls>
      </m>
      <n v="7.6196855881669634E-2" in="0">
        <tpls c="5">
          <tpl fld="11" item="0"/>
          <tpl fld="2" item="4"/>
          <tpl fld="6" item="0"/>
          <tpl hier="236" item="1"/>
          <tpl fld="4" item="1"/>
        </tpls>
      </n>
      <n v="1.0308318542687397E-2" in="0">
        <tpls c="4">
          <tpl fld="11" item="0"/>
          <tpl fld="6" item="0"/>
          <tpl hier="236" item="1"/>
          <tpl fld="4" item="7"/>
        </tpls>
      </n>
      <m>
        <tpls c="4">
          <tpl fld="7" item="1141"/>
          <tpl fld="6" item="2"/>
          <tpl hier="236" item="1"/>
          <tpl fld="4" item="5"/>
        </tpls>
      </m>
      <m>
        <tpls c="4">
          <tpl fld="7" item="927"/>
          <tpl fld="6" item="2"/>
          <tpl hier="236" item="1"/>
          <tpl fld="4" item="5"/>
        </tpls>
      </m>
      <m>
        <tpls c="4">
          <tpl fld="7" item="935"/>
          <tpl fld="6" item="2"/>
          <tpl hier="236" item="1"/>
          <tpl fld="4" item="6"/>
        </tpls>
      </m>
      <n v="3.1619667860631716E-2" in="0">
        <tpls c="5">
          <tpl fld="11" item="0"/>
          <tpl fld="6" item="0"/>
          <tpl fld="8" item="1"/>
          <tpl hier="236" item="1"/>
          <tpl fld="4" item="2"/>
        </tpls>
      </n>
      <m>
        <tpls c="4">
          <tpl fld="7" item="959"/>
          <tpl fld="6" item="2"/>
          <tpl hier="236" item="1"/>
          <tpl fld="4" item="5"/>
        </tpls>
      </m>
      <m>
        <tpls c="4">
          <tpl fld="7" item="1041"/>
          <tpl fld="6" item="2"/>
          <tpl hier="236" item="1"/>
          <tpl fld="4" item="5"/>
        </tpls>
      </m>
      <m>
        <tpls c="4">
          <tpl fld="7" item="940"/>
          <tpl fld="6" item="2"/>
          <tpl hier="236" item="1"/>
          <tpl fld="4" item="5"/>
        </tpls>
      </m>
      <n v="1.660265766957118E-2" in="0">
        <tpls c="5">
          <tpl fld="3" item="0"/>
          <tpl fld="11" item="0"/>
          <tpl fld="6" item="0"/>
          <tpl hier="236" item="1"/>
          <tpl fld="1" item="0"/>
        </tpls>
      </n>
      <n v="1.6140512196341932E-2" in="0">
        <tpls c="5">
          <tpl fld="3" item="4"/>
          <tpl fld="11" item="0"/>
          <tpl fld="6" item="0"/>
          <tpl hier="236" item="1"/>
          <tpl fld="4" item="6"/>
        </tpls>
      </n>
      <n v="4.700563225228932E-2" in="0">
        <tpls c="5">
          <tpl fld="11" item="0"/>
          <tpl fld="2" item="0"/>
          <tpl fld="6" item="0"/>
          <tpl hier="236" item="1"/>
          <tpl fld="1" item="0"/>
        </tpls>
      </n>
      <n v="0.48" in="2">
        <tpls c="4">
          <tpl fld="7" item="941"/>
          <tpl fld="6" item="2"/>
          <tpl hier="236" item="1"/>
          <tpl fld="4" item="5"/>
        </tpls>
      </n>
      <m>
        <tpls c="4">
          <tpl fld="7" item="1056"/>
          <tpl fld="6" item="2"/>
          <tpl hier="236" item="1"/>
          <tpl fld="4" item="5"/>
        </tpls>
      </m>
      <m>
        <tpls c="4">
          <tpl fld="7" item="1043"/>
          <tpl fld="6" item="1"/>
          <tpl hier="236" item="1"/>
          <tpl fld="1" item="0"/>
        </tpls>
      </m>
      <m>
        <tpls c="5">
          <tpl fld="11" item="0"/>
          <tpl fld="5" item="4"/>
          <tpl fld="6" item="0"/>
          <tpl hier="236" item="1"/>
          <tpl fld="4" item="2"/>
        </tpls>
      </m>
      <n v="2.2237377503125114E-2" in="0">
        <tpls c="5">
          <tpl fld="11" item="0"/>
          <tpl fld="6" item="0"/>
          <tpl hier="208" item="4294967295"/>
          <tpl hier="236" item="1"/>
          <tpl fld="1" item="0"/>
        </tpls>
      </n>
      <m>
        <tpls c="4">
          <tpl fld="7" item="1142"/>
          <tpl fld="6" item="2"/>
          <tpl hier="236" item="1"/>
          <tpl fld="4" item="5"/>
        </tpls>
      </m>
      <m>
        <tpls c="4">
          <tpl fld="7" item="1034"/>
          <tpl fld="6" item="2"/>
          <tpl hier="236" item="1"/>
          <tpl fld="4" item="5"/>
        </tpls>
      </m>
      <m>
        <tpls c="4">
          <tpl fld="7" item="941"/>
          <tpl fld="6" item="2"/>
          <tpl hier="236" item="1"/>
          <tpl fld="4" item="6"/>
        </tpls>
      </m>
      <n v="1.3325318935157463E-2" in="0">
        <tpls c="5">
          <tpl fld="3" item="3"/>
          <tpl fld="11" item="0"/>
          <tpl fld="6" item="0"/>
          <tpl hier="236" item="1"/>
          <tpl fld="4" item="4"/>
        </tpls>
      </n>
      <m>
        <tpls c="5">
          <tpl fld="3" item="4"/>
          <tpl fld="11" item="0"/>
          <tpl fld="6" item="0"/>
          <tpl hier="236" item="1"/>
          <tpl fld="4" item="3"/>
        </tpls>
      </m>
      <n v="0.12861935361935362" in="0">
        <tpls c="5">
          <tpl fld="11" item="0"/>
          <tpl fld="6" item="0"/>
          <tpl fld="8" item="0"/>
          <tpl hier="236" item="1"/>
          <tpl fld="4" item="0"/>
        </tpls>
      </n>
      <m>
        <tpls c="4">
          <tpl fld="7" item="1159"/>
          <tpl fld="6" item="2"/>
          <tpl hier="236" item="1"/>
          <tpl fld="4" item="5"/>
        </tpls>
      </m>
      <m>
        <tpls c="4">
          <tpl fld="7" item="931"/>
          <tpl fld="6" item="2"/>
          <tpl hier="236" item="1"/>
          <tpl fld="4" item="6"/>
        </tpls>
      </m>
      <m>
        <tpls c="4">
          <tpl fld="7" item="1031"/>
          <tpl fld="6" item="1"/>
          <tpl hier="236" item="1"/>
          <tpl fld="4" item="5"/>
        </tpls>
      </m>
      <m>
        <tpls c="4">
          <tpl fld="7" item="969"/>
          <tpl fld="6" item="2"/>
          <tpl hier="236" item="1"/>
          <tpl fld="4" item="5"/>
        </tpls>
      </m>
      <n v="0.23475730832873687" in="0">
        <tpls c="5">
          <tpl fld="11" item="0"/>
          <tpl fld="5" item="1"/>
          <tpl fld="6" item="0"/>
          <tpl hier="236" item="1"/>
          <tpl fld="4" item="6"/>
        </tpls>
      </n>
      <n v="0.15172413793103451" in="0">
        <tpls c="5">
          <tpl fld="11" item="0"/>
          <tpl fld="5" item="2"/>
          <tpl fld="6" item="0"/>
          <tpl hier="236" item="1"/>
          <tpl fld="4" item="2"/>
        </tpls>
      </n>
      <m>
        <tpls c="4">
          <tpl fld="7" item="1172"/>
          <tpl fld="6" item="2"/>
          <tpl hier="236" item="1"/>
          <tpl fld="4" item="5"/>
        </tpls>
      </m>
      <n v="1" in="1">
        <tpls c="4">
          <tpl fld="7" item="939"/>
          <tpl fld="6" item="1"/>
          <tpl hier="236" item="1"/>
          <tpl fld="1" item="0"/>
        </tpls>
      </n>
      <n v="5086" in="1">
        <tpls c="3">
          <tpl fld="6" item="1"/>
          <tpl hier="236" item="1"/>
          <tpl fld="4" item="7"/>
        </tpls>
      </n>
      <n v="11" in="1">
        <tpls c="4">
          <tpl fld="7" item="1033"/>
          <tpl fld="6" item="1"/>
          <tpl hier="236" item="1"/>
          <tpl fld="1" item="0"/>
        </tpls>
      </n>
      <m>
        <tpls c="4">
          <tpl fld="7" item="970"/>
          <tpl fld="6" item="2"/>
          <tpl hier="236" item="1"/>
          <tpl fld="4" item="5"/>
        </tpls>
      </m>
      <m>
        <tpls c="4">
          <tpl fld="7" item="1147"/>
          <tpl fld="6" item="1"/>
          <tpl hier="236" item="1"/>
          <tpl fld="4" item="5"/>
        </tpls>
      </m>
      <m>
        <tpls c="4">
          <tpl fld="7" item="1160"/>
          <tpl fld="6" item="2"/>
          <tpl hier="236" item="1"/>
          <tpl fld="4" item="5"/>
        </tpls>
      </m>
      <n v="0.12948565618910435" in="0">
        <tpls c="5">
          <tpl fld="11" item="0"/>
          <tpl fld="6" item="0"/>
          <tpl fld="8" item="0"/>
          <tpl hier="236" item="1"/>
          <tpl fld="4" item="1"/>
        </tpls>
      </n>
      <m>
        <tpls c="4">
          <tpl fld="7" item="971"/>
          <tpl fld="6" item="2"/>
          <tpl hier="236" item="1"/>
          <tpl fld="4" item="5"/>
        </tpls>
      </m>
      <m>
        <tpls c="4">
          <tpl fld="7" item="1166"/>
          <tpl fld="6" item="2"/>
          <tpl hier="236" item="1"/>
          <tpl fld="4" item="5"/>
        </tpls>
      </m>
      <m>
        <tpls c="4">
          <tpl fld="7" item="1253"/>
          <tpl fld="6" item="2"/>
          <tpl hier="236" item="1"/>
          <tpl fld="4" item="6"/>
        </tpls>
      </m>
      <m>
        <tpls c="4">
          <tpl fld="7" item="958"/>
          <tpl fld="6" item="2"/>
          <tpl hier="236" item="1"/>
          <tpl fld="4" item="5"/>
        </tpls>
      </m>
      <m>
        <tpls c="4">
          <tpl fld="7" item="972"/>
          <tpl fld="6" item="2"/>
          <tpl hier="236" item="1"/>
          <tpl fld="4" item="5"/>
        </tpls>
      </m>
      <m>
        <tpls c="4">
          <tpl fld="7" item="1037"/>
          <tpl fld="6" item="2"/>
          <tpl hier="236" item="1"/>
          <tpl fld="4" item="5"/>
        </tpls>
      </m>
      <m>
        <tpls c="4">
          <tpl fld="7" item="1228"/>
          <tpl fld="6" item="1"/>
          <tpl hier="236" item="1"/>
          <tpl fld="1" item="0"/>
        </tpls>
      </m>
      <n v="2" in="1">
        <tpls c="4">
          <tpl fld="7" item="1138"/>
          <tpl fld="6" item="1"/>
          <tpl hier="236" item="1"/>
          <tpl fld="1" item="0"/>
        </tpls>
      </n>
      <n v="1" in="1">
        <tpls c="4">
          <tpl fld="7" item="1030"/>
          <tpl fld="6" item="1"/>
          <tpl hier="236" item="1"/>
          <tpl fld="1" item="0"/>
        </tpls>
      </n>
      <n v="6" in="1">
        <tpls c="4">
          <tpl fld="7" item="935"/>
          <tpl fld="6" item="1"/>
          <tpl hier="236" item="1"/>
          <tpl fld="4" item="5"/>
        </tpls>
      </n>
      <m>
        <tpls c="4">
          <tpl fld="7" item="1073"/>
          <tpl fld="6" item="2"/>
          <tpl hier="236" item="1"/>
          <tpl fld="4" item="5"/>
        </tpls>
      </m>
      <n v="1" in="1">
        <tpls c="4">
          <tpl fld="7" item="1210"/>
          <tpl fld="6" item="1"/>
          <tpl hier="236" item="1"/>
          <tpl fld="1" item="0"/>
        </tpls>
      </n>
      <n v="6" in="1">
        <tpls c="4">
          <tpl fld="7" item="1166"/>
          <tpl fld="6" item="1"/>
          <tpl hier="236" item="1"/>
          <tpl fld="1" item="0"/>
        </tpls>
      </n>
      <m>
        <tpls c="4">
          <tpl fld="7" item="1076"/>
          <tpl fld="6" item="2"/>
          <tpl hier="236" item="1"/>
          <tpl fld="4" item="5"/>
        </tpls>
      </m>
      <m>
        <tpls c="4">
          <tpl fld="7" item="964"/>
          <tpl fld="6" item="2"/>
          <tpl hier="236" item="1"/>
          <tpl fld="4" item="6"/>
        </tpls>
      </m>
      <m>
        <tpls c="4">
          <tpl fld="7" item="1177"/>
          <tpl fld="6" item="2"/>
          <tpl hier="236" item="1"/>
          <tpl fld="4" item="5"/>
        </tpls>
      </m>
      <m>
        <tpls c="4">
          <tpl fld="7" item="1267"/>
          <tpl fld="6" item="1"/>
          <tpl hier="236" item="1"/>
          <tpl fld="1" item="0"/>
        </tpls>
      </m>
      <n v="4" in="1">
        <tpls c="4">
          <tpl fld="7" item="1051"/>
          <tpl fld="6" item="1"/>
          <tpl hier="236" item="1"/>
          <tpl fld="1" item="0"/>
        </tpls>
      </n>
      <n v="47" in="1">
        <tpls c="4">
          <tpl fld="7" item="1031"/>
          <tpl fld="6" item="1"/>
          <tpl hier="236" item="1"/>
          <tpl fld="1" item="0"/>
        </tpls>
      </n>
      <m>
        <tpls c="4">
          <tpl fld="7" item="1069"/>
          <tpl fld="6" item="2"/>
          <tpl hier="236" item="1"/>
          <tpl fld="4" item="6"/>
        </tpls>
      </m>
      <m>
        <tpls c="4">
          <tpl fld="7" item="1080"/>
          <tpl fld="6" item="2"/>
          <tpl hier="236" item="1"/>
          <tpl fld="4" item="5"/>
        </tpls>
      </m>
      <n v="2" in="1">
        <tpls c="4">
          <tpl fld="7" item="1068"/>
          <tpl fld="6" item="1"/>
          <tpl hier="236" item="1"/>
          <tpl fld="1" item="0"/>
        </tpls>
      </n>
      <m>
        <tpls c="4">
          <tpl fld="7" item="1042"/>
          <tpl fld="6" item="1"/>
          <tpl hier="236" item="1"/>
          <tpl fld="4" item="5"/>
        </tpls>
      </m>
      <m>
        <tpls c="4">
          <tpl fld="7" item="1155"/>
          <tpl fld="6" item="2"/>
          <tpl hier="236" item="1"/>
          <tpl fld="4" item="6"/>
        </tpls>
      </m>
      <n v="17" in="1">
        <tpls c="4">
          <tpl fld="7" item="1059"/>
          <tpl fld="6" item="1"/>
          <tpl hier="236" item="1"/>
          <tpl fld="1" item="0"/>
        </tpls>
      </n>
      <m>
        <tpls c="4">
          <tpl fld="7" item="1209"/>
          <tpl fld="6" item="2"/>
          <tpl hier="236" item="1"/>
          <tpl fld="4" item="5"/>
        </tpls>
      </m>
      <m>
        <tpls c="4">
          <tpl fld="7" item="1068"/>
          <tpl fld="6" item="2"/>
          <tpl hier="236" item="1"/>
          <tpl fld="4" item="6"/>
        </tpls>
      </m>
      <m>
        <tpls c="4">
          <tpl fld="7" item="1072"/>
          <tpl fld="6" item="2"/>
          <tpl hier="236" item="1"/>
          <tpl fld="4" item="5"/>
        </tpls>
      </m>
      <n v="1" in="1">
        <tpls c="4">
          <tpl fld="7" item="1067"/>
          <tpl fld="6" item="1"/>
          <tpl hier="236" item="1"/>
          <tpl fld="1" item="0"/>
        </tpls>
      </n>
      <m>
        <tpls c="4">
          <tpl fld="7" item="1140"/>
          <tpl fld="6" item="1"/>
          <tpl hier="236" item="1"/>
          <tpl fld="4" item="6"/>
        </tpls>
      </m>
      <n v="26.537837837837838" in="2">
        <tpls c="6">
          <tpl fld="11" item="0"/>
          <tpl fld="5" item="3"/>
          <tpl fld="6" item="2"/>
          <tpl hier="236" item="1"/>
          <tpl fld="4" item="1"/>
          <tpl fld="9" item="4"/>
        </tpls>
      </n>
      <m>
        <tpls c="4">
          <tpl fld="7" item="1201"/>
          <tpl fld="6" item="2"/>
          <tpl hier="236" item="1"/>
          <tpl fld="4" item="6"/>
        </tpls>
      </m>
      <n v="11" in="1">
        <tpls c="4">
          <tpl fld="7" item="1056"/>
          <tpl fld="6" item="1"/>
          <tpl hier="236" item="1"/>
          <tpl fld="1" item="0"/>
        </tpls>
      </n>
      <n v="19" in="1">
        <tpls c="4">
          <tpl fld="7" item="926"/>
          <tpl fld="6" item="1"/>
          <tpl hier="236" item="1"/>
          <tpl fld="1" item="0"/>
        </tpls>
      </n>
      <n v="108.89248648648648" in="2">
        <tpls c="5">
          <tpl fld="11" item="0"/>
          <tpl fld="5" item="4"/>
          <tpl fld="6" item="2"/>
          <tpl hier="236" item="1"/>
          <tpl fld="1" item="0"/>
        </tpls>
      </n>
      <m>
        <tpls c="4">
          <tpl fld="7" item="1235"/>
          <tpl fld="6" item="2"/>
          <tpl hier="236" item="1"/>
          <tpl fld="4" item="6"/>
        </tpls>
      </m>
      <n v="0.96" in="2">
        <tpls c="6">
          <tpl fld="11" item="0"/>
          <tpl fld="5" item="2"/>
          <tpl fld="6" item="2"/>
          <tpl hier="236" item="1"/>
          <tpl fld="4" item="4"/>
          <tpl fld="10" item="3"/>
        </tpls>
      </n>
      <n v="1" in="1">
        <tpls c="4">
          <tpl fld="7" item="1202"/>
          <tpl fld="6" item="1"/>
          <tpl hier="236" item="1"/>
          <tpl fld="1" item="0"/>
        </tpls>
      </n>
      <n v="1" in="1">
        <tpls c="4">
          <tpl fld="7" item="1230"/>
          <tpl fld="6" item="1"/>
          <tpl hier="236" item="1"/>
          <tpl fld="4" item="5"/>
        </tpls>
      </n>
      <m>
        <tpls c="4">
          <tpl fld="7" item="1228"/>
          <tpl fld="6" item="1"/>
          <tpl hier="236" item="1"/>
          <tpl fld="4" item="6"/>
        </tpls>
      </m>
      <m>
        <tpls c="4">
          <tpl fld="7" item="1133"/>
          <tpl fld="6" item="2"/>
          <tpl hier="236" item="1"/>
          <tpl fld="1" item="0"/>
        </tpls>
      </m>
      <m>
        <tpls c="4">
          <tpl fld="7" item="1184"/>
          <tpl fld="6" item="2"/>
          <tpl hier="236" item="1"/>
          <tpl fld="1" item="0"/>
        </tpls>
      </m>
      <n v="1.08" in="2">
        <tpls c="4">
          <tpl fld="7" item="1032"/>
          <tpl fld="6" item="2"/>
          <tpl hier="236" item="1"/>
          <tpl fld="1" item="0"/>
        </tpls>
      </n>
      <n v="33" in="1">
        <tpls c="4">
          <tpl fld="7" item="927"/>
          <tpl fld="6" item="1"/>
          <tpl hier="236" item="1"/>
          <tpl fld="1" item="0"/>
        </tpls>
      </n>
      <m>
        <tpls c="4">
          <tpl fld="7" item="929"/>
          <tpl fld="6" item="2"/>
          <tpl hier="236" item="1"/>
          <tpl fld="1" item="0"/>
        </tpls>
      </m>
      <m>
        <tpls c="4">
          <tpl fld="7" item="1134"/>
          <tpl fld="6" item="2"/>
          <tpl hier="236" item="1"/>
          <tpl fld="4" item="6"/>
        </tpls>
      </m>
      <m>
        <tpls c="4">
          <tpl fld="7" item="873"/>
          <tpl fld="6" item="2"/>
          <tpl hier="236" item="1"/>
          <tpl fld="4" item="6"/>
        </tpls>
      </m>
      <n v="0.10338191132308781" in="0">
        <tpls c="4">
          <tpl fld="11" item="0"/>
          <tpl fld="6" item="0"/>
          <tpl hier="236" item="1"/>
          <tpl fld="4" item="0"/>
        </tpls>
      </n>
      <m>
        <tpls c="4">
          <tpl fld="7" item="1040"/>
          <tpl fld="6" item="1"/>
          <tpl hier="236" item="1"/>
          <tpl fld="4" item="5"/>
        </tpls>
      </m>
      <n v="6.6541752834628834E-3" in="0">
        <tpls c="5">
          <tpl fld="3" item="1"/>
          <tpl fld="11" item="0"/>
          <tpl fld="6" item="0"/>
          <tpl hier="236" item="1"/>
          <tpl fld="4" item="4"/>
        </tpls>
      </n>
      <m>
        <tpls c="4">
          <tpl fld="7" item="1060"/>
          <tpl fld="6" item="2"/>
          <tpl hier="236" item="1"/>
          <tpl fld="4" item="5"/>
        </tpls>
      </m>
      <m>
        <tpls c="4">
          <tpl fld="7" item="1182"/>
          <tpl fld="6" item="2"/>
          <tpl hier="236" item="1"/>
          <tpl fld="1" item="0"/>
        </tpls>
      </m>
      <m>
        <tpls c="4">
          <tpl fld="7" item="1045"/>
          <tpl fld="6" item="2"/>
          <tpl hier="236" item="1"/>
          <tpl fld="4" item="5"/>
        </tpls>
      </m>
      <m>
        <tpls c="4">
          <tpl fld="7" item="1142"/>
          <tpl fld="6" item="2"/>
          <tpl hier="236" item="1"/>
          <tpl fld="4" item="6"/>
        </tpls>
      </m>
      <m>
        <tpls c="4">
          <tpl fld="7" item="1231"/>
          <tpl fld="6" item="1"/>
          <tpl hier="236" item="1"/>
          <tpl fld="1" item="0"/>
        </tpls>
      </m>
      <m>
        <tpls c="4">
          <tpl fld="7" item="1163"/>
          <tpl fld="6" item="1"/>
          <tpl hier="236" item="1"/>
          <tpl fld="4" item="5"/>
        </tpls>
      </m>
      <n v="2.6510152884933972E-2" in="0">
        <tpls c="5">
          <tpl fld="3" item="3"/>
          <tpl fld="11" item="0"/>
          <tpl fld="6" item="0"/>
          <tpl hier="236" item="1"/>
          <tpl fld="4" item="6"/>
        </tpls>
      </n>
      <n v="1.6963336885472875E-2" in="0">
        <tpls c="5">
          <tpl fld="3" item="4"/>
          <tpl fld="11" item="0"/>
          <tpl fld="6" item="0"/>
          <tpl hier="236" item="1"/>
          <tpl fld="1" item="0"/>
        </tpls>
      </n>
      <n v="1224" in="1">
        <tpls c="3">
          <tpl fld="6" item="1"/>
          <tpl hier="236" item="1"/>
          <tpl fld="4" item="0"/>
        </tpls>
      </n>
      <n v="2.8498475112445985E-2" in="0">
        <tpls c="5">
          <tpl fld="11" item="0"/>
          <tpl fld="6" item="0"/>
          <tpl fld="8" item="0"/>
          <tpl hier="236" item="1"/>
          <tpl fld="1" item="0"/>
        </tpls>
      </n>
      <n v="0.8" in="2">
        <tpls c="4">
          <tpl fld="7" item="953"/>
          <tpl fld="6" item="2"/>
          <tpl hier="236" item="1"/>
          <tpl fld="4" item="5"/>
        </tpls>
      </n>
      <n v="7.9024638673761468E-3" in="0">
        <tpls c="5">
          <tpl fld="11" item="0"/>
          <tpl fld="5" item="3"/>
          <tpl fld="6" item="0"/>
          <tpl hier="236" item="1"/>
          <tpl fld="4" item="6"/>
        </tpls>
      </n>
      <m>
        <tpls c="4">
          <tpl fld="7" item="1138"/>
          <tpl fld="6" item="2"/>
          <tpl hier="236" item="1"/>
          <tpl fld="4" item="5"/>
        </tpls>
      </m>
      <m>
        <tpls c="5">
          <tpl fld="11" item="0"/>
          <tpl fld="5" item="2"/>
          <tpl fld="6" item="0"/>
          <tpl hier="236" item="1"/>
          <tpl fld="4" item="3"/>
        </tpls>
      </m>
      <n v="9.9948696552470129E-3" in="0">
        <tpls c="5">
          <tpl fld="11" item="0"/>
          <tpl fld="2" item="3"/>
          <tpl fld="6" item="0"/>
          <tpl hier="236" item="1"/>
          <tpl fld="4" item="3"/>
        </tpls>
      </n>
      <n v="5.7399588649291379E-2" in="0">
        <tpls c="5">
          <tpl fld="11" item="0"/>
          <tpl fld="2" item="0"/>
          <tpl fld="6" item="0"/>
          <tpl hier="236" item="1"/>
          <tpl fld="4" item="4"/>
        </tpls>
      </n>
      <n v="2.0279530414541856E-2" in="0">
        <tpls c="5">
          <tpl fld="11" item="0"/>
          <tpl fld="2" item="3"/>
          <tpl fld="6" item="0"/>
          <tpl hier="236" item="1"/>
          <tpl fld="1" item="0"/>
        </tpls>
      </n>
      <m>
        <tpls c="4">
          <tpl fld="7" item="1147"/>
          <tpl fld="6" item="2"/>
          <tpl hier="236" item="1"/>
          <tpl fld="4" item="5"/>
        </tpls>
      </m>
      <m>
        <tpls c="4">
          <tpl fld="7" item="1054"/>
          <tpl fld="6" item="2"/>
          <tpl hier="236" item="1"/>
          <tpl fld="4" item="5"/>
        </tpls>
      </m>
      <n v="0.36095495495495505" in="0">
        <tpls c="5">
          <tpl fld="11" item="0"/>
          <tpl fld="5" item="1"/>
          <tpl fld="6" item="0"/>
          <tpl hier="236" item="1"/>
          <tpl fld="4" item="5"/>
        </tpls>
      </n>
      <m>
        <tpls c="4">
          <tpl fld="7" item="1033"/>
          <tpl fld="6" item="2"/>
          <tpl hier="236" item="1"/>
          <tpl fld="4" item="5"/>
        </tpls>
      </m>
      <m>
        <tpls c="4">
          <tpl fld="7" item="932"/>
          <tpl fld="6" item="2"/>
          <tpl hier="236" item="1"/>
          <tpl fld="4" item="5"/>
        </tpls>
      </m>
      <n v="2.2237377503125114E-2" in="0">
        <tpls c="4">
          <tpl fld="11" item="0"/>
          <tpl fld="6" item="0"/>
          <tpl hier="236" item="1"/>
          <tpl fld="1" item="0"/>
        </tpls>
      </n>
      <n v="5.6120502455483903E-2" in="0">
        <tpls c="4">
          <tpl fld="11" item="0"/>
          <tpl fld="6" item="0"/>
          <tpl hier="236" item="1"/>
          <tpl fld="4" item="5"/>
        </tpls>
      </n>
      <n v="8.0974627688913392E-2" in="0">
        <tpls c="5">
          <tpl fld="11" item="0"/>
          <tpl fld="5" item="2"/>
          <tpl fld="6" item="0"/>
          <tpl hier="236" item="1"/>
          <tpl fld="4" item="6"/>
        </tpls>
      </n>
      <m>
        <tpls c="4">
          <tpl fld="7" item="947"/>
          <tpl fld="6" item="2"/>
          <tpl hier="236" item="1"/>
          <tpl fld="4" item="5"/>
        </tpls>
      </m>
      <m>
        <tpls c="4">
          <tpl fld="7" item="1139"/>
          <tpl fld="6" item="1"/>
          <tpl hier="236" item="1"/>
          <tpl fld="4" item="5"/>
        </tpls>
      </m>
      <n v="3.4336319881525364E-2" in="0">
        <tpls c="5">
          <tpl fld="11" item="0"/>
          <tpl fld="5" item="5"/>
          <tpl fld="6" item="0"/>
          <tpl hier="236" item="1"/>
          <tpl fld="4" item="1"/>
        </tpls>
      </n>
      <n v="2.326241134751773E-2" in="0">
        <tpls c="5">
          <tpl fld="11" item="0"/>
          <tpl fld="5" item="5"/>
          <tpl fld="6" item="0"/>
          <tpl hier="236" item="1"/>
          <tpl fld="4" item="5"/>
        </tpls>
      </n>
      <n v="3.0939140579428353E-2" in="0">
        <tpls c="5">
          <tpl fld="11" item="0"/>
          <tpl fld="5" item="4"/>
          <tpl fld="6" item="0"/>
          <tpl hier="236" item="1"/>
          <tpl fld="4" item="5"/>
        </tpls>
      </n>
      <m>
        <tpls c="4">
          <tpl fld="7" item="1156"/>
          <tpl fld="6" item="2"/>
          <tpl hier="236" item="1"/>
          <tpl fld="4" item="5"/>
        </tpls>
      </m>
      <m>
        <tpls c="4">
          <tpl fld="7" item="929"/>
          <tpl fld="6" item="2"/>
          <tpl hier="236" item="1"/>
          <tpl fld="4" item="6"/>
        </tpls>
      </m>
      <n v="5.6994036289810923E-2" in="0">
        <tpls c="5">
          <tpl fld="3" item="4"/>
          <tpl fld="11" item="0"/>
          <tpl fld="6" item="0"/>
          <tpl hier="236" item="1"/>
          <tpl fld="4" item="0"/>
        </tpls>
      </n>
      <n v="8.7798742138364781E-3" in="0">
        <tpls c="5">
          <tpl fld="3" item="1"/>
          <tpl fld="11" item="0"/>
          <tpl fld="6" item="0"/>
          <tpl hier="236" item="1"/>
          <tpl fld="4" item="7"/>
        </tpls>
      </n>
      <m>
        <tpls c="4">
          <tpl fld="7" item="1149"/>
          <tpl fld="6" item="2"/>
          <tpl hier="236" item="1"/>
          <tpl fld="4" item="5"/>
        </tpls>
      </m>
      <m>
        <tpls c="4">
          <tpl fld="7" item="1062"/>
          <tpl fld="6" item="2"/>
          <tpl hier="236" item="1"/>
          <tpl fld="4" item="5"/>
        </tpls>
      </m>
      <n v="1.0331596723358484E-2" in="0">
        <tpls c="5">
          <tpl fld="11" item="0"/>
          <tpl fld="5" item="5"/>
          <tpl fld="6" item="0"/>
          <tpl hier="236" item="1"/>
          <tpl fld="1" item="0"/>
        </tpls>
      </n>
      <m>
        <tpls c="4">
          <tpl fld="7" item="954"/>
          <tpl fld="6" item="2"/>
          <tpl hier="236" item="1"/>
          <tpl fld="4" item="5"/>
        </tpls>
      </m>
      <m>
        <tpls c="4">
          <tpl fld="7" item="967"/>
          <tpl fld="6" item="2"/>
          <tpl hier="236" item="1"/>
          <tpl fld="4" item="5"/>
        </tpls>
      </m>
      <n v="5.0778459257262244E-2" in="0">
        <tpls c="5">
          <tpl fld="11" item="0"/>
          <tpl fld="2" item="1"/>
          <tpl fld="6" item="0"/>
          <tpl hier="236" item="1"/>
          <tpl fld="4" item="2"/>
        </tpls>
      </n>
      <m>
        <tpls c="4">
          <tpl fld="7" item="1052"/>
          <tpl fld="6" item="2"/>
          <tpl hier="236" item="1"/>
          <tpl fld="4" item="5"/>
        </tpls>
      </m>
      <n v="4.1331436699857754E-2" in="0">
        <tpls c="5">
          <tpl fld="11" item="0"/>
          <tpl fld="2" item="2"/>
          <tpl fld="6" item="0"/>
          <tpl hier="236" item="1"/>
          <tpl fld="4" item="2"/>
        </tpls>
      </n>
      <n v="1.3305785123966943E-2" in="0">
        <tpls c="5">
          <tpl fld="11" item="0"/>
          <tpl fld="2" item="2"/>
          <tpl fld="6" item="0"/>
          <tpl hier="236" item="1"/>
          <tpl fld="4" item="7"/>
        </tpls>
      </n>
      <n v="1.1184340244053835E-2" in="0">
        <tpls c="5">
          <tpl fld="3" item="3"/>
          <tpl fld="11" item="0"/>
          <tpl fld="6" item="0"/>
          <tpl hier="236" item="1"/>
          <tpl fld="4" item="3"/>
        </tpls>
      </n>
      <m>
        <tpls c="4">
          <tpl fld="7" item="949"/>
          <tpl fld="6" item="2"/>
          <tpl hier="236" item="1"/>
          <tpl fld="4" item="5"/>
        </tpls>
      </m>
      <m>
        <tpls c="4">
          <tpl fld="7" item="973"/>
          <tpl fld="6" item="2"/>
          <tpl hier="236" item="1"/>
          <tpl fld="4" item="5"/>
        </tpls>
      </m>
      <m>
        <tpls c="4">
          <tpl fld="7" item="1151"/>
          <tpl fld="6" item="1"/>
          <tpl hier="236" item="1"/>
          <tpl fld="4" item="5"/>
        </tpls>
      </m>
      <n v="1.2751963786446545E-2" in="0">
        <tpls c="5">
          <tpl fld="11" item="0"/>
          <tpl fld="5" item="0"/>
          <tpl fld="6" item="0"/>
          <tpl hier="236" item="1"/>
          <tpl fld="4" item="5"/>
        </tpls>
      </n>
      <n v="4.086455773955773E-2" in="0">
        <tpls c="5">
          <tpl hier="32" item="4294967295"/>
          <tpl fld="11" item="0"/>
          <tpl fld="6" item="0"/>
          <tpl hier="236" item="1"/>
          <tpl fld="4" item="2"/>
        </tpls>
      </n>
      <m>
        <tpls c="4">
          <tpl fld="7" item="1150"/>
          <tpl fld="6" item="2"/>
          <tpl hier="236" item="1"/>
          <tpl fld="4" item="5"/>
        </tpls>
      </m>
      <m>
        <tpls c="4">
          <tpl fld="7" item="1081"/>
          <tpl fld="6" item="1"/>
          <tpl hier="236" item="1"/>
          <tpl fld="4" item="5"/>
        </tpls>
      </m>
      <n v="2.7228623476180481E-2" in="0">
        <tpls c="4">
          <tpl fld="11" item="0"/>
          <tpl fld="6" item="0"/>
          <tpl hier="236" item="1"/>
          <tpl fld="4" item="4"/>
        </tpls>
      </n>
      <n v="1.0308318542687397E-2" in="0">
        <tpls c="5">
          <tpl hier="32" item="4294967295"/>
          <tpl fld="11" item="0"/>
          <tpl fld="6" item="0"/>
          <tpl hier="236" item="1"/>
          <tpl fld="4" item="7"/>
        </tpls>
      </n>
      <n v="4.9629629629629635E-2" in="0">
        <tpls c="5">
          <tpl fld="11" item="0"/>
          <tpl fld="2" item="3"/>
          <tpl fld="6" item="0"/>
          <tpl hier="236" item="1"/>
          <tpl fld="4" item="2"/>
        </tpls>
      </n>
      <m>
        <tpls c="4">
          <tpl fld="7" item="1224"/>
          <tpl fld="6" item="2"/>
          <tpl hier="236" item="1"/>
          <tpl fld="4" item="5"/>
        </tpls>
      </m>
      <n v="0.10338191132308781" in="0">
        <tpls c="5">
          <tpl fld="11" item="0"/>
          <tpl fld="6" item="0"/>
          <tpl hier="208" item="4294967295"/>
          <tpl hier="236" item="1"/>
          <tpl fld="4" item="0"/>
        </tpls>
      </n>
      <n v="6" in="1">
        <tpls c="4">
          <tpl fld="7" item="1040"/>
          <tpl fld="6" item="1"/>
          <tpl hier="236" item="1"/>
          <tpl fld="1" item="0"/>
        </tpls>
      </n>
      <n v="4.086455773955773E-2" in="0">
        <tpls c="5">
          <tpl fld="11" item="0"/>
          <tpl fld="6" item="0"/>
          <tpl hier="208" item="4294967295"/>
          <tpl hier="236" item="1"/>
          <tpl fld="4" item="2"/>
        </tpls>
      </n>
      <m>
        <tpls c="4">
          <tpl fld="7" item="1030"/>
          <tpl fld="6" item="1"/>
          <tpl hier="236" item="1"/>
          <tpl fld="4" item="5"/>
        </tpls>
      </m>
      <m>
        <tpls c="4">
          <tpl fld="7" item="1049"/>
          <tpl fld="6" item="2"/>
          <tpl hier="236" item="1"/>
          <tpl fld="4" item="5"/>
        </tpls>
      </m>
      <m>
        <tpls c="4">
          <tpl fld="7" item="948"/>
          <tpl fld="6" item="2"/>
          <tpl hier="236" item="1"/>
          <tpl fld="4" item="5"/>
        </tpls>
      </m>
      <m>
        <tpls c="4">
          <tpl fld="7" item="1181"/>
          <tpl fld="6" item="2"/>
          <tpl hier="236" item="1"/>
          <tpl fld="4" item="5"/>
        </tpls>
      </m>
      <m>
        <tpls c="4">
          <tpl fld="7" item="1048"/>
          <tpl fld="6" item="1"/>
          <tpl hier="236" item="1"/>
          <tpl fld="4" item="5"/>
        </tpls>
      </m>
      <n v="0.35425186409481035" in="0">
        <tpls c="5">
          <tpl fld="11" item="0"/>
          <tpl fld="5" item="1"/>
          <tpl fld="6" item="0"/>
          <tpl hier="236" item="1"/>
          <tpl fld="4" item="1"/>
        </tpls>
      </n>
      <n v="0.11064213149319532" in="0">
        <tpls c="5">
          <tpl fld="11" item="0"/>
          <tpl fld="2" item="3"/>
          <tpl fld="6" item="0"/>
          <tpl hier="236" item="1"/>
          <tpl fld="4" item="0"/>
        </tpls>
      </n>
      <m>
        <tpls c="4">
          <tpl fld="7" item="1035"/>
          <tpl fld="6" item="1"/>
          <tpl hier="236" item="1"/>
          <tpl fld="4" item="5"/>
        </tpls>
      </m>
      <m>
        <tpls c="4">
          <tpl fld="7" item="1053"/>
          <tpl fld="6" item="2"/>
          <tpl hier="236" item="1"/>
          <tpl fld="4" item="5"/>
        </tpls>
      </m>
      <n v="4.3259962452623008E-2" in="0">
        <tpls c="5">
          <tpl fld="11" item="0"/>
          <tpl fld="5" item="4"/>
          <tpl fld="6" item="0"/>
          <tpl hier="236" item="1"/>
          <tpl fld="4" item="1"/>
        </tpls>
      </n>
      <n v="1618" in="1">
        <tpls c="3">
          <tpl fld="6" item="1"/>
          <tpl hier="236" item="1"/>
          <tpl fld="4" item="5"/>
        </tpls>
      </n>
      <m>
        <tpls c="4">
          <tpl fld="7" item="1046"/>
          <tpl fld="6" item="1"/>
          <tpl hier="236" item="1"/>
          <tpl fld="1" item="0"/>
        </tpls>
      </m>
      <m>
        <tpls c="4">
          <tpl fld="7" item="1161"/>
          <tpl fld="6" item="2"/>
          <tpl hier="236" item="1"/>
          <tpl fld="4" item="5"/>
        </tpls>
      </m>
      <m>
        <tpls c="4">
          <tpl fld="7" item="1267"/>
          <tpl fld="6" item="2"/>
          <tpl hier="236" item="1"/>
          <tpl fld="4" item="6"/>
        </tpls>
      </m>
      <m>
        <tpls c="4">
          <tpl fld="7" item="1176"/>
          <tpl fld="6" item="2"/>
          <tpl hier="236" item="1"/>
          <tpl fld="4" item="5"/>
        </tpls>
      </m>
      <n v="2.8198690827289909E-2" in="0">
        <tpls c="5">
          <tpl fld="11" item="0"/>
          <tpl fld="2" item="2"/>
          <tpl fld="6" item="0"/>
          <tpl hier="236" item="1"/>
          <tpl fld="4" item="6"/>
        </tpls>
      </n>
      <n v="2" in="1">
        <tpls c="4">
          <tpl fld="7" item="1141"/>
          <tpl fld="6" item="1"/>
          <tpl hier="236" item="1"/>
          <tpl fld="4" item="5"/>
        </tpls>
      </n>
      <m>
        <tpls c="4">
          <tpl fld="7" item="875"/>
          <tpl fld="6" item="2"/>
          <tpl hier="236" item="1"/>
          <tpl fld="4" item="6"/>
        </tpls>
      </m>
      <n v="2" in="1">
        <tpls c="4">
          <tpl fld="7" item="875"/>
          <tpl fld="6" item="1"/>
          <tpl hier="236" item="1"/>
          <tpl fld="1" item="0"/>
        </tpls>
      </n>
      <m>
        <tpls c="4">
          <tpl fld="7" item="950"/>
          <tpl fld="6" item="1"/>
          <tpl hier="236" item="1"/>
          <tpl fld="4" item="5"/>
        </tpls>
      </m>
      <m>
        <tpls c="4">
          <tpl fld="7" item="1203"/>
          <tpl fld="6" item="2"/>
          <tpl hier="236" item="1"/>
          <tpl fld="4" item="6"/>
        </tpls>
      </m>
      <m>
        <tpls c="4">
          <tpl fld="7" item="1175"/>
          <tpl fld="6" item="2"/>
          <tpl hier="236" item="1"/>
          <tpl fld="4" item="5"/>
        </tpls>
      </m>
      <m>
        <tpls c="4">
          <tpl fld="7" item="1149"/>
          <tpl fld="6" item="2"/>
          <tpl hier="236" item="1"/>
          <tpl fld="4" item="6"/>
        </tpls>
      </m>
      <m>
        <tpls c="4">
          <tpl fld="7" item="1060"/>
          <tpl fld="6" item="2"/>
          <tpl hier="236" item="1"/>
          <tpl fld="4" item="6"/>
        </tpls>
      </m>
      <m>
        <tpls c="4">
          <tpl fld="7" item="1030"/>
          <tpl fld="6" item="2"/>
          <tpl hier="236" item="1"/>
          <tpl fld="4" item="6"/>
        </tpls>
      </m>
      <m>
        <tpls c="4">
          <tpl fld="7" item="1233"/>
          <tpl fld="6" item="1"/>
          <tpl hier="236" item="1"/>
          <tpl fld="4" item="5"/>
        </tpls>
      </m>
      <m>
        <tpls c="4">
          <tpl fld="7" item="1267"/>
          <tpl fld="6" item="1"/>
          <tpl hier="236" item="1"/>
          <tpl fld="4" item="5"/>
        </tpls>
      </m>
      <n v="9" in="1">
        <tpls c="4">
          <tpl fld="7" item="1073"/>
          <tpl fld="6" item="1"/>
          <tpl hier="236" item="1"/>
          <tpl fld="1" item="0"/>
        </tpls>
      </n>
      <n v="0" in="1">
        <tpls c="4">
          <tpl fld="7" item="1046"/>
          <tpl fld="6" item="1"/>
          <tpl hier="236" item="1"/>
          <tpl fld="4" item="5"/>
        </tpls>
      </n>
      <n v="1" in="1">
        <tpls c="4">
          <tpl fld="7" item="1255"/>
          <tpl fld="6" item="1"/>
          <tpl hier="236" item="1"/>
          <tpl fld="1" item="0"/>
        </tpls>
      </n>
      <n v="9" in="1">
        <tpls c="4">
          <tpl fld="7" item="957"/>
          <tpl fld="6" item="1"/>
          <tpl hier="236" item="1"/>
          <tpl fld="1" item="0"/>
        </tpls>
      </n>
      <n v="5" in="1">
        <tpls c="4">
          <tpl fld="7" item="946"/>
          <tpl fld="6" item="1"/>
          <tpl hier="236" item="1"/>
          <tpl fld="1" item="0"/>
        </tpls>
      </n>
      <n v="25" in="1">
        <tpls c="4">
          <tpl fld="7" item="1177"/>
          <tpl fld="6" item="1"/>
          <tpl hier="236" item="1"/>
          <tpl fld="1" item="0"/>
        </tpls>
      </n>
      <m>
        <tpls c="4">
          <tpl fld="7" item="1048"/>
          <tpl fld="6" item="2"/>
          <tpl hier="236" item="1"/>
          <tpl fld="4" item="6"/>
        </tpls>
      </m>
      <m>
        <tpls c="4">
          <tpl fld="7" item="1176"/>
          <tpl fld="6" item="1"/>
          <tpl hier="236" item="1"/>
          <tpl fld="4" item="5"/>
        </tpls>
      </m>
      <m>
        <tpls c="4">
          <tpl fld="7" item="1134"/>
          <tpl fld="6" item="1"/>
          <tpl hier="236" item="1"/>
          <tpl fld="4" item="5"/>
        </tpls>
      </m>
      <n v="4" in="1">
        <tpls c="4">
          <tpl fld="7" item="1205"/>
          <tpl fld="6" item="1"/>
          <tpl hier="236" item="1"/>
          <tpl fld="1" item="0"/>
        </tpls>
      </n>
      <m>
        <tpls c="4">
          <tpl fld="7" item="963"/>
          <tpl fld="6" item="1"/>
          <tpl hier="236" item="1"/>
          <tpl fld="4" item="5"/>
        </tpls>
      </m>
      <m>
        <tpls c="4">
          <tpl fld="7" item="1202"/>
          <tpl fld="6" item="1"/>
          <tpl hier="236" item="1"/>
          <tpl fld="4" item="5"/>
        </tpls>
      </m>
      <n v="1" in="1">
        <tpls c="4">
          <tpl fld="7" item="1176"/>
          <tpl fld="6" item="1"/>
          <tpl hier="236" item="1"/>
          <tpl fld="1" item="0"/>
        </tpls>
      </n>
      <m>
        <tpls c="4">
          <tpl fld="7" item="1044"/>
          <tpl fld="6" item="2"/>
          <tpl hier="236" item="1"/>
          <tpl fld="4" item="6"/>
        </tpls>
      </m>
      <m>
        <tpls c="4">
          <tpl fld="7" item="1175"/>
          <tpl fld="6" item="1"/>
          <tpl hier="236" item="1"/>
          <tpl fld="4" item="5"/>
        </tpls>
      </m>
      <m>
        <tpls c="4">
          <tpl fld="7" item="964"/>
          <tpl fld="6" item="1"/>
          <tpl hier="236" item="1"/>
          <tpl fld="4" item="6"/>
        </tpls>
      </m>
      <m>
        <tpls c="6">
          <tpl fld="11" item="0"/>
          <tpl fld="5" item="0"/>
          <tpl fld="6" item="2"/>
          <tpl hier="236" item="1"/>
          <tpl fld="4" item="3"/>
          <tpl fld="10" item="6"/>
        </tpls>
      </m>
      <n v="0" in="1">
        <tpls c="4">
          <tpl fld="7" item="1253"/>
          <tpl fld="6" item="1"/>
          <tpl hier="236" item="1"/>
          <tpl fld="1" item="0"/>
        </tpls>
      </n>
      <m>
        <tpls c="4">
          <tpl fld="7" item="1079"/>
          <tpl fld="6" item="2"/>
          <tpl hier="236" item="1"/>
          <tpl fld="4" item="6"/>
        </tpls>
      </m>
      <m>
        <tpls c="4">
          <tpl fld="7" item="1150"/>
          <tpl fld="6" item="1"/>
          <tpl hier="236" item="1"/>
          <tpl fld="4" item="6"/>
        </tpls>
      </m>
      <n v="0.8" in="2">
        <tpls c="6">
          <tpl fld="11" item="0"/>
          <tpl fld="5" item="2"/>
          <tpl fld="6" item="2"/>
          <tpl hier="236" item="1"/>
          <tpl fld="4" item="4"/>
          <tpl fld="10" item="5"/>
        </tpls>
      </n>
      <n v="3" in="1">
        <tpls c="4">
          <tpl fld="7" item="1042"/>
          <tpl fld="6" item="1"/>
          <tpl hier="236" item="1"/>
          <tpl fld="4" item="6"/>
        </tpls>
      </n>
      <n v="8.120000000000001" in="2">
        <tpls c="6">
          <tpl fld="11" item="0"/>
          <tpl fld="5" item="3"/>
          <tpl fld="6" item="2"/>
          <tpl hier="236" item="1"/>
          <tpl fld="4" item="4"/>
          <tpl fld="10" item="8"/>
        </tpls>
      </n>
      <n v="1" in="1">
        <tpls c="4">
          <tpl fld="7" item="1155"/>
          <tpl fld="6" item="1"/>
          <tpl hier="236" item="1"/>
          <tpl fld="4" item="5"/>
        </tpls>
      </n>
      <m>
        <tpls c="4">
          <tpl fld="7" item="1180"/>
          <tpl fld="6" item="1"/>
          <tpl hier="236" item="1"/>
          <tpl fld="4" item="5"/>
        </tpls>
      </m>
      <n v="2" in="1">
        <tpls c="4">
          <tpl fld="7" item="1268"/>
          <tpl fld="6" item="1"/>
          <tpl hier="236" item="1"/>
          <tpl fld="4" item="6"/>
        </tpls>
      </n>
      <n v="1" in="2">
        <tpls c="6">
          <tpl fld="11" item="0"/>
          <tpl fld="5" item="2"/>
          <tpl fld="6" item="2"/>
          <tpl hier="236" item="1"/>
          <tpl fld="4" item="6"/>
          <tpl fld="10" item="6"/>
        </tpls>
      </n>
      <m>
        <tpls c="4">
          <tpl fld="7" item="1164"/>
          <tpl fld="6" item="2"/>
          <tpl hier="236" item="1"/>
          <tpl fld="1" item="0"/>
        </tpls>
      </m>
      <m>
        <tpls c="5">
          <tpl fld="11" item="0"/>
          <tpl fld="5" item="4"/>
          <tpl fld="6" item="0"/>
          <tpl hier="236" item="1"/>
          <tpl fld="4" item="7"/>
        </tpls>
      </m>
      <n v="0.10400088613203368" in="0">
        <tpls c="5">
          <tpl fld="11" item="0"/>
          <tpl fld="2" item="2"/>
          <tpl fld="6" item="0"/>
          <tpl hier="236" item="1"/>
          <tpl fld="4" item="0"/>
        </tpls>
      </n>
      <n v="1.123068476856035E-2" in="0">
        <tpls c="5">
          <tpl fld="11" item="0"/>
          <tpl fld="5" item="3"/>
          <tpl fld="6" item="0"/>
          <tpl hier="236" item="1"/>
          <tpl fld="4" item="4"/>
        </tpls>
      </n>
      <n v="791.8631351351346" in="2">
        <tpls c="3">
          <tpl fld="6" item="2"/>
          <tpl hier="236" item="1"/>
          <tpl fld="4" item="1"/>
        </tpls>
      </n>
      <n v="0.1053503734739471" in="0">
        <tpls c="5">
          <tpl fld="11" item="0"/>
          <tpl fld="6" item="0"/>
          <tpl fld="8" item="1"/>
          <tpl hier="236" item="1"/>
          <tpl fld="4" item="1"/>
        </tpls>
      </n>
      <m>
        <tpls c="4">
          <tpl fld="7" item="1168"/>
          <tpl fld="6" item="2"/>
          <tpl hier="236" item="1"/>
          <tpl fld="4" item="5"/>
        </tpls>
      </m>
      <m>
        <tpls c="4">
          <tpl fld="7" item="943"/>
          <tpl fld="6" item="1"/>
          <tpl hier="236" item="1"/>
          <tpl fld="1" item="0"/>
        </tpls>
      </m>
      <m>
        <tpls c="5">
          <tpl fld="11" item="0"/>
          <tpl fld="2" item="4"/>
          <tpl fld="6" item="0"/>
          <tpl hier="236" item="1"/>
          <tpl fld="4" item="2"/>
        </tpls>
      </m>
      <m>
        <tpls c="4">
          <tpl fld="7" item="940"/>
          <tpl fld="6" item="2"/>
          <tpl hier="236" item="1"/>
          <tpl fld="4" item="6"/>
        </tpls>
      </m>
      <n v="2" in="1">
        <tpls c="4">
          <tpl fld="7" item="930"/>
          <tpl fld="6" item="1"/>
          <tpl hier="236" item="1"/>
          <tpl fld="1" item="0"/>
        </tpls>
      </n>
      <m>
        <tpls c="4">
          <tpl fld="7" item="1070"/>
          <tpl fld="6" item="2"/>
          <tpl hier="236" item="1"/>
          <tpl fld="1" item="0"/>
        </tpls>
      </m>
      <n v="1" in="1">
        <tpls c="4">
          <tpl fld="7" item="1227"/>
          <tpl fld="6" item="1"/>
          <tpl hier="236" item="1"/>
          <tpl fld="1" item="0"/>
        </tpls>
      </n>
      <m>
        <tpls c="4">
          <tpl fld="7" item="1063"/>
          <tpl fld="6" item="2"/>
          <tpl hier="236" item="1"/>
          <tpl fld="4" item="5"/>
        </tpls>
      </m>
      <m>
        <tpls c="4">
          <tpl fld="7" item="1169"/>
          <tpl fld="6" item="2"/>
          <tpl hier="236" item="1"/>
          <tpl fld="4" item="6"/>
        </tpls>
      </m>
      <m>
        <tpls c="4">
          <tpl fld="7" item="926"/>
          <tpl fld="6" item="2"/>
          <tpl hier="236" item="1"/>
          <tpl fld="4" item="5"/>
        </tpls>
      </m>
      <n v="1" in="1">
        <tpls c="4">
          <tpl fld="7" item="937"/>
          <tpl fld="6" item="1"/>
          <tpl hier="236" item="1"/>
          <tpl fld="4" item="5"/>
        </tpls>
      </n>
      <n v="0.11130967822859714" in="0">
        <tpls c="5">
          <tpl fld="11" item="0"/>
          <tpl fld="2" item="1"/>
          <tpl fld="6" item="0"/>
          <tpl hier="236" item="1"/>
          <tpl fld="4" item="1"/>
        </tpls>
      </n>
      <n v="3.0019201414550251E-2" in="0">
        <tpls c="5">
          <tpl fld="11" item="0"/>
          <tpl fld="2" item="2"/>
          <tpl fld="6" item="0"/>
          <tpl hier="236" item="1"/>
          <tpl fld="4" item="4"/>
        </tpls>
      </n>
      <m>
        <tpls c="4">
          <tpl fld="7" item="929"/>
          <tpl fld="6" item="2"/>
          <tpl hier="236" item="1"/>
          <tpl fld="4" item="5"/>
        </tpls>
      </m>
      <n v="1363.0400540540538" in="2">
        <tpls c="4">
          <tpl fld="11" item="0"/>
          <tpl fld="6" item="2"/>
          <tpl hier="236" item="1"/>
          <tpl fld="1" item="0"/>
        </tpls>
      </n>
      <n v="4.2463248295023993E-2" in="0">
        <tpls c="5">
          <tpl fld="11" item="0"/>
          <tpl fld="2" item="0"/>
          <tpl fld="6" item="0"/>
          <tpl hier="236" item="1"/>
          <tpl fld="4" item="6"/>
        </tpls>
      </n>
      <n v="0.12825013709361538" in="0">
        <tpls c="5">
          <tpl fld="11" item="0"/>
          <tpl fld="2" item="3"/>
          <tpl fld="6" item="0"/>
          <tpl hier="236" item="1"/>
          <tpl fld="4" item="1"/>
        </tpls>
      </n>
      <n v="1.240170334509957E-2" in="0">
        <tpls c="5">
          <tpl fld="11" item="0"/>
          <tpl fld="2" item="1"/>
          <tpl fld="6" item="0"/>
          <tpl hier="236" item="1"/>
          <tpl fld="4" item="3"/>
        </tpls>
      </n>
      <m>
        <tpls c="4">
          <tpl fld="7" item="1146"/>
          <tpl fld="6" item="2"/>
          <tpl hier="236" item="1"/>
          <tpl fld="4" item="5"/>
        </tpls>
      </m>
      <m>
        <tpls c="4">
          <tpl fld="7" item="1050"/>
          <tpl fld="6" item="2"/>
          <tpl hier="236" item="1"/>
          <tpl fld="4" item="5"/>
        </tpls>
      </m>
      <n v="1.030629213841323E-2" in="0">
        <tpls c="5">
          <tpl fld="11" item="0"/>
          <tpl fld="5" item="5"/>
          <tpl fld="6" item="0"/>
          <tpl hier="236" item="1"/>
          <tpl fld="4" item="7"/>
        </tpls>
      </n>
      <n v="1.139050548189699E-2" in="0">
        <tpls c="5">
          <tpl fld="11" item="0"/>
          <tpl fld="5" item="5"/>
          <tpl fld="6" item="0"/>
          <tpl hier="236" item="1"/>
          <tpl fld="4" item="3"/>
        </tpls>
      </n>
      <m>
        <tpls c="5">
          <tpl fld="11" item="0"/>
          <tpl fld="5" item="1"/>
          <tpl fld="6" item="0"/>
          <tpl hier="236" item="1"/>
          <tpl fld="4" item="7"/>
        </tpls>
      </m>
      <m>
        <tpls c="4">
          <tpl fld="7" item="1155"/>
          <tpl fld="6" item="2"/>
          <tpl hier="236" item="1"/>
          <tpl fld="4" item="5"/>
        </tpls>
      </m>
      <m>
        <tpls c="4">
          <tpl fld="7" item="939"/>
          <tpl fld="6" item="2"/>
          <tpl hier="236" item="1"/>
          <tpl fld="4" item="6"/>
        </tpls>
      </m>
      <m>
        <tpls c="4">
          <tpl fld="7" item="946"/>
          <tpl fld="6" item="2"/>
          <tpl hier="236" item="1"/>
          <tpl fld="4" item="5"/>
        </tpls>
      </m>
      <n v="2.5806451612903226E-2" in="0">
        <tpls c="5">
          <tpl fld="3" item="0"/>
          <tpl fld="11" item="0"/>
          <tpl fld="6" item="0"/>
          <tpl hier="236" item="1"/>
          <tpl fld="4" item="1"/>
        </tpls>
      </n>
      <n v="0.30943183272029412" in="0">
        <tpls c="5">
          <tpl fld="11" item="0"/>
          <tpl fld="5" item="1"/>
          <tpl fld="6" item="0"/>
          <tpl hier="236" item="1"/>
          <tpl fld="4" item="4"/>
        </tpls>
      </n>
      <n v="9.5686912925718889E-2" in="0">
        <tpls c="5">
          <tpl fld="11" item="0"/>
          <tpl fld="6" item="0"/>
          <tpl fld="8" item="1"/>
          <tpl hier="236" item="1"/>
          <tpl fld="4" item="0"/>
        </tpls>
      </n>
      <n v="1.1728642702516891E-2" in="0">
        <tpls c="5">
          <tpl fld="11" item="0"/>
          <tpl fld="6" item="0"/>
          <tpl fld="8" item="1"/>
          <tpl hier="236" item="1"/>
          <tpl fld="4" item="3"/>
        </tpls>
      </n>
      <n v="14707" in="1">
        <tpls c="3">
          <tpl fld="6" item="1"/>
          <tpl hier="236" item="1"/>
          <tpl fld="4" item="6"/>
        </tpls>
      </n>
      <m>
        <tpls c="4">
          <tpl fld="7" item="955"/>
          <tpl fld="6" item="2"/>
          <tpl hier="236" item="1"/>
          <tpl fld="4" item="5"/>
        </tpls>
      </m>
      <m>
        <tpls c="4">
          <tpl fld="7" item="938"/>
          <tpl fld="6" item="2"/>
          <tpl hier="236" item="1"/>
          <tpl fld="4" item="6"/>
        </tpls>
      </m>
      <n v="2.2448903059538759E-2" in="0">
        <tpls c="5">
          <tpl fld="11" item="0"/>
          <tpl fld="2" item="3"/>
          <tpl fld="6" item="0"/>
          <tpl hier="236" item="1"/>
          <tpl fld="4" item="6"/>
        </tpls>
      </n>
      <n v="2.3254609749936855E-2" in="0">
        <tpls c="5">
          <tpl fld="3" item="1"/>
          <tpl fld="11" item="0"/>
          <tpl fld="6" item="0"/>
          <tpl hier="236" item="1"/>
          <tpl fld="4" item="5"/>
        </tpls>
      </n>
      <m>
        <tpls c="4">
          <tpl fld="7" item="1133"/>
          <tpl fld="6" item="2"/>
          <tpl hier="236" item="1"/>
          <tpl fld="4" item="5"/>
        </tpls>
      </m>
      <m>
        <tpls c="4">
          <tpl fld="7" item="1164"/>
          <tpl fld="6" item="2"/>
          <tpl hier="236" item="1"/>
          <tpl fld="4" item="5"/>
        </tpls>
      </m>
      <m>
        <tpls c="4">
          <tpl fld="7" item="1146"/>
          <tpl fld="6" item="1"/>
          <tpl hier="236" item="1"/>
          <tpl fld="4" item="5"/>
        </tpls>
      </m>
      <m>
        <tpls c="5">
          <tpl fld="11" item="0"/>
          <tpl fld="5" item="0"/>
          <tpl fld="6" item="0"/>
          <tpl hier="236" item="1"/>
          <tpl fld="4" item="3"/>
        </tpls>
      </m>
      <n v="1.2428884026258205E-2" in="0">
        <tpls c="5">
          <tpl fld="11" item="0"/>
          <tpl fld="5" item="0"/>
          <tpl fld="6" item="0"/>
          <tpl hier="236" item="1"/>
          <tpl fld="4" item="1"/>
        </tpls>
      </n>
      <n v="2.9743589743589743E-2" in="0">
        <tpls c="5">
          <tpl fld="11" item="0"/>
          <tpl fld="2" item="4"/>
          <tpl fld="6" item="0"/>
          <tpl hier="236" item="1"/>
          <tpl fld="4" item="5"/>
        </tpls>
      </n>
      <m>
        <tpls c="4">
          <tpl fld="7" item="1157"/>
          <tpl fld="6" item="2"/>
          <tpl hier="236" item="1"/>
          <tpl fld="4" item="5"/>
        </tpls>
      </m>
      <m>
        <tpls c="4">
          <tpl fld="7" item="1183"/>
          <tpl fld="6" item="2"/>
          <tpl hier="236" item="1"/>
          <tpl fld="4" item="5"/>
        </tpls>
      </m>
      <m>
        <tpls c="5">
          <tpl fld="3" item="2"/>
          <tpl fld="11" item="0"/>
          <tpl fld="6" item="0"/>
          <tpl hier="236" item="1"/>
          <tpl fld="4" item="3"/>
        </tpls>
      </m>
      <m>
        <tpls c="4">
          <tpl fld="7" item="1149"/>
          <tpl fld="6" item="1"/>
          <tpl hier="236" item="1"/>
          <tpl fld="4" item="5"/>
        </tpls>
      </m>
      <m>
        <tpls c="4">
          <tpl fld="7" item="1033"/>
          <tpl fld="6" item="1"/>
          <tpl hier="236" item="1"/>
          <tpl fld="4" item="5"/>
        </tpls>
      </m>
      <n v="1.0873769778181544E-2" in="0">
        <tpls c="5">
          <tpl fld="11" item="0"/>
          <tpl fld="2" item="4"/>
          <tpl fld="6" item="0"/>
          <tpl hier="236" item="1"/>
          <tpl fld="1" item="0"/>
        </tpls>
      </n>
      <n v="1.0840811066023527E-2" in="0">
        <tpls c="5">
          <tpl fld="11" item="0"/>
          <tpl fld="5" item="5"/>
          <tpl fld="6" item="0"/>
          <tpl hier="236" item="1"/>
          <tpl fld="4" item="6"/>
        </tpls>
      </n>
      <n v="9.0741704201325341E-3" in="0">
        <tpls c="5">
          <tpl fld="11" item="0"/>
          <tpl fld="5" item="5"/>
          <tpl fld="6" item="0"/>
          <tpl hier="236" item="1"/>
          <tpl fld="4" item="4"/>
        </tpls>
      </n>
      <n v="0.1907987987987988" in="0">
        <tpls c="5">
          <tpl fld="11" item="0"/>
          <tpl fld="5" item="1"/>
          <tpl fld="6" item="0"/>
          <tpl hier="236" item="1"/>
          <tpl fld="4" item="2"/>
        </tpls>
      </n>
      <m>
        <tpls c="4">
          <tpl fld="7" item="957"/>
          <tpl fld="6" item="2"/>
          <tpl hier="236" item="1"/>
          <tpl fld="4" item="5"/>
        </tpls>
      </m>
      <m>
        <tpls c="4">
          <tpl fld="7" item="1224"/>
          <tpl fld="6" item="1"/>
          <tpl hier="236" item="1"/>
          <tpl fld="4" item="5"/>
        </tpls>
      </m>
      <n v="9.6578824505887846E-3" in="0">
        <tpls c="5">
          <tpl fld="11" item="0"/>
          <tpl fld="5" item="0"/>
          <tpl fld="6" item="0"/>
          <tpl hier="236" item="1"/>
          <tpl fld="4" item="6"/>
        </tpls>
      </n>
      <n v="3.7752808988764042E-2" in="0">
        <tpls c="5">
          <tpl fld="3" item="2"/>
          <tpl fld="11" item="0"/>
          <tpl fld="6" item="0"/>
          <tpl hier="236" item="1"/>
          <tpl fld="4" item="2"/>
        </tpls>
      </n>
      <n v="13565" in="1">
        <tpls c="3">
          <tpl fld="6" item="1"/>
          <tpl hier="236" item="1"/>
          <tpl fld="4" item="3"/>
        </tpls>
      </n>
      <m>
        <tpls c="4">
          <tpl fld="7" item="1158"/>
          <tpl fld="6" item="2"/>
          <tpl hier="236" item="1"/>
          <tpl fld="4" item="5"/>
        </tpls>
      </m>
      <n v="7" in="1">
        <tpls c="4">
          <tpl fld="7" item="1034"/>
          <tpl fld="6" item="1"/>
          <tpl hier="236" item="1"/>
          <tpl fld="1" item="0"/>
        </tpls>
      </n>
      <n v="1.0308318542687397E-2" in="0">
        <tpls c="5">
          <tpl fld="11" item="0"/>
          <tpl fld="6" item="0"/>
          <tpl hier="208" item="4294967295"/>
          <tpl hier="236" item="1"/>
          <tpl fld="4" item="7"/>
        </tpls>
      </n>
      <n v="5.6120502455483903E-2" in="0">
        <tpls c="5">
          <tpl fld="11" item="0"/>
          <tpl fld="6" item="0"/>
          <tpl hier="208" item="4294967295"/>
          <tpl hier="236" item="1"/>
          <tpl fld="4" item="5"/>
        </tpls>
      </n>
      <m>
        <tpls c="4">
          <tpl fld="7" item="1143"/>
          <tpl fld="6" item="2"/>
          <tpl hier="236" item="1"/>
          <tpl fld="4" item="5"/>
        </tpls>
      </m>
      <m>
        <tpls c="4">
          <tpl fld="7" item="1038"/>
          <tpl fld="6" item="2"/>
          <tpl hier="236" item="1"/>
          <tpl fld="4" item="5"/>
        </tpls>
      </m>
      <m>
        <tpls c="4">
          <tpl fld="7" item="1148"/>
          <tpl fld="6" item="1"/>
          <tpl hier="236" item="1"/>
          <tpl fld="4" item="5"/>
        </tpls>
      </m>
      <m>
        <tpls c="4">
          <tpl fld="7" item="930"/>
          <tpl fld="6" item="2"/>
          <tpl hier="236" item="1"/>
          <tpl fld="4" item="5"/>
        </tpls>
      </m>
      <m>
        <tpls c="4">
          <tpl fld="7" item="1226"/>
          <tpl fld="6" item="2"/>
          <tpl hier="236" item="1"/>
          <tpl fld="4" item="5"/>
        </tpls>
      </m>
      <m>
        <tpls c="4">
          <tpl fld="7" item="936"/>
          <tpl fld="6" item="1"/>
          <tpl hier="236" item="1"/>
          <tpl fld="1" item="0"/>
        </tpls>
      </m>
      <m>
        <tpls c="5">
          <tpl fld="11" item="0"/>
          <tpl fld="5" item="0"/>
          <tpl fld="6" item="0"/>
          <tpl hier="236" item="1"/>
          <tpl fld="4" item="2"/>
        </tpls>
      </m>
      <m>
        <tpls c="4">
          <tpl fld="7" item="1145"/>
          <tpl fld="6" item="1"/>
          <tpl hier="236" item="1"/>
          <tpl fld="4" item="5"/>
        </tpls>
      </m>
      <n v="2" in="1">
        <tpls c="4">
          <tpl fld="7" item="1135"/>
          <tpl fld="6" item="1"/>
          <tpl hier="236" item="1"/>
          <tpl fld="4" item="5"/>
        </tpls>
      </n>
      <m>
        <tpls c="4">
          <tpl fld="7" item="1035"/>
          <tpl fld="6" item="2"/>
          <tpl hier="236" item="1"/>
          <tpl fld="4" item="5"/>
        </tpls>
      </m>
      <m>
        <tpls c="4">
          <tpl fld="7" item="934"/>
          <tpl fld="6" item="2"/>
          <tpl hier="236" item="1"/>
          <tpl fld="4" item="5"/>
        </tpls>
      </m>
      <m>
        <tpls c="4">
          <tpl fld="7" item="1227"/>
          <tpl fld="6" item="2"/>
          <tpl hier="236" item="1"/>
          <tpl fld="4" item="5"/>
        </tpls>
      </m>
      <m>
        <tpls c="4">
          <tpl fld="7" item="1226"/>
          <tpl fld="6" item="2"/>
          <tpl hier="236" item="1"/>
          <tpl fld="4" item="6"/>
        </tpls>
      </m>
      <n v="4.0433704292527815E-2" in="0">
        <tpls c="5">
          <tpl fld="3" item="4"/>
          <tpl fld="11" item="0"/>
          <tpl fld="6" item="0"/>
          <tpl hier="236" item="1"/>
          <tpl fld="4" item="5"/>
        </tpls>
      </n>
      <m>
        <tpls c="5">
          <tpl fld="3" item="2"/>
          <tpl fld="11" item="0"/>
          <tpl fld="6" item="0"/>
          <tpl hier="236" item="1"/>
          <tpl fld="4" item="7"/>
        </tpls>
      </m>
      <n v="9.368528715340536E-3" in="0">
        <tpls c="5">
          <tpl fld="11" item="0"/>
          <tpl fld="6" item="0"/>
          <tpl fld="8" item="0"/>
          <tpl hier="236" item="1"/>
          <tpl fld="4" item="3"/>
        </tpls>
      </n>
      <m>
        <tpls c="4">
          <tpl fld="7" item="943"/>
          <tpl fld="6" item="2"/>
          <tpl hier="236" item="1"/>
          <tpl fld="4" item="6"/>
        </tpls>
      </m>
      <m>
        <tpls c="4">
          <tpl fld="7" item="1180"/>
          <tpl fld="6" item="2"/>
          <tpl hier="236" item="1"/>
          <tpl fld="4" item="5"/>
        </tpls>
      </m>
      <n v="3" in="1">
        <tpls c="4">
          <tpl fld="7" item="1134"/>
          <tpl fld="6" item="1"/>
          <tpl hier="236" item="1"/>
          <tpl fld="1" item="0"/>
        </tpls>
      </n>
      <n v="3.1068312406895084E-2" in="0">
        <tpls c="5">
          <tpl fld="11" item="0"/>
          <tpl fld="5" item="5"/>
          <tpl fld="6" item="0"/>
          <tpl hier="236" item="1"/>
          <tpl fld="4" item="2"/>
        </tpls>
      </n>
      <n v="5.1914619164619168E-2" in="0">
        <tpls c="5">
          <tpl fld="3" item="3"/>
          <tpl fld="11" item="0"/>
          <tpl fld="6" item="0"/>
          <tpl hier="236" item="1"/>
          <tpl fld="4" item="1"/>
        </tpls>
      </n>
      <n v="2" in="1">
        <tpls c="4">
          <tpl fld="7" item="1039"/>
          <tpl fld="6" item="1"/>
          <tpl hier="236" item="1"/>
          <tpl fld="4" item="5"/>
        </tpls>
      </n>
      <m>
        <tpls c="4">
          <tpl fld="7" item="934"/>
          <tpl fld="6" item="1"/>
          <tpl hier="236" item="1"/>
          <tpl fld="4" item="5"/>
        </tpls>
      </m>
      <m>
        <tpls c="4">
          <tpl fld="7" item="1162"/>
          <tpl fld="6" item="2"/>
          <tpl hier="236" item="1"/>
          <tpl fld="4" item="6"/>
        </tpls>
      </m>
      <m>
        <tpls c="4">
          <tpl fld="7" item="961"/>
          <tpl fld="6" item="1"/>
          <tpl hier="236" item="1"/>
          <tpl fld="4" item="5"/>
        </tpls>
      </m>
      <n v="0" in="1">
        <tpls c="4">
          <tpl fld="7" item="941"/>
          <tpl fld="6" item="1"/>
          <tpl hier="236" item="1"/>
          <tpl fld="1" item="0"/>
        </tpls>
      </n>
      <m>
        <tpls c="4">
          <tpl fld="7" item="1156"/>
          <tpl fld="6" item="2"/>
          <tpl hier="236" item="1"/>
          <tpl fld="4" item="6"/>
        </tpls>
      </m>
      <m>
        <tpls c="4">
          <tpl fld="7" item="964"/>
          <tpl fld="6" item="1"/>
          <tpl hier="236" item="1"/>
          <tpl fld="4" item="5"/>
        </tpls>
      </m>
      <m>
        <tpls c="4">
          <tpl fld="7" item="1152"/>
          <tpl fld="6" item="1"/>
          <tpl hier="236" item="1"/>
          <tpl fld="4" item="5"/>
        </tpls>
      </m>
      <m>
        <tpls c="4">
          <tpl fld="7" item="1074"/>
          <tpl fld="6" item="2"/>
          <tpl hier="236" item="1"/>
          <tpl fld="4" item="6"/>
        </tpls>
      </m>
      <n v="2" in="1">
        <tpls c="4">
          <tpl fld="7" item="1158"/>
          <tpl fld="6" item="1"/>
          <tpl hier="236" item="1"/>
          <tpl fld="1" item="0"/>
        </tpls>
      </n>
      <n v="2" in="1">
        <tpls c="4">
          <tpl fld="7" item="1181"/>
          <tpl fld="6" item="1"/>
          <tpl hier="236" item="1"/>
          <tpl fld="4" item="5"/>
        </tpls>
      </n>
      <n v="1" in="2">
        <tpls c="4">
          <tpl fld="7" item="1224"/>
          <tpl fld="6" item="2"/>
          <tpl hier="236" item="1"/>
          <tpl fld="4" item="6"/>
        </tpls>
      </n>
      <m>
        <tpls c="4">
          <tpl fld="7" item="957"/>
          <tpl fld="6" item="1"/>
          <tpl hier="236" item="1"/>
          <tpl fld="4" item="5"/>
        </tpls>
      </m>
      <m>
        <tpls c="4">
          <tpl fld="7" item="1171"/>
          <tpl fld="6" item="2"/>
          <tpl hier="236" item="1"/>
          <tpl fld="4" item="6"/>
        </tpls>
      </m>
      <m>
        <tpls c="4">
          <tpl fld="7" item="1057"/>
          <tpl fld="6" item="2"/>
          <tpl hier="236" item="1"/>
          <tpl fld="4" item="6"/>
        </tpls>
      </m>
      <m>
        <tpls c="4">
          <tpl fld="7" item="1210"/>
          <tpl fld="6" item="1"/>
          <tpl hier="236" item="1"/>
          <tpl fld="4" item="5"/>
        </tpls>
      </m>
      <m>
        <tpls c="4">
          <tpl fld="7" item="952"/>
          <tpl fld="6" item="2"/>
          <tpl hier="236" item="1"/>
          <tpl fld="4" item="6"/>
        </tpls>
      </m>
      <m>
        <tpls c="4">
          <tpl fld="7" item="1141"/>
          <tpl fld="6" item="2"/>
          <tpl hier="236" item="1"/>
          <tpl fld="4" item="6"/>
        </tpls>
      </m>
      <m>
        <tpls c="4">
          <tpl fld="7" item="1067"/>
          <tpl fld="6" item="2"/>
          <tpl hier="236" item="1"/>
          <tpl fld="4" item="5"/>
        </tpls>
      </m>
      <n v="1" in="1">
        <tpls c="4">
          <tpl fld="7" item="1260"/>
          <tpl fld="6" item="1"/>
          <tpl hier="236" item="1"/>
          <tpl fld="1" item="0"/>
        </tpls>
      </n>
      <m>
        <tpls c="4">
          <tpl fld="7" item="1204"/>
          <tpl fld="6" item="1"/>
          <tpl hier="236" item="1"/>
          <tpl fld="4" item="5"/>
        </tpls>
      </m>
      <n v="1" in="1">
        <tpls c="4">
          <tpl fld="7" item="1269"/>
          <tpl fld="6" item="1"/>
          <tpl hier="236" item="1"/>
          <tpl fld="4" item="5"/>
        </tpls>
      </n>
      <n v="1" in="1">
        <tpls c="4">
          <tpl fld="7" item="1157"/>
          <tpl fld="6" item="1"/>
          <tpl hier="236" item="1"/>
          <tpl fld="4" item="5"/>
        </tpls>
      </n>
      <m>
        <tpls c="4">
          <tpl fld="7" item="974"/>
          <tpl fld="6" item="2"/>
          <tpl hier="236" item="1"/>
          <tpl fld="4" item="6"/>
        </tpls>
      </m>
      <n v="15" in="1">
        <tpls c="4">
          <tpl fld="7" item="972"/>
          <tpl fld="6" item="1"/>
          <tpl hier="236" item="1"/>
          <tpl fld="4" item="6"/>
        </tpls>
      </n>
      <m>
        <tpls c="6">
          <tpl fld="11" item="0"/>
          <tpl fld="5" item="4"/>
          <tpl fld="6" item="2"/>
          <tpl hier="236" item="1"/>
          <tpl fld="4" item="4"/>
          <tpl fld="10" item="1"/>
        </tpls>
      </m>
      <m>
        <tpls c="4">
          <tpl fld="7" item="1050"/>
          <tpl fld="6" item="1"/>
          <tpl hier="236" item="1"/>
          <tpl fld="4" item="5"/>
        </tpls>
      </m>
      <n v="34" in="1">
        <tpls c="4">
          <tpl fld="7" item="951"/>
          <tpl fld="6" item="1"/>
          <tpl hier="236" item="1"/>
          <tpl fld="1" item="0"/>
        </tpls>
      </n>
      <m>
        <tpls c="4">
          <tpl fld="7" item="969"/>
          <tpl fld="6" item="1"/>
          <tpl hier="236" item="1"/>
          <tpl fld="4" item="6"/>
        </tpls>
      </m>
      <n v="0" in="1">
        <tpls c="6">
          <tpl fld="11" item="0"/>
          <tpl fld="5" item="4"/>
          <tpl fld="6" item="1"/>
          <tpl hier="236" item="1"/>
          <tpl fld="4" item="3"/>
          <tpl fld="10" item="8"/>
        </tpls>
      </n>
      <n v="3" in="1">
        <tpls c="4">
          <tpl fld="7" item="949"/>
          <tpl fld="6" item="1"/>
          <tpl hier="236" item="1"/>
          <tpl fld="4" item="6"/>
        </tpls>
      </n>
      <n v="15" in="1">
        <tpls c="6">
          <tpl fld="11" item="0"/>
          <tpl fld="5" item="3"/>
          <tpl fld="6" item="1"/>
          <tpl hier="236" item="1"/>
          <tpl fld="4" item="1"/>
          <tpl fld="9" item="0"/>
        </tpls>
      </n>
      <m>
        <tpls c="4">
          <tpl fld="7" item="954"/>
          <tpl fld="6" item="1"/>
          <tpl hier="236" item="1"/>
          <tpl fld="1" item="0"/>
        </tpls>
      </m>
      <n v="63" in="1">
        <tpls c="4">
          <tpl fld="7" item="1155"/>
          <tpl fld="6" item="1"/>
          <tpl hier="236" item="1"/>
          <tpl fld="1" item="0"/>
        </tpls>
      </n>
      <m>
        <tpls c="4">
          <tpl fld="7" item="1176"/>
          <tpl fld="6" item="1"/>
          <tpl hier="236" item="1"/>
          <tpl fld="4" item="6"/>
        </tpls>
      </m>
      <m>
        <tpls c="4">
          <tpl fld="7" item="1030"/>
          <tpl fld="6" item="2"/>
          <tpl hier="236" item="1"/>
          <tpl fld="1" item="0"/>
        </tpls>
      </m>
      <m>
        <tpls c="4">
          <tpl fld="7" item="1134"/>
          <tpl fld="6" item="2"/>
          <tpl hier="236" item="1"/>
          <tpl fld="4" item="5"/>
        </tpls>
      </m>
      <n v="0.6" in="2">
        <tpls c="4">
          <tpl fld="7" item="874"/>
          <tpl fld="6" item="2"/>
          <tpl hier="236" item="1"/>
          <tpl fld="1" item="0"/>
        </tpls>
      </n>
      <m>
        <tpls c="4">
          <tpl fld="7" item="1136"/>
          <tpl fld="6" item="2"/>
          <tpl hier="236" item="1"/>
          <tpl fld="4" item="5"/>
        </tpls>
      </m>
      <m>
        <tpls c="4">
          <tpl fld="7" item="875"/>
          <tpl fld="6" item="2"/>
          <tpl hier="236" item="1"/>
          <tpl fld="1" item="0"/>
        </tpls>
      </m>
      <m>
        <tpls c="4">
          <tpl fld="7" item="1137"/>
          <tpl fld="6" item="2"/>
          <tpl hier="236" item="1"/>
          <tpl fld="4" item="5"/>
        </tpls>
      </m>
      <n v="6.6384294742503694E-2" in="0">
        <tpls c="5">
          <tpl fld="11" item="0"/>
          <tpl fld="2" item="2"/>
          <tpl fld="6" item="0"/>
          <tpl hier="236" item="1"/>
          <tpl fld="4" item="5"/>
        </tpls>
      </n>
      <n v="2.0578097476681732E-2" in="0">
        <tpls c="5">
          <tpl fld="11" item="0"/>
          <tpl fld="6" item="0"/>
          <tpl fld="8" item="1"/>
          <tpl hier="236" item="1"/>
          <tpl fld="1" item="0"/>
        </tpls>
      </n>
      <m>
        <tpls c="4">
          <tpl fld="7" item="1178"/>
          <tpl fld="6" item="2"/>
          <tpl hier="236" item="1"/>
          <tpl fld="4" item="5"/>
        </tpls>
      </m>
      <m>
        <tpls c="4">
          <tpl fld="7" item="1043"/>
          <tpl fld="6" item="2"/>
          <tpl hier="236" item="1"/>
          <tpl fld="4" item="5"/>
        </tpls>
      </m>
      <n v="1" in="2">
        <tpls c="4">
          <tpl fld="7" item="1155"/>
          <tpl fld="6" item="2"/>
          <tpl hier="236" item="1"/>
          <tpl fld="1" item="0"/>
        </tpls>
      </n>
      <m>
        <tpls c="4">
          <tpl fld="7" item="1225"/>
          <tpl fld="6" item="2"/>
          <tpl hier="236" item="1"/>
          <tpl fld="4" item="5"/>
        </tpls>
      </m>
      <n v="7" in="1">
        <tpls c="4">
          <tpl fld="7" item="938"/>
          <tpl fld="6" item="1"/>
          <tpl hier="236" item="1"/>
          <tpl fld="1" item="0"/>
        </tpls>
      </n>
      <m>
        <tpls c="4">
          <tpl fld="7" item="1262"/>
          <tpl fld="6" item="1"/>
          <tpl hier="236" item="1"/>
          <tpl fld="4" item="5"/>
        </tpls>
      </m>
      <m>
        <tpls c="4">
          <tpl fld="7" item="946"/>
          <tpl fld="6" item="1"/>
          <tpl hier="236" item="1"/>
          <tpl fld="4" item="5"/>
        </tpls>
      </m>
      <m>
        <tpls c="4">
          <tpl fld="7" item="1226"/>
          <tpl fld="6" item="1"/>
          <tpl hier="236" item="1"/>
          <tpl fld="4" item="5"/>
        </tpls>
      </m>
      <n v="4" in="1">
        <tpls c="4">
          <tpl fld="7" item="1208"/>
          <tpl fld="6" item="1"/>
          <tpl hier="236" item="1"/>
          <tpl fld="1" item="0"/>
        </tpls>
      </n>
      <n v="6" in="1">
        <tpls c="4">
          <tpl fld="7" item="1250"/>
          <tpl fld="6" item="1"/>
          <tpl hier="236" item="1"/>
          <tpl fld="1" item="0"/>
        </tpls>
      </n>
      <m>
        <tpls c="4">
          <tpl fld="7" item="875"/>
          <tpl fld="6" item="1"/>
          <tpl hier="236" item="1"/>
          <tpl fld="4" item="5"/>
        </tpls>
      </m>
      <n v="42" in="1">
        <tpls c="4">
          <tpl fld="7" item="1209"/>
          <tpl fld="6" item="1"/>
          <tpl hier="236" item="1"/>
          <tpl fld="1" item="0"/>
        </tpls>
      </n>
      <n v="2" in="1">
        <tpls c="4">
          <tpl fld="7" item="1161"/>
          <tpl fld="6" item="1"/>
          <tpl hier="236" item="1"/>
          <tpl fld="1" item="0"/>
        </tpls>
      </n>
      <n v="6" in="1">
        <tpls c="4">
          <tpl fld="7" item="978"/>
          <tpl fld="6" item="1"/>
          <tpl hier="236" item="1"/>
          <tpl fld="4" item="6"/>
        </tpls>
      </n>
      <n v="1" in="1">
        <tpls c="4">
          <tpl fld="7" item="1057"/>
          <tpl fld="6" item="1"/>
          <tpl hier="236" item="1"/>
          <tpl fld="1" item="0"/>
        </tpls>
      </n>
      <n v="1.3124637558466847E-2" in="0">
        <tpls c="5">
          <tpl fld="3" item="0"/>
          <tpl fld="11" item="0"/>
          <tpl fld="6" item="0"/>
          <tpl hier="236" item="1"/>
          <tpl fld="4" item="4"/>
        </tpls>
      </n>
      <n v="61295" in="1">
        <tpls c="4">
          <tpl fld="11" item="0"/>
          <tpl fld="6" item="1"/>
          <tpl hier="236" item="1"/>
          <tpl fld="1" item="0"/>
        </tpls>
      </n>
      <m>
        <tpls c="4">
          <tpl fld="7" item="1151"/>
          <tpl fld="6" item="2"/>
          <tpl hier="236" item="1"/>
          <tpl fld="4" item="6"/>
        </tpls>
      </m>
      <m>
        <tpls c="4">
          <tpl fld="7" item="950"/>
          <tpl fld="6" item="2"/>
          <tpl hier="236" item="1"/>
          <tpl fld="4" item="6"/>
        </tpls>
      </m>
      <m>
        <tpls c="4">
          <tpl fld="7" item="1201"/>
          <tpl fld="6" item="2"/>
          <tpl hier="236" item="1"/>
          <tpl fld="4" item="5"/>
        </tpls>
      </m>
      <m>
        <tpls c="4">
          <tpl fld="7" item="1065"/>
          <tpl fld="6" item="2"/>
          <tpl hier="236" item="1"/>
          <tpl fld="4" item="6"/>
        </tpls>
      </m>
      <m>
        <tpls c="4">
          <tpl fld="7" item="872"/>
          <tpl fld="6" item="2"/>
          <tpl hier="236" item="1"/>
          <tpl fld="4" item="5"/>
        </tpls>
      </m>
      <m>
        <tpls c="4">
          <tpl fld="7" item="1064"/>
          <tpl fld="6" item="1"/>
          <tpl hier="236" item="1"/>
          <tpl fld="1" item="0"/>
        </tpls>
      </m>
      <m>
        <tpls c="4">
          <tpl fld="7" item="936"/>
          <tpl fld="6" item="2"/>
          <tpl hier="236" item="1"/>
          <tpl fld="4" item="6"/>
        </tpls>
      </m>
      <m>
        <tpls c="4">
          <tpl fld="7" item="936"/>
          <tpl fld="6" item="1"/>
          <tpl hier="236" item="1"/>
          <tpl fld="4" item="5"/>
        </tpls>
      </m>
      <m>
        <tpls c="4">
          <tpl fld="7" item="1261"/>
          <tpl fld="6" item="2"/>
          <tpl hier="236" item="1"/>
          <tpl fld="1" item="0"/>
        </tpls>
      </m>
      <m>
        <tpls c="4">
          <tpl fld="7" item="971"/>
          <tpl fld="6" item="1"/>
          <tpl hier="236" item="1"/>
          <tpl fld="4" item="5"/>
        </tpls>
      </m>
      <n v="13" in="1">
        <tpls c="4">
          <tpl fld="7" item="1153"/>
          <tpl fld="6" item="1"/>
          <tpl hier="236" item="1"/>
          <tpl fld="1" item="0"/>
        </tpls>
      </n>
      <m>
        <tpls c="4">
          <tpl fld="7" item="1080"/>
          <tpl fld="6" item="1"/>
          <tpl hier="236" item="1"/>
          <tpl fld="4" item="5"/>
        </tpls>
      </m>
      <n v="1" in="1">
        <tpls c="4">
          <tpl fld="7" item="1056"/>
          <tpl fld="6" item="1"/>
          <tpl hier="236" item="1"/>
          <tpl fld="4" item="5"/>
        </tpls>
      </n>
      <n v="11" in="1">
        <tpls c="4">
          <tpl fld="7" item="1079"/>
          <tpl fld="6" item="1"/>
          <tpl hier="236" item="1"/>
          <tpl fld="1" item="0"/>
        </tpls>
      </n>
      <m>
        <tpls c="4">
          <tpl fld="7" item="1164"/>
          <tpl fld="6" item="1"/>
          <tpl hier="236" item="1"/>
          <tpl fld="4" item="6"/>
        </tpls>
      </m>
      <n v="469" in="1">
        <tpls c="6">
          <tpl fld="11" item="0"/>
          <tpl fld="5" item="4"/>
          <tpl fld="6" item="1"/>
          <tpl hier="236" item="1"/>
          <tpl fld="4" item="6"/>
          <tpl fld="10" item="7"/>
        </tpls>
      </n>
      <n v="1" in="1">
        <tpls c="4">
          <tpl fld="7" item="1257"/>
          <tpl fld="6" item="1"/>
          <tpl hier="236" item="1"/>
          <tpl fld="4" item="5"/>
        </tpls>
      </n>
      <m>
        <tpls c="4">
          <tpl fld="7" item="1205"/>
          <tpl fld="6" item="2"/>
          <tpl hier="236" item="1"/>
          <tpl fld="4" item="6"/>
        </tpls>
      </m>
      <m>
        <tpls c="4">
          <tpl fld="7" item="1182"/>
          <tpl fld="6" item="1"/>
          <tpl hier="236" item="1"/>
          <tpl fld="4" item="5"/>
        </tpls>
      </m>
      <m>
        <tpls c="4">
          <tpl fld="7" item="961"/>
          <tpl fld="6" item="1"/>
          <tpl hier="236" item="1"/>
          <tpl fld="4" item="6"/>
        </tpls>
      </m>
      <n v="15.194594594594594" in="2">
        <tpls c="6">
          <tpl fld="11" item="0"/>
          <tpl fld="5" item="5"/>
          <tpl fld="6" item="2"/>
          <tpl hier="236" item="1"/>
          <tpl fld="4" item="4"/>
          <tpl fld="10" item="2"/>
        </tpls>
      </n>
      <n v="19" in="1">
        <tpls c="4">
          <tpl fld="7" item="928"/>
          <tpl fld="6" item="1"/>
          <tpl hier="236" item="1"/>
          <tpl fld="4" item="6"/>
        </tpls>
      </n>
      <n v="19.529729729729731" in="2">
        <tpls c="6">
          <tpl fld="11" item="0"/>
          <tpl fld="5" item="5"/>
          <tpl fld="6" item="2"/>
          <tpl hier="236" item="1"/>
          <tpl fld="4" item="3"/>
          <tpl fld="10" item="4"/>
        </tpls>
      </n>
      <m>
        <tpls c="4">
          <tpl fld="7" item="958"/>
          <tpl fld="6" item="2"/>
          <tpl hier="236" item="1"/>
          <tpl fld="4" item="6"/>
        </tpls>
      </m>
      <m>
        <tpls c="4">
          <tpl fld="7" item="1166"/>
          <tpl fld="6" item="1"/>
          <tpl hier="236" item="1"/>
          <tpl fld="4" item="5"/>
        </tpls>
      </m>
      <m>
        <tpls c="4">
          <tpl fld="7" item="1179"/>
          <tpl fld="6" item="1"/>
          <tpl hier="236" item="1"/>
          <tpl fld="4" item="6"/>
        </tpls>
      </m>
      <n v="8.2918311569996975E-3" in="0">
        <tpls c="5">
          <tpl fld="11" item="0"/>
          <tpl fld="2" item="4"/>
          <tpl fld="6" item="0"/>
          <tpl hier="236" item="1"/>
          <tpl fld="4" item="7"/>
        </tpls>
      </n>
      <m>
        <tpls c="4">
          <tpl fld="7" item="1135"/>
          <tpl fld="6" item="2"/>
          <tpl hier="236" item="1"/>
          <tpl fld="4" item="5"/>
        </tpls>
      </m>
      <n v="2.6883763752873702E-2" in="0">
        <tpls c="5">
          <tpl fld="11" item="0"/>
          <tpl fld="6" item="0"/>
          <tpl hier="208" item="4294967295"/>
          <tpl hier="236" item="1"/>
          <tpl fld="4" item="6"/>
        </tpls>
      </n>
      <m>
        <tpls c="4">
          <tpl fld="7" item="1042"/>
          <tpl fld="6" item="2"/>
          <tpl hier="236" item="1"/>
          <tpl fld="4" item="5"/>
        </tpls>
      </m>
      <n v="760.88605405405417" in="2">
        <tpls c="3">
          <tpl fld="6" item="2"/>
          <tpl hier="236" item="1"/>
          <tpl fld="4" item="4"/>
        </tpls>
      </n>
      <m>
        <tpls c="4">
          <tpl fld="7" item="1046"/>
          <tpl fld="6" item="2"/>
          <tpl hier="236" item="1"/>
          <tpl fld="4" item="5"/>
        </tpls>
      </m>
      <m>
        <tpls c="4">
          <tpl fld="7" item="1228"/>
          <tpl fld="6" item="2"/>
          <tpl hier="236" item="1"/>
          <tpl fld="4" item="5"/>
        </tpls>
      </m>
      <m>
        <tpls c="4">
          <tpl fld="7" item="956"/>
          <tpl fld="6" item="2"/>
          <tpl hier="236" item="1"/>
          <tpl fld="4" item="5"/>
        </tpls>
      </m>
      <m>
        <tpls c="4">
          <tpl fld="7" item="931"/>
          <tpl fld="6" item="1"/>
          <tpl hier="236" item="1"/>
          <tpl fld="1" item="0"/>
        </tpls>
      </m>
      <m>
        <tpls c="4">
          <tpl fld="7" item="1259"/>
          <tpl fld="6" item="2"/>
          <tpl hier="236" item="1"/>
          <tpl fld="1" item="0"/>
        </tpls>
      </m>
      <m>
        <tpls c="4">
          <tpl fld="7" item="942"/>
          <tpl fld="6" item="2"/>
          <tpl hier="236" item="1"/>
          <tpl fld="4" item="5"/>
        </tpls>
      </m>
      <m>
        <tpls c="4">
          <tpl fld="7" item="966"/>
          <tpl fld="6" item="2"/>
          <tpl hier="236" item="1"/>
          <tpl fld="4" item="5"/>
        </tpls>
      </m>
      <n v="5.4117647058823534E-2" in="0">
        <tpls c="5">
          <tpl fld="3" item="3"/>
          <tpl fld="11" item="0"/>
          <tpl fld="6" item="0"/>
          <tpl hier="236" item="1"/>
          <tpl fld="4" item="5"/>
        </tpls>
      </n>
      <m>
        <tpls c="4">
          <tpl fld="7" item="1138"/>
          <tpl fld="6" item="2"/>
          <tpl hier="236" item="1"/>
          <tpl fld="4" item="6"/>
        </tpls>
      </m>
      <n v="1" in="1">
        <tpls c="4">
          <tpl fld="7" item="1230"/>
          <tpl fld="6" item="1"/>
          <tpl hier="236" item="1"/>
          <tpl fld="1" item="0"/>
        </tpls>
      </n>
      <n v="36" in="1">
        <tpls c="4">
          <tpl fld="7" item="1055"/>
          <tpl fld="6" item="1"/>
          <tpl hier="236" item="1"/>
          <tpl fld="1" item="0"/>
        </tpls>
      </n>
      <m>
        <tpls c="4">
          <tpl fld="7" item="1032"/>
          <tpl fld="6" item="2"/>
          <tpl hier="236" item="1"/>
          <tpl fld="4" item="5"/>
        </tpls>
      </m>
      <m>
        <tpls c="4">
          <tpl fld="7" item="1236"/>
          <tpl fld="6" item="1"/>
          <tpl hier="236" item="1"/>
          <tpl fld="4" item="5"/>
        </tpls>
      </m>
      <m>
        <tpls c="4">
          <tpl fld="7" item="1174"/>
          <tpl fld="6" item="2"/>
          <tpl hier="236" item="1"/>
          <tpl fld="4" item="6"/>
        </tpls>
      </m>
      <m>
        <tpls c="4">
          <tpl fld="7" item="1200"/>
          <tpl fld="6" item="1"/>
          <tpl hier="236" item="1"/>
          <tpl fld="4" item="5"/>
        </tpls>
      </m>
      <n v="1" in="1">
        <tpls c="4">
          <tpl fld="7" item="1174"/>
          <tpl fld="6" item="1"/>
          <tpl hier="236" item="1"/>
          <tpl fld="1" item="0"/>
        </tpls>
      </n>
      <m>
        <tpls c="4">
          <tpl fld="7" item="1036"/>
          <tpl fld="6" item="2"/>
          <tpl hier="236" item="1"/>
          <tpl fld="4" item="6"/>
        </tpls>
      </m>
      <m>
        <tpls c="4">
          <tpl fld="7" item="1173"/>
          <tpl fld="6" item="1"/>
          <tpl hier="236" item="1"/>
          <tpl fld="4" item="5"/>
        </tpls>
      </m>
      <m>
        <tpls c="4">
          <tpl fld="7" item="1267"/>
          <tpl fld="6" item="2"/>
          <tpl hier="236" item="1"/>
          <tpl fld="4" item="5"/>
        </tpls>
      </m>
      <m>
        <tpls c="4">
          <tpl fld="7" item="932"/>
          <tpl fld="6" item="1"/>
          <tpl hier="236" item="1"/>
          <tpl fld="4" item="5"/>
        </tpls>
      </m>
      <n v="1.0137827482655072E-2" in="0">
        <tpls c="5">
          <tpl fld="3" item="1"/>
          <tpl fld="11" item="0"/>
          <tpl fld="6" item="0"/>
          <tpl hier="236" item="1"/>
          <tpl fld="4" item="6"/>
        </tpls>
      </n>
      <m>
        <tpls c="4">
          <tpl fld="7" item="968"/>
          <tpl fld="6" item="1"/>
          <tpl hier="236" item="1"/>
          <tpl fld="4" item="5"/>
        </tpls>
      </m>
      <m>
        <tpls c="4">
          <tpl fld="7" item="1041"/>
          <tpl fld="6" item="2"/>
          <tpl hier="236" item="1"/>
          <tpl fld="4" item="6"/>
        </tpls>
      </m>
      <m>
        <tpls c="4">
          <tpl fld="7" item="1208"/>
          <tpl fld="6" item="1"/>
          <tpl hier="236" item="1"/>
          <tpl fld="4" item="5"/>
        </tpls>
      </m>
      <n v="0" in="1">
        <tpls c="4">
          <tpl fld="7" item="1140"/>
          <tpl fld="6" item="1"/>
          <tpl hier="236" item="1"/>
          <tpl fld="1" item="0"/>
        </tpls>
      </n>
      <m>
        <tpls c="4">
          <tpl fld="7" item="967"/>
          <tpl fld="6" item="2"/>
          <tpl hier="236" item="1"/>
          <tpl fld="4" item="6"/>
        </tpls>
      </m>
      <m>
        <tpls c="4">
          <tpl fld="7" item="874"/>
          <tpl fld="6" item="2"/>
          <tpl hier="236" item="1"/>
          <tpl fld="4" item="6"/>
        </tpls>
      </m>
      <m>
        <tpls c="4">
          <tpl fld="7" item="1252"/>
          <tpl fld="6" item="1"/>
          <tpl hier="236" item="1"/>
          <tpl fld="1" item="0"/>
        </tpls>
      </m>
      <n v="2" in="1">
        <tpls c="4">
          <tpl fld="7" item="1225"/>
          <tpl fld="6" item="1"/>
          <tpl hier="236" item="1"/>
          <tpl fld="4" item="5"/>
        </tpls>
      </n>
      <m>
        <tpls c="4">
          <tpl fld="7" item="1179"/>
          <tpl fld="6" item="2"/>
          <tpl hier="236" item="1"/>
          <tpl fld="4" item="6"/>
        </tpls>
      </m>
      <n v="14" in="1">
        <tpls c="4">
          <tpl fld="7" item="1052"/>
          <tpl fld="6" item="1"/>
          <tpl hier="236" item="1"/>
          <tpl fld="1" item="0"/>
        </tpls>
      </n>
      <m>
        <tpls c="4">
          <tpl fld="7" item="1076"/>
          <tpl fld="6" item="2"/>
          <tpl hier="236" item="1"/>
          <tpl fld="4" item="6"/>
        </tpls>
      </m>
      <n v="2" in="1">
        <tpls c="4">
          <tpl fld="7" item="947"/>
          <tpl fld="6" item="1"/>
          <tpl hier="236" item="1"/>
          <tpl fld="1" item="0"/>
        </tpls>
      </n>
      <n v="30" in="1">
        <tpls c="4">
          <tpl fld="7" item="1075"/>
          <tpl fld="6" item="1"/>
          <tpl hier="236" item="1"/>
          <tpl fld="1" item="0"/>
        </tpls>
      </n>
      <m>
        <tpls c="3">
          <tpl fld="7" item="1229"/>
          <tpl fld="6" item="3"/>
          <tpl hier="236" item="1"/>
        </tpls>
      </m>
      <n v="9" in="1">
        <tpls c="4">
          <tpl fld="7" item="1156"/>
          <tpl fld="6" item="1"/>
          <tpl hier="236" item="1"/>
          <tpl fld="4" item="6"/>
        </tpls>
      </n>
      <n v="4" in="1">
        <tpls c="5">
          <tpl fld="3" item="0"/>
          <tpl fld="11" item="0"/>
          <tpl fld="6" item="1"/>
          <tpl hier="236" item="1"/>
          <tpl fld="4" item="0"/>
        </tpls>
      </n>
      <n v="144" in="1">
        <tpls c="6">
          <tpl fld="11" item="0"/>
          <tpl fld="5" item="0"/>
          <tpl fld="6" item="1"/>
          <tpl hier="236" item="1"/>
          <tpl fld="4" item="4"/>
          <tpl fld="10" item="4"/>
        </tpls>
      </n>
      <m>
        <tpls c="4">
          <tpl fld="7" item="968"/>
          <tpl fld="6" item="2"/>
          <tpl hier="236" item="1"/>
          <tpl fld="1" item="0"/>
        </tpls>
      </m>
      <m>
        <tpls c="4">
          <tpl fld="7" item="975"/>
          <tpl fld="6" item="2"/>
          <tpl hier="236" item="1"/>
          <tpl fld="1" item="0"/>
        </tpls>
      </m>
      <m>
        <tpls c="3">
          <tpl fld="7" item="872"/>
          <tpl fld="6" item="3"/>
          <tpl hier="236" item="1"/>
        </tpls>
      </m>
      <n v="6" in="1">
        <tpls c="4">
          <tpl fld="7" item="963"/>
          <tpl fld="6" item="1"/>
          <tpl hier="236" item="1"/>
          <tpl fld="1" item="0"/>
        </tpls>
      </n>
      <n v="4" in="1">
        <tpls c="4">
          <tpl fld="7" item="1181"/>
          <tpl fld="6" item="1"/>
          <tpl hier="236" item="1"/>
          <tpl fld="4" item="6"/>
        </tpls>
      </n>
      <n v="33" in="1">
        <tpls c="6">
          <tpl fld="11" item="0"/>
          <tpl fld="5" item="4"/>
          <tpl fld="6" item="1"/>
          <tpl hier="236" item="1"/>
          <tpl fld="4" item="6"/>
          <tpl fld="10" item="5"/>
        </tpls>
      </n>
      <m>
        <tpls c="3">
          <tpl fld="7" item="1150"/>
          <tpl fld="6" item="3"/>
          <tpl hier="236" item="1"/>
        </tpls>
      </m>
      <n v="19.529729729729731" in="2">
        <tpls c="5">
          <tpl fld="11" item="0"/>
          <tpl fld="6" item="2"/>
          <tpl hier="236" item="1"/>
          <tpl fld="4" item="3"/>
          <tpl fld="10" item="4"/>
        </tpls>
      </n>
      <n v="3" in="1">
        <tpls c="4">
          <tpl fld="7" item="1257"/>
          <tpl fld="6" item="1"/>
          <tpl hier="236" item="1"/>
          <tpl fld="1" item="0"/>
        </tpls>
      </n>
      <n v="2" in="1">
        <tpls c="4">
          <tpl fld="7" item="1133"/>
          <tpl fld="6" item="1"/>
          <tpl hier="236" item="1"/>
          <tpl fld="1" item="0"/>
        </tpls>
      </n>
      <m>
        <tpls c="3">
          <tpl fld="7" item="1203"/>
          <tpl fld="6" item="3"/>
          <tpl hier="236" item="1"/>
        </tpls>
      </m>
      <n v="1" in="1">
        <tpls c="4">
          <tpl fld="7" item="1158"/>
          <tpl fld="6" item="1"/>
          <tpl hier="236" item="1"/>
          <tpl fld="4" item="6"/>
        </tpls>
      </n>
      <n v="5.4518918918918917" in="2">
        <tpls c="6">
          <tpl fld="11" item="0"/>
          <tpl fld="5" item="4"/>
          <tpl fld="6" item="2"/>
          <tpl hier="236" item="1"/>
          <tpl fld="4" item="4"/>
          <tpl fld="10" item="8"/>
        </tpls>
      </n>
      <m>
        <tpls c="4">
          <tpl fld="7" item="1048"/>
          <tpl fld="6" item="1"/>
          <tpl hier="236" item="1"/>
          <tpl fld="4" item="6"/>
        </tpls>
      </m>
      <n v="13.628108108108107" in="2">
        <tpls c="5">
          <tpl fld="11" item="0"/>
          <tpl fld="6" item="2"/>
          <tpl hier="236" item="1"/>
          <tpl fld="4" item="7"/>
          <tpl fld="10" item="8"/>
        </tpls>
      </n>
      <m>
        <tpls c="4">
          <tpl fld="7" item="931"/>
          <tpl fld="6" item="1"/>
          <tpl hier="236" item="1"/>
          <tpl fld="4" item="5"/>
        </tpls>
      </m>
      <m>
        <tpls c="4">
          <tpl fld="7" item="1071"/>
          <tpl fld="6" item="2"/>
          <tpl hier="236" item="1"/>
          <tpl fld="4" item="6"/>
        </tpls>
      </m>
      <m>
        <tpls c="3">
          <tpl fld="7" item="1252"/>
          <tpl fld="6" item="3"/>
          <tpl hier="236" item="1"/>
        </tpls>
      </m>
      <m>
        <tpls c="3">
          <tpl fld="7" item="938"/>
          <tpl fld="6" item="3"/>
          <tpl hier="236" item="1"/>
        </tpls>
      </m>
      <m>
        <tpls c="6">
          <tpl fld="11" item="0"/>
          <tpl fld="5" item="2"/>
          <tpl fld="6" item="2"/>
          <tpl hier="236" item="1"/>
          <tpl fld="4" item="7"/>
          <tpl fld="10" item="0"/>
        </tpls>
      </m>
      <n v="0" in="1">
        <tpls c="4">
          <tpl fld="7" item="945"/>
          <tpl fld="6" item="1"/>
          <tpl hier="236" item="1"/>
          <tpl fld="4" item="6"/>
        </tpls>
      </n>
      <n v="3.2399999999999998" in="2">
        <tpls c="6">
          <tpl fld="11" item="0"/>
          <tpl fld="6" item="2"/>
          <tpl fld="8" item="0"/>
          <tpl hier="236" item="1"/>
          <tpl fld="4" item="3"/>
          <tpl fld="10" item="2"/>
        </tpls>
      </n>
      <n v="243" in="1">
        <tpls c="6">
          <tpl fld="11" item="0"/>
          <tpl fld="5" item="5"/>
          <tpl fld="6" item="1"/>
          <tpl hier="236" item="1"/>
          <tpl fld="4" item="7"/>
          <tpl fld="10" item="0"/>
        </tpls>
      </n>
      <m>
        <tpls c="4">
          <tpl fld="7" item="1202"/>
          <tpl fld="6" item="1"/>
          <tpl hier="236" item="1"/>
          <tpl fld="4" item="6"/>
        </tpls>
      </m>
      <n v="4.84" in="2">
        <tpls c="5">
          <tpl fld="11" item="0"/>
          <tpl fld="6" item="2"/>
          <tpl hier="236" item="1"/>
          <tpl fld="4" item="7"/>
          <tpl fld="10" item="7"/>
        </tpls>
      </n>
      <n v="2" in="1">
        <tpls c="4">
          <tpl fld="7" item="1039"/>
          <tpl fld="6" item="1"/>
          <tpl hier="236" item="1"/>
          <tpl fld="1" item="0"/>
        </tpls>
      </n>
      <m>
        <tpls c="4">
          <tpl fld="7" item="1144"/>
          <tpl fld="6" item="1"/>
          <tpl hier="236" item="1"/>
          <tpl fld="4" item="5"/>
        </tpls>
      </m>
      <n v="0.6" in="2">
        <tpls c="4">
          <tpl fld="7" item="1052"/>
          <tpl fld="6" item="2"/>
          <tpl hier="236" item="1"/>
          <tpl fld="1" item="0"/>
        </tpls>
      </n>
      <m>
        <tpls c="4">
          <tpl fld="7" item="938"/>
          <tpl fld="6" item="1"/>
          <tpl hier="236" item="1"/>
          <tpl fld="4" item="5"/>
        </tpls>
      </m>
      <m>
        <tpls c="4">
          <tpl fld="7" item="1140"/>
          <tpl fld="6" item="2"/>
          <tpl hier="236" item="1"/>
          <tpl fld="4" item="6"/>
        </tpls>
      </m>
      <m>
        <tpls c="4">
          <tpl fld="7" item="1234"/>
          <tpl fld="6" item="1"/>
          <tpl hier="236" item="1"/>
          <tpl fld="4" item="5"/>
        </tpls>
      </m>
      <n v="7" in="1">
        <tpls c="4">
          <tpl fld="7" item="1251"/>
          <tpl fld="6" item="1"/>
          <tpl hier="236" item="1"/>
          <tpl fld="1" item="0"/>
        </tpls>
      </n>
      <m>
        <tpls c="4">
          <tpl fld="7" item="1073"/>
          <tpl fld="6" item="2"/>
          <tpl hier="236" item="1"/>
          <tpl fld="4" item="6"/>
        </tpls>
      </m>
      <m>
        <tpls c="4">
          <tpl fld="7" item="1146"/>
          <tpl fld="6" item="1"/>
          <tpl hier="236" item="1"/>
          <tpl fld="1" item="0"/>
        </tpls>
      </m>
      <n v="1" in="1">
        <tpls c="4">
          <tpl fld="7" item="1229"/>
          <tpl fld="6" item="1"/>
          <tpl hier="236" item="1"/>
          <tpl fld="4" item="5"/>
        </tpls>
      </n>
      <n v="415" in="1">
        <tpls c="5">
          <tpl fld="11" item="0"/>
          <tpl fld="6" item="1"/>
          <tpl fld="8" item="1"/>
          <tpl hier="236" item="1"/>
          <tpl fld="4" item="2"/>
        </tpls>
      </n>
      <m>
        <tpls c="4">
          <tpl fld="7" item="944"/>
          <tpl fld="6" item="1"/>
          <tpl hier="236" item="1"/>
          <tpl fld="4" item="5"/>
        </tpls>
      </m>
      <n v="25" in="1">
        <tpls c="4">
          <tpl fld="7" item="949"/>
          <tpl fld="6" item="1"/>
          <tpl hier="236" item="1"/>
          <tpl fld="1" item="0"/>
        </tpls>
      </n>
      <m>
        <tpls c="4">
          <tpl fld="7" item="1199"/>
          <tpl fld="6" item="2"/>
          <tpl hier="236" item="1"/>
          <tpl fld="4" item="5"/>
        </tpls>
      </m>
      <m>
        <tpls c="4">
          <tpl fld="7" item="1232"/>
          <tpl fld="6" item="1"/>
          <tpl hier="236" item="1"/>
          <tpl fld="4" item="5"/>
        </tpls>
      </m>
      <n v="0.14770795530512848" in="0">
        <tpls c="5">
          <tpl fld="3" item="2"/>
          <tpl fld="11" item="0"/>
          <tpl fld="6" item="0"/>
          <tpl hier="236" item="1"/>
          <tpl fld="4" item="5"/>
        </tpls>
      </n>
      <m>
        <tpls c="4">
          <tpl fld="7" item="960"/>
          <tpl fld="6" item="2"/>
          <tpl hier="236" item="1"/>
          <tpl fld="4" item="6"/>
        </tpls>
      </m>
      <n v="154.54637837837836" in="2">
        <tpls c="3">
          <tpl fld="6" item="2"/>
          <tpl hier="236" item="1"/>
          <tpl fld="4" item="3"/>
        </tpls>
      </n>
      <m>
        <tpls c="4">
          <tpl fld="7" item="1269"/>
          <tpl fld="6" item="2"/>
          <tpl hier="236" item="1"/>
          <tpl fld="1" item="0"/>
        </tpls>
      </m>
      <n v="0" in="1">
        <tpls c="4">
          <tpl fld="7" item="1204"/>
          <tpl fld="6" item="1"/>
          <tpl hier="236" item="1"/>
          <tpl fld="1" item="0"/>
        </tpls>
      </n>
      <m>
        <tpls c="4">
          <tpl fld="7" item="959"/>
          <tpl fld="6" item="1"/>
          <tpl hier="236" item="1"/>
          <tpl fld="4" item="5"/>
        </tpls>
      </m>
      <m>
        <tpls c="4">
          <tpl fld="7" item="1199"/>
          <tpl fld="6" item="1"/>
          <tpl hier="236" item="1"/>
          <tpl fld="4" item="5"/>
        </tpls>
      </m>
      <n v="1" in="1">
        <tpls c="4">
          <tpl fld="7" item="1173"/>
          <tpl fld="6" item="1"/>
          <tpl hier="236" item="1"/>
          <tpl fld="1" item="0"/>
        </tpls>
      </n>
      <m>
        <tpls c="4">
          <tpl fld="7" item="1135"/>
          <tpl fld="6" item="2"/>
          <tpl hier="236" item="1"/>
          <tpl fld="4" item="6"/>
        </tpls>
      </m>
      <n v="1" in="1">
        <tpls c="4">
          <tpl fld="7" item="1172"/>
          <tpl fld="6" item="1"/>
          <tpl hier="236" item="1"/>
          <tpl fld="4" item="5"/>
        </tpls>
      </n>
      <m>
        <tpls c="4">
          <tpl fld="7" item="1179"/>
          <tpl fld="6" item="2"/>
          <tpl hier="236" item="1"/>
          <tpl fld="4" item="5"/>
        </tpls>
      </m>
      <m>
        <tpls c="4">
          <tpl fld="7" item="943"/>
          <tpl fld="6" item="1"/>
          <tpl hier="236" item="1"/>
          <tpl fld="4" item="5"/>
        </tpls>
      </m>
      <n v="0.6" in="2">
        <tpls c="4">
          <tpl fld="7" item="1052"/>
          <tpl fld="6" item="2"/>
          <tpl hier="236" item="1"/>
          <tpl fld="4" item="6"/>
        </tpls>
      </n>
      <n v="2" in="1">
        <tpls c="4">
          <tpl fld="7" item="977"/>
          <tpl fld="6" item="1"/>
          <tpl hier="236" item="1"/>
          <tpl fld="1" item="0"/>
        </tpls>
      </n>
      <m>
        <tpls c="4">
          <tpl fld="7" item="1160"/>
          <tpl fld="6" item="1"/>
          <tpl hier="236" item="1"/>
          <tpl fld="4" item="5"/>
        </tpls>
      </m>
      <n v="52.428108108108106" in="2">
        <tpls c="3">
          <tpl fld="6" item="2"/>
          <tpl hier="236" item="1"/>
          <tpl fld="4" item="7"/>
        </tpls>
      </n>
      <n v="7" in="1">
        <tpls c="4">
          <tpl fld="7" item="1063"/>
          <tpl fld="6" item="1"/>
          <tpl hier="236" item="1"/>
          <tpl fld="1" item="0"/>
        </tpls>
      </n>
      <m>
        <tpls c="4">
          <tpl fld="7" item="1151"/>
          <tpl fld="6" item="1"/>
          <tpl hier="236" item="1"/>
          <tpl fld="1" item="0"/>
        </tpls>
      </m>
      <m>
        <tpls c="4">
          <tpl fld="7" item="966"/>
          <tpl fld="6" item="1"/>
          <tpl hier="236" item="1"/>
          <tpl fld="4" item="6"/>
        </tpls>
      </m>
      <n v="11" in="1">
        <tpls c="6">
          <tpl fld="11" item="0"/>
          <tpl fld="5" item="2"/>
          <tpl fld="6" item="1"/>
          <tpl hier="236" item="1"/>
          <tpl fld="4" item="1"/>
          <tpl fld="9" item="3"/>
        </tpls>
      </n>
      <n v="1.4979096026599071E-2" in="0">
        <tpls c="5">
          <tpl fld="11" item="0"/>
          <tpl fld="2" item="4"/>
          <tpl fld="6" item="0"/>
          <tpl hier="236" item="1"/>
          <tpl fld="4" item="3"/>
        </tpls>
      </n>
      <m>
        <tpls c="4">
          <tpl fld="7" item="1063"/>
          <tpl fld="6" item="2"/>
          <tpl hier="236" item="1"/>
          <tpl fld="4" item="6"/>
        </tpls>
      </m>
      <n v="1" in="1">
        <tpls c="4">
          <tpl fld="7" item="1162"/>
          <tpl fld="6" item="1"/>
          <tpl hier="236" item="1"/>
          <tpl fld="4" item="5"/>
        </tpls>
      </n>
      <n v="9" in="1">
        <tpls c="4">
          <tpl fld="7" item="1178"/>
          <tpl fld="6" item="1"/>
          <tpl hier="236" item="1"/>
          <tpl fld="4" item="6"/>
        </tpls>
      </n>
      <n v="156" in="1">
        <tpls c="6">
          <tpl fld="11" item="0"/>
          <tpl fld="5" item="4"/>
          <tpl fld="6" item="1"/>
          <tpl hier="236" item="1"/>
          <tpl fld="4" item="4"/>
          <tpl fld="10" item="3"/>
        </tpls>
      </n>
      <m>
        <tpls c="4">
          <tpl fld="7" item="941"/>
          <tpl fld="6" item="1"/>
          <tpl hier="236" item="1"/>
          <tpl fld="4" item="6"/>
        </tpls>
      </m>
      <n v="22" in="1">
        <tpls c="6">
          <tpl fld="11" item="0"/>
          <tpl fld="5" item="0"/>
          <tpl fld="6" item="1"/>
          <tpl hier="236" item="1"/>
          <tpl fld="4" item="6"/>
          <tpl fld="10" item="6"/>
        </tpls>
      </n>
      <n v="2.141573035882794E-2" in="0">
        <tpls c="5">
          <tpl fld="11" item="0"/>
          <tpl fld="2" item="1"/>
          <tpl fld="6" item="0"/>
          <tpl hier="236" item="1"/>
          <tpl fld="1" item="0"/>
        </tpls>
      </n>
      <m>
        <tpls c="4">
          <tpl fld="7" item="976"/>
          <tpl fld="6" item="2"/>
          <tpl hier="236" item="1"/>
          <tpl fld="4" item="6"/>
        </tpls>
      </m>
      <m>
        <tpls c="4">
          <tpl fld="7" item="1140"/>
          <tpl fld="6" item="2"/>
          <tpl hier="236" item="1"/>
          <tpl fld="1" item="0"/>
        </tpls>
      </m>
      <m>
        <tpls c="4">
          <tpl fld="7" item="930"/>
          <tpl fld="6" item="2"/>
          <tpl hier="236" item="1"/>
          <tpl fld="4" item="6"/>
        </tpls>
      </m>
      <m>
        <tpls c="4">
          <tpl fld="7" item="936"/>
          <tpl fld="6" item="2"/>
          <tpl hier="236" item="1"/>
          <tpl fld="1" item="0"/>
        </tpls>
      </m>
      <m>
        <tpls c="4">
          <tpl fld="7" item="1138"/>
          <tpl fld="6" item="1"/>
          <tpl hier="236" item="1"/>
          <tpl fld="4" item="5"/>
        </tpls>
      </m>
      <m>
        <tpls c="4">
          <tpl fld="7" item="937"/>
          <tpl fld="6" item="2"/>
          <tpl hier="236" item="1"/>
          <tpl fld="1" item="0"/>
        </tpls>
      </m>
      <m>
        <tpls c="4">
          <tpl fld="7" item="1036"/>
          <tpl fld="6" item="1"/>
          <tpl hier="236" item="1"/>
          <tpl fld="1" item="0"/>
        </tpls>
      </m>
      <n v="7" in="1">
        <tpls c="4">
          <tpl fld="7" item="932"/>
          <tpl fld="6" item="1"/>
          <tpl hier="236" item="1"/>
          <tpl fld="1" item="0"/>
        </tpls>
      </n>
      <m>
        <tpls c="4">
          <tpl fld="7" item="1273"/>
          <tpl fld="6" item="2"/>
          <tpl hier="236" item="1"/>
          <tpl fld="4" item="5"/>
        </tpls>
      </m>
      <m>
        <tpls c="4">
          <tpl fld="7" item="1252"/>
          <tpl fld="6" item="2"/>
          <tpl hier="236" item="1"/>
          <tpl fld="4" item="6"/>
        </tpls>
      </m>
      <m>
        <tpls c="4">
          <tpl fld="7" item="1044"/>
          <tpl fld="6" item="2"/>
          <tpl hier="236" item="1"/>
          <tpl fld="1" item="0"/>
        </tpls>
      </m>
      <m>
        <tpls c="4">
          <tpl fld="7" item="966"/>
          <tpl fld="6" item="2"/>
          <tpl hier="236" item="1"/>
          <tpl fld="1" item="0"/>
        </tpls>
      </m>
      <m>
        <tpls c="4">
          <tpl fld="7" item="1184"/>
          <tpl fld="6" item="1"/>
          <tpl hier="236" item="1"/>
          <tpl fld="4" item="5"/>
        </tpls>
      </m>
      <m>
        <tpls c="4">
          <tpl fld="7" item="1061"/>
          <tpl fld="6" item="2"/>
          <tpl hier="236" item="1"/>
          <tpl fld="4" item="5"/>
        </tpls>
      </m>
      <n v="4" in="1">
        <tpls c="4">
          <tpl fld="7" item="1226"/>
          <tpl fld="6" item="1"/>
          <tpl hier="236" item="1"/>
          <tpl fld="1" item="0"/>
        </tpls>
      </n>
      <m>
        <tpls c="4">
          <tpl fld="7" item="958"/>
          <tpl fld="6" item="1"/>
          <tpl hier="236" item="1"/>
          <tpl fld="4" item="5"/>
        </tpls>
      </m>
      <m>
        <tpls c="4">
          <tpl fld="7" item="1062"/>
          <tpl fld="6" item="1"/>
          <tpl hier="236" item="1"/>
          <tpl fld="4" item="5"/>
        </tpls>
      </m>
      <m>
        <tpls c="4">
          <tpl fld="7" item="1279"/>
          <tpl fld="6" item="2"/>
          <tpl hier="236" item="1"/>
          <tpl fld="4" item="5"/>
        </tpls>
      </m>
      <n v="1" in="1">
        <tpls c="4">
          <tpl fld="7" item="1199"/>
          <tpl fld="6" item="1"/>
          <tpl hier="236" item="1"/>
          <tpl fld="1" item="0"/>
        </tpls>
      </n>
      <n v="4" in="1">
        <tpls c="4">
          <tpl fld="7" item="1142"/>
          <tpl fld="6" item="1"/>
          <tpl hier="236" item="1"/>
          <tpl fld="1" item="0"/>
        </tpls>
      </n>
      <n v="3" in="1">
        <tpls c="4">
          <tpl fld="7" item="973"/>
          <tpl fld="6" item="1"/>
          <tpl hier="236" item="1"/>
          <tpl fld="4" item="5"/>
        </tpls>
      </n>
      <m>
        <tpls c="4">
          <tpl fld="7" item="1053"/>
          <tpl fld="6" item="2"/>
          <tpl hier="236" item="1"/>
          <tpl fld="4" item="6"/>
        </tpls>
      </m>
      <n v="1" in="1">
        <tpls c="4">
          <tpl fld="7" item="1235"/>
          <tpl fld="6" item="1"/>
          <tpl hier="236" item="1"/>
          <tpl fld="4" item="5"/>
        </tpls>
      </n>
      <m>
        <tpls c="4">
          <tpl fld="7" item="948"/>
          <tpl fld="6" item="2"/>
          <tpl hier="236" item="1"/>
          <tpl fld="4" item="6"/>
        </tpls>
      </m>
      <m>
        <tpls c="4">
          <tpl fld="7" item="972"/>
          <tpl fld="6" item="2"/>
          <tpl hier="236" item="1"/>
          <tpl fld="4" item="6"/>
        </tpls>
      </m>
      <m>
        <tpls c="4">
          <tpl fld="7" item="1199"/>
          <tpl fld="6" item="2"/>
          <tpl hier="236" item="1"/>
          <tpl fld="4" item="6"/>
        </tpls>
      </m>
      <m>
        <tpls c="4">
          <tpl fld="7" item="939"/>
          <tpl fld="6" item="1"/>
          <tpl hier="236" item="1"/>
          <tpl fld="4" item="5"/>
        </tpls>
      </m>
      <m>
        <tpls c="4">
          <tpl fld="7" item="1042"/>
          <tpl fld="6" item="2"/>
          <tpl hier="236" item="1"/>
          <tpl fld="4" item="6"/>
        </tpls>
      </m>
      <m>
        <tpls c="4">
          <tpl fld="7" item="1180"/>
          <tpl fld="6" item="2"/>
          <tpl hier="236" item="1"/>
          <tpl fld="4" item="6"/>
        </tpls>
      </m>
      <n v="3" in="1">
        <tpls c="4">
          <tpl fld="7" item="1156"/>
          <tpl fld="6" item="1"/>
          <tpl hier="236" item="1"/>
          <tpl fld="4" item="5"/>
        </tpls>
      </n>
      <m>
        <tpls c="4">
          <tpl fld="7" item="1077"/>
          <tpl fld="6" item="2"/>
          <tpl hier="236" item="1"/>
          <tpl fld="4" item="6"/>
        </tpls>
      </m>
      <m>
        <tpls c="4">
          <tpl fld="7" item="1052"/>
          <tpl fld="6" item="1"/>
          <tpl hier="236" item="1"/>
          <tpl fld="4" item="5"/>
        </tpls>
      </m>
      <n v="1.2250513166035273E-2" in="0">
        <tpls c="5">
          <tpl fld="3" item="3"/>
          <tpl fld="11" item="0"/>
          <tpl fld="6" item="0"/>
          <tpl hier="236" item="1"/>
          <tpl fld="1" item="0"/>
        </tpls>
      </n>
      <m>
        <tpls c="4">
          <tpl fld="7" item="1198"/>
          <tpl fld="6" item="2"/>
          <tpl hier="236" item="1"/>
          <tpl fld="4" item="5"/>
        </tpls>
      </m>
      <m>
        <tpls c="4">
          <tpl fld="7" item="945"/>
          <tpl fld="6" item="1"/>
          <tpl hier="236" item="1"/>
          <tpl fld="4" item="5"/>
        </tpls>
      </m>
      <n v="0" in="1">
        <tpls c="4">
          <tpl fld="7" item="1054"/>
          <tpl fld="6" item="1"/>
          <tpl hier="236" item="1"/>
          <tpl fld="4" item="5"/>
        </tpls>
      </n>
      <m>
        <tpls c="3">
          <tpl fld="7" item="1031"/>
          <tpl fld="6" item="3"/>
          <tpl hier="236" item="1"/>
        </tpls>
      </m>
      <n v="3" in="1">
        <tpls c="4">
          <tpl fld="7" item="1059"/>
          <tpl fld="6" item="1"/>
          <tpl hier="236" item="1"/>
          <tpl fld="4" item="5"/>
        </tpls>
      </n>
      <n v="18" in="1">
        <tpls c="4">
          <tpl fld="7" item="872"/>
          <tpl fld="6" item="1"/>
          <tpl hier="236" item="1"/>
          <tpl fld="4" item="6"/>
        </tpls>
      </n>
      <m>
        <tpls c="4">
          <tpl fld="7" item="1058"/>
          <tpl fld="6" item="2"/>
          <tpl hier="236" item="1"/>
          <tpl fld="4" item="6"/>
        </tpls>
      </m>
      <m>
        <tpls c="4">
          <tpl fld="7" item="1262"/>
          <tpl fld="6" item="1"/>
          <tpl hier="236" item="1"/>
          <tpl fld="1" item="0"/>
        </tpls>
      </m>
      <m>
        <tpls c="3">
          <tpl fld="7" item="1231"/>
          <tpl fld="6" item="3"/>
          <tpl hier="236" item="1"/>
        </tpls>
      </m>
      <m>
        <tpls c="4">
          <tpl fld="7" item="960"/>
          <tpl fld="6" item="1"/>
          <tpl hier="236" item="1"/>
          <tpl fld="4" item="6"/>
        </tpls>
      </m>
      <m>
        <tpls c="6">
          <tpl fld="11" item="0"/>
          <tpl fld="5" item="3"/>
          <tpl fld="6" item="2"/>
          <tpl hier="236" item="1"/>
          <tpl fld="4" item="3"/>
          <tpl fld="10" item="4"/>
        </tpls>
      </m>
      <m>
        <tpls c="6">
          <tpl fld="11" item="0"/>
          <tpl fld="5" item="1"/>
          <tpl fld="6" item="1"/>
          <tpl hier="236" item="1"/>
          <tpl fld="4" item="7"/>
          <tpl fld="10" item="6"/>
        </tpls>
      </m>
      <n v="26" in="1">
        <tpls c="4">
          <tpl fld="7" item="874"/>
          <tpl fld="6" item="1"/>
          <tpl hier="236" item="1"/>
          <tpl fld="1" item="0"/>
        </tpls>
      </n>
      <n v="1" in="1">
        <tpls c="4">
          <tpl fld="7" item="1171"/>
          <tpl fld="6" item="1"/>
          <tpl hier="236" item="1"/>
          <tpl fld="1" item="0"/>
        </tpls>
      </n>
      <m>
        <tpls c="3">
          <tpl fld="7" item="1040"/>
          <tpl fld="6" item="3"/>
          <tpl hier="236" item="1"/>
        </tpls>
      </m>
      <m>
        <tpls c="4">
          <tpl fld="7" item="1226"/>
          <tpl fld="6" item="1"/>
          <tpl hier="236" item="1"/>
          <tpl fld="4" item="6"/>
        </tpls>
      </m>
      <n v="1.8" in="2">
        <tpls c="5">
          <tpl fld="11" item="0"/>
          <tpl fld="2" item="0"/>
          <tpl fld="6" item="2"/>
          <tpl hier="236" item="1"/>
          <tpl fld="4" item="2"/>
        </tpls>
      </n>
      <m>
        <tpls c="6">
          <tpl fld="11" item="0"/>
          <tpl fld="5" item="4"/>
          <tpl fld="6" item="2"/>
          <tpl hier="236" item="1"/>
          <tpl fld="4" item="3"/>
          <tpl fld="10" item="5"/>
        </tpls>
      </m>
      <m>
        <tpls c="4">
          <tpl fld="7" item="1058"/>
          <tpl fld="6" item="1"/>
          <tpl hier="236" item="1"/>
          <tpl fld="4" item="6"/>
        </tpls>
      </m>
      <n v="30" in="1">
        <tpls c="6">
          <tpl fld="11" item="0"/>
          <tpl fld="5" item="1"/>
          <tpl fld="6" item="1"/>
          <tpl hier="236" item="1"/>
          <tpl fld="4" item="6"/>
          <tpl fld="10" item="4"/>
        </tpls>
      </n>
      <m>
        <tpls c="4">
          <tpl fld="7" item="1172"/>
          <tpl fld="6" item="2"/>
          <tpl hier="236" item="1"/>
          <tpl fld="4" item="6"/>
        </tpls>
      </m>
      <m>
        <tpls c="4">
          <tpl fld="7" item="965"/>
          <tpl fld="6" item="2"/>
          <tpl hier="236" item="1"/>
          <tpl fld="4" item="6"/>
        </tpls>
      </m>
      <m>
        <tpls c="3">
          <tpl fld="7" item="1062"/>
          <tpl fld="6" item="3"/>
          <tpl hier="236" item="1"/>
        </tpls>
      </m>
      <n v="0" in="1">
        <tpls c="4">
          <tpl fld="7" item="1171"/>
          <tpl fld="6" item="1"/>
          <tpl hier="236" item="1"/>
          <tpl fld="4" item="6"/>
        </tpls>
      </n>
      <n v="3.12" in="2">
        <tpls c="6">
          <tpl fld="11" item="0"/>
          <tpl fld="5" item="4"/>
          <tpl fld="6" item="2"/>
          <tpl hier="236" item="1"/>
          <tpl fld="4" item="6"/>
          <tpl fld="10" item="5"/>
        </tpls>
      </n>
      <n v="7" in="1">
        <tpls c="4">
          <tpl fld="7" item="955"/>
          <tpl fld="6" item="1"/>
          <tpl hier="236" item="1"/>
          <tpl fld="4" item="6"/>
        </tpls>
      </n>
      <n v="97" in="1">
        <tpls c="6">
          <tpl fld="11" item="0"/>
          <tpl fld="2" item="2"/>
          <tpl fld="6" item="1"/>
          <tpl hier="236" item="1"/>
          <tpl fld="4" item="3"/>
          <tpl fld="10" item="5"/>
        </tpls>
      </n>
      <n v="0.19922740922740925" in="0">
        <tpls c="5">
          <tpl fld="11" item="0"/>
          <tpl fld="2" item="0"/>
          <tpl fld="6" item="0"/>
          <tpl hier="236" item="1"/>
          <tpl fld="4" item="5"/>
        </tpls>
      </n>
      <m>
        <tpls c="4">
          <tpl fld="7" item="1273"/>
          <tpl fld="6" item="1"/>
          <tpl hier="236" item="1"/>
          <tpl fld="4" item="5"/>
        </tpls>
      </m>
      <m>
        <tpls c="3">
          <tpl fld="7" item="1052"/>
          <tpl fld="6" item="3"/>
          <tpl hier="236" item="1"/>
        </tpls>
      </m>
      <m>
        <tpls c="4">
          <tpl fld="7" item="1230"/>
          <tpl fld="6" item="1"/>
          <tpl hier="236" item="1"/>
          <tpl fld="4" item="6"/>
        </tpls>
      </m>
      <n v="1325" in="1">
        <tpls c="6">
          <tpl fld="11" item="0"/>
          <tpl fld="5" item="0"/>
          <tpl fld="6" item="1"/>
          <tpl hier="236" item="1"/>
          <tpl fld="4" item="6"/>
          <tpl fld="10" item="8"/>
        </tpls>
      </n>
      <m>
        <tpls c="3">
          <tpl fld="7" item="1162"/>
          <tpl fld="6" item="3"/>
          <tpl hier="236" item="1"/>
        </tpls>
      </m>
      <n v="79" in="1">
        <tpls c="6">
          <tpl fld="11" item="0"/>
          <tpl fld="2" item="0"/>
          <tpl fld="6" item="1"/>
          <tpl hier="236" item="1"/>
          <tpl fld="4" item="7"/>
          <tpl fld="10" item="2"/>
        </tpls>
      </n>
      <m>
        <tpls c="4">
          <tpl fld="7" item="1232"/>
          <tpl fld="6" item="2"/>
          <tpl hier="236" item="1"/>
          <tpl fld="4" item="5"/>
        </tpls>
      </m>
      <m>
        <tpls c="4">
          <tpl fld="7" item="1161"/>
          <tpl fld="6" item="1"/>
          <tpl hier="236" item="1"/>
          <tpl fld="4" item="6"/>
        </tpls>
      </m>
      <n v="208" in="1">
        <tpls c="6">
          <tpl fld="11" item="0"/>
          <tpl fld="2" item="4"/>
          <tpl fld="6" item="1"/>
          <tpl hier="236" item="1"/>
          <tpl fld="4" item="7"/>
          <tpl fld="10" item="3"/>
        </tpls>
      </n>
      <m>
        <tpls c="4">
          <tpl fld="7" item="944"/>
          <tpl fld="6" item="2"/>
          <tpl hier="236" item="1"/>
          <tpl fld="1" item="0"/>
        </tpls>
      </m>
      <m>
        <tpls c="4">
          <tpl fld="7" item="1041"/>
          <tpl fld="6" item="1"/>
          <tpl hier="236" item="1"/>
          <tpl fld="4" item="5"/>
        </tpls>
      </m>
      <m>
        <tpls c="4">
          <tpl fld="7" item="1079"/>
          <tpl fld="6" item="2"/>
          <tpl hier="236" item="1"/>
          <tpl fld="4" item="5"/>
        </tpls>
      </m>
      <m>
        <tpls c="4">
          <tpl fld="7" item="1256"/>
          <tpl fld="6" item="2"/>
          <tpl hier="236" item="1"/>
          <tpl fld="4" item="5"/>
        </tpls>
      </m>
      <m>
        <tpls c="4">
          <tpl fld="7" item="1144"/>
          <tpl fld="6" item="1"/>
          <tpl hier="236" item="1"/>
          <tpl fld="1" item="0"/>
        </tpls>
      </m>
      <m>
        <tpls c="4">
          <tpl fld="7" item="1065"/>
          <tpl fld="6" item="2"/>
          <tpl hier="236" item="1"/>
          <tpl fld="4" item="5"/>
        </tpls>
      </m>
      <n v="2" in="1">
        <tpls c="4">
          <tpl fld="7" item="1072"/>
          <tpl fld="6" item="1"/>
          <tpl hier="236" item="1"/>
          <tpl fld="1" item="0"/>
        </tpls>
      </n>
      <n v="50" in="1">
        <tpls c="4">
          <tpl fld="7" item="1261"/>
          <tpl fld="6" item="1"/>
          <tpl hier="236" item="1"/>
          <tpl fld="1" item="0"/>
        </tpls>
      </n>
      <m>
        <tpls c="4">
          <tpl fld="7" item="1179"/>
          <tpl fld="6" item="1"/>
          <tpl hier="236" item="1"/>
          <tpl fld="4" item="5"/>
        </tpls>
      </m>
      <n v="183" in="1">
        <tpls c="6">
          <tpl fld="11" item="0"/>
          <tpl fld="5" item="3"/>
          <tpl fld="6" item="1"/>
          <tpl hier="236" item="1"/>
          <tpl fld="4" item="6"/>
          <tpl fld="10" item="4"/>
        </tpls>
      </n>
      <m>
        <tpls c="4">
          <tpl fld="7" item="951"/>
          <tpl fld="6" item="1"/>
          <tpl hier="236" item="1"/>
          <tpl fld="4" item="5"/>
        </tpls>
      </m>
      <n v="7" in="1">
        <tpls c="4">
          <tpl fld="7" item="1268"/>
          <tpl fld="6" item="1"/>
          <tpl hier="236" item="1"/>
          <tpl fld="1" item="0"/>
        </tpls>
      </n>
      <m>
        <tpls c="4">
          <tpl fld="7" item="1137"/>
          <tpl fld="6" item="1"/>
          <tpl hier="236" item="1"/>
          <tpl fld="1" item="0"/>
        </tpls>
      </m>
      <m>
        <tpls c="4">
          <tpl fld="7" item="1070"/>
          <tpl fld="6" item="2"/>
          <tpl hier="236" item="1"/>
          <tpl fld="4" item="6"/>
        </tpls>
      </m>
      <n v="2" in="1">
        <tpls c="4">
          <tpl fld="7" item="873"/>
          <tpl fld="6" item="1"/>
          <tpl hier="236" item="1"/>
          <tpl fld="4" item="5"/>
        </tpls>
      </n>
      <m>
        <tpls c="4">
          <tpl fld="7" item="1069"/>
          <tpl fld="6" item="1"/>
          <tpl hier="236" item="1"/>
          <tpl fld="1" item="0"/>
        </tpls>
      </m>
      <n v="1.1764705882352941E-2" in="0">
        <tpls c="5">
          <tpl fld="3" item="0"/>
          <tpl fld="11" item="0"/>
          <tpl fld="6" item="0"/>
          <tpl hier="236" item="1"/>
          <tpl fld="4" item="6"/>
        </tpls>
      </n>
      <m>
        <tpls c="4">
          <tpl fld="7" item="1137"/>
          <tpl fld="6" item="2"/>
          <tpl hier="236" item="1"/>
          <tpl fld="4" item="6"/>
        </tpls>
      </m>
      <n v="2.0615341189753719E-2" in="0">
        <tpls c="5">
          <tpl fld="11" item="0"/>
          <tpl fld="5" item="3"/>
          <tpl fld="6" item="0"/>
          <tpl hier="236" item="1"/>
          <tpl fld="4" item="5"/>
        </tpls>
      </n>
      <m>
        <tpls c="4">
          <tpl fld="7" item="966"/>
          <tpl fld="6" item="1"/>
          <tpl hier="236" item="1"/>
          <tpl fld="4" item="5"/>
        </tpls>
      </m>
      <m>
        <tpls c="4">
          <tpl fld="7" item="1203"/>
          <tpl fld="6" item="1"/>
          <tpl hier="236" item="1"/>
          <tpl fld="4" item="5"/>
        </tpls>
      </m>
      <n v="1" in="1">
        <tpls c="4">
          <tpl fld="7" item="1209"/>
          <tpl fld="6" item="1"/>
          <tpl hier="236" item="1"/>
          <tpl fld="4" item="5"/>
        </tpls>
      </n>
      <m>
        <tpls c="4">
          <tpl fld="7" item="1153"/>
          <tpl fld="6" item="1"/>
          <tpl hier="236" item="1"/>
          <tpl fld="4" item="5"/>
        </tpls>
      </m>
      <m>
        <tpls c="4">
          <tpl fld="7" item="971"/>
          <tpl fld="6" item="2"/>
          <tpl hier="236" item="1"/>
          <tpl fld="4" item="6"/>
        </tpls>
      </m>
      <m>
        <tpls c="4">
          <tpl fld="7" item="1202"/>
          <tpl fld="6" item="2"/>
          <tpl hier="236" item="1"/>
          <tpl fld="4" item="6"/>
        </tpls>
      </m>
      <n v="0.91999999999999993" in="2">
        <tpls c="4">
          <tpl fld="7" item="1157"/>
          <tpl fld="6" item="2"/>
          <tpl hier="236" item="1"/>
          <tpl fld="4" item="6"/>
        </tpls>
      </n>
      <n v="6" in="1">
        <tpls c="4">
          <tpl fld="7" item="1164"/>
          <tpl fld="6" item="1"/>
          <tpl hier="236" item="1"/>
          <tpl fld="1" item="0"/>
        </tpls>
      </n>
      <m>
        <tpls c="4">
          <tpl fld="7" item="1064"/>
          <tpl fld="6" item="2"/>
          <tpl hier="236" item="1"/>
          <tpl fld="4" item="6"/>
        </tpls>
      </m>
      <m>
        <tpls c="4">
          <tpl fld="7" item="1081"/>
          <tpl fld="6" item="2"/>
          <tpl hier="236" item="1"/>
          <tpl fld="4" item="6"/>
        </tpls>
      </m>
      <m>
        <tpls c="4">
          <tpl fld="7" item="1171"/>
          <tpl fld="6" item="1"/>
          <tpl hier="236" item="1"/>
          <tpl fld="4" item="5"/>
        </tpls>
      </m>
      <m>
        <tpls c="4">
          <tpl fld="7" item="1260"/>
          <tpl fld="6" item="2"/>
          <tpl hier="236" item="1"/>
          <tpl fld="4" item="6"/>
        </tpls>
      </m>
      <m>
        <tpls c="4">
          <tpl fld="7" item="974"/>
          <tpl fld="6" item="1"/>
          <tpl hier="236" item="1"/>
          <tpl fld="4" item="6"/>
        </tpls>
      </m>
      <n v="-1" in="1">
        <tpls c="6">
          <tpl fld="11" item="0"/>
          <tpl fld="5" item="3"/>
          <tpl fld="6" item="1"/>
          <tpl hier="236" item="1"/>
          <tpl fld="4" item="3"/>
          <tpl fld="10" item="8"/>
        </tpls>
      </n>
      <m>
        <tpls c="4">
          <tpl fld="7" item="1208"/>
          <tpl fld="6" item="2"/>
          <tpl hier="236" item="1"/>
          <tpl fld="1" item="0"/>
        </tpls>
      </m>
      <n v="5" in="1">
        <tpls c="4">
          <tpl fld="7" item="1034"/>
          <tpl fld="6" item="1"/>
          <tpl hier="236" item="1"/>
          <tpl fld="4" item="6"/>
        </tpls>
      </n>
      <m>
        <tpls c="4">
          <tpl fld="7" item="1225"/>
          <tpl fld="6" item="1"/>
          <tpl hier="236" item="1"/>
          <tpl fld="4" item="6"/>
        </tpls>
      </m>
      <m>
        <tpls c="6">
          <tpl fld="3" item="0"/>
          <tpl fld="11" item="0"/>
          <tpl fld="6" item="2"/>
          <tpl hier="236" item="1"/>
          <tpl fld="4" item="6"/>
          <tpl fld="10" item="5"/>
        </tpls>
      </m>
      <n v="0" in="1">
        <tpls c="6">
          <tpl fld="11" item="0"/>
          <tpl fld="5" item="4"/>
          <tpl fld="6" item="1"/>
          <tpl hier="236" item="1"/>
          <tpl fld="4" item="7"/>
          <tpl fld="10" item="3"/>
        </tpls>
      </n>
      <n v="90.802972972972952" in="2">
        <tpls c="4">
          <tpl fld="11" item="0"/>
          <tpl fld="6" item="2"/>
          <tpl hier="236" item="1"/>
          <tpl fld="4" item="5"/>
        </tpls>
      </n>
      <n v="0.91999999999999993" in="2">
        <tpls c="4">
          <tpl fld="7" item="1157"/>
          <tpl fld="6" item="2"/>
          <tpl hier="236" item="1"/>
          <tpl fld="1" item="0"/>
        </tpls>
      </n>
      <n v="6" in="1">
        <tpls c="4">
          <tpl fld="7" item="1167"/>
          <tpl fld="6" item="1"/>
          <tpl hier="236" item="1"/>
          <tpl fld="1" item="0"/>
        </tpls>
      </n>
      <n v="1" in="1">
        <tpls c="4">
          <tpl fld="7" item="1061"/>
          <tpl fld="6" item="1"/>
          <tpl hier="236" item="1"/>
          <tpl fld="4" item="5"/>
        </tpls>
      </n>
      <m>
        <tpls c="4">
          <tpl fld="7" item="1281"/>
          <tpl fld="6" item="2"/>
          <tpl hier="236" item="1"/>
          <tpl fld="1" item="0"/>
        </tpls>
      </m>
      <n v="1.24" in="2">
        <tpls c="6">
          <tpl fld="11" item="0"/>
          <tpl fld="2" item="3"/>
          <tpl fld="6" item="2"/>
          <tpl hier="236" item="1"/>
          <tpl fld="4" item="7"/>
          <tpl fld="10" item="2"/>
        </tpls>
      </n>
      <n v="2.1062376496419049E-2" in="0">
        <tpls c="5">
          <tpl fld="11" item="0"/>
          <tpl fld="5" item="4"/>
          <tpl fld="6" item="0"/>
          <tpl hier="236" item="1"/>
          <tpl fld="1" item="0"/>
        </tpls>
      </n>
      <n v="0.11670103717162535" in="0">
        <tpls c="5">
          <tpl fld="11" item="0"/>
          <tpl fld="6" item="0"/>
          <tpl hier="208" item="4294967295"/>
          <tpl hier="236" item="1"/>
          <tpl fld="4" item="1"/>
        </tpls>
      </n>
      <m>
        <tpls c="5">
          <tpl fld="3" item="0"/>
          <tpl fld="11" item="0"/>
          <tpl fld="6" item="0"/>
          <tpl hier="236" item="1"/>
          <tpl fld="4" item="0"/>
        </tpls>
      </m>
      <n v="3.1957966066355654E-2" in="0">
        <tpls c="5">
          <tpl fld="11" item="0"/>
          <tpl fld="2" item="1"/>
          <tpl fld="6" item="0"/>
          <tpl hier="236" item="1"/>
          <tpl fld="4" item="6"/>
        </tpls>
      </n>
      <n v="1.1393024576364052E-2" in="0">
        <tpls c="5">
          <tpl fld="11" item="0"/>
          <tpl fld="6" item="0"/>
          <tpl hier="208" item="4294967295"/>
          <tpl hier="236" item="1"/>
          <tpl fld="4" item="3"/>
        </tpls>
      </n>
      <n v="0.15840986617685648" in="0">
        <tpls c="5">
          <tpl fld="11" item="0"/>
          <tpl fld="2" item="0"/>
          <tpl fld="6" item="0"/>
          <tpl hier="236" item="1"/>
          <tpl fld="4" item="0"/>
        </tpls>
      </n>
      <m>
        <tpls c="4">
          <tpl fld="7" item="1040"/>
          <tpl fld="6" item="2"/>
          <tpl hier="236" item="1"/>
          <tpl fld="1" item="0"/>
        </tpls>
      </m>
      <m>
        <tpls c="4">
          <tpl fld="7" item="1057"/>
          <tpl fld="6" item="2"/>
          <tpl hier="236" item="1"/>
          <tpl fld="4" item="5"/>
        </tpls>
      </m>
      <m>
        <tpls c="4">
          <tpl fld="7" item="1170"/>
          <tpl fld="6" item="2"/>
          <tpl hier="236" item="1"/>
          <tpl fld="4" item="5"/>
        </tpls>
      </m>
      <n v="1.1690460359056595E-2" in="0">
        <tpls c="5">
          <tpl fld="11" item="0"/>
          <tpl fld="2" item="4"/>
          <tpl fld="6" item="0"/>
          <tpl hier="236" item="1"/>
          <tpl fld="4" item="6"/>
        </tpls>
      </n>
      <n v="9.9205331966162515E-3" in="0">
        <tpls c="5">
          <tpl fld="11" item="0"/>
          <tpl fld="5" item="3"/>
          <tpl fld="6" item="0"/>
          <tpl hier="236" item="1"/>
          <tpl fld="1" item="0"/>
        </tpls>
      </n>
      <n v="1" in="1">
        <tpls c="4">
          <tpl fld="7" item="1049"/>
          <tpl fld="6" item="1"/>
          <tpl hier="236" item="1"/>
          <tpl fld="1" item="0"/>
        </tpls>
      </n>
      <m>
        <tpls c="4">
          <tpl fld="7" item="1225"/>
          <tpl fld="6" item="2"/>
          <tpl hier="236" item="1"/>
          <tpl fld="4" item="6"/>
        </tpls>
      </m>
      <n v="1" in="2">
        <tpls c="4">
          <tpl fld="7" item="1072"/>
          <tpl fld="6" item="2"/>
          <tpl hier="236" item="1"/>
          <tpl fld="1" item="0"/>
        </tpls>
      </n>
      <m>
        <tpls c="4">
          <tpl fld="7" item="942"/>
          <tpl fld="6" item="1"/>
          <tpl hier="236" item="1"/>
          <tpl fld="4" item="5"/>
        </tpls>
      </m>
      <m>
        <tpls c="4">
          <tpl fld="7" item="1071"/>
          <tpl fld="6" item="2"/>
          <tpl hier="236" item="1"/>
          <tpl fld="4" item="5"/>
        </tpls>
      </m>
      <m>
        <tpls c="4">
          <tpl fld="7" item="1207"/>
          <tpl fld="6" item="1"/>
          <tpl hier="236" item="1"/>
          <tpl fld="1" item="0"/>
        </tpls>
      </m>
      <m>
        <tpls c="4">
          <tpl fld="7" item="1034"/>
          <tpl fld="6" item="1"/>
          <tpl hier="236" item="1"/>
          <tpl fld="4" item="5"/>
        </tpls>
      </m>
      <m>
        <tpls c="4">
          <tpl fld="7" item="1254"/>
          <tpl fld="6" item="1"/>
          <tpl hier="236" item="1"/>
          <tpl fld="1" item="0"/>
        </tpls>
      </m>
      <m>
        <tpls c="4">
          <tpl fld="7" item="1204"/>
          <tpl fld="6" item="2"/>
          <tpl hier="236" item="1"/>
          <tpl fld="4" item="6"/>
        </tpls>
      </m>
      <m>
        <tpls c="3">
          <tpl fld="7" item="928"/>
          <tpl fld="6" item="3"/>
          <tpl hier="236" item="1"/>
        </tpls>
      </m>
      <n v="4" in="1">
        <tpls c="4">
          <tpl fld="7" item="1060"/>
          <tpl fld="6" item="1"/>
          <tpl hier="236" item="1"/>
          <tpl fld="1" item="0"/>
        </tpls>
      </n>
      <n v="12" in="1">
        <tpls c="4">
          <tpl fld="7" item="873"/>
          <tpl fld="6" item="1"/>
          <tpl hier="236" item="1"/>
          <tpl fld="4" item="6"/>
        </tpls>
      </n>
      <n v="12" in="1">
        <tpls c="4">
          <tpl fld="7" item="955"/>
          <tpl fld="6" item="1"/>
          <tpl hier="236" item="1"/>
          <tpl fld="1" item="0"/>
        </tpls>
      </n>
      <m>
        <tpls c="4">
          <tpl fld="7" item="1038"/>
          <tpl fld="6" item="2"/>
          <tpl hier="236" item="1"/>
          <tpl fld="1" item="0"/>
        </tpls>
      </m>
      <m>
        <tpls c="4">
          <tpl fld="7" item="1055"/>
          <tpl fld="6" item="2"/>
          <tpl hier="236" item="1"/>
          <tpl fld="4" item="5"/>
        </tpls>
      </m>
      <m>
        <tpls c="4">
          <tpl fld="7" item="1153"/>
          <tpl fld="6" item="2"/>
          <tpl hier="236" item="1"/>
          <tpl fld="4" item="6"/>
        </tpls>
      </m>
      <m>
        <tpls c="4">
          <tpl fld="7" item="1056"/>
          <tpl fld="6" item="2"/>
          <tpl hier="236" item="1"/>
          <tpl fld="4" item="6"/>
        </tpls>
      </m>
      <m>
        <tpls c="3">
          <tpl fld="7" item="1032"/>
          <tpl fld="6" item="3"/>
          <tpl hier="236" item="1"/>
        </tpls>
      </m>
      <m>
        <tpls c="4">
          <tpl fld="7" item="1231"/>
          <tpl fld="6" item="2"/>
          <tpl hier="236" item="1"/>
          <tpl fld="4" item="6"/>
        </tpls>
      </m>
      <m>
        <tpls c="4">
          <tpl fld="7" item="1198"/>
          <tpl fld="6" item="1"/>
          <tpl hier="236" item="1"/>
          <tpl fld="4" item="6"/>
        </tpls>
      </m>
      <n v="16" in="1">
        <tpls c="4">
          <tpl fld="7" item="1162"/>
          <tpl fld="6" item="1"/>
          <tpl hier="236" item="1"/>
          <tpl fld="1" item="0"/>
        </tpls>
      </n>
      <m>
        <tpls c="4">
          <tpl fld="7" item="977"/>
          <tpl fld="6" item="2"/>
          <tpl hier="236" item="1"/>
          <tpl fld="4" item="5"/>
        </tpls>
      </m>
      <n v="1" in="1">
        <tpls c="4">
          <tpl fld="7" item="952"/>
          <tpl fld="6" item="1"/>
          <tpl hier="236" item="1"/>
          <tpl fld="4" item="5"/>
        </tpls>
      </n>
      <m>
        <tpls c="4">
          <tpl fld="7" item="1166"/>
          <tpl fld="6" item="2"/>
          <tpl hier="236" item="1"/>
          <tpl fld="4" item="6"/>
        </tpls>
      </m>
      <m>
        <tpls c="4">
          <tpl fld="7" item="1203"/>
          <tpl fld="6" item="2"/>
          <tpl hier="236" item="1"/>
          <tpl fld="4" item="5"/>
        </tpls>
      </m>
      <n v="1" in="1">
        <tpls c="4">
          <tpl fld="7" item="1168"/>
          <tpl fld="6" item="1"/>
          <tpl hier="236" item="1"/>
          <tpl fld="1" item="0"/>
        </tpls>
      </n>
      <m>
        <tpls c="4">
          <tpl fld="7" item="1251"/>
          <tpl fld="6" item="2"/>
          <tpl hier="236" item="1"/>
          <tpl fld="4" item="5"/>
        </tpls>
      </m>
      <n v="1" in="1">
        <tpls c="4">
          <tpl fld="7" item="1167"/>
          <tpl fld="6" item="1"/>
          <tpl hier="236" item="1"/>
          <tpl fld="4" item="5"/>
        </tpls>
      </n>
      <m>
        <tpls c="3">
          <tpl fld="7" item="1225"/>
          <tpl fld="6" item="3"/>
          <tpl hier="236" item="1"/>
        </tpls>
      </m>
      <n v="11" in="1">
        <tpls c="4">
          <tpl fld="7" item="952"/>
          <tpl fld="6" item="1"/>
          <tpl hier="236" item="1"/>
          <tpl fld="1" item="0"/>
        </tpls>
      </n>
      <n v="2" in="1">
        <tpls c="4">
          <tpl fld="7" item="968"/>
          <tpl fld="6" item="1"/>
          <tpl hier="236" item="1"/>
          <tpl fld="4" item="6"/>
        </tpls>
      </n>
      <n v="176" in="1">
        <tpls c="6">
          <tpl fld="11" item="0"/>
          <tpl fld="5" item="4"/>
          <tpl fld="6" item="1"/>
          <tpl hier="236" item="1"/>
          <tpl fld="4" item="1"/>
          <tpl fld="9" item="2"/>
        </tpls>
      </n>
      <m>
        <tpls c="4">
          <tpl fld="7" item="1281"/>
          <tpl fld="6" item="2"/>
          <tpl hier="236" item="1"/>
          <tpl fld="4" item="5"/>
        </tpls>
      </m>
      <n v="5" in="1">
        <tpls c="4">
          <tpl fld="7" item="956"/>
          <tpl fld="6" item="1"/>
          <tpl hier="236" item="1"/>
          <tpl fld="4" item="5"/>
        </tpls>
      </n>
      <m>
        <tpls c="4">
          <tpl fld="7" item="1074"/>
          <tpl fld="6" item="2"/>
          <tpl hier="236" item="1"/>
          <tpl fld="4" item="5"/>
        </tpls>
      </m>
      <m>
        <tpls c="3">
          <tpl fld="7" item="1051"/>
          <tpl fld="6" item="3"/>
          <tpl hier="236" item="1"/>
        </tpls>
      </m>
      <n v="8" in="1">
        <tpls c="4">
          <tpl fld="7" item="1280"/>
          <tpl fld="6" item="1"/>
          <tpl hier="236" item="1"/>
          <tpl fld="4" item="6"/>
        </tpls>
      </n>
      <m>
        <tpls c="6">
          <tpl fld="11" item="0"/>
          <tpl fld="5" item="3"/>
          <tpl fld="6" item="2"/>
          <tpl hier="236" item="1"/>
          <tpl fld="4" item="7"/>
          <tpl fld="10" item="0"/>
        </tpls>
      </m>
      <m>
        <tpls c="4">
          <tpl fld="7" item="1165"/>
          <tpl fld="6" item="2"/>
          <tpl hier="236" item="1"/>
          <tpl fld="4" item="6"/>
        </tpls>
      </m>
      <n v="6" in="1">
        <tpls c="4">
          <tpl fld="7" item="1259"/>
          <tpl fld="6" item="1"/>
          <tpl hier="236" item="1"/>
          <tpl fld="1" item="0"/>
        </tpls>
      </n>
      <m>
        <tpls c="4">
          <tpl fld="7" item="1051"/>
          <tpl fld="6" item="1"/>
          <tpl hier="236" item="1"/>
          <tpl fld="4" item="5"/>
        </tpls>
      </m>
      <n v="25" in="1">
        <tpls c="4">
          <tpl fld="7" item="1178"/>
          <tpl fld="6" item="1"/>
          <tpl hier="236" item="1"/>
          <tpl fld="1" item="0"/>
        </tpls>
      </n>
      <m>
        <tpls c="4">
          <tpl fld="7" item="1050"/>
          <tpl fld="6" item="2"/>
          <tpl hier="236" item="1"/>
          <tpl fld="4" item="6"/>
        </tpls>
      </m>
      <m>
        <tpls c="4">
          <tpl fld="7" item="1177"/>
          <tpl fld="6" item="1"/>
          <tpl hier="236" item="1"/>
          <tpl fld="4" item="5"/>
        </tpls>
      </m>
      <n v="0" in="1">
        <tpls c="4">
          <tpl fld="7" item="927"/>
          <tpl fld="6" item="1"/>
          <tpl hier="236" item="1"/>
          <tpl fld="4" item="5"/>
        </tpls>
      </n>
      <m>
        <tpls c="4">
          <tpl fld="7" item="1144"/>
          <tpl fld="6" item="2"/>
          <tpl hier="236" item="1"/>
          <tpl fld="4" item="6"/>
        </tpls>
      </m>
      <m>
        <tpls c="4">
          <tpl fld="7" item="1034"/>
          <tpl fld="6" item="2"/>
          <tpl hier="236" item="1"/>
          <tpl fld="4" item="6"/>
        </tpls>
      </m>
      <n v="1" in="1">
        <tpls c="4">
          <tpl fld="7" item="972"/>
          <tpl fld="6" item="1"/>
          <tpl hier="236" item="1"/>
          <tpl fld="4" item="5"/>
        </tpls>
      </n>
      <m>
        <tpls c="4">
          <tpl fld="7" item="955"/>
          <tpl fld="6" item="2"/>
          <tpl hier="236" item="1"/>
          <tpl fld="4" item="6"/>
        </tpls>
      </m>
      <n v="1" in="1">
        <tpls c="4">
          <tpl fld="7" item="1030"/>
          <tpl fld="6" item="1"/>
          <tpl hier="236" item="1"/>
          <tpl fld="4" item="6"/>
        </tpls>
      </n>
      <m>
        <tpls c="4">
          <tpl fld="7" item="1256"/>
          <tpl fld="6" item="2"/>
          <tpl hier="236" item="1"/>
          <tpl fld="4" item="6"/>
        </tpls>
      </m>
      <m>
        <tpls c="4">
          <tpl fld="7" item="1149"/>
          <tpl fld="6" item="2"/>
          <tpl hier="236" item="1"/>
          <tpl fld="1" item="0"/>
        </tpls>
      </m>
      <m>
        <tpls c="4">
          <tpl fld="7" item="929"/>
          <tpl fld="6" item="1"/>
          <tpl hier="236" item="1"/>
          <tpl fld="4" item="5"/>
        </tpls>
      </m>
      <m>
        <tpls c="4">
          <tpl fld="7" item="1164"/>
          <tpl fld="6" item="2"/>
          <tpl hier="236" item="1"/>
          <tpl fld="4" item="6"/>
        </tpls>
      </m>
      <m>
        <tpls c="4">
          <tpl fld="7" item="1233"/>
          <tpl fld="6" item="1"/>
          <tpl hier="236" item="1"/>
          <tpl fld="1" item="0"/>
        </tpls>
      </m>
      <m>
        <tpls c="4">
          <tpl fld="7" item="874"/>
          <tpl fld="6" item="1"/>
          <tpl hier="236" item="1"/>
          <tpl fld="4" item="5"/>
        </tpls>
      </m>
      <m>
        <tpls c="4">
          <tpl fld="7" item="1172"/>
          <tpl fld="6" item="1"/>
          <tpl hier="236" item="1"/>
          <tpl fld="1" item="0"/>
        </tpls>
      </m>
      <m>
        <tpls c="4">
          <tpl fld="7" item="1049"/>
          <tpl fld="6" item="2"/>
          <tpl hier="236" item="1"/>
          <tpl fld="4" item="6"/>
        </tpls>
      </m>
      <m>
        <tpls c="4">
          <tpl fld="7" item="970"/>
          <tpl fld="6" item="2"/>
          <tpl hier="236" item="1"/>
          <tpl fld="4" item="6"/>
        </tpls>
      </m>
      <n v="6" in="1">
        <tpls c="4">
          <tpl fld="7" item="1274"/>
          <tpl fld="6" item="1"/>
          <tpl hier="236" item="1"/>
          <tpl fld="4" item="6"/>
        </tpls>
      </n>
      <n v="183" in="1">
        <tpls c="6">
          <tpl fld="11" item="0"/>
          <tpl fld="2" item="4"/>
          <tpl fld="6" item="1"/>
          <tpl hier="236" item="1"/>
          <tpl fld="4" item="7"/>
          <tpl fld="10" item="8"/>
        </tpls>
      </n>
      <n v="188" in="1">
        <tpls c="6">
          <tpl fld="11" item="0"/>
          <tpl fld="5" item="1"/>
          <tpl fld="6" item="1"/>
          <tpl hier="236" item="1"/>
          <tpl fld="4" item="6"/>
          <tpl fld="10" item="0"/>
        </tpls>
      </n>
      <m>
        <tpls c="4">
          <tpl fld="7" item="949"/>
          <tpl fld="6" item="1"/>
          <tpl hier="236" item="1"/>
          <tpl fld="4" item="5"/>
        </tpls>
      </m>
      <m>
        <tpls c="4">
          <tpl fld="7" item="1062"/>
          <tpl fld="6" item="2"/>
          <tpl hier="236" item="1"/>
          <tpl fld="4" item="6"/>
        </tpls>
      </m>
      <n v="12" in="1">
        <tpls c="4">
          <tpl fld="7" item="1154"/>
          <tpl fld="6" item="1"/>
          <tpl hier="236" item="1"/>
          <tpl fld="4" item="6"/>
        </tpls>
      </n>
      <n v="0" in="1">
        <tpls c="6">
          <tpl fld="11" item="0"/>
          <tpl fld="5" item="3"/>
          <tpl fld="6" item="1"/>
          <tpl hier="236" item="1"/>
          <tpl fld="4" item="7"/>
          <tpl fld="10" item="3"/>
        </tpls>
      </n>
      <m>
        <tpls c="4">
          <tpl fld="7" item="949"/>
          <tpl fld="6" item="2"/>
          <tpl hier="236" item="1"/>
          <tpl fld="4" item="6"/>
        </tpls>
      </m>
      <n v="364" in="1">
        <tpls c="6">
          <tpl fld="11" item="0"/>
          <tpl fld="2" item="4"/>
          <tpl fld="6" item="1"/>
          <tpl hier="236" item="1"/>
          <tpl fld="4" item="6"/>
          <tpl fld="10" item="8"/>
        </tpls>
      </n>
      <n v="0.8" in="2">
        <tpls c="4">
          <tpl fld="7" item="1209"/>
          <tpl fld="6" item="2"/>
          <tpl hier="236" item="1"/>
          <tpl fld="1" item="0"/>
        </tpls>
      </n>
      <m>
        <tpls c="4">
          <tpl fld="7" item="1168"/>
          <tpl fld="6" item="1"/>
          <tpl hier="236" item="1"/>
          <tpl fld="4" item="6"/>
        </tpls>
      </m>
      <n v="406" in="1">
        <tpls c="5">
          <tpl fld="11" item="0"/>
          <tpl fld="5" item="0"/>
          <tpl fld="6" item="1"/>
          <tpl hier="236" item="1"/>
          <tpl fld="4" item="5"/>
        </tpls>
      </n>
      <m>
        <tpls c="4">
          <tpl fld="7" item="1037"/>
          <tpl fld="6" item="2"/>
          <tpl hier="236" item="1"/>
          <tpl fld="1" item="0"/>
        </tpls>
      </m>
      <m>
        <tpls c="4">
          <tpl fld="7" item="935"/>
          <tpl fld="6" item="2"/>
          <tpl hier="236" item="1"/>
          <tpl fld="4" item="5"/>
        </tpls>
      </m>
      <m>
        <tpls c="4">
          <tpl fld="7" item="1200"/>
          <tpl fld="6" item="2"/>
          <tpl hier="236" item="1"/>
          <tpl fld="1" item="0"/>
        </tpls>
      </m>
      <m>
        <tpls c="4">
          <tpl fld="7" item="1144"/>
          <tpl fld="6" item="2"/>
          <tpl hier="236" item="1"/>
          <tpl fld="4" item="5"/>
        </tpls>
      </m>
      <m>
        <tpls c="4">
          <tpl fld="7" item="1226"/>
          <tpl fld="6" item="2"/>
          <tpl hier="236" item="1"/>
          <tpl fld="1" item="0"/>
        </tpls>
      </m>
      <m>
        <tpls c="4">
          <tpl fld="7" item="1145"/>
          <tpl fld="6" item="2"/>
          <tpl hier="236" item="1"/>
          <tpl fld="4" item="5"/>
        </tpls>
      </m>
      <m>
        <tpls c="4">
          <tpl fld="7" item="938"/>
          <tpl fld="6" item="2"/>
          <tpl hier="236" item="1"/>
          <tpl fld="4" item="5"/>
        </tpls>
      </m>
      <m>
        <tpls c="4">
          <tpl fld="7" item="1058"/>
          <tpl fld="6" item="2"/>
          <tpl hier="236" item="1"/>
          <tpl fld="1" item="0"/>
        </tpls>
      </m>
      <m>
        <tpls c="4">
          <tpl fld="7" item="1183"/>
          <tpl fld="6" item="1"/>
          <tpl hier="236" item="1"/>
          <tpl fld="4" item="5"/>
        </tpls>
      </m>
      <m>
        <tpls c="4">
          <tpl fld="7" item="1051"/>
          <tpl fld="6" item="2"/>
          <tpl hier="236" item="1"/>
          <tpl fld="4" item="5"/>
        </tpls>
      </m>
      <m>
        <tpls c="4">
          <tpl fld="7" item="1163"/>
          <tpl fld="6" item="2"/>
          <tpl hier="236" item="1"/>
          <tpl fld="1" item="0"/>
        </tpls>
      </m>
      <m>
        <tpls c="4">
          <tpl fld="7" item="1229"/>
          <tpl fld="6" item="2"/>
          <tpl hier="236" item="1"/>
          <tpl fld="4" item="5"/>
        </tpls>
      </m>
      <m>
        <tpls c="4">
          <tpl fld="7" item="1043"/>
          <tpl fld="6" item="1"/>
          <tpl hier="236" item="1"/>
          <tpl fld="4" item="5"/>
        </tpls>
      </m>
      <m>
        <tpls c="4">
          <tpl fld="7" item="1266"/>
          <tpl fld="6" item="1"/>
          <tpl hier="236" item="1"/>
          <tpl fld="4" item="5"/>
        </tpls>
      </m>
      <m>
        <tpls c="4">
          <tpl fld="7" item="1154"/>
          <tpl fld="6" item="2"/>
          <tpl hier="236" item="1"/>
          <tpl fld="4" item="6"/>
        </tpls>
      </m>
      <m>
        <tpls c="4">
          <tpl fld="7" item="1046"/>
          <tpl fld="6" item="2"/>
          <tpl hier="236" item="1"/>
          <tpl fld="4" item="6"/>
        </tpls>
      </m>
      <m>
        <tpls c="4">
          <tpl fld="7" item="927"/>
          <tpl fld="6" item="2"/>
          <tpl hier="236" item="1"/>
          <tpl fld="1" item="0"/>
        </tpls>
      </m>
      <m>
        <tpls c="4">
          <tpl fld="7" item="1047"/>
          <tpl fld="6" item="2"/>
          <tpl hier="236" item="1"/>
          <tpl fld="4" item="5"/>
        </tpls>
      </m>
      <n v="1" in="1">
        <tpls c="4">
          <tpl fld="7" item="953"/>
          <tpl fld="6" item="1"/>
          <tpl hier="236" item="1"/>
          <tpl fld="4" item="5"/>
        </tpls>
      </n>
      <m>
        <tpls c="4">
          <tpl fld="7" item="1167"/>
          <tpl fld="6" item="2"/>
          <tpl hier="236" item="1"/>
          <tpl fld="4" item="6"/>
        </tpls>
      </m>
      <m>
        <tpls c="4">
          <tpl fld="7" item="1206"/>
          <tpl fld="6" item="2"/>
          <tpl hier="236" item="1"/>
          <tpl fld="4" item="5"/>
        </tpls>
      </m>
      <m>
        <tpls c="4">
          <tpl fld="7" item="1066"/>
          <tpl fld="6" item="2"/>
          <tpl hier="236" item="1"/>
          <tpl fld="4" item="6"/>
        </tpls>
      </m>
      <m>
        <tpls c="4">
          <tpl fld="7" item="1255"/>
          <tpl fld="6" item="2"/>
          <tpl hier="236" item="1"/>
          <tpl fld="4" item="5"/>
        </tpls>
      </m>
      <n v="3" in="1">
        <tpls c="4">
          <tpl fld="7" item="1065"/>
          <tpl fld="6" item="1"/>
          <tpl hier="236" item="1"/>
          <tpl fld="1" item="0"/>
        </tpls>
      </n>
      <m>
        <tpls c="4">
          <tpl fld="7" item="936"/>
          <tpl fld="6" item="2"/>
          <tpl hier="236" item="1"/>
          <tpl fld="4" item="5"/>
        </tpls>
      </m>
      <m>
        <tpls c="4">
          <tpl fld="7" item="926"/>
          <tpl fld="6" item="1"/>
          <tpl hier="236" item="1"/>
          <tpl fld="4" item="5"/>
        </tpls>
      </m>
      <m>
        <tpls c="4">
          <tpl fld="7" item="1160"/>
          <tpl fld="6" item="2"/>
          <tpl hier="236" item="1"/>
          <tpl fld="4" item="6"/>
        </tpls>
      </m>
      <n v="5" in="1">
        <tpls c="4">
          <tpl fld="7" item="1232"/>
          <tpl fld="6" item="1"/>
          <tpl hier="236" item="1"/>
          <tpl fld="1" item="0"/>
        </tpls>
      </n>
      <m>
        <tpls c="4">
          <tpl fld="7" item="1258"/>
          <tpl fld="6" item="2"/>
          <tpl hier="236" item="1"/>
          <tpl fld="4" item="5"/>
        </tpls>
      </m>
      <n v="2" in="1">
        <tpls c="4">
          <tpl fld="7" item="1169"/>
          <tpl fld="6" item="1"/>
          <tpl hier="236" item="1"/>
          <tpl fld="1" item="0"/>
        </tpls>
      </n>
      <m>
        <tpls c="4">
          <tpl fld="7" item="1257"/>
          <tpl fld="6" item="2"/>
          <tpl hier="236" item="1"/>
          <tpl fld="4" item="5"/>
        </tpls>
      </m>
      <m>
        <tpls c="4">
          <tpl fld="7" item="1168"/>
          <tpl fld="6" item="1"/>
          <tpl hier="236" item="1"/>
          <tpl fld="4" item="5"/>
        </tpls>
      </m>
      <n v="1.8615982092716071E-2" in="0">
        <tpls c="5">
          <tpl fld="11" item="0"/>
          <tpl fld="5" item="4"/>
          <tpl fld="6" item="0"/>
          <tpl hier="236" item="1"/>
          <tpl fld="4" item="4"/>
        </tpls>
      </n>
      <m>
        <tpls c="4">
          <tpl fld="7" item="1273"/>
          <tpl fld="6" item="1"/>
          <tpl hier="236" item="1"/>
          <tpl fld="1" item="0"/>
        </tpls>
      </m>
      <m>
        <tpls c="5">
          <tpl fld="11" item="0"/>
          <tpl fld="5" item="3"/>
          <tpl fld="6" item="0"/>
          <tpl hier="236" item="1"/>
          <tpl fld="4" item="3"/>
        </tpls>
      </m>
      <n v="1" in="1">
        <tpls c="4">
          <tpl fld="7" item="1281"/>
          <tpl fld="6" item="1"/>
          <tpl hier="236" item="1"/>
          <tpl fld="1" item="0"/>
        </tpls>
      </n>
      <m>
        <tpls c="4">
          <tpl fld="7" item="1037"/>
          <tpl fld="6" item="2"/>
          <tpl hier="236" item="1"/>
          <tpl fld="4" item="6"/>
        </tpls>
      </m>
      <m>
        <tpls c="4">
          <tpl fld="7" item="1281"/>
          <tpl fld="6" item="1"/>
          <tpl hier="236" item="1"/>
          <tpl fld="4" item="5"/>
        </tpls>
      </m>
      <n v="3" in="1">
        <tpls c="4">
          <tpl fld="7" item="1136"/>
          <tpl fld="6" item="1"/>
          <tpl hier="236" item="1"/>
          <tpl fld="1" item="0"/>
        </tpls>
      </n>
      <m>
        <tpls c="4">
          <tpl fld="7" item="966"/>
          <tpl fld="6" item="2"/>
          <tpl hier="236" item="1"/>
          <tpl fld="4" item="6"/>
        </tpls>
      </m>
      <m>
        <tpls c="3">
          <tpl fld="7" item="1227"/>
          <tpl fld="6" item="3"/>
          <tpl hier="236" item="1"/>
        </tpls>
      </m>
      <n v="7" in="1">
        <tpls c="4">
          <tpl fld="7" item="975"/>
          <tpl fld="6" item="1"/>
          <tpl hier="236" item="1"/>
          <tpl fld="1" item="0"/>
        </tpls>
      </n>
      <m>
        <tpls c="4">
          <tpl fld="7" item="976"/>
          <tpl fld="6" item="1"/>
          <tpl hier="236" item="1"/>
          <tpl fld="4" item="6"/>
        </tpls>
      </m>
      <n v="9.52" in="2">
        <tpls c="6">
          <tpl fld="11" item="0"/>
          <tpl fld="5" item="5"/>
          <tpl fld="6" item="2"/>
          <tpl hier="236" item="1"/>
          <tpl fld="4" item="3"/>
          <tpl fld="10" item="5"/>
        </tpls>
      </n>
      <m>
        <tpls c="4">
          <tpl fld="7" item="1067"/>
          <tpl fld="6" item="1"/>
          <tpl hier="236" item="1"/>
          <tpl fld="4" item="5"/>
        </tpls>
      </m>
      <m>
        <tpls c="4">
          <tpl fld="7" item="1170"/>
          <tpl fld="6" item="2"/>
          <tpl hier="236" item="1"/>
          <tpl fld="4" item="6"/>
        </tpls>
      </m>
      <m>
        <tpls c="4">
          <tpl fld="7" item="1170"/>
          <tpl fld="6" item="1"/>
          <tpl hier="236" item="1"/>
          <tpl fld="4" item="5"/>
        </tpls>
      </m>
      <m>
        <tpls c="3">
          <tpl fld="7" item="1257"/>
          <tpl fld="6" item="3"/>
          <tpl hier="236" item="1"/>
        </tpls>
      </m>
      <n v="2" in="1">
        <tpls c="4">
          <tpl fld="7" item="1170"/>
          <tpl fld="6" item="1"/>
          <tpl hier="236" item="1"/>
          <tpl fld="4" item="6"/>
        </tpls>
      </n>
      <n v="6.5264864864864869" in="2">
        <tpls c="6">
          <tpl fld="11" item="0"/>
          <tpl fld="5" item="5"/>
          <tpl fld="6" item="2"/>
          <tpl hier="236" item="1"/>
          <tpl fld="4" item="6"/>
          <tpl fld="10" item="4"/>
        </tpls>
      </n>
      <n v="2" in="1">
        <tpls c="4">
          <tpl fld="7" item="933"/>
          <tpl fld="6" item="1"/>
          <tpl hier="236" item="1"/>
          <tpl fld="4" item="6"/>
        </tpls>
      </n>
      <m>
        <tpls c="3">
          <tpl fld="7" item="1178"/>
          <tpl fld="6" item="3"/>
          <tpl hier="236" item="1"/>
        </tpls>
      </m>
      <m>
        <tpls c="4">
          <tpl fld="7" item="1136"/>
          <tpl fld="6" item="2"/>
          <tpl hier="236" item="1"/>
          <tpl fld="4" item="6"/>
        </tpls>
      </m>
      <m>
        <tpls c="4">
          <tpl fld="7" item="1259"/>
          <tpl fld="6" item="1"/>
          <tpl hier="236" item="1"/>
          <tpl fld="4" item="5"/>
        </tpls>
      </m>
      <m>
        <tpls c="3">
          <tpl fld="7" item="1041"/>
          <tpl fld="6" item="3"/>
          <tpl hier="236" item="1"/>
        </tpls>
      </m>
      <m>
        <tpls c="4">
          <tpl fld="7" item="1144"/>
          <tpl fld="6" item="1"/>
          <tpl hier="236" item="1"/>
          <tpl fld="4" item="6"/>
        </tpls>
      </m>
      <n v="130" in="1">
        <tpls c="6">
          <tpl fld="11" item="0"/>
          <tpl fld="2" item="4"/>
          <tpl fld="6" item="1"/>
          <tpl hier="236" item="1"/>
          <tpl fld="4" item="3"/>
          <tpl fld="10" item="4"/>
        </tpls>
      </n>
      <m>
        <tpls c="3">
          <tpl fld="7" item="1140"/>
          <tpl fld="6" item="3"/>
          <tpl hier="236" item="1"/>
        </tpls>
      </m>
      <m>
        <tpls c="3">
          <tpl fld="7" item="972"/>
          <tpl fld="6" item="3"/>
          <tpl hier="236" item="1"/>
        </tpls>
      </m>
      <m>
        <tpls c="4">
          <tpl fld="7" item="873"/>
          <tpl fld="6" item="2"/>
          <tpl hier="236" item="1"/>
          <tpl fld="4" item="5"/>
        </tpls>
      </m>
      <n v="8" in="1">
        <tpls c="4">
          <tpl fld="7" item="1141"/>
          <tpl fld="6" item="1"/>
          <tpl hier="236" item="1"/>
          <tpl fld="1" item="0"/>
        </tpls>
      </n>
      <m>
        <tpls c="3">
          <tpl fld="7" item="1198"/>
          <tpl fld="6" item="3"/>
          <tpl hier="236" item="1"/>
        </tpls>
      </m>
      <n v="1" in="1">
        <tpls c="4">
          <tpl fld="7" item="967"/>
          <tpl fld="6" item="1"/>
          <tpl hier="236" item="1"/>
          <tpl fld="1" item="0"/>
        </tpls>
      </n>
      <n v="3" in="1">
        <tpls c="4">
          <tpl fld="7" item="1182"/>
          <tpl fld="6" item="1"/>
          <tpl hier="236" item="1"/>
          <tpl fld="4" item="6"/>
        </tpls>
      </n>
      <m>
        <tpls c="4">
          <tpl fld="7" item="1038"/>
          <tpl fld="6" item="1"/>
          <tpl hier="236" item="1"/>
          <tpl fld="4" item="6"/>
        </tpls>
      </m>
      <m>
        <tpls c="3">
          <tpl fld="7" item="1179"/>
          <tpl fld="6" item="3"/>
          <tpl hier="236" item="1"/>
        </tpls>
      </m>
      <n v="0.8" in="2">
        <tpls c="6">
          <tpl fld="11" item="0"/>
          <tpl fld="5" item="3"/>
          <tpl fld="6" item="2"/>
          <tpl hier="236" item="1"/>
          <tpl fld="4" item="4"/>
          <tpl fld="10" item="4"/>
        </tpls>
      </n>
      <m>
        <tpls c="3">
          <tpl fld="7" item="933"/>
          <tpl fld="6" item="3"/>
          <tpl hier="236" item="1"/>
        </tpls>
      </m>
      <n v="5" in="1">
        <tpls c="4">
          <tpl fld="7" item="1209"/>
          <tpl fld="6" item="1"/>
          <tpl hier="236" item="1"/>
          <tpl fld="4" item="6"/>
        </tpls>
      </n>
      <n v="151" in="1">
        <tpls c="6">
          <tpl fld="11" item="0"/>
          <tpl fld="5" item="4"/>
          <tpl fld="6" item="1"/>
          <tpl hier="236" item="1"/>
          <tpl fld="4" item="4"/>
          <tpl fld="10" item="2"/>
        </tpls>
      </n>
      <m>
        <tpls c="4">
          <tpl fld="7" item="1148"/>
          <tpl fld="6" item="2"/>
          <tpl hier="236" item="1"/>
          <tpl fld="1" item="0"/>
        </tpls>
      </m>
      <m>
        <tpls c="4">
          <tpl fld="7" item="945"/>
          <tpl fld="6" item="2"/>
          <tpl hier="236" item="1"/>
          <tpl fld="1" item="0"/>
        </tpls>
      </m>
      <m>
        <tpls c="4">
          <tpl fld="7" item="1044"/>
          <tpl fld="6" item="1"/>
          <tpl hier="236" item="1"/>
          <tpl fld="4" item="5"/>
        </tpls>
      </m>
      <m>
        <tpls c="4">
          <tpl fld="7" item="1064"/>
          <tpl fld="6" item="2"/>
          <tpl hier="236" item="1"/>
          <tpl fld="1" item="0"/>
        </tpls>
      </m>
      <m>
        <tpls c="4">
          <tpl fld="7" item="1167"/>
          <tpl fld="6" item="2"/>
          <tpl hier="236" item="1"/>
          <tpl fld="4" item="5"/>
        </tpls>
      </m>
      <m>
        <tpls c="4">
          <tpl fld="7" item="1045"/>
          <tpl fld="6" item="2"/>
          <tpl hier="236" item="1"/>
          <tpl fld="4" item="6"/>
        </tpls>
      </m>
      <m>
        <tpls c="4">
          <tpl fld="7" item="1169"/>
          <tpl fld="6" item="2"/>
          <tpl hier="236" item="1"/>
          <tpl fld="4" item="5"/>
        </tpls>
      </m>
      <n v="0" in="1">
        <tpls c="4">
          <tpl fld="7" item="1149"/>
          <tpl fld="6" item="1"/>
          <tpl hier="236" item="1"/>
          <tpl fld="1" item="0"/>
        </tpls>
      </n>
      <n v="4" in="1">
        <tpls c="4">
          <tpl fld="7" item="1201"/>
          <tpl fld="6" item="1"/>
          <tpl hier="236" item="1"/>
          <tpl fld="1" item="0"/>
        </tpls>
      </n>
      <n v="35" in="1">
        <tpls c="4">
          <tpl fld="7" item="1180"/>
          <tpl fld="6" item="1"/>
          <tpl hier="236" item="1"/>
          <tpl fld="1" item="0"/>
        </tpls>
      </n>
      <m>
        <tpls c="4">
          <tpl fld="7" item="1148"/>
          <tpl fld="6" item="1"/>
          <tpl hier="236" item="1"/>
          <tpl fld="4" item="6"/>
        </tpls>
      </m>
      <m>
        <tpls c="4">
          <tpl fld="7" item="970"/>
          <tpl fld="6" item="1"/>
          <tpl hier="236" item="1"/>
          <tpl fld="4" item="5"/>
        </tpls>
      </m>
      <m>
        <tpls c="6">
          <tpl fld="11" item="0"/>
          <tpl fld="5" item="4"/>
          <tpl fld="6" item="1"/>
          <tpl hier="236" item="1"/>
          <tpl fld="4" item="3"/>
          <tpl fld="10" item="1"/>
        </tpls>
      </m>
      <m>
        <tpls c="4">
          <tpl fld="7" item="1178"/>
          <tpl fld="6" item="2"/>
          <tpl hier="236" item="1"/>
          <tpl fld="4" item="6"/>
        </tpls>
      </m>
      <m>
        <tpls c="6">
          <tpl fld="11" item="0"/>
          <tpl fld="5" item="4"/>
          <tpl fld="6" item="2"/>
          <tpl hier="236" item="1"/>
          <tpl fld="4" item="3"/>
          <tpl fld="10" item="1"/>
        </tpls>
      </m>
      <n v="1" in="1">
        <tpls c="4">
          <tpl fld="7" item="1040"/>
          <tpl fld="6" item="1"/>
          <tpl hier="236" item="1"/>
          <tpl fld="4" item="6"/>
        </tpls>
      </n>
      <n v="62" in="1">
        <tpls c="6">
          <tpl fld="11" item="0"/>
          <tpl fld="2" item="3"/>
          <tpl fld="6" item="1"/>
          <tpl hier="236" item="1"/>
          <tpl fld="4" item="7"/>
          <tpl fld="10" item="2"/>
        </tpls>
      </n>
      <m>
        <tpls c="4">
          <tpl fld="7" item="1159"/>
          <tpl fld="6" item="2"/>
          <tpl hier="236" item="1"/>
          <tpl fld="4" item="6"/>
        </tpls>
      </m>
      <n v="3" in="1">
        <tpls c="4">
          <tpl fld="7" item="1178"/>
          <tpl fld="6" item="1"/>
          <tpl hier="236" item="1"/>
          <tpl fld="4" item="5"/>
        </tpls>
      </n>
      <m>
        <tpls c="4">
          <tpl fld="7" item="931"/>
          <tpl fld="6" item="1"/>
          <tpl hier="236" item="1"/>
          <tpl fld="4" item="6"/>
        </tpls>
      </m>
      <n v="5.2664864864864862" in="2">
        <tpls c="5">
          <tpl fld="11" item="0"/>
          <tpl fld="5" item="4"/>
          <tpl fld="6" item="2"/>
          <tpl hier="236" item="1"/>
          <tpl fld="4" item="0"/>
        </tpls>
      </n>
      <n v="11" in="1">
        <tpls c="4">
          <tpl fld="7" item="1054"/>
          <tpl fld="6" item="1"/>
          <tpl hier="236" item="1"/>
          <tpl fld="4" item="6"/>
        </tpls>
      </n>
      <n v="122.76848648648648" in="2">
        <tpls c="5">
          <tpl fld="11" item="0"/>
          <tpl fld="5" item="2"/>
          <tpl fld="6" item="2"/>
          <tpl hier="236" item="1"/>
          <tpl fld="1" item="0"/>
        </tpls>
      </n>
      <m>
        <tpls c="4">
          <tpl fld="7" item="1063"/>
          <tpl fld="6" item="1"/>
          <tpl hier="236" item="1"/>
          <tpl fld="4" item="5"/>
        </tpls>
      </m>
      <m>
        <tpls c="3">
          <tpl fld="7" item="927"/>
          <tpl fld="6" item="3"/>
          <tpl hier="236" item="1"/>
        </tpls>
      </m>
      <m>
        <tpls c="3">
          <tpl fld="7" item="964"/>
          <tpl fld="6" item="3"/>
          <tpl hier="236" item="1"/>
        </tpls>
      </m>
      <m>
        <tpls c="3">
          <tpl fld="7" item="1063"/>
          <tpl fld="6" item="3"/>
          <tpl hier="236" item="1"/>
        </tpls>
      </m>
      <n v="8.7200000000000006" in="2">
        <tpls c="6">
          <tpl fld="11" item="0"/>
          <tpl fld="5" item="3"/>
          <tpl fld="6" item="2"/>
          <tpl hier="236" item="1"/>
          <tpl fld="4" item="1"/>
          <tpl fld="9" item="2"/>
        </tpls>
      </n>
      <m>
        <tpls c="4">
          <tpl fld="7" item="1274"/>
          <tpl fld="6" item="2"/>
          <tpl hier="236" item="1"/>
          <tpl fld="4" item="5"/>
        </tpls>
      </m>
      <m>
        <tpls c="4">
          <tpl fld="7" item="968"/>
          <tpl fld="6" item="2"/>
          <tpl hier="236" item="1"/>
          <tpl fld="4" item="6"/>
        </tpls>
      </m>
      <m>
        <tpls c="3">
          <tpl fld="7" item="1280"/>
          <tpl fld="6" item="3"/>
          <tpl hier="236" item="1"/>
        </tpls>
      </m>
      <m>
        <tpls c="4">
          <tpl fld="7" item="1173"/>
          <tpl fld="6" item="1"/>
          <tpl hier="236" item="1"/>
          <tpl fld="4" item="6"/>
        </tpls>
      </m>
      <n v="8" in="1">
        <tpls c="4">
          <tpl fld="7" item="1074"/>
          <tpl fld="6" item="1"/>
          <tpl hier="236" item="1"/>
          <tpl fld="1" item="0"/>
        </tpls>
      </n>
      <m>
        <tpls c="6">
          <tpl fld="11" item="0"/>
          <tpl fld="5" item="1"/>
          <tpl fld="6" item="1"/>
          <tpl hier="236" item="1"/>
          <tpl fld="4" item="7"/>
          <tpl fld="10" item="0"/>
        </tpls>
      </m>
      <m>
        <tpls c="3">
          <tpl fld="7" item="974"/>
          <tpl fld="6" item="3"/>
          <tpl hier="236" item="1"/>
        </tpls>
      </m>
      <n v="77" in="1">
        <tpls c="4">
          <tpl fld="7" item="1235"/>
          <tpl fld="6" item="1"/>
          <tpl hier="236" item="1"/>
          <tpl fld="1" item="0"/>
        </tpls>
      </n>
      <m>
        <tpls c="3">
          <tpl fld="7" item="1254"/>
          <tpl fld="6" item="3"/>
          <tpl hier="236" item="1"/>
        </tpls>
      </m>
      <n v="0.55999999999999994" in="2">
        <tpls c="5">
          <tpl fld="11" item="0"/>
          <tpl fld="6" item="2"/>
          <tpl hier="236" item="1"/>
          <tpl fld="4" item="7"/>
          <tpl fld="10" item="1"/>
        </tpls>
      </n>
      <m>
        <tpls c="3">
          <tpl fld="7" item="1169"/>
          <tpl fld="6" item="3"/>
          <tpl hier="236" item="1"/>
        </tpls>
      </m>
      <m>
        <tpls c="6">
          <tpl fld="11" item="0"/>
          <tpl fld="5" item="0"/>
          <tpl fld="6" item="1"/>
          <tpl hier="236" item="1"/>
          <tpl fld="4" item="3"/>
          <tpl fld="10" item="6"/>
        </tpls>
      </m>
      <n v="2" in="1">
        <tpls c="4">
          <tpl fld="7" item="1259"/>
          <tpl fld="6" item="1"/>
          <tpl hier="236" item="1"/>
          <tpl fld="4" item="6"/>
        </tpls>
      </n>
      <m>
        <tpls c="6">
          <tpl fld="11" item="0"/>
          <tpl fld="5" item="2"/>
          <tpl fld="6" item="2"/>
          <tpl hier="236" item="1"/>
          <tpl fld="4" item="3"/>
          <tpl fld="10" item="5"/>
        </tpls>
      </m>
      <n v="711" in="1">
        <tpls c="6">
          <tpl fld="11" item="0"/>
          <tpl fld="5" item="3"/>
          <tpl fld="6" item="1"/>
          <tpl hier="236" item="1"/>
          <tpl fld="4" item="4"/>
          <tpl fld="10" item="7"/>
        </tpls>
      </n>
      <m>
        <tpls c="4">
          <tpl fld="7" item="1259"/>
          <tpl fld="6" item="2"/>
          <tpl hier="236" item="1"/>
          <tpl fld="4" item="5"/>
        </tpls>
      </m>
      <n v="4" in="1">
        <tpls c="6">
          <tpl fld="11" item="0"/>
          <tpl fld="5" item="2"/>
          <tpl fld="6" item="1"/>
          <tpl hier="236" item="1"/>
          <tpl fld="4" item="4"/>
          <tpl fld="10" item="4"/>
        </tpls>
      </n>
      <n v="0" in="1">
        <tpls c="6">
          <tpl fld="11" item="0"/>
          <tpl fld="5" item="0"/>
          <tpl fld="6" item="1"/>
          <tpl hier="236" item="1"/>
          <tpl fld="4" item="3"/>
          <tpl fld="10" item="8"/>
        </tpls>
      </n>
      <m>
        <tpls c="4">
          <tpl fld="7" item="1163"/>
          <tpl fld="6" item="1"/>
          <tpl hier="236" item="1"/>
          <tpl fld="4" item="6"/>
        </tpls>
      </m>
      <n v="32" in="1">
        <tpls c="5">
          <tpl fld="11" item="0"/>
          <tpl fld="5" item="3"/>
          <tpl fld="6" item="1"/>
          <tpl hier="236" item="1"/>
          <tpl fld="4" item="2"/>
        </tpls>
      </n>
      <m>
        <tpls c="4">
          <tpl fld="7" item="1281"/>
          <tpl fld="6" item="2"/>
          <tpl hier="236" item="1"/>
          <tpl fld="4" item="6"/>
        </tpls>
      </m>
      <n v="290" in="1">
        <tpls c="6">
          <tpl fld="11" item="0"/>
          <tpl fld="5" item="4"/>
          <tpl fld="6" item="1"/>
          <tpl hier="236" item="1"/>
          <tpl fld="4" item="4"/>
          <tpl fld="10" item="6"/>
        </tpls>
      </n>
      <n v="834" in="1">
        <tpls c="6">
          <tpl fld="11" item="0"/>
          <tpl fld="2" item="3"/>
          <tpl fld="6" item="1"/>
          <tpl hier="236" item="1"/>
          <tpl fld="4" item="6"/>
          <tpl fld="10" item="8"/>
        </tpls>
      </n>
      <n v="0" in="1">
        <tpls c="6">
          <tpl fld="3" item="4"/>
          <tpl fld="11" item="0"/>
          <tpl fld="6" item="1"/>
          <tpl hier="236" item="1"/>
          <tpl fld="4" item="3"/>
          <tpl fld="10" item="1"/>
        </tpls>
      </n>
      <m>
        <tpls c="6">
          <tpl fld="11" item="0"/>
          <tpl fld="5" item="5"/>
          <tpl fld="6" item="1"/>
          <tpl hier="236" item="1"/>
          <tpl fld="4" item="3"/>
          <tpl fld="10" item="6"/>
        </tpls>
      </m>
      <n v="1.2" in="2">
        <tpls c="6">
          <tpl fld="11" item="0"/>
          <tpl fld="2" item="4"/>
          <tpl fld="6" item="2"/>
          <tpl hier="236" item="1"/>
          <tpl fld="4" item="6"/>
          <tpl fld="10" item="4"/>
        </tpls>
      </n>
      <m>
        <tpls c="4">
          <tpl fld="7" item="1172"/>
          <tpl fld="6" item="1"/>
          <tpl hier="236" item="1"/>
          <tpl fld="4" item="6"/>
        </tpls>
      </m>
      <n v="0" in="1">
        <tpls c="6">
          <tpl fld="11" item="0"/>
          <tpl fld="5" item="1"/>
          <tpl fld="6" item="1"/>
          <tpl hier="236" item="1"/>
          <tpl fld="4" item="3"/>
          <tpl fld="10" item="5"/>
        </tpls>
      </n>
      <n v="0" in="1">
        <tpls c="4">
          <tpl fld="7" item="1201"/>
          <tpl fld="6" item="1"/>
          <tpl hier="236" item="1"/>
          <tpl fld="4" item="6"/>
        </tpls>
      </n>
      <m>
        <tpls c="6">
          <tpl fld="11" item="0"/>
          <tpl fld="2" item="4"/>
          <tpl fld="6" item="1"/>
          <tpl hier="236" item="1"/>
          <tpl fld="4" item="3"/>
          <tpl fld="10" item="6"/>
        </tpls>
      </m>
      <n v="4.3900540540540547" in="2">
        <tpls c="6">
          <tpl fld="11" item="0"/>
          <tpl fld="5" item="5"/>
          <tpl fld="6" item="2"/>
          <tpl hier="236" item="1"/>
          <tpl fld="4" item="6"/>
          <tpl fld="10" item="0"/>
        </tpls>
      </n>
      <n v="5.1772972972972973" in="2">
        <tpls c="5">
          <tpl fld="11" item="0"/>
          <tpl fld="5" item="0"/>
          <tpl fld="6" item="2"/>
          <tpl hier="236" item="1"/>
          <tpl fld="4" item="5"/>
        </tpls>
      </n>
      <n v="13.721783783783783" in="2">
        <tpls c="6">
          <tpl fld="11" item="0"/>
          <tpl fld="2" item="0"/>
          <tpl fld="6" item="2"/>
          <tpl hier="236" item="1"/>
          <tpl fld="4" item="1"/>
          <tpl fld="9" item="1"/>
        </tpls>
      </n>
      <m>
        <tpls c="6">
          <tpl fld="11" item="0"/>
          <tpl fld="2" item="0"/>
          <tpl fld="6" item="2"/>
          <tpl hier="236" item="1"/>
          <tpl fld="4" item="7"/>
          <tpl fld="10" item="5"/>
        </tpls>
      </m>
      <n v="1" in="1">
        <tpls c="4">
          <tpl fld="7" item="956"/>
          <tpl fld="6" item="1"/>
          <tpl hier="236" item="1"/>
          <tpl fld="4" item="6"/>
        </tpls>
      </n>
      <n v="30.201621621621619" in="2">
        <tpls c="6">
          <tpl fld="11" item="0"/>
          <tpl fld="5" item="1"/>
          <tpl fld="6" item="2"/>
          <tpl hier="236" item="1"/>
          <tpl fld="4" item="1"/>
          <tpl fld="9" item="2"/>
        </tpls>
      </n>
      <m>
        <tpls c="4">
          <tpl fld="7" item="974"/>
          <tpl fld="6" item="1"/>
          <tpl hier="236" item="1"/>
          <tpl fld="4" item="5"/>
        </tpls>
      </m>
      <n v="13.84" in="2">
        <tpls c="5">
          <tpl fld="11" item="0"/>
          <tpl fld="5" item="2"/>
          <tpl fld="6" item="2"/>
          <tpl hier="236" item="1"/>
          <tpl fld="4" item="5"/>
        </tpls>
      </n>
      <m>
        <tpls c="6">
          <tpl fld="11" item="0"/>
          <tpl fld="5" item="0"/>
          <tpl fld="6" item="2"/>
          <tpl hier="236" item="1"/>
          <tpl fld="4" item="3"/>
          <tpl fld="10" item="7"/>
        </tpls>
      </m>
      <m>
        <tpls c="3">
          <tpl fld="7" item="955"/>
          <tpl fld="6" item="3"/>
          <tpl hier="236" item="1"/>
        </tpls>
      </m>
      <n v="2.04" in="2">
        <tpls c="6">
          <tpl fld="11" item="0"/>
          <tpl fld="5" item="2"/>
          <tpl fld="6" item="2"/>
          <tpl hier="236" item="1"/>
          <tpl fld="4" item="1"/>
          <tpl fld="9" item="0"/>
        </tpls>
      </n>
      <n v="0" in="1">
        <tpls c="6">
          <tpl fld="11" item="0"/>
          <tpl fld="5" item="3"/>
          <tpl fld="6" item="1"/>
          <tpl hier="236" item="1"/>
          <tpl fld="4" item="3"/>
          <tpl fld="10" item="3"/>
        </tpls>
      </n>
      <n v="100" in="1">
        <tpls c="6">
          <tpl fld="11" item="0"/>
          <tpl fld="5" item="2"/>
          <tpl fld="6" item="1"/>
          <tpl hier="236" item="1"/>
          <tpl fld="4" item="6"/>
          <tpl fld="10" item="2"/>
        </tpls>
      </n>
      <n v="685" in="1">
        <tpls c="6">
          <tpl fld="11" item="0"/>
          <tpl fld="2" item="3"/>
          <tpl fld="6" item="1"/>
          <tpl hier="236" item="1"/>
          <tpl fld="4" item="6"/>
          <tpl fld="10" item="7"/>
        </tpls>
      </n>
      <n v="397" in="1">
        <tpls c="6">
          <tpl fld="3" item="1"/>
          <tpl fld="11" item="0"/>
          <tpl fld="6" item="1"/>
          <tpl hier="236" item="1"/>
          <tpl fld="4" item="3"/>
          <tpl fld="10" item="5"/>
        </tpls>
      </n>
      <n v="2.52" in="2">
        <tpls c="6">
          <tpl fld="11" item="0"/>
          <tpl fld="5" item="0"/>
          <tpl fld="6" item="2"/>
          <tpl hier="236" item="1"/>
          <tpl fld="4" item="4"/>
          <tpl fld="10" item="4"/>
        </tpls>
      </n>
      <m>
        <tpls c="6">
          <tpl fld="11" item="0"/>
          <tpl fld="2" item="4"/>
          <tpl fld="6" item="2"/>
          <tpl hier="236" item="1"/>
          <tpl fld="4" item="1"/>
          <tpl fld="9" item="3"/>
        </tpls>
      </m>
      <m>
        <tpls c="6">
          <tpl fld="11" item="0"/>
          <tpl fld="2" item="4"/>
          <tpl fld="6" item="2"/>
          <tpl hier="236" item="1"/>
          <tpl fld="4" item="7"/>
          <tpl fld="10" item="1"/>
        </tpls>
      </m>
      <n v="9.9924414210128491E-3" in="0">
        <tpls c="5">
          <tpl fld="3" item="3"/>
          <tpl fld="11" item="0"/>
          <tpl fld="6" item="0"/>
          <tpl hier="236" item="1"/>
          <tpl fld="4" item="7"/>
        </tpls>
      </n>
      <m>
        <tpls c="5">
          <tpl fld="11" item="0"/>
          <tpl fld="5" item="2"/>
          <tpl fld="6" item="0"/>
          <tpl hier="236" item="1"/>
          <tpl fld="4" item="7"/>
        </tpls>
      </m>
      <n v="0.10564885496183206" in="0">
        <tpls c="5">
          <tpl fld="11" item="0"/>
          <tpl fld="5" item="2"/>
          <tpl fld="6" item="0"/>
          <tpl hier="236" item="1"/>
          <tpl fld="4" item="5"/>
        </tpls>
      </n>
      <m>
        <tpls c="4">
          <tpl fld="7" item="1074"/>
          <tpl fld="6" item="2"/>
          <tpl hier="236" item="1"/>
          <tpl fld="1" item="0"/>
        </tpls>
      </m>
      <m>
        <tpls c="4">
          <tpl fld="7" item="1200"/>
          <tpl fld="6" item="2"/>
          <tpl hier="236" item="1"/>
          <tpl fld="4" item="6"/>
        </tpls>
      </m>
      <n v="0.6" in="2">
        <tpls c="4">
          <tpl fld="7" item="951"/>
          <tpl fld="6" item="2"/>
          <tpl hier="236" item="1"/>
          <tpl fld="4" item="6"/>
        </tpls>
      </n>
      <n v="6" in="1">
        <tpls c="4">
          <tpl fld="7" item="937"/>
          <tpl fld="6" item="1"/>
          <tpl hier="236" item="1"/>
          <tpl fld="1" item="0"/>
        </tpls>
      </n>
      <n v="3" in="1">
        <tpls c="4">
          <tpl fld="7" item="1055"/>
          <tpl fld="6" item="1"/>
          <tpl hier="236" item="1"/>
          <tpl fld="4" item="5"/>
        </tpls>
      </n>
      <m>
        <tpls c="4">
          <tpl fld="7" item="1268"/>
          <tpl fld="6" item="2"/>
          <tpl hier="236" item="1"/>
          <tpl fld="1" item="0"/>
        </tpls>
      </m>
      <m>
        <tpls c="4">
          <tpl fld="7" item="1061"/>
          <tpl fld="6" item="2"/>
          <tpl hier="236" item="1"/>
          <tpl fld="4" item="6"/>
        </tpls>
      </m>
      <m>
        <tpls c="3">
          <tpl fld="7" item="1268"/>
          <tpl fld="6" item="3"/>
          <tpl hier="236" item="1"/>
        </tpls>
      </m>
      <m>
        <tpls c="4">
          <tpl fld="7" item="1173"/>
          <tpl fld="6" item="2"/>
          <tpl hier="236" item="1"/>
          <tpl fld="4" item="5"/>
        </tpls>
      </m>
      <m>
        <tpls c="4">
          <tpl fld="7" item="977"/>
          <tpl fld="6" item="1"/>
          <tpl hier="236" item="1"/>
          <tpl fld="4" item="6"/>
        </tpls>
      </m>
      <m>
        <tpls c="4">
          <tpl fld="7" item="1236"/>
          <tpl fld="6" item="2"/>
          <tpl hier="236" item="1"/>
          <tpl fld="1" item="0"/>
        </tpls>
      </m>
      <n v="45.729459459459463" in="2">
        <tpls c="5">
          <tpl fld="11" item="0"/>
          <tpl fld="6" item="2"/>
          <tpl fld="8" item="1"/>
          <tpl hier="236" item="1"/>
          <tpl fld="4" item="5"/>
        </tpls>
      </n>
      <m>
        <tpls c="4">
          <tpl fld="7" item="1071"/>
          <tpl fld="6" item="1"/>
          <tpl hier="236" item="1"/>
          <tpl fld="4" item="5"/>
        </tpls>
      </m>
      <m>
        <tpls c="3">
          <tpl fld="7" item="976"/>
          <tpl fld="6" item="3"/>
          <tpl hier="236" item="1"/>
        </tpls>
      </m>
      <m>
        <tpls c="4">
          <tpl fld="7" item="978"/>
          <tpl fld="6" item="2"/>
          <tpl hier="236" item="1"/>
          <tpl fld="1" item="0"/>
        </tpls>
      </m>
      <n v="29" in="1">
        <tpls c="4">
          <tpl fld="7" item="1154"/>
          <tpl fld="6" item="1"/>
          <tpl hier="236" item="1"/>
          <tpl fld="1" item="0"/>
        </tpls>
      </n>
      <n v="39" in="1">
        <tpls c="4">
          <tpl fld="7" item="1054"/>
          <tpl fld="6" item="1"/>
          <tpl hier="236" item="1"/>
          <tpl fld="1" item="0"/>
        </tpls>
      </n>
      <n v="9.08" in="2">
        <tpls c="6">
          <tpl fld="11" item="0"/>
          <tpl fld="5" item="2"/>
          <tpl fld="6" item="2"/>
          <tpl hier="236" item="1"/>
          <tpl fld="4" item="1"/>
          <tpl fld="9" item="2"/>
        </tpls>
      </n>
      <n v="1" in="1">
        <tpls c="4">
          <tpl fld="7" item="953"/>
          <tpl fld="6" item="1"/>
          <tpl hier="236" item="1"/>
          <tpl fld="4" item="6"/>
        </tpls>
      </n>
      <n v="195" in="1">
        <tpls c="6">
          <tpl fld="11" item="0"/>
          <tpl fld="5" item="0"/>
          <tpl fld="6" item="1"/>
          <tpl hier="236" item="1"/>
          <tpl fld="4" item="4"/>
          <tpl fld="10" item="5"/>
        </tpls>
      </n>
      <n v="63" in="1">
        <tpls c="4">
          <tpl fld="7" item="973"/>
          <tpl fld="6" item="1"/>
          <tpl hier="236" item="1"/>
          <tpl fld="1" item="0"/>
        </tpls>
      </n>
      <n v="1080" in="1">
        <tpls c="5">
          <tpl fld="11" item="0"/>
          <tpl fld="6" item="1"/>
          <tpl fld="8" item="1"/>
          <tpl hier="236" item="1"/>
          <tpl fld="4" item="5"/>
        </tpls>
      </n>
      <n v="17" in="1">
        <tpls c="6">
          <tpl fld="11" item="0"/>
          <tpl fld="5" item="2"/>
          <tpl fld="6" item="1"/>
          <tpl hier="236" item="1"/>
          <tpl fld="4" item="6"/>
          <tpl fld="10" item="5"/>
        </tpls>
      </n>
      <n v="16.919999999999998" in="2">
        <tpls c="6">
          <tpl fld="11" item="0"/>
          <tpl fld="5" item="5"/>
          <tpl fld="6" item="2"/>
          <tpl hier="236" item="1"/>
          <tpl fld="4" item="3"/>
          <tpl fld="10" item="7"/>
        </tpls>
      </n>
      <m>
        <tpls c="3">
          <tpl fld="7" item="1200"/>
          <tpl fld="6" item="3"/>
          <tpl hier="236" item="1"/>
        </tpls>
      </m>
      <m>
        <tpls c="3">
          <tpl fld="7" item="1160"/>
          <tpl fld="6" item="3"/>
          <tpl hier="236" item="1"/>
        </tpls>
      </m>
      <m>
        <tpls c="4">
          <tpl fld="7" item="1055"/>
          <tpl fld="6" item="2"/>
          <tpl hier="236" item="1"/>
          <tpl fld="4" item="6"/>
        </tpls>
      </m>
      <n v="35" in="1">
        <tpls c="4">
          <tpl fld="7" item="1285"/>
          <tpl fld="6" item="1"/>
          <tpl hier="236" item="1"/>
          <tpl fld="4" item="6"/>
        </tpls>
      </n>
      <n v="44" in="1">
        <tpls c="6">
          <tpl fld="11" item="0"/>
          <tpl fld="5" item="4"/>
          <tpl fld="6" item="1"/>
          <tpl hier="236" item="1"/>
          <tpl fld="4" item="1"/>
          <tpl fld="9" item="3"/>
        </tpls>
      </n>
      <m>
        <tpls c="4">
          <tpl fld="7" item="942"/>
          <tpl fld="6" item="1"/>
          <tpl hier="236" item="1"/>
          <tpl fld="4" item="6"/>
        </tpls>
      </m>
      <m>
        <tpls c="6">
          <tpl fld="11" item="0"/>
          <tpl fld="5" item="5"/>
          <tpl fld="6" item="2"/>
          <tpl hier="236" item="1"/>
          <tpl fld="4" item="7"/>
          <tpl fld="10" item="6"/>
        </tpls>
      </m>
      <n v="613" in="1">
        <tpls c="6">
          <tpl fld="11" item="0"/>
          <tpl fld="2" item="3"/>
          <tpl fld="6" item="1"/>
          <tpl hier="236" item="1"/>
          <tpl fld="4" item="6"/>
          <tpl fld="10" item="2"/>
        </tpls>
      </n>
      <n v="2266" in="1">
        <tpls c="6">
          <tpl fld="3" item="4"/>
          <tpl fld="11" item="0"/>
          <tpl fld="6" item="1"/>
          <tpl hier="236" item="1"/>
          <tpl fld="4" item="4"/>
          <tpl fld="10" item="8"/>
        </tpls>
      </n>
      <m>
        <tpls c="3">
          <tpl fld="7" item="1285"/>
          <tpl fld="6" item="3"/>
          <tpl hier="236" item="1"/>
        </tpls>
      </m>
      <n v="309" in="1">
        <tpls c="6">
          <tpl fld="11" item="0"/>
          <tpl fld="5" item="5"/>
          <tpl fld="6" item="1"/>
          <tpl hier="236" item="1"/>
          <tpl fld="4" item="6"/>
          <tpl fld="10" item="3"/>
        </tpls>
      </n>
      <m>
        <tpls c="4">
          <tpl fld="7" item="1165"/>
          <tpl fld="6" item="2"/>
          <tpl hier="236" item="1"/>
          <tpl fld="1" item="0"/>
        </tpls>
      </m>
      <n v="1" in="1">
        <tpls c="4">
          <tpl fld="7" item="1183"/>
          <tpl fld="6" item="1"/>
          <tpl hier="236" item="1"/>
          <tpl fld="4" item="6"/>
        </tpls>
      </n>
      <n v="3.28" in="2">
        <tpls c="6">
          <tpl fld="11" item="0"/>
          <tpl fld="5" item="0"/>
          <tpl fld="6" item="2"/>
          <tpl hier="236" item="1"/>
          <tpl fld="4" item="1"/>
          <tpl fld="9" item="4"/>
        </tpls>
      </n>
      <m>
        <tpls c="3">
          <tpl fld="7" item="943"/>
          <tpl fld="6" item="3"/>
          <tpl hier="236" item="1"/>
        </tpls>
      </m>
      <n v="1729" in="1">
        <tpls c="6">
          <tpl fld="11" item="0"/>
          <tpl fld="5" item="4"/>
          <tpl fld="6" item="1"/>
          <tpl hier="236" item="1"/>
          <tpl fld="4" item="4"/>
          <tpl fld="10" item="0"/>
        </tpls>
      </n>
      <m>
        <tpls c="6">
          <tpl fld="11" item="0"/>
          <tpl fld="5" item="1"/>
          <tpl fld="6" item="1"/>
          <tpl hier="236" item="1"/>
          <tpl fld="4" item="7"/>
          <tpl fld="10" item="8"/>
        </tpls>
      </m>
      <n v="14" in="1">
        <tpls c="6">
          <tpl fld="11" item="0"/>
          <tpl fld="5" item="1"/>
          <tpl fld="6" item="1"/>
          <tpl hier="236" item="1"/>
          <tpl fld="4" item="6"/>
          <tpl fld="10" item="1"/>
        </tpls>
      </n>
      <n v="3.56" in="2">
        <tpls c="6">
          <tpl fld="11" item="0"/>
          <tpl fld="2" item="0"/>
          <tpl fld="6" item="2"/>
          <tpl hier="236" item="1"/>
          <tpl fld="4" item="4"/>
          <tpl fld="10" item="4"/>
        </tpls>
      </n>
      <n v="222" in="1">
        <tpls c="6">
          <tpl fld="11" item="0"/>
          <tpl fld="2" item="2"/>
          <tpl fld="6" item="1"/>
          <tpl hier="236" item="1"/>
          <tpl fld="4" item="1"/>
          <tpl fld="9" item="1"/>
        </tpls>
      </n>
      <m>
        <tpls c="3">
          <tpl fld="7" item="1233"/>
          <tpl fld="6" item="3"/>
          <tpl hier="236" item="1"/>
        </tpls>
      </m>
      <n v="1066" in="1">
        <tpls c="6">
          <tpl fld="11" item="0"/>
          <tpl fld="5" item="5"/>
          <tpl fld="6" item="1"/>
          <tpl hier="236" item="1"/>
          <tpl fld="4" item="7"/>
          <tpl fld="10" item="3"/>
        </tpls>
      </n>
      <m>
        <tpls c="4">
          <tpl fld="7" item="1038"/>
          <tpl fld="6" item="1"/>
          <tpl hier="236" item="1"/>
          <tpl fld="4" item="5"/>
        </tpls>
      </m>
      <n v="35.514594594594591" in="2">
        <tpls c="5">
          <tpl fld="11" item="0"/>
          <tpl fld="6" item="2"/>
          <tpl hier="236" item="1"/>
          <tpl fld="4" item="4"/>
          <tpl fld="10" item="2"/>
        </tpls>
      </n>
      <n v="0.29383783783783785" in="2">
        <tpls c="6">
          <tpl fld="11" item="0"/>
          <tpl fld="5" item="3"/>
          <tpl fld="6" item="2"/>
          <tpl hier="236" item="1"/>
          <tpl fld="4" item="1"/>
          <tpl fld="9" item="3"/>
        </tpls>
      </n>
      <m>
        <tpls c="4">
          <tpl fld="7" item="1151"/>
          <tpl fld="6" item="1"/>
          <tpl hier="236" item="1"/>
          <tpl fld="4" item="6"/>
        </tpls>
      </m>
      <n v="141" in="1">
        <tpls c="5">
          <tpl fld="11" item="0"/>
          <tpl fld="2" item="3"/>
          <tpl fld="6" item="1"/>
          <tpl hier="236" item="1"/>
          <tpl fld="4" item="0"/>
        </tpls>
      </n>
      <n v="9" in="1">
        <tpls c="6">
          <tpl fld="11" item="0"/>
          <tpl fld="5" item="2"/>
          <tpl fld="6" item="1"/>
          <tpl hier="236" item="1"/>
          <tpl fld="4" item="4"/>
          <tpl fld="10" item="1"/>
        </tpls>
      </n>
      <m>
        <tpls c="6">
          <tpl fld="11" item="0"/>
          <tpl fld="5" item="1"/>
          <tpl fld="6" item="2"/>
          <tpl hier="236" item="1"/>
          <tpl fld="4" item="3"/>
          <tpl fld="10" item="8"/>
        </tpls>
      </m>
      <n v="268" in="1">
        <tpls c="6">
          <tpl fld="11" item="0"/>
          <tpl fld="2" item="3"/>
          <tpl fld="6" item="1"/>
          <tpl hier="236" item="1"/>
          <tpl fld="4" item="4"/>
          <tpl fld="10" item="2"/>
        </tpls>
      </n>
      <n v="42" in="1">
        <tpls c="6">
          <tpl fld="11" item="0"/>
          <tpl fld="2" item="2"/>
          <tpl fld="6" item="1"/>
          <tpl hier="236" item="1"/>
          <tpl fld="4" item="4"/>
          <tpl fld="10" item="1"/>
        </tpls>
      </n>
      <m>
        <tpls c="6">
          <tpl fld="11" item="0"/>
          <tpl fld="5" item="4"/>
          <tpl fld="6" item="2"/>
          <tpl hier="236" item="1"/>
          <tpl fld="4" item="3"/>
          <tpl fld="10" item="4"/>
        </tpls>
      </m>
      <m>
        <tpls c="6">
          <tpl fld="11" item="0"/>
          <tpl fld="5" item="0"/>
          <tpl fld="6" item="2"/>
          <tpl hier="236" item="1"/>
          <tpl fld="4" item="3"/>
          <tpl fld="10" item="1"/>
        </tpls>
      </m>
      <n v="1.28" in="2">
        <tpls c="6">
          <tpl fld="11" item="0"/>
          <tpl fld="2" item="4"/>
          <tpl fld="6" item="2"/>
          <tpl hier="236" item="1"/>
          <tpl fld="4" item="3"/>
          <tpl fld="10" item="4"/>
        </tpls>
      </n>
      <m>
        <tpls c="4">
          <tpl fld="7" item="943"/>
          <tpl fld="6" item="2"/>
          <tpl hier="236" item="1"/>
          <tpl fld="4" item="5"/>
        </tpls>
      </m>
      <m>
        <tpls c="4">
          <tpl fld="7" item="1153"/>
          <tpl fld="6" item="2"/>
          <tpl hier="236" item="1"/>
          <tpl fld="4" item="5"/>
        </tpls>
      </m>
      <m>
        <tpls c="4">
          <tpl fld="7" item="1059"/>
          <tpl fld="6" item="2"/>
          <tpl hier="236" item="1"/>
          <tpl fld="4" item="5"/>
        </tpls>
      </m>
      <n v="1" in="2">
        <tpls c="4">
          <tpl fld="7" item="928"/>
          <tpl fld="6" item="2"/>
          <tpl hier="236" item="1"/>
          <tpl fld="4" item="6"/>
        </tpls>
      </n>
      <m>
        <tpls c="4">
          <tpl fld="7" item="1275"/>
          <tpl fld="6" item="2"/>
          <tpl hier="236" item="1"/>
          <tpl fld="1" item="0"/>
        </tpls>
      </m>
      <n v="7" in="1">
        <tpls c="4">
          <tpl fld="7" item="958"/>
          <tpl fld="6" item="1"/>
          <tpl hier="236" item="1"/>
          <tpl fld="1" item="0"/>
        </tpls>
      </n>
      <m>
        <tpls c="4">
          <tpl fld="7" item="1233"/>
          <tpl fld="6" item="2"/>
          <tpl hier="236" item="1"/>
          <tpl fld="1" item="0"/>
        </tpls>
      </m>
      <m>
        <tpls c="4">
          <tpl fld="7" item="1165"/>
          <tpl fld="6" item="1"/>
          <tpl hier="236" item="1"/>
          <tpl fld="1" item="0"/>
        </tpls>
      </m>
      <m>
        <tpls c="4">
          <tpl fld="7" item="1133"/>
          <tpl fld="6" item="2"/>
          <tpl hier="236" item="1"/>
          <tpl fld="4" item="6"/>
        </tpls>
      </m>
      <m>
        <tpls c="4">
          <tpl fld="7" item="1275"/>
          <tpl fld="6" item="1"/>
          <tpl hier="236" item="1"/>
          <tpl fld="4" item="5"/>
        </tpls>
      </m>
      <n v="4" in="1">
        <tpls c="4">
          <tpl fld="7" item="959"/>
          <tpl fld="6" item="1"/>
          <tpl hier="236" item="1"/>
          <tpl fld="1" item="0"/>
        </tpls>
      </n>
      <m>
        <tpls c="4">
          <tpl fld="7" item="1260"/>
          <tpl fld="6" item="1"/>
          <tpl hier="236" item="1"/>
          <tpl fld="4" item="5"/>
        </tpls>
      </m>
      <n v="4.3902439024390248E-2" in="0">
        <tpls c="5">
          <tpl fld="11" item="0"/>
          <tpl fld="2" item="0"/>
          <tpl fld="6" item="0"/>
          <tpl hier="236" item="1"/>
          <tpl fld="4" item="2"/>
        </tpls>
      </n>
      <m>
        <tpls c="3">
          <tpl fld="7" item="1170"/>
          <tpl fld="6" item="3"/>
          <tpl hier="236" item="1"/>
        </tpls>
      </m>
      <m>
        <tpls c="4">
          <tpl fld="7" item="1259"/>
          <tpl fld="6" item="2"/>
          <tpl hier="236" item="1"/>
          <tpl fld="4" item="6"/>
        </tpls>
      </m>
      <n v="21" in="1">
        <tpls c="6">
          <tpl fld="11" item="0"/>
          <tpl fld="5" item="1"/>
          <tpl fld="6" item="1"/>
          <tpl hier="236" item="1"/>
          <tpl fld="4" item="1"/>
          <tpl fld="9" item="0"/>
        </tpls>
      </n>
      <m>
        <tpls c="4">
          <tpl fld="7" item="965"/>
          <tpl fld="6" item="1"/>
          <tpl hier="236" item="1"/>
          <tpl fld="4" item="6"/>
        </tpls>
      </m>
      <m>
        <tpls c="4">
          <tpl fld="7" item="1066"/>
          <tpl fld="6" item="1"/>
          <tpl hier="236" item="1"/>
          <tpl fld="4" item="5"/>
        </tpls>
      </m>
      <n v="1" in="1">
        <tpls c="4">
          <tpl fld="7" item="1198"/>
          <tpl fld="6" item="1"/>
          <tpl hier="236" item="1"/>
          <tpl fld="4" item="5"/>
        </tpls>
      </n>
      <m>
        <tpls c="4">
          <tpl fld="7" item="1176"/>
          <tpl fld="6" item="2"/>
          <tpl hier="236" item="1"/>
          <tpl fld="4" item="6"/>
        </tpls>
      </m>
      <m>
        <tpls c="4">
          <tpl fld="7" item="1234"/>
          <tpl fld="6" item="2"/>
          <tpl hier="236" item="1"/>
          <tpl fld="4" item="6"/>
        </tpls>
      </m>
      <m>
        <tpls c="3">
          <tpl fld="7" item="1142"/>
          <tpl fld="6" item="3"/>
          <tpl hier="236" item="1"/>
        </tpls>
      </m>
      <n v="38" in="1">
        <tpls c="4">
          <tpl fld="7" item="1224"/>
          <tpl fld="6" item="1"/>
          <tpl hier="236" item="1"/>
          <tpl fld="1" item="0"/>
        </tpls>
      </n>
      <n v="6" in="1">
        <tpls c="4">
          <tpl fld="7" item="1159"/>
          <tpl fld="6" item="1"/>
          <tpl hier="236" item="1"/>
          <tpl fld="1" item="0"/>
        </tpls>
      </n>
      <n v="13.628108108108107" in="2">
        <tpls c="6">
          <tpl fld="11" item="0"/>
          <tpl fld="5" item="5"/>
          <tpl fld="6" item="2"/>
          <tpl hier="236" item="1"/>
          <tpl fld="4" item="7"/>
          <tpl fld="10" item="8"/>
        </tpls>
      </n>
      <n v="1" in="1">
        <tpls c="4">
          <tpl fld="7" item="1205"/>
          <tpl fld="6" item="1"/>
          <tpl hier="236" item="1"/>
          <tpl fld="4" item="5"/>
        </tpls>
      </n>
      <m>
        <tpls c="4">
          <tpl fld="7" item="1251"/>
          <tpl fld="6" item="1"/>
          <tpl hier="236" item="1"/>
          <tpl fld="4" item="5"/>
        </tpls>
      </m>
      <n v="0" in="1">
        <tpls c="6">
          <tpl fld="11" item="0"/>
          <tpl fld="5" item="3"/>
          <tpl fld="6" item="1"/>
          <tpl hier="236" item="1"/>
          <tpl fld="4" item="7"/>
          <tpl fld="10" item="0"/>
        </tpls>
      </n>
      <m>
        <tpls c="3">
          <tpl fld="7" item="1181"/>
          <tpl fld="6" item="3"/>
          <tpl hier="236" item="1"/>
        </tpls>
      </m>
      <m>
        <tpls c="4">
          <tpl fld="7" item="1208"/>
          <tpl fld="6" item="2"/>
          <tpl hier="236" item="1"/>
          <tpl fld="4" item="6"/>
        </tpls>
      </m>
      <m>
        <tpls c="4">
          <tpl fld="7" item="1210"/>
          <tpl fld="6" item="1"/>
          <tpl hier="236" item="1"/>
          <tpl fld="4" item="6"/>
        </tpls>
      </m>
      <n v="41" in="1">
        <tpls c="6">
          <tpl fld="11" item="0"/>
          <tpl fld="5" item="4"/>
          <tpl fld="6" item="1"/>
          <tpl hier="236" item="1"/>
          <tpl fld="4" item="4"/>
          <tpl fld="10" item="4"/>
        </tpls>
      </n>
      <n v="5.32" in="2">
        <tpls c="6">
          <tpl fld="11" item="0"/>
          <tpl fld="5" item="4"/>
          <tpl fld="6" item="2"/>
          <tpl hier="236" item="1"/>
          <tpl fld="4" item="4"/>
          <tpl fld="10" item="6"/>
        </tpls>
      </n>
      <m>
        <tpls c="3">
          <tpl fld="7" item="1030"/>
          <tpl fld="6" item="3"/>
          <tpl hier="236" item="1"/>
        </tpls>
      </m>
      <m>
        <tpls c="4">
          <tpl fld="7" item="943"/>
          <tpl fld="6" item="1"/>
          <tpl hier="236" item="1"/>
          <tpl fld="4" item="6"/>
        </tpls>
      </m>
      <m>
        <tpls c="4">
          <tpl fld="7" item="1035"/>
          <tpl fld="6" item="2"/>
          <tpl hier="236" item="1"/>
          <tpl fld="4" item="6"/>
        </tpls>
      </m>
      <n v="1" in="1">
        <tpls c="4">
          <tpl fld="7" item="1072"/>
          <tpl fld="6" item="1"/>
          <tpl hier="236" item="1"/>
          <tpl fld="4" item="6"/>
        </tpls>
      </n>
      <m>
        <tpls c="6">
          <tpl fld="11" item="0"/>
          <tpl fld="5" item="2"/>
          <tpl fld="6" item="1"/>
          <tpl hier="236" item="1"/>
          <tpl fld="4" item="3"/>
          <tpl fld="10" item="7"/>
        </tpls>
      </m>
      <m>
        <tpls c="3">
          <tpl fld="7" item="1080"/>
          <tpl fld="6" item="3"/>
          <tpl hier="236" item="1"/>
        </tpls>
      </m>
      <n v="1" in="2">
        <tpls c="6">
          <tpl fld="11" item="0"/>
          <tpl fld="5" item="0"/>
          <tpl fld="6" item="2"/>
          <tpl hier="236" item="1"/>
          <tpl fld="4" item="4"/>
          <tpl fld="10" item="1"/>
        </tpls>
      </n>
      <n v="709" in="1">
        <tpls c="6">
          <tpl fld="11" item="0"/>
          <tpl fld="2" item="3"/>
          <tpl fld="6" item="1"/>
          <tpl hier="236" item="1"/>
          <tpl fld="4" item="3"/>
          <tpl fld="10" item="7"/>
        </tpls>
      </n>
      <m>
        <tpls c="4">
          <tpl fld="7" item="957"/>
          <tpl fld="6" item="2"/>
          <tpl hier="236" item="1"/>
          <tpl fld="4" item="6"/>
        </tpls>
      </m>
      <n v="32" in="1">
        <tpls c="6">
          <tpl fld="11" item="0"/>
          <tpl fld="5" item="4"/>
          <tpl fld="6" item="1"/>
          <tpl hier="236" item="1"/>
          <tpl fld="4" item="6"/>
          <tpl fld="10" item="1"/>
        </tpls>
      </n>
      <m>
        <tpls c="4">
          <tpl fld="7" item="1234"/>
          <tpl fld="6" item="1"/>
          <tpl hier="236" item="1"/>
          <tpl fld="1" item="0"/>
        </tpls>
      </m>
      <m>
        <tpls c="6">
          <tpl fld="11" item="0"/>
          <tpl fld="5" item="2"/>
          <tpl fld="6" item="2"/>
          <tpl hier="236" item="1"/>
          <tpl fld="4" item="3"/>
          <tpl fld="10" item="1"/>
        </tpls>
      </m>
      <n v="0" in="1">
        <tpls c="6">
          <tpl fld="11" item="0"/>
          <tpl fld="5" item="1"/>
          <tpl fld="6" item="1"/>
          <tpl hier="236" item="1"/>
          <tpl fld="4" item="3"/>
          <tpl fld="10" item="7"/>
        </tpls>
      </n>
      <n v="2" in="1">
        <tpls c="4">
          <tpl fld="7" item="1256"/>
          <tpl fld="6" item="1"/>
          <tpl hier="236" item="1"/>
          <tpl fld="4" item="6"/>
        </tpls>
      </n>
      <n v="15.782702702702704" in="2">
        <tpls c="5">
          <tpl fld="11" item="0"/>
          <tpl fld="5" item="5"/>
          <tpl fld="6" item="2"/>
          <tpl hier="236" item="1"/>
          <tpl fld="4" item="2"/>
        </tpls>
      </n>
      <m>
        <tpls c="6">
          <tpl fld="11" item="0"/>
          <tpl fld="5" item="1"/>
          <tpl fld="6" item="2"/>
          <tpl hier="236" item="1"/>
          <tpl fld="4" item="3"/>
          <tpl fld="10" item="3"/>
        </tpls>
      </m>
      <n v="138" in="1">
        <tpls c="6">
          <tpl fld="11" item="0"/>
          <tpl fld="5" item="1"/>
          <tpl fld="6" item="1"/>
          <tpl hier="236" item="1"/>
          <tpl fld="4" item="6"/>
          <tpl fld="10" item="2"/>
        </tpls>
      </n>
      <n v="13.816054054054053" in="2">
        <tpls c="6">
          <tpl fld="11" item="0"/>
          <tpl fld="2" item="0"/>
          <tpl fld="6" item="2"/>
          <tpl hier="236" item="1"/>
          <tpl fld="4" item="4"/>
          <tpl fld="10" item="7"/>
        </tpls>
      </n>
      <n v="0.91999999999999993" in="2">
        <tpls c="6">
          <tpl fld="11" item="0"/>
          <tpl fld="2" item="2"/>
          <tpl fld="6" item="2"/>
          <tpl hier="236" item="1"/>
          <tpl fld="4" item="7"/>
          <tpl fld="10" item="7"/>
        </tpls>
      </n>
      <n v="66" in="1">
        <tpls c="5">
          <tpl fld="11" item="0"/>
          <tpl fld="2" item="4"/>
          <tpl fld="6" item="1"/>
          <tpl hier="236" item="1"/>
          <tpl fld="4" item="0"/>
        </tpls>
      </n>
      <m>
        <tpls c="6">
          <tpl fld="11" item="0"/>
          <tpl fld="5" item="0"/>
          <tpl fld="6" item="2"/>
          <tpl hier="236" item="1"/>
          <tpl fld="4" item="7"/>
          <tpl fld="10" item="2"/>
        </tpls>
      </m>
      <n v="1" in="1">
        <tpls c="4">
          <tpl fld="7" item="1076"/>
          <tpl fld="6" item="1"/>
          <tpl hier="236" item="1"/>
          <tpl fld="1" item="0"/>
        </tpls>
      </n>
      <m>
        <tpls c="3">
          <tpl fld="7" item="1144"/>
          <tpl fld="6" item="3"/>
          <tpl hier="236" item="1"/>
        </tpls>
      </m>
      <m>
        <tpls c="4">
          <tpl fld="7" item="1234"/>
          <tpl fld="6" item="2"/>
          <tpl hier="236" item="1"/>
          <tpl fld="4" item="5"/>
        </tpls>
      </m>
      <n v="1" in="1">
        <tpls c="4">
          <tpl fld="7" item="1281"/>
          <tpl fld="6" item="1"/>
          <tpl hier="236" item="1"/>
          <tpl fld="4" item="6"/>
        </tpls>
      </n>
      <n v="0" in="1">
        <tpls c="6">
          <tpl fld="11" item="0"/>
          <tpl fld="5" item="4"/>
          <tpl fld="6" item="1"/>
          <tpl hier="236" item="1"/>
          <tpl fld="4" item="3"/>
          <tpl fld="10" item="4"/>
        </tpls>
      </n>
      <m>
        <tpls c="4">
          <tpl fld="7" item="1059"/>
          <tpl fld="6" item="2"/>
          <tpl hier="236" item="1"/>
          <tpl fld="4" item="6"/>
        </tpls>
      </m>
      <n v="56.891513513513516" in="2">
        <tpls c="6">
          <tpl fld="11" item="0"/>
          <tpl fld="5" item="1"/>
          <tpl fld="6" item="2"/>
          <tpl hier="236" item="1"/>
          <tpl fld="4" item="4"/>
          <tpl fld="10" item="8"/>
        </tpls>
      </n>
      <n v="72" in="1">
        <tpls c="6">
          <tpl fld="11" item="0"/>
          <tpl fld="2" item="3"/>
          <tpl fld="6" item="1"/>
          <tpl hier="236" item="1"/>
          <tpl fld="4" item="7"/>
          <tpl fld="10" item="3"/>
        </tpls>
      </n>
      <m>
        <tpls c="4">
          <tpl fld="7" item="1252"/>
          <tpl fld="6" item="1"/>
          <tpl hier="236" item="1"/>
          <tpl fld="4" item="5"/>
        </tpls>
      </m>
      <m>
        <tpls c="6">
          <tpl fld="11" item="0"/>
          <tpl fld="5" item="2"/>
          <tpl fld="6" item="1"/>
          <tpl hier="236" item="1"/>
          <tpl fld="4" item="3"/>
          <tpl fld="10" item="2"/>
        </tpls>
      </m>
      <m>
        <tpls c="6">
          <tpl fld="11" item="0"/>
          <tpl fld="2" item="4"/>
          <tpl fld="6" item="2"/>
          <tpl hier="236" item="1"/>
          <tpl fld="4" item="4"/>
          <tpl fld="10" item="4"/>
        </tpls>
      </m>
      <n v="0.84000000000000008" in="2">
        <tpls c="6">
          <tpl fld="11" item="0"/>
          <tpl fld="2" item="4"/>
          <tpl fld="6" item="2"/>
          <tpl hier="236" item="1"/>
          <tpl fld="4" item="4"/>
          <tpl fld="10" item="2"/>
        </tpls>
      </n>
      <n v="0.10318047159151827" in="0">
        <tpls c="5">
          <tpl fld="3" item="2"/>
          <tpl fld="11" item="0"/>
          <tpl fld="6" item="0"/>
          <tpl hier="236" item="1"/>
          <tpl fld="1" item="0"/>
        </tpls>
      </n>
      <n v="0.16838181193898072" in="0">
        <tpls c="5">
          <tpl fld="3" item="2"/>
          <tpl fld="11" item="0"/>
          <tpl fld="6" item="0"/>
          <tpl hier="236" item="1"/>
          <tpl fld="4" item="0"/>
        </tpls>
      </n>
      <n v="3.2665280665280669E-2" in="0">
        <tpls c="5">
          <tpl fld="3" item="1"/>
          <tpl fld="11" item="0"/>
          <tpl fld="6" item="0"/>
          <tpl hier="236" item="1"/>
          <tpl fld="4" item="2"/>
        </tpls>
      </n>
      <m>
        <tpls c="4">
          <tpl fld="7" item="1150"/>
          <tpl fld="6" item="2"/>
          <tpl hier="236" item="1"/>
          <tpl fld="4" item="6"/>
        </tpls>
      </m>
      <m>
        <tpls c="4">
          <tpl fld="7" item="1147"/>
          <tpl fld="6" item="2"/>
          <tpl hier="236" item="1"/>
          <tpl fld="4" item="6"/>
        </tpls>
      </m>
      <m>
        <tpls c="4">
          <tpl fld="7" item="1078"/>
          <tpl fld="6" item="2"/>
          <tpl hier="236" item="1"/>
          <tpl fld="4" item="6"/>
        </tpls>
      </m>
      <n v="1" in="1">
        <tpls c="4">
          <tpl fld="7" item="941"/>
          <tpl fld="6" item="1"/>
          <tpl hier="236" item="1"/>
          <tpl fld="4" item="5"/>
        </tpls>
      </n>
      <n v="16" in="1">
        <tpls c="4">
          <tpl fld="7" item="1181"/>
          <tpl fld="6" item="1"/>
          <tpl hier="236" item="1"/>
          <tpl fld="1" item="0"/>
        </tpls>
      </n>
      <n v="10" in="1">
        <tpls c="4">
          <tpl fld="7" item="1274"/>
          <tpl fld="6" item="1"/>
          <tpl hier="236" item="1"/>
          <tpl fld="1" item="0"/>
        </tpls>
      </n>
      <n v="9" in="1">
        <tpls c="4">
          <tpl fld="7" item="874"/>
          <tpl fld="6" item="1"/>
          <tpl hier="236" item="1"/>
          <tpl fld="4" item="6"/>
        </tpls>
      </n>
      <m>
        <tpls c="3">
          <tpl fld="7" item="952"/>
          <tpl fld="6" item="3"/>
          <tpl hier="236" item="1"/>
        </tpls>
      </m>
      <n v="0" in="1">
        <tpls c="4">
          <tpl fld="7" item="945"/>
          <tpl fld="6" item="1"/>
          <tpl hier="236" item="1"/>
          <tpl fld="1" item="0"/>
        </tpls>
      </n>
      <m>
        <tpls c="6">
          <tpl fld="11" item="0"/>
          <tpl fld="5" item="1"/>
          <tpl fld="6" item="1"/>
          <tpl hier="236" item="1"/>
          <tpl fld="4" item="3"/>
          <tpl fld="10" item="6"/>
        </tpls>
      </m>
      <m>
        <tpls c="4">
          <tpl fld="7" item="947"/>
          <tpl fld="6" item="2"/>
          <tpl hier="236" item="1"/>
          <tpl fld="4" item="6"/>
        </tpls>
      </m>
      <m>
        <tpls c="6">
          <tpl fld="11" item="0"/>
          <tpl fld="5" item="5"/>
          <tpl fld="6" item="2"/>
          <tpl hier="236" item="1"/>
          <tpl fld="4" item="1"/>
          <tpl fld="9" item="0"/>
        </tpls>
      </m>
      <n v="1" in="1">
        <tpls c="4">
          <tpl fld="7" item="939"/>
          <tpl fld="6" item="1"/>
          <tpl hier="236" item="1"/>
          <tpl fld="4" item="6"/>
        </tpls>
      </n>
      <n v="13" in="1">
        <tpls c="6">
          <tpl fld="11" item="0"/>
          <tpl fld="2" item="4"/>
          <tpl fld="6" item="1"/>
          <tpl hier="236" item="1"/>
          <tpl fld="4" item="7"/>
          <tpl fld="10" item="0"/>
        </tpls>
      </n>
      <m>
        <tpls c="4">
          <tpl fld="7" item="1038"/>
          <tpl fld="6" item="2"/>
          <tpl hier="236" item="1"/>
          <tpl fld="4" item="6"/>
        </tpls>
      </m>
      <n v="1" in="1">
        <tpls c="4">
          <tpl fld="7" item="1078"/>
          <tpl fld="6" item="1"/>
          <tpl hier="236" item="1"/>
          <tpl fld="1" item="0"/>
        </tpls>
      </n>
      <m>
        <tpls c="4">
          <tpl fld="7" item="1279"/>
          <tpl fld="6" item="1"/>
          <tpl hier="236" item="1"/>
          <tpl fld="4" item="6"/>
        </tpls>
      </m>
      <n v="613" in="1">
        <tpls c="6">
          <tpl fld="11" item="0"/>
          <tpl fld="5" item="5"/>
          <tpl fld="6" item="1"/>
          <tpl hier="236" item="1"/>
          <tpl fld="4" item="1"/>
          <tpl fld="9" item="4"/>
        </tpls>
      </n>
      <m>
        <tpls c="3">
          <tpl fld="7" item="1173"/>
          <tpl fld="6" item="3"/>
          <tpl hier="236" item="1"/>
        </tpls>
      </m>
      <n v="48.728918918918929" in="2">
        <tpls c="5">
          <tpl fld="11" item="0"/>
          <tpl fld="5" item="1"/>
          <tpl fld="6" item="2"/>
          <tpl hier="236" item="1"/>
          <tpl fld="4" item="5"/>
        </tpls>
      </n>
      <m>
        <tpls c="3">
          <tpl fld="7" item="941"/>
          <tpl fld="6" item="3"/>
          <tpl hier="236" item="1"/>
        </tpls>
      </m>
      <n v="117" in="1">
        <tpls c="6">
          <tpl fld="11" item="0"/>
          <tpl fld="2" item="4"/>
          <tpl fld="6" item="1"/>
          <tpl hier="236" item="1"/>
          <tpl fld="4" item="6"/>
          <tpl fld="10" item="0"/>
        </tpls>
      </n>
      <n v="0" in="1">
        <tpls c="6">
          <tpl fld="11" item="0"/>
          <tpl fld="5" item="4"/>
          <tpl fld="6" item="1"/>
          <tpl hier="236" item="1"/>
          <tpl fld="4" item="7"/>
          <tpl fld="10" item="7"/>
        </tpls>
      </n>
      <n v="0" in="1">
        <tpls c="4">
          <tpl fld="7" item="950"/>
          <tpl fld="6" item="1"/>
          <tpl hier="236" item="1"/>
          <tpl fld="4" item="6"/>
        </tpls>
      </n>
      <m>
        <tpls c="4">
          <tpl fld="7" item="1142"/>
          <tpl fld="6" item="1"/>
          <tpl hier="236" item="1"/>
          <tpl fld="4" item="6"/>
        </tpls>
      </m>
      <n v="5.68" in="2">
        <tpls c="6">
          <tpl fld="11" item="0"/>
          <tpl fld="2" item="1"/>
          <tpl fld="6" item="2"/>
          <tpl hier="236" item="1"/>
          <tpl fld="4" item="7"/>
          <tpl fld="10" item="2"/>
        </tpls>
      </n>
      <n v="2" in="1">
        <tpls c="4">
          <tpl fld="7" item="1138"/>
          <tpl fld="6" item="1"/>
          <tpl hier="236" item="1"/>
          <tpl fld="4" item="6"/>
        </tpls>
      </n>
      <n v="8.7199999999999989" in="2">
        <tpls c="6">
          <tpl fld="11" item="0"/>
          <tpl fld="6" item="2"/>
          <tpl fld="8" item="0"/>
          <tpl hier="236" item="1"/>
          <tpl fld="4" item="7"/>
          <tpl fld="10" item="3"/>
        </tpls>
      </n>
      <m>
        <tpls c="6">
          <tpl fld="11" item="0"/>
          <tpl fld="5" item="0"/>
          <tpl fld="6" item="2"/>
          <tpl hier="236" item="1"/>
          <tpl fld="4" item="7"/>
          <tpl fld="10" item="6"/>
        </tpls>
      </m>
      <n v="1" in="2">
        <tpls c="6">
          <tpl fld="11" item="0"/>
          <tpl fld="2" item="0"/>
          <tpl fld="6" item="2"/>
          <tpl hier="236" item="1"/>
          <tpl fld="4" item="7"/>
          <tpl fld="10" item="2"/>
        </tpls>
      </n>
      <m>
        <tpls c="6">
          <tpl fld="11" item="0"/>
          <tpl fld="5" item="0"/>
          <tpl fld="6" item="2"/>
          <tpl hier="236" item="1"/>
          <tpl fld="4" item="6"/>
          <tpl fld="10" item="6"/>
        </tpls>
      </m>
      <n v="364" in="1">
        <tpls c="6">
          <tpl fld="11" item="0"/>
          <tpl fld="2" item="3"/>
          <tpl fld="6" item="1"/>
          <tpl hier="236" item="1"/>
          <tpl fld="4" item="3"/>
          <tpl fld="10" item="4"/>
        </tpls>
      </n>
      <m>
        <tpls c="6">
          <tpl fld="3" item="1"/>
          <tpl fld="11" item="0"/>
          <tpl fld="6" item="1"/>
          <tpl hier="236" item="1"/>
          <tpl fld="4" item="7"/>
          <tpl fld="10" item="6"/>
        </tpls>
      </m>
      <n v="148" in="1">
        <tpls c="5">
          <tpl fld="11" item="0"/>
          <tpl fld="5" item="3"/>
          <tpl fld="6" item="1"/>
          <tpl hier="236" item="1"/>
          <tpl fld="4" item="0"/>
        </tpls>
      </n>
      <n v="80.363243243243247" in="2">
        <tpls c="5">
          <tpl fld="11" item="0"/>
          <tpl fld="5" item="0"/>
          <tpl fld="6" item="2"/>
          <tpl hier="236" item="1"/>
          <tpl fld="1" item="0"/>
        </tpls>
      </n>
      <n v="1" in="1">
        <tpls c="4">
          <tpl fld="7" item="1201"/>
          <tpl fld="6" item="1"/>
          <tpl hier="236" item="1"/>
          <tpl fld="4" item="5"/>
        </tpls>
      </n>
      <n v="141" in="1">
        <tpls c="6">
          <tpl fld="11" item="0"/>
          <tpl fld="5" item="2"/>
          <tpl fld="6" item="1"/>
          <tpl hier="236" item="1"/>
          <tpl fld="4" item="6"/>
          <tpl fld="10" item="8"/>
        </tpls>
      </n>
      <m>
        <tpls c="6">
          <tpl fld="11" item="0"/>
          <tpl fld="5" item="4"/>
          <tpl fld="6" item="2"/>
          <tpl hier="236" item="1"/>
          <tpl fld="4" item="7"/>
          <tpl fld="10" item="0"/>
        </tpls>
      </m>
      <m>
        <tpls c="4">
          <tpl fld="7" item="1257"/>
          <tpl fld="6" item="1"/>
          <tpl hier="236" item="1"/>
          <tpl fld="4" item="6"/>
        </tpls>
      </m>
      <n v="135" in="1">
        <tpls c="5">
          <tpl fld="11" item="0"/>
          <tpl fld="5" item="1"/>
          <tpl fld="6" item="1"/>
          <tpl hier="236" item="1"/>
          <tpl fld="4" item="5"/>
        </tpls>
      </n>
      <m>
        <tpls c="4">
          <tpl fld="7" item="1137"/>
          <tpl fld="6" item="1"/>
          <tpl hier="236" item="1"/>
          <tpl fld="4" item="6"/>
        </tpls>
      </m>
      <n v="481" in="1">
        <tpls c="6">
          <tpl fld="11" item="0"/>
          <tpl fld="5" item="3"/>
          <tpl fld="6" item="1"/>
          <tpl hier="236" item="1"/>
          <tpl fld="4" item="4"/>
          <tpl fld="10" item="6"/>
        </tpls>
      </n>
      <n v="9.36" in="2">
        <tpls c="6">
          <tpl fld="11" item="0"/>
          <tpl fld="2" item="0"/>
          <tpl fld="6" item="2"/>
          <tpl hier="236" item="1"/>
          <tpl fld="4" item="6"/>
          <tpl fld="10" item="8"/>
        </tpls>
      </n>
      <n v="1290" in="1">
        <tpls c="6">
          <tpl fld="3" item="1"/>
          <tpl fld="11" item="0"/>
          <tpl fld="6" item="1"/>
          <tpl hier="236" item="1"/>
          <tpl fld="4" item="3"/>
          <tpl fld="10" item="8"/>
        </tpls>
      </n>
      <n v="789" in="1">
        <tpls c="6">
          <tpl fld="11" item="0"/>
          <tpl fld="5" item="3"/>
          <tpl fld="6" item="1"/>
          <tpl hier="236" item="1"/>
          <tpl fld="4" item="6"/>
          <tpl fld="10" item="7"/>
        </tpls>
      </n>
      <n v="1.3243243243243243" in="2">
        <tpls c="6">
          <tpl fld="11" item="0"/>
          <tpl fld="5" item="0"/>
          <tpl fld="6" item="2"/>
          <tpl hier="236" item="1"/>
          <tpl fld="4" item="6"/>
          <tpl fld="10" item="3"/>
        </tpls>
      </n>
      <n v="38" in="1">
        <tpls c="4">
          <tpl fld="7" item="1157"/>
          <tpl fld="6" item="1"/>
          <tpl hier="236" item="1"/>
          <tpl fld="1" item="0"/>
        </tpls>
      </n>
      <n v="2774" in="1">
        <tpls c="6">
          <tpl fld="11" item="0"/>
          <tpl fld="5" item="5"/>
          <tpl fld="6" item="1"/>
          <tpl hier="236" item="1"/>
          <tpl fld="4" item="3"/>
          <tpl fld="10" item="7"/>
        </tpls>
      </n>
      <m>
        <tpls c="6">
          <tpl fld="11" item="0"/>
          <tpl fld="5" item="4"/>
          <tpl fld="6" item="1"/>
          <tpl hier="236" item="1"/>
          <tpl fld="4" item="7"/>
          <tpl fld="10" item="6"/>
        </tpls>
      </m>
      <m>
        <tpls c="4">
          <tpl fld="7" item="1165"/>
          <tpl fld="6" item="1"/>
          <tpl hier="236" item="1"/>
          <tpl fld="4" item="6"/>
        </tpls>
      </m>
      <n v="0.96" in="2">
        <tpls c="6">
          <tpl fld="11" item="0"/>
          <tpl fld="5" item="5"/>
          <tpl fld="6" item="2"/>
          <tpl hier="236" item="1"/>
          <tpl fld="4" item="4"/>
          <tpl fld="10" item="5"/>
        </tpls>
      </n>
      <n v="85.389729729729723" in="2">
        <tpls c="5">
          <tpl fld="11" item="0"/>
          <tpl fld="5" item="1"/>
          <tpl fld="6" item="2"/>
          <tpl hier="236" item="1"/>
          <tpl fld="4" item="0"/>
        </tpls>
      </n>
      <n v="7" in="1">
        <tpls c="6">
          <tpl fld="11" item="0"/>
          <tpl fld="5" item="2"/>
          <tpl fld="6" item="1"/>
          <tpl hier="236" item="1"/>
          <tpl fld="4" item="6"/>
          <tpl fld="10" item="1"/>
        </tpls>
      </n>
      <n v="334" in="1">
        <tpls c="6">
          <tpl fld="11" item="0"/>
          <tpl fld="2" item="3"/>
          <tpl fld="6" item="1"/>
          <tpl hier="236" item="1"/>
          <tpl fld="4" item="6"/>
          <tpl fld="10" item="4"/>
        </tpls>
      </n>
      <n v="107" in="1">
        <tpls c="6">
          <tpl fld="3" item="1"/>
          <tpl fld="11" item="0"/>
          <tpl fld="6" item="1"/>
          <tpl hier="236" item="1"/>
          <tpl fld="4" item="4"/>
          <tpl fld="10" item="1"/>
        </tpls>
      </n>
      <m>
        <tpls c="6">
          <tpl fld="11" item="0"/>
          <tpl fld="5" item="0"/>
          <tpl fld="6" item="1"/>
          <tpl hier="236" item="1"/>
          <tpl fld="4" item="7"/>
          <tpl fld="10" item="6"/>
        </tpls>
      </m>
      <n v="0.88000000000000012" in="2">
        <tpls c="6">
          <tpl fld="11" item="0"/>
          <tpl fld="2" item="4"/>
          <tpl fld="6" item="2"/>
          <tpl hier="236" item="1"/>
          <tpl fld="4" item="4"/>
          <tpl fld="10" item="6"/>
        </tpls>
      </n>
      <n v="378" in="1">
        <tpls c="6">
          <tpl fld="11" item="0"/>
          <tpl fld="2" item="4"/>
          <tpl fld="6" item="1"/>
          <tpl hier="236" item="1"/>
          <tpl fld="4" item="4"/>
          <tpl fld="10" item="3"/>
        </tpls>
      </n>
      <m>
        <tpls c="4">
          <tpl fld="7" item="1202"/>
          <tpl fld="6" item="2"/>
          <tpl hier="236" item="1"/>
          <tpl fld="1" item="0"/>
        </tpls>
      </m>
      <m>
        <tpls c="4">
          <tpl fld="7" item="1044"/>
          <tpl fld="6" item="2"/>
          <tpl hier="236" item="1"/>
          <tpl fld="4" item="5"/>
        </tpls>
      </m>
      <n v="0.32972972972972975" in="0">
        <tpls c="5">
          <tpl fld="3" item="0"/>
          <tpl fld="11" item="0"/>
          <tpl fld="6" item="0"/>
          <tpl hier="236" item="1"/>
          <tpl fld="4" item="2"/>
        </tpls>
      </n>
      <n v="24" in="1">
        <tpls c="4">
          <tpl fld="7" item="1229"/>
          <tpl fld="6" item="1"/>
          <tpl hier="236" item="1"/>
          <tpl fld="1" item="0"/>
        </tpls>
      </n>
      <n v="28" in="1">
        <tpls c="4">
          <tpl fld="7" item="1203"/>
          <tpl fld="6" item="1"/>
          <tpl hier="236" item="1"/>
          <tpl fld="1" item="0"/>
        </tpls>
      </n>
      <m>
        <tpls c="4">
          <tpl fld="7" item="875"/>
          <tpl fld="6" item="1"/>
          <tpl hier="236" item="1"/>
          <tpl fld="4" item="6"/>
        </tpls>
      </m>
      <m>
        <tpls c="4">
          <tpl fld="7" item="948"/>
          <tpl fld="6" item="1"/>
          <tpl hier="236" item="1"/>
          <tpl fld="4" item="5"/>
        </tpls>
      </m>
      <n v="2" in="1">
        <tpls c="4">
          <tpl fld="7" item="1033"/>
          <tpl fld="6" item="1"/>
          <tpl hier="236" item="1"/>
          <tpl fld="4" item="6"/>
        </tpls>
      </n>
      <n v="2" in="1">
        <tpls c="4">
          <tpl fld="7" item="1256"/>
          <tpl fld="6" item="1"/>
          <tpl hier="236" item="1"/>
          <tpl fld="1" item="0"/>
        </tpls>
      </n>
      <m>
        <tpls c="4">
          <tpl fld="7" item="1064"/>
          <tpl fld="6" item="2"/>
          <tpl hier="236" item="1"/>
          <tpl fld="4" item="5"/>
        </tpls>
      </m>
      <m>
        <tpls c="4">
          <tpl fld="7" item="962"/>
          <tpl fld="6" item="1"/>
          <tpl hier="236" item="1"/>
          <tpl fld="4" item="6"/>
        </tpls>
      </m>
      <m>
        <tpls c="3">
          <tpl fld="7" item="1043"/>
          <tpl fld="6" item="3"/>
          <tpl hier="236" item="1"/>
        </tpls>
      </m>
      <n v="2" in="1">
        <tpls c="4">
          <tpl fld="7" item="957"/>
          <tpl fld="6" item="1"/>
          <tpl hier="236" item="1"/>
          <tpl fld="4" item="6"/>
        </tpls>
      </n>
      <m>
        <tpls c="3">
          <tpl fld="7" item="1201"/>
          <tpl fld="6" item="3"/>
          <tpl hier="236" item="1"/>
        </tpls>
      </m>
      <m>
        <tpls c="4">
          <tpl fld="7" item="1045"/>
          <tpl fld="6" item="1"/>
          <tpl hier="236" item="1"/>
          <tpl fld="1" item="0"/>
        </tpls>
      </m>
      <n v="1" in="1">
        <tpls c="4">
          <tpl fld="7" item="975"/>
          <tpl fld="6" item="1"/>
          <tpl hier="236" item="1"/>
          <tpl fld="4" item="6"/>
        </tpls>
      </n>
      <m>
        <tpls c="4">
          <tpl fld="7" item="967"/>
          <tpl fld="6" item="1"/>
          <tpl hier="236" item="1"/>
          <tpl fld="4" item="5"/>
        </tpls>
      </m>
      <m>
        <tpls c="4">
          <tpl fld="7" item="962"/>
          <tpl fld="6" item="1"/>
          <tpl hier="236" item="1"/>
          <tpl fld="1" item="0"/>
        </tpls>
      </m>
      <m>
        <tpls c="4">
          <tpl fld="7" item="1207"/>
          <tpl fld="6" item="1"/>
          <tpl hier="236" item="1"/>
          <tpl fld="4" item="6"/>
        </tpls>
      </m>
      <n v="3" in="1">
        <tpls c="4">
          <tpl fld="7" item="1206"/>
          <tpl fld="6" item="1"/>
          <tpl hier="236" item="1"/>
          <tpl fld="1" item="0"/>
        </tpls>
      </n>
      <n v="10" in="1">
        <tpls c="4">
          <tpl fld="7" item="933"/>
          <tpl fld="6" item="1"/>
          <tpl hier="236" item="1"/>
          <tpl fld="1" item="0"/>
        </tpls>
      </n>
      <m>
        <tpls c="4">
          <tpl fld="7" item="969"/>
          <tpl fld="6" item="2"/>
          <tpl hier="236" item="1"/>
          <tpl fld="4" item="6"/>
        </tpls>
      </m>
      <m>
        <tpls c="3">
          <tpl fld="7" item="1180"/>
          <tpl fld="6" item="3"/>
          <tpl hier="236" item="1"/>
        </tpls>
      </m>
      <n v="0" in="1">
        <tpls c="4">
          <tpl fld="7" item="967"/>
          <tpl fld="6" item="1"/>
          <tpl hier="236" item="1"/>
          <tpl fld="4" item="6"/>
        </tpls>
      </n>
      <m>
        <tpls c="3">
          <tpl fld="7" item="1156"/>
          <tpl fld="6" item="3"/>
          <tpl hier="236" item="1"/>
        </tpls>
      </m>
      <n v="0" in="1">
        <tpls c="6">
          <tpl fld="11" item="0"/>
          <tpl fld="5" item="0"/>
          <tpl fld="6" item="1"/>
          <tpl hier="236" item="1"/>
          <tpl fld="4" item="3"/>
          <tpl fld="10" item="1"/>
        </tpls>
      </n>
      <m>
        <tpls c="4">
          <tpl fld="7" item="1253"/>
          <tpl fld="6" item="2"/>
          <tpl hier="236" item="1"/>
          <tpl fld="4" item="5"/>
        </tpls>
      </m>
      <n v="5" in="1">
        <tpls c="4">
          <tpl fld="7" item="1229"/>
          <tpl fld="6" item="1"/>
          <tpl hier="236" item="1"/>
          <tpl fld="4" item="6"/>
        </tpls>
      </n>
      <n v="3" in="1">
        <tpls c="4">
          <tpl fld="7" item="1058"/>
          <tpl fld="6" item="1"/>
          <tpl hier="236" item="1"/>
          <tpl fld="1" item="0"/>
        </tpls>
      </n>
      <n v="229" in="1">
        <tpls c="6">
          <tpl fld="11" item="0"/>
          <tpl fld="2" item="4"/>
          <tpl fld="6" item="1"/>
          <tpl hier="236" item="1"/>
          <tpl fld="4" item="1"/>
          <tpl fld="9" item="4"/>
        </tpls>
      </n>
      <m>
        <tpls c="4">
          <tpl fld="7" item="1145"/>
          <tpl fld="6" item="1"/>
          <tpl hier="236" item="1"/>
          <tpl fld="4" item="6"/>
        </tpls>
      </m>
      <n v="103" in="1">
        <tpls c="5">
          <tpl fld="11" item="0"/>
          <tpl fld="2" item="0"/>
          <tpl fld="6" item="1"/>
          <tpl hier="236" item="1"/>
          <tpl fld="4" item="0"/>
        </tpls>
      </n>
      <m>
        <tpls c="6">
          <tpl fld="11" item="0"/>
          <tpl fld="5" item="2"/>
          <tpl fld="6" item="2"/>
          <tpl hier="236" item="1"/>
          <tpl fld="4" item="7"/>
          <tpl fld="10" item="6"/>
        </tpls>
      </m>
      <m>
        <tpls c="4">
          <tpl fld="7" item="1043"/>
          <tpl fld="6" item="1"/>
          <tpl hier="236" item="1"/>
          <tpl fld="4" item="6"/>
        </tpls>
      </m>
      <m>
        <tpls c="4">
          <tpl fld="7" item="1258"/>
          <tpl fld="6" item="2"/>
          <tpl hier="236" item="1"/>
          <tpl fld="4" item="6"/>
        </tpls>
      </m>
      <n v="13.88" in="2">
        <tpls c="5">
          <tpl fld="11" item="0"/>
          <tpl fld="6" item="2"/>
          <tpl hier="236" item="1"/>
          <tpl fld="4" item="7"/>
          <tpl fld="10" item="3"/>
        </tpls>
      </n>
      <m>
        <tpls c="4">
          <tpl fld="7" item="1078"/>
          <tpl fld="6" item="1"/>
          <tpl hier="236" item="1"/>
          <tpl fld="4" item="5"/>
        </tpls>
      </m>
      <n v="19.883243243243243" in="2">
        <tpls c="5">
          <tpl fld="11" item="0"/>
          <tpl fld="6" item="2"/>
          <tpl hier="236" item="1"/>
          <tpl fld="4" item="6"/>
          <tpl fld="10" item="4"/>
        </tpls>
      </n>
      <n v="0" in="1">
        <tpls c="6">
          <tpl fld="11" item="0"/>
          <tpl fld="5" item="2"/>
          <tpl fld="6" item="1"/>
          <tpl hier="236" item="1"/>
          <tpl fld="4" item="3"/>
          <tpl fld="10" item="5"/>
        </tpls>
      </n>
      <n v="73" in="1">
        <tpls c="6">
          <tpl fld="11" item="0"/>
          <tpl fld="5" item="3"/>
          <tpl fld="6" item="1"/>
          <tpl hier="236" item="1"/>
          <tpl fld="4" item="6"/>
          <tpl fld="10" item="5"/>
        </tpls>
      </n>
      <n v="53" in="1">
        <tpls c="6">
          <tpl fld="11" item="0"/>
          <tpl fld="2" item="3"/>
          <tpl fld="6" item="1"/>
          <tpl hier="236" item="1"/>
          <tpl fld="4" item="1"/>
          <tpl fld="9" item="3"/>
        </tpls>
      </n>
      <n v="4" in="1">
        <tpls c="6">
          <tpl fld="11" item="0"/>
          <tpl fld="2" item="3"/>
          <tpl fld="6" item="1"/>
          <tpl hier="236" item="1"/>
          <tpl fld="4" item="7"/>
          <tpl fld="10" item="1"/>
        </tpls>
      </n>
      <m>
        <tpls c="3">
          <tpl fld="7" item="1275"/>
          <tpl fld="6" item="3"/>
          <tpl hier="236" item="1"/>
        </tpls>
      </m>
      <m>
        <tpls c="6">
          <tpl fld="11" item="0"/>
          <tpl fld="5" item="4"/>
          <tpl fld="6" item="2"/>
          <tpl hier="236" item="1"/>
          <tpl fld="4" item="7"/>
          <tpl fld="10" item="6"/>
        </tpls>
      </m>
      <m>
        <tpls c="4">
          <tpl fld="7" item="1174"/>
          <tpl fld="6" item="1"/>
          <tpl hier="236" item="1"/>
          <tpl fld="4" item="5"/>
        </tpls>
      </m>
      <m>
        <tpls c="4">
          <tpl fld="7" item="935"/>
          <tpl fld="6" item="1"/>
          <tpl hier="236" item="1"/>
          <tpl fld="4" item="6"/>
        </tpls>
      </m>
      <m>
        <tpls c="4">
          <tpl fld="7" item="1200"/>
          <tpl fld="6" item="2"/>
          <tpl hier="236" item="1"/>
          <tpl fld="4" item="5"/>
        </tpls>
      </m>
      <m>
        <tpls c="4">
          <tpl fld="7" item="1070"/>
          <tpl fld="6" item="1"/>
          <tpl hier="236" item="1"/>
          <tpl fld="4" item="6"/>
        </tpls>
      </m>
      <n v="2.7199999999999998" in="2">
        <tpls c="6">
          <tpl fld="11" item="0"/>
          <tpl fld="5" item="5"/>
          <tpl fld="6" item="2"/>
          <tpl hier="236" item="1"/>
          <tpl fld="4" item="3"/>
          <tpl fld="10" item="1"/>
        </tpls>
      </n>
      <n v="2" in="1">
        <tpls c="4">
          <tpl fld="7" item="1139"/>
          <tpl fld="6" item="1"/>
          <tpl hier="236" item="1"/>
          <tpl fld="1" item="0"/>
        </tpls>
      </n>
      <n v="8.5859459459459462" in="2">
        <tpls c="5">
          <tpl fld="11" item="0"/>
          <tpl fld="5" item="1"/>
          <tpl fld="6" item="2"/>
          <tpl hier="236" item="1"/>
          <tpl fld="4" item="2"/>
        </tpls>
      </n>
      <m>
        <tpls c="6">
          <tpl fld="11" item="0"/>
          <tpl fld="2" item="0"/>
          <tpl fld="6" item="2"/>
          <tpl hier="236" item="1"/>
          <tpl fld="4" item="6"/>
          <tpl fld="10" item="1"/>
        </tpls>
      </m>
      <m>
        <tpls c="6">
          <tpl fld="3" item="0"/>
          <tpl fld="11" item="0"/>
          <tpl fld="6" item="2"/>
          <tpl hier="236" item="1"/>
          <tpl fld="4" item="1"/>
          <tpl fld="9" item="1"/>
        </tpls>
      </m>
      <n v="4.4000000000000004" in="2">
        <tpls c="6">
          <tpl fld="11" item="0"/>
          <tpl fld="5" item="3"/>
          <tpl fld="6" item="2"/>
          <tpl hier="236" item="1"/>
          <tpl fld="4" item="4"/>
          <tpl fld="10" item="3"/>
        </tpls>
      </n>
      <n v="26" in="1">
        <tpls c="6">
          <tpl fld="11" item="0"/>
          <tpl fld="2" item="0"/>
          <tpl fld="6" item="1"/>
          <tpl hier="236" item="1"/>
          <tpl fld="4" item="1"/>
          <tpl fld="9" item="2"/>
        </tpls>
      </n>
      <m>
        <tpls c="4">
          <tpl fld="7" item="1043"/>
          <tpl fld="6" item="2"/>
          <tpl hier="236" item="1"/>
          <tpl fld="4" item="6"/>
        </tpls>
      </m>
      <m>
        <tpls c="3">
          <tpl fld="7" item="975"/>
          <tpl fld="6" item="3"/>
          <tpl hier="236" item="1"/>
        </tpls>
      </m>
      <n v="2" in="1">
        <tpls c="4">
          <tpl fld="7" item="1074"/>
          <tpl fld="6" item="1"/>
          <tpl hier="236" item="1"/>
          <tpl fld="4" item="5"/>
        </tpls>
      </n>
      <m>
        <tpls c="4">
          <tpl fld="7" item="1081"/>
          <tpl fld="6" item="1"/>
          <tpl hier="236" item="1"/>
          <tpl fld="4" item="6"/>
        </tpls>
      </m>
      <m>
        <tpls c="6">
          <tpl fld="11" item="0"/>
          <tpl fld="5" item="3"/>
          <tpl fld="6" item="1"/>
          <tpl hier="236" item="1"/>
          <tpl fld="4" item="3"/>
          <tpl fld="10" item="6"/>
        </tpls>
      </m>
      <m>
        <tpls c="3">
          <tpl fld="7" item="1076"/>
          <tpl fld="6" item="3"/>
          <tpl hier="236" item="1"/>
        </tpls>
      </m>
      <m>
        <tpls c="6">
          <tpl fld="11" item="0"/>
          <tpl fld="5" item="4"/>
          <tpl fld="6" item="2"/>
          <tpl hier="236" item="1"/>
          <tpl fld="4" item="7"/>
          <tpl fld="10" item="2"/>
        </tpls>
      </m>
      <n v="1.8" in="2">
        <tpls c="6">
          <tpl fld="11" item="0"/>
          <tpl fld="2" item="1"/>
          <tpl fld="6" item="2"/>
          <tpl hier="236" item="1"/>
          <tpl fld="4" item="7"/>
          <tpl fld="10" item="7"/>
        </tpls>
      </n>
      <m>
        <tpls c="3">
          <tpl fld="7" item="1165"/>
          <tpl fld="6" item="3"/>
          <tpl hier="236" item="1"/>
        </tpls>
      </m>
      <n v="201" in="1">
        <tpls c="6">
          <tpl fld="11" item="0"/>
          <tpl fld="5" item="0"/>
          <tpl fld="6" item="1"/>
          <tpl hier="236" item="1"/>
          <tpl fld="4" item="4"/>
          <tpl fld="10" item="6"/>
        </tpls>
      </n>
      <n v="6.32" in="2">
        <tpls c="6">
          <tpl fld="11" item="0"/>
          <tpl fld="2" item="4"/>
          <tpl fld="6" item="2"/>
          <tpl hier="236" item="1"/>
          <tpl fld="4" item="6"/>
          <tpl fld="10" item="8"/>
        </tpls>
      </n>
      <n v="1.5913978494623657E-2" in="0">
        <tpls c="5">
          <tpl fld="11" item="0"/>
          <tpl fld="5" item="0"/>
          <tpl fld="6" item="0"/>
          <tpl hier="236" item="1"/>
          <tpl fld="4" item="0"/>
        </tpls>
      </n>
      <m>
        <tpls c="4">
          <tpl fld="7" item="1069"/>
          <tpl fld="6" item="2"/>
          <tpl hier="236" item="1"/>
          <tpl fld="1" item="0"/>
        </tpls>
      </m>
      <n v="5.6534812356511262E-2" in="0">
        <tpls c="5">
          <tpl fld="11" item="0"/>
          <tpl fld="5" item="2"/>
          <tpl fld="6" item="0"/>
          <tpl hier="236" item="1"/>
          <tpl fld="4" item="4"/>
        </tpls>
      </n>
      <m>
        <tpls c="4">
          <tpl fld="7" item="927"/>
          <tpl fld="6" item="2"/>
          <tpl hier="236" item="1"/>
          <tpl fld="4" item="6"/>
        </tpls>
      </m>
      <n v="2" in="1">
        <tpls c="4">
          <tpl fld="7" item="1150"/>
          <tpl fld="6" item="1"/>
          <tpl hier="236" item="1"/>
          <tpl fld="1" item="0"/>
        </tpls>
      </n>
      <m>
        <tpls c="4">
          <tpl fld="7" item="1255"/>
          <tpl fld="6" item="2"/>
          <tpl hier="236" item="1"/>
          <tpl fld="4" item="6"/>
        </tpls>
      </m>
      <m>
        <tpls c="4">
          <tpl fld="7" item="1228"/>
          <tpl fld="6" item="1"/>
          <tpl hier="236" item="1"/>
          <tpl fld="4" item="5"/>
        </tpls>
      </m>
      <m>
        <tpls c="4">
          <tpl fld="7" item="1054"/>
          <tpl fld="6" item="2"/>
          <tpl hier="236" item="1"/>
          <tpl fld="4" item="6"/>
        </tpls>
      </m>
      <n v="1" in="1">
        <tpls c="4">
          <tpl fld="7" item="1159"/>
          <tpl fld="6" item="1"/>
          <tpl hier="236" item="1"/>
          <tpl fld="4" item="5"/>
        </tpls>
      </n>
      <m>
        <tpls c="4">
          <tpl fld="7" item="956"/>
          <tpl fld="6" item="2"/>
          <tpl hier="236" item="1"/>
          <tpl fld="4" item="6"/>
        </tpls>
      </m>
      <n v="2.3199999999999998" in="2">
        <tpls c="5">
          <tpl fld="11" item="0"/>
          <tpl fld="2" item="4"/>
          <tpl fld="6" item="2"/>
          <tpl hier="236" item="1"/>
          <tpl fld="4" item="5"/>
        </tpls>
      </n>
      <m>
        <tpls c="3">
          <tpl fld="7" item="1135"/>
          <tpl fld="6" item="3"/>
          <tpl hier="236" item="1"/>
        </tpls>
      </m>
      <m>
        <tpls c="4">
          <tpl fld="7" item="1050"/>
          <tpl fld="6" item="1"/>
          <tpl hier="236" item="1"/>
          <tpl fld="4" item="6"/>
        </tpls>
      </m>
      <m>
        <tpls c="3">
          <tpl fld="7" item="1033"/>
          <tpl fld="6" item="3"/>
          <tpl hier="236" item="1"/>
        </tpls>
      </m>
      <n v="49.381189189189179" in="2">
        <tpls c="6">
          <tpl fld="11" item="0"/>
          <tpl fld="5" item="4"/>
          <tpl fld="6" item="2"/>
          <tpl hier="236" item="1"/>
          <tpl fld="4" item="1"/>
          <tpl fld="9" item="4"/>
        </tpls>
      </n>
      <n v="1" in="1">
        <tpls c="4">
          <tpl fld="7" item="1056"/>
          <tpl fld="6" item="1"/>
          <tpl hier="236" item="1"/>
          <tpl fld="4" item="6"/>
        </tpls>
      </n>
      <n v="0.56000000000000005" in="2">
        <tpls c="6">
          <tpl fld="11" item="0"/>
          <tpl fld="5" item="3"/>
          <tpl fld="6" item="2"/>
          <tpl hier="236" item="1"/>
          <tpl fld="4" item="4"/>
          <tpl fld="10" item="5"/>
        </tpls>
      </n>
      <m>
        <tpls c="3">
          <tpl fld="7" item="1134"/>
          <tpl fld="6" item="3"/>
          <tpl hier="236" item="1"/>
        </tpls>
      </m>
      <m>
        <tpls c="3">
          <tpl fld="7" item="1039"/>
          <tpl fld="6" item="3"/>
          <tpl hier="236" item="1"/>
        </tpls>
      </m>
      <m>
        <tpls c="3">
          <tpl fld="7" item="956"/>
          <tpl fld="6" item="3"/>
          <tpl hier="236" item="1"/>
        </tpls>
      </m>
      <n v="5" in="1">
        <tpls c="4">
          <tpl fld="7" item="970"/>
          <tpl fld="6" item="1"/>
          <tpl hier="236" item="1"/>
          <tpl fld="1" item="0"/>
        </tpls>
      </n>
      <m>
        <tpls c="3">
          <tpl fld="7" item="1183"/>
          <tpl fld="6" item="3"/>
          <tpl hier="236" item="1"/>
        </tpls>
      </m>
      <m>
        <tpls c="6">
          <tpl fld="11" item="0"/>
          <tpl fld="5" item="4"/>
          <tpl fld="6" item="2"/>
          <tpl hier="236" item="1"/>
          <tpl fld="4" item="3"/>
          <tpl fld="10" item="8"/>
        </tpls>
      </m>
      <m>
        <tpls c="3">
          <tpl fld="7" item="957"/>
          <tpl fld="6" item="3"/>
          <tpl hier="236" item="1"/>
        </tpls>
      </m>
      <n v="4.68" in="2">
        <tpls c="6">
          <tpl fld="11" item="0"/>
          <tpl fld="5" item="5"/>
          <tpl fld="6" item="2"/>
          <tpl hier="236" item="1"/>
          <tpl fld="4" item="1"/>
          <tpl fld="9" item="2"/>
        </tpls>
      </n>
      <n v="172" in="1">
        <tpls c="6">
          <tpl fld="11" item="0"/>
          <tpl fld="5" item="2"/>
          <tpl fld="6" item="1"/>
          <tpl hier="236" item="1"/>
          <tpl fld="4" item="6"/>
          <tpl fld="10" item="7"/>
        </tpls>
      </n>
      <n v="36" in="1">
        <tpls c="4">
          <tpl fld="7" item="872"/>
          <tpl fld="6" item="1"/>
          <tpl hier="236" item="1"/>
          <tpl fld="1" item="0"/>
        </tpls>
      </n>
      <n v="349" in="1">
        <tpls c="6">
          <tpl fld="11" item="0"/>
          <tpl fld="2" item="4"/>
          <tpl fld="6" item="1"/>
          <tpl hier="236" item="1"/>
          <tpl fld="4" item="4"/>
          <tpl fld="10" item="7"/>
        </tpls>
      </n>
      <n v="95" in="1">
        <tpls c="6">
          <tpl fld="11" item="0"/>
          <tpl fld="5" item="1"/>
          <tpl fld="6" item="1"/>
          <tpl hier="236" item="1"/>
          <tpl fld="4" item="4"/>
          <tpl fld="10" item="3"/>
        </tpls>
      </n>
      <m>
        <tpls c="4">
          <tpl fld="7" item="1254"/>
          <tpl fld="6" item="1"/>
          <tpl hier="236" item="1"/>
          <tpl fld="4" item="6"/>
        </tpls>
      </m>
      <n v="0" in="1">
        <tpls c="6">
          <tpl fld="11" item="0"/>
          <tpl fld="5" item="3"/>
          <tpl fld="6" item="1"/>
          <tpl hier="236" item="1"/>
          <tpl fld="4" item="3"/>
          <tpl fld="10" item="1"/>
        </tpls>
      </n>
      <n v="6.3251351351351355" in="2">
        <tpls c="6">
          <tpl fld="11" item="0"/>
          <tpl fld="5" item="5"/>
          <tpl fld="6" item="2"/>
          <tpl hier="236" item="1"/>
          <tpl fld="4" item="6"/>
          <tpl fld="10" item="2"/>
        </tpls>
      </n>
      <n v="0" in="1">
        <tpls c="6">
          <tpl fld="11" item="0"/>
          <tpl fld="5" item="0"/>
          <tpl fld="6" item="1"/>
          <tpl hier="236" item="1"/>
          <tpl fld="4" item="7"/>
          <tpl fld="10" item="7"/>
        </tpls>
      </n>
      <n v="80" in="1">
        <tpls c="6">
          <tpl fld="11" item="0"/>
          <tpl fld="2" item="3"/>
          <tpl fld="6" item="1"/>
          <tpl hier="236" item="1"/>
          <tpl fld="4" item="4"/>
          <tpl fld="10" item="6"/>
        </tpls>
      </n>
      <m>
        <tpls c="6">
          <tpl fld="11" item="0"/>
          <tpl fld="2" item="0"/>
          <tpl fld="6" item="2"/>
          <tpl hier="236" item="1"/>
          <tpl fld="4" item="7"/>
          <tpl fld="10" item="4"/>
        </tpls>
      </m>
      <n v="869" in="1">
        <tpls c="6">
          <tpl fld="3" item="4"/>
          <tpl fld="11" item="0"/>
          <tpl fld="6" item="1"/>
          <tpl hier="236" item="1"/>
          <tpl fld="4" item="4"/>
          <tpl fld="10" item="3"/>
        </tpls>
      </n>
      <m>
        <tpls c="5">
          <tpl fld="11" item="0"/>
          <tpl fld="5" item="4"/>
          <tpl fld="6" item="2"/>
          <tpl hier="236" item="1"/>
          <tpl fld="4" item="2"/>
        </tpls>
      </m>
      <m>
        <tpls c="6">
          <tpl fld="11" item="0"/>
          <tpl fld="2" item="4"/>
          <tpl fld="6" item="2"/>
          <tpl hier="236" item="1"/>
          <tpl fld="4" item="4"/>
          <tpl fld="10" item="5"/>
        </tpls>
      </m>
      <m>
        <tpls c="3">
          <tpl fld="7" item="874"/>
          <tpl fld="6" item="3"/>
          <tpl hier="236" item="1"/>
        </tpls>
      </m>
      <m>
        <tpls c="3">
          <tpl fld="7" item="1152"/>
          <tpl fld="6" item="3"/>
          <tpl hier="236" item="1"/>
        </tpls>
      </m>
      <m>
        <tpls c="4">
          <tpl fld="7" item="1253"/>
          <tpl fld="6" item="1"/>
          <tpl hier="236" item="1"/>
          <tpl fld="4" item="5"/>
        </tpls>
      </m>
      <m>
        <tpls c="4">
          <tpl fld="7" item="1234"/>
          <tpl fld="6" item="1"/>
          <tpl hier="236" item="1"/>
          <tpl fld="4" item="6"/>
        </tpls>
      </m>
      <n v="52.924324324324324" in="2">
        <tpls c="6">
          <tpl fld="11" item="0"/>
          <tpl fld="5" item="5"/>
          <tpl fld="6" item="2"/>
          <tpl hier="236" item="1"/>
          <tpl fld="4" item="3"/>
          <tpl fld="10" item="8"/>
        </tpls>
      </n>
      <m>
        <tpls c="5">
          <tpl fld="11" item="0"/>
          <tpl fld="6" item="2"/>
          <tpl hier="236" item="1"/>
          <tpl fld="4" item="7"/>
          <tpl fld="10" item="4"/>
        </tpls>
      </m>
      <n v="1.6" in="2">
        <tpls c="6">
          <tpl fld="11" item="0"/>
          <tpl fld="5" item="0"/>
          <tpl fld="6" item="2"/>
          <tpl hier="236" item="1"/>
          <tpl fld="4" item="4"/>
          <tpl fld="10" item="2"/>
        </tpls>
      </n>
      <n v="1.8" in="2">
        <tpls c="6">
          <tpl fld="11" item="0"/>
          <tpl fld="2" item="0"/>
          <tpl fld="6" item="2"/>
          <tpl hier="236" item="1"/>
          <tpl fld="4" item="3"/>
          <tpl fld="10" item="7"/>
        </tpls>
      </n>
      <n v="441" in="1">
        <tpls c="6">
          <tpl fld="3" item="2"/>
          <tpl fld="11" item="0"/>
          <tpl fld="6" item="1"/>
          <tpl hier="236" item="1"/>
          <tpl fld="4" item="4"/>
          <tpl fld="10" item="6"/>
        </tpls>
      </n>
      <m>
        <tpls c="6">
          <tpl fld="11" item="0"/>
          <tpl fld="5" item="1"/>
          <tpl fld="6" item="1"/>
          <tpl hier="236" item="1"/>
          <tpl fld="4" item="3"/>
          <tpl fld="10" item="8"/>
        </tpls>
      </m>
      <n v="891" in="1">
        <tpls c="6">
          <tpl fld="11" item="0"/>
          <tpl fld="2" item="0"/>
          <tpl fld="6" item="1"/>
          <tpl hier="236" item="1"/>
          <tpl fld="4" item="4"/>
          <tpl fld="10" item="0"/>
        </tpls>
      </n>
      <m>
        <tpls c="3">
          <tpl fld="7" item="1034"/>
          <tpl fld="6" item="3"/>
          <tpl hier="236" item="1"/>
        </tpls>
      </m>
      <n v="10" in="1">
        <tpls c="4">
          <tpl fld="7" item="1052"/>
          <tpl fld="6" item="1"/>
          <tpl hier="236" item="1"/>
          <tpl fld="4" item="6"/>
        </tpls>
      </n>
      <m>
        <tpls c="4">
          <tpl fld="7" item="1254"/>
          <tpl fld="6" item="1"/>
          <tpl hier="236" item="1"/>
          <tpl fld="4" item="5"/>
        </tpls>
      </m>
      <n v="5" in="1">
        <tpls c="4">
          <tpl fld="7" item="1073"/>
          <tpl fld="6" item="1"/>
          <tpl hier="236" item="1"/>
          <tpl fld="4" item="6"/>
        </tpls>
      </n>
      <n v="184" in="1">
        <tpls c="6">
          <tpl fld="11" item="0"/>
          <tpl fld="5" item="0"/>
          <tpl fld="6" item="1"/>
          <tpl hier="236" item="1"/>
          <tpl fld="4" item="1"/>
          <tpl fld="9" item="4"/>
        </tpls>
      </n>
      <m>
        <tpls c="4">
          <tpl fld="7" item="934"/>
          <tpl fld="6" item="1"/>
          <tpl hier="236" item="1"/>
          <tpl fld="4" item="6"/>
        </tpls>
      </m>
      <n v="0" in="1">
        <tpls c="6">
          <tpl fld="11" item="0"/>
          <tpl fld="5" item="0"/>
          <tpl fld="6" item="1"/>
          <tpl hier="236" item="1"/>
          <tpl fld="4" item="7"/>
          <tpl fld="10" item="0"/>
        </tpls>
      </n>
      <n v="920" in="1">
        <tpls c="6">
          <tpl fld="11" item="0"/>
          <tpl fld="2" item="3"/>
          <tpl fld="6" item="1"/>
          <tpl hier="236" item="1"/>
          <tpl fld="4" item="3"/>
          <tpl fld="10" item="8"/>
        </tpls>
      </n>
      <n v="5" in="1">
        <tpls c="4">
          <tpl fld="7" item="968"/>
          <tpl fld="6" item="1"/>
          <tpl hier="236" item="1"/>
          <tpl fld="1" item="0"/>
        </tpls>
      </n>
      <n v="200" in="1">
        <tpls c="6">
          <tpl fld="11" item="0"/>
          <tpl fld="5" item="1"/>
          <tpl fld="6" item="1"/>
          <tpl hier="236" item="1"/>
          <tpl fld="4" item="4"/>
          <tpl fld="10" item="7"/>
        </tpls>
      </n>
      <n v="3.2362162162162162" in="2">
        <tpls c="6">
          <tpl fld="11" item="0"/>
          <tpl fld="2" item="4"/>
          <tpl fld="6" item="2"/>
          <tpl hier="236" item="1"/>
          <tpl fld="4" item="6"/>
          <tpl fld="10" item="0"/>
        </tpls>
      </n>
      <m>
        <tpls c="4">
          <tpl fld="7" item="1152"/>
          <tpl fld="6" item="2"/>
          <tpl hier="236" item="1"/>
          <tpl fld="4" item="5"/>
        </tpls>
      </m>
      <n v="3.7222115612976774E-2" in="0">
        <tpls c="5">
          <tpl fld="11" item="0"/>
          <tpl fld="6" item="0"/>
          <tpl fld="8" item="0"/>
          <tpl hier="236" item="1"/>
          <tpl fld="4" item="6"/>
        </tpls>
      </n>
      <m>
        <tpls c="4">
          <tpl fld="7" item="1231"/>
          <tpl fld="6" item="2"/>
          <tpl hier="236" item="1"/>
          <tpl fld="4" item="5"/>
        </tpls>
      </m>
      <m>
        <tpls c="4">
          <tpl fld="7" item="946"/>
          <tpl fld="6" item="2"/>
          <tpl hier="236" item="1"/>
          <tpl fld="4" item="6"/>
        </tpls>
      </m>
      <m>
        <tpls c="4">
          <tpl fld="7" item="954"/>
          <tpl fld="6" item="2"/>
          <tpl hier="236" item="1"/>
          <tpl fld="4" item="6"/>
        </tpls>
      </m>
      <m>
        <tpls c="4">
          <tpl fld="7" item="1231"/>
          <tpl fld="6" item="1"/>
          <tpl hier="236" item="1"/>
          <tpl fld="4" item="5"/>
        </tpls>
      </m>
      <n v="1" in="1">
        <tpls c="4">
          <tpl fld="7" item="1058"/>
          <tpl fld="6" item="1"/>
          <tpl hier="236" item="1"/>
          <tpl fld="4" item="5"/>
        </tpls>
      </n>
      <n v="10" in="1">
        <tpls c="4">
          <tpl fld="7" item="1061"/>
          <tpl fld="6" item="1"/>
          <tpl hier="236" item="1"/>
          <tpl fld="1" item="0"/>
        </tpls>
      </n>
      <m>
        <tpls c="4">
          <tpl fld="7" item="1168"/>
          <tpl fld="6" item="2"/>
          <tpl hier="236" item="1"/>
          <tpl fld="4" item="6"/>
        </tpls>
      </m>
      <m>
        <tpls c="4">
          <tpl fld="7" item="962"/>
          <tpl fld="6" item="2"/>
          <tpl hier="236" item="1"/>
          <tpl fld="4" item="6"/>
        </tpls>
      </m>
      <n v="3.8" in="2">
        <tpls c="6">
          <tpl fld="11" item="0"/>
          <tpl fld="5" item="3"/>
          <tpl fld="6" item="2"/>
          <tpl hier="236" item="1"/>
          <tpl fld="4" item="6"/>
          <tpl fld="10" item="0"/>
        </tpls>
      </n>
      <m>
        <tpls c="3">
          <tpl fld="7" item="940"/>
          <tpl fld="6" item="3"/>
          <tpl hier="236" item="1"/>
        </tpls>
      </m>
      <n v="1086" in="1">
        <tpls c="6">
          <tpl fld="11" item="0"/>
          <tpl fld="5" item="3"/>
          <tpl fld="6" item="1"/>
          <tpl hier="236" item="1"/>
          <tpl fld="4" item="4"/>
          <tpl fld="10" item="8"/>
        </tpls>
      </n>
      <m>
        <tpls c="4">
          <tpl fld="7" item="1227"/>
          <tpl fld="6" item="1"/>
          <tpl hier="236" item="1"/>
          <tpl fld="4" item="6"/>
        </tpls>
      </m>
      <m>
        <tpls c="4">
          <tpl fld="7" item="1033"/>
          <tpl fld="6" item="2"/>
          <tpl hier="236" item="1"/>
          <tpl fld="4" item="6"/>
        </tpls>
      </m>
      <m>
        <tpls c="4">
          <tpl fld="7" item="1232"/>
          <tpl fld="6" item="2"/>
          <tpl hier="236" item="1"/>
          <tpl fld="4" item="6"/>
        </tpls>
      </m>
      <m>
        <tpls c="4">
          <tpl fld="7" item="1070"/>
          <tpl fld="6" item="1"/>
          <tpl hier="236" item="1"/>
          <tpl fld="1" item="0"/>
        </tpls>
      </m>
      <m>
        <tpls c="3">
          <tpl fld="7" item="1171"/>
          <tpl fld="6" item="3"/>
          <tpl hier="236" item="1"/>
        </tpls>
      </m>
      <n v="13.439999999999998" in="2">
        <tpls c="6">
          <tpl fld="11" item="0"/>
          <tpl fld="5" item="2"/>
          <tpl fld="6" item="2"/>
          <tpl hier="236" item="1"/>
          <tpl fld="4" item="6"/>
          <tpl fld="10" item="8"/>
        </tpls>
      </n>
      <m>
        <tpls c="4">
          <tpl fld="7" item="937"/>
          <tpl fld="6" item="2"/>
          <tpl hier="236" item="1"/>
          <tpl fld="4" item="6"/>
        </tpls>
      </m>
      <m>
        <tpls c="4">
          <tpl fld="7" item="969"/>
          <tpl fld="6" item="1"/>
          <tpl hier="236" item="1"/>
          <tpl fld="4" item="5"/>
        </tpls>
      </m>
      <n v="0" in="1">
        <tpls c="4">
          <tpl fld="7" item="950"/>
          <tpl fld="6" item="1"/>
          <tpl hier="236" item="1"/>
          <tpl fld="1" item="0"/>
        </tpls>
      </n>
      <m>
        <tpls c="4">
          <tpl fld="7" item="1233"/>
          <tpl fld="6" item="2"/>
          <tpl hier="236" item="1"/>
          <tpl fld="4" item="5"/>
        </tpls>
      </m>
      <m>
        <tpls c="6">
          <tpl fld="11" item="0"/>
          <tpl fld="5" item="3"/>
          <tpl fld="6" item="2"/>
          <tpl hier="236" item="1"/>
          <tpl fld="4" item="3"/>
          <tpl fld="10" item="1"/>
        </tpls>
      </m>
      <m>
        <tpls c="6">
          <tpl fld="11" item="0"/>
          <tpl fld="5" item="2"/>
          <tpl fld="6" item="1"/>
          <tpl hier="236" item="1"/>
          <tpl fld="4" item="3"/>
          <tpl fld="10" item="4"/>
        </tpls>
      </m>
      <m>
        <tpls c="3">
          <tpl fld="7" item="962"/>
          <tpl fld="6" item="3"/>
          <tpl hier="236" item="1"/>
        </tpls>
      </m>
      <m>
        <tpls c="4">
          <tpl fld="7" item="1039"/>
          <tpl fld="6" item="2"/>
          <tpl hier="236" item="1"/>
          <tpl fld="4" item="5"/>
        </tpls>
      </m>
      <m>
        <tpls c="3">
          <tpl fld="7" item="1036"/>
          <tpl fld="6" item="3"/>
          <tpl hier="236" item="1"/>
        </tpls>
      </m>
      <n v="1" in="1">
        <tpls c="4">
          <tpl fld="7" item="1174"/>
          <tpl fld="6" item="1"/>
          <tpl hier="236" item="1"/>
          <tpl fld="4" item="6"/>
        </tpls>
      </n>
      <n v="1" in="1">
        <tpls c="4">
          <tpl fld="7" item="937"/>
          <tpl fld="6" item="1"/>
          <tpl hier="236" item="1"/>
          <tpl fld="4" item="6"/>
        </tpls>
      </n>
      <n v="0" in="1">
        <tpls c="6">
          <tpl fld="11" item="0"/>
          <tpl fld="5" item="3"/>
          <tpl fld="6" item="1"/>
          <tpl hier="236" item="1"/>
          <tpl fld="4" item="3"/>
          <tpl fld="10" item="4"/>
        </tpls>
      </n>
      <n v="0" in="1">
        <tpls c="4">
          <tpl fld="7" item="1204"/>
          <tpl fld="6" item="1"/>
          <tpl hier="236" item="1"/>
          <tpl fld="4" item="6"/>
        </tpls>
      </n>
      <n v="77.399999999999991" in="2">
        <tpls c="5">
          <tpl fld="11" item="0"/>
          <tpl fld="5" item="3"/>
          <tpl fld="6" item="2"/>
          <tpl hier="236" item="1"/>
          <tpl fld="1" item="0"/>
        </tpls>
      </n>
      <m>
        <tpls c="6">
          <tpl fld="11" item="0"/>
          <tpl fld="5" item="2"/>
          <tpl fld="6" item="2"/>
          <tpl hier="236" item="1"/>
          <tpl fld="4" item="3"/>
          <tpl fld="10" item="7"/>
        </tpls>
      </m>
      <m>
        <tpls c="4">
          <tpl fld="7" item="952"/>
          <tpl fld="6" item="2"/>
          <tpl hier="236" item="1"/>
          <tpl fld="4" item="5"/>
        </tpls>
      </m>
      <n v="6" in="1">
        <tpls c="4">
          <tpl fld="7" item="1180"/>
          <tpl fld="6" item="1"/>
          <tpl hier="236" item="1"/>
          <tpl fld="4" item="6"/>
        </tpls>
      </n>
      <n v="1093" in="1">
        <tpls c="6">
          <tpl fld="11" item="0"/>
          <tpl fld="5" item="1"/>
          <tpl fld="6" item="1"/>
          <tpl hier="236" item="1"/>
          <tpl fld="4" item="1"/>
          <tpl fld="9" item="4"/>
        </tpls>
      </n>
      <n v="0" in="1">
        <tpls c="4">
          <tpl fld="7" item="1149"/>
          <tpl fld="6" item="1"/>
          <tpl hier="236" item="1"/>
          <tpl fld="4" item="6"/>
        </tpls>
      </n>
      <n v="228.49437837837837" in="2">
        <tpls c="5">
          <tpl fld="11" item="0"/>
          <tpl fld="2" item="0"/>
          <tpl fld="6" item="2"/>
          <tpl hier="236" item="1"/>
          <tpl fld="1" item="0"/>
        </tpls>
      </n>
      <n v="23" in="1">
        <tpls c="6">
          <tpl fld="11" item="0"/>
          <tpl fld="5" item="5"/>
          <tpl fld="6" item="1"/>
          <tpl hier="236" item="1"/>
          <tpl fld="4" item="7"/>
          <tpl fld="10" item="5"/>
        </tpls>
      </n>
      <n v="0" in="1">
        <tpls c="6">
          <tpl fld="11" item="0"/>
          <tpl fld="5" item="0"/>
          <tpl fld="6" item="1"/>
          <tpl hier="236" item="1"/>
          <tpl fld="4" item="3"/>
          <tpl fld="10" item="2"/>
        </tpls>
      </n>
      <n v="83" in="1">
        <tpls c="6">
          <tpl fld="11" item="0"/>
          <tpl fld="2" item="3"/>
          <tpl fld="6" item="1"/>
          <tpl hier="236" item="1"/>
          <tpl fld="4" item="4"/>
          <tpl fld="10" item="4"/>
        </tpls>
      </n>
      <n v="73" in="1">
        <tpls c="6">
          <tpl fld="11" item="0"/>
          <tpl fld="2" item="2"/>
          <tpl fld="6" item="1"/>
          <tpl hier="236" item="1"/>
          <tpl fld="4" item="6"/>
          <tpl fld="10" item="1"/>
        </tpls>
      </n>
      <n v="1" in="1">
        <tpls c="6">
          <tpl fld="11" item="0"/>
          <tpl fld="2" item="4"/>
          <tpl fld="6" item="1"/>
          <tpl hier="236" item="1"/>
          <tpl fld="4" item="7"/>
          <tpl fld="10" item="5"/>
        </tpls>
      </n>
      <n v="5.92" in="2">
        <tpls c="6">
          <tpl fld="11" item="0"/>
          <tpl fld="2" item="4"/>
          <tpl fld="6" item="2"/>
          <tpl hier="236" item="1"/>
          <tpl fld="4" item="4"/>
          <tpl fld="10" item="0"/>
        </tpls>
      </n>
      <m>
        <tpls c="4">
          <tpl fld="7" item="1204"/>
          <tpl fld="6" item="2"/>
          <tpl hier="236" item="1"/>
          <tpl fld="4" item="5"/>
        </tpls>
      </m>
      <m>
        <tpls c="3">
          <tpl fld="7" item="973"/>
          <tpl fld="6" item="3"/>
          <tpl hier="236" item="1"/>
        </tpls>
      </m>
      <m>
        <tpls c="4">
          <tpl fld="7" item="969"/>
          <tpl fld="6" item="1"/>
          <tpl hier="236" item="1"/>
          <tpl fld="1" item="0"/>
        </tpls>
      </m>
      <n v="3" in="1">
        <tpls c="4">
          <tpl fld="7" item="1236"/>
          <tpl fld="6" item="1"/>
          <tpl hier="236" item="1"/>
          <tpl fld="4" item="6"/>
        </tpls>
      </n>
      <n v="1340" in="1">
        <tpls c="6">
          <tpl fld="11" item="0"/>
          <tpl fld="5" item="5"/>
          <tpl fld="6" item="1"/>
          <tpl hier="236" item="1"/>
          <tpl fld="4" item="6"/>
          <tpl fld="10" item="8"/>
        </tpls>
      </n>
      <m>
        <tpls c="3">
          <tpl fld="7" item="1074"/>
          <tpl fld="6" item="3"/>
          <tpl hier="236" item="1"/>
        </tpls>
      </m>
      <m>
        <tpls c="6">
          <tpl fld="11" item="0"/>
          <tpl fld="5" item="3"/>
          <tpl fld="6" item="2"/>
          <tpl hier="236" item="1"/>
          <tpl fld="4" item="7"/>
          <tpl fld="10" item="2"/>
        </tpls>
      </m>
      <m>
        <tpls c="6">
          <tpl fld="11" item="0"/>
          <tpl fld="2" item="0"/>
          <tpl fld="6" item="2"/>
          <tpl hier="236" item="1"/>
          <tpl fld="4" item="3"/>
          <tpl fld="10" item="3"/>
        </tpls>
      </m>
      <m>
        <tpls c="4">
          <tpl fld="7" item="1275"/>
          <tpl fld="6" item="2"/>
          <tpl hier="236" item="1"/>
          <tpl fld="4" item="5"/>
        </tpls>
      </m>
      <n v="463" in="1">
        <tpls c="6">
          <tpl fld="11" item="0"/>
          <tpl fld="5" item="3"/>
          <tpl fld="6" item="1"/>
          <tpl hier="236" item="1"/>
          <tpl fld="4" item="6"/>
          <tpl fld="10" item="2"/>
        </tpls>
      </n>
      <n v="138" in="1">
        <tpls c="6">
          <tpl fld="11" item="0"/>
          <tpl fld="2" item="0"/>
          <tpl fld="6" item="1"/>
          <tpl hier="236" item="1"/>
          <tpl fld="4" item="6"/>
          <tpl fld="10" item="7"/>
        </tpls>
      </n>
      <m>
        <tpls c="4">
          <tpl fld="7" item="1175"/>
          <tpl fld="6" item="1"/>
          <tpl hier="236" item="1"/>
          <tpl fld="4" item="6"/>
        </tpls>
      </m>
      <n v="134" in="1">
        <tpls c="6">
          <tpl fld="11" item="0"/>
          <tpl fld="5" item="3"/>
          <tpl fld="6" item="1"/>
          <tpl hier="236" item="1"/>
          <tpl fld="4" item="6"/>
          <tpl fld="10" item="3"/>
        </tpls>
      </n>
      <m>
        <tpls c="4">
          <tpl fld="7" item="1147"/>
          <tpl fld="6" item="1"/>
          <tpl hier="236" item="1"/>
          <tpl fld="4" item="6"/>
        </tpls>
      </m>
      <m>
        <tpls c="6">
          <tpl fld="11" item="0"/>
          <tpl fld="2" item="1"/>
          <tpl fld="6" item="2"/>
          <tpl hier="236" item="1"/>
          <tpl fld="4" item="7"/>
          <tpl fld="10" item="4"/>
        </tpls>
      </m>
      <n v="20.833243243243246" in="2">
        <tpls c="6">
          <tpl fld="11" item="0"/>
          <tpl fld="5" item="4"/>
          <tpl fld="6" item="2"/>
          <tpl hier="236" item="1"/>
          <tpl fld="4" item="6"/>
          <tpl fld="10" item="0"/>
        </tpls>
      </n>
      <m>
        <tpls c="6">
          <tpl fld="11" item="0"/>
          <tpl fld="5" item="0"/>
          <tpl fld="6" item="2"/>
          <tpl hier="236" item="1"/>
          <tpl fld="4" item="1"/>
          <tpl fld="9" item="3"/>
        </tpls>
      </m>
      <n v="92" in="1">
        <tpls c="6">
          <tpl fld="11" item="0"/>
          <tpl fld="2" item="3"/>
          <tpl fld="6" item="1"/>
          <tpl hier="236" item="1"/>
          <tpl fld="4" item="1"/>
          <tpl fld="9" item="2"/>
        </tpls>
      </n>
      <n v="389" in="1">
        <tpls c="6">
          <tpl fld="3" item="4"/>
          <tpl fld="11" item="0"/>
          <tpl fld="6" item="1"/>
          <tpl hier="236" item="1"/>
          <tpl fld="4" item="1"/>
          <tpl fld="9" item="2"/>
        </tpls>
      </n>
      <n v="20" in="1">
        <tpls c="6">
          <tpl fld="11" item="0"/>
          <tpl fld="2" item="4"/>
          <tpl fld="6" item="1"/>
          <tpl hier="236" item="1"/>
          <tpl fld="4" item="1"/>
          <tpl fld="9" item="3"/>
        </tpls>
      </n>
      <m>
        <tpls c="6">
          <tpl fld="11" item="0"/>
          <tpl fld="5" item="0"/>
          <tpl fld="6" item="2"/>
          <tpl hier="236" item="1"/>
          <tpl fld="4" item="7"/>
          <tpl fld="10" item="3"/>
        </tpls>
      </m>
      <n v="2" in="2">
        <tpls c="6">
          <tpl fld="11" item="0"/>
          <tpl fld="2" item="4"/>
          <tpl fld="6" item="2"/>
          <tpl hier="236" item="1"/>
          <tpl fld="4" item="3"/>
          <tpl fld="10" item="7"/>
        </tpls>
      </n>
      <n v="0" in="1">
        <tpls c="6">
          <tpl fld="3" item="4"/>
          <tpl fld="11" item="0"/>
          <tpl fld="6" item="1"/>
          <tpl hier="236" item="1"/>
          <tpl fld="4" item="3"/>
          <tpl fld="10" item="0"/>
        </tpls>
      </n>
      <n v="9.2688772175010717E-2" in="0">
        <tpls c="5">
          <tpl fld="3" item="2"/>
          <tpl fld="11" item="0"/>
          <tpl fld="6" item="0"/>
          <tpl hier="236" item="1"/>
          <tpl fld="4" item="6"/>
        </tpls>
      </n>
      <m>
        <tpls c="4">
          <tpl fld="7" item="1174"/>
          <tpl fld="6" item="2"/>
          <tpl hier="236" item="1"/>
          <tpl fld="4" item="5"/>
        </tpls>
      </m>
      <m>
        <tpls c="4">
          <tpl fld="7" item="934"/>
          <tpl fld="6" item="1"/>
          <tpl hier="236" item="1"/>
          <tpl fld="1" item="0"/>
        </tpls>
      </m>
      <m>
        <tpls c="4">
          <tpl fld="7" item="965"/>
          <tpl fld="6" item="1"/>
          <tpl hier="236" item="1"/>
          <tpl fld="4" item="5"/>
        </tpls>
      </m>
      <m>
        <tpls c="4">
          <tpl fld="7" item="1181"/>
          <tpl fld="6" item="2"/>
          <tpl hier="236" item="1"/>
          <tpl fld="4" item="6"/>
        </tpls>
      </m>
      <n v="41" in="1">
        <tpls c="4">
          <tpl fld="7" item="1077"/>
          <tpl fld="6" item="1"/>
          <tpl hier="236" item="1"/>
          <tpl fld="1" item="0"/>
        </tpls>
      </n>
      <n v="7" in="1">
        <tpls c="4">
          <tpl fld="7" item="1269"/>
          <tpl fld="6" item="1"/>
          <tpl hier="236" item="1"/>
          <tpl fld="1" item="0"/>
        </tpls>
      </n>
      <m>
        <tpls c="4">
          <tpl fld="7" item="1046"/>
          <tpl fld="6" item="2"/>
          <tpl hier="236" item="1"/>
          <tpl fld="1" item="0"/>
        </tpls>
      </m>
      <m>
        <tpls c="3">
          <tpl fld="7" item="1224"/>
          <tpl fld="6" item="3"/>
          <tpl hier="236" item="1"/>
        </tpls>
      </m>
      <m>
        <tpls c="3">
          <tpl fld="7" item="873"/>
          <tpl fld="6" item="3"/>
          <tpl hier="236" item="1"/>
        </tpls>
      </m>
      <n v="161" in="1">
        <tpls c="6">
          <tpl fld="11" item="0"/>
          <tpl fld="5" item="5"/>
          <tpl fld="6" item="1"/>
          <tpl hier="236" item="1"/>
          <tpl fld="4" item="6"/>
          <tpl fld="10" item="5"/>
        </tpls>
      </n>
      <n v="51" in="1">
        <tpls c="4">
          <tpl fld="7" item="971"/>
          <tpl fld="6" item="1"/>
          <tpl hier="236" item="1"/>
          <tpl fld="1" item="0"/>
        </tpls>
      </n>
      <m>
        <tpls c="6">
          <tpl fld="3" item="0"/>
          <tpl fld="11" item="0"/>
          <tpl fld="6" item="2"/>
          <tpl hier="236" item="1"/>
          <tpl fld="4" item="6"/>
          <tpl fld="10" item="1"/>
        </tpls>
      </m>
      <m>
        <tpls c="4">
          <tpl fld="7" item="1076"/>
          <tpl fld="6" item="1"/>
          <tpl hier="236" item="1"/>
          <tpl fld="4" item="5"/>
        </tpls>
      </m>
      <n v="4.84" in="2">
        <tpls c="6">
          <tpl fld="11" item="0"/>
          <tpl fld="5" item="5"/>
          <tpl fld="6" item="2"/>
          <tpl hier="236" item="1"/>
          <tpl fld="4" item="7"/>
          <tpl fld="10" item="7"/>
        </tpls>
      </n>
      <m>
        <tpls c="3">
          <tpl fld="7" item="966"/>
          <tpl fld="6" item="3"/>
          <tpl hier="236" item="1"/>
        </tpls>
      </m>
      <n v="2.2888985592838369E-2" in="0">
        <tpls c="5">
          <tpl fld="11" item="0"/>
          <tpl fld="2" item="2"/>
          <tpl fld="6" item="0"/>
          <tpl hier="236" item="1"/>
          <tpl fld="1" item="0"/>
        </tpls>
      </n>
      <m>
        <tpls c="4">
          <tpl fld="7" item="1258"/>
          <tpl fld="6" item="1"/>
          <tpl hier="236" item="1"/>
          <tpl fld="4" item="5"/>
        </tpls>
      </m>
      <m>
        <tpls c="3">
          <tpl fld="7" item="1055"/>
          <tpl fld="6" item="3"/>
          <tpl hier="236" item="1"/>
        </tpls>
      </m>
      <n v="8" in="1">
        <tpls c="4">
          <tpl fld="7" item="1177"/>
          <tpl fld="6" item="1"/>
          <tpl hier="236" item="1"/>
          <tpl fld="4" item="6"/>
        </tpls>
      </n>
      <m>
        <tpls c="3">
          <tpl fld="7" item="1146"/>
          <tpl fld="6" item="3"/>
          <tpl hier="236" item="1"/>
        </tpls>
      </m>
      <n v="1.5837837837837838" in="2">
        <tpls c="6">
          <tpl fld="11" item="0"/>
          <tpl fld="2" item="4"/>
          <tpl fld="6" item="2"/>
          <tpl hier="236" item="1"/>
          <tpl fld="4" item="7"/>
          <tpl fld="10" item="8"/>
        </tpls>
      </n>
      <n v="7" in="1">
        <tpls c="4">
          <tpl fld="7" item="1143"/>
          <tpl fld="6" item="1"/>
          <tpl hier="236" item="1"/>
          <tpl fld="1" item="0"/>
        </tpls>
      </n>
      <n v="1" in="1">
        <tpls c="4">
          <tpl fld="7" item="1208"/>
          <tpl fld="6" item="1"/>
          <tpl hier="236" item="1"/>
          <tpl fld="4" item="6"/>
        </tpls>
      </n>
      <n v="1139" in="1">
        <tpls c="6">
          <tpl fld="11" item="0"/>
          <tpl fld="5" item="5"/>
          <tpl fld="6" item="1"/>
          <tpl hier="236" item="1"/>
          <tpl fld="4" item="3"/>
          <tpl fld="10" item="4"/>
        </tpls>
      </n>
      <n v="0" in="1">
        <tpls c="6">
          <tpl fld="11" item="0"/>
          <tpl fld="5" item="4"/>
          <tpl fld="6" item="1"/>
          <tpl hier="236" item="1"/>
          <tpl fld="4" item="7"/>
          <tpl fld="10" item="5"/>
        </tpls>
      </n>
      <m>
        <tpls c="4">
          <tpl fld="7" item="1067"/>
          <tpl fld="6" item="2"/>
          <tpl hier="236" item="1"/>
          <tpl fld="4" item="6"/>
        </tpls>
      </m>
      <n v="5.8" in="2">
        <tpls c="5">
          <tpl fld="11" item="0"/>
          <tpl fld="5" item="5"/>
          <tpl fld="6" item="2"/>
          <tpl hier="236" item="1"/>
          <tpl fld="4" item="0"/>
        </tpls>
      </n>
      <n v="-1" in="1">
        <tpls c="6">
          <tpl fld="11" item="0"/>
          <tpl fld="5" item="0"/>
          <tpl fld="6" item="1"/>
          <tpl hier="236" item="1"/>
          <tpl fld="4" item="7"/>
          <tpl fld="10" item="3"/>
        </tpls>
      </n>
      <m>
        <tpls c="4">
          <tpl fld="7" item="1064"/>
          <tpl fld="6" item="1"/>
          <tpl hier="236" item="1"/>
          <tpl fld="4" item="6"/>
        </tpls>
      </m>
      <n v="31.654756756756758" in="2">
        <tpls c="6">
          <tpl fld="11" item="0"/>
          <tpl fld="5" item="5"/>
          <tpl fld="6" item="2"/>
          <tpl hier="236" item="1"/>
          <tpl fld="4" item="4"/>
          <tpl fld="10" item="8"/>
        </tpls>
      </n>
      <n v="167.10816216216222" in="2">
        <tpls c="6">
          <tpl fld="11" item="0"/>
          <tpl fld="5" item="1"/>
          <tpl fld="6" item="2"/>
          <tpl hier="236" item="1"/>
          <tpl fld="4" item="4"/>
          <tpl fld="10" item="0"/>
        </tpls>
      </n>
      <n v="5.1891891891891895" in="2">
        <tpls c="6">
          <tpl fld="11" item="0"/>
          <tpl fld="5" item="0"/>
          <tpl fld="6" item="2"/>
          <tpl hier="236" item="1"/>
          <tpl fld="4" item="4"/>
          <tpl fld="10" item="7"/>
        </tpls>
      </n>
      <n v="439" in="1">
        <tpls c="6">
          <tpl fld="11" item="0"/>
          <tpl fld="2" item="3"/>
          <tpl fld="6" item="1"/>
          <tpl hier="236" item="1"/>
          <tpl fld="4" item="6"/>
          <tpl fld="10" item="0"/>
        </tpls>
      </n>
      <n v="102" in="1">
        <tpls c="6">
          <tpl fld="11" item="0"/>
          <tpl fld="2" item="2"/>
          <tpl fld="6" item="1"/>
          <tpl hier="236" item="1"/>
          <tpl fld="4" item="3"/>
          <tpl fld="10" item="0"/>
        </tpls>
      </n>
      <n v="1" in="1">
        <tpls c="4">
          <tpl fld="7" item="1199"/>
          <tpl fld="6" item="1"/>
          <tpl hier="236" item="1"/>
          <tpl fld="4" item="6"/>
        </tpls>
      </n>
      <m>
        <tpls c="6">
          <tpl fld="11" item="0"/>
          <tpl fld="5" item="1"/>
          <tpl fld="6" item="1"/>
          <tpl hier="236" item="1"/>
          <tpl fld="4" item="3"/>
          <tpl fld="10" item="3"/>
        </tpls>
      </m>
      <m>
        <tpls c="6">
          <tpl fld="11" item="0"/>
          <tpl fld="2" item="4"/>
          <tpl fld="6" item="2"/>
          <tpl hier="236" item="1"/>
          <tpl fld="4" item="6"/>
          <tpl fld="10" item="6"/>
        </tpls>
      </m>
      <m>
        <tpls c="4">
          <tpl fld="7" item="1072"/>
          <tpl fld="6" item="1"/>
          <tpl hier="236" item="1"/>
          <tpl fld="4" item="5"/>
        </tpls>
      </m>
      <m>
        <tpls c="6">
          <tpl fld="3" item="4"/>
          <tpl fld="11" item="0"/>
          <tpl fld="6" item="2"/>
          <tpl hier="236" item="1"/>
          <tpl fld="4" item="7"/>
          <tpl fld="10" item="1"/>
        </tpls>
      </m>
      <m>
        <tpls c="4">
          <tpl fld="7" item="1210"/>
          <tpl fld="6" item="2"/>
          <tpl hier="236" item="1"/>
          <tpl fld="4" item="6"/>
        </tpls>
      </m>
      <n v="449" in="1">
        <tpls c="6">
          <tpl fld="11" item="0"/>
          <tpl fld="2" item="4"/>
          <tpl fld="6" item="1"/>
          <tpl hier="236" item="1"/>
          <tpl fld="4" item="3"/>
          <tpl fld="10" item="2"/>
        </tpls>
      </n>
      <m>
        <tpls c="6">
          <tpl fld="11" item="0"/>
          <tpl fld="5" item="2"/>
          <tpl fld="6" item="2"/>
          <tpl hier="236" item="1"/>
          <tpl fld="4" item="3"/>
          <tpl fld="10" item="4"/>
        </tpls>
      </m>
      <m>
        <tpls c="6">
          <tpl fld="11" item="0"/>
          <tpl fld="5" item="4"/>
          <tpl fld="6" item="2"/>
          <tpl hier="236" item="1"/>
          <tpl fld="4" item="3"/>
          <tpl fld="10" item="6"/>
        </tpls>
      </m>
      <n v="3.4799999999999995" in="2">
        <tpls c="6">
          <tpl fld="11" item="0"/>
          <tpl fld="2" item="0"/>
          <tpl fld="6" item="2"/>
          <tpl hier="236" item="1"/>
          <tpl fld="4" item="1"/>
          <tpl fld="9" item="3"/>
        </tpls>
      </n>
      <n v="0.55999999999999994" in="2">
        <tpls c="6">
          <tpl fld="11" item="0"/>
          <tpl fld="2" item="0"/>
          <tpl fld="6" item="2"/>
          <tpl hier="236" item="1"/>
          <tpl fld="4" item="7"/>
          <tpl fld="10" item="1"/>
        </tpls>
      </n>
      <m>
        <tpls c="4">
          <tpl fld="7" item="1275"/>
          <tpl fld="6" item="2"/>
          <tpl hier="236" item="1"/>
          <tpl fld="4" item="6"/>
        </tpls>
      </m>
      <n v="8" in="1">
        <tpls c="6">
          <tpl fld="11" item="0"/>
          <tpl fld="5" item="5"/>
          <tpl fld="6" item="1"/>
          <tpl hier="236" item="1"/>
          <tpl fld="4" item="6"/>
          <tpl fld="10" item="1"/>
        </tpls>
      </n>
      <n v="242" in="1">
        <tpls c="6">
          <tpl fld="11" item="0"/>
          <tpl fld="2" item="0"/>
          <tpl fld="6" item="1"/>
          <tpl hier="236" item="1"/>
          <tpl fld="4" item="4"/>
          <tpl fld="10" item="2"/>
        </tpls>
      </n>
      <n v="4" in="1">
        <tpls c="4">
          <tpl fld="7" item="1236"/>
          <tpl fld="6" item="1"/>
          <tpl hier="236" item="1"/>
          <tpl fld="1" item="0"/>
        </tpls>
      </n>
      <n v="7" in="1">
        <tpls c="6">
          <tpl fld="11" item="0"/>
          <tpl fld="2" item="4"/>
          <tpl fld="6" item="1"/>
          <tpl hier="236" item="1"/>
          <tpl fld="4" item="7"/>
          <tpl fld="10" item="4"/>
        </tpls>
      </n>
      <n v="11" in="1">
        <tpls c="4">
          <tpl fld="7" item="1266"/>
          <tpl fld="6" item="1"/>
          <tpl hier="236" item="1"/>
          <tpl fld="4" item="6"/>
        </tpls>
      </n>
      <n v="6.2" in="2">
        <tpls c="5">
          <tpl fld="11" item="0"/>
          <tpl fld="6" item="2"/>
          <tpl hier="236" item="1"/>
          <tpl fld="4" item="7"/>
          <tpl fld="10" item="0"/>
        </tpls>
      </n>
      <n v="0" in="1">
        <tpls c="6">
          <tpl fld="11" item="0"/>
          <tpl fld="5" item="4"/>
          <tpl fld="6" item="1"/>
          <tpl hier="236" item="1"/>
          <tpl fld="4" item="7"/>
          <tpl fld="10" item="0"/>
        </tpls>
      </n>
      <m>
        <tpls c="6">
          <tpl fld="3" item="0"/>
          <tpl fld="11" item="0"/>
          <tpl fld="6" item="2"/>
          <tpl hier="236" item="1"/>
          <tpl fld="4" item="6"/>
          <tpl fld="10" item="0"/>
        </tpls>
      </m>
      <n v="741" in="1">
        <tpls c="6">
          <tpl fld="11" item="0"/>
          <tpl fld="2" item="3"/>
          <tpl fld="6" item="1"/>
          <tpl hier="236" item="1"/>
          <tpl fld="4" item="4"/>
          <tpl fld="10" item="0"/>
        </tpls>
      </n>
      <n v="102" in="1">
        <tpls c="6">
          <tpl fld="11" item="0"/>
          <tpl fld="2" item="0"/>
          <tpl fld="6" item="1"/>
          <tpl hier="236" item="1"/>
          <tpl fld="4" item="7"/>
          <tpl fld="10" item="8"/>
        </tpls>
      </n>
      <m>
        <tpls c="3">
          <tpl fld="7" item="1281"/>
          <tpl fld="6" item="3"/>
          <tpl hier="236" item="1"/>
        </tpls>
      </m>
      <n v="2.52" in="2">
        <tpls c="6">
          <tpl fld="11" item="0"/>
          <tpl fld="5" item="5"/>
          <tpl fld="6" item="2"/>
          <tpl hier="236" item="1"/>
          <tpl fld="4" item="1"/>
          <tpl fld="9" item="3"/>
        </tpls>
      </n>
      <n v="0.6" in="2">
        <tpls c="6">
          <tpl fld="11" item="0"/>
          <tpl fld="2" item="4"/>
          <tpl fld="6" item="2"/>
          <tpl hier="236" item="1"/>
          <tpl fld="4" item="6"/>
          <tpl fld="10" item="2"/>
        </tpls>
      </n>
      <m>
        <tpls c="4">
          <tpl fld="7" item="1045"/>
          <tpl fld="6" item="2"/>
          <tpl hier="236" item="1"/>
          <tpl fld="1" item="0"/>
        </tpls>
      </m>
      <m>
        <tpls c="4">
          <tpl fld="7" item="1228"/>
          <tpl fld="6" item="2"/>
          <tpl hier="236" item="1"/>
          <tpl fld="1" item="0"/>
        </tpls>
      </m>
      <m>
        <tpls c="4">
          <tpl fld="7" item="872"/>
          <tpl fld="6" item="2"/>
          <tpl hier="236" item="1"/>
          <tpl fld="4" item="6"/>
        </tpls>
      </m>
      <m>
        <tpls c="4">
          <tpl fld="7" item="1227"/>
          <tpl fld="6" item="2"/>
          <tpl hier="236" item="1"/>
          <tpl fld="4" item="6"/>
        </tpls>
      </m>
      <m>
        <tpls c="4">
          <tpl fld="7" item="1062"/>
          <tpl fld="6" item="2"/>
          <tpl hier="236" item="1"/>
          <tpl fld="1" item="0"/>
        </tpls>
      </m>
      <m>
        <tpls c="3">
          <tpl fld="7" item="1136"/>
          <tpl fld="6" item="3"/>
          <tpl hier="236" item="1"/>
        </tpls>
      </m>
      <n v="0.26113067195636003" in="0">
        <tpls c="5">
          <tpl fld="11" item="0"/>
          <tpl fld="5" item="1"/>
          <tpl fld="6" item="0"/>
          <tpl hier="236" item="1"/>
          <tpl fld="4" item="0"/>
        </tpls>
      </n>
      <m>
        <tpls c="3">
          <tpl fld="7" item="930"/>
          <tpl fld="6" item="3"/>
          <tpl hier="236" item="1"/>
        </tpls>
      </m>
      <m>
        <tpls c="4">
          <tpl fld="7" item="944"/>
          <tpl fld="6" item="2"/>
          <tpl hier="236" item="1"/>
          <tpl fld="4" item="5"/>
        </tpls>
      </m>
      <m>
        <tpls c="4">
          <tpl fld="7" item="1207"/>
          <tpl fld="6" item="2"/>
          <tpl hier="236" item="1"/>
          <tpl fld="4" item="5"/>
        </tpls>
      </m>
      <m>
        <tpls c="3">
          <tpl fld="7" item="1279"/>
          <tpl fld="6" item="3"/>
          <tpl hier="236" item="1"/>
        </tpls>
      </m>
      <n v="4" in="1">
        <tpls c="4">
          <tpl fld="7" item="1279"/>
          <tpl fld="6" item="1"/>
          <tpl hier="236" item="1"/>
          <tpl fld="1" item="0"/>
        </tpls>
      </n>
      <n v="381" in="1">
        <tpls c="6">
          <tpl fld="11" item="0"/>
          <tpl fld="2" item="4"/>
          <tpl fld="6" item="1"/>
          <tpl hier="236" item="1"/>
          <tpl fld="4" item="3"/>
          <tpl fld="10" item="7"/>
        </tpls>
      </n>
      <m>
        <tpls c="4">
          <tpl fld="7" item="1143"/>
          <tpl fld="6" item="2"/>
          <tpl hier="236" item="1"/>
          <tpl fld="4" item="6"/>
        </tpls>
      </m>
      <n v="55.342432432432425" in="2">
        <tpls c="5">
          <tpl fld="11" item="0"/>
          <tpl fld="2" item="1"/>
          <tpl fld="6" item="2"/>
          <tpl hier="236" item="1"/>
          <tpl fld="4" item="0"/>
        </tpls>
      </n>
      <n v="4" in="1">
        <tpls c="4">
          <tpl fld="7" item="1079"/>
          <tpl fld="6" item="1"/>
          <tpl hier="236" item="1"/>
          <tpl fld="4" item="5"/>
        </tpls>
      </n>
      <n v="69.342270270270262" in="2">
        <tpls c="5">
          <tpl fld="11" item="0"/>
          <tpl fld="6" item="2"/>
          <tpl hier="236" item="1"/>
          <tpl fld="4" item="6"/>
          <tpl fld="10" item="7"/>
        </tpls>
      </n>
      <m>
        <tpls c="4">
          <tpl fld="7" item="1145"/>
          <tpl fld="6" item="2"/>
          <tpl hier="236" item="1"/>
          <tpl fld="4" item="6"/>
        </tpls>
      </m>
      <m>
        <tpls c="4">
          <tpl fld="7" item="1161"/>
          <tpl fld="6" item="1"/>
          <tpl hier="236" item="1"/>
          <tpl fld="4" item="5"/>
        </tpls>
      </m>
      <m>
        <tpls c="4">
          <tpl fld="7" item="1064"/>
          <tpl fld="6" item="1"/>
          <tpl hier="236" item="1"/>
          <tpl fld="4" item="5"/>
        </tpls>
      </m>
      <n v="39" in="1">
        <tpls c="6">
          <tpl fld="11" item="0"/>
          <tpl fld="2" item="4"/>
          <tpl fld="6" item="1"/>
          <tpl hier="236" item="1"/>
          <tpl fld="4" item="4"/>
          <tpl fld="10" item="5"/>
        </tpls>
      </n>
      <n v="2" in="1">
        <tpls c="4">
          <tpl fld="7" item="978"/>
          <tpl fld="6" item="1"/>
          <tpl hier="236" item="1"/>
          <tpl fld="4" item="5"/>
        </tpls>
      </n>
      <n v="2.7199999999999998" in="2">
        <tpls c="5">
          <tpl fld="11" item="0"/>
          <tpl fld="6" item="2"/>
          <tpl hier="236" item="1"/>
          <tpl fld="4" item="3"/>
          <tpl fld="10" item="1"/>
        </tpls>
      </n>
      <m>
        <tpls c="6">
          <tpl fld="11" item="0"/>
          <tpl fld="5" item="1"/>
          <tpl fld="6" item="1"/>
          <tpl hier="236" item="1"/>
          <tpl fld="4" item="7"/>
          <tpl fld="10" item="7"/>
        </tpls>
      </m>
      <m>
        <tpls c="4">
          <tpl fld="7" item="1206"/>
          <tpl fld="6" item="1"/>
          <tpl hier="236" item="1"/>
          <tpl fld="4" item="6"/>
        </tpls>
      </m>
      <n v="8.601081081081082" in="2">
        <tpls c="5">
          <tpl fld="11" item="0"/>
          <tpl fld="5" item="4"/>
          <tpl fld="6" item="2"/>
          <tpl hier="236" item="1"/>
          <tpl fld="4" item="5"/>
        </tpls>
      </n>
      <m>
        <tpls c="6">
          <tpl fld="11" item="0"/>
          <tpl fld="5" item="0"/>
          <tpl fld="6" item="2"/>
          <tpl hier="236" item="1"/>
          <tpl fld="4" item="7"/>
          <tpl fld="10" item="8"/>
        </tpls>
      </m>
      <m>
        <tpls c="4">
          <tpl fld="7" item="1066"/>
          <tpl fld="6" item="2"/>
          <tpl hier="236" item="1"/>
          <tpl fld="4" item="5"/>
        </tpls>
      </m>
      <n v="6" in="1">
        <tpls c="4">
          <tpl fld="7" item="956"/>
          <tpl fld="6" item="1"/>
          <tpl hier="236" item="1"/>
          <tpl fld="1" item="0"/>
        </tpls>
      </n>
      <m>
        <tpls c="4">
          <tpl fld="7" item="1075"/>
          <tpl fld="6" item="2"/>
          <tpl hier="236" item="1"/>
          <tpl fld="4" item="6"/>
        </tpls>
      </m>
      <m>
        <tpls c="3">
          <tpl fld="7" item="1148"/>
          <tpl fld="6" item="3"/>
          <tpl hier="236" item="1"/>
        </tpls>
      </m>
      <n v="1220" in="1">
        <tpls c="6">
          <tpl fld="11" item="0"/>
          <tpl fld="5" item="0"/>
          <tpl fld="6" item="1"/>
          <tpl hier="236" item="1"/>
          <tpl fld="4" item="4"/>
          <tpl fld="10" item="8"/>
        </tpls>
      </n>
      <m>
        <tpls c="4">
          <tpl fld="7" item="1179"/>
          <tpl fld="6" item="1"/>
          <tpl hier="236" item="1"/>
          <tpl fld="1" item="0"/>
        </tpls>
      </m>
      <m>
        <tpls c="3">
          <tpl fld="7" item="942"/>
          <tpl fld="6" item="3"/>
          <tpl hier="236" item="1"/>
        </tpls>
      </m>
      <n v="2016" in="1">
        <tpls c="6">
          <tpl fld="11" item="0"/>
          <tpl fld="5" item="5"/>
          <tpl fld="6" item="1"/>
          <tpl hier="236" item="1"/>
          <tpl fld="4" item="4"/>
          <tpl fld="10" item="3"/>
        </tpls>
      </n>
      <m>
        <tpls c="3">
          <tpl fld="7" item="1175"/>
          <tpl fld="6" item="3"/>
          <tpl hier="236" item="1"/>
        </tpls>
      </m>
      <n v="1" in="1">
        <tpls c="4">
          <tpl fld="7" item="1053"/>
          <tpl fld="6" item="1"/>
          <tpl hier="236" item="1"/>
          <tpl fld="4" item="5"/>
        </tpls>
      </n>
      <n v="111" in="1">
        <tpls c="6">
          <tpl fld="11" item="0"/>
          <tpl fld="5" item="3"/>
          <tpl fld="6" item="1"/>
          <tpl hier="236" item="1"/>
          <tpl fld="4" item="6"/>
          <tpl fld="10" item="6"/>
        </tpls>
      </n>
      <n v="782" in="1">
        <tpls c="6">
          <tpl fld="11" item="0"/>
          <tpl fld="5" item="5"/>
          <tpl fld="6" item="1"/>
          <tpl hier="236" item="1"/>
          <tpl fld="4" item="6"/>
          <tpl fld="10" item="2"/>
        </tpls>
      </n>
      <m>
        <tpls c="3">
          <tpl fld="7" item="1050"/>
          <tpl fld="6" item="3"/>
          <tpl hier="236" item="1"/>
        </tpls>
      </m>
      <m>
        <tpls c="5">
          <tpl fld="11" item="0"/>
          <tpl fld="5" item="3"/>
          <tpl fld="6" item="2"/>
          <tpl hier="236" item="1"/>
          <tpl fld="4" item="2"/>
        </tpls>
      </m>
      <m>
        <tpls c="3">
          <tpl fld="7" item="935"/>
          <tpl fld="6" item="3"/>
          <tpl hier="236" item="1"/>
        </tpls>
      </m>
      <n v="162" in="1">
        <tpls c="6">
          <tpl fld="11" item="0"/>
          <tpl fld="2" item="4"/>
          <tpl fld="6" item="1"/>
          <tpl hier="236" item="1"/>
          <tpl fld="4" item="7"/>
          <tpl fld="10" item="2"/>
        </tpls>
      </n>
      <n v="21.603243243243242" in="2">
        <tpls c="5">
          <tpl fld="11" item="0"/>
          <tpl fld="5" item="2"/>
          <tpl fld="6" item="2"/>
          <tpl hier="236" item="1"/>
          <tpl fld="4" item="0"/>
        </tpls>
      </n>
      <m>
        <tpls c="6">
          <tpl fld="11" item="0"/>
          <tpl fld="5" item="3"/>
          <tpl fld="6" item="2"/>
          <tpl hier="236" item="1"/>
          <tpl fld="4" item="4"/>
          <tpl fld="10" item="1"/>
        </tpls>
      </m>
      <n v="426" in="1">
        <tpls c="6">
          <tpl fld="11" item="0"/>
          <tpl fld="2" item="3"/>
          <tpl fld="6" item="1"/>
          <tpl hier="236" item="1"/>
          <tpl fld="4" item="1"/>
          <tpl fld="9" item="4"/>
        </tpls>
      </n>
      <n v="24" in="1">
        <tpls c="6">
          <tpl fld="11" item="0"/>
          <tpl fld="2" item="3"/>
          <tpl fld="6" item="1"/>
          <tpl hier="236" item="1"/>
          <tpl fld="4" item="7"/>
          <tpl fld="10" item="0"/>
        </tpls>
      </n>
      <m>
        <tpls c="6">
          <tpl fld="3" item="1"/>
          <tpl fld="11" item="0"/>
          <tpl fld="6" item="2"/>
          <tpl hier="236" item="1"/>
          <tpl fld="4" item="1"/>
          <tpl fld="9" item="0"/>
        </tpls>
      </m>
      <n v="15" in="1">
        <tpls c="6">
          <tpl fld="11" item="0"/>
          <tpl fld="5" item="1"/>
          <tpl fld="6" item="1"/>
          <tpl hier="236" item="1"/>
          <tpl fld="4" item="6"/>
          <tpl fld="10" item="6"/>
        </tpls>
      </n>
      <m>
        <tpls c="6">
          <tpl fld="11" item="0"/>
          <tpl fld="2" item="4"/>
          <tpl fld="6" item="2"/>
          <tpl hier="236" item="1"/>
          <tpl fld="4" item="1"/>
          <tpl fld="9" item="0"/>
        </tpls>
      </m>
      <n v="1" in="1">
        <tpls c="4">
          <tpl fld="7" item="1175"/>
          <tpl fld="6" item="1"/>
          <tpl hier="236" item="1"/>
          <tpl fld="1" item="0"/>
        </tpls>
      </n>
      <m>
        <tpls c="4">
          <tpl fld="7" item="1060"/>
          <tpl fld="6" item="1"/>
          <tpl hier="236" item="1"/>
          <tpl fld="4" item="6"/>
        </tpls>
      </m>
      <n v="1" in="1">
        <tpls c="4">
          <tpl fld="7" item="1139"/>
          <tpl fld="6" item="1"/>
          <tpl hier="236" item="1"/>
          <tpl fld="4" item="6"/>
        </tpls>
      </n>
      <m>
        <tpls c="6">
          <tpl fld="3" item="0"/>
          <tpl fld="11" item="0"/>
          <tpl fld="6" item="2"/>
          <tpl hier="236" item="1"/>
          <tpl fld="4" item="4"/>
          <tpl fld="10" item="4"/>
        </tpls>
      </m>
      <n v="13.88" in="2">
        <tpls c="6">
          <tpl fld="11" item="0"/>
          <tpl fld="5" item="5"/>
          <tpl fld="6" item="2"/>
          <tpl hier="236" item="1"/>
          <tpl fld="4" item="7"/>
          <tpl fld="10" item="3"/>
        </tpls>
      </n>
      <n v="2" in="2">
        <tpls c="6">
          <tpl fld="11" item="0"/>
          <tpl fld="5" item="5"/>
          <tpl fld="6" item="2"/>
          <tpl hier="236" item="1"/>
          <tpl fld="4" item="7"/>
          <tpl fld="10" item="5"/>
        </tpls>
      </n>
      <n v="8383" in="1">
        <tpls c="5">
          <tpl fld="11" item="0"/>
          <tpl fld="5" item="0"/>
          <tpl fld="6" item="1"/>
          <tpl hier="236" item="1"/>
          <tpl fld="1" item="0"/>
        </tpls>
      </n>
      <m>
        <tpls c="6">
          <tpl fld="11" item="0"/>
          <tpl fld="2" item="0"/>
          <tpl fld="6" item="2"/>
          <tpl hier="236" item="1"/>
          <tpl fld="4" item="3"/>
          <tpl fld="10" item="4"/>
        </tpls>
      </m>
      <n v="2.44" in="2">
        <tpls c="6">
          <tpl fld="3" item="1"/>
          <tpl fld="11" item="0"/>
          <tpl fld="6" item="2"/>
          <tpl hier="236" item="1"/>
          <tpl fld="4" item="7"/>
          <tpl fld="10" item="8"/>
        </tpls>
      </n>
      <n v="45" in="1">
        <tpls c="5">
          <tpl fld="11" item="0"/>
          <tpl fld="5" item="1"/>
          <tpl fld="6" item="1"/>
          <tpl hier="236" item="1"/>
          <tpl fld="4" item="2"/>
        </tpls>
      </n>
      <n v="278.62762162162147" in="2">
        <tpls c="5">
          <tpl fld="11" item="0"/>
          <tpl fld="2" item="2"/>
          <tpl fld="6" item="2"/>
          <tpl hier="236" item="1"/>
          <tpl fld="1" item="0"/>
        </tpls>
      </n>
      <n v="1" in="1">
        <tpls c="4">
          <tpl fld="7" item="1261"/>
          <tpl fld="6" item="1"/>
          <tpl hier="236" item="1"/>
          <tpl fld="4" item="5"/>
        </tpls>
      </n>
      <m>
        <tpls c="4">
          <tpl fld="7" item="1081"/>
          <tpl fld="6" item="2"/>
          <tpl hier="236" item="1"/>
          <tpl fld="4" item="5"/>
        </tpls>
      </m>
      <m>
        <tpls c="4">
          <tpl fld="7" item="1251"/>
          <tpl fld="6" item="1"/>
          <tpl hier="236" item="1"/>
          <tpl fld="4" item="6"/>
        </tpls>
      </m>
      <n v="34.3972972972973" in="2">
        <tpls c="6">
          <tpl fld="3" item="2"/>
          <tpl fld="11" item="0"/>
          <tpl fld="6" item="2"/>
          <tpl hier="236" item="1"/>
          <tpl fld="4" item="6"/>
          <tpl fld="10" item="8"/>
        </tpls>
      </n>
      <m>
        <tpls c="6">
          <tpl fld="11" item="0"/>
          <tpl fld="5" item="2"/>
          <tpl fld="6" item="2"/>
          <tpl hier="236" item="1"/>
          <tpl fld="4" item="7"/>
          <tpl fld="10" item="7"/>
        </tpls>
      </m>
      <n v="371.21427027027033" in="2">
        <tpls c="5">
          <tpl fld="11" item="0"/>
          <tpl fld="5" item="5"/>
          <tpl fld="6" item="2"/>
          <tpl hier="236" item="1"/>
          <tpl fld="1" item="0"/>
        </tpls>
      </n>
      <n v="63" in="1">
        <tpls c="6">
          <tpl fld="11" item="0"/>
          <tpl fld="2" item="3"/>
          <tpl fld="6" item="1"/>
          <tpl hier="236" item="1"/>
          <tpl fld="4" item="4"/>
          <tpl fld="10" item="5"/>
        </tpls>
      </n>
      <n v="97" in="1">
        <tpls c="6">
          <tpl fld="11" item="0"/>
          <tpl fld="2" item="4"/>
          <tpl fld="6" item="1"/>
          <tpl hier="236" item="1"/>
          <tpl fld="4" item="6"/>
          <tpl fld="10" item="4"/>
        </tpls>
      </n>
      <m>
        <tpls c="3">
          <tpl fld="7" item="1269"/>
          <tpl fld="6" item="3"/>
          <tpl hier="236" item="1"/>
        </tpls>
      </m>
      <n v="246" in="1">
        <tpls c="6">
          <tpl fld="11" item="0"/>
          <tpl fld="5" item="5"/>
          <tpl fld="6" item="1"/>
          <tpl hier="236" item="1"/>
          <tpl fld="4" item="3"/>
          <tpl fld="10" item="1"/>
        </tpls>
      </n>
      <m>
        <tpls c="6">
          <tpl fld="11" item="0"/>
          <tpl fld="2" item="4"/>
          <tpl fld="6" item="2"/>
          <tpl hier="236" item="1"/>
          <tpl fld="4" item="3"/>
          <tpl fld="10" item="6"/>
        </tpls>
      </m>
      <n v="6" in="1">
        <tpls c="6">
          <tpl fld="3" item="1"/>
          <tpl fld="11" item="0"/>
          <tpl fld="6" item="1"/>
          <tpl hier="236" item="1"/>
          <tpl fld="4" item="1"/>
          <tpl fld="9" item="0"/>
        </tpls>
      </n>
      <m>
        <tpls c="6">
          <tpl fld="11" item="0"/>
          <tpl fld="5" item="1"/>
          <tpl fld="6" item="1"/>
          <tpl hier="236" item="1"/>
          <tpl fld="4" item="3"/>
          <tpl fld="10" item="1"/>
        </tpls>
      </m>
      <n v="38.30594594594595" in="2">
        <tpls c="6">
          <tpl fld="11" item="0"/>
          <tpl fld="2" item="2"/>
          <tpl fld="6" item="2"/>
          <tpl hier="236" item="1"/>
          <tpl fld="4" item="1"/>
          <tpl fld="9" item="1"/>
        </tpls>
      </n>
      <m>
        <tpls c="6">
          <tpl fld="11" item="0"/>
          <tpl fld="2" item="2"/>
          <tpl fld="6" item="2"/>
          <tpl hier="236" item="1"/>
          <tpl fld="4" item="7"/>
          <tpl fld="10" item="5"/>
        </tpls>
      </m>
      <n v="1" in="1">
        <tpls c="4">
          <tpl fld="7" item="1071"/>
          <tpl fld="6" item="1"/>
          <tpl hier="236" item="1"/>
          <tpl fld="4" item="6"/>
        </tpls>
      </n>
      <n v="4.5200000000000005" in="2">
        <tpls c="6">
          <tpl fld="11" item="0"/>
          <tpl fld="2" item="0"/>
          <tpl fld="6" item="2"/>
          <tpl hier="236" item="1"/>
          <tpl fld="4" item="6"/>
          <tpl fld="10" item="7"/>
        </tpls>
      </n>
      <n v="163" in="1">
        <tpls c="6">
          <tpl fld="11" item="0"/>
          <tpl fld="2" item="0"/>
          <tpl fld="6" item="1"/>
          <tpl hier="236" item="1"/>
          <tpl fld="4" item="6"/>
          <tpl fld="10" item="8"/>
        </tpls>
      </n>
      <m>
        <tpls c="3">
          <tpl fld="7" item="1065"/>
          <tpl fld="6" item="3"/>
          <tpl hier="236" item="1"/>
        </tpls>
      </m>
      <n v="6.5199999999999987" in="2">
        <tpls c="6">
          <tpl fld="11" item="0"/>
          <tpl fld="2" item="1"/>
          <tpl fld="6" item="2"/>
          <tpl hier="236" item="1"/>
          <tpl fld="4" item="1"/>
          <tpl fld="9" item="0"/>
        </tpls>
      </n>
      <n v="138" in="1">
        <tpls c="6">
          <tpl fld="11" item="0"/>
          <tpl fld="2" item="4"/>
          <tpl fld="6" item="1"/>
          <tpl hier="236" item="1"/>
          <tpl fld="4" item="7"/>
          <tpl fld="10" item="7"/>
        </tpls>
      </n>
      <n v="38" in="1">
        <tpls c="6">
          <tpl fld="3" item="1"/>
          <tpl fld="11" item="0"/>
          <tpl fld="6" item="1"/>
          <tpl hier="236" item="1"/>
          <tpl fld="4" item="7"/>
          <tpl fld="10" item="0"/>
        </tpls>
      </n>
      <m>
        <tpls c="6">
          <tpl fld="11" item="0"/>
          <tpl fld="2" item="3"/>
          <tpl fld="6" item="2"/>
          <tpl hier="236" item="1"/>
          <tpl fld="4" item="7"/>
          <tpl fld="10" item="1"/>
        </tpls>
      </m>
      <m>
        <tpls c="4">
          <tpl fld="7" item="950"/>
          <tpl fld="6" item="2"/>
          <tpl hier="236" item="1"/>
          <tpl fld="4" item="5"/>
        </tpls>
      </m>
      <n v="1" in="1">
        <tpls c="4">
          <tpl fld="7" item="955"/>
          <tpl fld="6" item="1"/>
          <tpl hier="236" item="1"/>
          <tpl fld="4" item="5"/>
        </tpls>
      </n>
      <n v="1" in="1">
        <tpls c="4">
          <tpl fld="7" item="970"/>
          <tpl fld="6" item="1"/>
          <tpl hier="236" item="1"/>
          <tpl fld="4" item="6"/>
        </tpls>
      </n>
      <n v="36" in="1">
        <tpls c="6">
          <tpl fld="11" item="0"/>
          <tpl fld="5" item="4"/>
          <tpl fld="6" item="1"/>
          <tpl hier="236" item="1"/>
          <tpl fld="4" item="6"/>
          <tpl fld="10" item="6"/>
        </tpls>
      </n>
      <m>
        <tpls c="3">
          <tpl fld="7" item="1250"/>
          <tpl fld="6" item="3"/>
          <tpl hier="236" item="1"/>
        </tpls>
      </m>
      <n v="13.040000000000001" in="2">
        <tpls c="6">
          <tpl fld="11" item="0"/>
          <tpl fld="5" item="1"/>
          <tpl fld="6" item="2"/>
          <tpl hier="236" item="1"/>
          <tpl fld="4" item="4"/>
          <tpl fld="10" item="2"/>
        </tpls>
      </n>
      <m>
        <tpls c="6">
          <tpl fld="11" item="0"/>
          <tpl fld="5" item="1"/>
          <tpl fld="6" item="2"/>
          <tpl hier="236" item="1"/>
          <tpl fld="4" item="3"/>
          <tpl fld="10" item="0"/>
        </tpls>
      </m>
      <m>
        <tpls c="4">
          <tpl fld="7" item="1069"/>
          <tpl fld="6" item="1"/>
          <tpl hier="236" item="1"/>
          <tpl fld="4" item="6"/>
        </tpls>
      </m>
      <n v="29" in="1">
        <tpls c="6">
          <tpl fld="11" item="0"/>
          <tpl fld="2" item="3"/>
          <tpl fld="6" item="1"/>
          <tpl hier="236" item="1"/>
          <tpl fld="4" item="6"/>
          <tpl fld="10" item="1"/>
        </tpls>
      </n>
      <n v="2.8" in="2">
        <tpls c="6">
          <tpl fld="11" item="0"/>
          <tpl fld="2" item="4"/>
          <tpl fld="6" item="2"/>
          <tpl hier="236" item="1"/>
          <tpl fld="4" item="6"/>
          <tpl fld="10" item="7"/>
        </tpls>
      </n>
      <n v="54" in="1">
        <tpls c="5">
          <tpl fld="11" item="0"/>
          <tpl fld="2" item="3"/>
          <tpl fld="6" item="1"/>
          <tpl hier="236" item="1"/>
          <tpl fld="4" item="2"/>
        </tpls>
      </n>
      <n v="3.4" in="2">
        <tpls c="6">
          <tpl fld="11" item="0"/>
          <tpl fld="2" item="0"/>
          <tpl fld="6" item="2"/>
          <tpl hier="236" item="1"/>
          <tpl fld="4" item="7"/>
          <tpl fld="10" item="0"/>
        </tpls>
      </n>
      <n v="45" in="1">
        <tpls c="4">
          <tpl fld="7" item="1053"/>
          <tpl fld="6" item="1"/>
          <tpl hier="236" item="1"/>
          <tpl fld="1" item="0"/>
        </tpls>
      </n>
      <n v="63" in="1">
        <tpls c="6">
          <tpl fld="11" item="0"/>
          <tpl fld="5" item="4"/>
          <tpl fld="6" item="1"/>
          <tpl hier="236" item="1"/>
          <tpl fld="4" item="6"/>
          <tpl fld="10" item="4"/>
        </tpls>
      </n>
      <m>
        <tpls c="4">
          <tpl fld="7" item="948"/>
          <tpl fld="6" item="1"/>
          <tpl hier="236" item="1"/>
          <tpl fld="4" item="6"/>
        </tpls>
      </m>
      <n v="191" in="1">
        <tpls c="6">
          <tpl fld="3" item="0"/>
          <tpl fld="11" item="0"/>
          <tpl fld="6" item="1"/>
          <tpl hier="236" item="1"/>
          <tpl fld="4" item="4"/>
          <tpl fld="10" item="0"/>
        </tpls>
      </n>
      <m>
        <tpls c="6">
          <tpl fld="11" item="0"/>
          <tpl fld="5" item="3"/>
          <tpl fld="6" item="2"/>
          <tpl hier="236" item="1"/>
          <tpl fld="4" item="3"/>
          <tpl fld="10" item="2"/>
        </tpls>
      </m>
      <n v="20.774864864864863" in="2">
        <tpls c="6">
          <tpl fld="11" item="0"/>
          <tpl fld="2" item="2"/>
          <tpl fld="6" item="2"/>
          <tpl hier="236" item="1"/>
          <tpl fld="4" item="6"/>
          <tpl fld="10" item="2"/>
        </tpls>
      </n>
      <n v="0" in="1">
        <tpls c="4">
          <tpl fld="7" item="1205"/>
          <tpl fld="6" item="1"/>
          <tpl hier="236" item="1"/>
          <tpl fld="4" item="6"/>
        </tpls>
      </n>
      <n v="179" in="1">
        <tpls c="6">
          <tpl fld="11" item="0"/>
          <tpl fld="5" item="1"/>
          <tpl fld="6" item="1"/>
          <tpl hier="236" item="1"/>
          <tpl fld="4" item="6"/>
          <tpl fld="10" item="8"/>
        </tpls>
      </n>
      <n v="546" in="1">
        <tpls c="6">
          <tpl fld="3" item="0"/>
          <tpl fld="11" item="0"/>
          <tpl fld="6" item="1"/>
          <tpl hier="236" item="1"/>
          <tpl fld="4" item="3"/>
          <tpl fld="10" item="8"/>
        </tpls>
      </n>
      <n v="1.9600000000000002" in="2">
        <tpls c="6">
          <tpl fld="11" item="0"/>
          <tpl fld="2" item="2"/>
          <tpl fld="6" item="2"/>
          <tpl hier="236" item="1"/>
          <tpl fld="4" item="4"/>
          <tpl fld="10" item="5"/>
        </tpls>
      </n>
      <n v="270" in="1">
        <tpls c="6">
          <tpl fld="3" item="4"/>
          <tpl fld="11" item="0"/>
          <tpl fld="6" item="1"/>
          <tpl hier="236" item="1"/>
          <tpl fld="4" item="6"/>
          <tpl fld="10" item="3"/>
        </tpls>
      </n>
      <m>
        <tpls c="6">
          <tpl fld="11" item="0"/>
          <tpl fld="5" item="5"/>
          <tpl fld="6" item="2"/>
          <tpl hier="236" item="1"/>
          <tpl fld="4" item="6"/>
          <tpl fld="10" item="1"/>
        </tpls>
      </m>
      <n v="80.38648648648649" in="2">
        <tpls c="6">
          <tpl fld="11" item="0"/>
          <tpl fld="6" item="2"/>
          <tpl fld="8" item="0"/>
          <tpl hier="236" item="1"/>
          <tpl fld="4" item="1"/>
          <tpl fld="9" item="1"/>
        </tpls>
      </n>
      <m>
        <tpls c="4">
          <tpl fld="7" item="218"/>
          <tpl fld="6" item="1"/>
          <tpl hier="236" item="1"/>
          <tpl fld="4" item="4"/>
        </tpls>
      </m>
      <m>
        <tpls c="4">
          <tpl fld="7" item="471"/>
          <tpl fld="6" item="2"/>
          <tpl hier="236" item="1"/>
          <tpl fld="4" item="1"/>
        </tpls>
      </m>
      <n v="4" in="2">
        <tpls c="6">
          <tpl fld="3" item="4"/>
          <tpl fld="11" item="0"/>
          <tpl fld="6" item="2"/>
          <tpl hier="236" item="1"/>
          <tpl fld="4" item="4"/>
          <tpl fld="10" item="5"/>
        </tpls>
      </n>
      <n v="246" in="1">
        <tpls c="5">
          <tpl fld="11" item="0"/>
          <tpl fld="6" item="1"/>
          <tpl hier="236" item="1"/>
          <tpl fld="4" item="3"/>
          <tpl fld="10" item="1"/>
        </tpls>
      </n>
      <n v="273" in="1">
        <tpls c="6">
          <tpl fld="3" item="1"/>
          <tpl fld="11" item="0"/>
          <tpl fld="6" item="1"/>
          <tpl hier="236" item="1"/>
          <tpl fld="4" item="7"/>
          <tpl fld="10" item="2"/>
        </tpls>
      </n>
      <m>
        <tpls c="6">
          <tpl fld="11" item="0"/>
          <tpl fld="5" item="3"/>
          <tpl fld="6" item="2"/>
          <tpl hier="236" item="1"/>
          <tpl fld="4" item="7"/>
          <tpl fld="10" item="3"/>
        </tpls>
      </m>
      <n v="15.667027027027025" in="2">
        <tpls c="6">
          <tpl fld="11" item="0"/>
          <tpl fld="5" item="5"/>
          <tpl fld="6" item="2"/>
          <tpl hier="236" item="1"/>
          <tpl fld="4" item="4"/>
          <tpl fld="10" item="7"/>
        </tpls>
      </n>
      <n v="156" in="1">
        <tpls c="6">
          <tpl fld="11" item="0"/>
          <tpl fld="5" item="2"/>
          <tpl fld="6" item="1"/>
          <tpl hier="236" item="1"/>
          <tpl fld="4" item="4"/>
          <tpl fld="10" item="7"/>
        </tpls>
      </n>
      <n v="301" in="1">
        <tpls c="6">
          <tpl fld="3" item="2"/>
          <tpl fld="11" item="0"/>
          <tpl fld="6" item="1"/>
          <tpl hier="236" item="1"/>
          <tpl fld="4" item="1"/>
          <tpl fld="9" item="2"/>
        </tpls>
      </n>
      <n v="1" in="2">
        <tpls c="6">
          <tpl fld="11" item="0"/>
          <tpl fld="5" item="3"/>
          <tpl fld="6" item="2"/>
          <tpl hier="236" item="1"/>
          <tpl fld="4" item="1"/>
          <tpl fld="9" item="0"/>
        </tpls>
      </n>
      <n v="45.114162162162167" in="2">
        <tpls c="6">
          <tpl fld="11" item="0"/>
          <tpl fld="2" item="1"/>
          <tpl fld="6" item="2"/>
          <tpl hier="236" item="1"/>
          <tpl fld="4" item="4"/>
          <tpl fld="10" item="7"/>
        </tpls>
      </n>
      <n v="1104" in="1">
        <tpls c="6">
          <tpl fld="3" item="1"/>
          <tpl fld="11" item="0"/>
          <tpl fld="6" item="1"/>
          <tpl hier="236" item="1"/>
          <tpl fld="4" item="6"/>
          <tpl fld="10" item="7"/>
        </tpls>
      </n>
      <n v="234" in="1">
        <tpls c="6">
          <tpl fld="11" item="0"/>
          <tpl fld="5" item="3"/>
          <tpl fld="6" item="1"/>
          <tpl hier="236" item="1"/>
          <tpl fld="4" item="1"/>
          <tpl fld="9" item="2"/>
        </tpls>
      </n>
      <m>
        <tpls c="6">
          <tpl fld="3" item="0"/>
          <tpl fld="11" item="0"/>
          <tpl fld="6" item="2"/>
          <tpl hier="236" item="1"/>
          <tpl fld="4" item="7"/>
          <tpl fld="10" item="6"/>
        </tpls>
      </m>
      <n v="226" in="1">
        <tpls c="6">
          <tpl fld="11" item="0"/>
          <tpl fld="6" item="1"/>
          <tpl fld="8" item="0"/>
          <tpl hier="236" item="1"/>
          <tpl fld="4" item="3"/>
          <tpl fld="10" item="2"/>
        </tpls>
      </n>
      <m>
        <tpls c="4">
          <tpl fld="7" item="9"/>
          <tpl fld="6" item="1"/>
          <tpl hier="236" item="1"/>
          <tpl fld="1" item="0"/>
        </tpls>
      </m>
      <n v="48" in="1">
        <tpls c="6">
          <tpl fld="11" item="0"/>
          <tpl fld="2" item="1"/>
          <tpl fld="6" item="1"/>
          <tpl hier="236" item="1"/>
          <tpl fld="4" item="1"/>
          <tpl fld="9" item="0"/>
        </tpls>
      </n>
      <m>
        <tpls c="6">
          <tpl fld="3" item="0"/>
          <tpl fld="11" item="0"/>
          <tpl fld="6" item="2"/>
          <tpl hier="236" item="1"/>
          <tpl fld="4" item="6"/>
          <tpl fld="10" item="4"/>
        </tpls>
      </m>
      <m>
        <tpls c="3">
          <tpl fld="7" item="1259"/>
          <tpl fld="6" item="3"/>
          <tpl hier="236" item="1"/>
        </tpls>
      </m>
      <n v="1" in="1">
        <tpls c="4">
          <tpl fld="7" item="953"/>
          <tpl fld="6" item="1"/>
          <tpl hier="236" item="1"/>
          <tpl fld="1" item="0"/>
        </tpls>
      </n>
      <m>
        <tpls c="4">
          <tpl fld="7" item="963"/>
          <tpl fld="6" item="2"/>
          <tpl hier="236" item="1"/>
          <tpl fld="4" item="6"/>
        </tpls>
      </m>
      <m>
        <tpls c="3">
          <tpl fld="7" item="1255"/>
          <tpl fld="6" item="3"/>
          <tpl hier="236" item="1"/>
        </tpls>
      </m>
      <m>
        <tpls c="3">
          <tpl fld="7" item="960"/>
          <tpl fld="6" item="3"/>
          <tpl hier="236" item="1"/>
        </tpls>
      </m>
      <n v="0" in="1">
        <tpls c="4">
          <tpl fld="7" item="1169"/>
          <tpl fld="6" item="1"/>
          <tpl hier="236" item="1"/>
          <tpl fld="4" item="6"/>
        </tpls>
      </n>
      <m>
        <tpls c="4">
          <tpl fld="7" item="1200"/>
          <tpl fld="6" item="1"/>
          <tpl hier="236" item="1"/>
          <tpl fld="4" item="6"/>
        </tpls>
      </m>
      <m>
        <tpls c="3">
          <tpl fld="7" item="1061"/>
          <tpl fld="6" item="3"/>
          <tpl hier="236" item="1"/>
        </tpls>
      </m>
      <n v="8.2799999999999994" in="2">
        <tpls c="6">
          <tpl fld="11" item="0"/>
          <tpl fld="5" item="4"/>
          <tpl fld="6" item="2"/>
          <tpl hier="236" item="1"/>
          <tpl fld="4" item="6"/>
          <tpl fld="10" item="8"/>
        </tpls>
      </n>
      <n v="49" in="1">
        <tpls c="6">
          <tpl fld="11" item="0"/>
          <tpl fld="2" item="4"/>
          <tpl fld="6" item="1"/>
          <tpl hier="236" item="1"/>
          <tpl fld="4" item="3"/>
          <tpl fld="10" item="3"/>
        </tpls>
      </n>
      <n v="7.1935135135135129" in="2">
        <tpls c="6">
          <tpl fld="11" item="0"/>
          <tpl fld="5" item="3"/>
          <tpl fld="6" item="2"/>
          <tpl hier="236" item="1"/>
          <tpl fld="4" item="6"/>
          <tpl fld="10" item="8"/>
        </tpls>
      </n>
      <m>
        <tpls c="6">
          <tpl fld="11" item="0"/>
          <tpl fld="5" item="2"/>
          <tpl fld="6" item="2"/>
          <tpl hier="236" item="1"/>
          <tpl fld="4" item="3"/>
          <tpl fld="10" item="8"/>
        </tpls>
      </m>
      <n v="28" in="1">
        <tpls c="6">
          <tpl fld="11" item="0"/>
          <tpl fld="5" item="2"/>
          <tpl fld="6" item="1"/>
          <tpl hier="236" item="1"/>
          <tpl fld="4" item="6"/>
          <tpl fld="10" item="4"/>
        </tpls>
      </n>
      <m>
        <tpls c="4">
          <tpl fld="7" item="1207"/>
          <tpl fld="6" item="2"/>
          <tpl hier="236" item="1"/>
          <tpl fld="4" item="6"/>
        </tpls>
      </m>
      <m>
        <tpls c="6">
          <tpl fld="11" item="0"/>
          <tpl fld="5" item="3"/>
          <tpl fld="6" item="2"/>
          <tpl hier="236" item="1"/>
          <tpl fld="4" item="7"/>
          <tpl fld="10" item="1"/>
        </tpls>
      </m>
      <m>
        <tpls c="6">
          <tpl fld="11" item="0"/>
          <tpl fld="5" item="0"/>
          <tpl fld="6" item="2"/>
          <tpl hier="236" item="1"/>
          <tpl fld="4" item="7"/>
          <tpl fld="10" item="1"/>
        </tpls>
      </m>
      <m>
        <tpls c="4">
          <tpl fld="7" item="1047"/>
          <tpl fld="6" item="2"/>
          <tpl hier="236" item="1"/>
          <tpl fld="4" item="6"/>
        </tpls>
      </m>
      <n v="497" in="1">
        <tpls c="6">
          <tpl fld="11" item="0"/>
          <tpl fld="5" item="5"/>
          <tpl fld="6" item="1"/>
          <tpl hier="236" item="1"/>
          <tpl fld="4" item="3"/>
          <tpl fld="10" item="0"/>
        </tpls>
      </n>
      <m>
        <tpls c="6">
          <tpl fld="11" item="0"/>
          <tpl fld="2" item="2"/>
          <tpl fld="6" item="2"/>
          <tpl hier="236" item="1"/>
          <tpl fld="4" item="7"/>
          <tpl fld="10" item="1"/>
        </tpls>
      </m>
      <n v="289" in="1">
        <tpls c="6">
          <tpl fld="11" item="0"/>
          <tpl fld="5" item="5"/>
          <tpl fld="6" item="1"/>
          <tpl hier="236" item="1"/>
          <tpl fld="4" item="6"/>
          <tpl fld="10" item="0"/>
        </tpls>
      </n>
      <n v="29" in="1">
        <tpls c="6">
          <tpl fld="11" item="0"/>
          <tpl fld="2" item="0"/>
          <tpl fld="6" item="1"/>
          <tpl hier="236" item="1"/>
          <tpl fld="4" item="3"/>
          <tpl fld="10" item="0"/>
        </tpls>
      </n>
      <m>
        <tpls c="3">
          <tpl fld="7" item="1139"/>
          <tpl fld="6" item="3"/>
          <tpl hier="236" item="1"/>
        </tpls>
      </m>
      <n v="1" in="2">
        <tpls c="6">
          <tpl fld="11" item="0"/>
          <tpl fld="2" item="1"/>
          <tpl fld="6" item="2"/>
          <tpl hier="236" item="1"/>
          <tpl fld="4" item="4"/>
          <tpl fld="10" item="1"/>
        </tpls>
      </n>
      <n v="827" in="1">
        <tpls c="6">
          <tpl fld="3" item="1"/>
          <tpl fld="11" item="0"/>
          <tpl fld="6" item="1"/>
          <tpl hier="236" item="1"/>
          <tpl fld="4" item="3"/>
          <tpl fld="10" item="7"/>
        </tpls>
      </n>
      <n v="0" in="1">
        <tpls c="6">
          <tpl fld="3" item="0"/>
          <tpl fld="11" item="0"/>
          <tpl fld="6" item="1"/>
          <tpl hier="236" item="1"/>
          <tpl fld="4" item="6"/>
          <tpl fld="10" item="1"/>
        </tpls>
      </n>
      <n v="404" in="1">
        <tpls c="6">
          <tpl fld="11" item="0"/>
          <tpl fld="6" item="1"/>
          <tpl fld="8" item="0"/>
          <tpl hier="236" item="1"/>
          <tpl fld="4" item="6"/>
          <tpl fld="10" item="3"/>
        </tpls>
      </n>
      <m>
        <tpls c="4">
          <tpl fld="7" item="222"/>
          <tpl fld="6" item="1"/>
          <tpl hier="236" item="1"/>
          <tpl fld="4" item="4"/>
        </tpls>
      </m>
      <n v="2.4711351351351349" in="2">
        <tpls c="6">
          <tpl fld="11" item="0"/>
          <tpl fld="5" item="4"/>
          <tpl fld="6" item="2"/>
          <tpl hier="236" item="1"/>
          <tpl fld="4" item="6"/>
          <tpl fld="10" item="6"/>
        </tpls>
      </n>
      <n v="71" in="1">
        <tpls c="6">
          <tpl fld="11" item="0"/>
          <tpl fld="5" item="4"/>
          <tpl fld="6" item="1"/>
          <tpl hier="236" item="1"/>
          <tpl fld="4" item="4"/>
          <tpl fld="10" item="5"/>
        </tpls>
      </n>
      <m>
        <tpls c="3">
          <tpl fld="7" item="1164"/>
          <tpl fld="6" item="3"/>
          <tpl hier="236" item="1"/>
        </tpls>
      </m>
      <n v="1.4544266152488642E-2" in="0">
        <tpls c="5">
          <tpl fld="3" item="0"/>
          <tpl fld="11" item="0"/>
          <tpl fld="6" item="0"/>
          <tpl hier="236" item="1"/>
          <tpl fld="4" item="7"/>
        </tpls>
      </n>
      <n v="3" in="1">
        <tpls c="4">
          <tpl fld="7" item="1183"/>
          <tpl fld="6" item="1"/>
          <tpl hier="236" item="1"/>
          <tpl fld="1" item="0"/>
        </tpls>
      </n>
      <m>
        <tpls c="4">
          <tpl fld="7" item="1166"/>
          <tpl fld="6" item="1"/>
          <tpl hier="236" item="1"/>
          <tpl fld="4" item="6"/>
        </tpls>
      </m>
      <m>
        <tpls c="4">
          <tpl fld="7" item="1268"/>
          <tpl fld="6" item="2"/>
          <tpl hier="236" item="1"/>
          <tpl fld="4" item="5"/>
        </tpls>
      </m>
      <n v="5170" in="1">
        <tpls c="5">
          <tpl fld="11" item="0"/>
          <tpl fld="5" item="4"/>
          <tpl fld="6" item="1"/>
          <tpl hier="236" item="1"/>
          <tpl fld="1" item="0"/>
        </tpls>
      </n>
      <n v="12" in="1">
        <tpls c="4">
          <tpl fld="7" item="1032"/>
          <tpl fld="6" item="1"/>
          <tpl hier="236" item="1"/>
          <tpl fld="4" item="6"/>
        </tpls>
      </n>
      <n v="0.52" in="2">
        <tpls c="6">
          <tpl fld="11" item="0"/>
          <tpl fld="5" item="2"/>
          <tpl fld="6" item="2"/>
          <tpl hier="236" item="1"/>
          <tpl fld="4" item="4"/>
          <tpl fld="10" item="1"/>
        </tpls>
      </n>
      <m>
        <tpls c="4">
          <tpl fld="7" item="948"/>
          <tpl fld="6" item="1"/>
          <tpl hier="236" item="1"/>
          <tpl fld="1" item="0"/>
        </tpls>
      </m>
      <m>
        <tpls c="3">
          <tpl fld="7" item="950"/>
          <tpl fld="6" item="3"/>
          <tpl hier="236" item="1"/>
        </tpls>
      </m>
      <n v="19" in="1">
        <tpls c="6">
          <tpl fld="11" item="0"/>
          <tpl fld="5" item="1"/>
          <tpl fld="6" item="1"/>
          <tpl hier="236" item="1"/>
          <tpl fld="4" item="6"/>
          <tpl fld="10" item="5"/>
        </tpls>
      </n>
      <n v="1" in="1">
        <tpls c="4">
          <tpl fld="7" item="1255"/>
          <tpl fld="6" item="1"/>
          <tpl hier="236" item="1"/>
          <tpl fld="4" item="6"/>
        </tpls>
      </n>
      <m>
        <tpls c="6">
          <tpl fld="11" item="0"/>
          <tpl fld="5" item="4"/>
          <tpl fld="6" item="2"/>
          <tpl hier="236" item="1"/>
          <tpl fld="4" item="7"/>
          <tpl fld="10" item="3"/>
        </tpls>
      </m>
      <m>
        <tpls c="6">
          <tpl fld="11" item="0"/>
          <tpl fld="5" item="2"/>
          <tpl fld="6" item="2"/>
          <tpl hier="236" item="1"/>
          <tpl fld="4" item="6"/>
          <tpl fld="10" item="1"/>
        </tpls>
      </m>
      <m>
        <tpls c="6">
          <tpl fld="11" item="0"/>
          <tpl fld="5" item="2"/>
          <tpl fld="6" item="1"/>
          <tpl hier="236" item="1"/>
          <tpl fld="4" item="7"/>
          <tpl fld="10" item="7"/>
        </tpls>
      </m>
      <n v="317" in="1">
        <tpls c="6">
          <tpl fld="11" item="0"/>
          <tpl fld="2" item="3"/>
          <tpl fld="6" item="1"/>
          <tpl hier="236" item="1"/>
          <tpl fld="4" item="4"/>
          <tpl fld="10" item="3"/>
        </tpls>
      </n>
      <n v="194.9674054054054" in="2">
        <tpls c="5">
          <tpl fld="11" item="0"/>
          <tpl fld="2" item="3"/>
          <tpl fld="6" item="2"/>
          <tpl hier="236" item="1"/>
          <tpl fld="1" item="0"/>
        </tpls>
      </n>
      <n v="3" in="1">
        <tpls c="6">
          <tpl fld="3" item="0"/>
          <tpl fld="11" item="0"/>
          <tpl fld="6" item="1"/>
          <tpl hier="236" item="1"/>
          <tpl fld="4" item="4"/>
          <tpl fld="10" item="4"/>
        </tpls>
      </n>
      <n v="41" in="1">
        <tpls c="6">
          <tpl fld="11" item="0"/>
          <tpl fld="5" item="2"/>
          <tpl fld="6" item="1"/>
          <tpl hier="236" item="1"/>
          <tpl fld="4" item="4"/>
          <tpl fld="10" item="2"/>
        </tpls>
      </n>
      <m>
        <tpls c="6">
          <tpl fld="11" item="0"/>
          <tpl fld="2" item="4"/>
          <tpl fld="6" item="2"/>
          <tpl hier="236" item="1"/>
          <tpl fld="4" item="4"/>
          <tpl fld="10" item="1"/>
        </tpls>
      </m>
      <m>
        <tpls c="3">
          <tpl fld="7" item="1042"/>
          <tpl fld="6" item="3"/>
          <tpl hier="236" item="1"/>
        </tpls>
      </m>
      <n v="7.8956756756756743" in="2">
        <tpls c="5">
          <tpl fld="11" item="0"/>
          <tpl fld="5" item="3"/>
          <tpl fld="6" item="2"/>
          <tpl hier="236" item="1"/>
          <tpl fld="4" item="5"/>
        </tpls>
      </n>
      <m>
        <tpls c="3">
          <tpl fld="7" item="947"/>
          <tpl fld="6" item="3"/>
          <tpl hier="236" item="1"/>
        </tpls>
      </m>
      <n v="383" in="1">
        <tpls c="5">
          <tpl fld="11" item="0"/>
          <tpl fld="5" item="3"/>
          <tpl fld="6" item="1"/>
          <tpl hier="236" item="1"/>
          <tpl fld="4" item="5"/>
        </tpls>
      </n>
      <n v="2.811891891891892" in="2">
        <tpls c="6">
          <tpl fld="11" item="0"/>
          <tpl fld="5" item="4"/>
          <tpl fld="6" item="2"/>
          <tpl hier="236" item="1"/>
          <tpl fld="4" item="6"/>
          <tpl fld="10" item="2"/>
        </tpls>
      </n>
      <n v="2.2800000000000002" in="2">
        <tpls c="6">
          <tpl fld="11" item="0"/>
          <tpl fld="5" item="4"/>
          <tpl fld="6" item="2"/>
          <tpl hier="236" item="1"/>
          <tpl fld="4" item="4"/>
          <tpl fld="10" item="2"/>
        </tpls>
      </n>
      <n v="42.251135135135137" in="2">
        <tpls c="6">
          <tpl fld="11" item="0"/>
          <tpl fld="2" item="0"/>
          <tpl fld="6" item="2"/>
          <tpl hier="236" item="1"/>
          <tpl fld="4" item="4"/>
          <tpl fld="10" item="6"/>
        </tpls>
      </n>
      <n v="31.720270270270269" in="2">
        <tpls c="5">
          <tpl fld="11" item="0"/>
          <tpl fld="2" item="2"/>
          <tpl fld="6" item="2"/>
          <tpl hier="236" item="1"/>
          <tpl fld="4" item="0"/>
        </tpls>
      </n>
      <n v="1.9600000000000002" in="2">
        <tpls c="6">
          <tpl fld="3" item="0"/>
          <tpl fld="11" item="0"/>
          <tpl fld="6" item="2"/>
          <tpl hier="236" item="1"/>
          <tpl fld="4" item="4"/>
          <tpl fld="10" item="7"/>
        </tpls>
      </n>
      <n v="316" in="1">
        <tpls c="6">
          <tpl fld="11" item="0"/>
          <tpl fld="5" item="0"/>
          <tpl fld="6" item="1"/>
          <tpl hier="236" item="1"/>
          <tpl fld="4" item="6"/>
          <tpl fld="10" item="0"/>
        </tpls>
      </n>
      <n v="110" in="1">
        <tpls c="6">
          <tpl fld="11" item="0"/>
          <tpl fld="2" item="0"/>
          <tpl fld="6" item="1"/>
          <tpl hier="236" item="1"/>
          <tpl fld="4" item="4"/>
          <tpl fld="10" item="5"/>
        </tpls>
      </n>
      <m>
        <tpls c="3">
          <tpl fld="7" item="1045"/>
          <tpl fld="6" item="3"/>
          <tpl hier="236" item="1"/>
        </tpls>
      </m>
      <m>
        <tpls c="4">
          <tpl fld="7" item="959"/>
          <tpl fld="6" item="1"/>
          <tpl hier="236" item="1"/>
          <tpl fld="4" item="6"/>
        </tpls>
      </m>
      <n v="9" in="1">
        <tpls c="4">
          <tpl fld="7" item="1203"/>
          <tpl fld="6" item="1"/>
          <tpl hier="236" item="1"/>
          <tpl fld="4" item="6"/>
        </tpls>
      </n>
      <n v="4.5599999999999996" in="2">
        <tpls c="6">
          <tpl fld="11" item="0"/>
          <tpl fld="5" item="4"/>
          <tpl fld="6" item="2"/>
          <tpl hier="236" item="1"/>
          <tpl fld="4" item="6"/>
          <tpl fld="10" item="7"/>
        </tpls>
      </n>
      <n v="36.98043243243243" in="2">
        <tpls c="6">
          <tpl fld="11" item="0"/>
          <tpl fld="5" item="5"/>
          <tpl fld="6" item="2"/>
          <tpl hier="236" item="1"/>
          <tpl fld="4" item="3"/>
          <tpl fld="10" item="2"/>
        </tpls>
      </n>
      <m>
        <tpls c="6">
          <tpl fld="11" item="0"/>
          <tpl fld="5" item="4"/>
          <tpl fld="6" item="2"/>
          <tpl hier="236" item="1"/>
          <tpl fld="4" item="3"/>
          <tpl fld="10" item="3"/>
        </tpls>
      </m>
      <n v="87" in="1">
        <tpls c="6">
          <tpl fld="11" item="0"/>
          <tpl fld="2" item="3"/>
          <tpl fld="6" item="1"/>
          <tpl hier="236" item="1"/>
          <tpl fld="4" item="6"/>
          <tpl fld="10" item="6"/>
        </tpls>
      </n>
      <n v="218" in="1">
        <tpls c="6">
          <tpl fld="11" item="0"/>
          <tpl fld="2" item="2"/>
          <tpl fld="6" item="1"/>
          <tpl hier="236" item="1"/>
          <tpl fld="4" item="6"/>
          <tpl fld="10" item="4"/>
        </tpls>
      </n>
      <n v="23.767567567567568" in="2">
        <tpls c="6">
          <tpl fld="11" item="0"/>
          <tpl fld="5" item="3"/>
          <tpl fld="6" item="2"/>
          <tpl hier="236" item="1"/>
          <tpl fld="4" item="4"/>
          <tpl fld="10" item="0"/>
        </tpls>
      </n>
      <n v="17.839999999999996" in="2">
        <tpls c="6">
          <tpl fld="11" item="0"/>
          <tpl fld="2" item="4"/>
          <tpl fld="6" item="2"/>
          <tpl hier="236" item="1"/>
          <tpl fld="4" item="1"/>
          <tpl fld="9" item="4"/>
        </tpls>
      </n>
      <n v="1" in="2">
        <tpls c="6">
          <tpl fld="11" item="0"/>
          <tpl fld="2" item="4"/>
          <tpl fld="6" item="2"/>
          <tpl hier="236" item="1"/>
          <tpl fld="4" item="7"/>
          <tpl fld="10" item="0"/>
        </tpls>
      </n>
      <n v="3.3200000000000003" in="2">
        <tpls c="6">
          <tpl fld="3" item="4"/>
          <tpl fld="11" item="0"/>
          <tpl fld="6" item="2"/>
          <tpl hier="236" item="1"/>
          <tpl fld="4" item="4"/>
          <tpl fld="10" item="4"/>
        </tpls>
      </n>
      <n v="12" in="1">
        <tpls c="6">
          <tpl fld="11" item="0"/>
          <tpl fld="5" item="2"/>
          <tpl fld="6" item="1"/>
          <tpl hier="236" item="1"/>
          <tpl fld="4" item="6"/>
          <tpl fld="10" item="6"/>
        </tpls>
      </n>
      <n v="16.608648648648646" in="2">
        <tpls c="6">
          <tpl fld="11" item="0"/>
          <tpl fld="2" item="2"/>
          <tpl fld="6" item="2"/>
          <tpl hier="236" item="1"/>
          <tpl fld="4" item="4"/>
          <tpl fld="10" item="7"/>
        </tpls>
      </n>
      <m>
        <tpls c="4">
          <tpl fld="7" item="975"/>
          <tpl fld="6" item="2"/>
          <tpl hier="236" item="1"/>
          <tpl fld="4" item="6"/>
        </tpls>
      </m>
      <n v="227" in="1">
        <tpls c="6">
          <tpl fld="11" item="0"/>
          <tpl fld="5" item="3"/>
          <tpl fld="6" item="1"/>
          <tpl hier="236" item="1"/>
          <tpl fld="4" item="4"/>
          <tpl fld="10" item="2"/>
        </tpls>
      </n>
      <n v="1112" in="1">
        <tpls c="6">
          <tpl fld="3" item="1"/>
          <tpl fld="11" item="0"/>
          <tpl fld="6" item="1"/>
          <tpl hier="236" item="1"/>
          <tpl fld="4" item="4"/>
          <tpl fld="10" item="0"/>
        </tpls>
      </n>
      <n v="134" in="1">
        <tpls c="6">
          <tpl fld="11" item="0"/>
          <tpl fld="2" item="0"/>
          <tpl fld="6" item="1"/>
          <tpl hier="236" item="1"/>
          <tpl fld="4" item="3"/>
          <tpl fld="10" item="2"/>
        </tpls>
      </n>
      <n v="377" in="1">
        <tpls c="6">
          <tpl fld="11" item="0"/>
          <tpl fld="5" item="0"/>
          <tpl fld="6" item="1"/>
          <tpl hier="236" item="1"/>
          <tpl fld="4" item="6"/>
          <tpl fld="10" item="4"/>
        </tpls>
      </n>
      <n v="5.6400000000000006" in="2">
        <tpls c="6">
          <tpl fld="11" item="0"/>
          <tpl fld="2" item="1"/>
          <tpl fld="6" item="2"/>
          <tpl hier="236" item="1"/>
          <tpl fld="4" item="4"/>
          <tpl fld="10" item="4"/>
        </tpls>
      </n>
      <n v="155.49162162162168" in="2">
        <tpls c="5">
          <tpl fld="3" item="1"/>
          <tpl fld="11" item="0"/>
          <tpl fld="6" item="2"/>
          <tpl hier="236" item="1"/>
          <tpl fld="1" item="0"/>
        </tpls>
      </n>
      <n v="1" in="1">
        <tpls c="6">
          <tpl fld="3" item="4"/>
          <tpl fld="11" item="0"/>
          <tpl fld="6" item="1"/>
          <tpl hier="236" item="1"/>
          <tpl fld="4" item="7"/>
          <tpl fld="10" item="7"/>
        </tpls>
      </n>
      <n v="23.808648648648649" in="2">
        <tpls c="6">
          <tpl fld="3" item="4"/>
          <tpl fld="11" item="0"/>
          <tpl fld="6" item="2"/>
          <tpl hier="236" item="1"/>
          <tpl fld="4" item="4"/>
          <tpl fld="10" item="6"/>
        </tpls>
      </n>
      <m>
        <tpls c="4">
          <tpl fld="7" item="954"/>
          <tpl fld="6" item="1"/>
          <tpl hier="236" item="1"/>
          <tpl fld="4" item="5"/>
        </tpls>
      </m>
      <m>
        <tpls c="4">
          <tpl fld="7" item="1070"/>
          <tpl fld="6" item="2"/>
          <tpl hier="236" item="1"/>
          <tpl fld="4" item="5"/>
        </tpls>
      </m>
      <n v="3" in="1">
        <tpls c="4">
          <tpl fld="7" item="1148"/>
          <tpl fld="6" item="1"/>
          <tpl hier="236" item="1"/>
          <tpl fld="1" item="0"/>
        </tpls>
      </n>
      <n v="1" in="1">
        <tpls c="4">
          <tpl fld="7" item="947"/>
          <tpl fld="6" item="1"/>
          <tpl hier="236" item="1"/>
          <tpl fld="4" item="6"/>
        </tpls>
      </n>
      <n v="1" in="1">
        <tpls c="4">
          <tpl fld="7" item="1152"/>
          <tpl fld="6" item="1"/>
          <tpl hier="236" item="1"/>
          <tpl fld="4" item="6"/>
        </tpls>
      </n>
      <m>
        <tpls c="4">
          <tpl fld="7" item="1163"/>
          <tpl fld="6" item="1"/>
          <tpl hier="236" item="1"/>
          <tpl fld="1" item="0"/>
        </tpls>
      </m>
      <n v="4" in="1">
        <tpls c="4">
          <tpl fld="7" item="1066"/>
          <tpl fld="6" item="1"/>
          <tpl hier="236" item="1"/>
          <tpl fld="1" item="0"/>
        </tpls>
      </n>
      <n v="0" in="1">
        <tpls c="6">
          <tpl fld="11" item="0"/>
          <tpl fld="5" item="4"/>
          <tpl fld="6" item="1"/>
          <tpl hier="236" item="1"/>
          <tpl fld="4" item="3"/>
          <tpl fld="10" item="5"/>
        </tpls>
      </n>
      <n v="3781" in="1">
        <tpls c="5">
          <tpl fld="3" item="0"/>
          <tpl fld="11" item="0"/>
          <tpl fld="6" item="1"/>
          <tpl hier="236" item="1"/>
          <tpl fld="1" item="0"/>
        </tpls>
      </n>
      <m>
        <tpls c="4">
          <tpl fld="7" item="1160"/>
          <tpl fld="6" item="1"/>
          <tpl hier="236" item="1"/>
          <tpl fld="4" item="6"/>
        </tpls>
      </m>
      <n v="164" in="1">
        <tpls c="5">
          <tpl fld="11" item="0"/>
          <tpl fld="5" item="4"/>
          <tpl fld="6" item="1"/>
          <tpl hier="236" item="1"/>
          <tpl fld="4" item="0"/>
        </tpls>
      </n>
      <n v="145.31291891891897" in="2">
        <tpls c="6">
          <tpl fld="3" item="4"/>
          <tpl fld="11" item="0"/>
          <tpl fld="6" item="2"/>
          <tpl hier="236" item="1"/>
          <tpl fld="4" item="1"/>
          <tpl fld="9" item="4"/>
        </tpls>
      </n>
      <m>
        <tpls c="4">
          <tpl fld="7" item="1075"/>
          <tpl fld="6" item="1"/>
          <tpl hier="236" item="1"/>
          <tpl fld="4" item="5"/>
        </tpls>
      </m>
      <n v="3.2399999999999998" in="2">
        <tpls c="6">
          <tpl fld="11" item="0"/>
          <tpl fld="5" item="5"/>
          <tpl fld="6" item="2"/>
          <tpl hier="236" item="1"/>
          <tpl fld="4" item="6"/>
          <tpl fld="10" item="5"/>
        </tpls>
      </n>
      <m>
        <tpls c="6">
          <tpl fld="11" item="0"/>
          <tpl fld="5" item="1"/>
          <tpl fld="6" item="2"/>
          <tpl hier="236" item="1"/>
          <tpl fld="4" item="7"/>
          <tpl fld="10" item="7"/>
        </tpls>
      </m>
      <n v="7.7481081081081085" in="2">
        <tpls c="6">
          <tpl fld="3" item="4"/>
          <tpl fld="11" item="0"/>
          <tpl fld="6" item="2"/>
          <tpl hier="236" item="1"/>
          <tpl fld="4" item="6"/>
          <tpl fld="10" item="5"/>
        </tpls>
      </n>
      <n v="351" in="1">
        <tpls c="5">
          <tpl fld="11" item="0"/>
          <tpl fld="5" item="5"/>
          <tpl fld="6" item="1"/>
          <tpl hier="236" item="1"/>
          <tpl fld="4" item="0"/>
        </tpls>
      </n>
      <m>
        <tpls c="6">
          <tpl fld="11" item="0"/>
          <tpl fld="2" item="2"/>
          <tpl fld="6" item="2"/>
          <tpl hier="236" item="1"/>
          <tpl fld="4" item="7"/>
          <tpl fld="10" item="0"/>
        </tpls>
      </m>
      <n v="-1" in="1">
        <tpls c="6">
          <tpl fld="11" item="0"/>
          <tpl fld="5" item="0"/>
          <tpl fld="6" item="1"/>
          <tpl hier="236" item="1"/>
          <tpl fld="4" item="3"/>
          <tpl fld="10" item="7"/>
        </tpls>
      </n>
      <n v="142" in="1">
        <tpls c="6">
          <tpl fld="11" item="0"/>
          <tpl fld="2" item="0"/>
          <tpl fld="6" item="1"/>
          <tpl hier="236" item="1"/>
          <tpl fld="4" item="4"/>
          <tpl fld="10" item="4"/>
        </tpls>
      </n>
      <m>
        <tpls c="4">
          <tpl fld="7" item="1268"/>
          <tpl fld="6" item="2"/>
          <tpl hier="236" item="1"/>
          <tpl fld="4" item="6"/>
        </tpls>
      </m>
      <n v="36.302162162162162" in="2">
        <tpls c="6">
          <tpl fld="11" item="0"/>
          <tpl fld="2" item="1"/>
          <tpl fld="6" item="2"/>
          <tpl hier="236" item="1"/>
          <tpl fld="4" item="6"/>
          <tpl fld="10" item="8"/>
        </tpls>
      </n>
      <m>
        <tpls c="6">
          <tpl fld="3" item="0"/>
          <tpl fld="11" item="0"/>
          <tpl fld="6" item="2"/>
          <tpl hier="236" item="1"/>
          <tpl fld="4" item="4"/>
          <tpl fld="10" item="6"/>
        </tpls>
      </m>
      <n v="11.712702702702702" in="2">
        <tpls c="6">
          <tpl fld="11" item="0"/>
          <tpl fld="2" item="3"/>
          <tpl fld="6" item="2"/>
          <tpl hier="236" item="1"/>
          <tpl fld="4" item="6"/>
          <tpl fld="10" item="8"/>
        </tpls>
      </n>
      <n v="453" in="1">
        <tpls c="6">
          <tpl fld="11" item="0"/>
          <tpl fld="6" item="1"/>
          <tpl fld="8" item="0"/>
          <tpl hier="236" item="1"/>
          <tpl fld="4" item="6"/>
          <tpl fld="10" item="0"/>
        </tpls>
      </n>
      <m>
        <tpls c="4">
          <tpl fld="7" item="221"/>
          <tpl fld="6" item="2"/>
          <tpl hier="236" item="1"/>
          <tpl fld="4" item="6"/>
        </tpls>
      </m>
      <m>
        <tpls c="3">
          <tpl fld="7" item="1207"/>
          <tpl fld="6" item="3"/>
          <tpl hier="236" item="1"/>
        </tpls>
      </m>
      <n v="9.6075675675675676" in="2">
        <tpls c="6">
          <tpl fld="3" item="1"/>
          <tpl fld="11" item="0"/>
          <tpl fld="6" item="2"/>
          <tpl hier="236" item="1"/>
          <tpl fld="4" item="3"/>
          <tpl fld="10" item="8"/>
        </tpls>
      </n>
      <n v="818" in="1">
        <tpls c="6">
          <tpl fld="11" item="0"/>
          <tpl fld="5" item="0"/>
          <tpl fld="6" item="1"/>
          <tpl hier="236" item="1"/>
          <tpl fld="4" item="4"/>
          <tpl fld="10" item="7"/>
        </tpls>
      </n>
      <n v="13.12" in="2">
        <tpls c="6">
          <tpl fld="3" item="2"/>
          <tpl fld="11" item="0"/>
          <tpl fld="6" item="2"/>
          <tpl hier="236" item="1"/>
          <tpl fld="4" item="4"/>
          <tpl fld="10" item="2"/>
        </tpls>
      </n>
      <m>
        <tpls c="3">
          <tpl fld="7" item="959"/>
          <tpl fld="6" item="3"/>
          <tpl hier="236" item="1"/>
        </tpls>
      </m>
      <n v="5.32" in="2">
        <tpls c="6">
          <tpl fld="11" item="0"/>
          <tpl fld="2" item="0"/>
          <tpl fld="6" item="2"/>
          <tpl hier="236" item="1"/>
          <tpl fld="4" item="4"/>
          <tpl fld="10" item="2"/>
        </tpls>
      </n>
      <n v="71" in="1">
        <tpls c="6">
          <tpl fld="11" item="0"/>
          <tpl fld="2" item="0"/>
          <tpl fld="6" item="1"/>
          <tpl hier="236" item="1"/>
          <tpl fld="4" item="6"/>
          <tpl fld="10" item="0"/>
        </tpls>
      </n>
      <n v="1" in="1">
        <tpls c="6">
          <tpl fld="3" item="2"/>
          <tpl fld="11" item="0"/>
          <tpl fld="6" item="1"/>
          <tpl hier="236" item="1"/>
          <tpl fld="4" item="3"/>
          <tpl fld="10" item="2"/>
        </tpls>
      </n>
      <n v="674" in="1">
        <tpls c="6">
          <tpl fld="11" item="0"/>
          <tpl fld="5" item="0"/>
          <tpl fld="6" item="1"/>
          <tpl hier="236" item="1"/>
          <tpl fld="4" item="6"/>
          <tpl fld="10" item="2"/>
        </tpls>
      </n>
      <n v="5.4902702702702708" in="2">
        <tpls c="6">
          <tpl fld="11" item="0"/>
          <tpl fld="2" item="2"/>
          <tpl fld="6" item="2"/>
          <tpl hier="236" item="1"/>
          <tpl fld="4" item="6"/>
          <tpl fld="10" item="4"/>
        </tpls>
      </n>
      <n v="2117" in="1">
        <tpls c="6">
          <tpl fld="3" item="2"/>
          <tpl fld="11" item="0"/>
          <tpl fld="6" item="1"/>
          <tpl hier="236" item="1"/>
          <tpl fld="4" item="1"/>
          <tpl fld="9" item="4"/>
        </tpls>
      </n>
      <n v="1.6" in="2">
        <tpls c="6">
          <tpl fld="11" item="0"/>
          <tpl fld="5" item="0"/>
          <tpl fld="6" item="2"/>
          <tpl hier="236" item="1"/>
          <tpl fld="4" item="1"/>
          <tpl fld="9" item="2"/>
        </tpls>
      </n>
      <n v="2.2000000000000002" in="2">
        <tpls c="6">
          <tpl fld="3" item="1"/>
          <tpl fld="11" item="0"/>
          <tpl fld="6" item="2"/>
          <tpl hier="236" item="1"/>
          <tpl fld="4" item="4"/>
          <tpl fld="10" item="4"/>
        </tpls>
      </n>
      <n v="6" in="2">
        <tpls c="6">
          <tpl fld="11" item="0"/>
          <tpl fld="6" item="2"/>
          <tpl fld="8" item="0"/>
          <tpl hier="236" item="1"/>
          <tpl fld="4" item="4"/>
          <tpl fld="10" item="5"/>
        </tpls>
      </n>
      <m>
        <tpls c="4">
          <tpl fld="7" item="123"/>
          <tpl fld="6" item="1"/>
          <tpl hier="236" item="1"/>
          <tpl fld="4" item="4"/>
        </tpls>
      </m>
      <m>
        <tpls c="6">
          <tpl fld="11" item="0"/>
          <tpl fld="2" item="1"/>
          <tpl fld="6" item="1"/>
          <tpl hier="236" item="1"/>
          <tpl fld="4" item="7"/>
          <tpl fld="10" item="6"/>
        </tpls>
      </m>
      <n v="3.9200000000000004" in="2">
        <tpls c="6">
          <tpl fld="3" item="1"/>
          <tpl fld="11" item="0"/>
          <tpl fld="6" item="2"/>
          <tpl hier="236" item="1"/>
          <tpl fld="4" item="1"/>
          <tpl fld="9" item="1"/>
        </tpls>
      </n>
      <n v="11" in="1">
        <tpls c="6">
          <tpl fld="11" item="0"/>
          <tpl fld="5" item="5"/>
          <tpl fld="6" item="1"/>
          <tpl hier="236" item="1"/>
          <tpl fld="4" item="1"/>
          <tpl fld="9" item="0"/>
        </tpls>
      </n>
      <m>
        <tpls c="4">
          <tpl fld="7" item="1168"/>
          <tpl fld="6" item="2"/>
          <tpl hier="236" item="1"/>
          <tpl fld="1" item="0"/>
        </tpls>
      </m>
      <m>
        <tpls c="4">
          <tpl fld="7" item="962"/>
          <tpl fld="6" item="1"/>
          <tpl hier="236" item="1"/>
          <tpl fld="4" item="5"/>
        </tpls>
      </m>
      <m>
        <tpls c="4">
          <tpl fld="7" item="1175"/>
          <tpl fld="6" item="2"/>
          <tpl hier="236" item="1"/>
          <tpl fld="4" item="6"/>
        </tpls>
      </m>
      <m>
        <tpls c="3">
          <tpl fld="7" item="1172"/>
          <tpl fld="6" item="3"/>
          <tpl hier="236" item="1"/>
        </tpls>
      </m>
      <n v="14" in="1">
        <tpls c="6">
          <tpl fld="11" item="0"/>
          <tpl fld="5" item="1"/>
          <tpl fld="6" item="1"/>
          <tpl hier="236" item="1"/>
          <tpl fld="4" item="6"/>
          <tpl fld="10" item="3"/>
        </tpls>
      </n>
      <m>
        <tpls c="6">
          <tpl fld="11" item="0"/>
          <tpl fld="5" item="4"/>
          <tpl fld="6" item="2"/>
          <tpl hier="236" item="1"/>
          <tpl fld="4" item="3"/>
          <tpl fld="10" item="7"/>
        </tpls>
      </m>
      <n v="0" in="1">
        <tpls c="6">
          <tpl fld="3" item="2"/>
          <tpl fld="11" item="0"/>
          <tpl fld="6" item="1"/>
          <tpl hier="236" item="1"/>
          <tpl fld="4" item="7"/>
          <tpl fld="10" item="4"/>
        </tpls>
      </n>
      <m>
        <tpls c="3">
          <tpl fld="7" item="971"/>
          <tpl fld="6" item="3"/>
          <tpl hier="236" item="1"/>
        </tpls>
      </m>
      <m>
        <tpls c="3">
          <tpl fld="7" item="1070"/>
          <tpl fld="6" item="3"/>
          <tpl hier="236" item="1"/>
        </tpls>
      </m>
      <m>
        <tpls c="6">
          <tpl fld="11" item="0"/>
          <tpl fld="5" item="1"/>
          <tpl fld="6" item="1"/>
          <tpl hier="236" item="1"/>
          <tpl fld="4" item="7"/>
          <tpl fld="10" item="2"/>
        </tpls>
      </m>
      <n v="4" in="1">
        <tpls c="4">
          <tpl fld="7" item="1157"/>
          <tpl fld="6" item="1"/>
          <tpl hier="236" item="1"/>
          <tpl fld="4" item="6"/>
        </tpls>
      </n>
      <n v="8.84" in="2">
        <tpls c="6">
          <tpl fld="11" item="0"/>
          <tpl fld="2" item="0"/>
          <tpl fld="6" item="2"/>
          <tpl hier="236" item="1"/>
          <tpl fld="4" item="4"/>
          <tpl fld="10" item="3"/>
        </tpls>
      </n>
      <n v="77" in="1">
        <tpls c="6">
          <tpl fld="11" item="0"/>
          <tpl fld="2" item="0"/>
          <tpl fld="6" item="1"/>
          <tpl hier="236" item="1"/>
          <tpl fld="4" item="4"/>
          <tpl fld="10" item="1"/>
        </tpls>
      </n>
      <n v="1" in="1">
        <tpls c="4">
          <tpl fld="7" item="1269"/>
          <tpl fld="6" item="1"/>
          <tpl hier="236" item="1"/>
          <tpl fld="4" item="6"/>
        </tpls>
      </n>
      <n v="66" in="1">
        <tpls c="6">
          <tpl fld="11" item="0"/>
          <tpl fld="2" item="3"/>
          <tpl fld="6" item="1"/>
          <tpl hier="236" item="1"/>
          <tpl fld="4" item="3"/>
          <tpl fld="10" item="5"/>
        </tpls>
      </n>
      <m>
        <tpls c="6">
          <tpl fld="11" item="0"/>
          <tpl fld="2" item="4"/>
          <tpl fld="6" item="2"/>
          <tpl hier="236" item="1"/>
          <tpl fld="4" item="3"/>
          <tpl fld="10" item="3"/>
        </tpls>
      </m>
      <m>
        <tpls c="3">
          <tpl fld="7" item="1069"/>
          <tpl fld="6" item="3"/>
          <tpl hier="236" item="1"/>
        </tpls>
      </m>
      <n v="2.6" in="2">
        <tpls c="6">
          <tpl fld="11" item="0"/>
          <tpl fld="2" item="2"/>
          <tpl fld="6" item="2"/>
          <tpl hier="236" item="1"/>
          <tpl fld="4" item="1"/>
          <tpl fld="9" item="3"/>
        </tpls>
      </n>
      <n v="18" in="1">
        <tpls c="4">
          <tpl fld="7" item="971"/>
          <tpl fld="6" item="1"/>
          <tpl hier="236" item="1"/>
          <tpl fld="4" item="6"/>
        </tpls>
      </n>
      <n v="-1" in="1">
        <tpls c="6">
          <tpl fld="11" item="0"/>
          <tpl fld="5" item="3"/>
          <tpl fld="6" item="1"/>
          <tpl hier="236" item="1"/>
          <tpl fld="4" item="3"/>
          <tpl fld="10" item="2"/>
        </tpls>
      </n>
      <n v="3.5200000000000005" in="2">
        <tpls c="6">
          <tpl fld="11" item="0"/>
          <tpl fld="2" item="2"/>
          <tpl fld="6" item="2"/>
          <tpl hier="236" item="1"/>
          <tpl fld="4" item="7"/>
          <tpl fld="10" item="8"/>
        </tpls>
      </n>
      <m>
        <tpls c="6">
          <tpl fld="11" item="0"/>
          <tpl fld="5" item="2"/>
          <tpl fld="6" item="1"/>
          <tpl hier="236" item="1"/>
          <tpl fld="4" item="3"/>
          <tpl fld="10" item="8"/>
        </tpls>
      </m>
      <n v="7.7200000000000006" in="2">
        <tpls c="6">
          <tpl fld="11" item="0"/>
          <tpl fld="2" item="1"/>
          <tpl fld="6" item="2"/>
          <tpl hier="236" item="1"/>
          <tpl fld="4" item="3"/>
          <tpl fld="10" item="5"/>
        </tpls>
      </n>
      <m>
        <tpls c="4">
          <tpl fld="7" item="1050"/>
          <tpl fld="6" item="1"/>
          <tpl hier="236" item="1"/>
          <tpl fld="1" item="0"/>
        </tpls>
      </m>
      <n v="13.112000000000002" in="2">
        <tpls c="6">
          <tpl fld="3" item="4"/>
          <tpl fld="11" item="0"/>
          <tpl fld="6" item="2"/>
          <tpl hier="236" item="1"/>
          <tpl fld="4" item="6"/>
          <tpl fld="10" item="7"/>
        </tpls>
      </n>
      <n v="255" in="1">
        <tpls c="6">
          <tpl fld="11" item="0"/>
          <tpl fld="6" item="1"/>
          <tpl fld="8" item="0"/>
          <tpl hier="236" item="1"/>
          <tpl fld="4" item="3"/>
          <tpl fld="10" item="4"/>
        </tpls>
      </n>
      <m>
        <tpls c="4">
          <tpl fld="7" item="225"/>
          <tpl fld="6" item="2"/>
          <tpl hier="236" item="1"/>
          <tpl fld="4" item="6"/>
        </tpls>
      </m>
      <n v="3.9264864864864863" in="2">
        <tpls c="5">
          <tpl fld="11" item="0"/>
          <tpl fld="2" item="2"/>
          <tpl fld="6" item="2"/>
          <tpl hier="236" item="1"/>
          <tpl fld="4" item="2"/>
        </tpls>
      </n>
      <n v="5.4" in="2">
        <tpls c="6">
          <tpl fld="11" item="0"/>
          <tpl fld="5" item="4"/>
          <tpl fld="6" item="2"/>
          <tpl hier="236" item="1"/>
          <tpl fld="4" item="4"/>
          <tpl fld="10" item="3"/>
        </tpls>
      </n>
      <m>
        <tpls c="3">
          <tpl fld="7" item="968"/>
          <tpl fld="6" item="3"/>
          <tpl hier="236" item="1"/>
        </tpls>
      </m>
      <m>
        <tpls c="4">
          <tpl fld="7" item="1280"/>
          <tpl fld="6" item="1"/>
          <tpl hier="236" item="1"/>
          <tpl fld="4" item="5"/>
        </tpls>
      </m>
      <m>
        <tpls c="3">
          <tpl fld="7" item="1044"/>
          <tpl fld="6" item="3"/>
          <tpl hier="236" item="1"/>
        </tpls>
      </m>
      <n v="13" in="1">
        <tpls c="4">
          <tpl fld="7" item="973"/>
          <tpl fld="6" item="1"/>
          <tpl hier="236" item="1"/>
          <tpl fld="4" item="6"/>
        </tpls>
      </n>
      <m>
        <tpls c="4">
          <tpl fld="7" item="1046"/>
          <tpl fld="6" item="1"/>
          <tpl hier="236" item="1"/>
          <tpl fld="4" item="6"/>
        </tpls>
      </m>
      <n v="54" in="1">
        <tpls c="6">
          <tpl fld="11" item="0"/>
          <tpl fld="5" item="1"/>
          <tpl fld="6" item="1"/>
          <tpl hier="236" item="1"/>
          <tpl fld="4" item="4"/>
          <tpl fld="10" item="2"/>
        </tpls>
      </n>
      <n v="12" in="1">
        <tpls c="4">
          <tpl fld="7" item="1153"/>
          <tpl fld="6" item="1"/>
          <tpl hier="236" item="1"/>
          <tpl fld="4" item="6"/>
        </tpls>
      </n>
      <m>
        <tpls c="6">
          <tpl fld="11" item="0"/>
          <tpl fld="5" item="1"/>
          <tpl fld="6" item="2"/>
          <tpl hier="236" item="1"/>
          <tpl fld="4" item="3"/>
          <tpl fld="10" item="6"/>
        </tpls>
      </m>
      <m>
        <tpls c="3">
          <tpl fld="7" item="1064"/>
          <tpl fld="6" item="3"/>
          <tpl hier="236" item="1"/>
        </tpls>
      </m>
      <n v="2.6399999999999997" in="2">
        <tpls c="6">
          <tpl fld="11" item="0"/>
          <tpl fld="5" item="3"/>
          <tpl fld="6" item="2"/>
          <tpl hier="236" item="1"/>
          <tpl fld="4" item="6"/>
          <tpl fld="10" item="2"/>
        </tpls>
      </n>
      <n v="38.620540540540539" in="2">
        <tpls c="6">
          <tpl fld="11" item="0"/>
          <tpl fld="5" item="4"/>
          <tpl fld="6" item="2"/>
          <tpl hier="236" item="1"/>
          <tpl fld="4" item="4"/>
          <tpl fld="10" item="0"/>
        </tpls>
      </n>
      <n v="1" in="1">
        <tpls c="4">
          <tpl fld="7" item="1275"/>
          <tpl fld="6" item="1"/>
          <tpl hier="236" item="1"/>
          <tpl fld="4" item="6"/>
        </tpls>
      </n>
      <n v="45" in="1">
        <tpls c="6">
          <tpl fld="11" item="0"/>
          <tpl fld="5" item="4"/>
          <tpl fld="6" item="1"/>
          <tpl hier="236" item="1"/>
          <tpl fld="4" item="6"/>
          <tpl fld="10" item="3"/>
        </tpls>
      </n>
      <n v="49" in="1">
        <tpls c="6">
          <tpl fld="11" item="0"/>
          <tpl fld="5" item="5"/>
          <tpl fld="6" item="1"/>
          <tpl hier="236" item="1"/>
          <tpl fld="4" item="4"/>
          <tpl fld="10" item="6"/>
        </tpls>
      </n>
      <m>
        <tpls c="6">
          <tpl fld="11" item="0"/>
          <tpl fld="5" item="1"/>
          <tpl fld="6" item="2"/>
          <tpl hier="236" item="1"/>
          <tpl fld="4" item="7"/>
          <tpl fld="10" item="5"/>
        </tpls>
      </m>
      <n v="36" in="1">
        <tpls c="6">
          <tpl fld="11" item="0"/>
          <tpl fld="2" item="3"/>
          <tpl fld="6" item="1"/>
          <tpl hier="236" item="1"/>
          <tpl fld="4" item="6"/>
          <tpl fld="10" item="5"/>
        </tpls>
      </n>
      <n v="246" in="1">
        <tpls c="6">
          <tpl fld="11" item="0"/>
          <tpl fld="2" item="2"/>
          <tpl fld="6" item="1"/>
          <tpl hier="236" item="1"/>
          <tpl fld="4" item="4"/>
          <tpl fld="10" item="3"/>
        </tpls>
      </n>
      <m>
        <tpls c="3">
          <tpl fld="7" item="1149"/>
          <tpl fld="6" item="3"/>
          <tpl hier="236" item="1"/>
        </tpls>
      </m>
      <m>
        <tpls c="6">
          <tpl fld="11" item="0"/>
          <tpl fld="5" item="2"/>
          <tpl fld="6" item="2"/>
          <tpl hier="236" item="1"/>
          <tpl fld="4" item="7"/>
          <tpl fld="10" item="8"/>
        </tpls>
      </m>
      <n v="1" in="2">
        <tpls c="6">
          <tpl fld="11" item="0"/>
          <tpl fld="2" item="4"/>
          <tpl fld="6" item="2"/>
          <tpl hier="236" item="1"/>
          <tpl fld="4" item="6"/>
          <tpl fld="10" item="3"/>
        </tpls>
      </n>
      <m>
        <tpls c="4">
          <tpl fld="7" item="1146"/>
          <tpl fld="6" item="1"/>
          <tpl hier="236" item="1"/>
          <tpl fld="4" item="6"/>
        </tpls>
      </m>
      <n v="6" in="2">
        <tpls c="6">
          <tpl fld="11" item="0"/>
          <tpl fld="5" item="0"/>
          <tpl fld="6" item="2"/>
          <tpl hier="236" item="1"/>
          <tpl fld="4" item="4"/>
          <tpl fld="10" item="3"/>
        </tpls>
      </n>
      <n v="1" in="1">
        <tpls c="4">
          <tpl fld="7" item="1232"/>
          <tpl fld="6" item="1"/>
          <tpl hier="236" item="1"/>
          <tpl fld="4" item="6"/>
        </tpls>
      </n>
      <n v="1.8" in="2">
        <tpls c="6">
          <tpl fld="11" item="0"/>
          <tpl fld="5" item="2"/>
          <tpl fld="6" item="2"/>
          <tpl hier="236" item="1"/>
          <tpl fld="4" item="4"/>
          <tpl fld="10" item="2"/>
        </tpls>
      </n>
      <n v="15.590270270270269" in="2">
        <tpls c="6">
          <tpl fld="11" item="0"/>
          <tpl fld="5" item="1"/>
          <tpl fld="6" item="2"/>
          <tpl hier="236" item="1"/>
          <tpl fld="4" item="4"/>
          <tpl fld="10" item="5"/>
        </tpls>
      </n>
      <m>
        <tpls c="6">
          <tpl fld="11" item="0"/>
          <tpl fld="5" item="2"/>
          <tpl fld="6" item="2"/>
          <tpl hier="236" item="1"/>
          <tpl fld="4" item="3"/>
          <tpl fld="10" item="3"/>
        </tpls>
      </m>
      <n v="6.1859459459459467" in="2">
        <tpls c="6">
          <tpl fld="11" item="0"/>
          <tpl fld="2" item="0"/>
          <tpl fld="6" item="2"/>
          <tpl hier="236" item="1"/>
          <tpl fld="4" item="6"/>
          <tpl fld="10" item="0"/>
        </tpls>
      </n>
      <n v="122" in="1">
        <tpls c="6">
          <tpl fld="11" item="0"/>
          <tpl fld="2" item="2"/>
          <tpl fld="6" item="1"/>
          <tpl hier="236" item="1"/>
          <tpl fld="4" item="4"/>
          <tpl fld="10" item="5"/>
        </tpls>
      </n>
      <m>
        <tpls c="3">
          <tpl fld="7" item="1141"/>
          <tpl fld="6" item="3"/>
          <tpl hier="236" item="1"/>
        </tpls>
      </m>
      <m>
        <tpls c="6">
          <tpl fld="11" item="0"/>
          <tpl fld="5" item="0"/>
          <tpl fld="6" item="2"/>
          <tpl hier="236" item="1"/>
          <tpl fld="4" item="3"/>
          <tpl fld="10" item="3"/>
        </tpls>
      </m>
      <n v="8" in="1">
        <tpls c="6">
          <tpl fld="11" item="0"/>
          <tpl fld="2" item="0"/>
          <tpl fld="6" item="1"/>
          <tpl hier="236" item="1"/>
          <tpl fld="4" item="6"/>
          <tpl fld="10" item="6"/>
        </tpls>
      </n>
      <m>
        <tpls c="4">
          <tpl fld="7" item="1267"/>
          <tpl fld="6" item="1"/>
          <tpl hier="236" item="1"/>
          <tpl fld="4" item="6"/>
        </tpls>
      </m>
      <n v="5.08" in="2">
        <tpls c="6">
          <tpl fld="11" item="0"/>
          <tpl fld="5" item="1"/>
          <tpl fld="6" item="2"/>
          <tpl hier="236" item="1"/>
          <tpl fld="4" item="4"/>
          <tpl fld="10" item="4"/>
        </tpls>
      </n>
      <m>
        <tpls c="4">
          <tpl fld="7" item="1065"/>
          <tpl fld="6" item="1"/>
          <tpl hier="236" item="1"/>
          <tpl fld="4" item="6"/>
        </tpls>
      </m>
      <m>
        <tpls c="6">
          <tpl fld="11" item="0"/>
          <tpl fld="5" item="5"/>
          <tpl fld="6" item="2"/>
          <tpl hier="236" item="1"/>
          <tpl fld="4" item="6"/>
          <tpl fld="10" item="6"/>
        </tpls>
      </m>
      <n v="602.40156756756767" in="2">
        <tpls c="5">
          <tpl fld="11" item="0"/>
          <tpl fld="5" item="1"/>
          <tpl fld="6" item="2"/>
          <tpl hier="236" item="1"/>
          <tpl fld="1" item="0"/>
        </tpls>
      </n>
      <n v="2294" in="1">
        <tpls c="6">
          <tpl fld="11" item="0"/>
          <tpl fld="5" item="5"/>
          <tpl fld="6" item="1"/>
          <tpl hier="236" item="1"/>
          <tpl fld="4" item="4"/>
          <tpl fld="10" item="0"/>
        </tpls>
      </n>
      <n v="131" in="1">
        <tpls c="6">
          <tpl fld="11" item="0"/>
          <tpl fld="2" item="3"/>
          <tpl fld="6" item="1"/>
          <tpl hier="236" item="1"/>
          <tpl fld="4" item="3"/>
          <tpl fld="10" item="0"/>
        </tpls>
      </n>
      <n v="336" in="1">
        <tpls c="6">
          <tpl fld="3" item="0"/>
          <tpl fld="11" item="0"/>
          <tpl fld="6" item="1"/>
          <tpl hier="236" item="1"/>
          <tpl fld="4" item="4"/>
          <tpl fld="10" item="7"/>
        </tpls>
      </n>
      <n v="193" in="1">
        <tpls c="6">
          <tpl fld="11" item="0"/>
          <tpl fld="5" item="2"/>
          <tpl fld="6" item="1"/>
          <tpl hier="236" item="1"/>
          <tpl fld="4" item="6"/>
          <tpl fld="10" item="0"/>
        </tpls>
      </n>
      <n v="1.9540540540540541" in="2">
        <tpls c="6">
          <tpl fld="11" item="0"/>
          <tpl fld="2" item="4"/>
          <tpl fld="6" item="2"/>
          <tpl hier="236" item="1"/>
          <tpl fld="4" item="4"/>
          <tpl fld="10" item="3"/>
        </tpls>
      </n>
      <n v="2" in="1">
        <tpls c="6">
          <tpl fld="11" item="0"/>
          <tpl fld="2" item="4"/>
          <tpl fld="6" item="1"/>
          <tpl hier="236" item="1"/>
          <tpl fld="4" item="1"/>
          <tpl fld="9" item="0"/>
        </tpls>
      </n>
      <n v="1" in="1">
        <tpls c="4">
          <tpl fld="7" item="1039"/>
          <tpl fld="6" item="1"/>
          <tpl hier="236" item="1"/>
          <tpl fld="4" item="6"/>
        </tpls>
      </n>
      <m>
        <tpls c="6">
          <tpl fld="11" item="0"/>
          <tpl fld="5" item="1"/>
          <tpl fld="6" item="2"/>
          <tpl hier="236" item="1"/>
          <tpl fld="4" item="7"/>
          <tpl fld="10" item="6"/>
        </tpls>
      </m>
      <m>
        <tpls c="6">
          <tpl fld="11" item="0"/>
          <tpl fld="2" item="2"/>
          <tpl fld="6" item="2"/>
          <tpl hier="236" item="1"/>
          <tpl fld="4" item="6"/>
          <tpl fld="10" item="1"/>
        </tpls>
      </m>
      <m>
        <tpls c="4">
          <tpl fld="7" item="1044"/>
          <tpl fld="6" item="1"/>
          <tpl hier="236" item="1"/>
          <tpl fld="4" item="6"/>
        </tpls>
      </m>
      <m>
        <tpls c="4">
          <tpl fld="7" item="1065"/>
          <tpl fld="6" item="1"/>
          <tpl hier="236" item="1"/>
          <tpl fld="4" item="5"/>
        </tpls>
      </m>
      <m>
        <tpls c="3">
          <tpl fld="7" item="1232"/>
          <tpl fld="6" item="3"/>
          <tpl hier="236" item="1"/>
        </tpls>
      </m>
      <n v="129" in="1">
        <tpls c="6">
          <tpl fld="11" item="0"/>
          <tpl fld="2" item="2"/>
          <tpl fld="6" item="1"/>
          <tpl hier="236" item="1"/>
          <tpl fld="4" item="7"/>
          <tpl fld="10" item="7"/>
        </tpls>
      </n>
      <n v="26" in="1">
        <tpls c="6">
          <tpl fld="11" item="0"/>
          <tpl fld="5" item="0"/>
          <tpl fld="6" item="1"/>
          <tpl hier="236" item="1"/>
          <tpl fld="4" item="6"/>
          <tpl fld="10" item="1"/>
        </tpls>
      </n>
      <n v="2" in="2">
        <tpls c="6">
          <tpl fld="11" item="0"/>
          <tpl fld="2" item="2"/>
          <tpl fld="6" item="2"/>
          <tpl hier="236" item="1"/>
          <tpl fld="4" item="3"/>
          <tpl fld="10" item="0"/>
        </tpls>
      </n>
      <n v="116" in="1">
        <tpls c="6">
          <tpl fld="3" item="1"/>
          <tpl fld="11" item="0"/>
          <tpl fld="6" item="1"/>
          <tpl hier="236" item="1"/>
          <tpl fld="4" item="3"/>
          <tpl fld="10" item="0"/>
        </tpls>
      </n>
      <m>
        <tpls c="6">
          <tpl fld="11" item="0"/>
          <tpl fld="5" item="3"/>
          <tpl fld="6" item="2"/>
          <tpl hier="236" item="1"/>
          <tpl fld="4" item="3"/>
          <tpl fld="10" item="6"/>
        </tpls>
      </m>
      <m>
        <tpls c="6">
          <tpl fld="3" item="4"/>
          <tpl fld="11" item="0"/>
          <tpl fld="6" item="2"/>
          <tpl hier="236" item="1"/>
          <tpl fld="4" item="7"/>
          <tpl fld="10" item="5"/>
        </tpls>
      </m>
      <n v="1" in="1">
        <tpls c="4">
          <tpl fld="7" item="1283"/>
          <tpl fld="6" item="1"/>
          <tpl hier="236" item="1"/>
          <tpl fld="1" item="0"/>
        </tpls>
      </n>
      <m>
        <tpls c="4">
          <tpl fld="7" item="1252"/>
          <tpl fld="6" item="2"/>
          <tpl hier="236" item="1"/>
          <tpl fld="4" item="5"/>
        </tpls>
      </m>
      <n v="1" in="1">
        <tpls c="4">
          <tpl fld="7" item="966"/>
          <tpl fld="6" item="1"/>
          <tpl hier="236" item="1"/>
          <tpl fld="1" item="0"/>
        </tpls>
      </n>
      <m>
        <tpls c="6">
          <tpl fld="11" item="0"/>
          <tpl fld="5" item="2"/>
          <tpl fld="6" item="2"/>
          <tpl hier="236" item="1"/>
          <tpl fld="4" item="3"/>
          <tpl fld="10" item="6"/>
        </tpls>
      </m>
      <n v="2" in="2">
        <tpls c="6">
          <tpl fld="11" item="0"/>
          <tpl fld="5" item="5"/>
          <tpl fld="6" item="2"/>
          <tpl hier="236" item="1"/>
          <tpl fld="4" item="6"/>
          <tpl fld="10" item="3"/>
        </tpls>
      </n>
      <n v="19" in="1">
        <tpls c="4">
          <tpl fld="7" item="1261"/>
          <tpl fld="6" item="1"/>
          <tpl hier="236" item="1"/>
          <tpl fld="4" item="6"/>
        </tpls>
      </n>
      <m>
        <tpls c="4">
          <tpl fld="7" item="1036"/>
          <tpl fld="6" item="1"/>
          <tpl hier="236" item="1"/>
          <tpl fld="4" item="6"/>
        </tpls>
      </m>
      <m>
        <tpls c="4">
          <tpl fld="7" item="1202"/>
          <tpl fld="6" item="2"/>
          <tpl hier="236" item="1"/>
          <tpl fld="4" item="5"/>
        </tpls>
      </m>
      <m>
        <tpls c="4">
          <tpl fld="7" item="1057"/>
          <tpl fld="6" item="1"/>
          <tpl hier="236" item="1"/>
          <tpl fld="4" item="6"/>
        </tpls>
      </m>
      <n v="65" in="1">
        <tpls c="6">
          <tpl fld="11" item="0"/>
          <tpl fld="5" item="0"/>
          <tpl fld="6" item="1"/>
          <tpl hier="236" item="1"/>
          <tpl fld="4" item="1"/>
          <tpl fld="9" item="2"/>
        </tpls>
      </n>
      <n v="235" in="1">
        <tpls c="6">
          <tpl fld="11" item="0"/>
          <tpl fld="5" item="0"/>
          <tpl fld="6" item="1"/>
          <tpl hier="236" item="1"/>
          <tpl fld="4" item="4"/>
          <tpl fld="10" item="2"/>
        </tpls>
      </n>
      <n v="1.6502702702702703" in="2">
        <tpls c="6">
          <tpl fld="11" item="0"/>
          <tpl fld="5" item="3"/>
          <tpl fld="6" item="2"/>
          <tpl hier="236" item="1"/>
          <tpl fld="4" item="6"/>
          <tpl fld="10" item="4"/>
        </tpls>
      </n>
      <n v="179" in="1">
        <tpls c="6">
          <tpl fld="11" item="0"/>
          <tpl fld="5" item="4"/>
          <tpl fld="6" item="1"/>
          <tpl hier="236" item="1"/>
          <tpl fld="4" item="1"/>
          <tpl fld="9" item="1"/>
        </tpls>
      </n>
      <m>
        <tpls c="6">
          <tpl fld="11" item="0"/>
          <tpl fld="5" item="1"/>
          <tpl fld="6" item="2"/>
          <tpl hier="236" item="1"/>
          <tpl fld="4" item="7"/>
          <tpl fld="10" item="8"/>
        </tpls>
      </m>
      <m>
        <tpls c="6">
          <tpl fld="11" item="0"/>
          <tpl fld="2" item="4"/>
          <tpl fld="6" item="2"/>
          <tpl hier="236" item="1"/>
          <tpl fld="4" item="6"/>
          <tpl fld="10" item="1"/>
        </tpls>
      </m>
      <m>
        <tpls c="3">
          <tpl fld="7" item="1163"/>
          <tpl fld="6" item="3"/>
          <tpl hier="236" item="1"/>
        </tpls>
      </m>
      <n v="105.52859459459459" in="2">
        <tpls c="6">
          <tpl fld="11" item="0"/>
          <tpl fld="2" item="2"/>
          <tpl fld="6" item="2"/>
          <tpl hier="236" item="1"/>
          <tpl fld="4" item="1"/>
          <tpl fld="9" item="4"/>
        </tpls>
      </n>
      <m>
        <tpls c="4">
          <tpl fld="7" item="1256"/>
          <tpl fld="6" item="1"/>
          <tpl hier="236" item="1"/>
          <tpl fld="4" item="5"/>
        </tpls>
      </m>
      <n v="17" in="1">
        <tpls c="6">
          <tpl fld="11" item="0"/>
          <tpl fld="5" item="1"/>
          <tpl fld="6" item="1"/>
          <tpl hier="236" item="1"/>
          <tpl fld="4" item="4"/>
          <tpl fld="10" item="4"/>
        </tpls>
      </n>
      <n v="7" in="1">
        <tpls c="6">
          <tpl fld="11" item="0"/>
          <tpl fld="2" item="0"/>
          <tpl fld="6" item="1"/>
          <tpl hier="236" item="1"/>
          <tpl fld="4" item="7"/>
          <tpl fld="10" item="5"/>
        </tpls>
      </n>
      <n v="16" in="1">
        <tpls c="6">
          <tpl fld="11" item="0"/>
          <tpl fld="5" item="2"/>
          <tpl fld="6" item="1"/>
          <tpl hier="236" item="1"/>
          <tpl fld="4" item="6"/>
          <tpl fld="10" item="3"/>
        </tpls>
      </n>
      <m>
        <tpls c="6">
          <tpl fld="11" item="0"/>
          <tpl fld="2" item="1"/>
          <tpl fld="6" item="2"/>
          <tpl hier="236" item="1"/>
          <tpl fld="4" item="7"/>
          <tpl fld="10" item="1"/>
        </tpls>
      </m>
      <m>
        <tpls c="6">
          <tpl fld="3" item="4"/>
          <tpl fld="11" item="0"/>
          <tpl fld="6" item="1"/>
          <tpl hier="236" item="1"/>
          <tpl fld="4" item="3"/>
          <tpl fld="10" item="6"/>
        </tpls>
      </m>
      <n v="1" in="1">
        <tpls c="6">
          <tpl fld="3" item="2"/>
          <tpl fld="11" item="0"/>
          <tpl fld="6" item="1"/>
          <tpl hier="236" item="1"/>
          <tpl fld="4" item="3"/>
          <tpl fld="10" item="8"/>
        </tpls>
      </n>
      <n v="355" in="1">
        <tpls c="6">
          <tpl fld="11" item="0"/>
          <tpl fld="6" item="1"/>
          <tpl fld="8" item="0"/>
          <tpl hier="236" item="1"/>
          <tpl fld="4" item="3"/>
          <tpl fld="10" item="3"/>
        </tpls>
      </n>
      <m>
        <tpls c="4">
          <tpl fld="7" item="8"/>
          <tpl fld="6" item="1"/>
          <tpl hier="236" item="1"/>
          <tpl fld="1" item="0"/>
        </tpls>
      </m>
      <n v="134" in="1">
        <tpls c="6">
          <tpl fld="11" item="0"/>
          <tpl fld="5" item="5"/>
          <tpl fld="6" item="1"/>
          <tpl hier="236" item="1"/>
          <tpl fld="4" item="4"/>
          <tpl fld="10" item="1"/>
        </tpls>
      </n>
      <n v="838" in="1">
        <tpls c="5">
          <tpl fld="11" item="0"/>
          <tpl fld="6" item="1"/>
          <tpl hier="236" item="1"/>
          <tpl fld="4" item="1"/>
          <tpl fld="9" item="2"/>
        </tpls>
      </n>
      <n v="2.7199999999999998" in="2">
        <tpls c="6">
          <tpl fld="11" item="0"/>
          <tpl fld="2" item="3"/>
          <tpl fld="6" item="2"/>
          <tpl hier="236" item="1"/>
          <tpl fld="4" item="4"/>
          <tpl fld="10" item="2"/>
        </tpls>
      </n>
      <m>
        <tpls c="4">
          <tpl fld="7" item="1164"/>
          <tpl fld="6" item="1"/>
          <tpl hier="236" item="1"/>
          <tpl fld="4" item="5"/>
        </tpls>
      </m>
      <n v="25" in="1">
        <tpls c="6">
          <tpl fld="11" item="0"/>
          <tpl fld="5" item="4"/>
          <tpl fld="6" item="1"/>
          <tpl hier="236" item="1"/>
          <tpl fld="4" item="4"/>
          <tpl fld="10" item="1"/>
        </tpls>
      </n>
      <n v="110" in="1">
        <tpls c="6">
          <tpl fld="11" item="0"/>
          <tpl fld="2" item="2"/>
          <tpl fld="6" item="1"/>
          <tpl hier="236" item="1"/>
          <tpl fld="4" item="7"/>
          <tpl fld="10" item="8"/>
        </tpls>
      </n>
      <n v="211" in="1">
        <tpls c="6">
          <tpl fld="11" item="0"/>
          <tpl fld="2" item="0"/>
          <tpl fld="6" item="1"/>
          <tpl hier="236" item="1"/>
          <tpl fld="4" item="3"/>
          <tpl fld="10" item="8"/>
        </tpls>
      </n>
      <n v="303" in="1">
        <tpls c="6">
          <tpl fld="3" item="4"/>
          <tpl fld="11" item="0"/>
          <tpl fld="6" item="1"/>
          <tpl hier="236" item="1"/>
          <tpl fld="4" item="4"/>
          <tpl fld="10" item="4"/>
        </tpls>
      </n>
      <m>
        <tpls c="6">
          <tpl fld="11" item="0"/>
          <tpl fld="5" item="3"/>
          <tpl fld="6" item="1"/>
          <tpl hier="236" item="1"/>
          <tpl fld="4" item="7"/>
          <tpl fld="10" item="6"/>
        </tpls>
      </m>
      <n v="5.8621621621621625" in="2">
        <tpls c="6">
          <tpl fld="11" item="0"/>
          <tpl fld="2" item="1"/>
          <tpl fld="6" item="2"/>
          <tpl hier="236" item="1"/>
          <tpl fld="4" item="3"/>
          <tpl fld="10" item="2"/>
        </tpls>
      </n>
      <n v="600" in="1">
        <tpls c="6">
          <tpl fld="3" item="2"/>
          <tpl fld="11" item="0"/>
          <tpl fld="6" item="1"/>
          <tpl hier="236" item="1"/>
          <tpl fld="4" item="6"/>
          <tpl fld="10" item="0"/>
        </tpls>
      </n>
      <n v="6.1805405405405409" in="2">
        <tpls c="6">
          <tpl fld="11" item="0"/>
          <tpl fld="2" item="3"/>
          <tpl fld="6" item="2"/>
          <tpl hier="236" item="1"/>
          <tpl fld="4" item="3"/>
          <tpl fld="10" item="4"/>
        </tpls>
      </n>
      <n v="5147" in="1">
        <tpls c="6">
          <tpl fld="11" item="0"/>
          <tpl fld="6" item="1"/>
          <tpl fld="8" item="1"/>
          <tpl hier="236" item="1"/>
          <tpl fld="4" item="4"/>
          <tpl fld="10" item="0"/>
        </tpls>
      </n>
      <m>
        <tpls c="4">
          <tpl fld="7" item="219"/>
          <tpl fld="6" item="1"/>
          <tpl hier="236" item="1"/>
          <tpl fld="4" item="4"/>
        </tpls>
      </m>
      <m>
        <tpls c="4">
          <tpl fld="7" item="23"/>
          <tpl fld="6" item="2"/>
          <tpl hier="236" item="1"/>
          <tpl fld="4" item="1"/>
        </tpls>
      </m>
      <n v="329" in="1">
        <tpls c="6">
          <tpl fld="3" item="1"/>
          <tpl fld="11" item="0"/>
          <tpl fld="6" item="1"/>
          <tpl hier="236" item="1"/>
          <tpl fld="4" item="1"/>
          <tpl fld="9" item="4"/>
        </tpls>
      </n>
      <n v="107.42751351351349" in="2">
        <tpls c="5">
          <tpl fld="11" item="0"/>
          <tpl fld="6" item="2"/>
          <tpl hier="236" item="1"/>
          <tpl fld="4" item="4"/>
          <tpl fld="10" item="6"/>
        </tpls>
      </n>
      <n v="2.2399999999999998" in="2">
        <tpls c="6">
          <tpl fld="11" item="0"/>
          <tpl fld="2" item="3"/>
          <tpl fld="6" item="2"/>
          <tpl hier="236" item="1"/>
          <tpl fld="4" item="3"/>
          <tpl fld="10" item="0"/>
        </tpls>
      </n>
      <n v="0.6" in="2">
        <tpls c="4">
          <tpl fld="7" item="972"/>
          <tpl fld="6" item="2"/>
          <tpl hier="236" item="1"/>
          <tpl fld="1" item="0"/>
        </tpls>
      </n>
      <m>
        <tpls c="4">
          <tpl fld="7" item="1169"/>
          <tpl fld="6" item="1"/>
          <tpl hier="236" item="1"/>
          <tpl fld="4" item="5"/>
        </tpls>
      </m>
      <n v="1" in="1">
        <tpls c="4">
          <tpl fld="7" item="1071"/>
          <tpl fld="6" item="1"/>
          <tpl hier="236" item="1"/>
          <tpl fld="1" item="0"/>
        </tpls>
      </n>
      <m>
        <tpls c="3">
          <tpl fld="7" item="1054"/>
          <tpl fld="6" item="3"/>
          <tpl hier="236" item="1"/>
        </tpls>
      </m>
      <m>
        <tpls c="4">
          <tpl fld="7" item="1229"/>
          <tpl fld="6" item="2"/>
          <tpl hier="236" item="1"/>
          <tpl fld="4" item="6"/>
        </tpls>
      </m>
      <m>
        <tpls c="3">
          <tpl fld="7" item="1167"/>
          <tpl fld="6" item="3"/>
          <tpl hier="236" item="1"/>
        </tpls>
      </m>
      <n v="4266" in="1">
        <tpls c="6">
          <tpl fld="11" item="0"/>
          <tpl fld="5" item="5"/>
          <tpl fld="6" item="1"/>
          <tpl hier="236" item="1"/>
          <tpl fld="4" item="3"/>
          <tpl fld="10" item="8"/>
        </tpls>
      </n>
      <m>
        <tpls c="4">
          <tpl fld="7" item="1070"/>
          <tpl fld="6" item="1"/>
          <tpl hier="236" item="1"/>
          <tpl fld="4" item="5"/>
        </tpls>
      </m>
      <n v="46" in="1">
        <tpls c="6">
          <tpl fld="11" item="0"/>
          <tpl fld="5" item="5"/>
          <tpl fld="6" item="1"/>
          <tpl hier="236" item="1"/>
          <tpl fld="4" item="7"/>
          <tpl fld="10" item="1"/>
        </tpls>
      </n>
      <m>
        <tpls c="4">
          <tpl fld="7" item="1254"/>
          <tpl fld="6" item="2"/>
          <tpl hier="236" item="1"/>
          <tpl fld="4" item="5"/>
        </tpls>
      </m>
      <m>
        <tpls c="6">
          <tpl fld="11" item="0"/>
          <tpl fld="5" item="2"/>
          <tpl fld="6" item="2"/>
          <tpl hier="236" item="1"/>
          <tpl fld="4" item="1"/>
          <tpl fld="9" item="3"/>
        </tpls>
      </m>
      <n v="581" in="1">
        <tpls c="6">
          <tpl fld="11" item="0"/>
          <tpl fld="2" item="1"/>
          <tpl fld="6" item="1"/>
          <tpl hier="236" item="1"/>
          <tpl fld="4" item="7"/>
          <tpl fld="10" item="2"/>
        </tpls>
      </n>
      <m>
        <tpls c="3">
          <tpl fld="7" item="1204"/>
          <tpl fld="6" item="3"/>
          <tpl hier="236" item="1"/>
        </tpls>
      </m>
      <n v="216" in="1">
        <tpls c="6">
          <tpl fld="11" item="0"/>
          <tpl fld="5" item="0"/>
          <tpl fld="6" item="1"/>
          <tpl hier="236" item="1"/>
          <tpl fld="4" item="6"/>
          <tpl fld="10" item="5"/>
        </tpls>
      </n>
      <n v="1667" in="1">
        <tpls c="6">
          <tpl fld="3" item="4"/>
          <tpl fld="11" item="0"/>
          <tpl fld="6" item="1"/>
          <tpl hier="236" item="1"/>
          <tpl fld="4" item="6"/>
          <tpl fld="10" item="7"/>
        </tpls>
      </n>
      <n v="185" in="1">
        <tpls c="6">
          <tpl fld="11" item="0"/>
          <tpl fld="2" item="2"/>
          <tpl fld="6" item="1"/>
          <tpl hier="236" item="1"/>
          <tpl fld="4" item="3"/>
          <tpl fld="10" item="4"/>
        </tpls>
      </n>
      <n v="1" in="2">
        <tpls c="6">
          <tpl fld="11" item="0"/>
          <tpl fld="5" item="3"/>
          <tpl fld="6" item="2"/>
          <tpl hier="236" item="1"/>
          <tpl fld="4" item="6"/>
          <tpl fld="10" item="5"/>
        </tpls>
      </n>
      <n v="23.66918918918919" in="2">
        <tpls c="6">
          <tpl fld="11" item="0"/>
          <tpl fld="2" item="2"/>
          <tpl fld="6" item="2"/>
          <tpl hier="236" item="1"/>
          <tpl fld="4" item="6"/>
          <tpl fld="10" item="0"/>
        </tpls>
      </n>
      <m>
        <tpls c="6">
          <tpl fld="11" item="0"/>
          <tpl fld="5" item="3"/>
          <tpl fld="6" item="2"/>
          <tpl hier="236" item="1"/>
          <tpl fld="4" item="3"/>
          <tpl fld="10" item="8"/>
        </tpls>
      </m>
      <n v="153" in="1">
        <tpls c="6">
          <tpl fld="3" item="1"/>
          <tpl fld="11" item="0"/>
          <tpl fld="6" item="1"/>
          <tpl hier="236" item="1"/>
          <tpl fld="4" item="1"/>
          <tpl fld="9" item="3"/>
        </tpls>
      </n>
      <n v="676.2448108108108" in="2">
        <tpls c="5">
          <tpl fld="3" item="2"/>
          <tpl fld="11" item="0"/>
          <tpl fld="6" item="2"/>
          <tpl hier="236" item="1"/>
          <tpl fld="1" item="0"/>
        </tpls>
      </n>
      <n v="0" in="1">
        <tpls c="6">
          <tpl fld="11" item="0"/>
          <tpl fld="5" item="0"/>
          <tpl fld="6" item="1"/>
          <tpl hier="236" item="1"/>
          <tpl fld="4" item="3"/>
          <tpl fld="10" item="3"/>
        </tpls>
      </n>
      <n v="2" in="2">
        <tpls c="6">
          <tpl fld="11" item="0"/>
          <tpl fld="2" item="2"/>
          <tpl fld="6" item="2"/>
          <tpl hier="236" item="1"/>
          <tpl fld="4" item="7"/>
          <tpl fld="10" item="2"/>
        </tpls>
      </n>
      <n v="108" in="1">
        <tpls c="6">
          <tpl fld="11" item="0"/>
          <tpl fld="5" item="2"/>
          <tpl fld="6" item="1"/>
          <tpl hier="236" item="1"/>
          <tpl fld="4" item="4"/>
          <tpl fld="10" item="6"/>
        </tpls>
      </n>
      <n v="14.462702702702702" in="2">
        <tpls c="6">
          <tpl fld="3" item="1"/>
          <tpl fld="11" item="0"/>
          <tpl fld="6" item="2"/>
          <tpl hier="236" item="1"/>
          <tpl fld="4" item="6"/>
          <tpl fld="10" item="8"/>
        </tpls>
      </n>
      <n v="34.374162162162158" in="2">
        <tpls c="6">
          <tpl fld="11" item="0"/>
          <tpl fld="6" item="2"/>
          <tpl fld="8" item="0"/>
          <tpl hier="236" item="1"/>
          <tpl fld="4" item="6"/>
          <tpl fld="10" item="0"/>
        </tpls>
      </n>
      <m>
        <tpls c="4">
          <tpl fld="7" item="231"/>
          <tpl fld="6" item="1"/>
          <tpl hier="236" item="1"/>
          <tpl fld="4" item="4"/>
        </tpls>
      </m>
      <m>
        <tpls c="4">
          <tpl fld="7" item="874"/>
          <tpl fld="6" item="2"/>
          <tpl hier="236" item="1"/>
          <tpl fld="4" item="5"/>
        </tpls>
      </m>
      <m>
        <tpls c="6">
          <tpl fld="11" item="0"/>
          <tpl fld="5" item="4"/>
          <tpl fld="6" item="1"/>
          <tpl hier="236" item="1"/>
          <tpl fld="4" item="3"/>
          <tpl fld="10" item="6"/>
        </tpls>
      </m>
      <m>
        <tpls c="4">
          <tpl fld="7" item="1205"/>
          <tpl fld="6" item="2"/>
          <tpl hier="236" item="1"/>
          <tpl fld="4" item="5"/>
        </tpls>
      </m>
      <m>
        <tpls c="3">
          <tpl fld="7" item="1256"/>
          <tpl fld="6" item="3"/>
          <tpl hier="236" item="1"/>
        </tpls>
      </m>
      <n v="5.6400000000000006" in="2">
        <tpls c="6">
          <tpl fld="11" item="0"/>
          <tpl fld="5" item="2"/>
          <tpl fld="6" item="2"/>
          <tpl hier="236" item="1"/>
          <tpl fld="4" item="4"/>
          <tpl fld="10" item="8"/>
        </tpls>
      </n>
      <m>
        <tpls c="4">
          <tpl fld="7" item="1062"/>
          <tpl fld="6" item="1"/>
          <tpl hier="236" item="1"/>
          <tpl fld="4" item="6"/>
        </tpls>
      </m>
      <n v="2.3600000000000003" in="2">
        <tpls c="6">
          <tpl fld="11" item="0"/>
          <tpl fld="5" item="1"/>
          <tpl fld="6" item="2"/>
          <tpl hier="236" item="1"/>
          <tpl fld="4" item="1"/>
          <tpl fld="9" item="3"/>
        </tpls>
      </n>
      <n v="0" in="1">
        <tpls c="4">
          <tpl fld="7" item="1260"/>
          <tpl fld="6" item="1"/>
          <tpl hier="236" item="1"/>
          <tpl fld="4" item="6"/>
        </tpls>
      </n>
      <n v="1" in="2">
        <tpls c="6">
          <tpl fld="11" item="0"/>
          <tpl fld="5" item="4"/>
          <tpl fld="6" item="2"/>
          <tpl hier="236" item="1"/>
          <tpl fld="4" item="6"/>
          <tpl fld="10" item="3"/>
        </tpls>
      </n>
      <m>
        <tpls c="4">
          <tpl fld="7" item="1161"/>
          <tpl fld="6" item="2"/>
          <tpl hier="236" item="1"/>
          <tpl fld="4" item="6"/>
        </tpls>
      </m>
      <m>
        <tpls c="3">
          <tpl fld="7" item="963"/>
          <tpl fld="6" item="3"/>
          <tpl hier="236" item="1"/>
        </tpls>
      </m>
      <m>
        <tpls c="4">
          <tpl fld="7" item="1206"/>
          <tpl fld="6" item="2"/>
          <tpl hier="236" item="1"/>
          <tpl fld="4" item="6"/>
        </tpls>
      </m>
      <n v="17" in="1">
        <tpls c="4">
          <tpl fld="7" item="1077"/>
          <tpl fld="6" item="1"/>
          <tpl hier="236" item="1"/>
          <tpl fld="4" item="6"/>
        </tpls>
      </n>
      <m>
        <tpls c="6">
          <tpl fld="11" item="0"/>
          <tpl fld="5" item="4"/>
          <tpl fld="6" item="2"/>
          <tpl hier="236" item="1"/>
          <tpl fld="4" item="4"/>
          <tpl fld="10" item="4"/>
        </tpls>
      </m>
      <n v="2" in="1">
        <tpls c="4">
          <tpl fld="7" item="1059"/>
          <tpl fld="6" item="1"/>
          <tpl hier="236" item="1"/>
          <tpl fld="4" item="6"/>
        </tpls>
      </n>
      <n v="11" in="1">
        <tpls c="6">
          <tpl fld="11" item="0"/>
          <tpl fld="5" item="5"/>
          <tpl fld="6" item="1"/>
          <tpl hier="236" item="1"/>
          <tpl fld="4" item="6"/>
          <tpl fld="10" item="6"/>
        </tpls>
      </n>
      <m>
        <tpls c="6">
          <tpl fld="11" item="0"/>
          <tpl fld="2" item="3"/>
          <tpl fld="6" item="1"/>
          <tpl hier="236" item="1"/>
          <tpl fld="4" item="3"/>
          <tpl fld="10" item="6"/>
        </tpls>
      </m>
      <n v="355" in="1">
        <tpls c="6">
          <tpl fld="3" item="1"/>
          <tpl fld="11" item="0"/>
          <tpl fld="6" item="1"/>
          <tpl hier="236" item="1"/>
          <tpl fld="4" item="6"/>
          <tpl fld="10" item="3"/>
        </tpls>
      </n>
      <n v="114.11816216216216" in="2">
        <tpls c="5">
          <tpl fld="11" item="0"/>
          <tpl fld="6" item="2"/>
          <tpl hier="236" item="1"/>
          <tpl fld="4" item="4"/>
          <tpl fld="10" item="8"/>
        </tpls>
      </n>
      <n v="0" in="1">
        <tpls c="6">
          <tpl fld="11" item="0"/>
          <tpl fld="5" item="0"/>
          <tpl fld="6" item="1"/>
          <tpl hier="236" item="1"/>
          <tpl fld="4" item="7"/>
          <tpl fld="10" item="1"/>
        </tpls>
      </n>
      <n v="3" in="1">
        <tpls c="4">
          <tpl fld="7" item="933"/>
          <tpl fld="6" item="1"/>
          <tpl hier="236" item="1"/>
          <tpl fld="4" item="5"/>
        </tpls>
      </n>
      <n v="366" in="1">
        <tpls c="6">
          <tpl fld="11" item="0"/>
          <tpl fld="2" item="4"/>
          <tpl fld="6" item="1"/>
          <tpl hier="236" item="1"/>
          <tpl fld="4" item="6"/>
          <tpl fld="10" item="7"/>
        </tpls>
      </n>
      <m>
        <tpls c="4">
          <tpl fld="7" item="953"/>
          <tpl fld="6" item="2"/>
          <tpl hier="236" item="1"/>
          <tpl fld="4" item="6"/>
        </tpls>
      </m>
      <n v="3" in="1">
        <tpls c="4">
          <tpl fld="7" item="1075"/>
          <tpl fld="6" item="1"/>
          <tpl hier="236" item="1"/>
          <tpl fld="4" item="6"/>
        </tpls>
      </n>
      <n v="161" in="1">
        <tpls c="6">
          <tpl fld="11" item="0"/>
          <tpl fld="5" item="5"/>
          <tpl fld="6" item="1"/>
          <tpl hier="236" item="1"/>
          <tpl fld="4" item="1"/>
          <tpl fld="9" item="3"/>
        </tpls>
      </n>
      <m>
        <tpls c="3">
          <tpl fld="7" item="1151"/>
          <tpl fld="6" item="3"/>
          <tpl hier="236" item="1"/>
        </tpls>
      </m>
      <n v="390" in="1">
        <tpls c="6">
          <tpl fld="11" item="0"/>
          <tpl fld="5" item="5"/>
          <tpl fld="6" item="1"/>
          <tpl hier="236" item="1"/>
          <tpl fld="4" item="6"/>
          <tpl fld="10" item="4"/>
        </tpls>
      </n>
      <n v="5.1891891891891889E-2" in="2">
        <tpls c="6">
          <tpl fld="11" item="0"/>
          <tpl fld="2" item="0"/>
          <tpl fld="6" item="2"/>
          <tpl hier="236" item="1"/>
          <tpl fld="4" item="6"/>
          <tpl fld="10" item="2"/>
        </tpls>
      </n>
      <n v="875" in="1">
        <tpls c="6">
          <tpl fld="3" item="1"/>
          <tpl fld="11" item="0"/>
          <tpl fld="6" item="1"/>
          <tpl hier="236" item="1"/>
          <tpl fld="4" item="4"/>
          <tpl fld="10" item="2"/>
        </tpls>
      </n>
      <m>
        <tpls c="3">
          <tpl fld="7" item="1235"/>
          <tpl fld="6" item="3"/>
          <tpl hier="236" item="1"/>
        </tpls>
      </m>
      <n v="282" in="1">
        <tpls c="5">
          <tpl fld="11" item="0"/>
          <tpl fld="5" item="5"/>
          <tpl fld="6" item="1"/>
          <tpl hier="236" item="1"/>
          <tpl fld="4" item="5"/>
        </tpls>
      </n>
      <n v="0" in="1">
        <tpls c="4">
          <tpl fld="7" item="940"/>
          <tpl fld="6" item="1"/>
          <tpl hier="236" item="1"/>
          <tpl fld="4" item="5"/>
        </tpls>
      </n>
      <n v="47" in="1">
        <tpls c="6">
          <tpl fld="11" item="0"/>
          <tpl fld="2" item="4"/>
          <tpl fld="6" item="1"/>
          <tpl hier="236" item="1"/>
          <tpl fld="4" item="3"/>
          <tpl fld="10" item="0"/>
        </tpls>
      </n>
      <m>
        <tpls c="4">
          <tpl fld="7" item="1283"/>
          <tpl fld="6" item="2"/>
          <tpl hier="236" item="1"/>
          <tpl fld="4" item="6"/>
        </tpls>
      </m>
      <n v="1" in="1">
        <tpls c="4">
          <tpl fld="7" item="1076"/>
          <tpl fld="6" item="1"/>
          <tpl hier="236" item="1"/>
          <tpl fld="4" item="6"/>
        </tpls>
      </n>
      <n v="580" in="1">
        <tpls c="6">
          <tpl fld="11" item="0"/>
          <tpl fld="5" item="0"/>
          <tpl fld="6" item="1"/>
          <tpl hier="236" item="1"/>
          <tpl fld="4" item="4"/>
          <tpl fld="10" item="3"/>
        </tpls>
      </n>
      <n v="1" in="1">
        <tpls c="4">
          <tpl fld="7" item="1051"/>
          <tpl fld="6" item="1"/>
          <tpl hier="236" item="1"/>
          <tpl fld="4" item="6"/>
        </tpls>
      </n>
      <n v="62.110972972972974" in="2">
        <tpls c="5">
          <tpl fld="11" item="0"/>
          <tpl fld="2" item="4"/>
          <tpl fld="6" item="2"/>
          <tpl hier="236" item="1"/>
          <tpl fld="1" item="0"/>
        </tpls>
      </n>
      <n v="982" in="1">
        <tpls c="6">
          <tpl fld="11" item="0"/>
          <tpl fld="2" item="3"/>
          <tpl fld="6" item="1"/>
          <tpl hier="236" item="1"/>
          <tpl fld="4" item="3"/>
          <tpl fld="10" item="2"/>
        </tpls>
      </n>
      <m>
        <tpls c="4">
          <tpl fld="7" item="1041"/>
          <tpl fld="6" item="1"/>
          <tpl hier="236" item="1"/>
          <tpl fld="4" item="6"/>
        </tpls>
      </m>
      <m>
        <tpls c="6">
          <tpl fld="11" item="0"/>
          <tpl fld="5" item="2"/>
          <tpl fld="6" item="2"/>
          <tpl hier="236" item="1"/>
          <tpl fld="4" item="7"/>
          <tpl fld="10" item="5"/>
        </tpls>
      </m>
      <n v="1" in="2">
        <tpls c="6">
          <tpl fld="11" item="0"/>
          <tpl fld="2" item="4"/>
          <tpl fld="6" item="2"/>
          <tpl hier="236" item="1"/>
          <tpl fld="4" item="6"/>
          <tpl fld="10" item="5"/>
        </tpls>
      </n>
      <n v="1223" in="1">
        <tpls c="6">
          <tpl fld="11" item="0"/>
          <tpl fld="2" item="2"/>
          <tpl fld="6" item="1"/>
          <tpl hier="236" item="1"/>
          <tpl fld="4" item="6"/>
          <tpl fld="10" item="8"/>
        </tpls>
      </n>
      <m>
        <tpls c="3">
          <tpl fld="7" item="1077"/>
          <tpl fld="6" item="3"/>
          <tpl hier="236" item="1"/>
        </tpls>
      </m>
      <m>
        <tpls c="6">
          <tpl fld="11" item="0"/>
          <tpl fld="5" item="2"/>
          <tpl fld="6" item="1"/>
          <tpl hier="236" item="1"/>
          <tpl fld="4" item="7"/>
          <tpl fld="10" item="1"/>
        </tpls>
      </m>
      <n v="1.8" in="2">
        <tpls c="6">
          <tpl fld="11" item="0"/>
          <tpl fld="2" item="2"/>
          <tpl fld="6" item="2"/>
          <tpl hier="236" item="1"/>
          <tpl fld="4" item="3"/>
          <tpl fld="10" item="3"/>
        </tpls>
      </n>
      <n v="2" in="1">
        <tpls c="4">
          <tpl fld="7" item="872"/>
          <tpl fld="6" item="1"/>
          <tpl hier="236" item="1"/>
          <tpl fld="4" item="5"/>
        </tpls>
      </n>
      <n v="9.6086486486486482" in="2">
        <tpls c="6">
          <tpl fld="11" item="0"/>
          <tpl fld="5" item="3"/>
          <tpl fld="6" item="2"/>
          <tpl hier="236" item="1"/>
          <tpl fld="4" item="4"/>
          <tpl fld="10" item="6"/>
        </tpls>
      </n>
      <n v="71.258864864864847" in="2">
        <tpls c="6">
          <tpl fld="11" item="0"/>
          <tpl fld="5" item="1"/>
          <tpl fld="6" item="2"/>
          <tpl hier="236" item="1"/>
          <tpl fld="4" item="4"/>
          <tpl fld="10" item="6"/>
        </tpls>
      </n>
      <n v="239" in="1">
        <tpls c="6">
          <tpl fld="3" item="4"/>
          <tpl fld="11" item="0"/>
          <tpl fld="6" item="1"/>
          <tpl hier="236" item="1"/>
          <tpl fld="4" item="6"/>
          <tpl fld="10" item="5"/>
        </tpls>
      </n>
      <n v="1863" in="1">
        <tpls c="6">
          <tpl fld="11" item="0"/>
          <tpl fld="5" item="5"/>
          <tpl fld="6" item="1"/>
          <tpl hier="236" item="1"/>
          <tpl fld="4" item="4"/>
          <tpl fld="10" item="2"/>
        </tpls>
      </n>
      <m>
        <tpls c="6">
          <tpl fld="11" item="0"/>
          <tpl fld="2" item="1"/>
          <tpl fld="6" item="2"/>
          <tpl hier="236" item="1"/>
          <tpl fld="4" item="7"/>
          <tpl fld="10" item="6"/>
        </tpls>
      </m>
      <n v="126" in="1">
        <tpls c="6">
          <tpl fld="3" item="1"/>
          <tpl fld="11" item="0"/>
          <tpl fld="6" item="1"/>
          <tpl hier="236" item="1"/>
          <tpl fld="4" item="1"/>
          <tpl fld="9" item="1"/>
        </tpls>
      </n>
      <n v="0.81383783783783781" in="2">
        <tpls c="6">
          <tpl fld="11" item="0"/>
          <tpl fld="2" item="3"/>
          <tpl fld="6" item="2"/>
          <tpl hier="236" item="1"/>
          <tpl fld="4" item="1"/>
          <tpl fld="9" item="3"/>
        </tpls>
      </n>
      <m>
        <tpls c="6">
          <tpl fld="3" item="0"/>
          <tpl fld="11" item="0"/>
          <tpl fld="6" item="2"/>
          <tpl hier="236" item="1"/>
          <tpl fld="4" item="4"/>
          <tpl fld="10" item="5"/>
        </tpls>
      </m>
      <m>
        <tpls c="4">
          <tpl fld="7" item="963"/>
          <tpl fld="6" item="2"/>
          <tpl hier="236" item="1"/>
          <tpl fld="4" item="5"/>
        </tpls>
      </m>
      <m>
        <tpls c="4">
          <tpl fld="7" item="1068"/>
          <tpl fld="6" item="2"/>
          <tpl hier="236" item="1"/>
          <tpl fld="4" item="5"/>
        </tpls>
      </m>
      <n v="3" in="1">
        <tpls c="4">
          <tpl fld="7" item="1279"/>
          <tpl fld="6" item="1"/>
          <tpl hier="236" item="1"/>
          <tpl fld="4" item="5"/>
        </tpls>
      </n>
      <m>
        <tpls c="4">
          <tpl fld="7" item="1254"/>
          <tpl fld="6" item="2"/>
          <tpl hier="236" item="1"/>
          <tpl fld="4" item="6"/>
        </tpls>
      </m>
      <m>
        <tpls c="4">
          <tpl fld="7" item="960"/>
          <tpl fld="6" item="1"/>
          <tpl hier="236" item="1"/>
          <tpl fld="4" item="5"/>
        </tpls>
      </m>
      <m>
        <tpls c="3">
          <tpl fld="7" item="1154"/>
          <tpl fld="6" item="3"/>
          <tpl hier="236" item="1"/>
        </tpls>
      </m>
      <n v="1.72" in="2">
        <tpls c="6">
          <tpl fld="11" item="0"/>
          <tpl fld="5" item="4"/>
          <tpl fld="6" item="2"/>
          <tpl hier="236" item="1"/>
          <tpl fld="4" item="1"/>
          <tpl fld="9" item="3"/>
        </tpls>
      </n>
      <n v="0.16002402402402402" in="0">
        <tpls c="5">
          <tpl fld="11" item="0"/>
          <tpl fld="5" item="2"/>
          <tpl fld="6" item="0"/>
          <tpl hier="236" item="1"/>
          <tpl fld="4" item="0"/>
        </tpls>
      </n>
      <m>
        <tpls c="6">
          <tpl fld="11" item="0"/>
          <tpl fld="5" item="1"/>
          <tpl fld="6" item="2"/>
          <tpl hier="236" item="1"/>
          <tpl fld="4" item="7"/>
          <tpl fld="10" item="3"/>
        </tpls>
      </m>
      <m>
        <tpls c="6">
          <tpl fld="11" item="0"/>
          <tpl fld="5" item="1"/>
          <tpl fld="6" item="2"/>
          <tpl hier="236" item="1"/>
          <tpl fld="4" item="3"/>
          <tpl fld="10" item="1"/>
        </tpls>
      </m>
      <m>
        <tpls c="4">
          <tpl fld="7" item="1143"/>
          <tpl fld="6" item="1"/>
          <tpl hier="236" item="1"/>
          <tpl fld="4" item="6"/>
        </tpls>
      </m>
      <n v="85.358486486486484" in="2">
        <tpls c="6">
          <tpl fld="11" item="0"/>
          <tpl fld="2" item="0"/>
          <tpl fld="6" item="2"/>
          <tpl hier="236" item="1"/>
          <tpl fld="4" item="1"/>
          <tpl fld="9" item="4"/>
        </tpls>
      </n>
      <n v="10" in="1">
        <tpls c="6">
          <tpl fld="11" item="0"/>
          <tpl fld="2" item="0"/>
          <tpl fld="6" item="1"/>
          <tpl hier="236" item="1"/>
          <tpl fld="4" item="1"/>
          <tpl fld="9" item="0"/>
        </tpls>
      </n>
      <n v="1" in="1">
        <tpls c="4">
          <tpl fld="7" item="1068"/>
          <tpl fld="6" item="1"/>
          <tpl hier="236" item="1"/>
          <tpl fld="4" item="6"/>
        </tpls>
      </n>
      <n v="215" in="1">
        <tpls c="6">
          <tpl fld="11" item="0"/>
          <tpl fld="2" item="3"/>
          <tpl fld="6" item="1"/>
          <tpl hier="236" item="1"/>
          <tpl fld="4" item="6"/>
          <tpl fld="10" item="3"/>
        </tpls>
      </n>
      <n v="10.53945945945946" in="2">
        <tpls c="5">
          <tpl fld="11" item="0"/>
          <tpl fld="2" item="3"/>
          <tpl fld="6" item="2"/>
          <tpl hier="236" item="1"/>
          <tpl fld="4" item="5"/>
        </tpls>
      </n>
      <n v="815" in="1">
        <tpls c="6">
          <tpl fld="11" item="0"/>
          <tpl fld="5" item="0"/>
          <tpl fld="6" item="1"/>
          <tpl hier="236" item="1"/>
          <tpl fld="4" item="4"/>
          <tpl fld="10" item="0"/>
        </tpls>
      </n>
      <n v="1.6" in="2">
        <tpls c="6">
          <tpl fld="11" item="0"/>
          <tpl fld="2" item="2"/>
          <tpl fld="6" item="2"/>
          <tpl hier="236" item="1"/>
          <tpl fld="4" item="4"/>
          <tpl fld="10" item="4"/>
        </tpls>
      </n>
      <n v="6.56" in="2">
        <tpls c="5">
          <tpl fld="11" item="0"/>
          <tpl fld="5" item="5"/>
          <tpl fld="6" item="2"/>
          <tpl hier="236" item="1"/>
          <tpl fld="4" item="5"/>
        </tpls>
      </n>
      <n v="39.618000000000002" in="2">
        <tpls c="6">
          <tpl fld="11" item="0"/>
          <tpl fld="2" item="0"/>
          <tpl fld="6" item="2"/>
          <tpl hier="236" item="1"/>
          <tpl fld="4" item="4"/>
          <tpl fld="10" item="8"/>
        </tpls>
      </n>
      <n v="16" in="1">
        <tpls c="6">
          <tpl fld="11" item="0"/>
          <tpl fld="2" item="2"/>
          <tpl fld="6" item="1"/>
          <tpl hier="236" item="1"/>
          <tpl fld="4" item="7"/>
          <tpl fld="10" item="1"/>
        </tpls>
      </n>
      <m>
        <tpls c="6">
          <tpl fld="11" item="0"/>
          <tpl fld="5" item="4"/>
          <tpl fld="6" item="1"/>
          <tpl hier="236" item="1"/>
          <tpl fld="4" item="7"/>
          <tpl fld="10" item="1"/>
        </tpls>
      </m>
      <n v="46" in="1">
        <tpls c="6">
          <tpl fld="11" item="0"/>
          <tpl fld="2" item="2"/>
          <tpl fld="6" item="1"/>
          <tpl hier="236" item="1"/>
          <tpl fld="4" item="6"/>
          <tpl fld="10" item="6"/>
        </tpls>
      </n>
      <n v="5.2421621621621624" in="2">
        <tpls c="6">
          <tpl fld="3" item="4"/>
          <tpl fld="11" item="0"/>
          <tpl fld="6" item="2"/>
          <tpl hier="236" item="1"/>
          <tpl fld="4" item="6"/>
          <tpl fld="10" item="4"/>
        </tpls>
      </n>
      <m>
        <tpls c="6">
          <tpl fld="3" item="4"/>
          <tpl fld="11" item="0"/>
          <tpl fld="6" item="2"/>
          <tpl hier="236" item="1"/>
          <tpl fld="4" item="7"/>
          <tpl fld="10" item="2"/>
        </tpls>
      </m>
      <n v="1" in="2">
        <tpls c="6">
          <tpl fld="11" item="0"/>
          <tpl fld="6" item="2"/>
          <tpl fld="8" item="0"/>
          <tpl hier="236" item="1"/>
          <tpl fld="4" item="7"/>
          <tpl fld="10" item="7"/>
        </tpls>
      </n>
      <m>
        <tpls c="4">
          <tpl fld="7" item="229"/>
          <tpl fld="6" item="1"/>
          <tpl hier="236" item="1"/>
          <tpl fld="4" item="4"/>
        </tpls>
      </m>
      <n v="177" in="1">
        <tpls c="6">
          <tpl fld="11" item="0"/>
          <tpl fld="2" item="1"/>
          <tpl fld="6" item="1"/>
          <tpl hier="236" item="1"/>
          <tpl fld="4" item="3"/>
          <tpl fld="10" item="0"/>
        </tpls>
      </n>
      <n v="109" in="1">
        <tpls c="6">
          <tpl fld="11" item="0"/>
          <tpl fld="6" item="1"/>
          <tpl fld="8" item="0"/>
          <tpl hier="236" item="1"/>
          <tpl fld="4" item="6"/>
          <tpl fld="10" item="6"/>
        </tpls>
      </n>
      <n v="99" in="1">
        <tpls c="6">
          <tpl fld="11" item="0"/>
          <tpl fld="2" item="2"/>
          <tpl fld="6" item="1"/>
          <tpl hier="236" item="1"/>
          <tpl fld="4" item="7"/>
          <tpl fld="10" item="2"/>
        </tpls>
      </n>
      <m>
        <tpls c="6">
          <tpl fld="11" item="0"/>
          <tpl fld="5" item="2"/>
          <tpl fld="6" item="2"/>
          <tpl hier="236" item="1"/>
          <tpl fld="4" item="7"/>
          <tpl fld="10" item="3"/>
        </tpls>
      </m>
      <n v="8.6832432432432434" in="2">
        <tpls c="6">
          <tpl fld="11" item="0"/>
          <tpl fld="5" item="1"/>
          <tpl fld="6" item="2"/>
          <tpl hier="236" item="1"/>
          <tpl fld="4" item="6"/>
          <tpl fld="10" item="3"/>
        </tpls>
      </n>
      <n v="3" in="1">
        <tpls c="4">
          <tpl fld="7" item="1077"/>
          <tpl fld="6" item="1"/>
          <tpl hier="236" item="1"/>
          <tpl fld="4" item="5"/>
        </tpls>
      </n>
      <n v="2.68" in="2">
        <tpls c="5">
          <tpl fld="11" item="0"/>
          <tpl fld="2" item="3"/>
          <tpl fld="6" item="2"/>
          <tpl hier="236" item="1"/>
          <tpl fld="4" item="2"/>
        </tpls>
      </n>
      <n v="9" in="1">
        <tpls c="4">
          <tpl fld="7" item="1055"/>
          <tpl fld="6" item="1"/>
          <tpl hier="236" item="1"/>
          <tpl fld="4" item="6"/>
        </tpls>
      </n>
      <n v="27925" in="1">
        <tpls c="5">
          <tpl fld="11" item="0"/>
          <tpl fld="2" item="1"/>
          <tpl fld="6" item="1"/>
          <tpl hier="236" item="1"/>
          <tpl fld="1" item="0"/>
        </tpls>
      </n>
      <n v="401" in="1">
        <tpls c="5">
          <tpl fld="11" item="0"/>
          <tpl fld="2" item="1"/>
          <tpl fld="6" item="1"/>
          <tpl hier="236" item="1"/>
          <tpl fld="4" item="2"/>
        </tpls>
      </n>
      <n v="5.88" in="2">
        <tpls c="6">
          <tpl fld="3" item="4"/>
          <tpl fld="11" item="0"/>
          <tpl fld="6" item="2"/>
          <tpl hier="236" item="1"/>
          <tpl fld="4" item="4"/>
          <tpl fld="10" item="2"/>
        </tpls>
      </n>
      <m>
        <tpls c="6">
          <tpl fld="3" item="4"/>
          <tpl fld="11" item="0"/>
          <tpl fld="6" item="2"/>
          <tpl hier="236" item="1"/>
          <tpl fld="4" item="3"/>
          <tpl fld="10" item="4"/>
        </tpls>
      </m>
      <n v="34" in="1">
        <tpls c="6">
          <tpl fld="11" item="0"/>
          <tpl fld="6" item="1"/>
          <tpl fld="8" item="0"/>
          <tpl hier="236" item="1"/>
          <tpl fld="4" item="6"/>
          <tpl fld="10" item="1"/>
        </tpls>
      </n>
      <m>
        <tpls c="4">
          <tpl fld="7" item="222"/>
          <tpl fld="6" item="2"/>
          <tpl hier="236" item="1"/>
          <tpl fld="4" item="6"/>
        </tpls>
      </m>
      <n v="198" in="1">
        <tpls c="6">
          <tpl fld="11" item="0"/>
          <tpl fld="5" item="0"/>
          <tpl fld="6" item="1"/>
          <tpl hier="236" item="1"/>
          <tpl fld="4" item="6"/>
          <tpl fld="10" item="3"/>
        </tpls>
      </n>
      <n v="2.8" in="2">
        <tpls c="6">
          <tpl fld="3" item="0"/>
          <tpl fld="11" item="0"/>
          <tpl fld="6" item="2"/>
          <tpl hier="236" item="1"/>
          <tpl fld="4" item="7"/>
          <tpl fld="10" item="0"/>
        </tpls>
      </n>
      <n v="895" in="1">
        <tpls c="6">
          <tpl fld="11" item="0"/>
          <tpl fld="6" item="1"/>
          <tpl fld="8" item="0"/>
          <tpl hier="236" item="1"/>
          <tpl fld="4" item="6"/>
          <tpl fld="10" item="7"/>
        </tpls>
      </n>
      <n v="52.924324324324324" in="2">
        <tpls c="5">
          <tpl fld="11" item="0"/>
          <tpl fld="6" item="2"/>
          <tpl hier="236" item="1"/>
          <tpl fld="4" item="3"/>
          <tpl fld="10" item="8"/>
        </tpls>
      </n>
      <m>
        <tpls c="4">
          <tpl fld="7" item="968"/>
          <tpl fld="6" item="2"/>
          <tpl hier="236" item="1"/>
          <tpl fld="4" item="5"/>
        </tpls>
      </m>
      <n v="8" in="1">
        <tpls c="4">
          <tpl fld="7" item="1275"/>
          <tpl fld="6" item="1"/>
          <tpl hier="236" item="1"/>
          <tpl fld="1" item="0"/>
        </tpls>
      </n>
      <m>
        <tpls c="6">
          <tpl fld="11" item="0"/>
          <tpl fld="5" item="5"/>
          <tpl fld="6" item="2"/>
          <tpl hier="236" item="1"/>
          <tpl fld="4" item="4"/>
          <tpl fld="10" item="1"/>
        </tpls>
      </m>
      <m>
        <tpls c="6">
          <tpl fld="11" item="0"/>
          <tpl fld="5" item="3"/>
          <tpl fld="6" item="2"/>
          <tpl hier="236" item="1"/>
          <tpl fld="4" item="3"/>
          <tpl fld="10" item="7"/>
        </tpls>
      </m>
      <m>
        <tpls c="3">
          <tpl fld="7" item="1047"/>
          <tpl fld="6" item="3"/>
          <tpl hier="236" item="1"/>
        </tpls>
      </m>
      <n v="2.7600000000000002" in="2">
        <tpls c="6">
          <tpl fld="11" item="0"/>
          <tpl fld="5" item="3"/>
          <tpl fld="6" item="2"/>
          <tpl hier="236" item="1"/>
          <tpl fld="4" item="6"/>
          <tpl fld="10" item="7"/>
        </tpls>
      </n>
      <n v="48" in="1">
        <tpls c="4">
          <tpl fld="7" item="972"/>
          <tpl fld="6" item="1"/>
          <tpl hier="236" item="1"/>
          <tpl fld="1" item="0"/>
        </tpls>
      </n>
      <m>
        <tpls c="4">
          <tpl fld="7" item="1080"/>
          <tpl fld="6" item="1"/>
          <tpl hier="236" item="1"/>
          <tpl fld="4" item="6"/>
        </tpls>
      </m>
      <n v="243" in="1">
        <tpls c="6">
          <tpl fld="11" item="0"/>
          <tpl fld="2" item="3"/>
          <tpl fld="6" item="1"/>
          <tpl hier="236" item="1"/>
          <tpl fld="4" item="3"/>
          <tpl fld="10" item="3"/>
        </tpls>
      </n>
      <m>
        <tpls c="6">
          <tpl fld="11" item="0"/>
          <tpl fld="5" item="1"/>
          <tpl fld="6" item="2"/>
          <tpl hier="236" item="1"/>
          <tpl fld="4" item="3"/>
          <tpl fld="10" item="5"/>
        </tpls>
      </m>
      <n v="76" in="1">
        <tpls c="6">
          <tpl fld="11" item="0"/>
          <tpl fld="5" item="3"/>
          <tpl fld="6" item="1"/>
          <tpl hier="236" item="1"/>
          <tpl fld="4" item="6"/>
          <tpl fld="10" item="1"/>
        </tpls>
      </n>
      <n v="65.147405405405394" in="2">
        <tpls c="6">
          <tpl fld="3" item="2"/>
          <tpl fld="11" item="0"/>
          <tpl fld="6" item="2"/>
          <tpl hier="236" item="1"/>
          <tpl fld="4" item="6"/>
          <tpl fld="10" item="0"/>
        </tpls>
      </n>
      <m>
        <tpls c="3">
          <tpl fld="7" item="967"/>
          <tpl fld="6" item="3"/>
          <tpl hier="236" item="1"/>
        </tpls>
      </m>
      <m>
        <tpls c="3">
          <tpl fld="7" item="1066"/>
          <tpl fld="6" item="3"/>
          <tpl hier="236" item="1"/>
        </tpls>
      </m>
      <n v="426" in="1">
        <tpls c="5">
          <tpl fld="3" item="4"/>
          <tpl fld="11" item="0"/>
          <tpl fld="6" item="1"/>
          <tpl hier="236" item="1"/>
          <tpl fld="4" item="0"/>
        </tpls>
      </n>
      <n v="566" in="1">
        <tpls c="6">
          <tpl fld="3" item="2"/>
          <tpl fld="11" item="0"/>
          <tpl fld="6" item="1"/>
          <tpl hier="236" item="1"/>
          <tpl fld="4" item="4"/>
          <tpl fld="10" item="8"/>
        </tpls>
      </n>
      <n v="460" in="1">
        <tpls c="6">
          <tpl fld="11" item="0"/>
          <tpl fld="5" item="4"/>
          <tpl fld="6" item="1"/>
          <tpl hier="236" item="1"/>
          <tpl fld="4" item="4"/>
          <tpl fld="10" item="7"/>
        </tpls>
      </n>
      <m>
        <tpls c="6">
          <tpl fld="11" item="0"/>
          <tpl fld="2" item="2"/>
          <tpl fld="6" item="2"/>
          <tpl hier="236" item="1"/>
          <tpl fld="4" item="3"/>
          <tpl fld="10" item="6"/>
        </tpls>
      </m>
      <n v="48454" in="1">
        <tpls c="5">
          <tpl fld="11" item="0"/>
          <tpl fld="6" item="1"/>
          <tpl fld="8" item="1"/>
          <tpl hier="236" item="1"/>
          <tpl fld="1" item="0"/>
        </tpls>
      </n>
      <m>
        <tpls c="6">
          <tpl fld="11" item="0"/>
          <tpl fld="5" item="3"/>
          <tpl fld="6" item="2"/>
          <tpl hier="236" item="1"/>
          <tpl fld="4" item="6"/>
          <tpl fld="10" item="1"/>
        </tpls>
      </m>
      <n v="291" in="1">
        <tpls c="6">
          <tpl fld="3" item="2"/>
          <tpl fld="11" item="0"/>
          <tpl fld="6" item="1"/>
          <tpl hier="236" item="1"/>
          <tpl fld="4" item="1"/>
          <tpl fld="9" item="1"/>
        </tpls>
      </n>
      <m>
        <tpls c="6">
          <tpl fld="11" item="0"/>
          <tpl fld="5" item="0"/>
          <tpl fld="6" item="2"/>
          <tpl hier="236" item="1"/>
          <tpl fld="4" item="7"/>
          <tpl fld="10" item="7"/>
        </tpls>
      </m>
      <n v="764" in="1">
        <tpls c="6">
          <tpl fld="11" item="0"/>
          <tpl fld="2" item="2"/>
          <tpl fld="6" item="1"/>
          <tpl hier="236" item="1"/>
          <tpl fld="4" item="1"/>
          <tpl fld="9" item="4"/>
        </tpls>
      </n>
      <n v="2.44" in="2">
        <tpls c="6">
          <tpl fld="11" item="0"/>
          <tpl fld="2" item="3"/>
          <tpl fld="6" item="2"/>
          <tpl hier="236" item="1"/>
          <tpl fld="4" item="3"/>
          <tpl fld="10" item="7"/>
        </tpls>
      </n>
      <n v="2361" in="1">
        <tpls c="6">
          <tpl fld="11" item="0"/>
          <tpl fld="6" item="1"/>
          <tpl fld="8" item="0"/>
          <tpl hier="236" item="1"/>
          <tpl fld="4" item="4"/>
          <tpl fld="10" item="0"/>
        </tpls>
      </n>
      <m>
        <tpls c="4">
          <tpl fld="7" item="396"/>
          <tpl fld="6" item="2"/>
          <tpl hier="236" item="1"/>
          <tpl fld="4" item="1"/>
        </tpls>
      </m>
      <m>
        <tpls c="4">
          <tpl fld="7" item="401"/>
          <tpl fld="6" item="2"/>
          <tpl hier="236" item="1"/>
          <tpl fld="4" item="1"/>
        </tpls>
      </m>
      <n v="236" in="1">
        <tpls c="6">
          <tpl fld="3" item="0"/>
          <tpl fld="11" item="0"/>
          <tpl fld="6" item="1"/>
          <tpl hier="236" item="1"/>
          <tpl fld="4" item="7"/>
          <tpl fld="10" item="8"/>
        </tpls>
      </n>
      <n v="47.856162162162157" in="2">
        <tpls c="6">
          <tpl fld="11" item="0"/>
          <tpl fld="6" item="2"/>
          <tpl fld="8" item="1"/>
          <tpl hier="236" item="1"/>
          <tpl fld="4" item="4"/>
          <tpl fld="10" item="6"/>
        </tpls>
      </n>
      <n v="4.8783783783783781" in="2">
        <tpls c="6">
          <tpl fld="11" item="0"/>
          <tpl fld="2" item="3"/>
          <tpl fld="6" item="2"/>
          <tpl hier="236" item="1"/>
          <tpl fld="4" item="6"/>
          <tpl fld="10" item="4"/>
        </tpls>
      </n>
      <m>
        <tpls c="3">
          <tpl fld="7" item="1037"/>
          <tpl fld="6" item="3"/>
          <tpl hier="236" item="1"/>
        </tpls>
      </m>
      <n v="782" in="1">
        <tpls c="6">
          <tpl fld="11" item="0"/>
          <tpl fld="5" item="2"/>
          <tpl fld="6" item="1"/>
          <tpl hier="236" item="1"/>
          <tpl fld="4" item="1"/>
          <tpl fld="9" item="4"/>
        </tpls>
      </n>
      <m>
        <tpls c="3">
          <tpl fld="7" item="1234"/>
          <tpl fld="6" item="3"/>
          <tpl hier="236" item="1"/>
        </tpls>
      </m>
      <n v="777" in="1">
        <tpls c="6">
          <tpl fld="11" item="0"/>
          <tpl fld="2" item="1"/>
          <tpl fld="6" item="1"/>
          <tpl hier="236" item="1"/>
          <tpl fld="4" item="7"/>
          <tpl fld="10" item="7"/>
        </tpls>
      </n>
      <m>
        <tpls c="3">
          <tpl fld="7" item="1067"/>
          <tpl fld="6" item="3"/>
          <tpl hier="236" item="1"/>
        </tpls>
      </m>
      <n v="66.144324324324316" in="2">
        <tpls c="6">
          <tpl fld="11" item="0"/>
          <tpl fld="2" item="1"/>
          <tpl fld="6" item="2"/>
          <tpl hier="236" item="1"/>
          <tpl fld="4" item="1"/>
          <tpl fld="9" item="1"/>
        </tpls>
      </n>
      <n v="74" in="1">
        <tpls c="6">
          <tpl fld="11" item="0"/>
          <tpl fld="2" item="3"/>
          <tpl fld="6" item="1"/>
          <tpl hier="236" item="1"/>
          <tpl fld="4" item="7"/>
          <tpl fld="10" item="7"/>
        </tpls>
      </n>
      <n v="93" in="1">
        <tpls c="5">
          <tpl fld="11" item="0"/>
          <tpl fld="5" item="0"/>
          <tpl fld="6" item="1"/>
          <tpl hier="236" item="1"/>
          <tpl fld="4" item="0"/>
        </tpls>
      </n>
      <n v="4.8281081081081085" in="2">
        <tpls c="6">
          <tpl fld="3" item="0"/>
          <tpl fld="11" item="0"/>
          <tpl fld="6" item="2"/>
          <tpl hier="236" item="1"/>
          <tpl fld="4" item="7"/>
          <tpl fld="10" item="8"/>
        </tpls>
      </n>
      <m>
        <tpls c="4">
          <tpl fld="7" item="1169"/>
          <tpl fld="6" item="2"/>
          <tpl hier="236" item="1"/>
          <tpl fld="1" item="0"/>
        </tpls>
      </m>
      <n v="3" in="1">
        <tpls c="4">
          <tpl fld="7" item="1170"/>
          <tpl fld="6" item="1"/>
          <tpl hier="236" item="1"/>
          <tpl fld="1" item="0"/>
        </tpls>
      </n>
      <m>
        <tpls c="4">
          <tpl fld="7" item="1072"/>
          <tpl fld="6" item="2"/>
          <tpl hier="236" item="1"/>
          <tpl fld="4" item="6"/>
        </tpls>
      </m>
      <n v="48" in="1">
        <tpls c="4">
          <tpl fld="7" item="928"/>
          <tpl fld="6" item="1"/>
          <tpl hier="236" item="1"/>
          <tpl fld="1" item="0"/>
        </tpls>
      </n>
      <m>
        <tpls c="4">
          <tpl fld="7" item="1152"/>
          <tpl fld="6" item="2"/>
          <tpl hier="236" item="1"/>
          <tpl fld="4" item="6"/>
        </tpls>
      </m>
      <n v="1" in="1">
        <tpls c="4">
          <tpl fld="7" item="1035"/>
          <tpl fld="6" item="1"/>
          <tpl hier="236" item="1"/>
          <tpl fld="4" item="6"/>
        </tpls>
      </n>
      <n v="6.76" in="2">
        <tpls c="6">
          <tpl fld="11" item="0"/>
          <tpl fld="5" item="5"/>
          <tpl fld="6" item="2"/>
          <tpl hier="236" item="1"/>
          <tpl fld="4" item="6"/>
          <tpl fld="10" item="7"/>
        </tpls>
      </n>
      <m>
        <tpls c="6">
          <tpl fld="11" item="0"/>
          <tpl fld="5" item="2"/>
          <tpl fld="6" item="1"/>
          <tpl hier="236" item="1"/>
          <tpl fld="4" item="3"/>
          <tpl fld="10" item="6"/>
        </tpls>
      </m>
      <n v="29" in="1">
        <tpls c="6">
          <tpl fld="11" item="0"/>
          <tpl fld="5" item="2"/>
          <tpl fld="6" item="1"/>
          <tpl hier="236" item="1"/>
          <tpl fld="4" item="4"/>
          <tpl fld="10" item="5"/>
        </tpls>
      </n>
      <n v="1029" in="1">
        <tpls c="6">
          <tpl fld="11" item="0"/>
          <tpl fld="2" item="1"/>
          <tpl fld="6" item="1"/>
          <tpl hier="236" item="1"/>
          <tpl fld="4" item="3"/>
          <tpl fld="10" item="2"/>
        </tpls>
      </n>
      <n v="164" in="1">
        <tpls c="5">
          <tpl fld="11" item="0"/>
          <tpl fld="6" item="1"/>
          <tpl hier="236" item="1"/>
          <tpl fld="4" item="6"/>
          <tpl fld="10" item="1"/>
        </tpls>
      </n>
      <n v="2.44" in="2">
        <tpls c="6">
          <tpl fld="3" item="4"/>
          <tpl fld="11" item="0"/>
          <tpl fld="6" item="2"/>
          <tpl hier="236" item="1"/>
          <tpl fld="4" item="6"/>
          <tpl fld="10" item="6"/>
        </tpls>
      </n>
      <n v="4" in="1">
        <tpls c="4">
          <tpl fld="7" item="1074"/>
          <tpl fld="6" item="1"/>
          <tpl hier="236" item="1"/>
          <tpl fld="4" item="6"/>
        </tpls>
      </n>
      <m>
        <tpls c="6">
          <tpl fld="11" item="0"/>
          <tpl fld="5" item="5"/>
          <tpl fld="6" item="2"/>
          <tpl hier="236" item="1"/>
          <tpl fld="4" item="3"/>
          <tpl fld="10" item="6"/>
        </tpls>
      </m>
      <m>
        <tpls c="6">
          <tpl fld="3" item="0"/>
          <tpl fld="11" item="0"/>
          <tpl fld="6" item="2"/>
          <tpl hier="236" item="1"/>
          <tpl fld="4" item="1"/>
          <tpl fld="9" item="0"/>
        </tpls>
      </m>
      <n v="498" in="1">
        <tpls c="6">
          <tpl fld="11" item="0"/>
          <tpl fld="5" item="5"/>
          <tpl fld="6" item="1"/>
          <tpl hier="236" item="1"/>
          <tpl fld="4" item="3"/>
          <tpl fld="10" item="5"/>
        </tpls>
      </n>
      <n v="113" in="1">
        <tpls c="6">
          <tpl fld="3" item="1"/>
          <tpl fld="11" item="0"/>
          <tpl fld="6" item="1"/>
          <tpl hier="236" item="1"/>
          <tpl fld="4" item="1"/>
          <tpl fld="9" item="2"/>
        </tpls>
      </n>
      <n v="7.5600000000000005" in="2">
        <tpls c="5">
          <tpl fld="11" item="0"/>
          <tpl fld="2" item="4"/>
          <tpl fld="6" item="2"/>
          <tpl hier="236" item="1"/>
          <tpl fld="4" item="0"/>
        </tpls>
      </n>
      <m>
        <tpls c="4">
          <tpl fld="7" item="959"/>
          <tpl fld="6" item="2"/>
          <tpl hier="236" item="1"/>
          <tpl fld="1" item="0"/>
        </tpls>
      </m>
      <n v="51" in="1">
        <tpls c="4">
          <tpl fld="7" item="873"/>
          <tpl fld="6" item="1"/>
          <tpl hier="236" item="1"/>
          <tpl fld="1" item="0"/>
        </tpls>
      </n>
      <m>
        <tpls c="4">
          <tpl fld="7" item="1069"/>
          <tpl fld="6" item="2"/>
          <tpl hier="236" item="1"/>
          <tpl fld="4" item="5"/>
        </tpls>
      </m>
      <m>
        <tpls c="6">
          <tpl fld="3" item="2"/>
          <tpl fld="11" item="0"/>
          <tpl fld="6" item="2"/>
          <tpl hier="236" item="1"/>
          <tpl fld="4" item="7"/>
          <tpl fld="10" item="0"/>
        </tpls>
      </m>
      <m>
        <tpls c="6">
          <tpl fld="3" item="4"/>
          <tpl fld="11" item="0"/>
          <tpl fld="6" item="2"/>
          <tpl hier="236" item="1"/>
          <tpl fld="4" item="7"/>
          <tpl fld="10" item="8"/>
        </tpls>
      </m>
      <m>
        <tpls c="4">
          <tpl fld="7" item="1258"/>
          <tpl fld="6" item="1"/>
          <tpl hier="236" item="1"/>
          <tpl fld="1" item="0"/>
        </tpls>
      </m>
      <n v="4.5518918918918923" in="2">
        <tpls c="6">
          <tpl fld="11" item="0"/>
          <tpl fld="5" item="5"/>
          <tpl fld="6" item="2"/>
          <tpl hier="236" item="1"/>
          <tpl fld="4" item="3"/>
          <tpl fld="10" item="3"/>
        </tpls>
      </n>
      <n v="268" in="1">
        <tpls c="6">
          <tpl fld="11" item="0"/>
          <tpl fld="5" item="4"/>
          <tpl fld="6" item="1"/>
          <tpl hier="236" item="1"/>
          <tpl fld="4" item="6"/>
          <tpl fld="10" item="2"/>
        </tpls>
      </n>
      <n v="1" in="1">
        <tpls c="4">
          <tpl fld="7" item="961"/>
          <tpl fld="6" item="1"/>
          <tpl hier="236" item="1"/>
          <tpl fld="1" item="0"/>
        </tpls>
      </n>
      <n v="35930" in="1">
        <tpls c="5">
          <tpl fld="11" item="0"/>
          <tpl fld="5" item="5"/>
          <tpl fld="6" item="1"/>
          <tpl hier="236" item="1"/>
          <tpl fld="1" item="0"/>
        </tpls>
      </n>
      <m>
        <tpls c="4">
          <tpl fld="7" item="1227"/>
          <tpl fld="6" item="1"/>
          <tpl hier="236" item="1"/>
          <tpl fld="4" item="5"/>
        </tpls>
      </m>
      <n v="4.2" in="2">
        <tpls c="6">
          <tpl fld="11" item="0"/>
          <tpl fld="5" item="5"/>
          <tpl fld="6" item="2"/>
          <tpl hier="236" item="1"/>
          <tpl fld="4" item="4"/>
          <tpl fld="10" item="4"/>
        </tpls>
      </n>
      <n v="13.343243243243244" in="2">
        <tpls c="5">
          <tpl fld="11" item="0"/>
          <tpl fld="2" item="2"/>
          <tpl fld="6" item="2"/>
          <tpl hier="236" item="1"/>
          <tpl fld="4" item="5"/>
        </tpls>
      </n>
      <n v="10" in="1">
        <tpls c="6">
          <tpl fld="11" item="0"/>
          <tpl fld="2" item="3"/>
          <tpl fld="6" item="1"/>
          <tpl hier="236" item="1"/>
          <tpl fld="4" item="7"/>
          <tpl fld="10" item="4"/>
        </tpls>
      </n>
      <n v="6" in="1">
        <tpls c="6">
          <tpl fld="11" item="0"/>
          <tpl fld="2" item="4"/>
          <tpl fld="6" item="1"/>
          <tpl hier="236" item="1"/>
          <tpl fld="4" item="6"/>
          <tpl fld="10" item="1"/>
        </tpls>
      </n>
      <n v="13.200270270270272" in="2">
        <tpls c="6">
          <tpl fld="11" item="0"/>
          <tpl fld="2" item="2"/>
          <tpl fld="6" item="2"/>
          <tpl hier="236" item="1"/>
          <tpl fld="4" item="4"/>
          <tpl fld="10" item="3"/>
        </tpls>
      </n>
      <m>
        <tpls c="3">
          <tpl fld="7" item="977"/>
          <tpl fld="6" item="3"/>
          <tpl hier="236" item="1"/>
        </tpls>
      </m>
      <n v="2.3199999999999998" in="2">
        <tpls c="6">
          <tpl fld="11" item="0"/>
          <tpl fld="2" item="0"/>
          <tpl fld="6" item="2"/>
          <tpl hier="236" item="1"/>
          <tpl fld="4" item="1"/>
          <tpl fld="9" item="2"/>
        </tpls>
      </n>
      <n v="13.970810810810812" in="2">
        <tpls c="6">
          <tpl fld="11" item="0"/>
          <tpl fld="2" item="4"/>
          <tpl fld="6" item="2"/>
          <tpl hier="236" item="1"/>
          <tpl fld="4" item="3"/>
          <tpl fld="10" item="8"/>
        </tpls>
      </n>
      <m>
        <tpls c="3">
          <tpl fld="7" item="1075"/>
          <tpl fld="6" item="3"/>
          <tpl hier="236" item="1"/>
        </tpls>
      </m>
      <n v="7.9805405405405407" in="2">
        <tpls c="6">
          <tpl fld="11" item="0"/>
          <tpl fld="2" item="1"/>
          <tpl fld="6" item="2"/>
          <tpl hier="236" item="1"/>
          <tpl fld="4" item="6"/>
          <tpl fld="10" item="3"/>
        </tpls>
      </n>
      <n v="1" in="2">
        <tpls c="6">
          <tpl fld="3" item="1"/>
          <tpl fld="11" item="0"/>
          <tpl fld="6" item="2"/>
          <tpl hier="236" item="1"/>
          <tpl fld="4" item="7"/>
          <tpl fld="10" item="2"/>
        </tpls>
      </n>
      <n v="442" in="1">
        <tpls c="6">
          <tpl fld="3" item="0"/>
          <tpl fld="11" item="0"/>
          <tpl fld="6" item="1"/>
          <tpl hier="236" item="1"/>
          <tpl fld="4" item="3"/>
          <tpl fld="10" item="7"/>
        </tpls>
      </n>
      <n v="72" in="1">
        <tpls c="6">
          <tpl fld="11" item="0"/>
          <tpl fld="6" item="1"/>
          <tpl fld="8" item="0"/>
          <tpl hier="236" item="1"/>
          <tpl fld="4" item="3"/>
          <tpl fld="10" item="0"/>
        </tpls>
      </n>
      <m>
        <tpls c="4">
          <tpl fld="7" item="115"/>
          <tpl fld="6" item="1"/>
          <tpl hier="236" item="1"/>
          <tpl fld="4" item="5"/>
        </tpls>
      </m>
      <n v="0" in="1">
        <tpls c="6">
          <tpl fld="11" item="0"/>
          <tpl fld="5" item="4"/>
          <tpl fld="6" item="1"/>
          <tpl hier="236" item="1"/>
          <tpl fld="4" item="3"/>
          <tpl fld="10" item="3"/>
        </tpls>
      </n>
      <n v="24.279459459459453" in="2">
        <tpls c="5">
          <tpl fld="3" item="4"/>
          <tpl fld="11" item="0"/>
          <tpl fld="6" item="2"/>
          <tpl hier="236" item="1"/>
          <tpl fld="4" item="0"/>
        </tpls>
      </n>
      <m>
        <tpls c="6">
          <tpl fld="11" item="0"/>
          <tpl fld="6" item="1"/>
          <tpl fld="8" item="0"/>
          <tpl hier="236" item="1"/>
          <tpl fld="4" item="3"/>
          <tpl fld="10" item="6"/>
        </tpls>
      </m>
      <n v="3.3200000000000003" in="2">
        <tpls c="6">
          <tpl fld="3" item="0"/>
          <tpl fld="11" item="0"/>
          <tpl fld="6" item="2"/>
          <tpl hier="236" item="1"/>
          <tpl fld="4" item="4"/>
          <tpl fld="10" item="3"/>
        </tpls>
      </n>
      <n v="126.53945945945948" in="2">
        <tpls c="4">
          <tpl fld="11" item="0"/>
          <tpl fld="6" item="2"/>
          <tpl hier="236" item="1"/>
          <tpl fld="4" item="0"/>
        </tpls>
      </n>
      <n v="74" in="1">
        <tpls c="6">
          <tpl fld="11" item="0"/>
          <tpl fld="5" item="2"/>
          <tpl fld="6" item="1"/>
          <tpl hier="236" item="1"/>
          <tpl fld="4" item="1"/>
          <tpl fld="9" item="2"/>
        </tpls>
      </n>
      <n v="11.12" in="2">
        <tpls c="6">
          <tpl fld="3" item="4"/>
          <tpl fld="11" item="0"/>
          <tpl fld="6" item="2"/>
          <tpl hier="236" item="1"/>
          <tpl fld="4" item="4"/>
          <tpl fld="10" item="3"/>
        </tpls>
      </n>
      <n v="7.2799999999999994" in="2">
        <tpls c="6">
          <tpl fld="11" item="0"/>
          <tpl fld="2" item="1"/>
          <tpl fld="6" item="2"/>
          <tpl hier="236" item="1"/>
          <tpl fld="4" item="7"/>
          <tpl fld="10" item="8"/>
        </tpls>
      </n>
      <n v="434" in="1">
        <tpls c="6">
          <tpl fld="11" item="0"/>
          <tpl fld="5" item="4"/>
          <tpl fld="6" item="1"/>
          <tpl hier="236" item="1"/>
          <tpl fld="4" item="6"/>
          <tpl fld="10" item="0"/>
        </tpls>
      </n>
      <n v="1.24" in="2">
        <tpls c="6">
          <tpl fld="11" item="0"/>
          <tpl fld="2" item="1"/>
          <tpl fld="6" item="2"/>
          <tpl hier="236" item="1"/>
          <tpl fld="4" item="6"/>
          <tpl fld="10" item="1"/>
        </tpls>
      </n>
      <n v="472" in="1">
        <tpls c="6">
          <tpl fld="3" item="4"/>
          <tpl fld="11" item="0"/>
          <tpl fld="6" item="1"/>
          <tpl hier="236" item="1"/>
          <tpl fld="4" item="4"/>
          <tpl fld="10" item="2"/>
        </tpls>
      </n>
      <n v="551" in="1">
        <tpls c="5">
          <tpl fld="3" item="2"/>
          <tpl fld="11" item="0"/>
          <tpl fld="6" item="1"/>
          <tpl hier="236" item="1"/>
          <tpl fld="4" item="0"/>
        </tpls>
      </n>
      <n v="161" in="1">
        <tpls c="6">
          <tpl fld="3" item="2"/>
          <tpl fld="11" item="0"/>
          <tpl fld="6" item="1"/>
          <tpl hier="236" item="1"/>
          <tpl fld="4" item="4"/>
          <tpl fld="10" item="2"/>
        </tpls>
      </n>
      <n v="32" in="1">
        <tpls c="6">
          <tpl fld="11" item="0"/>
          <tpl fld="6" item="1"/>
          <tpl fld="8" item="0"/>
          <tpl hier="236" item="1"/>
          <tpl fld="4" item="3"/>
          <tpl fld="10" item="1"/>
        </tpls>
      </n>
      <m>
        <tpls c="4">
          <tpl fld="7" item="116"/>
          <tpl fld="6" item="1"/>
          <tpl hier="236" item="1"/>
          <tpl fld="4" item="5"/>
        </tpls>
      </m>
      <n v="0.55999999999999994" in="2">
        <tpls c="6">
          <tpl fld="11" item="0"/>
          <tpl fld="5" item="5"/>
          <tpl fld="6" item="2"/>
          <tpl hier="236" item="1"/>
          <tpl fld="4" item="7"/>
          <tpl fld="10" item="1"/>
        </tpls>
      </n>
      <n v="1.2" in="2">
        <tpls c="6">
          <tpl fld="3" item="1"/>
          <tpl fld="11" item="0"/>
          <tpl fld="6" item="2"/>
          <tpl hier="236" item="1"/>
          <tpl fld="4" item="7"/>
          <tpl fld="10" item="7"/>
        </tpls>
      </n>
      <m>
        <tpls c="4">
          <tpl fld="7" item="960"/>
          <tpl fld="6" item="1"/>
          <tpl hier="236" item="1"/>
          <tpl fld="1" item="0"/>
        </tpls>
      </m>
      <n v="16" in="1">
        <tpls c="6">
          <tpl fld="3" item="0"/>
          <tpl fld="11" item="0"/>
          <tpl fld="6" item="1"/>
          <tpl hier="236" item="1"/>
          <tpl fld="4" item="6"/>
          <tpl fld="10" item="8"/>
        </tpls>
      </n>
      <n v="327" in="1">
        <tpls c="5">
          <tpl fld="11" item="0"/>
          <tpl fld="5" item="1"/>
          <tpl fld="6" item="1"/>
          <tpl hier="236" item="1"/>
          <tpl fld="4" item="0"/>
        </tpls>
      </n>
      <m>
        <tpls c="6">
          <tpl fld="11" item="0"/>
          <tpl fld="5" item="3"/>
          <tpl fld="6" item="2"/>
          <tpl hier="236" item="1"/>
          <tpl fld="4" item="7"/>
          <tpl fld="10" item="5"/>
        </tpls>
      </m>
      <m>
        <tpls c="6">
          <tpl fld="11" item="0"/>
          <tpl fld="5" item="0"/>
          <tpl fld="6" item="2"/>
          <tpl hier="236" item="1"/>
          <tpl fld="4" item="7"/>
          <tpl fld="10" item="5"/>
        </tpls>
      </m>
      <m>
        <tpls c="6">
          <tpl fld="3" item="0"/>
          <tpl fld="11" item="0"/>
          <tpl fld="6" item="1"/>
          <tpl hier="236" item="1"/>
          <tpl fld="4" item="7"/>
          <tpl fld="10" item="6"/>
        </tpls>
      </m>
      <n v="35.299621621621625" in="2">
        <tpls c="6">
          <tpl fld="11" item="0"/>
          <tpl fld="5" item="1"/>
          <tpl fld="6" item="2"/>
          <tpl hier="236" item="1"/>
          <tpl fld="4" item="6"/>
          <tpl fld="10" item="2"/>
        </tpls>
      </n>
      <n v="6.509189189189188" in="2">
        <tpls c="6">
          <tpl fld="11" item="0"/>
          <tpl fld="2" item="1"/>
          <tpl fld="6" item="2"/>
          <tpl hier="236" item="1"/>
          <tpl fld="4" item="6"/>
          <tpl fld="10" item="4"/>
        </tpls>
      </n>
      <n v="13.312324324324322" in="2">
        <tpls c="6">
          <tpl fld="3" item="1"/>
          <tpl fld="11" item="0"/>
          <tpl fld="6" item="2"/>
          <tpl hier="236" item="1"/>
          <tpl fld="4" item="1"/>
          <tpl fld="9" item="4"/>
        </tpls>
      </n>
      <n v="66.682000000000002" in="2">
        <tpls c="6">
          <tpl fld="11" item="0"/>
          <tpl fld="2" item="3"/>
          <tpl fld="6" item="2"/>
          <tpl hier="236" item="1"/>
          <tpl fld="4" item="1"/>
          <tpl fld="9" item="4"/>
        </tpls>
      </n>
      <n v="59.571351351351346" in="2">
        <tpls c="6">
          <tpl fld="11" item="0"/>
          <tpl fld="6" item="2"/>
          <tpl fld="8" item="0"/>
          <tpl hier="236" item="1"/>
          <tpl fld="4" item="4"/>
          <tpl fld="10" item="6"/>
        </tpls>
      </n>
      <m>
        <tpls c="4">
          <tpl fld="7" item="219"/>
          <tpl fld="6" item="2"/>
          <tpl hier="236" item="1"/>
          <tpl fld="4" item="6"/>
        </tpls>
      </m>
      <m>
        <tpls c="4">
          <tpl fld="7" item="751"/>
          <tpl fld="6" item="2"/>
          <tpl hier="236" item="1"/>
          <tpl fld="4" item="1"/>
        </tpls>
      </m>
      <n v="4" in="1">
        <tpls c="6">
          <tpl fld="3" item="4"/>
          <tpl fld="11" item="0"/>
          <tpl fld="6" item="1"/>
          <tpl hier="236" item="1"/>
          <tpl fld="4" item="7"/>
          <tpl fld="10" item="0"/>
        </tpls>
      </n>
      <n v="84.167297297297296" in="2">
        <tpls c="6">
          <tpl fld="11" item="0"/>
          <tpl fld="6" item="2"/>
          <tpl fld="8" item="1"/>
          <tpl hier="236" item="1"/>
          <tpl fld="4" item="6"/>
          <tpl fld="10" item="8"/>
        </tpls>
      </n>
      <n v="92" in="1">
        <tpls c="6">
          <tpl fld="3" item="2"/>
          <tpl fld="11" item="0"/>
          <tpl fld="6" item="1"/>
          <tpl hier="236" item="1"/>
          <tpl fld="4" item="6"/>
          <tpl fld="10" item="4"/>
        </tpls>
      </n>
      <m>
        <tpls c="4">
          <tpl fld="7" item="1260"/>
          <tpl fld="6" item="2"/>
          <tpl hier="236" item="1"/>
          <tpl fld="4" item="5"/>
        </tpls>
      </m>
      <n v="7.8940540540540542" in="2">
        <tpls c="6">
          <tpl fld="11" item="0"/>
          <tpl fld="5" item="0"/>
          <tpl fld="6" item="2"/>
          <tpl hier="236" item="1"/>
          <tpl fld="4" item="6"/>
          <tpl fld="10" item="5"/>
        </tpls>
      </n>
      <m>
        <tpls c="4">
          <tpl fld="7" item="1040"/>
          <tpl fld="6" item="2"/>
          <tpl hier="236" item="1"/>
          <tpl fld="4" item="6"/>
        </tpls>
      </m>
      <n v="1.8800000000000001" in="2">
        <tpls c="6">
          <tpl fld="11" item="0"/>
          <tpl fld="5" item="4"/>
          <tpl fld="6" item="2"/>
          <tpl hier="236" item="1"/>
          <tpl fld="4" item="1"/>
          <tpl fld="9" item="0"/>
        </tpls>
      </n>
      <n v="22.12864864864865" in="2">
        <tpls c="6">
          <tpl fld="11" item="0"/>
          <tpl fld="2" item="2"/>
          <tpl fld="6" item="2"/>
          <tpl hier="236" item="1"/>
          <tpl fld="4" item="4"/>
          <tpl fld="10" item="6"/>
        </tpls>
      </n>
      <m>
        <tpls c="3">
          <tpl fld="7" item="1155"/>
          <tpl fld="6" item="3"/>
          <tpl hier="236" item="1"/>
        </tpls>
      </m>
      <m>
        <tpls c="6">
          <tpl fld="3" item="1"/>
          <tpl fld="11" item="0"/>
          <tpl fld="6" item="2"/>
          <tpl hier="236" item="1"/>
          <tpl fld="4" item="7"/>
          <tpl fld="10" item="6"/>
        </tpls>
      </m>
      <n v="1.56" in="2">
        <tpls c="6">
          <tpl fld="3" item="1"/>
          <tpl fld="11" item="0"/>
          <tpl fld="6" item="2"/>
          <tpl hier="236" item="1"/>
          <tpl fld="4" item="4"/>
          <tpl fld="10" item="5"/>
        </tpls>
      </n>
      <n v="0" in="1">
        <tpls c="6">
          <tpl fld="11" item="0"/>
          <tpl fld="5" item="0"/>
          <tpl fld="6" item="1"/>
          <tpl hier="236" item="1"/>
          <tpl fld="4" item="3"/>
          <tpl fld="10" item="4"/>
        </tpls>
      </n>
      <n v="0.52" in="2">
        <tpls c="6">
          <tpl fld="11" item="0"/>
          <tpl fld="2" item="1"/>
          <tpl fld="6" item="2"/>
          <tpl hier="236" item="1"/>
          <tpl fld="4" item="6"/>
          <tpl fld="10" item="6"/>
        </tpls>
      </n>
      <n v="301.71275675675673" in="2">
        <tpls c="6">
          <tpl fld="11" item="0"/>
          <tpl fld="6" item="2"/>
          <tpl fld="8" item="0"/>
          <tpl hier="236" item="1"/>
          <tpl fld="4" item="1"/>
          <tpl fld="9" item="4"/>
        </tpls>
      </n>
      <m>
        <tpls c="4">
          <tpl fld="7" item="19"/>
          <tpl fld="6" item="2"/>
          <tpl hier="236" item="1"/>
          <tpl fld="4" item="1"/>
        </tpls>
      </m>
      <n v="89" in="1">
        <tpls c="5">
          <tpl fld="11" item="0"/>
          <tpl fld="6" item="1"/>
          <tpl hier="236" item="1"/>
          <tpl fld="4" item="1"/>
          <tpl fld="9" item="0"/>
        </tpls>
      </n>
      <m>
        <tpls c="6">
          <tpl fld="3" item="2"/>
          <tpl fld="11" item="0"/>
          <tpl fld="6" item="2"/>
          <tpl hier="236" item="1"/>
          <tpl fld="4" item="7"/>
          <tpl fld="10" item="1"/>
        </tpls>
      </m>
      <n v="29" in="1">
        <tpls c="4">
          <tpl fld="7" item="1235"/>
          <tpl fld="6" item="1"/>
          <tpl hier="236" item="1"/>
          <tpl fld="4" item="6"/>
        </tpls>
      </n>
      <n v="36" in="1">
        <tpls c="6">
          <tpl fld="3" item="2"/>
          <tpl fld="11" item="0"/>
          <tpl fld="6" item="1"/>
          <tpl hier="236" item="1"/>
          <tpl fld="4" item="1"/>
          <tpl fld="9" item="0"/>
        </tpls>
      </n>
      <n v="34.368648648648644" in="2">
        <tpls c="5">
          <tpl fld="3" item="4"/>
          <tpl fld="11" item="0"/>
          <tpl fld="6" item="2"/>
          <tpl hier="236" item="1"/>
          <tpl fld="4" item="5"/>
        </tpls>
      </n>
      <n v="4.2200000000000006" in="2">
        <tpls c="6">
          <tpl fld="11" item="0"/>
          <tpl fld="5" item="3"/>
          <tpl fld="6" item="2"/>
          <tpl hier="236" item="1"/>
          <tpl fld="4" item="4"/>
          <tpl fld="10" item="7"/>
        </tpls>
      </n>
      <n v="0.52" in="2">
        <tpls c="6">
          <tpl fld="11" item="0"/>
          <tpl fld="2" item="3"/>
          <tpl fld="6" item="2"/>
          <tpl hier="236" item="1"/>
          <tpl fld="4" item="7"/>
          <tpl fld="10" item="8"/>
        </tpls>
      </n>
      <n v="8" in="1">
        <tpls c="6">
          <tpl fld="3" item="0"/>
          <tpl fld="11" item="0"/>
          <tpl fld="6" item="1"/>
          <tpl hier="236" item="1"/>
          <tpl fld="4" item="3"/>
          <tpl fld="10" item="3"/>
        </tpls>
      </n>
      <n v="1.4" in="2">
        <tpls c="6">
          <tpl fld="3" item="3"/>
          <tpl fld="11" item="0"/>
          <tpl fld="6" item="2"/>
          <tpl hier="236" item="1"/>
          <tpl fld="4" item="6"/>
          <tpl fld="10" item="0"/>
        </tpls>
      </n>
      <m>
        <tpls c="6">
          <tpl fld="11" item="0"/>
          <tpl fld="6" item="1"/>
          <tpl fld="8" item="1"/>
          <tpl hier="236" item="1"/>
          <tpl fld="4" item="3"/>
          <tpl fld="10" item="6"/>
        </tpls>
      </m>
      <m>
        <tpls c="4">
          <tpl fld="7" item="230"/>
          <tpl fld="6" item="1"/>
          <tpl hier="236" item="1"/>
          <tpl fld="4" item="4"/>
        </tpls>
      </m>
      <n v="1.04" in="2">
        <tpls c="6">
          <tpl fld="3" item="2"/>
          <tpl fld="11" item="0"/>
          <tpl fld="6" item="2"/>
          <tpl hier="236" item="1"/>
          <tpl fld="4" item="6"/>
          <tpl fld="10" item="1"/>
        </tpls>
      </n>
      <n v="151" in="1">
        <tpls c="6">
          <tpl fld="11" item="0"/>
          <tpl fld="6" item="1"/>
          <tpl fld="8" item="1"/>
          <tpl hier="236" item="1"/>
          <tpl fld="4" item="3"/>
          <tpl fld="10" item="5"/>
        </tpls>
      </n>
      <n v="10" in="1">
        <tpls c="6">
          <tpl fld="3" item="4"/>
          <tpl fld="11" item="0"/>
          <tpl fld="6" item="1"/>
          <tpl hier="236" item="1"/>
          <tpl fld="4" item="7"/>
          <tpl fld="10" item="8"/>
        </tpls>
      </n>
      <n v="347" in="1">
        <tpls c="6">
          <tpl fld="11" item="0"/>
          <tpl fld="6" item="1"/>
          <tpl fld="8" item="0"/>
          <tpl hier="236" item="1"/>
          <tpl fld="4" item="3"/>
          <tpl fld="10" item="5"/>
        </tpls>
      </n>
      <m>
        <tpls c="4">
          <tpl fld="7" item="224"/>
          <tpl fld="6" item="1"/>
          <tpl hier="236" item="1"/>
          <tpl fld="4" item="5"/>
        </tpls>
      </m>
      <n v="0" in="1">
        <tpls c="6">
          <tpl fld="3" item="4"/>
          <tpl fld="11" item="0"/>
          <tpl fld="6" item="1"/>
          <tpl hier="236" item="1"/>
          <tpl fld="4" item="3"/>
          <tpl fld="10" item="4"/>
        </tpls>
      </n>
      <m>
        <tpls c="4">
          <tpl fld="7" item="400"/>
          <tpl fld="6" item="1"/>
          <tpl hier="236" item="1"/>
          <tpl fld="4" item="4"/>
        </tpls>
      </m>
      <n v="119" in="1">
        <tpls c="6">
          <tpl fld="3" item="3"/>
          <tpl fld="11" item="0"/>
          <tpl fld="6" item="1"/>
          <tpl hier="236" item="1"/>
          <tpl fld="4" item="6"/>
          <tpl fld="10" item="7"/>
        </tpls>
      </n>
      <n v="6.92" in="2">
        <tpls c="6">
          <tpl fld="3" item="3"/>
          <tpl fld="11" item="0"/>
          <tpl fld="6" item="2"/>
          <tpl hier="236" item="1"/>
          <tpl fld="4" item="7"/>
          <tpl fld="10" item="2"/>
        </tpls>
      </n>
      <m>
        <tpls c="4">
          <tpl fld="7" item="20"/>
          <tpl fld="6" item="2"/>
          <tpl hier="236" item="1"/>
          <tpl fld="4" item="1"/>
        </tpls>
      </m>
      <n v="6.4454054054054062" in="2">
        <tpls c="6">
          <tpl fld="3" item="2"/>
          <tpl fld="11" item="0"/>
          <tpl fld="6" item="2"/>
          <tpl hier="236" item="1"/>
          <tpl fld="4" item="6"/>
          <tpl fld="10" item="4"/>
        </tpls>
      </n>
      <m>
        <tpls c="4">
          <tpl fld="7" item="111"/>
          <tpl fld="6" item="2"/>
          <tpl hier="236" item="1"/>
          <tpl fld="4" item="6"/>
        </tpls>
      </m>
      <m>
        <tpls c="6">
          <tpl fld="3" item="4"/>
          <tpl fld="11" item="0"/>
          <tpl fld="6" item="2"/>
          <tpl hier="236" item="1"/>
          <tpl fld="4" item="3"/>
          <tpl fld="10" item="3"/>
        </tpls>
      </m>
      <m>
        <tpls c="4">
          <tpl fld="7" item="136"/>
          <tpl fld="6" item="2"/>
          <tpl hier="236" item="1"/>
          <tpl fld="4" item="1"/>
        </tpls>
      </m>
      <m>
        <tpls c="3">
          <tpl fld="7" item="41"/>
          <tpl fld="6" item="3"/>
          <tpl hier="236" item="1"/>
        </tpls>
      </m>
      <m>
        <tpls c="3">
          <tpl fld="7" item="337"/>
          <tpl fld="6" item="3"/>
          <tpl hier="236" item="1"/>
        </tpls>
      </m>
      <m>
        <tpls c="3">
          <tpl fld="7" item="339"/>
          <tpl fld="6" item="3"/>
          <tpl hier="236" item="1"/>
        </tpls>
      </m>
      <m>
        <tpls c="4">
          <tpl fld="7" item="343"/>
          <tpl fld="6" item="1"/>
          <tpl hier="236" item="1"/>
          <tpl fld="4" item="4"/>
        </tpls>
      </m>
      <m>
        <tpls c="4">
          <tpl fld="7" item="86"/>
          <tpl fld="6" item="1"/>
          <tpl hier="236" item="1"/>
          <tpl fld="4" item="4"/>
        </tpls>
      </m>
      <m>
        <tpls c="4">
          <tpl fld="7" item="315"/>
          <tpl fld="6" item="2"/>
          <tpl hier="236" item="1"/>
          <tpl fld="4" item="1"/>
        </tpls>
      </m>
      <m>
        <tpls c="4">
          <tpl fld="7" item="6"/>
          <tpl fld="6" item="2"/>
          <tpl hier="236" item="1"/>
          <tpl fld="4" item="6"/>
        </tpls>
      </m>
      <m>
        <tpls c="4">
          <tpl fld="7" item="250"/>
          <tpl fld="6" item="2"/>
          <tpl hier="236" item="1"/>
          <tpl fld="4" item="4"/>
        </tpls>
      </m>
      <m>
        <tpls c="4">
          <tpl fld="7" item="45"/>
          <tpl fld="6" item="1"/>
          <tpl hier="236" item="1"/>
          <tpl fld="4" item="6"/>
        </tpls>
      </m>
      <m>
        <tpls c="6">
          <tpl fld="11" item="0"/>
          <tpl fld="2" item="4"/>
          <tpl fld="6" item="1"/>
          <tpl hier="236" item="1"/>
          <tpl fld="4" item="7"/>
          <tpl fld="10" item="6"/>
        </tpls>
      </m>
      <n v="36" in="1">
        <tpls c="6">
          <tpl fld="3" item="2"/>
          <tpl fld="11" item="0"/>
          <tpl fld="6" item="1"/>
          <tpl hier="236" item="1"/>
          <tpl fld="4" item="4"/>
          <tpl fld="10" item="4"/>
        </tpls>
      </n>
      <m>
        <tpls c="4">
          <tpl fld="7" item="225"/>
          <tpl fld="6" item="1"/>
          <tpl hier="236" item="1"/>
          <tpl fld="4" item="4"/>
        </tpls>
      </m>
      <m>
        <tpls c="6">
          <tpl fld="3" item="3"/>
          <tpl fld="11" item="0"/>
          <tpl fld="6" item="2"/>
          <tpl hier="236" item="1"/>
          <tpl fld="4" item="3"/>
          <tpl fld="10" item="6"/>
        </tpls>
      </m>
      <m>
        <tpls c="4">
          <tpl fld="7" item="325"/>
          <tpl fld="6" item="1"/>
          <tpl hier="236" item="1"/>
          <tpl fld="1" item="0"/>
        </tpls>
      </m>
      <n v="338" in="1">
        <tpls c="6">
          <tpl fld="11" item="0"/>
          <tpl fld="2" item="1"/>
          <tpl fld="6" item="1"/>
          <tpl hier="236" item="1"/>
          <tpl fld="4" item="6"/>
          <tpl fld="10" item="5"/>
        </tpls>
      </n>
      <m>
        <tpls c="4">
          <tpl fld="7" item="243"/>
          <tpl fld="6" item="2"/>
          <tpl hier="236" item="1"/>
          <tpl fld="4" item="6"/>
        </tpls>
      </m>
      <m>
        <tpls c="4">
          <tpl fld="7" item="752"/>
          <tpl fld="6" item="2"/>
          <tpl hier="236" item="1"/>
          <tpl fld="4" item="4"/>
        </tpls>
      </m>
      <m>
        <tpls c="4">
          <tpl fld="7" item="478"/>
          <tpl fld="6" item="1"/>
          <tpl hier="236" item="1"/>
          <tpl fld="1" item="0"/>
        </tpls>
      </m>
      <m>
        <tpls c="4">
          <tpl fld="7" item="480"/>
          <tpl fld="6" item="1"/>
          <tpl hier="236" item="1"/>
          <tpl fld="1" item="0"/>
        </tpls>
      </m>
      <m>
        <tpls c="3">
          <tpl fld="7" item="72"/>
          <tpl fld="6" item="3"/>
          <tpl hier="236" item="1"/>
        </tpls>
      </m>
      <m>
        <tpls c="3">
          <tpl fld="7" item="487"/>
          <tpl fld="6" item="3"/>
          <tpl hier="236" item="1"/>
        </tpls>
      </m>
      <m>
        <tpls c="4">
          <tpl fld="7" item="205"/>
          <tpl fld="6" item="1"/>
          <tpl hier="236" item="1"/>
          <tpl fld="4" item="6"/>
        </tpls>
      </m>
      <m>
        <tpls c="4">
          <tpl fld="7" item="111"/>
          <tpl fld="6" item="1"/>
          <tpl hier="236" item="1"/>
          <tpl fld="1" item="0"/>
        </tpls>
      </m>
      <m>
        <tpls c="4">
          <tpl fld="7" item="474"/>
          <tpl fld="6" item="2"/>
          <tpl hier="236" item="1"/>
          <tpl fld="4" item="1"/>
        </tpls>
      </m>
      <m>
        <tpls c="4">
          <tpl fld="7" item="44"/>
          <tpl fld="6" item="2"/>
          <tpl hier="236" item="1"/>
          <tpl fld="4" item="6"/>
        </tpls>
      </m>
      <n v="96" in="1">
        <tpls c="6">
          <tpl fld="3" item="2"/>
          <tpl fld="11" item="0"/>
          <tpl fld="6" item="1"/>
          <tpl hier="236" item="1"/>
          <tpl fld="4" item="4"/>
          <tpl fld="10" item="5"/>
        </tpls>
      </n>
      <n v="1.6" in="2">
        <tpls c="6">
          <tpl fld="3" item="3"/>
          <tpl fld="11" item="0"/>
          <tpl fld="6" item="2"/>
          <tpl hier="236" item="1"/>
          <tpl fld="4" item="7"/>
          <tpl fld="10" item="0"/>
        </tpls>
      </n>
      <m>
        <tpls c="4">
          <tpl fld="7" item="16"/>
          <tpl fld="6" item="2"/>
          <tpl hier="236" item="1"/>
          <tpl fld="4" item="1"/>
        </tpls>
      </m>
      <n v="0" in="1">
        <tpls c="6">
          <tpl fld="3" item="2"/>
          <tpl fld="11" item="0"/>
          <tpl fld="6" item="1"/>
          <tpl hier="236" item="1"/>
          <tpl fld="4" item="7"/>
          <tpl fld="10" item="7"/>
        </tpls>
      </n>
      <m>
        <tpls c="4">
          <tpl fld="7" item="219"/>
          <tpl fld="6" item="1"/>
          <tpl hier="236" item="1"/>
          <tpl fld="4" item="5"/>
        </tpls>
      </m>
      <n v="329" in="1">
        <tpls c="6">
          <tpl fld="3" item="1"/>
          <tpl fld="11" item="0"/>
          <tpl fld="6" item="1"/>
          <tpl hier="236" item="1"/>
          <tpl fld="4" item="4"/>
          <tpl fld="10" item="4"/>
        </tpls>
      </n>
      <m>
        <tpls c="4">
          <tpl fld="7" item="244"/>
          <tpl fld="6" item="1"/>
          <tpl hier="236" item="1"/>
          <tpl fld="4" item="6"/>
        </tpls>
      </m>
      <m>
        <tpls c="4">
          <tpl fld="7" item="476"/>
          <tpl fld="6" item="2"/>
          <tpl hier="236" item="1"/>
          <tpl fld="4" item="4"/>
        </tpls>
      </m>
      <m>
        <tpls c="3">
          <tpl fld="7" item="157"/>
          <tpl fld="6" item="3"/>
          <tpl hier="236" item="1"/>
        </tpls>
      </m>
      <m>
        <tpls c="3">
          <tpl fld="7" item="165"/>
          <tpl fld="6" item="3"/>
          <tpl hier="236" item="1"/>
        </tpls>
      </m>
      <m>
        <tpls c="3">
          <tpl fld="7" item="73"/>
          <tpl fld="6" item="3"/>
          <tpl hier="236" item="1"/>
        </tpls>
      </m>
      <m>
        <tpls c="3">
          <tpl fld="7" item="346"/>
          <tpl fld="6" item="3"/>
          <tpl hier="236" item="1"/>
        </tpls>
      </m>
      <m>
        <tpls c="4">
          <tpl fld="7" item="206"/>
          <tpl fld="6" item="1"/>
          <tpl hier="236" item="1"/>
          <tpl fld="4" item="6"/>
        </tpls>
      </m>
      <m>
        <tpls c="4">
          <tpl fld="7" item="113"/>
          <tpl fld="6" item="1"/>
          <tpl hier="236" item="1"/>
          <tpl fld="1" item="0"/>
        </tpls>
      </m>
      <m>
        <tpls c="4">
          <tpl fld="7" item="333"/>
          <tpl fld="6" item="2"/>
          <tpl hier="236" item="1"/>
          <tpl fld="4" item="1"/>
        </tpls>
      </m>
      <m>
        <tpls c="4">
          <tpl fld="7" item="261"/>
          <tpl fld="6" item="1"/>
          <tpl hier="236" item="1"/>
          <tpl fld="4" item="6"/>
        </tpls>
      </m>
      <m>
        <tpls c="4">
          <tpl fld="7" item="269"/>
          <tpl fld="6" item="1"/>
          <tpl hier="236" item="1"/>
          <tpl fld="4" item="6"/>
        </tpls>
      </m>
      <m>
        <tpls c="4">
          <tpl fld="7" item="282"/>
          <tpl fld="6" item="2"/>
          <tpl hier="236" item="1"/>
          <tpl fld="4" item="4"/>
        </tpls>
      </m>
      <m>
        <tpls c="4">
          <tpl fld="7" item="295"/>
          <tpl fld="6" item="1"/>
          <tpl hier="236" item="1"/>
          <tpl fld="4" item="4"/>
        </tpls>
      </m>
      <n v="2900" in="1">
        <tpls c="6">
          <tpl fld="3" item="4"/>
          <tpl fld="11" item="0"/>
          <tpl fld="6" item="1"/>
          <tpl hier="236" item="1"/>
          <tpl fld="4" item="4"/>
          <tpl fld="10" item="0"/>
        </tpls>
      </n>
      <m>
        <tpls c="4">
          <tpl fld="7" item="132"/>
          <tpl fld="6" item="2"/>
          <tpl hier="236" item="1"/>
          <tpl fld="4" item="1"/>
        </tpls>
      </m>
      <m>
        <tpls c="4">
          <tpl fld="7" item="163"/>
          <tpl fld="6" item="1"/>
          <tpl hier="236" item="1"/>
          <tpl fld="1" item="0"/>
        </tpls>
      </m>
      <n v="2.6399999999999997" in="2">
        <tpls c="6">
          <tpl fld="11" item="0"/>
          <tpl fld="6" item="2"/>
          <tpl fld="8" item="0"/>
          <tpl hier="236" item="1"/>
          <tpl fld="4" item="4"/>
          <tpl fld="10" item="4"/>
        </tpls>
      </n>
      <m>
        <tpls c="4">
          <tpl fld="7" item="50"/>
          <tpl fld="6" item="1"/>
          <tpl hier="236" item="1"/>
          <tpl fld="4" item="6"/>
        </tpls>
      </m>
      <m>
        <tpls c="4">
          <tpl fld="7" item="282"/>
          <tpl fld="6" item="1"/>
          <tpl hier="236" item="1"/>
          <tpl fld="4" item="4"/>
        </tpls>
      </m>
      <m>
        <tpls c="4">
          <tpl fld="7" item="299"/>
          <tpl fld="6" item="2"/>
          <tpl hier="236" item="1"/>
          <tpl fld="4" item="4"/>
        </tpls>
      </m>
      <m>
        <tpls c="4">
          <tpl fld="7" item="204"/>
          <tpl fld="6" item="1"/>
          <tpl hier="236" item="1"/>
          <tpl fld="4" item="4"/>
        </tpls>
      </m>
      <m>
        <tpls c="4">
          <tpl fld="7" item="325"/>
          <tpl fld="6" item="1"/>
          <tpl hier="236" item="1"/>
          <tpl fld="4" item="4"/>
        </tpls>
      </m>
      <m>
        <tpls c="3">
          <tpl fld="7" item="590"/>
          <tpl fld="6" item="3"/>
          <tpl hier="236" item="1"/>
        </tpls>
      </m>
      <m>
        <tpls c="4">
          <tpl fld="7" item="1185"/>
          <tpl fld="6" item="2"/>
          <tpl hier="236" item="1"/>
          <tpl fld="4" item="4"/>
        </tpls>
      </m>
      <m>
        <tpls c="4">
          <tpl fld="7" item="671"/>
          <tpl fld="6" item="2"/>
          <tpl hier="236" item="1"/>
          <tpl fld="4" item="4"/>
        </tpls>
      </m>
      <m>
        <tpls c="4">
          <tpl fld="7" item="64"/>
          <tpl fld="6" item="1"/>
          <tpl hier="236" item="1"/>
          <tpl fld="4" item="4"/>
        </tpls>
      </m>
      <m>
        <tpls c="4">
          <tpl fld="7" item="293"/>
          <tpl fld="6" item="2"/>
          <tpl hier="236" item="1"/>
          <tpl fld="4" item="1"/>
        </tpls>
      </m>
      <m>
        <tpls c="4">
          <tpl fld="7" item="197"/>
          <tpl fld="6" item="2"/>
          <tpl hier="236" item="1"/>
          <tpl fld="4" item="1"/>
        </tpls>
      </m>
      <m>
        <tpls c="3">
          <tpl fld="7" item="102"/>
          <tpl fld="6" item="3"/>
          <tpl hier="236" item="1"/>
        </tpls>
      </m>
      <m>
        <tpls c="4">
          <tpl fld="7" item="47"/>
          <tpl fld="6" item="1"/>
          <tpl hier="236" item="1"/>
          <tpl fld="4" item="5"/>
        </tpls>
      </m>
      <m>
        <tpls c="4">
          <tpl fld="7" item="311"/>
          <tpl fld="6" item="2"/>
          <tpl hier="236" item="1"/>
          <tpl fld="4" item="4"/>
        </tpls>
      </m>
      <m>
        <tpls c="4">
          <tpl fld="7" item="877"/>
          <tpl fld="6" item="2"/>
          <tpl hier="236" item="1"/>
          <tpl fld="4" item="4"/>
        </tpls>
      </m>
      <n v="1" in="1">
        <tpls c="4">
          <tpl fld="7" item="599"/>
          <tpl fld="6" item="1"/>
          <tpl hier="236" item="1"/>
          <tpl fld="4" item="4"/>
        </tpls>
      </n>
      <m>
        <tpls c="4">
          <tpl fld="7" item="452"/>
          <tpl fld="6" item="2"/>
          <tpl hier="236" item="1"/>
          <tpl fld="4" item="1"/>
        </tpls>
      </m>
      <m>
        <tpls c="4">
          <tpl fld="7" item="531"/>
          <tpl fld="6" item="2"/>
          <tpl hier="236" item="1"/>
          <tpl fld="4" item="5"/>
        </tpls>
      </m>
      <m>
        <tpls c="4">
          <tpl fld="7" item="537"/>
          <tpl fld="6" item="2"/>
          <tpl hier="236" item="1"/>
          <tpl fld="4" item="1"/>
        </tpls>
      </m>
      <m>
        <tpls c="4">
          <tpl fld="7" item="772"/>
          <tpl fld="6" item="2"/>
          <tpl hier="236" item="1"/>
          <tpl fld="4" item="4"/>
        </tpls>
      </m>
      <m>
        <tpls c="4">
          <tpl fld="7" item="264"/>
          <tpl fld="6" item="2"/>
          <tpl hier="236" item="1"/>
          <tpl fld="4" item="1"/>
        </tpls>
      </m>
      <m>
        <tpls c="4">
          <tpl fld="7" item="312"/>
          <tpl fld="6" item="2"/>
          <tpl hier="236" item="1"/>
          <tpl fld="4" item="4"/>
        </tpls>
      </m>
      <m>
        <tpls c="4">
          <tpl fld="7" item="497"/>
          <tpl fld="6" item="2"/>
          <tpl hier="236" item="1"/>
          <tpl fld="4" item="4"/>
        </tpls>
      </m>
      <n v="2" in="1">
        <tpls c="4">
          <tpl fld="7" item="510"/>
          <tpl fld="6" item="1"/>
          <tpl hier="236" item="1"/>
          <tpl fld="4" item="4"/>
        </tpls>
      </n>
      <m>
        <tpls c="4">
          <tpl fld="7" item="682"/>
          <tpl fld="6" item="2"/>
          <tpl hier="236" item="1"/>
          <tpl fld="4" item="1"/>
        </tpls>
      </m>
      <n v="0" in="1">
        <tpls c="4">
          <tpl fld="7" item="390"/>
          <tpl fld="6" item="1"/>
          <tpl hier="236" item="1"/>
          <tpl fld="4" item="6"/>
        </tpls>
      </n>
      <m>
        <tpls c="6">
          <tpl fld="11" item="0"/>
          <tpl fld="2" item="2"/>
          <tpl fld="6" item="2"/>
          <tpl hier="236" item="1"/>
          <tpl fld="4" item="3"/>
          <tpl fld="10" item="5"/>
        </tpls>
      </m>
      <m>
        <tpls c="4">
          <tpl fld="7" item="124"/>
          <tpl fld="6" item="2"/>
          <tpl hier="236" item="1"/>
          <tpl fld="4" item="1"/>
        </tpls>
      </m>
      <m>
        <tpls c="4">
          <tpl fld="7" item="270"/>
          <tpl fld="6" item="1"/>
          <tpl hier="236" item="1"/>
          <tpl fld="1" item="0"/>
        </tpls>
      </m>
      <n v="24.061621621621619" in="2">
        <tpls c="6">
          <tpl fld="11" item="0"/>
          <tpl fld="6" item="2"/>
          <tpl fld="8" item="0"/>
          <tpl hier="236" item="1"/>
          <tpl fld="4" item="6"/>
          <tpl fld="10" item="7"/>
        </tpls>
      </n>
      <m>
        <tpls c="4">
          <tpl fld="7" item="1280"/>
          <tpl fld="6" item="2"/>
          <tpl hier="236" item="1"/>
          <tpl fld="4" item="5"/>
        </tpls>
      </m>
      <m>
        <tpls c="3">
          <tpl fld="7" item="949"/>
          <tpl fld="6" item="3"/>
          <tpl hier="236" item="1"/>
        </tpls>
      </m>
      <m>
        <tpls c="4">
          <tpl fld="7" item="1233"/>
          <tpl fld="6" item="2"/>
          <tpl hier="236" item="1"/>
          <tpl fld="4" item="6"/>
        </tpls>
      </m>
      <n v="187" in="1">
        <tpls c="6">
          <tpl fld="11" item="0"/>
          <tpl fld="5" item="1"/>
          <tpl fld="6" item="1"/>
          <tpl hier="236" item="1"/>
          <tpl fld="4" item="6"/>
          <tpl fld="10" item="7"/>
        </tpls>
      </n>
      <n v="4.92" in="2">
        <tpls c="6">
          <tpl fld="11" item="0"/>
          <tpl fld="2" item="2"/>
          <tpl fld="6" item="2"/>
          <tpl hier="236" item="1"/>
          <tpl fld="4" item="6"/>
          <tpl fld="10" item="5"/>
        </tpls>
      </n>
      <n v="11.883783783783784" in="2">
        <tpls c="6">
          <tpl fld="11" item="0"/>
          <tpl fld="5" item="0"/>
          <tpl fld="6" item="2"/>
          <tpl hier="236" item="1"/>
          <tpl fld="4" item="6"/>
          <tpl fld="10" item="8"/>
        </tpls>
      </n>
      <n v="54.526594594594584" in="2">
        <tpls c="6">
          <tpl fld="11" item="0"/>
          <tpl fld="6" item="2"/>
          <tpl fld="8" item="1"/>
          <tpl hier="236" item="1"/>
          <tpl fld="4" item="4"/>
          <tpl fld="10" item="3"/>
        </tpls>
      </n>
      <n v="1987" in="1">
        <tpls c="6">
          <tpl fld="11" item="0"/>
          <tpl fld="6" item="1"/>
          <tpl fld="8" item="1"/>
          <tpl hier="236" item="1"/>
          <tpl fld="4" item="4"/>
          <tpl fld="10" item="3"/>
        </tpls>
      </n>
      <n v="2" in="2">
        <tpls c="6">
          <tpl fld="11" item="0"/>
          <tpl fld="2" item="0"/>
          <tpl fld="6" item="2"/>
          <tpl hier="236" item="1"/>
          <tpl fld="4" item="3"/>
          <tpl fld="10" item="8"/>
        </tpls>
      </n>
      <m>
        <tpls c="6">
          <tpl fld="11" item="0"/>
          <tpl fld="2" item="1"/>
          <tpl fld="6" item="2"/>
          <tpl hier="236" item="1"/>
          <tpl fld="4" item="3"/>
          <tpl fld="10" item="3"/>
        </tpls>
      </m>
      <n v="72.905351351351356" in="2">
        <tpls c="5">
          <tpl fld="11" item="0"/>
          <tpl fld="6" item="2"/>
          <tpl hier="236" item="1"/>
          <tpl fld="4" item="4"/>
          <tpl fld="10" item="3"/>
        </tpls>
      </n>
      <m>
        <tpls c="4">
          <tpl fld="7" item="25"/>
          <tpl fld="6" item="2"/>
          <tpl hier="236" item="1"/>
          <tpl fld="4" item="1"/>
        </tpls>
      </m>
      <n v="6.44" in="2">
        <tpls c="5">
          <tpl fld="11" item="0"/>
          <tpl fld="6" item="2"/>
          <tpl hier="236" item="1"/>
          <tpl fld="4" item="4"/>
          <tpl fld="10" item="1"/>
        </tpls>
      </n>
      <n v="16" in="2">
        <tpls c="6">
          <tpl fld="3" item="4"/>
          <tpl fld="11" item="0"/>
          <tpl fld="6" item="2"/>
          <tpl hier="236" item="1"/>
          <tpl fld="4" item="1"/>
          <tpl fld="9" item="2"/>
        </tpls>
      </n>
      <n v="1" in="2">
        <tpls c="6">
          <tpl fld="3" item="0"/>
          <tpl fld="11" item="0"/>
          <tpl fld="6" item="2"/>
          <tpl hier="236" item="1"/>
          <tpl fld="4" item="7"/>
          <tpl fld="10" item="5"/>
        </tpls>
      </n>
      <n v="4.8800000000000008" in="2">
        <tpls c="6">
          <tpl fld="3" item="2"/>
          <tpl fld="11" item="0"/>
          <tpl fld="6" item="2"/>
          <tpl hier="236" item="1"/>
          <tpl fld="4" item="4"/>
          <tpl fld="10" item="4"/>
        </tpls>
      </n>
      <n v="1505" in="1">
        <tpls c="6">
          <tpl fld="3" item="3"/>
          <tpl fld="11" item="0"/>
          <tpl fld="6" item="1"/>
          <tpl hier="236" item="1"/>
          <tpl fld="4" item="4"/>
          <tpl fld="10" item="8"/>
        </tpls>
      </n>
      <m>
        <tpls c="6">
          <tpl fld="11" item="0"/>
          <tpl fld="5" item="2"/>
          <tpl fld="6" item="1"/>
          <tpl hier="236" item="1"/>
          <tpl fld="4" item="7"/>
          <tpl fld="10" item="5"/>
        </tpls>
      </m>
      <n v="239" in="1">
        <tpls c="6">
          <tpl fld="11" item="0"/>
          <tpl fld="2" item="4"/>
          <tpl fld="6" item="1"/>
          <tpl hier="236" item="1"/>
          <tpl fld="4" item="4"/>
          <tpl fld="10" item="2"/>
        </tpls>
      </n>
      <n v="9" in="1">
        <tpls c="6">
          <tpl fld="3" item="1"/>
          <tpl fld="11" item="0"/>
          <tpl fld="6" item="1"/>
          <tpl hier="236" item="1"/>
          <tpl fld="4" item="7"/>
          <tpl fld="10" item="5"/>
        </tpls>
      </n>
      <n v="3.1264864864864865" in="2">
        <tpls c="6">
          <tpl fld="3" item="3"/>
          <tpl fld="11" item="0"/>
          <tpl fld="6" item="2"/>
          <tpl hier="236" item="1"/>
          <tpl fld="4" item="6"/>
          <tpl fld="10" item="2"/>
        </tpls>
      </n>
      <n v="513" in="1">
        <tpls c="6">
          <tpl fld="11" item="0"/>
          <tpl fld="6" item="1"/>
          <tpl fld="8" item="0"/>
          <tpl hier="236" item="1"/>
          <tpl fld="4" item="3"/>
          <tpl fld="10" item="7"/>
        </tpls>
      </n>
      <m>
        <tpls c="4">
          <tpl fld="7" item="329"/>
          <tpl fld="6" item="2"/>
          <tpl hier="236" item="1"/>
          <tpl fld="4" item="1"/>
        </tpls>
      </m>
      <n v="917" in="1">
        <tpls c="6">
          <tpl fld="3" item="4"/>
          <tpl fld="11" item="0"/>
          <tpl fld="6" item="1"/>
          <tpl hier="236" item="1"/>
          <tpl fld="4" item="6"/>
          <tpl fld="10" item="2"/>
        </tpls>
      </n>
      <m>
        <tpls c="4">
          <tpl fld="7" item="936"/>
          <tpl fld="6" item="1"/>
          <tpl hier="236" item="1"/>
          <tpl fld="4" item="6"/>
        </tpls>
      </m>
      <m>
        <tpls c="6">
          <tpl fld="3" item="2"/>
          <tpl fld="11" item="0"/>
          <tpl fld="6" item="2"/>
          <tpl hier="236" item="1"/>
          <tpl fld="4" item="7"/>
          <tpl fld="10" item="7"/>
        </tpls>
      </m>
      <n v="2260" in="1">
        <tpls c="6">
          <tpl fld="11" item="0"/>
          <tpl fld="6" item="1"/>
          <tpl fld="8" item="1"/>
          <tpl hier="236" item="1"/>
          <tpl fld="4" item="3"/>
          <tpl fld="10" item="7"/>
        </tpls>
      </n>
      <m>
        <tpls c="4">
          <tpl fld="7" item="468"/>
          <tpl fld="6" item="1"/>
          <tpl hier="236" item="1"/>
          <tpl fld="1" item="0"/>
        </tpls>
      </m>
      <m>
        <tpls c="6">
          <tpl fld="3" item="0"/>
          <tpl fld="11" item="0"/>
          <tpl fld="6" item="2"/>
          <tpl hier="236" item="1"/>
          <tpl fld="4" item="3"/>
          <tpl fld="10" item="5"/>
        </tpls>
      </m>
      <m>
        <tpls c="4">
          <tpl fld="7" item="401"/>
          <tpl fld="6" item="1"/>
          <tpl hier="236" item="1"/>
          <tpl fld="4" item="4"/>
        </tpls>
      </m>
      <n v="83.018864864864852" in="2">
        <tpls c="6">
          <tpl fld="3" item="2"/>
          <tpl fld="11" item="0"/>
          <tpl fld="6" item="2"/>
          <tpl hier="236" item="1"/>
          <tpl fld="4" item="4"/>
          <tpl fld="10" item="6"/>
        </tpls>
      </n>
      <m>
        <tpls c="4">
          <tpl fld="7" item="1045"/>
          <tpl fld="6" item="1"/>
          <tpl hier="236" item="1"/>
          <tpl fld="4" item="6"/>
        </tpls>
      </m>
      <m>
        <tpls c="3">
          <tpl fld="7" item="1161"/>
          <tpl fld="6" item="3"/>
          <tpl hier="236" item="1"/>
        </tpls>
      </m>
      <n v="6.7956756756756747" in="2">
        <tpls c="6">
          <tpl fld="3" item="1"/>
          <tpl fld="11" item="0"/>
          <tpl fld="6" item="2"/>
          <tpl hier="236" item="1"/>
          <tpl fld="4" item="6"/>
          <tpl fld="10" item="4"/>
        </tpls>
      </n>
      <m>
        <tpls c="4">
          <tpl fld="7" item="112"/>
          <tpl fld="6" item="2"/>
          <tpl hier="236" item="1"/>
          <tpl fld="4" item="6"/>
        </tpls>
      </m>
      <m>
        <tpls c="6">
          <tpl fld="3" item="2"/>
          <tpl fld="11" item="0"/>
          <tpl fld="6" item="2"/>
          <tpl hier="236" item="1"/>
          <tpl fld="4" item="7"/>
          <tpl fld="10" item="8"/>
        </tpls>
      </m>
      <m>
        <tpls c="3">
          <tpl fld="7" item="29"/>
          <tpl fld="6" item="3"/>
          <tpl hier="236" item="1"/>
        </tpls>
      </m>
      <m>
        <tpls c="4">
          <tpl fld="7" item="258"/>
          <tpl fld="6" item="1"/>
          <tpl hier="236" item="1"/>
          <tpl fld="4" item="6"/>
        </tpls>
      </m>
      <m>
        <tpls c="3">
          <tpl fld="7" item="50"/>
          <tpl fld="6" item="3"/>
          <tpl hier="236" item="1"/>
        </tpls>
      </m>
      <m>
        <tpls c="4">
          <tpl fld="7" item="58"/>
          <tpl fld="6" item="2"/>
          <tpl hier="236" item="1"/>
          <tpl fld="4" item="6"/>
        </tpls>
      </m>
      <m>
        <tpls c="4">
          <tpl fld="7" item="182"/>
          <tpl fld="6" item="2"/>
          <tpl hier="236" item="1"/>
          <tpl fld="4" item="1"/>
        </tpls>
      </m>
      <m>
        <tpls c="4">
          <tpl fld="7" item="303"/>
          <tpl fld="6" item="2"/>
          <tpl hier="236" item="1"/>
          <tpl fld="4" item="1"/>
        </tpls>
      </m>
      <n v="139" in="1">
        <tpls c="6">
          <tpl fld="11" item="0"/>
          <tpl fld="5" item="2"/>
          <tpl fld="6" item="1"/>
          <tpl hier="236" item="1"/>
          <tpl fld="4" item="4"/>
          <tpl fld="10" item="8"/>
        </tpls>
      </n>
      <m>
        <tpls c="4">
          <tpl fld="7" item="224"/>
          <tpl fld="6" item="2"/>
          <tpl hier="236" item="1"/>
          <tpl fld="4" item="1"/>
        </tpls>
      </m>
      <m>
        <tpls c="4">
          <tpl fld="7" item="251"/>
          <tpl fld="6" item="1"/>
          <tpl hier="236" item="1"/>
          <tpl fld="4" item="4"/>
        </tpls>
      </m>
      <m>
        <tpls c="4">
          <tpl fld="7" item="336"/>
          <tpl fld="6" item="1"/>
          <tpl hier="236" item="1"/>
          <tpl fld="4" item="6"/>
        </tpls>
      </m>
      <n v="89" in="1">
        <tpls c="5">
          <tpl fld="3" item="2"/>
          <tpl fld="11" item="0"/>
          <tpl fld="6" item="1"/>
          <tpl hier="236" item="1"/>
          <tpl fld="4" item="2"/>
        </tpls>
      </n>
      <m>
        <tpls c="6">
          <tpl fld="3" item="2"/>
          <tpl fld="11" item="0"/>
          <tpl fld="6" item="2"/>
          <tpl hier="236" item="1"/>
          <tpl fld="4" item="3"/>
          <tpl fld="10" item="7"/>
        </tpls>
      </m>
      <m>
        <tpls c="4">
          <tpl fld="7" item="122"/>
          <tpl fld="6" item="1"/>
          <tpl hier="236" item="1"/>
          <tpl fld="4" item="4"/>
        </tpls>
      </m>
      <m>
        <tpls c="6">
          <tpl fld="3" item="4"/>
          <tpl fld="11" item="0"/>
          <tpl fld="6" item="2"/>
          <tpl hier="236" item="1"/>
          <tpl fld="4" item="3"/>
          <tpl fld="10" item="5"/>
        </tpls>
      </m>
      <m>
        <tpls c="4">
          <tpl fld="7" item="396"/>
          <tpl fld="6" item="1"/>
          <tpl hier="236" item="1"/>
          <tpl fld="1" item="0"/>
        </tpls>
      </m>
      <n v="61" in="1">
        <tpls c="6">
          <tpl fld="3" item="2"/>
          <tpl fld="11" item="0"/>
          <tpl fld="6" item="1"/>
          <tpl hier="236" item="1"/>
          <tpl fld="4" item="6"/>
          <tpl fld="10" item="3"/>
        </tpls>
      </n>
      <m>
        <tpls c="4">
          <tpl fld="7" item="1082"/>
          <tpl fld="6" item="2"/>
          <tpl hier="236" item="1"/>
          <tpl fld="4" item="4"/>
        </tpls>
      </m>
      <m>
        <tpls c="4">
          <tpl fld="7" item="476"/>
          <tpl fld="6" item="1"/>
          <tpl hier="236" item="1"/>
          <tpl fld="4" item="4"/>
        </tpls>
      </m>
      <m>
        <tpls c="4">
          <tpl fld="7" item="49"/>
          <tpl fld="6" item="1"/>
          <tpl hier="236" item="1"/>
          <tpl fld="1" item="0"/>
        </tpls>
      </m>
      <m>
        <tpls c="4">
          <tpl fld="7" item="57"/>
          <tpl fld="6" item="1"/>
          <tpl hier="236" item="1"/>
          <tpl fld="1" item="0"/>
        </tpls>
      </m>
      <m>
        <tpls c="4">
          <tpl fld="7" item="289"/>
          <tpl fld="6" item="1"/>
          <tpl hier="236" item="1"/>
          <tpl fld="4" item="6"/>
        </tpls>
      </m>
      <m>
        <tpls c="4">
          <tpl fld="7" item="193"/>
          <tpl fld="6" item="1"/>
          <tpl hier="236" item="1"/>
          <tpl fld="4" item="6"/>
        </tpls>
      </m>
      <m>
        <tpls c="4">
          <tpl fld="7" item="98"/>
          <tpl fld="6" item="2"/>
          <tpl hier="236" item="1"/>
          <tpl fld="4" item="4"/>
        </tpls>
      </m>
      <m>
        <tpls c="4">
          <tpl fld="7" item="5"/>
          <tpl fld="6" item="1"/>
          <tpl hier="236" item="1"/>
          <tpl fld="4" item="4"/>
        </tpls>
      </m>
      <m>
        <tpls c="3">
          <tpl fld="7" item="141"/>
          <tpl fld="6" item="3"/>
          <tpl hier="236" item="1"/>
        </tpls>
      </m>
      <m>
        <tpls c="4">
          <tpl fld="7" item="477"/>
          <tpl fld="6" item="2"/>
          <tpl hier="236" item="1"/>
          <tpl fld="4" item="6"/>
        </tpls>
      </m>
      <n v="3" in="1">
        <tpls c="6">
          <tpl fld="3" item="2"/>
          <tpl fld="11" item="0"/>
          <tpl fld="6" item="1"/>
          <tpl hier="236" item="1"/>
          <tpl fld="4" item="7"/>
          <tpl fld="10" item="8"/>
        </tpls>
      </n>
      <n v="850" in="1">
        <tpls c="5">
          <tpl fld="3" item="4"/>
          <tpl fld="11" item="0"/>
          <tpl fld="6" item="1"/>
          <tpl hier="236" item="1"/>
          <tpl fld="4" item="5"/>
        </tpls>
      </n>
      <m>
        <tpls c="4">
          <tpl fld="7" item="24"/>
          <tpl fld="6" item="2"/>
          <tpl hier="236" item="1"/>
          <tpl fld="4" item="1"/>
        </tpls>
      </m>
      <m>
        <tpls c="6">
          <tpl fld="3" item="1"/>
          <tpl fld="11" item="0"/>
          <tpl fld="6" item="2"/>
          <tpl hier="236" item="1"/>
          <tpl fld="4" item="3"/>
          <tpl fld="10" item="6"/>
        </tpls>
      </m>
      <m>
        <tpls c="4">
          <tpl fld="7" item="4"/>
          <tpl fld="6" item="2"/>
          <tpl hier="236" item="1"/>
          <tpl fld="4" item="1"/>
        </tpls>
      </m>
      <n v="191" in="1">
        <tpls c="5">
          <tpl fld="3" item="1"/>
          <tpl fld="11" item="0"/>
          <tpl fld="6" item="1"/>
          <tpl hier="236" item="1"/>
          <tpl fld="4" item="0"/>
        </tpls>
      </n>
      <m>
        <tpls c="4">
          <tpl fld="7" item="473"/>
          <tpl fld="6" item="2"/>
          <tpl hier="236" item="1"/>
          <tpl fld="4" item="4"/>
        </tpls>
      </m>
      <m>
        <tpls c="4">
          <tpl fld="7" item="335"/>
          <tpl fld="6" item="1"/>
          <tpl hier="236" item="1"/>
          <tpl fld="4" item="4"/>
        </tpls>
      </m>
      <m>
        <tpls c="3">
          <tpl fld="7" item="266"/>
          <tpl fld="6" item="3"/>
          <tpl hier="236" item="1"/>
        </tpls>
      </m>
      <m>
        <tpls c="4">
          <tpl fld="7" item="274"/>
          <tpl fld="6" item="2"/>
          <tpl hier="236" item="1"/>
          <tpl fld="4" item="4"/>
        </tpls>
      </m>
      <m>
        <tpls c="4">
          <tpl fld="7" item="290"/>
          <tpl fld="6" item="1"/>
          <tpl hier="236" item="1"/>
          <tpl fld="4" item="6"/>
        </tpls>
      </m>
      <n v="0" in="1">
        <tpls c="6">
          <tpl fld="3" item="2"/>
          <tpl fld="11" item="0"/>
          <tpl fld="6" item="1"/>
          <tpl hier="236" item="1"/>
          <tpl fld="4" item="3"/>
          <tpl fld="10" item="4"/>
        </tpls>
      </n>
      <n v="3" in="1">
        <tpls c="4">
          <tpl fld="7" item="1061"/>
          <tpl fld="6" item="1"/>
          <tpl hier="236" item="1"/>
          <tpl fld="4" item="6"/>
        </tpls>
      </n>
      <n v="400" in="1">
        <tpls c="6">
          <tpl fld="3" item="1"/>
          <tpl fld="11" item="0"/>
          <tpl fld="6" item="1"/>
          <tpl hier="236" item="1"/>
          <tpl fld="4" item="7"/>
          <tpl fld="10" item="3"/>
        </tpls>
      </n>
      <m>
        <tpls c="3">
          <tpl fld="7" item="1143"/>
          <tpl fld="6" item="3"/>
          <tpl hier="236" item="1"/>
        </tpls>
      </m>
      <n v="21" in="1">
        <tpls c="6">
          <tpl fld="11" item="0"/>
          <tpl fld="2" item="0"/>
          <tpl fld="6" item="1"/>
          <tpl hier="236" item="1"/>
          <tpl fld="4" item="6"/>
          <tpl fld="10" item="4"/>
        </tpls>
      </n>
      <n v="1.4306306306306306E-2" in="0">
        <tpls c="5">
          <tpl fld="11" item="0"/>
          <tpl fld="6" item="0"/>
          <tpl fld="8" item="0"/>
          <tpl hier="236" item="1"/>
          <tpl fld="4" item="7"/>
        </tpls>
      </n>
      <n v="10.68" in="2">
        <tpls c="6">
          <tpl fld="11" item="0"/>
          <tpl fld="2" item="2"/>
          <tpl fld="6" item="2"/>
          <tpl hier="236" item="1"/>
          <tpl fld="4" item="4"/>
          <tpl fld="10" item="2"/>
        </tpls>
      </n>
      <n v="40" in="1">
        <tpls c="6">
          <tpl fld="3" item="2"/>
          <tpl fld="11" item="0"/>
          <tpl fld="6" item="1"/>
          <tpl hier="236" item="1"/>
          <tpl fld="4" item="6"/>
          <tpl fld="10" item="1"/>
        </tpls>
      </n>
      <n v="47.132918918918932" in="2">
        <tpls c="6">
          <tpl fld="3" item="2"/>
          <tpl fld="11" item="0"/>
          <tpl fld="6" item="2"/>
          <tpl hier="236" item="1"/>
          <tpl fld="4" item="4"/>
          <tpl fld="10" item="7"/>
        </tpls>
      </n>
      <n v="4.0320536169592781E-2" in="0">
        <tpls c="5">
          <tpl fld="11" item="0"/>
          <tpl fld="2" item="1"/>
          <tpl fld="6" item="0"/>
          <tpl hier="236" item="1"/>
          <tpl fld="4" item="5"/>
        </tpls>
      </n>
      <m>
        <tpls c="4">
          <tpl fld="7" item="1207"/>
          <tpl fld="6" item="1"/>
          <tpl hier="236" item="1"/>
          <tpl fld="4" item="5"/>
        </tpls>
      </m>
      <n v="45" in="1">
        <tpls c="5">
          <tpl fld="11" item="0"/>
          <tpl fld="5" item="4"/>
          <tpl fld="6" item="1"/>
          <tpl hier="236" item="1"/>
          <tpl fld="4" item="2"/>
        </tpls>
      </n>
      <m>
        <tpls c="4">
          <tpl fld="7" item="961"/>
          <tpl fld="6" item="2"/>
          <tpl hier="236" item="1"/>
          <tpl fld="4" item="6"/>
        </tpls>
      </m>
      <n v="2.2054054054054055" in="2">
        <tpls c="6">
          <tpl fld="11" item="0"/>
          <tpl fld="5" item="4"/>
          <tpl fld="6" item="2"/>
          <tpl hier="236" item="1"/>
          <tpl fld="4" item="6"/>
          <tpl fld="10" item="4"/>
        </tpls>
      </n>
      <n v="5.6320000000000006" in="2">
        <tpls c="6">
          <tpl fld="11" item="0"/>
          <tpl fld="5" item="2"/>
          <tpl fld="6" item="2"/>
          <tpl hier="236" item="1"/>
          <tpl fld="4" item="6"/>
          <tpl fld="10" item="7"/>
        </tpls>
      </n>
      <n v="411" in="1">
        <tpls c="6">
          <tpl fld="11" item="0"/>
          <tpl fld="2" item="3"/>
          <tpl fld="6" item="1"/>
          <tpl hier="236" item="1"/>
          <tpl fld="4" item="4"/>
          <tpl fld="10" item="7"/>
        </tpls>
      </n>
      <n v="3.8612432432432433" in="2">
        <tpls c="6">
          <tpl fld="11" item="0"/>
          <tpl fld="2" item="4"/>
          <tpl fld="6" item="2"/>
          <tpl hier="236" item="1"/>
          <tpl fld="4" item="4"/>
          <tpl fld="10" item="8"/>
        </tpls>
      </n>
      <n v="1" in="1">
        <tpls c="4">
          <tpl fld="7" item="1078"/>
          <tpl fld="6" item="1"/>
          <tpl hier="236" item="1"/>
          <tpl fld="4" item="6"/>
        </tpls>
      </n>
      <m>
        <tpls c="6">
          <tpl fld="11" item="0"/>
          <tpl fld="2" item="0"/>
          <tpl fld="6" item="2"/>
          <tpl hier="236" item="1"/>
          <tpl fld="4" item="3"/>
          <tpl fld="10" item="6"/>
        </tpls>
      </m>
      <n v="27.303243243243244" in="2">
        <tpls c="6">
          <tpl fld="11" item="0"/>
          <tpl fld="5" item="5"/>
          <tpl fld="6" item="2"/>
          <tpl hier="236" item="1"/>
          <tpl fld="4" item="4"/>
          <tpl fld="10" item="0"/>
        </tpls>
      </n>
      <n v="6.7881081081081076" in="2">
        <tpls c="6">
          <tpl fld="11" item="0"/>
          <tpl fld="5" item="2"/>
          <tpl fld="6" item="2"/>
          <tpl hier="236" item="1"/>
          <tpl fld="4" item="4"/>
          <tpl fld="10" item="7"/>
        </tpls>
      </n>
      <n v="6" in="1">
        <tpls c="6">
          <tpl fld="3" item="0"/>
          <tpl fld="11" item="0"/>
          <tpl fld="6" item="1"/>
          <tpl hier="236" item="1"/>
          <tpl fld="4" item="6"/>
          <tpl fld="10" item="0"/>
        </tpls>
      </n>
      <m>
        <tpls c="6">
          <tpl fld="3" item="2"/>
          <tpl fld="11" item="0"/>
          <tpl fld="6" item="1"/>
          <tpl hier="236" item="1"/>
          <tpl fld="4" item="3"/>
          <tpl fld="10" item="1"/>
        </tpls>
      </m>
      <n v="403" in="1">
        <tpls c="6">
          <tpl fld="11" item="0"/>
          <tpl fld="5" item="3"/>
          <tpl fld="6" item="1"/>
          <tpl hier="236" item="1"/>
          <tpl fld="4" item="6"/>
          <tpl fld="10" item="0"/>
        </tpls>
      </n>
      <n v="26.107297297297301" in="2">
        <tpls c="6">
          <tpl fld="11" item="0"/>
          <tpl fld="2" item="2"/>
          <tpl fld="6" item="2"/>
          <tpl hier="236" item="1"/>
          <tpl fld="4" item="6"/>
          <tpl fld="10" item="8"/>
        </tpls>
      </n>
      <m>
        <tpls c="4">
          <tpl fld="7" item="1253"/>
          <tpl fld="6" item="1"/>
          <tpl hier="236" item="1"/>
          <tpl fld="4" item="6"/>
        </tpls>
      </m>
      <n v="7" in="1">
        <tpls c="6">
          <tpl fld="11" item="0"/>
          <tpl fld="2" item="2"/>
          <tpl fld="6" item="1"/>
          <tpl hier="236" item="1"/>
          <tpl fld="4" item="7"/>
          <tpl fld="10" item="5"/>
        </tpls>
      </n>
      <n v="10" in="1">
        <tpls c="6">
          <tpl fld="11" item="0"/>
          <tpl fld="2" item="2"/>
          <tpl fld="6" item="1"/>
          <tpl hier="236" item="1"/>
          <tpl fld="4" item="7"/>
          <tpl fld="10" item="4"/>
        </tpls>
      </n>
      <n v="6.12" in="2">
        <tpls c="6">
          <tpl fld="11" item="0"/>
          <tpl fld="5" item="5"/>
          <tpl fld="6" item="2"/>
          <tpl hier="236" item="1"/>
          <tpl fld="4" item="1"/>
          <tpl fld="9" item="1"/>
        </tpls>
      </n>
      <n v="10.943783783783783" in="2">
        <tpls c="6">
          <tpl fld="11" item="0"/>
          <tpl fld="2" item="2"/>
          <tpl fld="6" item="2"/>
          <tpl hier="236" item="1"/>
          <tpl fld="4" item="3"/>
          <tpl fld="10" item="2"/>
        </tpls>
      </n>
      <n v="29" in="1">
        <tpls c="6">
          <tpl fld="11" item="0"/>
          <tpl fld="2" item="4"/>
          <tpl fld="6" item="1"/>
          <tpl hier="236" item="1"/>
          <tpl fld="4" item="3"/>
          <tpl fld="10" item="1"/>
        </tpls>
      </n>
      <n v="10.302702702702703" in="2">
        <tpls c="6">
          <tpl fld="3" item="2"/>
          <tpl fld="11" item="0"/>
          <tpl fld="6" item="2"/>
          <tpl hier="236" item="1"/>
          <tpl fld="4" item="6"/>
          <tpl fld="10" item="3"/>
        </tpls>
      </n>
      <n v="101" in="1">
        <tpls c="6">
          <tpl fld="11" item="0"/>
          <tpl fld="6" item="1"/>
          <tpl fld="8" item="0"/>
          <tpl hier="236" item="1"/>
          <tpl fld="4" item="7"/>
          <tpl fld="10" item="8"/>
        </tpls>
      </n>
      <m>
        <tpls c="4">
          <tpl fld="7" item="227"/>
          <tpl fld="6" item="1"/>
          <tpl hier="236" item="1"/>
          <tpl fld="4" item="4"/>
        </tpls>
      </m>
      <n v="53" in="1">
        <tpls c="6">
          <tpl fld="11" item="0"/>
          <tpl fld="2" item="1"/>
          <tpl fld="6" item="1"/>
          <tpl hier="236" item="1"/>
          <tpl fld="4" item="6"/>
          <tpl fld="10" item="6"/>
        </tpls>
      </n>
      <n v="16.390270270270268" in="2">
        <tpls c="6">
          <tpl fld="3" item="2"/>
          <tpl fld="11" item="0"/>
          <tpl fld="6" item="2"/>
          <tpl hier="236" item="1"/>
          <tpl fld="4" item="4"/>
          <tpl fld="10" item="5"/>
        </tpls>
      </n>
      <m>
        <tpls c="6">
          <tpl fld="11" item="0"/>
          <tpl fld="5" item="2"/>
          <tpl fld="6" item="1"/>
          <tpl hier="236" item="1"/>
          <tpl fld="4" item="7"/>
          <tpl fld="10" item="0"/>
        </tpls>
      </m>
      <n v="13" in="1">
        <tpls c="6">
          <tpl fld="3" item="0"/>
          <tpl fld="11" item="0"/>
          <tpl fld="6" item="1"/>
          <tpl hier="236" item="1"/>
          <tpl fld="4" item="7"/>
          <tpl fld="10" item="5"/>
        </tpls>
      </n>
      <n v="124" in="1">
        <tpls c="6">
          <tpl fld="11" item="0"/>
          <tpl fld="5" item="3"/>
          <tpl fld="6" item="1"/>
          <tpl hier="236" item="1"/>
          <tpl fld="4" item="1"/>
          <tpl fld="9" item="3"/>
        </tpls>
      </n>
      <m>
        <tpls c="6">
          <tpl fld="11" item="0"/>
          <tpl fld="5" item="3"/>
          <tpl fld="6" item="2"/>
          <tpl hier="236" item="1"/>
          <tpl fld="4" item="7"/>
          <tpl fld="10" item="6"/>
        </tpls>
      </m>
      <m>
        <tpls c="6">
          <tpl fld="11" item="0"/>
          <tpl fld="5" item="1"/>
          <tpl fld="6" item="1"/>
          <tpl hier="236" item="1"/>
          <tpl fld="4" item="7"/>
          <tpl fld="10" item="4"/>
        </tpls>
      </m>
      <n v="136" in="1">
        <tpls c="6">
          <tpl fld="11" item="0"/>
          <tpl fld="2" item="2"/>
          <tpl fld="6" item="1"/>
          <tpl hier="236" item="1"/>
          <tpl fld="4" item="1"/>
          <tpl fld="9" item="3"/>
        </tpls>
      </n>
      <n v="5.2291891891891886" in="2">
        <tpls c="6">
          <tpl fld="11" item="0"/>
          <tpl fld="5" item="1"/>
          <tpl fld="6" item="2"/>
          <tpl hier="236" item="1"/>
          <tpl fld="4" item="6"/>
          <tpl fld="10" item="4"/>
        </tpls>
      </n>
      <n v="13.513513513513514" in="2">
        <tpls c="6">
          <tpl fld="11" item="0"/>
          <tpl fld="2" item="2"/>
          <tpl fld="6" item="2"/>
          <tpl hier="236" item="1"/>
          <tpl fld="4" item="3"/>
          <tpl fld="10" item="8"/>
        </tpls>
      </n>
      <n v="430" in="1">
        <tpls c="6">
          <tpl fld="3" item="1"/>
          <tpl fld="11" item="0"/>
          <tpl fld="6" item="1"/>
          <tpl hier="236" item="1"/>
          <tpl fld="4" item="7"/>
          <tpl fld="10" item="8"/>
        </tpls>
      </n>
      <m>
        <tpls c="3">
          <tpl fld="7" item="1258"/>
          <tpl fld="6" item="3"/>
          <tpl hier="236" item="1"/>
        </tpls>
      </m>
      <n v="2" in="2">
        <tpls c="6">
          <tpl fld="3" item="4"/>
          <tpl fld="11" item="0"/>
          <tpl fld="6" item="2"/>
          <tpl hier="236" item="1"/>
          <tpl fld="4" item="4"/>
          <tpl fld="10" item="1"/>
        </tpls>
      </n>
      <n v="2.2000000000000002" in="2">
        <tpls c="6">
          <tpl fld="11" item="0"/>
          <tpl fld="6" item="2"/>
          <tpl fld="8" item="0"/>
          <tpl hier="236" item="1"/>
          <tpl fld="4" item="7"/>
          <tpl fld="10" item="2"/>
        </tpls>
      </n>
      <m>
        <tpls c="4">
          <tpl fld="7" item="121"/>
          <tpl fld="6" item="1"/>
          <tpl hier="236" item="1"/>
          <tpl fld="4" item="4"/>
        </tpls>
      </m>
      <n v="249" in="1">
        <tpls c="6">
          <tpl fld="11" item="0"/>
          <tpl fld="2" item="1"/>
          <tpl fld="6" item="1"/>
          <tpl hier="236" item="1"/>
          <tpl fld="4" item="3"/>
          <tpl fld="10" item="5"/>
        </tpls>
      </n>
      <n v="1" in="2">
        <tpls c="6">
          <tpl fld="3" item="1"/>
          <tpl fld="11" item="0"/>
          <tpl fld="6" item="2"/>
          <tpl hier="236" item="1"/>
          <tpl fld="4" item="7"/>
          <tpl fld="10" item="5"/>
        </tpls>
      </n>
      <n v="541" in="1">
        <tpls c="6">
          <tpl fld="11" item="0"/>
          <tpl fld="5" item="5"/>
          <tpl fld="6" item="1"/>
          <tpl hier="236" item="1"/>
          <tpl fld="4" item="3"/>
          <tpl fld="10" item="3"/>
        </tpls>
      </n>
      <n v="192.52481081081081" in="2">
        <tpls c="6">
          <tpl fld="3" item="2"/>
          <tpl fld="11" item="0"/>
          <tpl fld="6" item="2"/>
          <tpl hier="236" item="1"/>
          <tpl fld="4" item="4"/>
          <tpl fld="10" item="0"/>
        </tpls>
      </n>
      <n v="1" in="1">
        <tpls c="4">
          <tpl fld="7" item="1066"/>
          <tpl fld="6" item="1"/>
          <tpl hier="236" item="1"/>
          <tpl fld="4" item="6"/>
        </tpls>
      </n>
      <m>
        <tpls c="6">
          <tpl fld="11" item="0"/>
          <tpl fld="2" item="0"/>
          <tpl fld="6" item="2"/>
          <tpl hier="236" item="1"/>
          <tpl fld="4" item="6"/>
          <tpl fld="10" item="6"/>
        </tpls>
      </m>
      <n v="16" in="1">
        <tpls c="6">
          <tpl fld="11" item="0"/>
          <tpl fld="2" item="0"/>
          <tpl fld="6" item="1"/>
          <tpl hier="236" item="1"/>
          <tpl fld="4" item="6"/>
          <tpl fld="10" item="5"/>
        </tpls>
      </n>
      <n v="25.589243243243246" in="2">
        <tpls c="6">
          <tpl fld="3" item="4"/>
          <tpl fld="11" item="0"/>
          <tpl fld="6" item="2"/>
          <tpl hier="236" item="1"/>
          <tpl fld="4" item="6"/>
          <tpl fld="10" item="0"/>
        </tpls>
      </n>
      <n v="3607" in="1">
        <tpls c="6">
          <tpl fld="11" item="0"/>
          <tpl fld="5" item="5"/>
          <tpl fld="6" item="1"/>
          <tpl hier="236" item="1"/>
          <tpl fld="4" item="3"/>
          <tpl fld="10" item="2"/>
        </tpls>
      </n>
      <n v="0.8" in="2">
        <tpls c="6">
          <tpl fld="11" item="0"/>
          <tpl fld="2" item="1"/>
          <tpl fld="6" item="2"/>
          <tpl hier="236" item="1"/>
          <tpl fld="4" item="7"/>
          <tpl fld="10" item="0"/>
        </tpls>
      </n>
      <n v="503" in="1">
        <tpls c="6">
          <tpl fld="3" item="1"/>
          <tpl fld="11" item="0"/>
          <tpl fld="6" item="1"/>
          <tpl hier="236" item="1"/>
          <tpl fld="4" item="3"/>
          <tpl fld="10" item="4"/>
        </tpls>
      </n>
      <n v="1" in="2">
        <tpls c="6">
          <tpl fld="11" item="0"/>
          <tpl fld="2" item="3"/>
          <tpl fld="6" item="2"/>
          <tpl hier="236" item="1"/>
          <tpl fld="4" item="7"/>
          <tpl fld="10" item="0"/>
        </tpls>
      </n>
      <n v="45.280648648648651" in="2">
        <tpls c="6">
          <tpl fld="11" item="0"/>
          <tpl fld="6" item="2"/>
          <tpl fld="8" item="1"/>
          <tpl hier="236" item="1"/>
          <tpl fld="4" item="6"/>
          <tpl fld="10" item="7"/>
        </tpls>
      </n>
      <m>
        <tpls c="4">
          <tpl fld="7" item="6"/>
          <tpl fld="6" item="1"/>
          <tpl hier="236" item="1"/>
          <tpl fld="1" item="0"/>
        </tpls>
      </m>
      <n v="14" in="1">
        <tpls c="6">
          <tpl fld="11" item="0"/>
          <tpl fld="5" item="1"/>
          <tpl fld="6" item="1"/>
          <tpl hier="236" item="1"/>
          <tpl fld="4" item="1"/>
          <tpl fld="9" item="3"/>
        </tpls>
      </n>
      <n v="1.2" in="2">
        <tpls c="6">
          <tpl fld="3" item="0"/>
          <tpl fld="11" item="0"/>
          <tpl fld="6" item="2"/>
          <tpl hier="236" item="1"/>
          <tpl fld="4" item="4"/>
          <tpl fld="10" item="2"/>
        </tpls>
      </n>
      <m>
        <tpls c="3">
          <tpl fld="7" item="1261"/>
          <tpl fld="6" item="3"/>
          <tpl hier="236" item="1"/>
        </tpls>
      </m>
      <n v="0" in="1">
        <tpls c="6">
          <tpl fld="3" item="4"/>
          <tpl fld="11" item="0"/>
          <tpl fld="6" item="1"/>
          <tpl hier="236" item="1"/>
          <tpl fld="4" item="3"/>
          <tpl fld="10" item="3"/>
        </tpls>
      </n>
      <n v="2" in="1">
        <tpls c="4">
          <tpl fld="7" item="1147"/>
          <tpl fld="6" item="1"/>
          <tpl hier="236" item="1"/>
          <tpl fld="1" item="0"/>
        </tpls>
      </n>
      <m>
        <tpls c="3">
          <tpl fld="7" item="1072"/>
          <tpl fld="6" item="3"/>
          <tpl hier="236" item="1"/>
        </tpls>
      </m>
      <n v="1" in="2">
        <tpls c="6">
          <tpl fld="11" item="0"/>
          <tpl fld="5" item="2"/>
          <tpl fld="6" item="2"/>
          <tpl hier="236" item="1"/>
          <tpl fld="4" item="6"/>
          <tpl fld="10" item="4"/>
        </tpls>
      </n>
      <n v="12" in="1">
        <tpls c="6">
          <tpl fld="3" item="0"/>
          <tpl fld="11" item="0"/>
          <tpl fld="6" item="1"/>
          <tpl hier="236" item="1"/>
          <tpl fld="4" item="1"/>
          <tpl fld="9" item="4"/>
        </tpls>
      </n>
      <n v="139" in="1">
        <tpls c="6">
          <tpl fld="11" item="0"/>
          <tpl fld="5" item="0"/>
          <tpl fld="6" item="1"/>
          <tpl hier="236" item="1"/>
          <tpl fld="4" item="1"/>
          <tpl fld="9" item="3"/>
        </tpls>
      </n>
      <n v="6.6214054054054055" in="2">
        <tpls c="6">
          <tpl fld="11" item="0"/>
          <tpl fld="2" item="2"/>
          <tpl fld="6" item="2"/>
          <tpl hier="236" item="1"/>
          <tpl fld="4" item="6"/>
          <tpl fld="10" item="6"/>
        </tpls>
      </n>
      <m>
        <tpls c="4">
          <tpl fld="7" item="0"/>
          <tpl fld="6" item="1"/>
          <tpl hier="236" item="1"/>
          <tpl fld="1" item="0"/>
        </tpls>
      </m>
      <m>
        <tpls c="5">
          <tpl fld="11" item="0"/>
          <tpl fld="5" item="0"/>
          <tpl fld="6" item="2"/>
          <tpl hier="236" item="1"/>
          <tpl fld="4" item="2"/>
        </tpls>
      </m>
      <n v="6.3599999999999994" in="2">
        <tpls c="6">
          <tpl fld="11" item="0"/>
          <tpl fld="5" item="0"/>
          <tpl fld="6" item="2"/>
          <tpl hier="236" item="1"/>
          <tpl fld="4" item="4"/>
          <tpl fld="10" item="8"/>
        </tpls>
      </n>
      <m>
        <tpls c="6">
          <tpl fld="3" item="3"/>
          <tpl fld="11" item="0"/>
          <tpl fld="6" item="2"/>
          <tpl hier="236" item="1"/>
          <tpl fld="4" item="4"/>
          <tpl fld="10" item="1"/>
        </tpls>
      </m>
      <m>
        <tpls c="6">
          <tpl fld="11" item="0"/>
          <tpl fld="6" item="2"/>
          <tpl fld="8" item="0"/>
          <tpl hier="236" item="1"/>
          <tpl fld="4" item="3"/>
          <tpl fld="10" item="6"/>
        </tpls>
      </m>
      <n v="0" in="1">
        <tpls c="6">
          <tpl fld="11" item="0"/>
          <tpl fld="5" item="0"/>
          <tpl fld="6" item="1"/>
          <tpl hier="236" item="1"/>
          <tpl fld="4" item="7"/>
          <tpl fld="10" item="8"/>
        </tpls>
      </n>
      <n v="2.9200000000000004" in="2">
        <tpls c="6">
          <tpl fld="11" item="0"/>
          <tpl fld="6" item="2"/>
          <tpl fld="8" item="1"/>
          <tpl hier="236" item="1"/>
          <tpl fld="4" item="3"/>
          <tpl fld="10" item="5"/>
        </tpls>
      </n>
      <n v="1" in="2">
        <tpls c="6">
          <tpl fld="3" item="1"/>
          <tpl fld="11" item="0"/>
          <tpl fld="6" item="2"/>
          <tpl hier="236" item="1"/>
          <tpl fld="4" item="3"/>
          <tpl fld="10" item="1"/>
        </tpls>
      </n>
      <m>
        <tpls c="6">
          <tpl fld="11" item="0"/>
          <tpl fld="5" item="5"/>
          <tpl fld="6" item="2"/>
          <tpl hier="236" item="1"/>
          <tpl fld="4" item="7"/>
          <tpl fld="10" item="4"/>
        </tpls>
      </m>
      <m>
        <tpls c="6">
          <tpl fld="11" item="0"/>
          <tpl fld="5" item="2"/>
          <tpl fld="6" item="1"/>
          <tpl hier="236" item="1"/>
          <tpl fld="4" item="7"/>
          <tpl fld="10" item="6"/>
        </tpls>
      </m>
      <n v="5.2169729729729735" in="2">
        <tpls c="6">
          <tpl fld="3" item="3"/>
          <tpl fld="11" item="0"/>
          <tpl fld="6" item="2"/>
          <tpl hier="236" item="1"/>
          <tpl fld="4" item="1"/>
          <tpl fld="9" item="4"/>
        </tpls>
      </n>
      <n v="0" in="1">
        <tpls c="6">
          <tpl fld="11" item="0"/>
          <tpl fld="5" item="4"/>
          <tpl fld="6" item="1"/>
          <tpl hier="236" item="1"/>
          <tpl fld="4" item="7"/>
          <tpl fld="10" item="2"/>
        </tpls>
      </n>
      <n v="47" in="1">
        <tpls c="6">
          <tpl fld="11" item="0"/>
          <tpl fld="2" item="2"/>
          <tpl fld="6" item="1"/>
          <tpl hier="236" item="1"/>
          <tpl fld="4" item="7"/>
          <tpl fld="10" item="0"/>
        </tpls>
      </n>
      <n v="3" in="1">
        <tpls c="6">
          <tpl fld="3" item="4"/>
          <tpl fld="11" item="0"/>
          <tpl fld="6" item="1"/>
          <tpl hier="236" item="1"/>
          <tpl fld="4" item="7"/>
          <tpl fld="10" item="2"/>
        </tpls>
      </n>
      <n v="92.778378378378378" in="2">
        <tpls c="5">
          <tpl fld="3" item="2"/>
          <tpl fld="11" item="0"/>
          <tpl fld="6" item="2"/>
          <tpl hier="236" item="1"/>
          <tpl fld="4" item="0"/>
        </tpls>
      </n>
      <n v="1.8" in="2">
        <tpls c="6">
          <tpl fld="11" item="0"/>
          <tpl fld="6" item="2"/>
          <tpl fld="8" item="0"/>
          <tpl hier="236" item="1"/>
          <tpl fld="4" item="7"/>
          <tpl fld="10" item="0"/>
        </tpls>
      </n>
      <m>
        <tpls c="4">
          <tpl fld="7" item="331"/>
          <tpl fld="6" item="2"/>
          <tpl hier="236" item="1"/>
          <tpl fld="4" item="1"/>
        </tpls>
      </m>
      <m>
        <tpls c="6">
          <tpl fld="3" item="4"/>
          <tpl fld="11" item="0"/>
          <tpl fld="6" item="2"/>
          <tpl hier="236" item="1"/>
          <tpl fld="4" item="3"/>
          <tpl fld="10" item="1"/>
        </tpls>
      </m>
      <n v="0" in="1">
        <tpls c="6">
          <tpl fld="11" item="0"/>
          <tpl fld="5" item="3"/>
          <tpl fld="6" item="1"/>
          <tpl hier="236" item="1"/>
          <tpl fld="4" item="7"/>
          <tpl fld="10" item="8"/>
        </tpls>
      </n>
      <n v="41.801351351351357" in="2">
        <tpls c="5">
          <tpl fld="3" item="2"/>
          <tpl fld="11" item="0"/>
          <tpl fld="6" item="2"/>
          <tpl hier="236" item="1"/>
          <tpl fld="4" item="5"/>
        </tpls>
      </n>
      <n v="932" in="1">
        <tpls c="6">
          <tpl fld="11" item="0"/>
          <tpl fld="6" item="1"/>
          <tpl fld="8" item="1"/>
          <tpl hier="236" item="1"/>
          <tpl fld="4" item="7"/>
          <tpl fld="10" item="2"/>
        </tpls>
      </n>
      <m>
        <tpls c="4">
          <tpl fld="7" item="12"/>
          <tpl fld="6" item="1"/>
          <tpl hier="236" item="1"/>
          <tpl fld="4" item="4"/>
        </tpls>
      </m>
      <n v="130" in="1">
        <tpls c="6">
          <tpl fld="11" item="0"/>
          <tpl fld="6" item="1"/>
          <tpl fld="8" item="1"/>
          <tpl hier="236" item="1"/>
          <tpl fld="4" item="6"/>
          <tpl fld="10" item="1"/>
        </tpls>
      </n>
      <m>
        <tpls c="4">
          <tpl fld="7" item="1252"/>
          <tpl fld="6" item="1"/>
          <tpl hier="236" item="1"/>
          <tpl fld="4" item="6"/>
        </tpls>
      </m>
      <n v="6.4" in="2">
        <tpls c="5">
          <tpl fld="11" item="0"/>
          <tpl fld="5" item="3"/>
          <tpl fld="6" item="2"/>
          <tpl hier="236" item="1"/>
          <tpl fld="4" item="0"/>
        </tpls>
      </n>
      <n v="62.774648648648636" in="2">
        <tpls c="5">
          <tpl fld="3" item="0"/>
          <tpl fld="11" item="0"/>
          <tpl fld="6" item="2"/>
          <tpl hier="236" item="1"/>
          <tpl fld="1" item="0"/>
        </tpls>
      </n>
      <n v="38" in="1">
        <tpls c="6">
          <tpl fld="3" item="2"/>
          <tpl fld="11" item="0"/>
          <tpl fld="6" item="1"/>
          <tpl hier="236" item="1"/>
          <tpl fld="4" item="4"/>
          <tpl fld="10" item="1"/>
        </tpls>
      </n>
      <n v="3283" in="1">
        <tpls c="5">
          <tpl fld="11" item="0"/>
          <tpl fld="6" item="1"/>
          <tpl hier="236" item="1"/>
          <tpl fld="4" item="4"/>
          <tpl fld="10" item="3"/>
        </tpls>
      </n>
      <m>
        <tpls c="4">
          <tpl fld="7" item="750"/>
          <tpl fld="6" item="1"/>
          <tpl hier="236" item="1"/>
          <tpl fld="1" item="0"/>
        </tpls>
      </m>
      <n v="4.4000000000000004" in="2">
        <tpls c="6">
          <tpl fld="11" item="0"/>
          <tpl fld="6" item="2"/>
          <tpl fld="8" item="1"/>
          <tpl hier="236" item="1"/>
          <tpl fld="4" item="7"/>
          <tpl fld="10" item="0"/>
        </tpls>
      </n>
      <m>
        <tpls c="4">
          <tpl fld="7" item="590"/>
          <tpl fld="6" item="1"/>
          <tpl hier="236" item="1"/>
          <tpl fld="4" item="4"/>
        </tpls>
      </m>
      <m>
        <tpls c="3">
          <tpl fld="7" item="1185"/>
          <tpl fld="6" item="3"/>
          <tpl hier="236" item="1"/>
        </tpls>
      </m>
      <m>
        <tpls c="3">
          <tpl fld="7" item="671"/>
          <tpl fld="6" item="3"/>
          <tpl hier="236" item="1"/>
        </tpls>
      </m>
      <m>
        <tpls c="4">
          <tpl fld="7" item="280"/>
          <tpl fld="6" item="1"/>
          <tpl hier="236" item="1"/>
          <tpl fld="4" item="6"/>
        </tpls>
      </m>
      <m>
        <tpls c="4">
          <tpl fld="7" item="485"/>
          <tpl fld="6" item="2"/>
          <tpl hier="236" item="1"/>
          <tpl fld="4" item="4"/>
        </tpls>
      </m>
      <m>
        <tpls c="4">
          <tpl fld="7" item="89"/>
          <tpl fld="6" item="2"/>
          <tpl hier="236" item="1"/>
          <tpl fld="4" item="4"/>
        </tpls>
      </m>
      <n v="220" in="1">
        <tpls c="6">
          <tpl fld="3" item="1"/>
          <tpl fld="11" item="0"/>
          <tpl fld="6" item="1"/>
          <tpl hier="236" item="1"/>
          <tpl fld="4" item="6"/>
          <tpl fld="10" item="5"/>
        </tpls>
      </n>
      <m>
        <tpls c="4">
          <tpl fld="7" item="232"/>
          <tpl fld="6" item="1"/>
          <tpl hier="236" item="1"/>
          <tpl fld="4" item="4"/>
        </tpls>
      </m>
      <m>
        <tpls c="4">
          <tpl fld="7" item="37"/>
          <tpl fld="6" item="1"/>
          <tpl hier="236" item="1"/>
          <tpl fld="4" item="6"/>
        </tpls>
      </m>
      <n v="494" in="1">
        <tpls c="6">
          <tpl fld="11" item="0"/>
          <tpl fld="5" item="4"/>
          <tpl fld="6" item="1"/>
          <tpl hier="236" item="1"/>
          <tpl fld="4" item="4"/>
          <tpl fld="10" item="8"/>
        </tpls>
      </n>
      <m>
        <tpls c="4">
          <tpl fld="7" item="1047"/>
          <tpl fld="6" item="1"/>
          <tpl hier="236" item="1"/>
          <tpl fld="4" item="6"/>
        </tpls>
      </m>
      <n v="11.319999999999999" in="2">
        <tpls c="6">
          <tpl fld="11" item="0"/>
          <tpl fld="5" item="5"/>
          <tpl fld="6" item="2"/>
          <tpl hier="236" item="1"/>
          <tpl fld="4" item="7"/>
          <tpl fld="10" item="2"/>
        </tpls>
      </n>
      <n v="12.2" in="2">
        <tpls c="6">
          <tpl fld="11" item="0"/>
          <tpl fld="5" item="0"/>
          <tpl fld="6" item="2"/>
          <tpl hier="236" item="1"/>
          <tpl fld="4" item="4"/>
          <tpl fld="10" item="0"/>
        </tpls>
      </n>
      <n v="494" in="1">
        <tpls c="6">
          <tpl fld="11" item="0"/>
          <tpl fld="6" item="1"/>
          <tpl fld="8" item="0"/>
          <tpl hier="236" item="1"/>
          <tpl fld="4" item="1"/>
          <tpl fld="9" item="1"/>
        </tpls>
      </n>
      <m>
        <tpls c="4">
          <tpl fld="7" item="222"/>
          <tpl fld="6" item="1"/>
          <tpl hier="236" item="1"/>
          <tpl fld="4" item="5"/>
        </tpls>
      </m>
      <n v="56.078378378378382" in="2">
        <tpls c="5">
          <tpl fld="11" item="0"/>
          <tpl fld="6" item="2"/>
          <tpl hier="236" item="1"/>
          <tpl fld="4" item="1"/>
          <tpl fld="9" item="2"/>
        </tpls>
      </n>
      <m>
        <tpls c="3">
          <tpl fld="7" item="30"/>
          <tpl fld="6" item="3"/>
          <tpl hier="236" item="1"/>
        </tpls>
      </m>
      <m>
        <tpls c="4">
          <tpl fld="7" item="406"/>
          <tpl fld="6" item="1"/>
          <tpl hier="236" item="1"/>
          <tpl fld="1" item="0"/>
        </tpls>
      </m>
      <m>
        <tpls c="4">
          <tpl fld="7" item="408"/>
          <tpl fld="6" item="1"/>
          <tpl hier="236" item="1"/>
          <tpl fld="1" item="0"/>
        </tpls>
      </m>
      <m>
        <tpls c="4">
          <tpl fld="7" item="481"/>
          <tpl fld="6" item="2"/>
          <tpl hier="236" item="1"/>
          <tpl fld="4" item="1"/>
        </tpls>
      </m>
      <m>
        <tpls c="4">
          <tpl fld="7" item="183"/>
          <tpl fld="6" item="2"/>
          <tpl hier="236" item="1"/>
          <tpl fld="4" item="1"/>
        </tpls>
      </m>
      <m>
        <tpls c="4">
          <tpl fld="7" item="304"/>
          <tpl fld="6" item="2"/>
          <tpl hier="236" item="1"/>
          <tpl fld="4" item="1"/>
        </tpls>
      </m>
      <n v="38" in="1">
        <tpls c="6">
          <tpl fld="11" item="0"/>
          <tpl fld="2" item="1"/>
          <tpl fld="6" item="1"/>
          <tpl hier="236" item="1"/>
          <tpl fld="4" item="6"/>
          <tpl fld="10" item="1"/>
        </tpls>
      </n>
      <m>
        <tpls c="4">
          <tpl fld="7" item="226"/>
          <tpl fld="6" item="2"/>
          <tpl hier="236" item="1"/>
          <tpl fld="4" item="1"/>
        </tpls>
      </m>
      <m>
        <tpls c="4">
          <tpl fld="7" item="252"/>
          <tpl fld="6" item="1"/>
          <tpl hier="236" item="1"/>
          <tpl fld="4" item="4"/>
        </tpls>
      </m>
      <n v="20.367297297297299" in="2">
        <tpls c="6">
          <tpl fld="11" item="0"/>
          <tpl fld="5" item="2"/>
          <tpl fld="6" item="2"/>
          <tpl hier="236" item="1"/>
          <tpl fld="4" item="6"/>
          <tpl fld="10" item="0"/>
        </tpls>
      </n>
      <n v="3.6400000000000006" in="2">
        <tpls c="6">
          <tpl fld="11" item="0"/>
          <tpl fld="5" item="3"/>
          <tpl fld="6" item="2"/>
          <tpl hier="236" item="1"/>
          <tpl fld="4" item="6"/>
          <tpl fld="10" item="3"/>
        </tpls>
      </n>
      <n v="2" in="2">
        <tpls c="6">
          <tpl fld="11" item="0"/>
          <tpl fld="2" item="3"/>
          <tpl fld="6" item="2"/>
          <tpl hier="236" item="1"/>
          <tpl fld="4" item="7"/>
          <tpl fld="10" item="5"/>
        </tpls>
      </n>
      <n v="63" in="1">
        <tpls c="6">
          <tpl fld="11" item="0"/>
          <tpl fld="2" item="3"/>
          <tpl fld="6" item="1"/>
          <tpl hier="236" item="1"/>
          <tpl fld="4" item="7"/>
          <tpl fld="10" item="8"/>
        </tpls>
      </n>
      <n v="703" in="1">
        <tpls c="6">
          <tpl fld="11" item="0"/>
          <tpl fld="6" item="1"/>
          <tpl fld="8" item="0"/>
          <tpl hier="236" item="1"/>
          <tpl fld="4" item="4"/>
          <tpl fld="10" item="6"/>
        </tpls>
      </n>
      <m>
        <tpls c="4">
          <tpl fld="7" item="115"/>
          <tpl fld="6" item="1"/>
          <tpl hier="236" item="1"/>
          <tpl fld="4" item="4"/>
        </tpls>
      </m>
      <m>
        <tpls c="5">
          <tpl fld="11" item="0"/>
          <tpl fld="6" item="2"/>
          <tpl hier="236" item="1"/>
          <tpl fld="4" item="3"/>
          <tpl fld="10" item="6"/>
        </tpls>
      </m>
      <m>
        <tpls c="3">
          <tpl fld="7" item="31"/>
          <tpl fld="6" item="3"/>
          <tpl hier="236" item="1"/>
        </tpls>
      </m>
      <m>
        <tpls c="3">
          <tpl fld="7" item="151"/>
          <tpl fld="6" item="3"/>
          <tpl hier="236" item="1"/>
        </tpls>
      </m>
      <m>
        <tpls c="3">
          <tpl fld="7" item="159"/>
          <tpl fld="6" item="3"/>
          <tpl hier="236" item="1"/>
        </tpls>
      </m>
      <m>
        <tpls c="4">
          <tpl fld="7" item="63"/>
          <tpl fld="6" item="2"/>
          <tpl hier="236" item="1"/>
          <tpl fld="4" item="1"/>
        </tpls>
      </m>
      <m>
        <tpls c="4">
          <tpl fld="7" item="184"/>
          <tpl fld="6" item="2"/>
          <tpl hier="236" item="1"/>
          <tpl fld="4" item="1"/>
        </tpls>
      </m>
      <m>
        <tpls c="4">
          <tpl fld="7" item="305"/>
          <tpl fld="6" item="2"/>
          <tpl hier="236" item="1"/>
          <tpl fld="4" item="1"/>
        </tpls>
      </m>
      <n v="37" in="1">
        <tpls c="6">
          <tpl fld="3" item="3"/>
          <tpl fld="11" item="0"/>
          <tpl fld="6" item="1"/>
          <tpl hier="236" item="1"/>
          <tpl fld="4" item="6"/>
          <tpl fld="10" item="4"/>
        </tpls>
      </n>
      <m>
        <tpls c="4">
          <tpl fld="7" item="230"/>
          <tpl fld="6" item="2"/>
          <tpl hier="236" item="1"/>
          <tpl fld="4" item="1"/>
        </tpls>
      </m>
      <m>
        <tpls c="4">
          <tpl fld="7" item="253"/>
          <tpl fld="6" item="1"/>
          <tpl hier="236" item="1"/>
          <tpl fld="4" item="4"/>
        </tpls>
      </m>
      <m>
        <tpls c="4">
          <tpl fld="7" item="263"/>
          <tpl fld="6" item="1"/>
          <tpl hier="236" item="1"/>
          <tpl fld="4" item="6"/>
        </tpls>
      </m>
      <m>
        <tpls c="4">
          <tpl fld="7" item="271"/>
          <tpl fld="6" item="1"/>
          <tpl hier="236" item="1"/>
          <tpl fld="4" item="6"/>
        </tpls>
      </m>
      <m>
        <tpls c="4">
          <tpl fld="7" item="69"/>
          <tpl fld="6" item="1"/>
          <tpl hier="236" item="1"/>
          <tpl fld="4" item="6"/>
        </tpls>
      </m>
      <m>
        <tpls c="4">
          <tpl fld="7" item="298"/>
          <tpl fld="6" item="2"/>
          <tpl hier="236" item="1"/>
          <tpl fld="4" item="4"/>
        </tpls>
      </m>
      <m>
        <tpls c="4">
          <tpl fld="7" item="217"/>
          <tpl fld="6" item="1"/>
          <tpl hier="236" item="1"/>
          <tpl fld="4" item="4"/>
        </tpls>
      </m>
      <m>
        <tpls c="4">
          <tpl fld="7" item="470"/>
          <tpl fld="6" item="1"/>
          <tpl hier="236" item="1"/>
          <tpl fld="4" item="4"/>
        </tpls>
      </m>
      <m>
        <tpls c="3">
          <tpl fld="7" item="70"/>
          <tpl fld="6" item="3"/>
          <tpl hier="236" item="1"/>
        </tpls>
      </m>
      <m>
        <tpls c="4">
          <tpl fld="7" item="403"/>
          <tpl fld="6" item="2"/>
          <tpl hier="236" item="1"/>
          <tpl fld="4" item="1"/>
        </tpls>
      </m>
      <m>
        <tpls c="4">
          <tpl fld="7" item="479"/>
          <tpl fld="6" item="2"/>
          <tpl hier="236" item="1"/>
          <tpl fld="4" item="6"/>
        </tpls>
      </m>
      <m>
        <tpls c="4">
          <tpl fld="7" item="70"/>
          <tpl fld="6" item="1"/>
          <tpl hier="236" item="1"/>
          <tpl fld="4" item="6"/>
        </tpls>
      </m>
      <m>
        <tpls c="4">
          <tpl fld="7" item="417"/>
          <tpl fld="6" item="1"/>
          <tpl hier="236" item="1"/>
          <tpl fld="4" item="6"/>
        </tpls>
      </m>
      <m>
        <tpls c="6">
          <tpl fld="11" item="0"/>
          <tpl fld="5" item="1"/>
          <tpl fld="6" item="1"/>
          <tpl hier="236" item="1"/>
          <tpl fld="4" item="3"/>
          <tpl fld="10" item="2"/>
        </tpls>
      </m>
      <m>
        <tpls c="4">
          <tpl fld="7" item="224"/>
          <tpl fld="6" item="1"/>
          <tpl hier="236" item="1"/>
          <tpl fld="1" item="0"/>
        </tpls>
      </m>
      <m>
        <tpls c="4">
          <tpl fld="7" item="251"/>
          <tpl fld="6" item="2"/>
          <tpl hier="236" item="1"/>
          <tpl fld="4" item="1"/>
        </tpls>
      </m>
      <m>
        <tpls c="4">
          <tpl fld="7" item="336"/>
          <tpl fld="6" item="2"/>
          <tpl hier="236" item="1"/>
          <tpl fld="4" item="4"/>
        </tpls>
      </m>
      <m>
        <tpls c="4">
          <tpl fld="7" item="338"/>
          <tpl fld="6" item="2"/>
          <tpl hier="236" item="1"/>
          <tpl fld="4" item="4"/>
        </tpls>
      </m>
      <m>
        <tpls c="4">
          <tpl fld="7" item="67"/>
          <tpl fld="6" item="2"/>
          <tpl hier="236" item="1"/>
          <tpl fld="4" item="4"/>
        </tpls>
      </m>
      <m>
        <tpls c="4">
          <tpl fld="7" item="80"/>
          <tpl fld="6" item="1"/>
          <tpl hier="236" item="1"/>
          <tpl fld="4" item="4"/>
        </tpls>
      </m>
      <m>
        <tpls c="4">
          <tpl fld="7" item="489"/>
          <tpl fld="6" item="1"/>
          <tpl hier="236" item="1"/>
          <tpl fld="4" item="4"/>
        </tpls>
      </m>
      <n v="0.4" in="2">
        <tpls c="6">
          <tpl fld="3" item="0"/>
          <tpl fld="11" item="0"/>
          <tpl fld="6" item="2"/>
          <tpl hier="236" item="1"/>
          <tpl fld="4" item="6"/>
          <tpl fld="10" item="8"/>
        </tpls>
      </n>
      <m>
        <tpls c="4">
          <tpl fld="7" item="55"/>
          <tpl fld="6" item="1"/>
          <tpl hier="236" item="1"/>
          <tpl fld="4" item="5"/>
        </tpls>
      </m>
      <m>
        <tpls c="3">
          <tpl fld="7" item="318"/>
          <tpl fld="6" item="3"/>
          <tpl hier="236" item="1"/>
        </tpls>
      </m>
      <m>
        <tpls c="4">
          <tpl fld="7" item="500"/>
          <tpl fld="6" item="1"/>
          <tpl hier="236" item="1"/>
          <tpl fld="4" item="6"/>
        </tpls>
      </m>
      <n v="0.8783783783783784" in="2">
        <tpls c="4">
          <tpl fld="7" item="878"/>
          <tpl fld="6" item="2"/>
          <tpl hier="236" item="1"/>
          <tpl fld="4" item="4"/>
        </tpls>
      </n>
      <n v="4" in="1">
        <tpls c="4">
          <tpl fld="7" item="603"/>
          <tpl fld="6" item="1"/>
          <tpl hier="236" item="1"/>
          <tpl fld="4" item="4"/>
        </tpls>
      </n>
      <m>
        <tpls c="4">
          <tpl fld="7" item="462"/>
          <tpl fld="6" item="2"/>
          <tpl hier="236" item="1"/>
          <tpl fld="4" item="6"/>
        </tpls>
      </m>
      <n v="1" in="2">
        <tpls c="4">
          <tpl fld="7" item="607"/>
          <tpl fld="6" item="2"/>
          <tpl hier="236" item="1"/>
          <tpl fld="1" item="0"/>
        </tpls>
      </n>
      <n v="28.479999999999997" in="2">
        <tpls c="6">
          <tpl fld="3" item="4"/>
          <tpl fld="11" item="0"/>
          <tpl fld="6" item="2"/>
          <tpl hier="236" item="1"/>
          <tpl fld="4" item="4"/>
          <tpl fld="10" item="8"/>
        </tpls>
      </n>
      <m>
        <tpls c="4">
          <tpl fld="7" item="272"/>
          <tpl fld="6" item="2"/>
          <tpl hier="236" item="1"/>
          <tpl fld="4" item="1"/>
        </tpls>
      </m>
      <m>
        <tpls c="4">
          <tpl fld="7" item="102"/>
          <tpl fld="6" item="2"/>
          <tpl hier="236" item="1"/>
          <tpl fld="4" item="4"/>
        </tpls>
      </m>
      <m>
        <tpls c="4">
          <tpl fld="7" item="359"/>
          <tpl fld="6" item="1"/>
          <tpl hier="236" item="1"/>
          <tpl fld="4" item="6"/>
        </tpls>
      </m>
      <m>
        <tpls c="4">
          <tpl fld="7" item="513"/>
          <tpl fld="6" item="2"/>
          <tpl hier="236" item="1"/>
          <tpl fld="4" item="4"/>
        </tpls>
      </m>
      <n v="8" in="1">
        <tpls c="4">
          <tpl fld="7" item="526"/>
          <tpl fld="6" item="1"/>
          <tpl hier="236" item="1"/>
          <tpl fld="4" item="4"/>
        </tpls>
      </n>
      <m>
        <tpls c="4">
          <tpl fld="7" item="983"/>
          <tpl fld="6" item="2"/>
          <tpl hier="236" item="1"/>
          <tpl fld="4" item="1"/>
        </tpls>
      </m>
      <n v="1425" in="1">
        <tpls c="6">
          <tpl fld="11" item="0"/>
          <tpl fld="6" item="1"/>
          <tpl fld="8" item="0"/>
          <tpl hier="236" item="1"/>
          <tpl fld="4" item="4"/>
          <tpl fld="10" item="7"/>
        </tpls>
      </n>
      <m>
        <tpls c="4">
          <tpl fld="7" item="397"/>
          <tpl fld="6" item="1"/>
          <tpl hier="236" item="1"/>
          <tpl fld="4" item="4"/>
        </tpls>
      </m>
      <m>
        <tpls c="4">
          <tpl fld="7" item="672"/>
          <tpl fld="6" item="2"/>
          <tpl hier="236" item="1"/>
          <tpl fld="4" item="4"/>
        </tpls>
      </m>
      <m>
        <tpls c="4">
          <tpl fld="7" item="28"/>
          <tpl fld="6" item="1"/>
          <tpl hier="236" item="1"/>
          <tpl fld="4" item="6"/>
        </tpls>
      </m>
      <m>
        <tpls c="3">
          <tpl fld="7" item="954"/>
          <tpl fld="6" item="3"/>
          <tpl hier="236" item="1"/>
        </tpls>
      </m>
      <m>
        <tpls c="4">
          <tpl fld="7" item="963"/>
          <tpl fld="6" item="1"/>
          <tpl hier="236" item="1"/>
          <tpl fld="4" item="6"/>
        </tpls>
      </m>
      <m>
        <tpls c="6">
          <tpl fld="11" item="0"/>
          <tpl fld="5" item="4"/>
          <tpl fld="6" item="2"/>
          <tpl hier="236" item="1"/>
          <tpl fld="4" item="7"/>
          <tpl fld="10" item="7"/>
        </tpls>
      </m>
      <n v="0" in="1">
        <tpls c="6">
          <tpl fld="11" item="0"/>
          <tpl fld="5" item="0"/>
          <tpl fld="6" item="1"/>
          <tpl hier="236" item="1"/>
          <tpl fld="4" item="3"/>
          <tpl fld="10" item="5"/>
        </tpls>
      </n>
      <m>
        <tpls c="4">
          <tpl fld="7" item="1209"/>
          <tpl fld="6" item="2"/>
          <tpl hier="236" item="1"/>
          <tpl fld="4" item="6"/>
        </tpls>
      </m>
      <n v="5.88" in="2">
        <tpls c="6">
          <tpl fld="11" item="0"/>
          <tpl fld="2" item="1"/>
          <tpl fld="6" item="2"/>
          <tpl hier="236" item="1"/>
          <tpl fld="4" item="3"/>
          <tpl fld="10" item="7"/>
        </tpls>
      </n>
      <m>
        <tpls c="4">
          <tpl fld="7" item="111"/>
          <tpl fld="6" item="1"/>
          <tpl hier="236" item="1"/>
          <tpl fld="4" item="5"/>
        </tpls>
      </m>
      <n v="6.8" in="2">
        <tpls c="6">
          <tpl fld="11" item="0"/>
          <tpl fld="2" item="3"/>
          <tpl fld="6" item="2"/>
          <tpl hier="236" item="1"/>
          <tpl fld="4" item="3"/>
          <tpl fld="10" item="8"/>
        </tpls>
      </n>
      <m>
        <tpls c="6">
          <tpl fld="11" item="0"/>
          <tpl fld="2" item="0"/>
          <tpl fld="6" item="1"/>
          <tpl hier="236" item="1"/>
          <tpl fld="4" item="3"/>
          <tpl fld="10" item="6"/>
        </tpls>
      </m>
      <n v="0" in="1">
        <tpls c="6">
          <tpl fld="3" item="4"/>
          <tpl fld="11" item="0"/>
          <tpl fld="6" item="1"/>
          <tpl hier="236" item="1"/>
          <tpl fld="4" item="3"/>
          <tpl fld="10" item="8"/>
        </tpls>
      </n>
      <n v="532" in="1">
        <tpls c="6">
          <tpl fld="11" item="0"/>
          <tpl fld="6" item="1"/>
          <tpl fld="8" item="0"/>
          <tpl hier="236" item="1"/>
          <tpl fld="4" item="7"/>
          <tpl fld="10" item="3"/>
        </tpls>
      </n>
      <n v="59" in="1">
        <tpls c="6">
          <tpl fld="11" item="0"/>
          <tpl fld="2" item="1"/>
          <tpl fld="6" item="1"/>
          <tpl hier="236" item="1"/>
          <tpl fld="4" item="4"/>
          <tpl fld="10" item="1"/>
        </tpls>
      </n>
      <n v="0" in="1">
        <tpls c="6">
          <tpl fld="11" item="0"/>
          <tpl fld="5" item="0"/>
          <tpl fld="6" item="1"/>
          <tpl hier="236" item="1"/>
          <tpl fld="4" item="1"/>
          <tpl fld="9" item="0"/>
        </tpls>
      </n>
      <n v="5.3940540540540542" in="2">
        <tpls c="6">
          <tpl fld="3" item="1"/>
          <tpl fld="11" item="0"/>
          <tpl fld="6" item="2"/>
          <tpl hier="236" item="1"/>
          <tpl fld="4" item="4"/>
          <tpl fld="10" item="3"/>
        </tpls>
      </n>
      <n v="0" in="1">
        <tpls c="6">
          <tpl fld="11" item="0"/>
          <tpl fld="5" item="4"/>
          <tpl fld="6" item="1"/>
          <tpl hier="236" item="1"/>
          <tpl fld="4" item="3"/>
          <tpl fld="10" item="2"/>
        </tpls>
      </n>
      <n v="3798" in="1">
        <tpls c="6">
          <tpl fld="11" item="0"/>
          <tpl fld="5" item="5"/>
          <tpl fld="6" item="1"/>
          <tpl hier="236" item="1"/>
          <tpl fld="4" item="4"/>
          <tpl fld="10" item="8"/>
        </tpls>
      </n>
      <m>
        <tpls c="6">
          <tpl fld="3" item="0"/>
          <tpl fld="11" item="0"/>
          <tpl fld="6" item="2"/>
          <tpl hier="236" item="1"/>
          <tpl fld="4" item="1"/>
          <tpl fld="9" item="3"/>
        </tpls>
      </m>
      <m>
        <tpls c="6">
          <tpl fld="11" item="0"/>
          <tpl fld="5" item="0"/>
          <tpl fld="6" item="2"/>
          <tpl hier="236" item="1"/>
          <tpl fld="4" item="1"/>
          <tpl fld="9" item="0"/>
        </tpls>
      </m>
      <n v="19.58864864864865" in="2">
        <tpls c="6">
          <tpl fld="3" item="3"/>
          <tpl fld="11" item="0"/>
          <tpl fld="6" item="2"/>
          <tpl hier="236" item="1"/>
          <tpl fld="4" item="4"/>
          <tpl fld="10" item="0"/>
        </tpls>
      </n>
      <n v="11" in="1">
        <tpls c="4">
          <tpl fld="7" item="1224"/>
          <tpl fld="6" item="1"/>
          <tpl hier="236" item="1"/>
          <tpl fld="4" item="6"/>
        </tpls>
      </n>
      <n v="452" in="1">
        <tpls c="5">
          <tpl fld="3" item="4"/>
          <tpl fld="11" item="0"/>
          <tpl fld="6" item="1"/>
          <tpl hier="236" item="1"/>
          <tpl fld="4" item="2"/>
        </tpls>
      </n>
      <m>
        <tpls c="4">
          <tpl fld="7" item="466"/>
          <tpl fld="6" item="2"/>
          <tpl hier="236" item="1"/>
          <tpl fld="4" item="1"/>
        </tpls>
      </m>
      <n v="1" in="1">
        <tpls c="4">
          <tpl fld="7" item="944"/>
          <tpl fld="6" item="1"/>
          <tpl hier="236" item="1"/>
          <tpl fld="4" item="6"/>
        </tpls>
      </n>
      <m>
        <tpls c="6">
          <tpl fld="3" item="0"/>
          <tpl fld="11" item="0"/>
          <tpl fld="6" item="2"/>
          <tpl hier="236" item="1"/>
          <tpl fld="4" item="7"/>
          <tpl fld="10" item="7"/>
        </tpls>
      </m>
      <n v="1.6" in="2">
        <tpls c="6">
          <tpl fld="11" item="0"/>
          <tpl fld="2" item="3"/>
          <tpl fld="6" item="2"/>
          <tpl hier="236" item="1"/>
          <tpl fld="4" item="1"/>
          <tpl fld="9" item="0"/>
        </tpls>
      </n>
      <n v="1.8" in="2">
        <tpls c="6">
          <tpl fld="3" item="1"/>
          <tpl fld="11" item="0"/>
          <tpl fld="6" item="2"/>
          <tpl hier="236" item="1"/>
          <tpl fld="4" item="7"/>
          <tpl fld="10" item="0"/>
        </tpls>
      </n>
      <n v="2.12" in="2">
        <tpls c="6">
          <tpl fld="11" item="0"/>
          <tpl fld="6" item="2"/>
          <tpl fld="8" item="0"/>
          <tpl hier="236" item="1"/>
          <tpl fld="4" item="3"/>
          <tpl fld="10" item="7"/>
        </tpls>
      </n>
      <m>
        <tpls c="4">
          <tpl fld="7" item="14"/>
          <tpl fld="6" item="1"/>
          <tpl hier="236" item="1"/>
          <tpl fld="4" item="4"/>
        </tpls>
      </m>
      <n v="17.009729729729731" in="2">
        <tpls c="6">
          <tpl fld="11" item="0"/>
          <tpl fld="6" item="2"/>
          <tpl fld="8" item="1"/>
          <tpl hier="236" item="1"/>
          <tpl fld="4" item="3"/>
          <tpl fld="10" item="4"/>
        </tpls>
      </n>
      <n v="54" in="1">
        <tpls c="6">
          <tpl fld="11" item="0"/>
          <tpl fld="2" item="4"/>
          <tpl fld="6" item="1"/>
          <tpl hier="236" item="1"/>
          <tpl fld="4" item="1"/>
          <tpl fld="9" item="2"/>
        </tpls>
      </n>
      <n v="0" in="1">
        <tpls c="6">
          <tpl fld="11" item="0"/>
          <tpl fld="5" item="4"/>
          <tpl fld="6" item="1"/>
          <tpl hier="236" item="1"/>
          <tpl fld="4" item="7"/>
          <tpl fld="10" item="8"/>
        </tpls>
      </n>
      <n v="4" in="1">
        <tpls c="6">
          <tpl fld="3" item="0"/>
          <tpl fld="11" item="0"/>
          <tpl fld="6" item="1"/>
          <tpl hier="236" item="1"/>
          <tpl fld="4" item="6"/>
          <tpl fld="10" item="2"/>
        </tpls>
      </n>
      <m>
        <tpls c="6">
          <tpl fld="3" item="2"/>
          <tpl fld="11" item="0"/>
          <tpl fld="6" item="1"/>
          <tpl hier="236" item="1"/>
          <tpl fld="4" item="3"/>
          <tpl fld="10" item="6"/>
        </tpls>
      </m>
      <n v="130" in="1">
        <tpls c="6">
          <tpl fld="11" item="0"/>
          <tpl fld="6" item="1"/>
          <tpl fld="8" item="0"/>
          <tpl hier="236" item="1"/>
          <tpl fld="4" item="4"/>
          <tpl fld="10" item="4"/>
        </tpls>
      </n>
      <m>
        <tpls c="4">
          <tpl fld="7" item="225"/>
          <tpl fld="6" item="1"/>
          <tpl hier="236" item="1"/>
          <tpl fld="4" item="5"/>
        </tpls>
      </m>
      <n v="36.785135135135135" in="2">
        <tpls c="5">
          <tpl fld="11" item="0"/>
          <tpl fld="6" item="2"/>
          <tpl fld="8" item="0"/>
          <tpl hier="236" item="1"/>
          <tpl fld="4" item="0"/>
        </tpls>
      </n>
      <m>
        <tpls c="4">
          <tpl fld="7" item="140"/>
          <tpl fld="6" item="2"/>
          <tpl hier="236" item="1"/>
          <tpl fld="4" item="1"/>
        </tpls>
      </m>
      <m>
        <tpls c="3">
          <tpl fld="7" item="44"/>
          <tpl fld="6" item="3"/>
          <tpl hier="236" item="1"/>
        </tpls>
      </m>
      <m>
        <tpls c="3">
          <tpl fld="7" item="52"/>
          <tpl fld="6" item="3"/>
          <tpl hier="236" item="1"/>
        </tpls>
      </m>
      <m>
        <tpls c="4">
          <tpl fld="7" item="482"/>
          <tpl fld="6" item="2"/>
          <tpl hier="236" item="1"/>
          <tpl fld="4" item="4"/>
        </tpls>
      </m>
      <m>
        <tpls c="4">
          <tpl fld="7" item="344"/>
          <tpl fld="6" item="1"/>
          <tpl hier="236" item="1"/>
          <tpl fld="4" item="4"/>
        </tpls>
      </m>
      <m>
        <tpls c="4">
          <tpl fld="7" item="90"/>
          <tpl fld="6" item="1"/>
          <tpl hier="236" item="1"/>
          <tpl fld="4" item="4"/>
        </tpls>
      </m>
      <m>
        <tpls c="6">
          <tpl fld="3" item="0"/>
          <tpl fld="11" item="0"/>
          <tpl fld="6" item="2"/>
          <tpl hier="236" item="1"/>
          <tpl fld="4" item="7"/>
          <tpl fld="10" item="4"/>
        </tpls>
      </m>
      <m>
        <tpls c="4">
          <tpl fld="7" item="236"/>
          <tpl fld="6" item="1"/>
          <tpl hier="236" item="1"/>
          <tpl fld="4" item="4"/>
        </tpls>
      </m>
      <m>
        <tpls c="4">
          <tpl fld="7" item="254"/>
          <tpl fld="6" item="2"/>
          <tpl hier="236" item="1"/>
          <tpl fld="4" item="4"/>
        </tpls>
      </m>
      <n v="846" in="1">
        <tpls c="6">
          <tpl fld="11" item="0"/>
          <tpl fld="5" item="3"/>
          <tpl fld="6" item="1"/>
          <tpl hier="236" item="1"/>
          <tpl fld="4" item="6"/>
          <tpl fld="10" item="8"/>
        </tpls>
      </n>
      <n v="0" in="1">
        <tpls c="6">
          <tpl fld="11" item="0"/>
          <tpl fld="5" item="4"/>
          <tpl fld="6" item="1"/>
          <tpl hier="236" item="1"/>
          <tpl fld="4" item="3"/>
          <tpl fld="10" item="7"/>
        </tpls>
      </n>
      <n v="2.751891891891892" in="2">
        <tpls c="6">
          <tpl fld="11" item="0"/>
          <tpl fld="2" item="3"/>
          <tpl fld="6" item="2"/>
          <tpl hier="236" item="1"/>
          <tpl fld="4" item="3"/>
          <tpl fld="10" item="3"/>
        </tpls>
      </n>
      <n v="1375" in="1">
        <tpls c="6">
          <tpl fld="11" item="0"/>
          <tpl fld="2" item="1"/>
          <tpl fld="6" item="1"/>
          <tpl hier="236" item="1"/>
          <tpl fld="4" item="3"/>
          <tpl fld="10" item="8"/>
        </tpls>
      </n>
      <n v="91.734594594594597" in="2">
        <tpls c="6">
          <tpl fld="11" item="0"/>
          <tpl fld="6" item="2"/>
          <tpl fld="8" item="0"/>
          <tpl hier="236" item="1"/>
          <tpl fld="4" item="4"/>
          <tpl fld="10" item="0"/>
        </tpls>
      </n>
      <m>
        <tpls c="4">
          <tpl fld="7" item="223"/>
          <tpl fld="6" item="1"/>
          <tpl hier="236" item="1"/>
          <tpl fld="4" item="5"/>
        </tpls>
      </m>
      <n v="832" in="1">
        <tpls c="6">
          <tpl fld="11" item="0"/>
          <tpl fld="6" item="1"/>
          <tpl fld="8" item="1"/>
          <tpl hier="236" item="1"/>
          <tpl fld="4" item="6"/>
          <tpl fld="10" item="4"/>
        </tpls>
      </n>
      <m>
        <tpls c="4">
          <tpl fld="7" item="247"/>
          <tpl fld="6" item="1"/>
          <tpl hier="236" item="1"/>
          <tpl fld="4" item="6"/>
        </tpls>
      </m>
      <m>
        <tpls c="4">
          <tpl fld="7" item="43"/>
          <tpl fld="6" item="1"/>
          <tpl hier="236" item="1"/>
          <tpl fld="1" item="0"/>
        </tpls>
      </m>
      <m>
        <tpls c="4">
          <tpl fld="7" item="51"/>
          <tpl fld="6" item="1"/>
          <tpl hier="236" item="1"/>
          <tpl fld="1" item="0"/>
        </tpls>
      </m>
      <m>
        <tpls c="4">
          <tpl fld="7" item="411"/>
          <tpl fld="6" item="2"/>
          <tpl hier="236" item="1"/>
          <tpl fld="4" item="1"/>
        </tpls>
      </m>
      <m>
        <tpls c="3">
          <tpl fld="7" item="76"/>
          <tpl fld="6" item="3"/>
          <tpl hier="236" item="1"/>
        </tpls>
      </m>
      <m>
        <tpls c="3">
          <tpl fld="7" item="488"/>
          <tpl fld="6" item="3"/>
          <tpl hier="236" item="1"/>
        </tpls>
      </m>
      <n v="18910" in="1">
        <tpls c="5">
          <tpl fld="3" item="1"/>
          <tpl fld="11" item="0"/>
          <tpl fld="6" item="1"/>
          <tpl hier="236" item="1"/>
          <tpl fld="1" item="0"/>
        </tpls>
      </n>
      <m>
        <tpls c="4">
          <tpl fld="7" item="229"/>
          <tpl fld="6" item="2"/>
          <tpl hier="236" item="1"/>
          <tpl fld="4" item="1"/>
        </tpls>
      </m>
      <m>
        <tpls c="4">
          <tpl fld="7" item="475"/>
          <tpl fld="6" item="2"/>
          <tpl hier="236" item="1"/>
          <tpl fld="4" item="1"/>
        </tpls>
      </m>
      <m>
        <tpls c="4">
          <tpl fld="7" item="1233"/>
          <tpl fld="6" item="1"/>
          <tpl hier="236" item="1"/>
          <tpl fld="4" item="6"/>
        </tpls>
      </m>
      <m>
        <tpls c="6">
          <tpl fld="11" item="0"/>
          <tpl fld="5" item="4"/>
          <tpl fld="6" item="2"/>
          <tpl hier="236" item="1"/>
          <tpl fld="4" item="3"/>
          <tpl fld="10" item="2"/>
        </tpls>
      </m>
      <n v="8" in="1">
        <tpls c="6">
          <tpl fld="3" item="0"/>
          <tpl fld="11" item="0"/>
          <tpl fld="6" item="1"/>
          <tpl hier="236" item="1"/>
          <tpl fld="4" item="1"/>
          <tpl fld="9" item="1"/>
        </tpls>
      </n>
      <n v="829" in="1">
        <tpls c="6">
          <tpl fld="3" item="4"/>
          <tpl fld="11" item="0"/>
          <tpl fld="6" item="1"/>
          <tpl hier="236" item="1"/>
          <tpl fld="4" item="4"/>
          <tpl fld="10" item="6"/>
        </tpls>
      </n>
      <n v="85.498864864864856" in="2">
        <tpls c="5">
          <tpl fld="11" item="0"/>
          <tpl fld="6" item="2"/>
          <tpl hier="236" item="1"/>
          <tpl fld="4" item="4"/>
          <tpl fld="10" item="7"/>
        </tpls>
      </n>
      <m>
        <tpls c="4">
          <tpl fld="7" item="116"/>
          <tpl fld="6" item="1"/>
          <tpl hier="236" item="1"/>
          <tpl fld="4" item="4"/>
        </tpls>
      </m>
      <m>
        <tpls c="6">
          <tpl fld="11" item="0"/>
          <tpl fld="6" item="2"/>
          <tpl fld="8" item="1"/>
          <tpl hier="236" item="1"/>
          <tpl fld="4" item="7"/>
          <tpl fld="10" item="1"/>
        </tpls>
      </m>
      <m>
        <tpls c="4">
          <tpl fld="7" item="248"/>
          <tpl fld="6" item="1"/>
          <tpl hier="236" item="1"/>
          <tpl fld="4" item="6"/>
        </tpls>
      </m>
      <m>
        <tpls c="3">
          <tpl fld="7" item="260"/>
          <tpl fld="6" item="3"/>
          <tpl hier="236" item="1"/>
        </tpls>
      </m>
      <m>
        <tpls c="3">
          <tpl fld="7" item="268"/>
          <tpl fld="6" item="3"/>
          <tpl hier="236" item="1"/>
        </tpls>
      </m>
      <m>
        <tpls c="4">
          <tpl fld="7" item="172"/>
          <tpl fld="6" item="2"/>
          <tpl hier="236" item="1"/>
          <tpl fld="4" item="1"/>
        </tpls>
      </m>
      <m>
        <tpls c="3">
          <tpl fld="7" item="77"/>
          <tpl fld="6" item="3"/>
          <tpl hier="236" item="1"/>
        </tpls>
      </m>
      <n v="10.039999999999999" in="2">
        <tpls c="6">
          <tpl fld="3" item="0"/>
          <tpl fld="11" item="0"/>
          <tpl fld="6" item="2"/>
          <tpl hier="236" item="1"/>
          <tpl fld="4" item="3"/>
          <tpl fld="10" item="8"/>
        </tpls>
      </n>
      <m>
        <tpls c="6">
          <tpl fld="11" item="0"/>
          <tpl fld="5" item="5"/>
          <tpl fld="6" item="1"/>
          <tpl hier="236" item="1"/>
          <tpl fld="4" item="7"/>
          <tpl fld="10" item="6"/>
        </tpls>
      </m>
      <n v="9" in="1">
        <tpls c="4">
          <tpl fld="7" item="951"/>
          <tpl fld="6" item="1"/>
          <tpl hier="236" item="1"/>
          <tpl fld="4" item="6"/>
        </tpls>
      </n>
      <n v="16.68" in="2">
        <tpls c="6">
          <tpl fld="11" item="0"/>
          <tpl fld="5" item="5"/>
          <tpl fld="6" item="2"/>
          <tpl hier="236" item="1"/>
          <tpl fld="4" item="6"/>
          <tpl fld="10" item="8"/>
        </tpls>
      </n>
      <n v="56" in="1">
        <tpls c="6">
          <tpl fld="11" item="0"/>
          <tpl fld="2" item="0"/>
          <tpl fld="6" item="1"/>
          <tpl hier="236" item="1"/>
          <tpl fld="4" item="7"/>
          <tpl fld="10" item="0"/>
        </tpls>
      </n>
      <n v="7802" in="1">
        <tpls c="5">
          <tpl fld="11" item="0"/>
          <tpl fld="5" item="3"/>
          <tpl fld="6" item="1"/>
          <tpl hier="236" item="1"/>
          <tpl fld="1" item="0"/>
        </tpls>
      </n>
      <n v="6.56" in="2">
        <tpls c="6">
          <tpl fld="11" item="0"/>
          <tpl fld="2" item="1"/>
          <tpl fld="6" item="2"/>
          <tpl hier="236" item="1"/>
          <tpl fld="4" item="3"/>
          <tpl fld="10" item="0"/>
        </tpls>
      </n>
      <n v="369" in="1">
        <tpls c="6">
          <tpl fld="3" item="1"/>
          <tpl fld="11" item="0"/>
          <tpl fld="6" item="1"/>
          <tpl hier="236" item="1"/>
          <tpl fld="4" item="7"/>
          <tpl fld="10" item="7"/>
        </tpls>
      </n>
      <n v="4.7200000000000006" in="2">
        <tpls c="6">
          <tpl fld="3" item="1"/>
          <tpl fld="11" item="0"/>
          <tpl fld="6" item="2"/>
          <tpl hier="236" item="1"/>
          <tpl fld="4" item="4"/>
          <tpl fld="10" item="8"/>
        </tpls>
      </n>
      <n v="6" in="1">
        <tpls c="4">
          <tpl fld="7" item="1225"/>
          <tpl fld="6" item="1"/>
          <tpl hier="236" item="1"/>
          <tpl fld="1" item="0"/>
        </tpls>
      </n>
      <m>
        <tpls c="4">
          <tpl fld="7" item="1139"/>
          <tpl fld="6" item="2"/>
          <tpl hier="236" item="1"/>
          <tpl fld="4" item="6"/>
        </tpls>
      </m>
      <n v="160" in="1">
        <tpls c="6">
          <tpl fld="11" item="0"/>
          <tpl fld="5" item="3"/>
          <tpl fld="6" item="1"/>
          <tpl hier="236" item="1"/>
          <tpl fld="4" item="4"/>
          <tpl fld="10" item="5"/>
        </tpls>
      </n>
      <m>
        <tpls c="4">
          <tpl fld="7" item="1261"/>
          <tpl fld="6" item="2"/>
          <tpl hier="236" item="1"/>
          <tpl fld="4" item="6"/>
        </tpls>
      </m>
      <m>
        <tpls c="4">
          <tpl fld="7" item="1258"/>
          <tpl fld="6" item="1"/>
          <tpl hier="236" item="1"/>
          <tpl fld="4" item="6"/>
        </tpls>
      </m>
      <m>
        <tpls c="3">
          <tpl fld="7" item="953"/>
          <tpl fld="6" item="3"/>
          <tpl hier="236" item="1"/>
        </tpls>
      </m>
      <n v="201" in="1">
        <tpls c="5">
          <tpl fld="11" item="0"/>
          <tpl fld="2" item="2"/>
          <tpl fld="6" item="1"/>
          <tpl hier="236" item="1"/>
          <tpl fld="4" item="5"/>
        </tpls>
      </n>
      <m>
        <tpls c="3">
          <tpl fld="7" item="1053"/>
          <tpl fld="6" item="3"/>
          <tpl hier="236" item="1"/>
        </tpls>
      </m>
      <n v="349" in="1">
        <tpls c="6">
          <tpl fld="11" item="0"/>
          <tpl fld="5" item="5"/>
          <tpl fld="6" item="1"/>
          <tpl hier="236" item="1"/>
          <tpl fld="4" item="4"/>
          <tpl fld="10" item="4"/>
        </tpls>
      </n>
      <n v="2" in="2">
        <tpls c="5">
          <tpl fld="11" item="0"/>
          <tpl fld="6" item="2"/>
          <tpl hier="236" item="1"/>
          <tpl fld="4" item="7"/>
          <tpl fld="10" item="5"/>
        </tpls>
      </n>
      <n v="32.324864864864864" in="2">
        <tpls c="6">
          <tpl fld="11" item="0"/>
          <tpl fld="5" item="1"/>
          <tpl fld="6" item="2"/>
          <tpl hier="236" item="1"/>
          <tpl fld="4" item="6"/>
          <tpl fld="10" item="8"/>
        </tpls>
      </n>
      <n v="131" in="1">
        <tpls c="5">
          <tpl fld="11" item="0"/>
          <tpl fld="5" item="2"/>
          <tpl fld="6" item="1"/>
          <tpl hier="236" item="1"/>
          <tpl fld="4" item="5"/>
        </tpls>
      </n>
      <m>
        <tpls c="6">
          <tpl fld="11" item="0"/>
          <tpl fld="5" item="2"/>
          <tpl fld="6" item="1"/>
          <tpl hier="236" item="1"/>
          <tpl fld="4" item="3"/>
          <tpl fld="10" item="0"/>
        </tpls>
      </m>
      <n v="239" in="1">
        <tpls c="6">
          <tpl fld="3" item="2"/>
          <tpl fld="11" item="0"/>
          <tpl fld="6" item="1"/>
          <tpl hier="236" item="1"/>
          <tpl fld="4" item="4"/>
          <tpl fld="10" item="3"/>
        </tpls>
      </n>
      <n v="15.48" in="2">
        <tpls c="6">
          <tpl fld="11" item="0"/>
          <tpl fld="5" item="2"/>
          <tpl fld="6" item="2"/>
          <tpl hier="236" item="1"/>
          <tpl fld="4" item="4"/>
          <tpl fld="10" item="6"/>
        </tpls>
      </n>
      <n v="4.12" in="2">
        <tpls c="6">
          <tpl fld="11" item="0"/>
          <tpl fld="2" item="2"/>
          <tpl fld="6" item="2"/>
          <tpl hier="236" item="1"/>
          <tpl fld="4" item="3"/>
          <tpl fld="10" item="4"/>
        </tpls>
      </n>
      <n v="28" in="1">
        <tpls c="6">
          <tpl fld="11" item="0"/>
          <tpl fld="5" item="4"/>
          <tpl fld="6" item="1"/>
          <tpl hier="236" item="1"/>
          <tpl fld="4" item="1"/>
          <tpl fld="9" item="0"/>
        </tpls>
      </n>
      <n v="15.600540540540541" in="2">
        <tpls c="5">
          <tpl fld="11" item="0"/>
          <tpl fld="2" item="3"/>
          <tpl fld="6" item="2"/>
          <tpl hier="236" item="1"/>
          <tpl fld="4" item="0"/>
        </tpls>
      </n>
      <m>
        <tpls c="6">
          <tpl fld="3" item="2"/>
          <tpl fld="11" item="0"/>
          <tpl fld="6" item="1"/>
          <tpl hier="236" item="1"/>
          <tpl fld="4" item="3"/>
          <tpl fld="10" item="0"/>
        </tpls>
      </m>
      <n v="3.72" in="2">
        <tpls c="6">
          <tpl fld="11" item="0"/>
          <tpl fld="5" item="0"/>
          <tpl fld="6" item="2"/>
          <tpl hier="236" item="1"/>
          <tpl fld="4" item="4"/>
          <tpl fld="10" item="6"/>
        </tpls>
      </n>
      <n v="661" in="1">
        <tpls c="6">
          <tpl fld="11" item="0"/>
          <tpl fld="2" item="2"/>
          <tpl fld="6" item="1"/>
          <tpl hier="236" item="1"/>
          <tpl fld="4" item="4"/>
          <tpl fld="10" item="7"/>
        </tpls>
      </n>
      <n v="2.6" in="2">
        <tpls c="6">
          <tpl fld="11" item="0"/>
          <tpl fld="2" item="3"/>
          <tpl fld="6" item="2"/>
          <tpl hier="236" item="1"/>
          <tpl fld="4" item="4"/>
          <tpl fld="10" item="4"/>
        </tpls>
      </n>
      <m>
        <tpls c="4">
          <tpl fld="7" item="217"/>
          <tpl fld="6" item="2"/>
          <tpl hier="236" item="1"/>
          <tpl fld="4" item="6"/>
        </tpls>
      </m>
      <m>
        <tpls c="4">
          <tpl fld="7" item="400"/>
          <tpl fld="6" item="2"/>
          <tpl hier="236" item="1"/>
          <tpl fld="4" item="1"/>
        </tpls>
      </m>
      <n v="1244" in="1">
        <tpls c="6">
          <tpl fld="11" item="0"/>
          <tpl fld="2" item="2"/>
          <tpl fld="6" item="1"/>
          <tpl hier="236" item="1"/>
          <tpl fld="4" item="3"/>
          <tpl fld="10" item="8"/>
        </tpls>
      </n>
      <n v="581.16616216216175" in="2">
        <tpls c="5">
          <tpl fld="11" item="0"/>
          <tpl fld="6" item="2"/>
          <tpl hier="236" item="1"/>
          <tpl fld="4" item="1"/>
          <tpl fld="9" item="4"/>
        </tpls>
      </n>
      <n v="38.097135135135133" in="2">
        <tpls c="6">
          <tpl fld="11" item="0"/>
          <tpl fld="2" item="3"/>
          <tpl fld="6" item="2"/>
          <tpl hier="236" item="1"/>
          <tpl fld="4" item="4"/>
          <tpl fld="10" item="0"/>
        </tpls>
      </n>
      <m>
        <tpls c="6">
          <tpl fld="3" item="0"/>
          <tpl fld="11" item="0"/>
          <tpl fld="6" item="2"/>
          <tpl hier="236" item="1"/>
          <tpl fld="4" item="1"/>
          <tpl fld="9" item="2"/>
        </tpls>
      </m>
      <m>
        <tpls c="3">
          <tpl fld="7" item="945"/>
          <tpl fld="6" item="3"/>
          <tpl hier="236" item="1"/>
        </tpls>
      </m>
      <n v="69.767027027027027" in="2">
        <tpls c="6">
          <tpl fld="11" item="0"/>
          <tpl fld="2" item="0"/>
          <tpl fld="6" item="2"/>
          <tpl hier="236" item="1"/>
          <tpl fld="4" item="4"/>
          <tpl fld="10" item="0"/>
        </tpls>
      </n>
      <n v="278" in="1">
        <tpls c="6">
          <tpl fld="11" item="0"/>
          <tpl fld="2" item="0"/>
          <tpl fld="6" item="1"/>
          <tpl hier="236" item="1"/>
          <tpl fld="4" item="4"/>
          <tpl fld="10" item="6"/>
        </tpls>
      </n>
      <n v="2" in="1">
        <tpls c="4">
          <tpl fld="7" item="938"/>
          <tpl fld="6" item="1"/>
          <tpl hier="236" item="1"/>
          <tpl fld="4" item="6"/>
        </tpls>
      </n>
      <m>
        <tpls c="6">
          <tpl fld="11" item="0"/>
          <tpl fld="5" item="0"/>
          <tpl fld="6" item="2"/>
          <tpl hier="236" item="1"/>
          <tpl fld="4" item="3"/>
          <tpl fld="10" item="2"/>
        </tpls>
      </m>
      <n v="487" in="1">
        <tpls c="6">
          <tpl fld="11" item="0"/>
          <tpl fld="2" item="4"/>
          <tpl fld="6" item="1"/>
          <tpl hier="236" item="1"/>
          <tpl fld="4" item="3"/>
          <tpl fld="10" item="8"/>
        </tpls>
      </n>
      <n v="544" in="1">
        <tpls c="6">
          <tpl fld="3" item="2"/>
          <tpl fld="11" item="0"/>
          <tpl fld="6" item="1"/>
          <tpl hier="236" item="1"/>
          <tpl fld="4" item="4"/>
          <tpl fld="10" item="7"/>
        </tpls>
      </n>
      <n v="24.278270270270269" in="2">
        <tpls c="6">
          <tpl fld="11" item="0"/>
          <tpl fld="5" item="5"/>
          <tpl fld="6" item="2"/>
          <tpl hier="236" item="1"/>
          <tpl fld="4" item="1"/>
          <tpl fld="9" item="4"/>
        </tpls>
      </n>
      <n v="311" in="1">
        <tpls c="6">
          <tpl fld="11" item="0"/>
          <tpl fld="6" item="1"/>
          <tpl fld="8" item="0"/>
          <tpl hier="236" item="1"/>
          <tpl fld="4" item="1"/>
          <tpl fld="9" item="2"/>
        </tpls>
      </n>
      <m>
        <tpls c="4">
          <tpl fld="7" item="218"/>
          <tpl fld="6" item="2"/>
          <tpl hier="236" item="1"/>
          <tpl fld="4" item="6"/>
        </tpls>
      </m>
      <m>
        <tpls c="4">
          <tpl fld="7" item="21"/>
          <tpl fld="6" item="2"/>
          <tpl hier="236" item="1"/>
          <tpl fld="4" item="1"/>
        </tpls>
      </m>
      <n v="6" in="1">
        <tpls c="6">
          <tpl fld="3" item="0"/>
          <tpl fld="11" item="0"/>
          <tpl fld="6" item="1"/>
          <tpl hier="236" item="1"/>
          <tpl fld="4" item="6"/>
          <tpl fld="10" item="7"/>
        </tpls>
      </n>
      <n v="6.3738378378378373" in="2">
        <tpls c="6">
          <tpl fld="11" item="0"/>
          <tpl fld="6" item="2"/>
          <tpl fld="8" item="1"/>
          <tpl hier="236" item="1"/>
          <tpl fld="4" item="1"/>
          <tpl fld="9" item="3"/>
        </tpls>
      </n>
      <n v="1.6" in="2">
        <tpls c="6">
          <tpl fld="11" item="0"/>
          <tpl fld="2" item="3"/>
          <tpl fld="6" item="2"/>
          <tpl hier="236" item="1"/>
          <tpl fld="4" item="6"/>
          <tpl fld="10" item="6"/>
        </tpls>
      </n>
      <n v="3" in="1">
        <tpls c="4">
          <tpl fld="7" item="1135"/>
          <tpl fld="6" item="1"/>
          <tpl hier="236" item="1"/>
          <tpl fld="4" item="6"/>
        </tpls>
      </n>
      <n v="1.7600000000000002" in="2">
        <tpls c="6">
          <tpl fld="11" item="0"/>
          <tpl fld="5" item="2"/>
          <tpl fld="6" item="2"/>
          <tpl hier="236" item="1"/>
          <tpl fld="4" item="6"/>
          <tpl fld="10" item="3"/>
        </tpls>
      </n>
      <m>
        <tpls c="6">
          <tpl fld="11" item="0"/>
          <tpl fld="2" item="2"/>
          <tpl fld="6" item="1"/>
          <tpl hier="236" item="1"/>
          <tpl fld="4" item="3"/>
          <tpl fld="10" item="6"/>
        </tpls>
      </m>
      <n v="22" in="1">
        <tpls c="6">
          <tpl fld="11" item="0"/>
          <tpl fld="2" item="0"/>
          <tpl fld="6" item="1"/>
          <tpl hier="236" item="1"/>
          <tpl fld="4" item="3"/>
          <tpl fld="10" item="4"/>
        </tpls>
      </n>
      <m>
        <tpls c="4">
          <tpl fld="7" item="954"/>
          <tpl fld="6" item="1"/>
          <tpl hier="236" item="1"/>
          <tpl fld="4" item="6"/>
        </tpls>
      </m>
      <n v="304.4230270270271" in="2">
        <tpls c="6">
          <tpl fld="11" item="0"/>
          <tpl fld="2" item="1"/>
          <tpl fld="6" item="2"/>
          <tpl hier="236" item="1"/>
          <tpl fld="4" item="1"/>
          <tpl fld="9" item="4"/>
        </tpls>
      </n>
      <n v="104" in="1">
        <tpls c="5">
          <tpl fld="11" item="0"/>
          <tpl fld="2" item="3"/>
          <tpl fld="6" item="1"/>
          <tpl hier="236" item="1"/>
          <tpl fld="4" item="5"/>
        </tpls>
      </n>
      <n v="73.431891891891894" in="2">
        <tpls c="6">
          <tpl fld="3" item="4"/>
          <tpl fld="11" item="0"/>
          <tpl fld="6" item="2"/>
          <tpl hier="236" item="1"/>
          <tpl fld="4" item="4"/>
          <tpl fld="10" item="0"/>
        </tpls>
      </n>
      <n v="6.44" in="2">
        <tpls c="6">
          <tpl fld="3" item="0"/>
          <tpl fld="11" item="0"/>
          <tpl fld="6" item="2"/>
          <tpl hier="236" item="1"/>
          <tpl fld="4" item="3"/>
          <tpl fld="10" item="0"/>
        </tpls>
      </n>
      <n v="46" in="1">
        <tpls c="6">
          <tpl fld="11" item="0"/>
          <tpl fld="6" item="1"/>
          <tpl fld="8" item="0"/>
          <tpl hier="236" item="1"/>
          <tpl fld="4" item="7"/>
          <tpl fld="10" item="0"/>
        </tpls>
      </n>
      <m>
        <tpls c="4">
          <tpl fld="7" item="117"/>
          <tpl fld="6" item="1"/>
          <tpl hier="236" item="1"/>
          <tpl fld="4" item="5"/>
        </tpls>
      </m>
      <n v="468" in="1">
        <tpls c="6">
          <tpl fld="11" item="0"/>
          <tpl fld="2" item="1"/>
          <tpl fld="6" item="1"/>
          <tpl hier="236" item="1"/>
          <tpl fld="4" item="1"/>
          <tpl fld="9" item="2"/>
        </tpls>
      </n>
      <n v="3.7600000000000002" in="2">
        <tpls c="6">
          <tpl fld="3" item="1"/>
          <tpl fld="11" item="0"/>
          <tpl fld="6" item="2"/>
          <tpl hier="236" item="1"/>
          <tpl fld="4" item="6"/>
          <tpl fld="10" item="3"/>
        </tpls>
      </n>
      <m>
        <tpls c="6">
          <tpl fld="11" item="0"/>
          <tpl fld="5" item="1"/>
          <tpl fld="6" item="2"/>
          <tpl hier="236" item="1"/>
          <tpl fld="4" item="7"/>
          <tpl fld="10" item="1"/>
        </tpls>
      </m>
      <m>
        <tpls c="4">
          <tpl fld="7" item="1039"/>
          <tpl fld="6" item="2"/>
          <tpl hier="236" item="1"/>
          <tpl fld="4" item="6"/>
        </tpls>
      </m>
      <n v="12" in="1">
        <tpls c="6">
          <tpl fld="11" item="0"/>
          <tpl fld="2" item="4"/>
          <tpl fld="6" item="1"/>
          <tpl hier="236" item="1"/>
          <tpl fld="4" item="6"/>
          <tpl fld="10" item="6"/>
        </tpls>
      </n>
      <n v="95" in="1">
        <tpls c="5">
          <tpl fld="11" item="0"/>
          <tpl fld="2" item="2"/>
          <tpl fld="6" item="1"/>
          <tpl hier="236" item="1"/>
          <tpl fld="4" item="2"/>
        </tpls>
      </n>
      <n v="66" in="1">
        <tpls c="6">
          <tpl fld="11" item="0"/>
          <tpl fld="2" item="2"/>
          <tpl fld="6" item="1"/>
          <tpl hier="236" item="1"/>
          <tpl fld="4" item="7"/>
          <tpl fld="10" item="3"/>
        </tpls>
      </n>
      <n v="1000" in="1">
        <tpls c="6">
          <tpl fld="11" item="0"/>
          <tpl fld="5" item="5"/>
          <tpl fld="6" item="1"/>
          <tpl hier="236" item="1"/>
          <tpl fld="4" item="7"/>
          <tpl fld="10" item="2"/>
        </tpls>
      </n>
      <m>
        <tpls c="6">
          <tpl fld="3" item="4"/>
          <tpl fld="11" item="0"/>
          <tpl fld="6" item="1"/>
          <tpl hier="236" item="1"/>
          <tpl fld="4" item="7"/>
          <tpl fld="10" item="6"/>
        </tpls>
      </m>
      <m>
        <tpls c="4">
          <tpl fld="7" item="470"/>
          <tpl fld="6" item="2"/>
          <tpl hier="236" item="1"/>
          <tpl fld="4" item="1"/>
        </tpls>
      </m>
      <n v="574" in="1">
        <tpls c="6">
          <tpl fld="3" item="3"/>
          <tpl fld="11" item="0"/>
          <tpl fld="6" item="1"/>
          <tpl hier="236" item="1"/>
          <tpl fld="4" item="7"/>
          <tpl fld="10" item="2"/>
        </tpls>
      </n>
      <n v="0" in="1">
        <tpls c="6">
          <tpl fld="3" item="0"/>
          <tpl fld="11" item="0"/>
          <tpl fld="6" item="1"/>
          <tpl hier="236" item="1"/>
          <tpl fld="4" item="6"/>
          <tpl fld="10" item="3"/>
        </tpls>
      </n>
      <m>
        <tpls c="6">
          <tpl fld="3" item="4"/>
          <tpl fld="11" item="0"/>
          <tpl fld="6" item="2"/>
          <tpl hier="236" item="1"/>
          <tpl fld="4" item="7"/>
          <tpl fld="10" item="4"/>
        </tpls>
      </m>
      <m>
        <tpls c="4">
          <tpl fld="7" item="1"/>
          <tpl fld="6" item="1"/>
          <tpl hier="236" item="1"/>
          <tpl fld="1" item="0"/>
        </tpls>
      </m>
      <n v="17.147027027027026" in="2">
        <tpls c="5">
          <tpl fld="3" item="4"/>
          <tpl fld="11" item="0"/>
          <tpl fld="6" item="2"/>
          <tpl hier="236" item="1"/>
          <tpl fld="4" item="2"/>
        </tpls>
      </n>
      <n v="3.5200000000000005" in="2">
        <tpls c="6">
          <tpl fld="11" item="0"/>
          <tpl fld="2" item="3"/>
          <tpl fld="6" item="2"/>
          <tpl hier="236" item="1"/>
          <tpl fld="4" item="4"/>
          <tpl fld="10" item="5"/>
        </tpls>
      </n>
      <m>
        <tpls c="3">
          <tpl fld="7" item="946"/>
          <tpl fld="6" item="3"/>
          <tpl hier="236" item="1"/>
        </tpls>
      </m>
      <n v="4.76" in="2">
        <tpls c="6">
          <tpl fld="11" item="0"/>
          <tpl fld="5" item="0"/>
          <tpl fld="6" item="2"/>
          <tpl hier="236" item="1"/>
          <tpl fld="4" item="6"/>
          <tpl fld="10" item="0"/>
        </tpls>
      </n>
      <n v="90" in="1">
        <tpls c="6">
          <tpl fld="11" item="0"/>
          <tpl fld="2" item="0"/>
          <tpl fld="6" item="1"/>
          <tpl hier="236" item="1"/>
          <tpl fld="4" item="6"/>
          <tpl fld="10" item="2"/>
        </tpls>
      </n>
      <m>
        <tpls c="4">
          <tpl fld="7" item="1269"/>
          <tpl fld="6" item="2"/>
          <tpl hier="236" item="1"/>
          <tpl fld="4" item="6"/>
        </tpls>
      </m>
      <n v="37.93443243243243" in="2">
        <tpls c="6">
          <tpl fld="11" item="0"/>
          <tpl fld="2" item="1"/>
          <tpl fld="6" item="2"/>
          <tpl hier="236" item="1"/>
          <tpl fld="4" item="4"/>
          <tpl fld="10" item="3"/>
        </tpls>
      </n>
      <n v="0" in="1">
        <tpls c="6">
          <tpl fld="3" item="4"/>
          <tpl fld="11" item="0"/>
          <tpl fld="6" item="1"/>
          <tpl hier="236" item="1"/>
          <tpl fld="4" item="3"/>
          <tpl fld="10" item="5"/>
        </tpls>
      </n>
      <n v="0" in="1">
        <tpls c="6">
          <tpl fld="11" item="0"/>
          <tpl fld="5" item="3"/>
          <tpl fld="6" item="1"/>
          <tpl hier="236" item="1"/>
          <tpl fld="4" item="7"/>
          <tpl fld="10" item="5"/>
        </tpls>
      </n>
      <n v="1" in="2">
        <tpls c="6">
          <tpl fld="3" item="1"/>
          <tpl fld="11" item="0"/>
          <tpl fld="6" item="2"/>
          <tpl hier="236" item="1"/>
          <tpl fld="4" item="3"/>
          <tpl fld="10" item="0"/>
        </tpls>
      </n>
      <m>
        <tpls c="4">
          <tpl fld="7" item="220"/>
          <tpl fld="6" item="1"/>
          <tpl hier="236" item="1"/>
          <tpl fld="4" item="4"/>
        </tpls>
      </m>
      <n v="3.6302702702702705" in="2">
        <tpls c="6">
          <tpl fld="11" item="0"/>
          <tpl fld="5" item="1"/>
          <tpl fld="6" item="2"/>
          <tpl hier="236" item="1"/>
          <tpl fld="4" item="6"/>
          <tpl fld="10" item="6"/>
        </tpls>
      </n>
      <n v="1.7918918918918918" in="2">
        <tpls c="6">
          <tpl fld="3" item="1"/>
          <tpl fld="11" item="0"/>
          <tpl fld="6" item="2"/>
          <tpl hier="236" item="1"/>
          <tpl fld="4" item="3"/>
          <tpl fld="10" item="3"/>
        </tpls>
      </n>
      <m>
        <tpls c="6">
          <tpl fld="11" item="0"/>
          <tpl fld="2" item="3"/>
          <tpl fld="6" item="2"/>
          <tpl hier="236" item="1"/>
          <tpl fld="4" item="7"/>
          <tpl fld="10" item="6"/>
        </tpls>
      </m>
      <n v="6.2" in="2">
        <tpls c="6">
          <tpl fld="11" item="0"/>
          <tpl fld="6" item="2"/>
          <tpl fld="8" item="0"/>
          <tpl hier="236" item="1"/>
          <tpl fld="4" item="1"/>
          <tpl fld="9" item="0"/>
        </tpls>
      </n>
      <m>
        <tpls c="4">
          <tpl fld="7" item="109"/>
          <tpl fld="6" item="2"/>
          <tpl hier="236" item="1"/>
          <tpl fld="4" item="6"/>
        </tpls>
      </m>
      <m>
        <tpls c="4">
          <tpl fld="7" item="236"/>
          <tpl fld="6" item="2"/>
          <tpl hier="236" item="1"/>
          <tpl fld="4" item="1"/>
        </tpls>
      </m>
      <m>
        <tpls c="4">
          <tpl fld="7" item="217"/>
          <tpl fld="6" item="1"/>
          <tpl hier="236" item="1"/>
          <tpl fld="1" item="0"/>
        </tpls>
      </m>
      <n v="3" in="2">
        <tpls c="6">
          <tpl fld="11" item="0"/>
          <tpl fld="2" item="0"/>
          <tpl fld="6" item="2"/>
          <tpl hier="236" item="1"/>
          <tpl fld="4" item="1"/>
          <tpl fld="9" item="0"/>
        </tpls>
      </n>
      <n v="1.3027027027027027" in="2">
        <tpls c="6">
          <tpl fld="11" item="0"/>
          <tpl fld="2" item="2"/>
          <tpl fld="6" item="2"/>
          <tpl hier="236" item="1"/>
          <tpl fld="4" item="6"/>
          <tpl fld="10" item="3"/>
        </tpls>
      </n>
      <n v="22" in="1">
        <tpls c="6">
          <tpl fld="11" item="0"/>
          <tpl fld="6" item="1"/>
          <tpl fld="8" item="1"/>
          <tpl hier="236" item="1"/>
          <tpl fld="4" item="1"/>
          <tpl fld="9" item="0"/>
        </tpls>
      </n>
      <n v="135.5247567567568" in="2">
        <tpls c="5">
          <tpl fld="11" item="0"/>
          <tpl fld="6" item="2"/>
          <tpl hier="236" item="1"/>
          <tpl fld="4" item="1"/>
          <tpl fld="9" item="1"/>
        </tpls>
      </n>
      <m>
        <tpls c="5">
          <tpl fld="11" item="0"/>
          <tpl fld="6" item="1"/>
          <tpl hier="236" item="1"/>
          <tpl fld="4" item="3"/>
          <tpl fld="10" item="6"/>
        </tpls>
      </m>
      <m>
        <tpls c="4">
          <tpl fld="7" item="399"/>
          <tpl fld="6" item="1"/>
          <tpl hier="236" item="1"/>
          <tpl fld="4" item="4"/>
        </tpls>
      </m>
      <m>
        <tpls c="4">
          <tpl fld="7" item="221"/>
          <tpl fld="6" item="1"/>
          <tpl hier="236" item="1"/>
          <tpl fld="1" item="0"/>
        </tpls>
      </m>
      <m>
        <tpls c="4">
          <tpl fld="7" item="404"/>
          <tpl fld="6" item="2"/>
          <tpl hier="236" item="1"/>
          <tpl fld="4" item="4"/>
        </tpls>
      </m>
      <m>
        <tpls c="3">
          <tpl fld="7" item="336"/>
          <tpl fld="6" item="3"/>
          <tpl hier="236" item="1"/>
        </tpls>
      </m>
      <m>
        <tpls c="3">
          <tpl fld="7" item="338"/>
          <tpl fld="6" item="3"/>
          <tpl hier="236" item="1"/>
        </tpls>
      </m>
      <m>
        <tpls c="3">
          <tpl fld="7" item="67"/>
          <tpl fld="6" item="3"/>
          <tpl hier="236" item="1"/>
        </tpls>
      </m>
      <m>
        <tpls c="4">
          <tpl fld="7" item="296"/>
          <tpl fld="6" item="1"/>
          <tpl hier="236" item="1"/>
          <tpl fld="4" item="6"/>
        </tpls>
      </m>
      <m>
        <tpls c="4">
          <tpl fld="7" item="200"/>
          <tpl fld="6" item="1"/>
          <tpl hier="236" item="1"/>
          <tpl fld="4" item="6"/>
        </tpls>
      </m>
      <n v="54.803459459459468" in="2">
        <tpls c="6">
          <tpl fld="11" item="0"/>
          <tpl fld="6" item="2"/>
          <tpl fld="8" item="1"/>
          <tpl hier="236" item="1"/>
          <tpl fld="4" item="4"/>
          <tpl fld="10" item="7"/>
        </tpls>
      </n>
      <m>
        <tpls c="4">
          <tpl fld="7" item="1082"/>
          <tpl fld="6" item="2"/>
          <tpl hier="236" item="1"/>
          <tpl fld="4" item="1"/>
        </tpls>
      </m>
      <m>
        <tpls c="3">
          <tpl fld="7" item="148"/>
          <tpl fld="6" item="3"/>
          <tpl hier="236" item="1"/>
        </tpls>
      </m>
      <n v="49.616162162162169" in="2">
        <tpls c="6">
          <tpl fld="11" item="0"/>
          <tpl fld="5" item="1"/>
          <tpl fld="6" item="2"/>
          <tpl hier="236" item="1"/>
          <tpl fld="4" item="4"/>
          <tpl fld="10" item="7"/>
        </tpls>
      </n>
      <n v="1.52" in="2">
        <tpls c="6">
          <tpl fld="11" item="0"/>
          <tpl fld="5" item="0"/>
          <tpl fld="6" item="2"/>
          <tpl hier="236" item="1"/>
          <tpl fld="4" item="4"/>
          <tpl fld="10" item="5"/>
        </tpls>
      </n>
      <m>
        <tpls c="6">
          <tpl fld="3" item="4"/>
          <tpl fld="11" item="0"/>
          <tpl fld="6" item="2"/>
          <tpl hier="236" item="1"/>
          <tpl fld="4" item="7"/>
          <tpl fld="10" item="7"/>
        </tpls>
      </m>
      <m>
        <tpls c="6">
          <tpl fld="3" item="3"/>
          <tpl fld="11" item="0"/>
          <tpl fld="6" item="2"/>
          <tpl hier="236" item="1"/>
          <tpl fld="4" item="7"/>
          <tpl fld="10" item="4"/>
        </tpls>
      </m>
      <n v="312" in="1">
        <tpls c="6">
          <tpl fld="11" item="0"/>
          <tpl fld="6" item="1"/>
          <tpl fld="8" item="1"/>
          <tpl hier="236" item="1"/>
          <tpl fld="4" item="6"/>
          <tpl fld="10" item="3"/>
        </tpls>
      </n>
      <m>
        <tpls c="4">
          <tpl fld="7" item="10"/>
          <tpl fld="6" item="2"/>
          <tpl hier="236" item="1"/>
          <tpl fld="4" item="1"/>
        </tpls>
      </m>
      <m>
        <tpls c="4">
          <tpl fld="7" item="109"/>
          <tpl fld="6" item="2"/>
          <tpl hier="236" item="1"/>
          <tpl fld="4" item="1"/>
        </tpls>
      </m>
      <m>
        <tpls c="4">
          <tpl fld="7" item="141"/>
          <tpl fld="6" item="2"/>
          <tpl hier="236" item="1"/>
          <tpl fld="4" item="1"/>
        </tpls>
      </m>
      <m>
        <tpls c="4">
          <tpl fld="7" item="477"/>
          <tpl fld="6" item="1"/>
          <tpl hier="236" item="1"/>
          <tpl fld="1" item="0"/>
        </tpls>
      </m>
      <m>
        <tpls c="4">
          <tpl fld="7" item="479"/>
          <tpl fld="6" item="1"/>
          <tpl hier="236" item="1"/>
          <tpl fld="1" item="0"/>
        </tpls>
      </m>
      <m>
        <tpls c="4">
          <tpl fld="7" item="341"/>
          <tpl fld="6" item="2"/>
          <tpl hier="236" item="1"/>
          <tpl fld="4" item="4"/>
        </tpls>
      </m>
      <m>
        <tpls c="4">
          <tpl fld="7" item="415"/>
          <tpl fld="6" item="1"/>
          <tpl hier="236" item="1"/>
          <tpl fld="4" item="4"/>
        </tpls>
      </m>
      <m>
        <tpls c="4">
          <tpl fld="7" item="91"/>
          <tpl fld="6" item="1"/>
          <tpl hier="236" item="1"/>
          <tpl fld="4" item="4"/>
        </tpls>
      </m>
      <n v="0" in="1">
        <tpls c="6">
          <tpl fld="3" item="4"/>
          <tpl fld="11" item="0"/>
          <tpl fld="6" item="1"/>
          <tpl hier="236" item="1"/>
          <tpl fld="4" item="7"/>
          <tpl fld="10" item="3"/>
        </tpls>
      </n>
      <m>
        <tpls c="4">
          <tpl fld="7" item="241"/>
          <tpl fld="6" item="1"/>
          <tpl hier="236" item="1"/>
          <tpl fld="4" item="4"/>
        </tpls>
      </m>
      <m>
        <tpls c="4">
          <tpl fld="7" item="255"/>
          <tpl fld="6" item="2"/>
          <tpl hier="236" item="1"/>
          <tpl fld="4" item="4"/>
        </tpls>
      </m>
      <n v="1360" in="1">
        <tpls c="6">
          <tpl fld="11" item="0"/>
          <tpl fld="5" item="5"/>
          <tpl fld="6" item="1"/>
          <tpl hier="236" item="1"/>
          <tpl fld="4" item="7"/>
          <tpl fld="10" item="8"/>
        </tpls>
      </n>
      <n v="47.528648648648648" in="2">
        <tpls c="6">
          <tpl fld="11" item="0"/>
          <tpl fld="2" item="1"/>
          <tpl fld="6" item="2"/>
          <tpl hier="236" item="1"/>
          <tpl fld="4" item="4"/>
          <tpl fld="10" item="8"/>
        </tpls>
      </n>
      <n v="6.4" in="2">
        <tpls c="6">
          <tpl fld="3" item="1"/>
          <tpl fld="11" item="0"/>
          <tpl fld="6" item="2"/>
          <tpl hier="236" item="1"/>
          <tpl fld="4" item="6"/>
          <tpl fld="10" item="7"/>
        </tpls>
      </n>
      <n v="6.3848648648648636" in="2">
        <tpls c="6">
          <tpl fld="3" item="1"/>
          <tpl fld="11" item="0"/>
          <tpl fld="6" item="2"/>
          <tpl hier="236" item="1"/>
          <tpl fld="4" item="3"/>
          <tpl fld="10" item="2"/>
        </tpls>
      </n>
      <n v="11" in="2">
        <tpls c="6">
          <tpl fld="11" item="0"/>
          <tpl fld="6" item="2"/>
          <tpl fld="8" item="1"/>
          <tpl hier="236" item="1"/>
          <tpl fld="4" item="3"/>
          <tpl fld="10" item="0"/>
        </tpls>
      </n>
      <m>
        <tpls c="4">
          <tpl fld="7" item="13"/>
          <tpl fld="6" item="1"/>
          <tpl hier="236" item="1"/>
          <tpl fld="4" item="4"/>
        </tpls>
      </m>
      <m>
        <tpls c="4">
          <tpl fld="7" item="668"/>
          <tpl fld="6" item="2"/>
          <tpl hier="236" item="1"/>
          <tpl fld="4" item="6"/>
        </tpls>
      </m>
      <m>
        <tpls c="4">
          <tpl fld="7" item="142"/>
          <tpl fld="6" item="2"/>
          <tpl hier="236" item="1"/>
          <tpl fld="4" item="1"/>
        </tpls>
      </m>
      <m>
        <tpls c="3">
          <tpl fld="7" item="153"/>
          <tpl fld="6" item="3"/>
          <tpl hier="236" item="1"/>
        </tpls>
      </m>
      <m>
        <tpls c="3">
          <tpl fld="7" item="161"/>
          <tpl fld="6" item="3"/>
          <tpl hier="236" item="1"/>
        </tpls>
      </m>
      <m>
        <tpls c="4">
          <tpl fld="7" item="412"/>
          <tpl fld="6" item="2"/>
          <tpl hier="236" item="1"/>
          <tpl fld="4" item="4"/>
        </tpls>
      </m>
      <m>
        <tpls c="4">
          <tpl fld="7" item="593"/>
          <tpl fld="6" item="1"/>
          <tpl hier="236" item="1"/>
          <tpl fld="4" item="4"/>
        </tpls>
      </m>
      <m>
        <tpls c="4">
          <tpl fld="7" item="92"/>
          <tpl fld="6" item="1"/>
          <tpl hier="236" item="1"/>
          <tpl fld="4" item="4"/>
        </tpls>
      </m>
      <n v="493" in="1">
        <tpls c="5">
          <tpl fld="11" item="0"/>
          <tpl fld="6" item="1"/>
          <tpl hier="236" item="1"/>
          <tpl fld="4" item="1"/>
          <tpl fld="9" item="3"/>
        </tpls>
      </n>
      <m>
        <tpls c="4">
          <tpl fld="7" item="27"/>
          <tpl fld="6" item="1"/>
          <tpl hier="236" item="1"/>
          <tpl fld="4" item="6"/>
        </tpls>
      </m>
      <m>
        <tpls c="4">
          <tpl fld="7" item="256"/>
          <tpl fld="6" item="2"/>
          <tpl hier="236" item="1"/>
          <tpl fld="4" item="4"/>
        </tpls>
      </m>
      <m>
        <tpls c="4">
          <tpl fld="7" item="265"/>
          <tpl fld="6" item="1"/>
          <tpl hier="236" item="1"/>
          <tpl fld="4" item="6"/>
        </tpls>
      </m>
      <m>
        <tpls c="4">
          <tpl fld="7" item="273"/>
          <tpl fld="6" item="1"/>
          <tpl hier="236" item="1"/>
          <tpl fld="4" item="6"/>
        </tpls>
      </m>
      <m>
        <tpls c="3">
          <tpl fld="7" item="180"/>
          <tpl fld="6" item="3"/>
          <tpl hier="236" item="1"/>
        </tpls>
      </m>
      <m>
        <tpls c="3">
          <tpl fld="7" item="301"/>
          <tpl fld="6" item="3"/>
          <tpl hier="236" item="1"/>
        </tpls>
      </m>
      <n v="7.3567567567567567" in="2">
        <tpls c="6">
          <tpl fld="11" item="0"/>
          <tpl fld="2" item="3"/>
          <tpl fld="6" item="2"/>
          <tpl hier="236" item="1"/>
          <tpl fld="4" item="1"/>
          <tpl fld="9" item="2"/>
        </tpls>
      </n>
      <m>
        <tpls c="4">
          <tpl fld="7" item="334"/>
          <tpl fld="6" item="2"/>
          <tpl hier="236" item="1"/>
          <tpl fld="4" item="4"/>
        </tpls>
      </m>
      <m>
        <tpls c="4">
          <tpl fld="7" item="299"/>
          <tpl fld="6" item="1"/>
          <tpl hier="236" item="1"/>
          <tpl fld="4" item="6"/>
        </tpls>
      </m>
      <m>
        <tpls c="4">
          <tpl fld="7" item="259"/>
          <tpl fld="6" item="2"/>
          <tpl hier="236" item="1"/>
          <tpl fld="4" item="6"/>
        </tpls>
      </m>
      <m>
        <tpls c="4">
          <tpl fld="7" item="163"/>
          <tpl fld="6" item="2"/>
          <tpl hier="236" item="1"/>
          <tpl fld="4" item="6"/>
        </tpls>
      </m>
      <m>
        <tpls c="3">
          <tpl fld="7" item="182"/>
          <tpl fld="6" item="3"/>
          <tpl hier="236" item="1"/>
        </tpls>
      </m>
      <m>
        <tpls c="3">
          <tpl fld="7" item="306"/>
          <tpl fld="6" item="3"/>
          <tpl hier="236" item="1"/>
        </tpls>
      </m>
      <n v="11" in="1">
        <tpls c="6">
          <tpl fld="3" item="0"/>
          <tpl fld="11" item="0"/>
          <tpl fld="6" item="1"/>
          <tpl hier="236" item="1"/>
          <tpl fld="4" item="7"/>
          <tpl fld="10" item="4"/>
        </tpls>
      </n>
      <m>
        <tpls c="4">
          <tpl fld="7" item="20"/>
          <tpl fld="6" item="1"/>
          <tpl hier="236" item="1"/>
          <tpl fld="4" item="4"/>
        </tpls>
      </m>
      <m>
        <tpls c="4">
          <tpl fld="7" item="38"/>
          <tpl fld="6" item="1"/>
          <tpl hier="236" item="1"/>
          <tpl fld="4" item="4"/>
        </tpls>
      </m>
      <m>
        <tpls c="4">
          <tpl fld="7" item="591"/>
          <tpl fld="6" item="2"/>
          <tpl hier="236" item="1"/>
          <tpl fld="4" item="4"/>
        </tpls>
      </m>
      <m>
        <tpls c="4">
          <tpl fld="7" item="753"/>
          <tpl fld="6" item="2"/>
          <tpl hier="236" item="1"/>
          <tpl fld="4" item="4"/>
        </tpls>
      </m>
      <m>
        <tpls c="4">
          <tpl fld="7" item="178"/>
          <tpl fld="6" item="1"/>
          <tpl hier="236" item="1"/>
          <tpl fld="4" item="6"/>
        </tpls>
      </m>
      <m>
        <tpls c="4">
          <tpl fld="7" item="83"/>
          <tpl fld="6" item="2"/>
          <tpl hier="236" item="1"/>
          <tpl fld="4" item="4"/>
        </tpls>
      </m>
      <m>
        <tpls c="4">
          <tpl fld="7" item="594"/>
          <tpl fld="6" item="2"/>
          <tpl hier="236" item="1"/>
          <tpl fld="4" item="4"/>
        </tpls>
      </m>
      <m>
        <tpls c="4">
          <tpl fld="7" item="124"/>
          <tpl fld="6" item="1"/>
          <tpl hier="236" item="1"/>
          <tpl fld="4" item="4"/>
        </tpls>
      </m>
      <m>
        <tpls c="4">
          <tpl fld="7" item="342"/>
          <tpl fld="6" item="1"/>
          <tpl hier="236" item="1"/>
          <tpl fld="4" item="6"/>
        </tpls>
      </m>
      <n v="12" in="1">
        <tpls c="4">
          <tpl fld="7" item="351"/>
          <tpl fld="6" item="1"/>
          <tpl hier="236" item="1"/>
          <tpl fld="4" item="4"/>
        </tpls>
      </n>
      <n v="1" in="3">
        <tpls c="3">
          <tpl fld="7" item="362"/>
          <tpl fld="6" item="3"/>
          <tpl hier="236" item="1"/>
        </tpls>
      </n>
      <m>
        <tpls c="4">
          <tpl fld="7" item="516"/>
          <tpl fld="6" item="1"/>
          <tpl hier="236" item="1"/>
          <tpl fld="4" item="6"/>
        </tpls>
      </m>
      <m>
        <tpls c="3">
          <tpl fld="7" item="387"/>
          <tpl fld="6" item="3"/>
          <tpl hier="236" item="1"/>
        </tpls>
      </m>
      <n v="1" in="1">
        <tpls c="4">
          <tpl fld="7" item="534"/>
          <tpl fld="6" item="1"/>
          <tpl hier="236" item="1"/>
          <tpl fld="4" item="5"/>
        </tpls>
      </n>
      <n v="16" in="1">
        <tpls c="4">
          <tpl fld="7" item="688"/>
          <tpl fld="6" item="1"/>
          <tpl hier="236" item="1"/>
          <tpl fld="4" item="1"/>
        </tpls>
      </n>
      <m>
        <tpls c="4">
          <tpl fld="7" item="129"/>
          <tpl fld="6" item="1"/>
          <tpl hier="236" item="1"/>
          <tpl fld="4" item="4"/>
        </tpls>
      </m>
      <m>
        <tpls c="4">
          <tpl fld="7" item="413"/>
          <tpl fld="6" item="1"/>
          <tpl hier="236" item="1"/>
          <tpl fld="4" item="6"/>
        </tpls>
      </m>
      <n v="0.8" in="2">
        <tpls c="4">
          <tpl fld="7" item="322"/>
          <tpl fld="6" item="2"/>
          <tpl hier="236" item="1"/>
          <tpl fld="4" item="1"/>
        </tpls>
      </n>
      <n v="1" in="3">
        <tpls c="3">
          <tpl fld="7" item="433"/>
          <tpl fld="6" item="3"/>
          <tpl hier="236" item="1"/>
        </tpls>
      </n>
      <n v="14" in="1">
        <tpls c="4">
          <tpl fld="7" item="375"/>
          <tpl fld="6" item="1"/>
          <tpl hier="236" item="1"/>
          <tpl fld="4" item="6"/>
        </tpls>
      </n>
      <m>
        <tpls c="4">
          <tpl fld="7" item="387"/>
          <tpl fld="6" item="2"/>
          <tpl hier="236" item="1"/>
          <tpl fld="4" item="6"/>
        </tpls>
      </m>
      <m>
        <tpls c="4">
          <tpl fld="7" item="534"/>
          <tpl fld="6" item="2"/>
          <tpl hier="236" item="1"/>
          <tpl fld="1" item="0"/>
        </tpls>
      </m>
      <n v="545" in="1">
        <tpls c="6">
          <tpl fld="11" item="0"/>
          <tpl fld="6" item="1"/>
          <tpl fld="8" item="0"/>
          <tpl hier="236" item="1"/>
          <tpl fld="4" item="4"/>
          <tpl fld="10" item="8"/>
        </tpls>
      </n>
      <m>
        <tpls c="4">
          <tpl fld="7" item="143"/>
          <tpl fld="6" item="2"/>
          <tpl hier="236" item="1"/>
          <tpl fld="4" item="1"/>
        </tpls>
      </m>
      <m>
        <tpls c="4">
          <tpl fld="7" item="486"/>
          <tpl fld="6" item="1"/>
          <tpl hier="236" item="1"/>
          <tpl fld="4" item="4"/>
        </tpls>
      </m>
      <n v="1.7548881659668832E-2" in="0">
        <tpls c="5">
          <tpl fld="3" item="4"/>
          <tpl fld="11" item="0"/>
          <tpl fld="6" item="0"/>
          <tpl hier="236" item="1"/>
          <tpl fld="4" item="4"/>
        </tpls>
      </n>
      <m>
        <tpls c="3">
          <tpl fld="7" item="970"/>
          <tpl fld="6" item="3"/>
          <tpl hier="236" item="1"/>
        </tpls>
      </m>
      <n v="87.320270270270285" in="2">
        <tpls c="6">
          <tpl fld="11" item="0"/>
          <tpl fld="5" item="1"/>
          <tpl fld="6" item="2"/>
          <tpl hier="236" item="1"/>
          <tpl fld="4" item="1"/>
          <tpl fld="9" item="1"/>
        </tpls>
      </n>
      <m>
        <tpls c="4">
          <tpl fld="7" item="1049"/>
          <tpl fld="6" item="1"/>
          <tpl hier="236" item="1"/>
          <tpl fld="4" item="6"/>
        </tpls>
      </m>
      <n v="0" in="1">
        <tpls c="6">
          <tpl fld="3" item="0"/>
          <tpl fld="11" item="0"/>
          <tpl fld="6" item="1"/>
          <tpl hier="236" item="1"/>
          <tpl fld="4" item="6"/>
          <tpl fld="10" item="4"/>
        </tpls>
      </n>
      <m>
        <tpls c="6">
          <tpl fld="11" item="0"/>
          <tpl fld="2" item="0"/>
          <tpl fld="6" item="2"/>
          <tpl hier="236" item="1"/>
          <tpl fld="4" item="7"/>
          <tpl fld="10" item="3"/>
        </tpls>
      </m>
      <n v="48" in="1">
        <tpls c="6">
          <tpl fld="3" item="3"/>
          <tpl fld="11" item="0"/>
          <tpl fld="6" item="1"/>
          <tpl hier="236" item="1"/>
          <tpl fld="4" item="4"/>
          <tpl fld="10" item="4"/>
        </tpls>
      </n>
      <m>
        <tpls c="4">
          <tpl fld="7" item="472"/>
          <tpl fld="6" item="2"/>
          <tpl hier="236" item="1"/>
          <tpl fld="4" item="1"/>
        </tpls>
      </m>
      <n v="4.5059459459459452" in="2">
        <tpls c="6">
          <tpl fld="3" item="1"/>
          <tpl fld="11" item="0"/>
          <tpl fld="6" item="2"/>
          <tpl hier="236" item="1"/>
          <tpl fld="4" item="6"/>
          <tpl fld="10" item="5"/>
        </tpls>
      </n>
      <n v="397" in="1">
        <tpls c="6">
          <tpl fld="3" item="4"/>
          <tpl fld="11" item="0"/>
          <tpl fld="6" item="1"/>
          <tpl hier="236" item="1"/>
          <tpl fld="4" item="1"/>
          <tpl fld="9" item="1"/>
        </tpls>
      </n>
      <m>
        <tpls c="4">
          <tpl fld="7" item="1285"/>
          <tpl fld="6" item="2"/>
          <tpl hier="236" item="1"/>
          <tpl fld="4" item="6"/>
        </tpls>
      </m>
      <m>
        <tpls c="4">
          <tpl fld="7" item="668"/>
          <tpl fld="6" item="2"/>
          <tpl hier="236" item="1"/>
          <tpl fld="4" item="1"/>
        </tpls>
      </m>
      <n v="370" in="1">
        <tpls c="6">
          <tpl fld="3" item="1"/>
          <tpl fld="11" item="0"/>
          <tpl fld="6" item="1"/>
          <tpl hier="236" item="1"/>
          <tpl fld="4" item="6"/>
          <tpl fld="10" item="0"/>
        </tpls>
      </n>
      <n v="12.029621621621622" in="2">
        <tpls c="6">
          <tpl fld="11" item="0"/>
          <tpl fld="2" item="3"/>
          <tpl fld="6" item="2"/>
          <tpl hier="236" item="1"/>
          <tpl fld="4" item="3"/>
          <tpl fld="10" item="2"/>
        </tpls>
      </n>
      <n v="1.7967567567567566" in="2">
        <tpls c="6">
          <tpl fld="11" item="0"/>
          <tpl fld="5" item="4"/>
          <tpl fld="6" item="2"/>
          <tpl hier="236" item="1"/>
          <tpl fld="4" item="1"/>
          <tpl fld="9" item="2"/>
        </tpls>
      </n>
      <n v="508" in="1">
        <tpls c="5">
          <tpl fld="11" item="0"/>
          <tpl fld="5" item="5"/>
          <tpl fld="6" item="1"/>
          <tpl hier="236" item="1"/>
          <tpl fld="4" item="2"/>
        </tpls>
      </n>
      <n v="1" in="2">
        <tpls c="6">
          <tpl fld="11" item="0"/>
          <tpl fld="2" item="4"/>
          <tpl fld="6" item="2"/>
          <tpl hier="236" item="1"/>
          <tpl fld="4" item="3"/>
          <tpl fld="10" item="5"/>
        </tpls>
      </n>
      <m>
        <tpls c="3">
          <tpl fld="7" item="1147"/>
          <tpl fld="6" item="3"/>
          <tpl hier="236" item="1"/>
        </tpls>
      </m>
      <n v="15.954594594594594" in="2">
        <tpls c="6">
          <tpl fld="11" item="0"/>
          <tpl fld="2" item="1"/>
          <tpl fld="6" item="2"/>
          <tpl hier="236" item="1"/>
          <tpl fld="4" item="4"/>
          <tpl fld="10" item="2"/>
        </tpls>
      </n>
      <n v="1030" in="1">
        <tpls c="6">
          <tpl fld="3" item="1"/>
          <tpl fld="11" item="0"/>
          <tpl fld="6" item="1"/>
          <tpl hier="236" item="1"/>
          <tpl fld="4" item="3"/>
          <tpl fld="10" item="2"/>
        </tpls>
      </n>
      <n v="160" in="1">
        <tpls c="6">
          <tpl fld="11" item="0"/>
          <tpl fld="5" item="5"/>
          <tpl fld="6" item="1"/>
          <tpl hier="236" item="1"/>
          <tpl fld="4" item="1"/>
          <tpl fld="9" item="2"/>
        </tpls>
      </n>
      <n v="9.9529729729729741" in="2">
        <tpls c="5">
          <tpl fld="3" item="1"/>
          <tpl fld="11" item="0"/>
          <tpl fld="6" item="2"/>
          <tpl hier="236" item="1"/>
          <tpl fld="4" item="5"/>
        </tpls>
      </n>
      <m>
        <tpls c="4">
          <tpl fld="7" item="467"/>
          <tpl fld="6" item="2"/>
          <tpl hier="236" item="1"/>
          <tpl fld="4" item="1"/>
        </tpls>
      </m>
      <m>
        <tpls c="6">
          <tpl fld="11" item="0"/>
          <tpl fld="5" item="1"/>
          <tpl fld="6" item="2"/>
          <tpl hier="236" item="1"/>
          <tpl fld="4" item="7"/>
          <tpl fld="10" item="2"/>
        </tpls>
      </m>
      <n v="12841" in="1">
        <tpls c="5">
          <tpl fld="11" item="0"/>
          <tpl fld="6" item="1"/>
          <tpl fld="8" item="0"/>
          <tpl hier="236" item="1"/>
          <tpl fld="1" item="0"/>
        </tpls>
      </n>
      <n v="99" in="1">
        <tpls c="5">
          <tpl fld="11" item="0"/>
          <tpl fld="2" item="0"/>
          <tpl fld="6" item="1"/>
          <tpl hier="236" item="1"/>
          <tpl fld="4" item="5"/>
        </tpls>
      </n>
      <n v="53" in="1">
        <tpls c="6">
          <tpl fld="11" item="0"/>
          <tpl fld="6" item="1"/>
          <tpl fld="8" item="0"/>
          <tpl hier="236" item="1"/>
          <tpl fld="4" item="1"/>
          <tpl fld="9" item="3"/>
        </tpls>
      </n>
      <m>
        <tpls c="4">
          <tpl fld="7" item="110"/>
          <tpl fld="6" item="1"/>
          <tpl hier="236" item="1"/>
          <tpl fld="4" item="4"/>
        </tpls>
      </m>
      <m>
        <tpls c="4">
          <tpl fld="7" item="238"/>
          <tpl fld="6" item="2"/>
          <tpl hier="236" item="1"/>
          <tpl fld="4" item="1"/>
        </tpls>
      </m>
      <m>
        <tpls c="4">
          <tpl fld="7" item="396"/>
          <tpl fld="6" item="1"/>
          <tpl hier="236" item="1"/>
          <tpl fld="4" item="4"/>
        </tpls>
      </m>
      <m>
        <tpls c="6">
          <tpl fld="11" item="0"/>
          <tpl fld="2" item="0"/>
          <tpl fld="6" item="2"/>
          <tpl hier="236" item="1"/>
          <tpl fld="4" item="7"/>
          <tpl fld="10" item="6"/>
        </tpls>
      </m>
      <m>
        <tpls c="6">
          <tpl fld="11" item="0"/>
          <tpl fld="2" item="1"/>
          <tpl fld="6" item="2"/>
          <tpl hier="236" item="1"/>
          <tpl fld="4" item="3"/>
          <tpl fld="10" item="1"/>
        </tpls>
      </m>
      <n v="2571" in="1">
        <tpls c="5">
          <tpl fld="11" item="0"/>
          <tpl fld="6" item="1"/>
          <tpl hier="236" item="1"/>
          <tpl fld="4" item="4"/>
          <tpl fld="10" item="2"/>
        </tpls>
      </n>
      <n v="1824" in="1">
        <tpls c="5">
          <tpl fld="11" item="0"/>
          <tpl fld="6" item="1"/>
          <tpl hier="236" item="1"/>
          <tpl fld="4" item="6"/>
          <tpl fld="10" item="0"/>
        </tpls>
      </n>
      <n v="4136" in="1">
        <tpls c="6">
          <tpl fld="11" item="0"/>
          <tpl fld="6" item="1"/>
          <tpl fld="8" item="1"/>
          <tpl hier="236" item="1"/>
          <tpl fld="4" item="3"/>
          <tpl fld="10" item="8"/>
        </tpls>
      </n>
      <m>
        <tpls c="4">
          <tpl fld="7" item="233"/>
          <tpl fld="6" item="2"/>
          <tpl hier="236" item="1"/>
          <tpl fld="4" item="1"/>
        </tpls>
      </m>
      <m>
        <tpls c="4">
          <tpl fld="7" item="223"/>
          <tpl fld="6" item="1"/>
          <tpl hier="236" item="1"/>
          <tpl fld="1" item="0"/>
        </tpls>
      </m>
      <m>
        <tpls c="4">
          <tpl fld="7" item="670"/>
          <tpl fld="6" item="1"/>
          <tpl hier="236" item="1"/>
          <tpl fld="4" item="4"/>
        </tpls>
      </m>
      <m>
        <tpls c="3">
          <tpl fld="7" item="46"/>
          <tpl fld="6" item="3"/>
          <tpl hier="236" item="1"/>
        </tpls>
      </m>
      <m>
        <tpls c="3">
          <tpl fld="7" item="54"/>
          <tpl fld="6" item="3"/>
          <tpl hier="236" item="1"/>
        </tpls>
      </m>
      <m>
        <tpls c="4">
          <tpl fld="7" item="284"/>
          <tpl fld="6" item="1"/>
          <tpl hier="236" item="1"/>
          <tpl fld="4" item="6"/>
        </tpls>
      </m>
      <m>
        <tpls c="4">
          <tpl fld="7" item="486"/>
          <tpl fld="6" item="2"/>
          <tpl hier="236" item="1"/>
          <tpl fld="4" item="4"/>
        </tpls>
      </m>
      <m>
        <tpls c="4">
          <tpl fld="7" item="93"/>
          <tpl fld="6" item="2"/>
          <tpl hier="236" item="1"/>
          <tpl fld="4" item="4"/>
        </tpls>
      </m>
      <n v="2425" in="1">
        <tpls c="5">
          <tpl fld="11" item="0"/>
          <tpl fld="6" item="1"/>
          <tpl hier="236" item="1"/>
          <tpl fld="4" item="6"/>
          <tpl fld="10" item="2"/>
        </tpls>
      </n>
      <m>
        <tpls c="3">
          <tpl fld="7" item="136"/>
          <tpl fld="6" item="3"/>
          <tpl hier="236" item="1"/>
        </tpls>
      </m>
      <m>
        <tpls c="4">
          <tpl fld="7" item="41"/>
          <tpl fld="6" item="1"/>
          <tpl hier="236" item="1"/>
          <tpl fld="4" item="6"/>
        </tpls>
      </m>
      <m>
        <tpls c="6">
          <tpl fld="11" item="0"/>
          <tpl fld="5" item="2"/>
          <tpl fld="6" item="1"/>
          <tpl hier="236" item="1"/>
          <tpl fld="4" item="3"/>
          <tpl fld="10" item="1"/>
        </tpls>
      </m>
      <m>
        <tpls c="6">
          <tpl fld="11" item="0"/>
          <tpl fld="2" item="2"/>
          <tpl fld="6" item="2"/>
          <tpl hier="236" item="1"/>
          <tpl fld="4" item="4"/>
          <tpl fld="10" item="1"/>
        </tpls>
      </m>
      <n v="3.3600000000000003" in="2">
        <tpls c="6">
          <tpl fld="3" item="1"/>
          <tpl fld="11" item="0"/>
          <tpl fld="6" item="2"/>
          <tpl hier="236" item="1"/>
          <tpl fld="4" item="3"/>
          <tpl fld="10" item="7"/>
        </tpls>
      </n>
      <m>
        <tpls c="6">
          <tpl fld="3" item="1"/>
          <tpl fld="11" item="0"/>
          <tpl fld="6" item="2"/>
          <tpl hier="236" item="1"/>
          <tpl fld="4" item="6"/>
          <tpl fld="10" item="1"/>
        </tpls>
      </m>
      <n v="6.2383783783783775" in="2">
        <tpls c="6">
          <tpl fld="11" item="0"/>
          <tpl fld="6" item="2"/>
          <tpl fld="8" item="0"/>
          <tpl hier="236" item="1"/>
          <tpl fld="4" item="6"/>
          <tpl fld="10" item="4"/>
        </tpls>
      </n>
      <m>
        <tpls c="4">
          <tpl fld="7" item="469"/>
          <tpl fld="6" item="1"/>
          <tpl hier="236" item="1"/>
          <tpl fld="4" item="4"/>
        </tpls>
      </m>
      <m>
        <tpls c="4">
          <tpl fld="7" item="111"/>
          <tpl fld="6" item="2"/>
          <tpl hier="236" item="1"/>
          <tpl fld="4" item="1"/>
        </tpls>
      </m>
      <m>
        <tpls c="3">
          <tpl fld="7" item="34"/>
          <tpl fld="6" item="3"/>
          <tpl hier="236" item="1"/>
        </tpls>
      </m>
      <m>
        <tpls c="4">
          <tpl fld="7" item="45"/>
          <tpl fld="6" item="1"/>
          <tpl hier="236" item="1"/>
          <tpl fld="1" item="0"/>
        </tpls>
      </m>
      <m>
        <tpls c="4">
          <tpl fld="7" item="53"/>
          <tpl fld="6" item="1"/>
          <tpl hier="236" item="1"/>
          <tpl fld="1" item="0"/>
        </tpls>
      </m>
      <m>
        <tpls c="4">
          <tpl fld="7" item="412"/>
          <tpl fld="6" item="1"/>
          <tpl hier="236" item="1"/>
          <tpl fld="4" item="4"/>
        </tpls>
      </m>
      <m>
        <tpls c="4">
          <tpl fld="7" item="187"/>
          <tpl fld="6" item="2"/>
          <tpl hier="236" item="1"/>
          <tpl fld="4" item="1"/>
        </tpls>
      </m>
      <m>
        <tpls c="4">
          <tpl fld="7" item="308"/>
          <tpl fld="6" item="2"/>
          <tpl hier="236" item="1"/>
          <tpl fld="4" item="1"/>
        </tpls>
      </m>
      <n v="11.920000000000002" in="2">
        <tpls c="5">
          <tpl fld="11" item="0"/>
          <tpl fld="6" item="2"/>
          <tpl hier="236" item="1"/>
          <tpl fld="4" item="1"/>
          <tpl fld="9" item="0"/>
        </tpls>
      </n>
      <m>
        <tpls c="4">
          <tpl fld="7" item="243"/>
          <tpl fld="6" item="2"/>
          <tpl hier="236" item="1"/>
          <tpl fld="4" item="1"/>
        </tpls>
      </m>
      <m>
        <tpls c="4">
          <tpl fld="7" item="256"/>
          <tpl fld="6" item="1"/>
          <tpl hier="236" item="1"/>
          <tpl fld="4" item="4"/>
        </tpls>
      </m>
      <m>
        <tpls c="6">
          <tpl fld="11" item="0"/>
          <tpl fld="2" item="0"/>
          <tpl fld="6" item="2"/>
          <tpl hier="236" item="1"/>
          <tpl fld="4" item="6"/>
          <tpl fld="10" item="3"/>
        </tpls>
      </m>
      <n v="30.717297297297296" in="2">
        <tpls c="6">
          <tpl fld="11" item="0"/>
          <tpl fld="2" item="1"/>
          <tpl fld="6" item="2"/>
          <tpl hier="236" item="1"/>
          <tpl fld="4" item="6"/>
          <tpl fld="10" item="2"/>
        </tpls>
      </n>
      <n v="205" in="1">
        <tpls c="6">
          <tpl fld="11" item="0"/>
          <tpl fld="6" item="1"/>
          <tpl fld="8" item="0"/>
          <tpl hier="236" item="1"/>
          <tpl fld="4" item="4"/>
          <tpl fld="10" item="5"/>
        </tpls>
      </n>
      <n v="1296" in="1">
        <tpls c="6">
          <tpl fld="11" item="0"/>
          <tpl fld="6" item="1"/>
          <tpl fld="8" item="0"/>
          <tpl hier="236" item="1"/>
          <tpl fld="4" item="4"/>
          <tpl fld="10" item="3"/>
        </tpls>
      </n>
      <n v="186" in="1">
        <tpls c="6">
          <tpl fld="11" item="0"/>
          <tpl fld="6" item="1"/>
          <tpl fld="8" item="1"/>
          <tpl hier="236" item="1"/>
          <tpl fld="4" item="3"/>
          <tpl fld="10" item="3"/>
        </tpls>
      </n>
      <m>
        <tpls c="4">
          <tpl fld="7" item="589"/>
          <tpl fld="6" item="1"/>
          <tpl hier="236" item="1"/>
          <tpl fld="4" item="4"/>
        </tpls>
      </m>
      <m>
        <tpls c="4">
          <tpl fld="7" item="6"/>
          <tpl fld="6" item="1"/>
          <tpl hier="236" item="1"/>
          <tpl fld="4" item="5"/>
        </tpls>
      </m>
      <m>
        <tpls c="3">
          <tpl fld="7" item="35"/>
          <tpl fld="6" item="3"/>
          <tpl hier="236" item="1"/>
        </tpls>
      </m>
      <m>
        <tpls c="3">
          <tpl fld="7" item="262"/>
          <tpl fld="6" item="3"/>
          <tpl hier="236" item="1"/>
        </tpls>
      </m>
      <m>
        <tpls c="3">
          <tpl fld="7" item="270"/>
          <tpl fld="6" item="3"/>
          <tpl hier="236" item="1"/>
        </tpls>
      </m>
      <m>
        <tpls c="4">
          <tpl fld="7" item="672"/>
          <tpl fld="6" item="1"/>
          <tpl hier="236" item="1"/>
          <tpl fld="4" item="4"/>
        </tpls>
      </m>
      <m>
        <tpls c="4">
          <tpl fld="7" item="188"/>
          <tpl fld="6" item="2"/>
          <tpl hier="236" item="1"/>
          <tpl fld="4" item="1"/>
        </tpls>
      </m>
      <n v="12.544054054054055" in="2">
        <tpls c="6">
          <tpl fld="3" item="1"/>
          <tpl fld="11" item="0"/>
          <tpl fld="6" item="2"/>
          <tpl hier="236" item="1"/>
          <tpl fld="4" item="4"/>
          <tpl fld="10" item="7"/>
        </tpls>
      </n>
      <m>
        <tpls c="6">
          <tpl fld="3" item="1"/>
          <tpl fld="11" item="0"/>
          <tpl fld="6" item="1"/>
          <tpl hier="236" item="1"/>
          <tpl fld="4" item="3"/>
          <tpl fld="10" item="6"/>
        </tpls>
      </m>
      <n v="1" in="1">
        <tpls c="4">
          <tpl fld="7" item="1154"/>
          <tpl fld="6" item="1"/>
          <tpl hier="236" item="1"/>
          <tpl fld="4" item="5"/>
        </tpls>
      </n>
      <n v="1" in="2">
        <tpls c="6">
          <tpl fld="11" item="0"/>
          <tpl fld="2" item="0"/>
          <tpl fld="6" item="2"/>
          <tpl hier="236" item="1"/>
          <tpl fld="4" item="6"/>
          <tpl fld="10" item="4"/>
        </tpls>
      </n>
      <n v="1" in="1">
        <tpls c="6">
          <tpl fld="3" item="0"/>
          <tpl fld="11" item="0"/>
          <tpl fld="6" item="1"/>
          <tpl hier="236" item="1"/>
          <tpl fld="4" item="4"/>
          <tpl fld="10" item="1"/>
        </tpls>
      </n>
      <m>
        <tpls c="6">
          <tpl fld="11" item="0"/>
          <tpl fld="5" item="4"/>
          <tpl fld="6" item="2"/>
          <tpl hier="236" item="1"/>
          <tpl fld="4" item="6"/>
          <tpl fld="10" item="1"/>
        </tpls>
      </m>
      <m>
        <tpls c="6">
          <tpl fld="11" item="0"/>
          <tpl fld="2" item="1"/>
          <tpl fld="6" item="2"/>
          <tpl hier="236" item="1"/>
          <tpl fld="4" item="7"/>
          <tpl fld="10" item="5"/>
        </tpls>
      </m>
      <n v="4.6485405405405409" in="2">
        <tpls c="6">
          <tpl fld="11" item="0"/>
          <tpl fld="2" item="3"/>
          <tpl fld="6" item="2"/>
          <tpl hier="236" item="1"/>
          <tpl fld="4" item="4"/>
          <tpl fld="10" item="6"/>
        </tpls>
      </n>
      <m>
        <tpls c="4">
          <tpl fld="7" item="1031"/>
          <tpl fld="6" item="2"/>
          <tpl hier="236" item="1"/>
          <tpl fld="4" item="6"/>
        </tpls>
      </m>
      <n v="0" in="1">
        <tpls c="4">
          <tpl fld="7" item="929"/>
          <tpl fld="6" item="1"/>
          <tpl hier="236" item="1"/>
          <tpl fld="4" item="6"/>
        </tpls>
      </n>
      <n v="2" in="1">
        <tpls c="4">
          <tpl fld="7" item="1136"/>
          <tpl fld="6" item="1"/>
          <tpl hier="236" item="1"/>
          <tpl fld="4" item="6"/>
        </tpls>
      </n>
      <n v="0" in="1">
        <tpls c="6">
          <tpl fld="11" item="0"/>
          <tpl fld="5" item="3"/>
          <tpl fld="6" item="1"/>
          <tpl hier="236" item="1"/>
          <tpl fld="4" item="3"/>
          <tpl fld="10" item="0"/>
        </tpls>
      </n>
      <n v="1.24" in="2">
        <tpls c="6">
          <tpl fld="11" item="0"/>
          <tpl fld="5" item="1"/>
          <tpl fld="6" item="2"/>
          <tpl hier="236" item="1"/>
          <tpl fld="4" item="6"/>
          <tpl fld="10" item="1"/>
        </tpls>
      </n>
      <m>
        <tpls c="6">
          <tpl fld="11" item="0"/>
          <tpl fld="5" item="1"/>
          <tpl fld="6" item="2"/>
          <tpl hier="236" item="1"/>
          <tpl fld="4" item="7"/>
          <tpl fld="10" item="4"/>
        </tpls>
      </m>
      <n v="1" in="1">
        <tpls c="6">
          <tpl fld="3" item="0"/>
          <tpl fld="11" item="0"/>
          <tpl fld="6" item="1"/>
          <tpl hier="236" item="1"/>
          <tpl fld="4" item="6"/>
          <tpl fld="10" item="5"/>
        </tpls>
      </n>
      <m>
        <tpls c="3">
          <tpl fld="7" item="965"/>
          <tpl fld="6" item="3"/>
          <tpl hier="236" item="1"/>
        </tpls>
      </m>
      <m>
        <tpls c="4">
          <tpl fld="7" item="958"/>
          <tpl fld="6" item="1"/>
          <tpl hier="236" item="1"/>
          <tpl fld="4" item="6"/>
        </tpls>
      </m>
      <m>
        <tpls c="6">
          <tpl fld="11" item="0"/>
          <tpl fld="5" item="1"/>
          <tpl fld="6" item="1"/>
          <tpl hier="236" item="1"/>
          <tpl fld="4" item="7"/>
          <tpl fld="10" item="1"/>
        </tpls>
      </m>
      <m>
        <tpls c="3">
          <tpl fld="7" item="951"/>
          <tpl fld="6" item="3"/>
          <tpl hier="236" item="1"/>
        </tpls>
      </m>
      <n v="26" in="1">
        <tpls c="6">
          <tpl fld="11" item="0"/>
          <tpl fld="2" item="3"/>
          <tpl fld="6" item="1"/>
          <tpl hier="236" item="1"/>
          <tpl fld="4" item="4"/>
          <tpl fld="10" item="1"/>
        </tpls>
      </n>
      <n v="2" in="2">
        <tpls c="6">
          <tpl fld="11" item="0"/>
          <tpl fld="2" item="4"/>
          <tpl fld="6" item="2"/>
          <tpl hier="236" item="1"/>
          <tpl fld="4" item="4"/>
          <tpl fld="10" item="7"/>
        </tpls>
      </n>
      <m>
        <tpls c="4">
          <tpl fld="7" item="946"/>
          <tpl fld="6" item="1"/>
          <tpl hier="236" item="1"/>
          <tpl fld="4" item="6"/>
        </tpls>
      </m>
      <m>
        <tpls c="6">
          <tpl fld="11" item="0"/>
          <tpl fld="5" item="0"/>
          <tpl fld="6" item="2"/>
          <tpl hier="236" item="1"/>
          <tpl fld="4" item="3"/>
          <tpl fld="10" item="0"/>
        </tpls>
      </m>
      <m>
        <tpls c="3">
          <tpl fld="7" item="929"/>
          <tpl fld="6" item="3"/>
          <tpl hier="236" item="1"/>
        </tpls>
      </m>
      <m>
        <tpls c="3">
          <tpl fld="7" item="1078"/>
          <tpl fld="6" item="3"/>
          <tpl hier="236" item="1"/>
        </tpls>
      </m>
      <n v="109" in="1">
        <tpls c="6">
          <tpl fld="11" item="0"/>
          <tpl fld="2" item="0"/>
          <tpl fld="6" item="1"/>
          <tpl hier="236" item="1"/>
          <tpl fld="4" item="1"/>
          <tpl fld="9" item="3"/>
        </tpls>
      </n>
      <n v="1571" in="1">
        <tpls c="6">
          <tpl fld="3" item="4"/>
          <tpl fld="11" item="0"/>
          <tpl fld="6" item="1"/>
          <tpl hier="236" item="1"/>
          <tpl fld="4" item="4"/>
          <tpl fld="10" item="7"/>
        </tpls>
      </n>
      <m>
        <tpls c="6">
          <tpl fld="11" item="0"/>
          <tpl fld="2" item="1"/>
          <tpl fld="6" item="2"/>
          <tpl hier="236" item="1"/>
          <tpl fld="4" item="1"/>
          <tpl fld="9" item="3"/>
        </tpls>
      </m>
      <n v="46" in="1">
        <tpls c="6">
          <tpl fld="3" item="4"/>
          <tpl fld="11" item="0"/>
          <tpl fld="6" item="1"/>
          <tpl hier="236" item="1"/>
          <tpl fld="4" item="1"/>
          <tpl fld="9" item="0"/>
        </tpls>
      </n>
      <n v="17" in="1">
        <tpls c="6">
          <tpl fld="3" item="0"/>
          <tpl fld="11" item="0"/>
          <tpl fld="6" item="1"/>
          <tpl hier="236" item="1"/>
          <tpl fld="4" item="4"/>
          <tpl fld="10" item="5"/>
        </tpls>
      </n>
      <n v="101.63816216216217" in="2">
        <tpls c="6">
          <tpl fld="11" item="0"/>
          <tpl fld="6" item="2"/>
          <tpl fld="8" item="1"/>
          <tpl hier="236" item="1"/>
          <tpl fld="4" item="4"/>
          <tpl fld="10" item="8"/>
        </tpls>
      </n>
      <m>
        <tpls c="4">
          <tpl fld="7" item="4"/>
          <tpl fld="6" item="1"/>
          <tpl hier="236" item="1"/>
          <tpl fld="1" item="0"/>
        </tpls>
      </m>
      <m>
        <tpls c="4">
          <tpl fld="7" item="976"/>
          <tpl fld="6" item="1"/>
          <tpl hier="236" item="1"/>
          <tpl fld="1" item="0"/>
        </tpls>
      </m>
      <n v="1631" in="1">
        <tpls c="6">
          <tpl fld="3" item="1"/>
          <tpl fld="11" item="0"/>
          <tpl fld="6" item="1"/>
          <tpl hier="236" item="1"/>
          <tpl fld="4" item="6"/>
          <tpl fld="10" item="8"/>
        </tpls>
      </n>
      <n v="10.76" in="2">
        <tpls c="6">
          <tpl fld="11" item="0"/>
          <tpl fld="6" item="2"/>
          <tpl fld="8" item="1"/>
          <tpl hier="236" item="1"/>
          <tpl fld="4" item="4"/>
          <tpl fld="10" item="4"/>
        </tpls>
      </n>
      <n v="0.72432432432432436" in="2">
        <tpls c="6">
          <tpl fld="11" item="0"/>
          <tpl fld="2" item="0"/>
          <tpl fld="6" item="2"/>
          <tpl hier="236" item="1"/>
          <tpl fld="4" item="7"/>
          <tpl fld="10" item="8"/>
        </tpls>
      </n>
      <m>
        <tpls c="4">
          <tpl fld="7" item="1232"/>
          <tpl fld="6" item="2"/>
          <tpl hier="236" item="1"/>
          <tpl fld="1" item="0"/>
        </tpls>
      </m>
      <n v="1099" in="1">
        <tpls c="6">
          <tpl fld="11" item="0"/>
          <tpl fld="5" item="4"/>
          <tpl fld="6" item="1"/>
          <tpl hier="236" item="1"/>
          <tpl fld="4" item="1"/>
          <tpl fld="9" item="4"/>
        </tpls>
      </n>
      <m>
        <tpls c="6">
          <tpl fld="11" item="0"/>
          <tpl fld="2" item="4"/>
          <tpl fld="6" item="2"/>
          <tpl hier="236" item="1"/>
          <tpl fld="4" item="7"/>
          <tpl fld="10" item="4"/>
        </tpls>
      </m>
      <m>
        <tpls c="6">
          <tpl fld="11" item="0"/>
          <tpl fld="2" item="4"/>
          <tpl fld="6" item="2"/>
          <tpl hier="236" item="1"/>
          <tpl fld="4" item="3"/>
          <tpl fld="10" item="1"/>
        </tpls>
      </m>
      <n v="44" in="1">
        <tpls c="6">
          <tpl fld="11" item="0"/>
          <tpl fld="2" item="4"/>
          <tpl fld="6" item="1"/>
          <tpl hier="236" item="1"/>
          <tpl fld="4" item="1"/>
          <tpl fld="9" item="1"/>
        </tpls>
      </n>
      <n v="11.990270270270273" in="2">
        <tpls c="6">
          <tpl fld="11" item="0"/>
          <tpl fld="2" item="1"/>
          <tpl fld="6" item="2"/>
          <tpl hier="236" item="1"/>
          <tpl fld="4" item="4"/>
          <tpl fld="10" item="5"/>
        </tpls>
      </n>
      <m>
        <tpls c="6">
          <tpl fld="11" item="0"/>
          <tpl fld="2" item="2"/>
          <tpl fld="6" item="1"/>
          <tpl hier="236" item="1"/>
          <tpl fld="4" item="7"/>
          <tpl fld="10" item="6"/>
        </tpls>
      </m>
      <m>
        <tpls c="6">
          <tpl fld="3" item="0"/>
          <tpl fld="11" item="0"/>
          <tpl fld="6" item="2"/>
          <tpl hier="236" item="1"/>
          <tpl fld="4" item="3"/>
          <tpl fld="10" item="3"/>
        </tpls>
      </m>
      <n v="8.6364864864864863" in="2">
        <tpls c="6">
          <tpl fld="11" item="0"/>
          <tpl fld="2" item="3"/>
          <tpl fld="6" item="2"/>
          <tpl hier="236" item="1"/>
          <tpl fld="4" item="6"/>
          <tpl fld="10" item="2"/>
        </tpls>
      </n>
      <n v="6.24" in="2">
        <tpls c="6">
          <tpl fld="11" item="0"/>
          <tpl fld="6" item="2"/>
          <tpl fld="8" item="1"/>
          <tpl hier="236" item="1"/>
          <tpl fld="4" item="6"/>
          <tpl fld="10" item="6"/>
        </tpls>
      </n>
      <m>
        <tpls c="4">
          <tpl fld="7" item="5"/>
          <tpl fld="6" item="1"/>
          <tpl hier="236" item="1"/>
          <tpl fld="1" item="0"/>
        </tpls>
      </m>
      <m>
        <tpls c="3">
          <tpl fld="7" item="1209"/>
          <tpl fld="6" item="3"/>
          <tpl hier="236" item="1"/>
        </tpls>
      </m>
      <n v="289" in="1">
        <tpls c="6">
          <tpl fld="3" item="1"/>
          <tpl fld="11" item="0"/>
          <tpl fld="6" item="1"/>
          <tpl hier="236" item="1"/>
          <tpl fld="4" item="3"/>
          <tpl fld="10" item="3"/>
        </tpls>
      </n>
      <n v="12.632972972972976" in="2">
        <tpls c="6">
          <tpl fld="11" item="0"/>
          <tpl fld="6" item="2"/>
          <tpl fld="8" item="1"/>
          <tpl hier="236" item="1"/>
          <tpl fld="4" item="6"/>
          <tpl fld="10" item="5"/>
        </tpls>
      </n>
      <n v="827" in="1">
        <tpls c="6">
          <tpl fld="11" item="0"/>
          <tpl fld="2" item="2"/>
          <tpl fld="6" item="1"/>
          <tpl hier="236" item="1"/>
          <tpl fld="4" item="3"/>
          <tpl fld="10" item="7"/>
        </tpls>
      </n>
      <m>
        <tpls c="4">
          <tpl fld="7" item="1051"/>
          <tpl fld="6" item="2"/>
          <tpl hier="236" item="1"/>
          <tpl fld="4" item="6"/>
        </tpls>
      </m>
      <n v="2.04" in="2">
        <tpls c="6">
          <tpl fld="11" item="0"/>
          <tpl fld="5" item="5"/>
          <tpl fld="6" item="2"/>
          <tpl hier="236" item="1"/>
          <tpl fld="4" item="4"/>
          <tpl fld="10" item="6"/>
        </tpls>
      </n>
      <n v="3" in="1">
        <tpls c="4">
          <tpl fld="7" item="940"/>
          <tpl fld="6" item="1"/>
          <tpl hier="236" item="1"/>
          <tpl fld="4" item="6"/>
        </tpls>
      </n>
      <n v="55" in="1">
        <tpls c="6">
          <tpl fld="11" item="0"/>
          <tpl fld="2" item="1"/>
          <tpl fld="6" item="1"/>
          <tpl hier="236" item="1"/>
          <tpl fld="4" item="7"/>
          <tpl fld="10" item="4"/>
        </tpls>
      </n>
      <n v="198" in="1">
        <tpls c="6">
          <tpl fld="11" item="0"/>
          <tpl fld="5" item="1"/>
          <tpl fld="6" item="1"/>
          <tpl hier="236" item="1"/>
          <tpl fld="4" item="4"/>
          <tpl fld="10" item="8"/>
        </tpls>
      </n>
      <n v="12.559999999999999" in="2">
        <tpls c="6">
          <tpl fld="11" item="0"/>
          <tpl fld="2" item="2"/>
          <tpl fld="6" item="2"/>
          <tpl hier="236" item="1"/>
          <tpl fld="4" item="4"/>
          <tpl fld="10" item="8"/>
        </tpls>
      </n>
      <n v="130" in="1">
        <tpls c="5">
          <tpl fld="3" item="1"/>
          <tpl fld="11" item="0"/>
          <tpl fld="6" item="1"/>
          <tpl hier="236" item="1"/>
          <tpl fld="4" item="2"/>
        </tpls>
      </n>
      <n v="1.6" in="2">
        <tpls c="6">
          <tpl fld="11" item="0"/>
          <tpl fld="5" item="3"/>
          <tpl fld="6" item="2"/>
          <tpl hier="236" item="1"/>
          <tpl fld="4" item="4"/>
          <tpl fld="10" item="2"/>
        </tpls>
      </n>
      <n v="0.29383783783783785" in="2">
        <tpls c="6">
          <tpl fld="3" item="1"/>
          <tpl fld="11" item="0"/>
          <tpl fld="6" item="2"/>
          <tpl hier="236" item="1"/>
          <tpl fld="4" item="1"/>
          <tpl fld="9" item="3"/>
        </tpls>
      </n>
      <m>
        <tpls c="4">
          <tpl fld="7" item="216"/>
          <tpl fld="6" item="1"/>
          <tpl hier="236" item="1"/>
          <tpl fld="4" item="4"/>
        </tpls>
      </m>
      <m>
        <tpls c="4">
          <tpl fld="7" item="589"/>
          <tpl fld="6" item="2"/>
          <tpl hier="236" item="1"/>
          <tpl fld="4" item="1"/>
        </tpls>
      </m>
      <n v="691" in="1">
        <tpls c="6">
          <tpl fld="11" item="0"/>
          <tpl fld="2" item="1"/>
          <tpl fld="6" item="1"/>
          <tpl hier="236" item="1"/>
          <tpl fld="4" item="7"/>
          <tpl fld="10" item="3"/>
        </tpls>
      </n>
      <n v="717" in="1">
        <tpls c="5">
          <tpl fld="11" item="0"/>
          <tpl fld="6" item="1"/>
          <tpl hier="236" item="1"/>
          <tpl fld="4" item="4"/>
          <tpl fld="10" item="5"/>
        </tpls>
      </n>
      <n v="0.8" in="2">
        <tpls c="6">
          <tpl fld="11" item="0"/>
          <tpl fld="2" item="3"/>
          <tpl fld="6" item="2"/>
          <tpl hier="236" item="1"/>
          <tpl fld="4" item="3"/>
          <tpl fld="10" item="5"/>
        </tpls>
      </n>
      <m>
        <tpls c="4">
          <tpl fld="7" item="1030"/>
          <tpl fld="6" item="2"/>
          <tpl hier="236" item="1"/>
          <tpl fld="4" item="5"/>
        </tpls>
      </m>
      <m>
        <tpls c="3">
          <tpl fld="7" item="1060"/>
          <tpl fld="6" item="3"/>
          <tpl hier="236" item="1"/>
        </tpls>
      </m>
      <n v="4" in="1">
        <tpls c="6">
          <tpl fld="11" item="0"/>
          <tpl fld="2" item="3"/>
          <tpl fld="6" item="1"/>
          <tpl hier="236" item="1"/>
          <tpl fld="4" item="7"/>
          <tpl fld="10" item="5"/>
        </tpls>
      </n>
      <m>
        <tpls c="4">
          <tpl fld="7" item="1231"/>
          <tpl fld="6" item="1"/>
          <tpl hier="236" item="1"/>
          <tpl fld="4" item="6"/>
        </tpls>
      </m>
      <n v="11.4" in="2">
        <tpls c="5">
          <tpl fld="11" item="0"/>
          <tpl fld="6" item="2"/>
          <tpl hier="236" item="1"/>
          <tpl fld="4" item="3"/>
          <tpl fld="10" item="0"/>
        </tpls>
      </n>
      <n v="27" in="1">
        <tpls c="6">
          <tpl fld="11" item="0"/>
          <tpl fld="2" item="0"/>
          <tpl fld="6" item="1"/>
          <tpl hier="236" item="1"/>
          <tpl fld="4" item="3"/>
          <tpl fld="10" item="3"/>
        </tpls>
      </n>
      <m>
        <tpls c="6">
          <tpl fld="11" item="0"/>
          <tpl fld="5" item="0"/>
          <tpl fld="6" item="2"/>
          <tpl hier="236" item="1"/>
          <tpl fld="4" item="3"/>
          <tpl fld="10" item="8"/>
        </tpls>
      </m>
      <n v="70" in="1">
        <tpls c="6">
          <tpl fld="11" item="0"/>
          <tpl fld="2" item="4"/>
          <tpl fld="6" item="1"/>
          <tpl hier="236" item="1"/>
          <tpl fld="4" item="3"/>
          <tpl fld="10" item="5"/>
        </tpls>
      </n>
      <m>
        <tpls c="4">
          <tpl fld="7" item="930"/>
          <tpl fld="6" item="1"/>
          <tpl hier="236" item="1"/>
          <tpl fld="4" item="6"/>
        </tpls>
      </m>
      <m>
        <tpls c="6">
          <tpl fld="11" item="0"/>
          <tpl fld="5" item="1"/>
          <tpl fld="6" item="2"/>
          <tpl hier="236" item="1"/>
          <tpl fld="4" item="3"/>
          <tpl fld="10" item="7"/>
        </tpls>
      </m>
      <n v="928" in="1">
        <tpls c="6">
          <tpl fld="11" item="0"/>
          <tpl fld="2" item="2"/>
          <tpl fld="6" item="1"/>
          <tpl hier="236" item="1"/>
          <tpl fld="4" item="4"/>
          <tpl fld="10" item="8"/>
        </tpls>
      </n>
      <m>
        <tpls c="4">
          <tpl fld="7" item="750"/>
          <tpl fld="6" item="2"/>
          <tpl hier="236" item="1"/>
          <tpl fld="4" item="1"/>
        </tpls>
      </m>
      <n v="8.2816216216216212" in="2">
        <tpls c="5">
          <tpl fld="3" item="1"/>
          <tpl fld="11" item="0"/>
          <tpl fld="6" item="2"/>
          <tpl hier="236" item="1"/>
          <tpl fld="4" item="0"/>
        </tpls>
      </n>
      <n v="3.8" in="2">
        <tpls c="6">
          <tpl fld="3" item="4"/>
          <tpl fld="11" item="0"/>
          <tpl fld="6" item="2"/>
          <tpl hier="236" item="1"/>
          <tpl fld="4" item="1"/>
          <tpl fld="9" item="0"/>
        </tpls>
      </n>
      <n v="165" in="1">
        <tpls c="6">
          <tpl fld="11" item="0"/>
          <tpl fld="5" item="3"/>
          <tpl fld="6" item="1"/>
          <tpl hier="236" item="1"/>
          <tpl fld="4" item="4"/>
          <tpl fld="10" item="4"/>
        </tpls>
      </n>
      <n v="0.6" in="2">
        <tpls c="6">
          <tpl fld="11" item="0"/>
          <tpl fld="2" item="0"/>
          <tpl fld="6" item="2"/>
          <tpl hier="236" item="1"/>
          <tpl fld="4" item="3"/>
          <tpl fld="10" item="0"/>
        </tpls>
      </n>
      <n v="17" in="1">
        <tpls c="6">
          <tpl fld="11" item="0"/>
          <tpl fld="2" item="0"/>
          <tpl fld="6" item="1"/>
          <tpl hier="236" item="1"/>
          <tpl fld="4" item="7"/>
          <tpl fld="10" item="3"/>
        </tpls>
      </n>
      <n v="0" in="1">
        <tpls c="6">
          <tpl fld="11" item="0"/>
          <tpl fld="2" item="4"/>
          <tpl fld="6" item="1"/>
          <tpl hier="236" item="1"/>
          <tpl fld="4" item="7"/>
          <tpl fld="10" item="1"/>
        </tpls>
      </n>
      <m>
        <tpls c="6">
          <tpl fld="11" item="0"/>
          <tpl fld="2" item="1"/>
          <tpl fld="6" item="2"/>
          <tpl hier="236" item="1"/>
          <tpl fld="4" item="3"/>
          <tpl fld="10" item="6"/>
        </tpls>
      </m>
      <n v="38.48686486486487" in="2">
        <tpls c="6">
          <tpl fld="3" item="2"/>
          <tpl fld="11" item="0"/>
          <tpl fld="6" item="2"/>
          <tpl hier="236" item="1"/>
          <tpl fld="4" item="4"/>
          <tpl fld="10" item="3"/>
        </tpls>
      </n>
      <m>
        <tpls c="6">
          <tpl fld="11" item="0"/>
          <tpl fld="2" item="3"/>
          <tpl fld="6" item="2"/>
          <tpl hier="236" item="1"/>
          <tpl fld="4" item="3"/>
          <tpl fld="10" item="6"/>
        </tpls>
      </m>
      <n v="218" in="1">
        <tpls c="5">
          <tpl fld="11" item="0"/>
          <tpl fld="6" item="1"/>
          <tpl hier="236" item="1"/>
          <tpl fld="4" item="4"/>
          <tpl fld="10" item="1"/>
        </tpls>
      </n>
      <m>
        <tpls c="4">
          <tpl fld="7" item="224"/>
          <tpl fld="6" item="1"/>
          <tpl hier="236" item="1"/>
          <tpl fld="4" item="4"/>
        </tpls>
      </m>
      <n v="45" in="1">
        <tpls c="6">
          <tpl fld="11" item="0"/>
          <tpl fld="2" item="1"/>
          <tpl fld="6" item="1"/>
          <tpl hier="236" item="1"/>
          <tpl fld="4" item="3"/>
          <tpl fld="10" item="1"/>
        </tpls>
      </n>
      <n v="4659" in="1">
        <tpls c="5">
          <tpl fld="11" item="0"/>
          <tpl fld="6" item="1"/>
          <tpl hier="236" item="1"/>
          <tpl fld="4" item="4"/>
          <tpl fld="10" item="7"/>
        </tpls>
      </n>
      <n v="1" in="2">
        <tpls c="6">
          <tpl fld="3" item="3"/>
          <tpl fld="11" item="0"/>
          <tpl fld="6" item="2"/>
          <tpl hier="236" item="1"/>
          <tpl fld="4" item="6"/>
          <tpl fld="10" item="5"/>
        </tpls>
      </n>
      <n v="32.514594594594591" in="2">
        <tpls c="6">
          <tpl fld="11" item="0"/>
          <tpl fld="6" item="2"/>
          <tpl fld="8" item="1"/>
          <tpl hier="236" item="1"/>
          <tpl fld="4" item="4"/>
          <tpl fld="10" item="2"/>
        </tpls>
      </n>
      <m>
        <tpls c="4">
          <tpl fld="7" item="467"/>
          <tpl fld="6" item="1"/>
          <tpl hier="236" item="1"/>
          <tpl fld="1" item="0"/>
        </tpls>
      </m>
      <n v="40" in="1">
        <tpls c="6">
          <tpl fld="11" item="0"/>
          <tpl fld="5" item="1"/>
          <tpl fld="6" item="1"/>
          <tpl hier="236" item="1"/>
          <tpl fld="4" item="4"/>
          <tpl fld="10" item="5"/>
        </tpls>
      </n>
      <m>
        <tpls c="4">
          <tpl fld="7" item="115"/>
          <tpl fld="6" item="2"/>
          <tpl hier="236" item="1"/>
          <tpl fld="4" item="1"/>
        </tpls>
      </m>
      <n v="51" in="1">
        <tpls c="6">
          <tpl fld="11" item="0"/>
          <tpl fld="2" item="0"/>
          <tpl fld="6" item="1"/>
          <tpl hier="236" item="1"/>
          <tpl fld="4" item="1"/>
          <tpl fld="9" item="1"/>
        </tpls>
      </n>
      <n v="2243" in="1">
        <tpls c="6">
          <tpl fld="3" item="1"/>
          <tpl fld="11" item="0"/>
          <tpl fld="6" item="1"/>
          <tpl hier="236" item="1"/>
          <tpl fld="4" item="4"/>
          <tpl fld="10" item="8"/>
        </tpls>
      </n>
      <m>
        <tpls c="4">
          <tpl fld="7" item="325"/>
          <tpl fld="6" item="2"/>
          <tpl hier="236" item="1"/>
          <tpl fld="4" item="1"/>
        </tpls>
      </m>
      <n v="10.55027027027027" in="2">
        <tpls c="6">
          <tpl fld="11" item="0"/>
          <tpl fld="2" item="3"/>
          <tpl fld="6" item="2"/>
          <tpl hier="236" item="1"/>
          <tpl fld="4" item="4"/>
          <tpl fld="10" item="8"/>
        </tpls>
      </n>
      <n v="13.748108108108106" in="2">
        <tpls c="6">
          <tpl fld="11" item="0"/>
          <tpl fld="6" item="2"/>
          <tpl fld="8" item="0"/>
          <tpl hier="236" item="1"/>
          <tpl fld="4" item="6"/>
          <tpl fld="10" item="5"/>
        </tpls>
      </n>
      <m>
        <tpls c="4">
          <tpl fld="7" item="241"/>
          <tpl fld="6" item="2"/>
          <tpl hier="236" item="1"/>
          <tpl fld="4" item="1"/>
        </tpls>
      </m>
      <m>
        <tpls c="4">
          <tpl fld="7" item="329"/>
          <tpl fld="6" item="1"/>
          <tpl hier="236" item="1"/>
          <tpl fld="4" item="4"/>
        </tpls>
      </m>
      <m>
        <tpls c="4">
          <tpl fld="7" item="254"/>
          <tpl fld="6" item="1"/>
          <tpl hier="236" item="1"/>
          <tpl fld="4" item="6"/>
        </tpls>
      </m>
      <m>
        <tpls c="3">
          <tpl fld="7" item="591"/>
          <tpl fld="6" item="3"/>
          <tpl hier="236" item="1"/>
        </tpls>
      </m>
      <m>
        <tpls c="3">
          <tpl fld="7" item="753"/>
          <tpl fld="6" item="3"/>
          <tpl hier="236" item="1"/>
        </tpls>
      </m>
      <m>
        <tpls c="4">
          <tpl fld="7" item="178"/>
          <tpl fld="6" item="2"/>
          <tpl hier="236" item="1"/>
          <tpl fld="4" item="1"/>
        </tpls>
      </m>
      <m>
        <tpls c="3">
          <tpl fld="7" item="83"/>
          <tpl fld="6" item="3"/>
          <tpl hier="236" item="1"/>
        </tpls>
      </m>
      <m>
        <tpls c="3">
          <tpl fld="7" item="594"/>
          <tpl fld="6" item="3"/>
          <tpl hier="236" item="1"/>
        </tpls>
      </m>
      <m>
        <tpls c="4">
          <tpl fld="7" item="216"/>
          <tpl fld="6" item="2"/>
          <tpl hier="236" item="1"/>
          <tpl fld="4" item="1"/>
        </tpls>
      </m>
      <m>
        <tpls c="4">
          <tpl fld="7" item="247"/>
          <tpl fld="6" item="1"/>
          <tpl hier="236" item="1"/>
          <tpl fld="4" item="4"/>
        </tpls>
      </m>
      <m>
        <tpls c="4">
          <tpl fld="7" item="43"/>
          <tpl fld="6" item="1"/>
          <tpl hier="236" item="1"/>
          <tpl fld="4" item="6"/>
        </tpls>
      </m>
      <n v="13.127027027027028" in="2">
        <tpls c="6">
          <tpl fld="3" item="2"/>
          <tpl fld="11" item="0"/>
          <tpl fld="6" item="2"/>
          <tpl hier="236" item="1"/>
          <tpl fld="4" item="6"/>
          <tpl fld="10" item="5"/>
        </tpls>
      </n>
      <n v="5712" in="1">
        <tpls c="5">
          <tpl fld="11" item="0"/>
          <tpl fld="2" item="4"/>
          <tpl fld="6" item="1"/>
          <tpl hier="236" item="1"/>
          <tpl fld="1" item="0"/>
        </tpls>
      </n>
      <n v="129" in="1">
        <tpls c="6">
          <tpl fld="11" item="0"/>
          <tpl fld="6" item="1"/>
          <tpl fld="8" item="0"/>
          <tpl hier="236" item="1"/>
          <tpl fld="4" item="3"/>
          <tpl fld="10" item="8"/>
        </tpls>
      </n>
      <m>
        <tpls c="3">
          <tpl fld="7" item="1153"/>
          <tpl fld="6" item="3"/>
          <tpl hier="236" item="1"/>
        </tpls>
      </m>
      <n v="533" in="1">
        <tpls c="6">
          <tpl fld="11" item="0"/>
          <tpl fld="6" item="1"/>
          <tpl fld="8" item="1"/>
          <tpl hier="236" item="1"/>
          <tpl fld="4" item="7"/>
          <tpl fld="10" item="3"/>
        </tpls>
      </n>
      <m>
        <tpls c="4">
          <tpl fld="7" item="128"/>
          <tpl fld="6" item="2"/>
          <tpl hier="236" item="1"/>
          <tpl fld="4" item="1"/>
        </tpls>
      </m>
      <m>
        <tpls c="4">
          <tpl fld="7" item="327"/>
          <tpl fld="6" item="2"/>
          <tpl hier="236" item="1"/>
          <tpl fld="4" item="6"/>
        </tpls>
      </m>
      <m>
        <tpls c="4">
          <tpl fld="7" item="475"/>
          <tpl fld="6" item="1"/>
          <tpl hier="236" item="1"/>
          <tpl fld="4" item="4"/>
        </tpls>
      </m>
      <m>
        <tpls c="4">
          <tpl fld="7" item="407"/>
          <tpl fld="6" item="1"/>
          <tpl hier="236" item="1"/>
          <tpl fld="1" item="0"/>
        </tpls>
      </m>
      <m>
        <tpls c="4">
          <tpl fld="7" item="409"/>
          <tpl fld="6" item="1"/>
          <tpl hier="236" item="1"/>
          <tpl fld="1" item="0"/>
        </tpls>
      </m>
      <m>
        <tpls c="4">
          <tpl fld="7" item="285"/>
          <tpl fld="6" item="1"/>
          <tpl hier="236" item="1"/>
          <tpl fld="4" item="6"/>
        </tpls>
      </m>
      <m>
        <tpls c="4">
          <tpl fld="7" item="345"/>
          <tpl fld="6" item="2"/>
          <tpl hier="236" item="1"/>
          <tpl fld="4" item="4"/>
        </tpls>
      </m>
      <m>
        <tpls c="4">
          <tpl fld="7" item="94"/>
          <tpl fld="6" item="2"/>
          <tpl hier="236" item="1"/>
          <tpl fld="4" item="4"/>
        </tpls>
      </m>
      <n v="23" in="1">
        <tpls c="5">
          <tpl fld="11" item="0"/>
          <tpl fld="6" item="1"/>
          <tpl hier="236" item="1"/>
          <tpl fld="4" item="7"/>
          <tpl fld="10" item="5"/>
        </tpls>
      </n>
      <m>
        <tpls c="3">
          <tpl fld="7" item="137"/>
          <tpl fld="6" item="3"/>
          <tpl hier="236" item="1"/>
        </tpls>
      </m>
      <m>
        <tpls c="4">
          <tpl fld="7" item="42"/>
          <tpl fld="6" item="2"/>
          <tpl hier="236" item="1"/>
          <tpl fld="4" item="4"/>
        </tpls>
      </m>
      <n v="4.92" in="2">
        <tpls c="6">
          <tpl fld="11" item="0"/>
          <tpl fld="5" item="1"/>
          <tpl fld="6" item="2"/>
          <tpl hier="236" item="1"/>
          <tpl fld="4" item="4"/>
          <tpl fld="10" item="1"/>
        </tpls>
      </n>
      <n v="6554" in="1">
        <tpls c="5">
          <tpl fld="3" item="2"/>
          <tpl fld="11" item="0"/>
          <tpl fld="6" item="1"/>
          <tpl hier="236" item="1"/>
          <tpl fld="1" item="0"/>
        </tpls>
      </n>
      <m>
        <tpls c="4">
          <tpl fld="7" item="216"/>
          <tpl fld="6" item="2"/>
          <tpl hier="236" item="1"/>
          <tpl fld="4" item="6"/>
        </tpls>
      </m>
      <n v="0" in="1">
        <tpls c="6">
          <tpl fld="11" item="0"/>
          <tpl fld="5" item="3"/>
          <tpl fld="6" item="1"/>
          <tpl hier="236" item="1"/>
          <tpl fld="4" item="7"/>
          <tpl fld="10" item="2"/>
        </tpls>
      </n>
      <n v="0.6" in="2">
        <tpls c="6">
          <tpl fld="11" item="0"/>
          <tpl fld="6" item="2"/>
          <tpl fld="8" item="0"/>
          <tpl hier="236" item="1"/>
          <tpl fld="4" item="3"/>
          <tpl fld="10" item="8"/>
        </tpls>
      </n>
      <m>
        <tpls c="4">
          <tpl fld="7" item="131"/>
          <tpl fld="6" item="2"/>
          <tpl hier="236" item="1"/>
          <tpl fld="4" item="1"/>
        </tpls>
      </m>
      <m>
        <tpls c="4">
          <tpl fld="7" item="589"/>
          <tpl fld="6" item="2"/>
          <tpl hier="236" item="1"/>
          <tpl fld="4" item="4"/>
        </tpls>
      </m>
      <m>
        <tpls c="4">
          <tpl fld="7" item="334"/>
          <tpl fld="6" item="1"/>
          <tpl hier="236" item="1"/>
          <tpl fld="4" item="4"/>
        </tpls>
      </m>
      <m>
        <tpls c="3">
          <tpl fld="7" item="155"/>
          <tpl fld="6" item="3"/>
          <tpl hier="236" item="1"/>
        </tpls>
      </m>
      <m>
        <tpls c="3">
          <tpl fld="7" item="163"/>
          <tpl fld="6" item="3"/>
          <tpl hier="236" item="1"/>
        </tpls>
      </m>
      <m>
        <tpls c="4">
          <tpl fld="7" item="286"/>
          <tpl fld="6" item="1"/>
          <tpl hier="236" item="1"/>
          <tpl fld="4" item="6"/>
        </tpls>
      </m>
      <m>
        <tpls c="4">
          <tpl fld="7" item="416"/>
          <tpl fld="6" item="2"/>
          <tpl hier="236" item="1"/>
          <tpl fld="4" item="4"/>
        </tpls>
      </m>
      <m>
        <tpls c="4">
          <tpl fld="7" item="95"/>
          <tpl fld="6" item="2"/>
          <tpl hier="236" item="1"/>
          <tpl fld="4" item="4"/>
        </tpls>
      </m>
      <n v="2.52" in="2">
        <tpls c="6">
          <tpl fld="11" item="0"/>
          <tpl fld="6" item="2"/>
          <tpl fld="8" item="0"/>
          <tpl hier="236" item="1"/>
          <tpl fld="4" item="3"/>
          <tpl fld="10" item="4"/>
        </tpls>
      </n>
      <m>
        <tpls c="3">
          <tpl fld="7" item="138"/>
          <tpl fld="6" item="3"/>
          <tpl hier="236" item="1"/>
        </tpls>
      </m>
      <m>
        <tpls c="4">
          <tpl fld="7" item="259"/>
          <tpl fld="6" item="1"/>
          <tpl hier="236" item="1"/>
          <tpl fld="4" item="6"/>
        </tpls>
      </m>
      <m>
        <tpls c="4">
          <tpl fld="7" item="267"/>
          <tpl fld="6" item="1"/>
          <tpl hier="236" item="1"/>
          <tpl fld="4" item="6"/>
        </tpls>
      </m>
      <n v="1" in="1">
        <tpls c="4">
          <tpl fld="7" item="169"/>
          <tpl fld="6" item="1"/>
          <tpl hier="236" item="1"/>
          <tpl fld="4" item="4"/>
        </tpls>
      </n>
      <m>
        <tpls c="4">
          <tpl fld="7" item="980"/>
          <tpl fld="6" item="2"/>
          <tpl hier="236" item="1"/>
          <tpl fld="4" item="1"/>
        </tpls>
      </m>
      <n v="0" in="1">
        <tpls c="6">
          <tpl fld="11" item="0"/>
          <tpl fld="5" item="0"/>
          <tpl fld="6" item="1"/>
          <tpl hier="236" item="1"/>
          <tpl fld="4" item="7"/>
          <tpl fld="10" item="2"/>
        </tpls>
      </n>
      <n v="0.55999999999999994" in="2">
        <tpls c="6">
          <tpl fld="11" item="0"/>
          <tpl fld="6" item="2"/>
          <tpl fld="8" item="0"/>
          <tpl hier="236" item="1"/>
          <tpl fld="4" item="7"/>
          <tpl fld="10" item="1"/>
        </tpls>
      </n>
      <m>
        <tpls c="4">
          <tpl fld="7" item="155"/>
          <tpl fld="6" item="1"/>
          <tpl hier="236" item="1"/>
          <tpl fld="1" item="0"/>
        </tpls>
      </m>
      <m>
        <tpls c="4">
          <tpl fld="7" item="203"/>
          <tpl fld="6" item="1"/>
          <tpl hier="236" item="1"/>
          <tpl fld="4" item="6"/>
        </tpls>
      </m>
      <m>
        <tpls c="4">
          <tpl fld="7" item="155"/>
          <tpl fld="6" item="2"/>
          <tpl hier="236" item="1"/>
          <tpl fld="4" item="6"/>
        </tpls>
      </m>
      <m>
        <tpls c="4">
          <tpl fld="7" item="166"/>
          <tpl fld="6" item="1"/>
          <tpl hier="236" item="1"/>
          <tpl fld="4" item="4"/>
        </tpls>
      </m>
      <m>
        <tpls c="4">
          <tpl fld="7" item="415"/>
          <tpl fld="6" item="2"/>
          <tpl hier="236" item="1"/>
          <tpl fld="4" item="1"/>
        </tpls>
      </m>
      <m>
        <tpls c="4">
          <tpl fld="7" item="93"/>
          <tpl fld="6" item="2"/>
          <tpl hier="236" item="1"/>
          <tpl fld="4" item="1"/>
        </tpls>
      </m>
      <n v="0.4" in="2">
        <tpls c="6">
          <tpl fld="11" item="0"/>
          <tpl fld="6" item="2"/>
          <tpl fld="8" item="0"/>
          <tpl hier="236" item="1"/>
          <tpl fld="4" item="3"/>
          <tpl fld="10" item="0"/>
        </tpls>
      </n>
      <m>
        <tpls c="4">
          <tpl fld="7" item="136"/>
          <tpl fld="6" item="1"/>
          <tpl hier="236" item="1"/>
          <tpl fld="4" item="6"/>
        </tpls>
      </m>
      <m>
        <tpls c="4">
          <tpl fld="7" item="41"/>
          <tpl fld="6" item="2"/>
          <tpl hier="236" item="1"/>
          <tpl fld="4" item="4"/>
        </tpls>
      </m>
      <m>
        <tpls c="4">
          <tpl fld="7" item="337"/>
          <tpl fld="6" item="2"/>
          <tpl hier="236" item="1"/>
          <tpl fld="4" item="4"/>
        </tpls>
      </m>
      <m>
        <tpls c="4">
          <tpl fld="7" item="339"/>
          <tpl fld="6" item="2"/>
          <tpl hier="236" item="1"/>
          <tpl fld="4" item="4"/>
        </tpls>
      </m>
      <m>
        <tpls c="3">
          <tpl fld="7" item="343"/>
          <tpl fld="6" item="3"/>
          <tpl hier="236" item="1"/>
        </tpls>
      </m>
      <m>
        <tpls c="3">
          <tpl fld="7" item="86"/>
          <tpl fld="6" item="3"/>
          <tpl hier="236" item="1"/>
        </tpls>
      </m>
      <m>
        <tpls c="4">
          <tpl fld="7" item="315"/>
          <tpl fld="6" item="1"/>
          <tpl hier="236" item="1"/>
          <tpl fld="4" item="6"/>
        </tpls>
      </m>
      <m>
        <tpls c="4">
          <tpl fld="7" item="145"/>
          <tpl fld="6" item="1"/>
          <tpl hier="236" item="1"/>
          <tpl fld="4" item="4"/>
        </tpls>
      </m>
      <m>
        <tpls c="4">
          <tpl fld="7" item="190"/>
          <tpl fld="6" item="2"/>
          <tpl hier="236" item="1"/>
          <tpl fld="4" item="4"/>
        </tpls>
      </m>
      <n v="43" in="1">
        <tpls c="4">
          <tpl fld="7" item="595"/>
          <tpl fld="6" item="1"/>
          <tpl hier="236" item="1"/>
          <tpl fld="4" item="4"/>
        </tpls>
      </n>
      <m>
        <tpls c="4">
          <tpl fld="7" item="436"/>
          <tpl fld="6" item="2"/>
          <tpl hier="236" item="1"/>
          <tpl fld="4" item="1"/>
        </tpls>
      </m>
      <n v="1" in="3">
        <tpls c="3">
          <tpl fld="7" item="378"/>
          <tpl fld="6" item="3"/>
          <tpl hier="236" item="1"/>
        </tpls>
      </n>
      <m>
        <tpls c="4">
          <tpl fld="7" item="604"/>
          <tpl fld="6" item="1"/>
          <tpl hier="236" item="1"/>
          <tpl fld="4" item="4"/>
        </tpls>
      </m>
      <m>
        <tpls c="4">
          <tpl fld="7" item="465"/>
          <tpl fld="6" item="1"/>
          <tpl hier="236" item="1"/>
          <tpl fld="4" item="6"/>
        </tpls>
      </m>
      <n v="25" in="1">
        <tpls c="4">
          <tpl fld="7" item="689"/>
          <tpl fld="6" item="1"/>
          <tpl hier="236" item="1"/>
          <tpl fld="1" item="0"/>
        </tpls>
      </n>
      <m>
        <tpls c="4">
          <tpl fld="7" item="146"/>
          <tpl fld="6" item="1"/>
          <tpl hier="236" item="1"/>
          <tpl fld="4" item="4"/>
        </tpls>
      </m>
      <m>
        <tpls c="4">
          <tpl fld="7" item="191"/>
          <tpl fld="6" item="2"/>
          <tpl hier="236" item="1"/>
          <tpl fld="4" item="4"/>
        </tpls>
      </m>
      <n v="40" in="1">
        <tpls c="4">
          <tpl fld="7" item="494"/>
          <tpl fld="6" item="1"/>
          <tpl hier="236" item="1"/>
          <tpl fld="4" item="4"/>
        </tpls>
      </n>
      <m>
        <tpls c="4">
          <tpl fld="7" item="678"/>
          <tpl fld="6" item="2"/>
          <tpl hier="236" item="1"/>
          <tpl fld="4" item="1"/>
        </tpls>
      </m>
      <n v="1" in="3">
        <tpls c="3">
          <tpl fld="7" item="449"/>
          <tpl fld="6" item="3"/>
          <tpl hier="236" item="1"/>
        </tpls>
      </n>
      <m>
        <tpls c="4">
          <tpl fld="7" item="604"/>
          <tpl fld="6" item="1"/>
          <tpl hier="236" item="1"/>
          <tpl fld="4" item="5"/>
        </tpls>
      </m>
      <m>
        <tpls c="6">
          <tpl fld="11" item="0"/>
          <tpl fld="2" item="0"/>
          <tpl fld="6" item="2"/>
          <tpl hier="236" item="1"/>
          <tpl fld="4" item="3"/>
          <tpl fld="10" item="5"/>
        </tpls>
      </m>
      <n v="214" in="1">
        <tpls c="6">
          <tpl fld="11" item="0"/>
          <tpl fld="6" item="1"/>
          <tpl fld="8" item="1"/>
          <tpl hier="236" item="1"/>
          <tpl fld="4" item="3"/>
          <tpl fld="10" item="1"/>
        </tpls>
      </n>
      <m>
        <tpls c="4">
          <tpl fld="7" item="262"/>
          <tpl fld="6" item="1"/>
          <tpl hier="236" item="1"/>
          <tpl fld="1" item="0"/>
        </tpls>
      </m>
      <m>
        <tpls c="4">
          <tpl fld="7" item="93"/>
          <tpl fld="6" item="1"/>
          <tpl hier="236" item="1"/>
          <tpl fld="4" item="4"/>
        </tpls>
      </m>
      <m>
        <tpls c="5">
          <tpl fld="11" item="0"/>
          <tpl fld="5" item="0"/>
          <tpl fld="6" item="0"/>
          <tpl hier="236" item="1"/>
          <tpl fld="4" item="7"/>
        </tpls>
      </m>
      <n v="1618" in="1">
        <tpls c="4">
          <tpl fld="11" item="0"/>
          <tpl fld="6" item="1"/>
          <tpl hier="236" item="1"/>
          <tpl fld="4" item="5"/>
        </tpls>
      </n>
      <n v="42.673135135135141" in="2">
        <tpls c="6">
          <tpl fld="3" item="4"/>
          <tpl fld="11" item="0"/>
          <tpl fld="6" item="2"/>
          <tpl hier="236" item="1"/>
          <tpl fld="4" item="1"/>
          <tpl fld="9" item="1"/>
        </tpls>
      </n>
      <n v="9" in="1">
        <tpls c="6">
          <tpl fld="11" item="0"/>
          <tpl fld="5" item="1"/>
          <tpl fld="6" item="1"/>
          <tpl hier="236" item="1"/>
          <tpl fld="4" item="4"/>
          <tpl fld="10" item="1"/>
        </tpls>
      </n>
      <m>
        <tpls c="6">
          <tpl fld="11" item="0"/>
          <tpl fld="5" item="1"/>
          <tpl fld="6" item="1"/>
          <tpl hier="236" item="1"/>
          <tpl fld="4" item="7"/>
          <tpl fld="10" item="3"/>
        </tpls>
      </m>
      <n v="125" in="1">
        <tpls c="6">
          <tpl fld="11" item="0"/>
          <tpl fld="2" item="4"/>
          <tpl fld="6" item="1"/>
          <tpl hier="236" item="1"/>
          <tpl fld="4" item="6"/>
          <tpl fld="10" item="3"/>
        </tpls>
      </n>
      <n v="247" in="1">
        <tpls c="6">
          <tpl fld="11" item="0"/>
          <tpl fld="2" item="2"/>
          <tpl fld="6" item="1"/>
          <tpl hier="236" item="1"/>
          <tpl fld="4" item="4"/>
          <tpl fld="10" item="6"/>
        </tpls>
      </n>
      <n v="1387" in="1">
        <tpls c="6">
          <tpl fld="3" item="1"/>
          <tpl fld="11" item="0"/>
          <tpl fld="6" item="1"/>
          <tpl hier="236" item="1"/>
          <tpl fld="4" item="4"/>
          <tpl fld="10" item="7"/>
        </tpls>
      </n>
      <n v="11.319999999999999" in="2">
        <tpls c="5">
          <tpl fld="11" item="0"/>
          <tpl fld="6" item="2"/>
          <tpl hier="236" item="1"/>
          <tpl fld="4" item="7"/>
          <tpl fld="10" item="2"/>
        </tpls>
      </n>
      <m>
        <tpls c="6">
          <tpl fld="11" item="0"/>
          <tpl fld="5" item="2"/>
          <tpl fld="6" item="1"/>
          <tpl hier="236" item="1"/>
          <tpl fld="4" item="3"/>
          <tpl fld="10" item="3"/>
        </tpls>
      </m>
      <n v="32.331351351351351" in="2">
        <tpls c="6">
          <tpl fld="3" item="4"/>
          <tpl fld="11" item="0"/>
          <tpl fld="6" item="2"/>
          <tpl hier="236" item="1"/>
          <tpl fld="4" item="6"/>
          <tpl fld="10" item="8"/>
        </tpls>
      </n>
      <m>
        <tpls c="4">
          <tpl fld="7" item="226"/>
          <tpl fld="6" item="2"/>
          <tpl hier="236" item="1"/>
          <tpl fld="4" item="6"/>
        </tpls>
      </m>
      <m>
        <tpls c="6">
          <tpl fld="3" item="2"/>
          <tpl fld="11" item="0"/>
          <tpl fld="6" item="2"/>
          <tpl hier="236" item="1"/>
          <tpl fld="4" item="3"/>
          <tpl fld="10" item="2"/>
        </tpls>
      </m>
      <n v="3" in="2">
        <tpls c="6">
          <tpl fld="3" item="3"/>
          <tpl fld="11" item="0"/>
          <tpl fld="6" item="2"/>
          <tpl hier="236" item="1"/>
          <tpl fld="4" item="4"/>
          <tpl fld="10" item="4"/>
        </tpls>
      </n>
      <m>
        <tpls c="4">
          <tpl fld="7" item="1062"/>
          <tpl fld="6" item="1"/>
          <tpl hier="236" item="1"/>
          <tpl fld="1" item="0"/>
        </tpls>
      </m>
      <n v="1.8" in="2">
        <tpls c="6">
          <tpl fld="11" item="0"/>
          <tpl fld="2" item="0"/>
          <tpl fld="6" item="2"/>
          <tpl hier="236" item="1"/>
          <tpl fld="4" item="3"/>
          <tpl fld="10" item="2"/>
        </tpls>
      </n>
      <n v="1.4" in="2">
        <tpls c="6">
          <tpl fld="11" item="0"/>
          <tpl fld="2" item="4"/>
          <tpl fld="6" item="2"/>
          <tpl hier="236" item="1"/>
          <tpl fld="4" item="7"/>
          <tpl fld="10" item="2"/>
        </tpls>
      </n>
      <n v="732" in="1">
        <tpls c="6">
          <tpl fld="11" item="0"/>
          <tpl fld="5" item="3"/>
          <tpl fld="6" item="1"/>
          <tpl hier="236" item="1"/>
          <tpl fld="4" item="1"/>
          <tpl fld="9" item="4"/>
        </tpls>
      </n>
      <n v="1" in="2">
        <tpls c="6">
          <tpl fld="11" item="0"/>
          <tpl fld="2" item="2"/>
          <tpl fld="6" item="2"/>
          <tpl hier="236" item="1"/>
          <tpl fld="4" item="3"/>
          <tpl fld="10" item="1"/>
        </tpls>
      </n>
      <n v="821" in="1">
        <tpls c="6">
          <tpl fld="3" item="3"/>
          <tpl fld="11" item="0"/>
          <tpl fld="6" item="1"/>
          <tpl hier="236" item="1"/>
          <tpl fld="4" item="4"/>
          <tpl fld="10" item="7"/>
        </tpls>
      </n>
      <n v="550" in="1">
        <tpls c="5">
          <tpl fld="11" item="0"/>
          <tpl fld="2" item="1"/>
          <tpl fld="6" item="1"/>
          <tpl hier="236" item="1"/>
          <tpl fld="4" item="0"/>
        </tpls>
      </n>
      <n v="13.4" in="2">
        <tpls c="5">
          <tpl fld="11" item="0"/>
          <tpl fld="6" item="2"/>
          <tpl hier="236" item="1"/>
          <tpl fld="4" item="4"/>
          <tpl fld="10" item="4"/>
        </tpls>
      </n>
      <m>
        <tpls c="4">
          <tpl fld="7" item="468"/>
          <tpl fld="6" item="2"/>
          <tpl hier="236" item="1"/>
          <tpl fld="4" item="1"/>
        </tpls>
      </m>
      <n v="111" in="1">
        <tpls c="6">
          <tpl fld="11" item="0"/>
          <tpl fld="2" item="0"/>
          <tpl fld="6" item="1"/>
          <tpl hier="236" item="1"/>
          <tpl fld="4" item="7"/>
          <tpl fld="10" item="7"/>
        </tpls>
      </n>
      <n v="3" in="2">
        <tpls c="6">
          <tpl fld="11" item="0"/>
          <tpl fld="6" item="2"/>
          <tpl fld="8" item="0"/>
          <tpl hier="236" item="1"/>
          <tpl fld="4" item="4"/>
          <tpl fld="10" item="2"/>
        </tpls>
      </n>
      <n v="13.647351351351352" in="2">
        <tpls c="6">
          <tpl fld="3" item="4"/>
          <tpl fld="11" item="0"/>
          <tpl fld="6" item="2"/>
          <tpl hier="236" item="1"/>
          <tpl fld="4" item="6"/>
          <tpl fld="10" item="2"/>
        </tpls>
      </n>
      <n v="279" in="1">
        <tpls c="6">
          <tpl fld="11" item="0"/>
          <tpl fld="6" item="1"/>
          <tpl fld="8" item="0"/>
          <tpl hier="236" item="1"/>
          <tpl fld="4" item="6"/>
          <tpl fld="10" item="5"/>
        </tpls>
      </n>
      <m>
        <tpls c="4">
          <tpl fld="7" item="113"/>
          <tpl fld="6" item="2"/>
          <tpl hier="236" item="1"/>
          <tpl fld="4" item="6"/>
        </tpls>
      </m>
      <n v="2557" in="1">
        <tpls c="6">
          <tpl fld="11" item="0"/>
          <tpl fld="2" item="1"/>
          <tpl fld="6" item="1"/>
          <tpl hier="236" item="1"/>
          <tpl fld="4" item="1"/>
          <tpl fld="9" item="4"/>
        </tpls>
      </n>
      <m>
        <tpls c="4">
          <tpl fld="7" item="225"/>
          <tpl fld="6" item="1"/>
          <tpl hier="236" item="1"/>
          <tpl fld="1" item="0"/>
        </tpls>
      </m>
      <n v="9" in="1">
        <tpls c="6">
          <tpl fld="11" item="0"/>
          <tpl fld="2" item="0"/>
          <tpl fld="6" item="1"/>
          <tpl hier="236" item="1"/>
          <tpl fld="4" item="3"/>
          <tpl fld="10" item="5"/>
        </tpls>
      </n>
      <m>
        <tpls c="6">
          <tpl fld="3" item="3"/>
          <tpl fld="11" item="0"/>
          <tpl fld="6" item="2"/>
          <tpl hier="236" item="1"/>
          <tpl fld="4" item="7"/>
          <tpl fld="10" item="6"/>
        </tpls>
      </m>
      <m>
        <tpls c="4">
          <tpl fld="7" item="221"/>
          <tpl fld="6" item="1"/>
          <tpl hier="236" item="1"/>
          <tpl fld="4" item="4"/>
        </tpls>
      </m>
      <m>
        <tpls c="6">
          <tpl fld="11" item="0"/>
          <tpl fld="2" item="2"/>
          <tpl fld="6" item="2"/>
          <tpl hier="236" item="1"/>
          <tpl fld="4" item="7"/>
          <tpl fld="10" item="4"/>
        </tpls>
      </m>
      <m>
        <tpls c="4">
          <tpl fld="7" item="108"/>
          <tpl fld="6" item="1"/>
          <tpl hier="236" item="1"/>
          <tpl fld="4" item="4"/>
        </tpls>
      </m>
      <m>
        <tpls c="3">
          <tpl fld="7" item="1210"/>
          <tpl fld="6" item="3"/>
          <tpl hier="236" item="1"/>
        </tpls>
      </m>
      <m>
        <tpls c="4">
          <tpl fld="7" item="751"/>
          <tpl fld="6" item="1"/>
          <tpl hier="236" item="1"/>
          <tpl fld="4" item="4"/>
        </tpls>
      </m>
      <m>
        <tpls c="4">
          <tpl fld="7" item="405"/>
          <tpl fld="6" item="2"/>
          <tpl hier="236" item="1"/>
          <tpl fld="4" item="4"/>
        </tpls>
      </m>
      <m>
        <tpls c="3">
          <tpl fld="7" item="48"/>
          <tpl fld="6" item="3"/>
          <tpl hier="236" item="1"/>
        </tpls>
      </m>
      <m>
        <tpls c="3">
          <tpl fld="7" item="56"/>
          <tpl fld="6" item="3"/>
          <tpl hier="236" item="1"/>
        </tpls>
      </m>
      <m>
        <tpls c="3">
          <tpl fld="7" item="71"/>
          <tpl fld="6" item="3"/>
          <tpl hier="236" item="1"/>
        </tpls>
      </m>
      <m>
        <tpls c="4">
          <tpl fld="7" item="300"/>
          <tpl fld="6" item="1"/>
          <tpl hier="236" item="1"/>
          <tpl fld="4" item="6"/>
        </tpls>
      </m>
      <m>
        <tpls c="4">
          <tpl fld="7" item="204"/>
          <tpl fld="6" item="1"/>
          <tpl hier="236" item="1"/>
          <tpl fld="4" item="6"/>
        </tpls>
      </m>
      <m>
        <tpls c="4">
          <tpl fld="7" item="109"/>
          <tpl fld="6" item="1"/>
          <tpl hier="236" item="1"/>
          <tpl fld="1" item="0"/>
        </tpls>
      </m>
      <m>
        <tpls c="4">
          <tpl fld="7" item="590"/>
          <tpl fld="6" item="2"/>
          <tpl hier="236" item="1"/>
          <tpl fld="4" item="1"/>
        </tpls>
      </m>
      <m>
        <tpls c="4">
          <tpl fld="7" item="1185"/>
          <tpl fld="6" item="1"/>
          <tpl hier="236" item="1"/>
          <tpl fld="4" item="6"/>
        </tpls>
      </m>
      <n v="1875" in="1">
        <tpls c="5">
          <tpl fld="11" item="0"/>
          <tpl fld="5" item="2"/>
          <tpl fld="6" item="1"/>
          <tpl hier="236" item="1"/>
          <tpl fld="1" item="0"/>
        </tpls>
      </n>
      <n v="52" in="1">
        <tpls c="6">
          <tpl fld="11" item="0"/>
          <tpl fld="2" item="2"/>
          <tpl fld="6" item="1"/>
          <tpl hier="236" item="1"/>
          <tpl fld="4" item="6"/>
          <tpl fld="10" item="5"/>
        </tpls>
      </n>
      <m>
        <tpls c="6">
          <tpl fld="11" item="0"/>
          <tpl fld="6" item="2"/>
          <tpl fld="8" item="0"/>
          <tpl hier="236" item="1"/>
          <tpl fld="4" item="6"/>
          <tpl fld="10" item="1"/>
        </tpls>
      </m>
      <m>
        <tpls c="6">
          <tpl fld="11" item="0"/>
          <tpl fld="5" item="1"/>
          <tpl fld="6" item="2"/>
          <tpl hier="236" item="1"/>
          <tpl fld="4" item="3"/>
          <tpl fld="10" item="4"/>
        </tpls>
      </m>
      <n v="938" in="1">
        <tpls c="5">
          <tpl fld="11" item="0"/>
          <tpl fld="6" item="1"/>
          <tpl fld="8" item="1"/>
          <tpl hier="236" item="1"/>
          <tpl fld="4" item="0"/>
        </tpls>
      </n>
      <m>
        <tpls c="4">
          <tpl fld="7" item="239"/>
          <tpl fld="6" item="2"/>
          <tpl hier="236" item="1"/>
          <tpl fld="4" item="1"/>
        </tpls>
      </m>
      <m>
        <tpls c="4">
          <tpl fld="7" item="328"/>
          <tpl fld="6" item="2"/>
          <tpl hier="236" item="1"/>
          <tpl fld="4" item="1"/>
        </tpls>
      </m>
      <m>
        <tpls c="4">
          <tpl fld="7" item="145"/>
          <tpl fld="6" item="2"/>
          <tpl hier="236" item="1"/>
          <tpl fld="4" item="1"/>
        </tpls>
      </m>
      <m>
        <tpls c="4">
          <tpl fld="7" item="47"/>
          <tpl fld="6" item="1"/>
          <tpl hier="236" item="1"/>
          <tpl fld="1" item="0"/>
        </tpls>
      </m>
      <m>
        <tpls c="4">
          <tpl fld="7" item="55"/>
          <tpl fld="6" item="1"/>
          <tpl hier="236" item="1"/>
          <tpl fld="1" item="0"/>
        </tpls>
      </m>
      <m>
        <tpls c="4">
          <tpl fld="7" item="342"/>
          <tpl fld="6" item="2"/>
          <tpl hier="236" item="1"/>
          <tpl fld="4" item="4"/>
        </tpls>
      </m>
      <m>
        <tpls c="4">
          <tpl fld="7" item="416"/>
          <tpl fld="6" item="1"/>
          <tpl hier="236" item="1"/>
          <tpl fld="4" item="4"/>
        </tpls>
      </m>
      <m>
        <tpls c="4">
          <tpl fld="7" item="95"/>
          <tpl fld="6" item="1"/>
          <tpl hier="236" item="1"/>
          <tpl fld="4" item="4"/>
        </tpls>
      </m>
      <m>
        <tpls c="6">
          <tpl fld="11" item="0"/>
          <tpl fld="6" item="2"/>
          <tpl fld="8" item="0"/>
          <tpl hier="236" item="1"/>
          <tpl fld="4" item="7"/>
          <tpl fld="10" item="6"/>
        </tpls>
      </m>
      <m>
        <tpls c="4">
          <tpl fld="7" item="30"/>
          <tpl fld="6" item="1"/>
          <tpl hier="236" item="1"/>
          <tpl fld="4" item="6"/>
        </tpls>
      </m>
      <m>
        <tpls c="4">
          <tpl fld="7" item="406"/>
          <tpl fld="6" item="2"/>
          <tpl hier="236" item="1"/>
          <tpl fld="4" item="6"/>
        </tpls>
      </m>
      <n v="18" in="1">
        <tpls c="6">
          <tpl fld="11" item="0"/>
          <tpl fld="2" item="0"/>
          <tpl fld="6" item="1"/>
          <tpl hier="236" item="1"/>
          <tpl fld="4" item="6"/>
          <tpl fld="10" item="1"/>
        </tpls>
      </n>
      <n v="448" in="1">
        <tpls c="6">
          <tpl fld="3" item="4"/>
          <tpl fld="11" item="0"/>
          <tpl fld="6" item="1"/>
          <tpl hier="236" item="1"/>
          <tpl fld="4" item="6"/>
          <tpl fld="10" item="4"/>
        </tpls>
      </n>
      <m>
        <tpls c="4">
          <tpl fld="7" item="3"/>
          <tpl fld="6" item="1"/>
          <tpl hier="236" item="1"/>
          <tpl fld="1" item="0"/>
        </tpls>
      </m>
      <n v="1.72" in="2">
        <tpls c="6">
          <tpl fld="11" item="0"/>
          <tpl fld="2" item="3"/>
          <tpl fld="6" item="2"/>
          <tpl hier="236" item="1"/>
          <tpl fld="4" item="3"/>
          <tpl fld="10" item="1"/>
        </tpls>
      </n>
      <n v="15.646486486486486" in="2">
        <tpls c="5">
          <tpl fld="11" item="0"/>
          <tpl fld="6" item="2"/>
          <tpl fld="8" item="0"/>
          <tpl hier="236" item="1"/>
          <tpl fld="4" item="2"/>
        </tpls>
      </n>
      <m>
        <tpls c="4">
          <tpl fld="7" item="1198"/>
          <tpl fld="6" item="2"/>
          <tpl hier="236" item="1"/>
          <tpl fld="4" item="6"/>
        </tpls>
      </m>
      <m>
        <tpls c="4">
          <tpl fld="7" item="471"/>
          <tpl fld="6" item="1"/>
          <tpl hier="236" item="1"/>
          <tpl fld="4" item="4"/>
        </tpls>
      </m>
      <m>
        <tpls c="4">
          <tpl fld="7" item="146"/>
          <tpl fld="6" item="2"/>
          <tpl hier="236" item="1"/>
          <tpl fld="4" item="1"/>
        </tpls>
      </m>
      <m>
        <tpls c="3">
          <tpl fld="7" item="264"/>
          <tpl fld="6" item="3"/>
          <tpl hier="236" item="1"/>
        </tpls>
      </m>
      <m>
        <tpls c="3">
          <tpl fld="7" item="272"/>
          <tpl fld="6" item="3"/>
          <tpl hier="236" item="1"/>
        </tpls>
      </m>
      <m>
        <tpls c="4">
          <tpl fld="7" item="413"/>
          <tpl fld="6" item="2"/>
          <tpl hier="236" item="1"/>
          <tpl fld="4" item="4"/>
        </tpls>
      </m>
      <m>
        <tpls c="4">
          <tpl fld="7" item="673"/>
          <tpl fld="6" item="1"/>
          <tpl hier="236" item="1"/>
          <tpl fld="4" item="4"/>
        </tpls>
      </m>
      <m>
        <tpls c="4">
          <tpl fld="7" item="96"/>
          <tpl fld="6" item="1"/>
          <tpl hier="236" item="1"/>
          <tpl fld="4" item="4"/>
        </tpls>
      </m>
      <m>
        <tpls c="4">
          <tpl fld="7" item="194"/>
          <tpl fld="6" item="1"/>
          <tpl hier="236" item="1"/>
          <tpl fld="4" item="6"/>
        </tpls>
      </m>
      <n v="244" in="1">
        <tpls c="6">
          <tpl fld="3" item="3"/>
          <tpl fld="11" item="0"/>
          <tpl fld="6" item="1"/>
          <tpl hier="236" item="1"/>
          <tpl fld="4" item="3"/>
          <tpl fld="10" item="3"/>
        </tpls>
      </n>
      <m>
        <tpls c="4">
          <tpl fld="7" item="234"/>
          <tpl fld="6" item="1"/>
          <tpl hier="236" item="1"/>
          <tpl fld="4" item="4"/>
        </tpls>
      </m>
      <m>
        <tpls c="4">
          <tpl fld="7" item="334"/>
          <tpl fld="6" item="2"/>
          <tpl hier="236" item="1"/>
          <tpl fld="4" item="1"/>
        </tpls>
      </m>
      <m>
        <tpls c="4">
          <tpl fld="7" item="155"/>
          <tpl fld="6" item="1"/>
          <tpl hier="236" item="1"/>
          <tpl fld="4" item="6"/>
        </tpls>
      </m>
      <m>
        <tpls c="4">
          <tpl fld="7" item="163"/>
          <tpl fld="6" item="1"/>
          <tpl hier="236" item="1"/>
          <tpl fld="4" item="6"/>
        </tpls>
      </m>
      <m>
        <tpls c="4">
          <tpl fld="7" item="286"/>
          <tpl fld="6" item="2"/>
          <tpl hier="236" item="1"/>
          <tpl fld="4" item="4"/>
        </tpls>
      </m>
      <m>
        <tpls c="4">
          <tpl fld="7" item="299"/>
          <tpl fld="6" item="1"/>
          <tpl hier="236" item="1"/>
          <tpl fld="4" item="4"/>
        </tpls>
      </m>
      <m>
        <tpls c="4">
          <tpl fld="7" item="18"/>
          <tpl fld="6" item="2"/>
          <tpl hier="236" item="1"/>
          <tpl fld="4" item="1"/>
        </tpls>
      </m>
      <m>
        <tpls c="3">
          <tpl fld="7" item="28"/>
          <tpl fld="6" item="3"/>
          <tpl hier="236" item="1"/>
        </tpls>
      </m>
      <m>
        <tpls c="4">
          <tpl fld="7" item="181"/>
          <tpl fld="6" item="2"/>
          <tpl hier="236" item="1"/>
          <tpl fld="4" item="1"/>
        </tpls>
      </m>
      <m>
        <tpls c="4">
          <tpl fld="7" item="250"/>
          <tpl fld="6" item="1"/>
          <tpl hier="236" item="1"/>
          <tpl fld="4" item="4"/>
        </tpls>
      </m>
      <m>
        <tpls c="4">
          <tpl fld="7" item="161"/>
          <tpl fld="6" item="2"/>
          <tpl hier="236" item="1"/>
          <tpl fld="4" item="6"/>
        </tpls>
      </m>
      <m>
        <tpls c="4">
          <tpl fld="7" item="71"/>
          <tpl fld="6" item="1"/>
          <tpl hier="236" item="1"/>
          <tpl fld="4" item="6"/>
        </tpls>
      </m>
      <m>
        <tpls c="4">
          <tpl fld="7" item="195"/>
          <tpl fld="6" item="2"/>
          <tpl hier="236" item="1"/>
          <tpl fld="4" item="4"/>
        </tpls>
      </m>
      <n v="282" in="1">
        <tpls c="6">
          <tpl fld="11" item="0"/>
          <tpl fld="2" item="1"/>
          <tpl fld="6" item="1"/>
          <tpl hier="236" item="1"/>
          <tpl fld="4" item="4"/>
          <tpl fld="10" item="4"/>
        </tpls>
      </n>
      <m>
        <tpls c="4">
          <tpl fld="7" item="327"/>
          <tpl fld="6" item="1"/>
          <tpl hier="236" item="1"/>
          <tpl fld="4" item="4"/>
        </tpls>
      </m>
      <m>
        <tpls c="3">
          <tpl fld="7" item="670"/>
          <tpl fld="6" item="3"/>
          <tpl hier="236" item="1"/>
        </tpls>
      </m>
      <m>
        <tpls c="4">
          <tpl fld="7" item="46"/>
          <tpl fld="6" item="2"/>
          <tpl hier="236" item="1"/>
          <tpl fld="4" item="4"/>
        </tpls>
      </m>
      <m>
        <tpls c="4">
          <tpl fld="7" item="54"/>
          <tpl fld="6" item="2"/>
          <tpl hier="236" item="1"/>
          <tpl fld="4" item="4"/>
        </tpls>
      </m>
      <m>
        <tpls c="4">
          <tpl fld="7" item="68"/>
          <tpl fld="6" item="1"/>
          <tpl hier="236" item="1"/>
          <tpl fld="4" item="4"/>
        </tpls>
      </m>
      <m>
        <tpls c="4">
          <tpl fld="7" item="297"/>
          <tpl fld="6" item="2"/>
          <tpl hier="236" item="1"/>
          <tpl fld="4" item="1"/>
        </tpls>
      </m>
      <m>
        <tpls c="4">
          <tpl fld="7" item="201"/>
          <tpl fld="6" item="2"/>
          <tpl hier="236" item="1"/>
          <tpl fld="4" item="1"/>
        </tpls>
      </m>
      <n v="12.479999999999999" in="2">
        <tpls c="6">
          <tpl fld="11" item="0"/>
          <tpl fld="6" item="2"/>
          <tpl fld="8" item="0"/>
          <tpl hier="236" item="1"/>
          <tpl fld="4" item="4"/>
          <tpl fld="10" item="8"/>
        </tpls>
      </n>
      <m>
        <tpls c="4">
          <tpl fld="7" item="57"/>
          <tpl fld="6" item="1"/>
          <tpl hier="236" item="1"/>
          <tpl fld="4" item="5"/>
        </tpls>
      </m>
      <n v="0.16" in="2">
        <tpls c="4">
          <tpl fld="7" item="319"/>
          <tpl fld="6" item="2"/>
          <tpl hier="236" item="1"/>
          <tpl fld="4" item="4"/>
        </tpls>
      </n>
      <n v="1" in="2">
        <tpls c="4">
          <tpl fld="7" item="981"/>
          <tpl fld="6" item="2"/>
          <tpl hier="236" item="1"/>
          <tpl fld="4" item="4"/>
        </tpls>
      </n>
      <n v="5" in="1">
        <tpls c="4">
          <tpl fld="7" item="600"/>
          <tpl fld="6" item="1"/>
          <tpl hier="236" item="1"/>
          <tpl fld="4" item="4"/>
        </tpls>
      </n>
      <m>
        <tpls c="4">
          <tpl fld="7" item="456"/>
          <tpl fld="6" item="2"/>
          <tpl hier="236" item="1"/>
          <tpl fld="4" item="1"/>
        </tpls>
      </m>
      <m>
        <tpls c="4">
          <tpl fld="7" item="533"/>
          <tpl fld="6" item="2"/>
          <tpl hier="236" item="1"/>
          <tpl fld="4" item="1"/>
        </tpls>
      </m>
      <m>
        <tpls c="4">
          <tpl fld="7" item="769"/>
          <tpl fld="6" item="2"/>
          <tpl hier="236" item="1"/>
          <tpl fld="4" item="4"/>
        </tpls>
      </m>
      <n v="2.7199999999999998" in="2">
        <tpls c="6">
          <tpl fld="11" item="0"/>
          <tpl fld="6" item="2"/>
          <tpl fld="8" item="1"/>
          <tpl hier="236" item="1"/>
          <tpl fld="4" item="3"/>
          <tpl fld="10" item="1"/>
        </tpls>
      </n>
      <m>
        <tpls c="4">
          <tpl fld="7" item="274"/>
          <tpl fld="6" item="2"/>
          <tpl hier="236" item="1"/>
          <tpl fld="4" item="1"/>
        </tpls>
      </m>
      <m>
        <tpls c="4">
          <tpl fld="7" item="211"/>
          <tpl fld="6" item="1"/>
          <tpl hier="236" item="1"/>
          <tpl fld="4" item="4"/>
        </tpls>
      </m>
      <n v="0.08" in="2">
        <tpls c="4">
          <tpl fld="7" item="501"/>
          <tpl fld="6" item="2"/>
          <tpl hier="236" item="1"/>
          <tpl fld="4" item="4"/>
        </tpls>
      </n>
      <m>
        <tpls c="4">
          <tpl fld="7" item="514"/>
          <tpl fld="6" item="1"/>
          <tpl hier="236" item="1"/>
          <tpl fld="4" item="4"/>
        </tpls>
      </m>
      <n v="1" in="2">
        <tpls c="4">
          <tpl fld="7" item="683"/>
          <tpl fld="6" item="2"/>
          <tpl hier="236" item="1"/>
          <tpl fld="4" item="1"/>
        </tpls>
      </n>
      <n v="6" in="1">
        <tpls c="4">
          <tpl fld="7" item="533"/>
          <tpl fld="6" item="1"/>
          <tpl hier="236" item="1"/>
          <tpl fld="1" item="0"/>
        </tpls>
      </n>
      <m>
        <tpls c="4">
          <tpl fld="7" item="220"/>
          <tpl fld="6" item="2"/>
          <tpl hier="236" item="1"/>
          <tpl fld="4" item="6"/>
        </tpls>
      </m>
      <m>
        <tpls c="4">
          <tpl fld="7" item="330"/>
          <tpl fld="6" item="1"/>
          <tpl hier="236" item="1"/>
          <tpl fld="4" item="4"/>
        </tpls>
      </m>
      <m>
        <tpls c="4">
          <tpl fld="7" item="287"/>
          <tpl fld="6" item="1"/>
          <tpl hier="236" item="1"/>
          <tpl fld="4" item="6"/>
        </tpls>
      </m>
      <m>
        <tpls c="3">
          <tpl fld="7" item="139"/>
          <tpl fld="6" item="3"/>
          <tpl hier="236" item="1"/>
        </tpls>
      </m>
      <n v="1" in="1">
        <tpls c="4">
          <tpl fld="7" item="1162"/>
          <tpl fld="6" item="1"/>
          <tpl hier="236" item="1"/>
          <tpl fld="4" item="6"/>
        </tpls>
      </n>
      <m>
        <tpls c="3">
          <tpl fld="7" item="939"/>
          <tpl fld="6" item="3"/>
          <tpl hier="236" item="1"/>
        </tpls>
      </m>
      <n v="1.6" in="2">
        <tpls c="6">
          <tpl fld="11" item="0"/>
          <tpl fld="2" item="0"/>
          <tpl fld="6" item="2"/>
          <tpl hier="236" item="1"/>
          <tpl fld="4" item="6"/>
          <tpl fld="10" item="5"/>
        </tpls>
      </n>
      <m>
        <tpls c="6">
          <tpl fld="11" item="0"/>
          <tpl fld="2" item="4"/>
          <tpl fld="6" item="2"/>
          <tpl hier="236" item="1"/>
          <tpl fld="4" item="7"/>
          <tpl fld="10" item="5"/>
        </tpls>
      </m>
      <m>
        <tpls c="6">
          <tpl fld="11" item="0"/>
          <tpl fld="5" item="4"/>
          <tpl fld="6" item="2"/>
          <tpl hier="236" item="1"/>
          <tpl fld="4" item="7"/>
          <tpl fld="10" item="5"/>
        </tpls>
      </m>
      <n v="242" in="1">
        <tpls c="6">
          <tpl fld="3" item="1"/>
          <tpl fld="11" item="0"/>
          <tpl fld="6" item="1"/>
          <tpl hier="236" item="1"/>
          <tpl fld="4" item="4"/>
          <tpl fld="10" item="5"/>
        </tpls>
      </n>
      <m>
        <tpls c="4">
          <tpl fld="7" item="226"/>
          <tpl fld="6" item="1"/>
          <tpl hier="236" item="1"/>
          <tpl fld="4" item="4"/>
        </tpls>
      </m>
      <n v="1505" in="1">
        <tpls c="6">
          <tpl fld="3" item="3"/>
          <tpl fld="11" item="0"/>
          <tpl fld="6" item="1"/>
          <tpl hier="236" item="1"/>
          <tpl fld="4" item="3"/>
          <tpl fld="10" item="7"/>
        </tpls>
      </n>
      <n v="14" in="1">
        <tpls c="6">
          <tpl fld="11" item="0"/>
          <tpl fld="2" item="2"/>
          <tpl fld="6" item="1"/>
          <tpl hier="236" item="1"/>
          <tpl fld="4" item="1"/>
          <tpl fld="9" item="0"/>
        </tpls>
      </n>
      <n v="366" in="1">
        <tpls c="6">
          <tpl fld="3" item="2"/>
          <tpl fld="11" item="0"/>
          <tpl fld="6" item="1"/>
          <tpl hier="236" item="1"/>
          <tpl fld="4" item="6"/>
          <tpl fld="10" item="2"/>
        </tpls>
      </n>
      <m>
        <tpls c="4">
          <tpl fld="7" item="108"/>
          <tpl fld="6" item="1"/>
          <tpl hier="236" item="1"/>
          <tpl fld="4" item="5"/>
        </tpls>
      </m>
      <n v="20.362162162162161" in="2">
        <tpls c="5">
          <tpl fld="11" item="0"/>
          <tpl fld="2" item="1"/>
          <tpl fld="6" item="2"/>
          <tpl hier="236" item="1"/>
          <tpl fld="4" item="2"/>
        </tpls>
      </n>
      <n v="9614" in="1">
        <tpls c="5">
          <tpl fld="11" item="0"/>
          <tpl fld="2" item="3"/>
          <tpl fld="6" item="1"/>
          <tpl hier="236" item="1"/>
          <tpl fld="1" item="0"/>
        </tpls>
      </n>
      <m>
        <tpls c="3">
          <tpl fld="7" item="1202"/>
          <tpl fld="6" item="3"/>
          <tpl hier="236" item="1"/>
        </tpls>
      </m>
      <n v="126" in="1">
        <tpls c="6">
          <tpl fld="11" item="0"/>
          <tpl fld="5" item="1"/>
          <tpl fld="6" item="1"/>
          <tpl hier="236" item="1"/>
          <tpl fld="4" item="1"/>
          <tpl fld="9" item="2"/>
        </tpls>
      </n>
      <n v="112" in="1">
        <tpls c="6">
          <tpl fld="11" item="0"/>
          <tpl fld="2" item="0"/>
          <tpl fld="6" item="1"/>
          <tpl hier="236" item="1"/>
          <tpl fld="4" item="4"/>
          <tpl fld="10" item="3"/>
        </tpls>
      </n>
      <m>
        <tpls c="4">
          <tpl fld="7" item="1285"/>
          <tpl fld="6" item="2"/>
          <tpl hier="236" item="1"/>
          <tpl fld="4" item="5"/>
        </tpls>
      </m>
      <n v="150.91956756756761" in="2">
        <tpls c="6">
          <tpl fld="11" item="0"/>
          <tpl fld="2" item="1"/>
          <tpl fld="6" item="2"/>
          <tpl hier="236" item="1"/>
          <tpl fld="4" item="4"/>
          <tpl fld="10" item="0"/>
        </tpls>
      </n>
      <n v="18" in="1">
        <tpls c="6">
          <tpl fld="3" item="1"/>
          <tpl fld="11" item="0"/>
          <tpl fld="6" item="1"/>
          <tpl hier="236" item="1"/>
          <tpl fld="4" item="6"/>
          <tpl fld="10" item="6"/>
        </tpls>
      </n>
      <n v="94.402324324324326" in="2">
        <tpls c="6">
          <tpl fld="11" item="0"/>
          <tpl fld="5" item="2"/>
          <tpl fld="6" item="2"/>
          <tpl hier="236" item="1"/>
          <tpl fld="4" item="1"/>
          <tpl fld="9" item="4"/>
        </tpls>
      </n>
      <n v="283" in="1">
        <tpls c="5">
          <tpl fld="3" item="2"/>
          <tpl fld="11" item="0"/>
          <tpl fld="6" item="1"/>
          <tpl hier="236" item="1"/>
          <tpl fld="4" item="5"/>
        </tpls>
      </n>
      <m>
        <tpls c="4">
          <tpl fld="7" item="2"/>
          <tpl fld="6" item="1"/>
          <tpl hier="236" item="1"/>
          <tpl fld="1" item="0"/>
        </tpls>
      </m>
      <n v="6.5200000000000005" in="2">
        <tpls c="6">
          <tpl fld="11" item="0"/>
          <tpl fld="5" item="0"/>
          <tpl fld="6" item="2"/>
          <tpl hier="236" item="1"/>
          <tpl fld="4" item="6"/>
          <tpl fld="10" item="2"/>
        </tpls>
      </n>
      <m>
        <tpls c="6">
          <tpl fld="3" item="4"/>
          <tpl fld="11" item="0"/>
          <tpl fld="6" item="2"/>
          <tpl hier="236" item="1"/>
          <tpl fld="4" item="7"/>
          <tpl fld="10" item="3"/>
        </tpls>
      </m>
      <n v="8.1243243243243235" in="2">
        <tpls c="6">
          <tpl fld="11" item="0"/>
          <tpl fld="2" item="3"/>
          <tpl fld="6" item="2"/>
          <tpl hier="236" item="1"/>
          <tpl fld="4" item="6"/>
          <tpl fld="10" item="3"/>
        </tpls>
      </n>
      <n v="289" in="1">
        <tpls c="5">
          <tpl fld="11" item="0"/>
          <tpl fld="6" item="1"/>
          <tpl fld="8" item="0"/>
          <tpl hier="236" item="1"/>
          <tpl fld="4" item="2"/>
        </tpls>
      </n>
      <m>
        <tpls c="4">
          <tpl fld="7" item="466"/>
          <tpl fld="6" item="1"/>
          <tpl hier="236" item="1"/>
          <tpl fld="1" item="0"/>
        </tpls>
      </m>
      <m>
        <tpls c="4">
          <tpl fld="7" item="234"/>
          <tpl fld="6" item="2"/>
          <tpl hier="236" item="1"/>
          <tpl fld="4" item="1"/>
        </tpls>
      </m>
      <n v="2.5014054054054053" in="2">
        <tpls c="6">
          <tpl fld="11" item="0"/>
          <tpl fld="6" item="2"/>
          <tpl fld="8" item="0"/>
          <tpl hier="236" item="1"/>
          <tpl fld="4" item="6"/>
          <tpl fld="10" item="6"/>
        </tpls>
      </n>
      <m>
        <tpls c="6">
          <tpl fld="11" item="0"/>
          <tpl fld="5" item="3"/>
          <tpl fld="6" item="2"/>
          <tpl hier="236" item="1"/>
          <tpl fld="4" item="3"/>
          <tpl fld="10" item="5"/>
        </tpls>
      </m>
      <n v="37.519189189189184" in="2">
        <tpls c="6">
          <tpl fld="11" item="0"/>
          <tpl fld="2" item="1"/>
          <tpl fld="6" item="2"/>
          <tpl hier="236" item="1"/>
          <tpl fld="4" item="4"/>
          <tpl fld="10" item="6"/>
        </tpls>
      </n>
      <m>
        <tpls c="6">
          <tpl fld="3" item="0"/>
          <tpl fld="11" item="0"/>
          <tpl fld="6" item="2"/>
          <tpl hier="236" item="1"/>
          <tpl fld="4" item="7"/>
          <tpl fld="10" item="3"/>
        </tpls>
      </m>
      <n v="0" in="1">
        <tpls c="6">
          <tpl fld="3" item="2"/>
          <tpl fld="11" item="0"/>
          <tpl fld="6" item="1"/>
          <tpl hier="236" item="1"/>
          <tpl fld="4" item="7"/>
          <tpl fld="10" item="3"/>
        </tpls>
      </n>
      <n v="3988" in="1">
        <tpls c="6">
          <tpl fld="11" item="0"/>
          <tpl fld="6" item="1"/>
          <tpl fld="8" item="1"/>
          <tpl hier="236" item="1"/>
          <tpl fld="4" item="6"/>
          <tpl fld="10" item="8"/>
        </tpls>
      </n>
      <m>
        <tpls c="4">
          <tpl fld="7" item="979"/>
          <tpl fld="6" item="1"/>
          <tpl hier="236" item="1"/>
          <tpl fld="4" item="4"/>
        </tpls>
      </m>
      <m>
        <tpls c="4">
          <tpl fld="7" item="219"/>
          <tpl fld="6" item="1"/>
          <tpl hier="236" item="1"/>
          <tpl fld="1" item="0"/>
        </tpls>
      </m>
      <m>
        <tpls c="4">
          <tpl fld="7" item="250"/>
          <tpl fld="6" item="1"/>
          <tpl hier="236" item="1"/>
          <tpl fld="4" item="6"/>
        </tpls>
      </m>
      <m>
        <tpls c="3">
          <tpl fld="7" item="45"/>
          <tpl fld="6" item="3"/>
          <tpl hier="236" item="1"/>
        </tpls>
      </m>
      <m>
        <tpls c="3">
          <tpl fld="7" item="53"/>
          <tpl fld="6" item="3"/>
          <tpl hier="236" item="1"/>
        </tpls>
      </m>
      <m>
        <tpls c="4">
          <tpl fld="7" item="174"/>
          <tpl fld="6" item="2"/>
          <tpl hier="236" item="1"/>
          <tpl fld="4" item="1"/>
        </tpls>
      </m>
      <m>
        <tpls c="3">
          <tpl fld="7" item="79"/>
          <tpl fld="6" item="3"/>
          <tpl hier="236" item="1"/>
        </tpls>
      </m>
      <m>
        <tpls c="3">
          <tpl fld="7" item="1083"/>
          <tpl fld="6" item="3"/>
          <tpl hier="236" item="1"/>
        </tpls>
      </m>
      <n v="704" in="1">
        <tpls c="4">
          <tpl fld="11" item="0"/>
          <tpl fld="6" item="1"/>
          <tpl hier="236" item="1"/>
          <tpl fld="4" item="2"/>
        </tpls>
      </n>
      <m>
        <tpls c="4">
          <tpl fld="7" item="243"/>
          <tpl fld="6" item="2"/>
          <tpl hier="236" item="1"/>
          <tpl fld="4" item="4"/>
        </tpls>
      </m>
      <m>
        <tpls c="4">
          <tpl fld="7" item="752"/>
          <tpl fld="6" item="2"/>
          <tpl hier="236" item="1"/>
          <tpl fld="4" item="1"/>
        </tpls>
      </m>
      <m>
        <tpls c="6">
          <tpl fld="11" item="0"/>
          <tpl fld="5" item="1"/>
          <tpl fld="6" item="2"/>
          <tpl hier="236" item="1"/>
          <tpl fld="4" item="7"/>
          <tpl fld="10" item="0"/>
        </tpls>
      </m>
      <n v="2136" in="1">
        <tpls c="5">
          <tpl fld="11" item="0"/>
          <tpl fld="5" item="1"/>
          <tpl fld="6" item="1"/>
          <tpl hier="236" item="1"/>
          <tpl fld="1" item="0"/>
        </tpls>
      </n>
      <n v="10.559999999999999" in="2">
        <tpls c="6">
          <tpl fld="3" item="3"/>
          <tpl fld="11" item="0"/>
          <tpl fld="6" item="2"/>
          <tpl hier="236" item="1"/>
          <tpl fld="4" item="3"/>
          <tpl fld="10" item="7"/>
        </tpls>
      </n>
      <n v="-1" in="1">
        <tpls c="6">
          <tpl fld="3" item="4"/>
          <tpl fld="11" item="0"/>
          <tpl fld="6" item="1"/>
          <tpl hier="236" item="1"/>
          <tpl fld="4" item="3"/>
          <tpl fld="10" item="7"/>
        </tpls>
      </n>
      <n v="2346" in="1">
        <tpls c="6">
          <tpl fld="11" item="0"/>
          <tpl fld="6" item="1"/>
          <tpl fld="8" item="1"/>
          <tpl hier="236" item="1"/>
          <tpl fld="4" item="4"/>
          <tpl fld="10" item="2"/>
        </tpls>
      </n>
      <m>
        <tpls c="4">
          <tpl fld="7" item="9"/>
          <tpl fld="6" item="2"/>
          <tpl hier="236" item="1"/>
          <tpl fld="4" item="1"/>
        </tpls>
      </m>
      <m>
        <tpls c="6">
          <tpl fld="11" item="0"/>
          <tpl fld="6" item="2"/>
          <tpl fld="8" item="0"/>
          <tpl hier="236" item="1"/>
          <tpl fld="4" item="7"/>
          <tpl fld="10" item="5"/>
        </tpls>
      </m>
      <m>
        <tpls c="4">
          <tpl fld="7" item="474"/>
          <tpl fld="6" item="1"/>
          <tpl hier="236" item="1"/>
          <tpl fld="4" item="4"/>
        </tpls>
      </m>
      <m>
        <tpls c="4">
          <tpl fld="7" item="44"/>
          <tpl fld="6" item="1"/>
          <tpl hier="236" item="1"/>
          <tpl fld="1" item="0"/>
        </tpls>
      </m>
      <m>
        <tpls c="4">
          <tpl fld="7" item="52"/>
          <tpl fld="6" item="1"/>
          <tpl hier="236" item="1"/>
          <tpl fld="1" item="0"/>
        </tpls>
      </m>
      <m>
        <tpls c="4">
          <tpl fld="7" item="281"/>
          <tpl fld="6" item="1"/>
          <tpl hier="236" item="1"/>
          <tpl fld="4" item="6"/>
        </tpls>
      </m>
      <m>
        <tpls c="4">
          <tpl fld="7" item="344"/>
          <tpl fld="6" item="2"/>
          <tpl hier="236" item="1"/>
          <tpl fld="4" item="4"/>
        </tpls>
      </m>
      <m>
        <tpls c="4">
          <tpl fld="7" item="90"/>
          <tpl fld="6" item="2"/>
          <tpl hier="236" item="1"/>
          <tpl fld="4" item="4"/>
        </tpls>
      </m>
      <m>
        <tpls c="6">
          <tpl fld="3" item="4"/>
          <tpl fld="11" item="0"/>
          <tpl fld="6" item="2"/>
          <tpl hier="236" item="1"/>
          <tpl fld="4" item="7"/>
          <tpl fld="10" item="6"/>
        </tpls>
      </m>
      <m>
        <tpls c="4">
          <tpl fld="7" item="237"/>
          <tpl fld="6" item="1"/>
          <tpl hier="236" item="1"/>
          <tpl fld="4" item="4"/>
        </tpls>
      </m>
      <m>
        <tpls c="4">
          <tpl fld="7" item="38"/>
          <tpl fld="6" item="1"/>
          <tpl hier="236" item="1"/>
          <tpl fld="4" item="6"/>
        </tpls>
      </m>
      <n v="3.7935900502272184E-2" in="0">
        <tpls c="5">
          <tpl fld="3" item="4"/>
          <tpl fld="11" item="0"/>
          <tpl fld="6" item="0"/>
          <tpl hier="236" item="1"/>
          <tpl fld="4" item="2"/>
        </tpls>
      </n>
      <n v="0.8" in="2">
        <tpls c="6">
          <tpl fld="11" item="0"/>
          <tpl fld="2" item="2"/>
          <tpl fld="6" item="2"/>
          <tpl hier="236" item="1"/>
          <tpl fld="4" item="1"/>
          <tpl fld="9" item="0"/>
        </tpls>
      </n>
      <m>
        <tpls c="6">
          <tpl fld="3" item="0"/>
          <tpl fld="11" item="0"/>
          <tpl fld="6" item="2"/>
          <tpl hier="236" item="1"/>
          <tpl fld="4" item="6"/>
          <tpl fld="10" item="6"/>
        </tpls>
      </m>
      <n v="2.5054054054054054" in="2">
        <tpls c="6">
          <tpl fld="3" item="0"/>
          <tpl fld="11" item="0"/>
          <tpl fld="6" item="2"/>
          <tpl hier="236" item="1"/>
          <tpl fld="4" item="4"/>
          <tpl fld="10" item="0"/>
        </tpls>
      </n>
      <n v="1.24" in="2">
        <tpls c="5">
          <tpl fld="11" item="0"/>
          <tpl fld="6" item="2"/>
          <tpl hier="236" item="1"/>
          <tpl fld="4" item="6"/>
          <tpl fld="10" item="1"/>
        </tpls>
      </n>
      <m>
        <tpls c="4">
          <tpl fld="7" item="398"/>
          <tpl fld="6" item="1"/>
          <tpl hier="236" item="1"/>
          <tpl fld="4" item="4"/>
        </tpls>
      </m>
      <m>
        <tpls c="4">
          <tpl fld="7" item="325"/>
          <tpl fld="6" item="2"/>
          <tpl hier="236" item="1"/>
          <tpl fld="4" item="6"/>
        </tpls>
      </m>
      <m>
        <tpls c="4">
          <tpl fld="7" item="333"/>
          <tpl fld="6" item="1"/>
          <tpl hier="236" item="1"/>
          <tpl fld="4" item="4"/>
        </tpls>
      </m>
      <m>
        <tpls c="3">
          <tpl fld="7" item="261"/>
          <tpl fld="6" item="3"/>
          <tpl hier="236" item="1"/>
        </tpls>
      </m>
      <m>
        <tpls c="3">
          <tpl fld="7" item="269"/>
          <tpl fld="6" item="3"/>
          <tpl hier="236" item="1"/>
        </tpls>
      </m>
      <m>
        <tpls c="4">
          <tpl fld="7" item="282"/>
          <tpl fld="6" item="1"/>
          <tpl hier="236" item="1"/>
          <tpl fld="4" item="6"/>
        </tpls>
      </m>
      <m>
        <tpls c="4">
          <tpl fld="7" item="415"/>
          <tpl fld="6" item="2"/>
          <tpl hier="236" item="1"/>
          <tpl fld="4" item="4"/>
        </tpls>
      </m>
      <m>
        <tpls c="4">
          <tpl fld="7" item="91"/>
          <tpl fld="6" item="2"/>
          <tpl hier="236" item="1"/>
          <tpl fld="4" item="4"/>
        </tpls>
      </m>
      <n v="6.509189189189188" in="2">
        <tpls c="6">
          <tpl fld="3" item="1"/>
          <tpl fld="11" item="0"/>
          <tpl fld="6" item="2"/>
          <tpl hier="236" item="1"/>
          <tpl fld="4" item="3"/>
          <tpl fld="10" item="4"/>
        </tpls>
      </n>
      <m>
        <tpls c="4">
          <tpl fld="7" item="242"/>
          <tpl fld="6" item="1"/>
          <tpl hier="236" item="1"/>
          <tpl fld="4" item="4"/>
        </tpls>
      </m>
      <m>
        <tpls c="4">
          <tpl fld="7" item="39"/>
          <tpl fld="6" item="1"/>
          <tpl hier="236" item="1"/>
          <tpl fld="4" item="6"/>
        </tpls>
      </m>
      <m>
        <tpls c="4">
          <tpl fld="7" item="156"/>
          <tpl fld="6" item="1"/>
          <tpl hier="236" item="1"/>
          <tpl fld="4" item="6"/>
        </tpls>
      </m>
      <m>
        <tpls c="4">
          <tpl fld="7" item="164"/>
          <tpl fld="6" item="1"/>
          <tpl hier="236" item="1"/>
          <tpl fld="4" item="6"/>
        </tpls>
      </m>
      <m>
        <tpls c="4">
          <tpl fld="7" item="754"/>
          <tpl fld="6" item="2"/>
          <tpl hier="236" item="1"/>
          <tpl fld="4" item="1"/>
        </tpls>
      </m>
      <n v="-1" in="1">
        <tpls c="4">
          <tpl fld="7" item="192"/>
          <tpl fld="6" item="1"/>
          <tpl hier="236" item="1"/>
          <tpl fld="1" item="0"/>
        </tpls>
      </n>
      <n v="279.45340540540553" in="2">
        <tpls c="6">
          <tpl fld="11" item="0"/>
          <tpl fld="6" item="2"/>
          <tpl fld="8" item="1"/>
          <tpl hier="236" item="1"/>
          <tpl fld="4" item="1"/>
          <tpl fld="9" item="4"/>
        </tpls>
      </n>
      <m>
        <tpls c="4">
          <tpl fld="7" item="404"/>
          <tpl fld="6" item="1"/>
          <tpl hier="236" item="1"/>
          <tpl fld="4" item="4"/>
        </tpls>
      </m>
      <m>
        <tpls c="4">
          <tpl fld="7" item="593"/>
          <tpl fld="6" item="2"/>
          <tpl hier="236" item="1"/>
          <tpl fld="4" item="4"/>
        </tpls>
      </m>
      <m>
        <tpls c="4">
          <tpl fld="7" item="40"/>
          <tpl fld="6" item="1"/>
          <tpl hier="236" item="1"/>
          <tpl fld="4" item="6"/>
        </tpls>
      </m>
      <m>
        <tpls c="4">
          <tpl fld="7" item="409"/>
          <tpl fld="6" item="2"/>
          <tpl hier="236" item="1"/>
          <tpl fld="4" item="6"/>
        </tpls>
      </m>
      <m>
        <tpls c="3">
          <tpl fld="7" item="181"/>
          <tpl fld="6" item="3"/>
          <tpl hier="236" item="1"/>
        </tpls>
      </m>
      <m>
        <tpls c="4">
          <tpl fld="7" item="89"/>
          <tpl fld="6" item="2"/>
          <tpl hier="236" item="1"/>
          <tpl fld="4" item="1"/>
        </tpls>
      </m>
      <n v="22" in="1">
        <tpls c="6">
          <tpl fld="3" item="1"/>
          <tpl fld="11" item="0"/>
          <tpl fld="6" item="1"/>
          <tpl hier="236" item="1"/>
          <tpl fld="4" item="6"/>
          <tpl fld="10" item="1"/>
        </tpls>
      </n>
      <m>
        <tpls c="4">
          <tpl fld="7" item="16"/>
          <tpl fld="6" item="1"/>
          <tpl hier="236" item="1"/>
          <tpl fld="4" item="4"/>
        </tpls>
      </m>
      <m>
        <tpls c="4">
          <tpl fld="7" item="37"/>
          <tpl fld="6" item="2"/>
          <tpl hier="236" item="1"/>
          <tpl fld="4" item="4"/>
        </tpls>
      </m>
      <m>
        <tpls c="4">
          <tpl fld="7" item="47"/>
          <tpl fld="6" item="2"/>
          <tpl hier="236" item="1"/>
          <tpl fld="4" item="4"/>
        </tpls>
      </m>
      <m>
        <tpls c="4">
          <tpl fld="7" item="55"/>
          <tpl fld="6" item="2"/>
          <tpl hier="236" item="1"/>
          <tpl fld="4" item="4"/>
        </tpls>
      </m>
      <m>
        <tpls c="3">
          <tpl fld="7" item="342"/>
          <tpl fld="6" item="3"/>
          <tpl hier="236" item="1"/>
        </tpls>
      </m>
      <m>
        <tpls c="4">
          <tpl fld="7" item="190"/>
          <tpl fld="6" item="1"/>
          <tpl hier="236" item="1"/>
          <tpl fld="4" item="6"/>
        </tpls>
      </m>
      <m>
        <tpls c="4">
          <tpl fld="7" item="311"/>
          <tpl fld="6" item="1"/>
          <tpl hier="236" item="1"/>
          <tpl fld="4" item="6"/>
        </tpls>
      </m>
      <m>
        <tpls c="4">
          <tpl fld="7" item="114"/>
          <tpl fld="6" item="1"/>
          <tpl hier="236" item="1"/>
          <tpl fld="1" item="0"/>
        </tpls>
      </m>
      <m>
        <tpls c="4">
          <tpl fld="7" item="174"/>
          <tpl fld="6" item="2"/>
          <tpl hier="236" item="1"/>
          <tpl fld="4" item="4"/>
        </tpls>
      </m>
      <m>
        <tpls c="4">
          <tpl fld="7" item="321"/>
          <tpl fld="6" item="2"/>
          <tpl hier="236" item="1"/>
          <tpl fld="4" item="4"/>
        </tpls>
      </m>
      <n v="2" in="2">
        <tpls c="4">
          <tpl fld="7" item="432"/>
          <tpl fld="6" item="2"/>
          <tpl hier="236" item="1"/>
          <tpl fld="4" item="1"/>
        </tpls>
      </n>
      <n v="1" in="3">
        <tpls c="3">
          <tpl fld="7" item="374"/>
          <tpl fld="6" item="3"/>
          <tpl hier="236" item="1"/>
        </tpls>
      </n>
      <m>
        <tpls c="4">
          <tpl fld="7" item="765"/>
          <tpl fld="6" item="2"/>
          <tpl hier="236" item="1"/>
          <tpl fld="4" item="1"/>
        </tpls>
      </m>
      <n v="1" in="1">
        <tpls c="4">
          <tpl fld="7" item="605"/>
          <tpl fld="6" item="1"/>
          <tpl hier="236" item="1"/>
          <tpl fld="4" item="4"/>
        </tpls>
      </n>
      <n v="18" in="1">
        <tpls c="4">
          <tpl fld="7" item="608"/>
          <tpl fld="6" item="1"/>
          <tpl hier="236" item="1"/>
          <tpl fld="4" item="6"/>
        </tpls>
      </n>
      <m>
        <tpls c="4">
          <tpl fld="7" item="116"/>
          <tpl fld="6" item="1"/>
          <tpl hier="236" item="1"/>
          <tpl fld="1" item="0"/>
        </tpls>
      </m>
      <m>
        <tpls c="4">
          <tpl fld="7" item="175"/>
          <tpl fld="6" item="2"/>
          <tpl hier="236" item="1"/>
          <tpl fld="4" item="4"/>
        </tpls>
      </m>
      <m>
        <tpls c="4">
          <tpl fld="7" item="105"/>
          <tpl fld="6" item="2"/>
          <tpl hier="236" item="1"/>
          <tpl fld="4" item="4"/>
        </tpls>
      </m>
      <n v="0.6" in="2">
        <tpls c="4">
          <tpl fld="7" item="677"/>
          <tpl fld="6" item="2"/>
          <tpl hier="236" item="1"/>
          <tpl fld="4" item="1"/>
        </tpls>
      </n>
      <n v="1" in="3">
        <tpls c="3">
          <tpl fld="7" item="445"/>
          <tpl fld="6" item="3"/>
          <tpl hier="236" item="1"/>
        </tpls>
      </n>
      <m>
        <tpls c="3">
          <tpl fld="7" item="528"/>
          <tpl fld="6" item="3"/>
          <tpl hier="236" item="1"/>
        </tpls>
      </m>
      <m>
        <tpls c="4">
          <tpl fld="7" item="605"/>
          <tpl fld="6" item="1"/>
          <tpl hier="236" item="1"/>
          <tpl fld="4" item="5"/>
        </tpls>
      </m>
      <n v="100" in="1">
        <tpls c="6">
          <tpl fld="3" item="4"/>
          <tpl fld="11" item="0"/>
          <tpl fld="6" item="1"/>
          <tpl hier="236" item="1"/>
          <tpl fld="4" item="6"/>
          <tpl fld="10" item="1"/>
        </tpls>
      </n>
      <m>
        <tpls c="3">
          <tpl fld="7" item="32"/>
          <tpl fld="6" item="3"/>
          <tpl hier="236" item="1"/>
        </tpls>
      </m>
      <m>
        <tpls c="4">
          <tpl fld="7" item="185"/>
          <tpl fld="6" item="2"/>
          <tpl hier="236" item="1"/>
          <tpl fld="4" item="1"/>
        </tpls>
      </m>
      <m>
        <tpls c="4">
          <tpl fld="7" item="254"/>
          <tpl fld="6" item="1"/>
          <tpl hier="236" item="1"/>
          <tpl fld="4" item="4"/>
        </tpls>
      </m>
      <m>
        <tpls c="4">
          <tpl fld="7" item="54"/>
          <tpl fld="6" item="2"/>
          <tpl hier="236" item="1"/>
          <tpl fld="4" item="6"/>
        </tpls>
      </m>
      <m>
        <tpls c="4">
          <tpl fld="7" item="484"/>
          <tpl fld="6" item="2"/>
          <tpl hier="236" item="1"/>
          <tpl fld="4" item="1"/>
        </tpls>
      </m>
      <m>
        <tpls c="4">
          <tpl fld="7" item="196"/>
          <tpl fld="6" item="2"/>
          <tpl hier="236" item="1"/>
          <tpl fld="4" item="4"/>
        </tpls>
      </m>
      <n v="1276" in="1">
        <tpls c="6">
          <tpl fld="3" item="3"/>
          <tpl fld="11" item="0"/>
          <tpl fld="6" item="1"/>
          <tpl hier="236" item="1"/>
          <tpl fld="4" item="4"/>
          <tpl fld="10" item="0"/>
        </tpls>
      </n>
      <m>
        <tpls c="4">
          <tpl fld="7" item="13"/>
          <tpl fld="6" item="2"/>
          <tpl hier="236" item="1"/>
          <tpl fld="4" item="1"/>
        </tpls>
      </m>
      <m>
        <tpls c="3">
          <tpl fld="7" item="475"/>
          <tpl fld="6" item="3"/>
          <tpl hier="236" item="1"/>
        </tpls>
      </m>
      <m>
        <tpls c="4">
          <tpl fld="7" item="263"/>
          <tpl fld="6" item="1"/>
          <tpl hier="236" item="1"/>
          <tpl fld="4" item="4"/>
        </tpls>
      </m>
      <m>
        <tpls c="4">
          <tpl fld="7" item="271"/>
          <tpl fld="6" item="1"/>
          <tpl hier="236" item="1"/>
          <tpl fld="4" item="4"/>
        </tpls>
      </m>
      <m>
        <tpls c="4">
          <tpl fld="7" item="69"/>
          <tpl fld="6" item="1"/>
          <tpl hier="236" item="1"/>
          <tpl fld="4" item="4"/>
        </tpls>
      </m>
      <m>
        <tpls c="4">
          <tpl fld="7" item="298"/>
          <tpl fld="6" item="2"/>
          <tpl hier="236" item="1"/>
          <tpl fld="4" item="1"/>
        </tpls>
      </m>
      <m>
        <tpls c="4">
          <tpl fld="7" item="202"/>
          <tpl fld="6" item="2"/>
          <tpl hier="236" item="1"/>
          <tpl fld="4" item="1"/>
        </tpls>
      </m>
      <m>
        <tpls c="4">
          <tpl fld="7" item="325"/>
          <tpl fld="6" item="1"/>
          <tpl hier="236" item="1"/>
          <tpl fld="4" item="5"/>
        </tpls>
      </m>
      <n v="3" in="1">
        <tpls c="6">
          <tpl fld="3" item="0"/>
          <tpl fld="11" item="0"/>
          <tpl fld="6" item="1"/>
          <tpl hier="236" item="1"/>
          <tpl fld="4" item="1"/>
          <tpl fld="9" item="3"/>
        </tpls>
      </n>
      <n v="4" in="1">
        <tpls c="4">
          <tpl fld="7" item="932"/>
          <tpl fld="6" item="1"/>
          <tpl hier="236" item="1"/>
          <tpl fld="4" item="6"/>
        </tpls>
      </n>
      <n v="35.676162162162164" in="2">
        <tpls c="6">
          <tpl fld="3" item="2"/>
          <tpl fld="11" item="0"/>
          <tpl fld="6" item="2"/>
          <tpl hier="236" item="1"/>
          <tpl fld="4" item="6"/>
          <tpl fld="10" item="2"/>
        </tpls>
      </n>
      <n v="13" in="1">
        <tpls c="6">
          <tpl fld="11" item="0"/>
          <tpl fld="2" item="0"/>
          <tpl fld="6" item="1"/>
          <tpl hier="236" item="1"/>
          <tpl fld="4" item="3"/>
          <tpl fld="10" item="1"/>
        </tpls>
      </n>
      <n v="10.976594594594594" in="2">
        <tpls c="6">
          <tpl fld="11" item="0"/>
          <tpl fld="2" item="3"/>
          <tpl fld="6" item="2"/>
          <tpl hier="236" item="1"/>
          <tpl fld="4" item="4"/>
          <tpl fld="10" item="3"/>
        </tpls>
      </n>
      <n v="55.138270270270269" in="2">
        <tpls c="6">
          <tpl fld="11" item="0"/>
          <tpl fld="6" item="2"/>
          <tpl fld="8" item="1"/>
          <tpl hier="236" item="1"/>
          <tpl fld="4" item="1"/>
          <tpl fld="9" item="1"/>
        </tpls>
      </n>
      <m>
        <tpls c="4">
          <tpl fld="7" item="240"/>
          <tpl fld="6" item="2"/>
          <tpl hier="236" item="1"/>
          <tpl fld="4" item="1"/>
        </tpls>
      </m>
      <n v="6.6" in="2">
        <tpls c="6">
          <tpl fld="11" item="0"/>
          <tpl fld="6" item="2"/>
          <tpl fld="8" item="0"/>
          <tpl hier="236" item="1"/>
          <tpl fld="4" item="3"/>
          <tpl fld="10" item="5"/>
        </tpls>
      </n>
      <m>
        <tpls c="4">
          <tpl fld="7" item="117"/>
          <tpl fld="6" item="2"/>
          <tpl hier="236" item="1"/>
          <tpl fld="4" item="1"/>
        </tpls>
      </m>
      <m>
        <tpls c="4">
          <tpl fld="7" item="483"/>
          <tpl fld="6" item="2"/>
          <tpl hier="236" item="1"/>
          <tpl fld="4" item="4"/>
        </tpls>
      </m>
      <m>
        <tpls c="4">
          <tpl fld="7" item="29"/>
          <tpl fld="6" item="1"/>
          <tpl hier="236" item="1"/>
          <tpl fld="4" item="6"/>
        </tpls>
      </m>
      <n v="0.52" in="2">
        <tpls c="6">
          <tpl fld="11" item="0"/>
          <tpl fld="6" item="2"/>
          <tpl fld="8" item="0"/>
          <tpl hier="236" item="1"/>
          <tpl fld="4" item="1"/>
          <tpl fld="9" item="3"/>
        </tpls>
      </n>
      <m>
        <tpls c="4">
          <tpl fld="7" item="113"/>
          <tpl fld="6" item="2"/>
          <tpl hier="236" item="1"/>
          <tpl fld="4" item="1"/>
        </tpls>
      </m>
      <m>
        <tpls c="4">
          <tpl fld="7" item="175"/>
          <tpl fld="6" item="2"/>
          <tpl hier="236" item="1"/>
          <tpl fld="4" item="1"/>
        </tpls>
      </m>
      <m>
        <tpls c="4">
          <tpl fld="7" item="244"/>
          <tpl fld="6" item="1"/>
          <tpl hier="236" item="1"/>
          <tpl fld="4" item="4"/>
        </tpls>
      </m>
      <n v="2683" in="1">
        <tpls c="6">
          <tpl fld="11" item="0"/>
          <tpl fld="6" item="1"/>
          <tpl fld="8" item="1"/>
          <tpl hier="236" item="1"/>
          <tpl fld="4" item="6"/>
          <tpl fld="10" item="7"/>
        </tpls>
      </n>
      <m>
        <tpls c="4">
          <tpl fld="7" item="8"/>
          <tpl fld="6" item="1"/>
          <tpl hier="236" item="1"/>
          <tpl fld="4" item="5"/>
        </tpls>
      </m>
      <m>
        <tpls c="4">
          <tpl fld="7" item="176"/>
          <tpl fld="6" item="2"/>
          <tpl hier="236" item="1"/>
          <tpl fld="4" item="1"/>
        </tpls>
      </m>
      <m>
        <tpls c="4">
          <tpl fld="7" item="245"/>
          <tpl fld="6" item="1"/>
          <tpl hier="236" item="1"/>
          <tpl fld="4" item="4"/>
        </tpls>
      </m>
      <m>
        <tpls c="4">
          <tpl fld="7" item="290"/>
          <tpl fld="6" item="2"/>
          <tpl hier="236" item="1"/>
          <tpl fld="4" item="4"/>
        </tpls>
      </m>
      <m>
        <tpls c="4">
          <tpl fld="7" item="89"/>
          <tpl fld="6" item="1"/>
          <tpl hier="236" item="1"/>
          <tpl fld="4" item="4"/>
        </tpls>
      </m>
      <m>
        <tpls c="4">
          <tpl fld="7" item="199"/>
          <tpl fld="6" item="2"/>
          <tpl hier="236" item="1"/>
          <tpl fld="4" item="4"/>
        </tpls>
      </m>
      <m>
        <tpls c="4">
          <tpl fld="7" item="478"/>
          <tpl fld="6" item="2"/>
          <tpl hier="236" item="1"/>
          <tpl fld="4" item="4"/>
        </tpls>
      </m>
      <m>
        <tpls c="4">
          <tpl fld="7" item="205"/>
          <tpl fld="6" item="2"/>
          <tpl hier="236" item="1"/>
          <tpl fld="4" item="1"/>
        </tpls>
      </m>
      <n v="2" in="2">
        <tpls c="4">
          <tpl fld="7" item="1084"/>
          <tpl fld="6" item="2"/>
          <tpl hier="236" item="1"/>
          <tpl fld="4" item="4"/>
        </tpls>
      </n>
      <n v="0.15113513513513513" in="2">
        <tpls c="4">
          <tpl fld="7" item="984"/>
          <tpl fld="6" item="2"/>
          <tpl hier="236" item="1"/>
          <tpl fld="4" item="6"/>
        </tpls>
      </n>
      <n v="1" in="2">
        <tpls c="4">
          <tpl fld="7" item="505"/>
          <tpl fld="6" item="2"/>
          <tpl hier="236" item="1"/>
          <tpl fld="4" item="4"/>
        </tpls>
      </n>
      <m>
        <tpls c="6">
          <tpl fld="3" item="1"/>
          <tpl fld="11" item="0"/>
          <tpl fld="6" item="2"/>
          <tpl hier="236" item="1"/>
          <tpl fld="4" item="6"/>
          <tpl fld="10" item="6"/>
        </tpls>
      </m>
      <m>
        <tpls c="4">
          <tpl fld="7" item="591"/>
          <tpl fld="6" item="1"/>
          <tpl hier="236" item="1"/>
          <tpl fld="4" item="6"/>
        </tpls>
      </m>
      <m>
        <tpls c="4">
          <tpl fld="7" item="67"/>
          <tpl fld="6" item="1"/>
          <tpl hier="236" item="1"/>
          <tpl fld="4" item="6"/>
        </tpls>
      </m>
      <m>
        <tpls c="4">
          <tpl fld="7" item="197"/>
          <tpl fld="6" item="1"/>
          <tpl hier="236" item="1"/>
          <tpl fld="4" item="4"/>
        </tpls>
      </m>
      <n v="4.5518918918918923" in="2">
        <tpls c="5">
          <tpl fld="11" item="0"/>
          <tpl fld="6" item="2"/>
          <tpl hier="236" item="1"/>
          <tpl fld="4" item="3"/>
          <tpl fld="10" item="3"/>
        </tpls>
      </n>
      <m>
        <tpls c="3">
          <tpl fld="7" item="474"/>
          <tpl fld="6" item="3"/>
          <tpl hier="236" item="1"/>
        </tpls>
      </m>
      <m>
        <tpls c="4">
          <tpl fld="7" item="155"/>
          <tpl fld="6" item="1"/>
          <tpl hier="236" item="1"/>
          <tpl fld="4" item="4"/>
        </tpls>
      </m>
      <m>
        <tpls c="4">
          <tpl fld="7" item="274"/>
          <tpl fld="6" item="1"/>
          <tpl hier="236" item="1"/>
          <tpl fld="4" item="4"/>
        </tpls>
      </m>
      <m>
        <tpls c="4">
          <tpl fld="7" item="294"/>
          <tpl fld="6" item="2"/>
          <tpl hier="236" item="1"/>
          <tpl fld="4" item="1"/>
        </tpls>
      </m>
      <m>
        <tpls c="3">
          <tpl fld="7" item="95"/>
          <tpl fld="6" item="3"/>
          <tpl hier="236" item="1"/>
        </tpls>
      </m>
      <m>
        <tpls c="4">
          <tpl fld="7" item="38"/>
          <tpl fld="6" item="2"/>
          <tpl hier="236" item="1"/>
          <tpl fld="4" item="1"/>
        </tpls>
      </m>
      <m>
        <tpls c="3">
          <tpl fld="7" item="197"/>
          <tpl fld="6" item="3"/>
          <tpl hier="236" item="1"/>
        </tpls>
      </m>
      <n v="18.553243243243244" in="2">
        <tpls c="4">
          <tpl fld="7" item="425"/>
          <tpl fld="6" item="2"/>
          <tpl hier="236" item="1"/>
          <tpl fld="4" item="1"/>
        </tpls>
      </n>
      <n v="1" in="3">
        <tpls c="3">
          <tpl fld="7" item="367"/>
          <tpl fld="6" item="3"/>
          <tpl hier="236" item="1"/>
        </tpls>
      </n>
      <m>
        <tpls c="4">
          <tpl fld="7" item="521"/>
          <tpl fld="6" item="1"/>
          <tpl hier="236" item="1"/>
          <tpl fld="4" item="6"/>
        </tpls>
      </m>
      <n v="0" in="1">
        <tpls c="4">
          <tpl fld="7" item="460"/>
          <tpl fld="6" item="1"/>
          <tpl hier="236" item="1"/>
          <tpl fld="4" item="6"/>
        </tpls>
      </n>
      <n v="1" in="1">
        <tpls c="4">
          <tpl fld="7" item="395"/>
          <tpl fld="6" item="1"/>
          <tpl hier="236" item="1"/>
          <tpl fld="1" item="0"/>
        </tpls>
      </n>
      <m>
        <tpls c="4">
          <tpl fld="7" item="542"/>
          <tpl fld="6" item="2"/>
          <tpl hier="236" item="1"/>
          <tpl fld="4" item="5"/>
        </tpls>
      </m>
      <m>
        <tpls c="4">
          <tpl fld="7" item="152"/>
          <tpl fld="6" item="2"/>
          <tpl hier="236" item="1"/>
          <tpl fld="4" item="1"/>
        </tpls>
      </m>
      <m>
        <tpls c="3">
          <tpl fld="7" item="198"/>
          <tpl fld="6" item="3"/>
          <tpl hier="236" item="1"/>
        </tpls>
      </m>
      <n v="10.16" in="2">
        <tpls c="4">
          <tpl fld="7" item="757"/>
          <tpl fld="6" item="2"/>
          <tpl hier="236" item="1"/>
          <tpl fld="4" item="1"/>
        </tpls>
      </n>
      <n v="1" in="3">
        <tpls c="3">
          <tpl fld="7" item="438"/>
          <tpl fld="6" item="3"/>
          <tpl hier="236" item="1"/>
        </tpls>
      </n>
      <m>
        <tpls c="4">
          <tpl fld="7" item="380"/>
          <tpl fld="6" item="1"/>
          <tpl hier="236" item="1"/>
          <tpl fld="4" item="6"/>
        </tpls>
      </m>
      <n v="3" in="1">
        <tpls c="4">
          <tpl fld="7" item="460"/>
          <tpl fld="6" item="1"/>
          <tpl hier="236" item="1"/>
          <tpl fld="4" item="1"/>
        </tpls>
      </n>
      <n v="494" in="1">
        <tpls c="6">
          <tpl fld="3" item="1"/>
          <tpl fld="11" item="0"/>
          <tpl fld="6" item="1"/>
          <tpl hier="236" item="1"/>
          <tpl fld="4" item="6"/>
          <tpl fld="10" item="4"/>
        </tpls>
      </n>
      <m>
        <tpls c="6">
          <tpl fld="11" item="0"/>
          <tpl fld="6" item="1"/>
          <tpl fld="8" item="1"/>
          <tpl hier="236" item="1"/>
          <tpl fld="4" item="7"/>
          <tpl fld="10" item="6"/>
        </tpls>
      </m>
      <m>
        <tpls c="4">
          <tpl fld="7" item="154"/>
          <tpl fld="6" item="1"/>
          <tpl hier="236" item="1"/>
          <tpl fld="1" item="0"/>
        </tpls>
      </m>
      <m>
        <tpls c="4">
          <tpl fld="7" item="310"/>
          <tpl fld="6" item="2"/>
          <tpl hier="236" item="1"/>
          <tpl fld="4" item="1"/>
        </tpls>
      </m>
      <m>
        <tpls c="4">
          <tpl fld="7" item="47"/>
          <tpl fld="6" item="1"/>
          <tpl hier="236" item="1"/>
          <tpl fld="4" item="6"/>
        </tpls>
      </m>
      <m>
        <tpls c="4">
          <tpl fld="7" item="339"/>
          <tpl fld="6" item="2"/>
          <tpl hier="236" item="1"/>
          <tpl fld="4" item="6"/>
        </tpls>
      </m>
      <m>
        <tpls c="4">
          <tpl fld="7" item="78"/>
          <tpl fld="6" item="1"/>
          <tpl hier="236" item="1"/>
          <tpl fld="4" item="6"/>
        </tpls>
      </m>
      <m>
        <tpls c="4">
          <tpl fld="7" item="489"/>
          <tpl fld="6" item="1"/>
          <tpl hier="236" item="1"/>
          <tpl fld="4" item="6"/>
        </tpls>
      </m>
      <n v="18.407567567567568" in="2">
        <tpls c="5">
          <tpl fld="11" item="0"/>
          <tpl fld="6" item="2"/>
          <tpl hier="236" item="1"/>
          <tpl fld="4" item="6"/>
          <tpl fld="10" item="3"/>
        </tpls>
      </n>
      <m>
        <tpls c="4">
          <tpl fld="7" item="28"/>
          <tpl fld="6" item="1"/>
          <tpl hier="236" item="1"/>
          <tpl fld="4" item="4"/>
        </tpls>
      </m>
      <m>
        <tpls c="4">
          <tpl fld="7" item="257"/>
          <tpl fld="6" item="2"/>
          <tpl hier="236" item="1"/>
          <tpl fld="4" item="1"/>
        </tpls>
      </m>
      <m>
        <tpls c="4">
          <tpl fld="7" item="157"/>
          <tpl fld="6" item="2"/>
          <tpl hier="236" item="1"/>
          <tpl fld="4" item="4"/>
        </tpls>
      </m>
      <m>
        <tpls c="4">
          <tpl fld="7" item="165"/>
          <tpl fld="6" item="2"/>
          <tpl hier="236" item="1"/>
          <tpl fld="4" item="4"/>
        </tpls>
      </m>
      <m>
        <tpls c="4">
          <tpl fld="7" item="73"/>
          <tpl fld="6" item="2"/>
          <tpl hier="236" item="1"/>
          <tpl fld="4" item="4"/>
        </tpls>
      </m>
      <m>
        <tpls c="4">
          <tpl fld="7" item="346"/>
          <tpl fld="6" item="2"/>
          <tpl hier="236" item="1"/>
          <tpl fld="4" item="4"/>
        </tpls>
      </m>
      <m>
        <tpls c="4">
          <tpl fld="7" item="420"/>
          <tpl fld="6" item="1"/>
          <tpl hier="236" item="1"/>
          <tpl fld="4" item="4"/>
        </tpls>
      </m>
      <m>
        <tpls c="4">
          <tpl fld="7" item="670"/>
          <tpl fld="6" item="1"/>
          <tpl hier="236" item="1"/>
          <tpl fld="4" item="6"/>
        </tpls>
      </m>
      <m>
        <tpls c="3">
          <tpl fld="7" item="297"/>
          <tpl fld="6" item="3"/>
          <tpl hier="236" item="1"/>
        </tpls>
      </m>
      <m>
        <tpls c="3">
          <tpl fld="7" item="352"/>
          <tpl fld="6" item="3"/>
          <tpl hier="236" item="1"/>
        </tpls>
      </m>
      <n v="1" in="1">
        <tpls c="4">
          <tpl fld="7" item="506"/>
          <tpl fld="6" item="1"/>
          <tpl hier="236" item="1"/>
          <tpl fld="4" item="6"/>
        </tpls>
      </n>
      <n v="2.4" in="2">
        <tpls c="4">
          <tpl fld="7" item="681"/>
          <tpl fld="6" item="2"/>
          <tpl hier="236" item="1"/>
          <tpl fld="4" item="4"/>
        </tpls>
      </n>
      <n v="1" in="1">
        <tpls c="4">
          <tpl fld="7" item="459"/>
          <tpl fld="6" item="1"/>
          <tpl hier="236" item="1"/>
          <tpl fld="4" item="6"/>
        </tpls>
      </n>
      <m>
        <tpls c="4">
          <tpl fld="7" item="394"/>
          <tpl fld="6" item="1"/>
          <tpl hier="236" item="1"/>
          <tpl fld="1" item="0"/>
        </tpls>
      </m>
      <m>
        <tpls c="4">
          <tpl fld="7" item="541"/>
          <tpl fld="6" item="2"/>
          <tpl hier="236" item="1"/>
          <tpl fld="4" item="5"/>
        </tpls>
      </m>
      <m>
        <tpls c="4">
          <tpl fld="7" item="475"/>
          <tpl fld="6" item="1"/>
          <tpl hier="236" item="1"/>
          <tpl fld="4" item="6"/>
        </tpls>
      </m>
      <m>
        <tpls c="3">
          <tpl fld="7" item="298"/>
          <tpl fld="6" item="3"/>
          <tpl hier="236" item="1"/>
        </tpls>
      </m>
      <m>
        <tpls c="3">
          <tpl fld="7" item="423"/>
          <tpl fld="6" item="3"/>
          <tpl hier="236" item="1"/>
        </tpls>
      </m>
      <m>
        <tpls c="4">
          <tpl fld="7" item="365"/>
          <tpl fld="6" item="1"/>
          <tpl hier="236" item="1"/>
          <tpl fld="4" item="6"/>
        </tpls>
      </m>
      <m>
        <tpls c="4">
          <tpl fld="7" item="519"/>
          <tpl fld="6" item="2"/>
          <tpl hier="236" item="1"/>
          <tpl fld="4" item="4"/>
        </tpls>
      </m>
      <m>
        <tpls c="4">
          <tpl fld="7" item="459"/>
          <tpl fld="6" item="1"/>
          <tpl hier="236" item="1"/>
          <tpl fld="4" item="1"/>
        </tpls>
      </m>
      <n v="2" in="1">
        <tpls c="4">
          <tpl fld="7" item="465"/>
          <tpl fld="6" item="1"/>
          <tpl hier="236" item="1"/>
          <tpl fld="4" item="4"/>
        </tpls>
      </n>
      <m>
        <tpls c="4">
          <tpl fld="7" item="110"/>
          <tpl fld="6" item="1"/>
          <tpl hier="236" item="1"/>
          <tpl fld="1" item="0"/>
        </tpls>
      </m>
      <m>
        <tpls c="3">
          <tpl fld="7" item="347"/>
          <tpl fld="6" item="3"/>
          <tpl hier="236" item="1"/>
        </tpls>
      </m>
      <n v="519" in="1">
        <tpls c="5">
          <tpl fld="11" item="0"/>
          <tpl fld="6" item="1"/>
          <tpl hier="236" item="1"/>
          <tpl fld="4" item="6"/>
          <tpl fld="10" item="5"/>
        </tpls>
      </n>
      <m>
        <tpls c="4">
          <tpl fld="7" item="244"/>
          <tpl fld="6" item="2"/>
          <tpl hier="236" item="1"/>
          <tpl fld="4" item="4"/>
        </tpls>
      </m>
      <m>
        <tpls c="4">
          <tpl fld="7" item="257"/>
          <tpl fld="6" item="1"/>
          <tpl hier="236" item="1"/>
          <tpl fld="4" item="4"/>
        </tpls>
      </m>
      <m>
        <tpls c="4">
          <tpl fld="7" item="157"/>
          <tpl fld="6" item="1"/>
          <tpl hier="236" item="1"/>
          <tpl fld="4" item="6"/>
        </tpls>
      </m>
      <m>
        <tpls c="4">
          <tpl fld="7" item="165"/>
          <tpl fld="6" item="1"/>
          <tpl hier="236" item="1"/>
          <tpl fld="4" item="6"/>
        </tpls>
      </m>
      <m>
        <tpls c="4">
          <tpl fld="7" item="73"/>
          <tpl fld="6" item="1"/>
          <tpl hier="236" item="1"/>
          <tpl fld="4" item="6"/>
        </tpls>
      </m>
      <m>
        <tpls c="4">
          <tpl fld="7" item="346"/>
          <tpl fld="6" item="1"/>
          <tpl hier="236" item="1"/>
          <tpl fld="4" item="6"/>
        </tpls>
      </m>
      <n v="7.7747567567567559" in="2">
        <tpls c="6">
          <tpl fld="3" item="0"/>
          <tpl fld="11" item="0"/>
          <tpl fld="6" item="2"/>
          <tpl hier="236" item="1"/>
          <tpl fld="4" item="4"/>
          <tpl fld="10" item="8"/>
        </tpls>
      </n>
      <m>
        <tpls c="4">
          <tpl fld="7" item="257"/>
          <tpl fld="6" item="1"/>
          <tpl hier="236" item="1"/>
          <tpl fld="4" item="6"/>
        </tpls>
      </m>
      <m>
        <tpls c="4">
          <tpl fld="7" item="302"/>
          <tpl fld="6" item="2"/>
          <tpl hier="236" item="1"/>
          <tpl fld="4" item="1"/>
        </tpls>
      </m>
      <m>
        <tpls c="4">
          <tpl fld="7" item="261"/>
          <tpl fld="6" item="2"/>
          <tpl hier="236" item="1"/>
          <tpl fld="4" item="6"/>
        </tpls>
      </m>
      <m>
        <tpls c="4">
          <tpl fld="7" item="56"/>
          <tpl fld="6" item="1"/>
          <tpl hier="236" item="1"/>
          <tpl fld="4" item="6"/>
        </tpls>
      </m>
      <m>
        <tpls c="3">
          <tpl fld="7" item="183"/>
          <tpl fld="6" item="3"/>
          <tpl hier="236" item="1"/>
        </tpls>
      </m>
      <m>
        <tpls c="4">
          <tpl fld="7" item="418"/>
          <tpl fld="6" item="1"/>
          <tpl hier="236" item="1"/>
          <tpl fld="4" item="6"/>
        </tpls>
      </m>
      <n v="49.830270270270269" in="2">
        <tpls c="6">
          <tpl fld="3" item="2"/>
          <tpl fld="11" item="0"/>
          <tpl fld="6" item="2"/>
          <tpl hier="236" item="1"/>
          <tpl fld="4" item="6"/>
          <tpl fld="10" item="7"/>
        </tpls>
      </n>
      <m>
        <tpls c="4">
          <tpl fld="7" item="24"/>
          <tpl fld="6" item="1"/>
          <tpl hier="236" item="1"/>
          <tpl fld="4" item="4"/>
        </tpls>
      </m>
      <m>
        <tpls c="4">
          <tpl fld="7" item="255"/>
          <tpl fld="6" item="2"/>
          <tpl hier="236" item="1"/>
          <tpl fld="4" item="1"/>
        </tpls>
      </m>
      <m>
        <tpls c="4">
          <tpl fld="7" item="48"/>
          <tpl fld="6" item="2"/>
          <tpl hier="236" item="1"/>
          <tpl fld="4" item="4"/>
        </tpls>
      </m>
      <m>
        <tpls c="4">
          <tpl fld="7" item="56"/>
          <tpl fld="6" item="2"/>
          <tpl hier="236" item="1"/>
          <tpl fld="4" item="4"/>
        </tpls>
      </m>
      <m>
        <tpls c="4">
          <tpl fld="7" item="71"/>
          <tpl fld="6" item="2"/>
          <tpl hier="236" item="1"/>
          <tpl fld="4" item="4"/>
        </tpls>
      </m>
      <n v="2" in="1">
        <tpls c="4">
          <tpl fld="7" item="84"/>
          <tpl fld="6" item="1"/>
          <tpl hier="236" item="1"/>
          <tpl fld="4" item="4"/>
        </tpls>
      </n>
      <m>
        <tpls c="4">
          <tpl fld="7" item="490"/>
          <tpl fld="6" item="1"/>
          <tpl hier="236" item="1"/>
          <tpl fld="4" item="4"/>
        </tpls>
      </m>
      <m>
        <tpls c="4">
          <tpl fld="7" item="1082"/>
          <tpl fld="6" item="1"/>
          <tpl hier="236" item="1"/>
          <tpl fld="4" item="6"/>
        </tpls>
      </m>
      <m>
        <tpls c="3">
          <tpl fld="7" item="289"/>
          <tpl fld="6" item="3"/>
          <tpl hier="236" item="1"/>
        </tpls>
      </m>
      <m>
        <tpls c="3">
          <tpl fld="7" item="214"/>
          <tpl fld="6" item="3"/>
          <tpl hier="236" item="1"/>
        </tpls>
      </m>
      <m>
        <tpls c="4">
          <tpl fld="7" item="504"/>
          <tpl fld="6" item="1"/>
          <tpl hier="236" item="1"/>
          <tpl fld="4" item="6"/>
        </tpls>
      </m>
      <n v="0.2" in="2">
        <tpls c="4">
          <tpl fld="7" item="982"/>
          <tpl fld="6" item="2"/>
          <tpl hier="236" item="1"/>
          <tpl fld="4" item="4"/>
        </tpls>
      </n>
      <m>
        <tpls c="4">
          <tpl fld="7" item="458"/>
          <tpl fld="6" item="2"/>
          <tpl hier="236" item="1"/>
          <tpl fld="4" item="6"/>
        </tpls>
      </m>
      <m>
        <tpls c="4">
          <tpl fld="7" item="393"/>
          <tpl fld="6" item="2"/>
          <tpl hier="236" item="1"/>
          <tpl fld="1" item="0"/>
        </tpls>
      </m>
      <m>
        <tpls c="3">
          <tpl fld="7" item="770"/>
          <tpl fld="6" item="3"/>
          <tpl hier="236" item="1"/>
        </tpls>
      </m>
      <m>
        <tpls c="4">
          <tpl fld="7" item="473"/>
          <tpl fld="6" item="1"/>
          <tpl hier="236" item="1"/>
          <tpl fld="4" item="6"/>
        </tpls>
      </m>
      <m>
        <tpls c="3">
          <tpl fld="7" item="290"/>
          <tpl fld="6" item="3"/>
          <tpl hier="236" item="1"/>
        </tpls>
      </m>
      <m>
        <tpls c="3">
          <tpl fld="7" item="422"/>
          <tpl fld="6" item="3"/>
          <tpl hier="236" item="1"/>
        </tpls>
      </m>
      <n v="4" in="1">
        <tpls c="4">
          <tpl fld="7" item="363"/>
          <tpl fld="6" item="1"/>
          <tpl hier="236" item="1"/>
          <tpl fld="4" item="6"/>
        </tpls>
      </n>
      <m>
        <tpls c="4">
          <tpl fld="7" item="517"/>
          <tpl fld="6" item="2"/>
          <tpl hier="236" item="1"/>
          <tpl fld="4" item="4"/>
        </tpls>
      </m>
      <n v="1" in="2">
        <tpls c="4">
          <tpl fld="7" item="879"/>
          <tpl fld="6" item="2"/>
          <tpl hier="236" item="1"/>
          <tpl fld="4" item="1"/>
        </tpls>
      </n>
      <n v="0.04" in="2">
        <tpls c="4">
          <tpl fld="7" item="464"/>
          <tpl fld="6" item="2"/>
          <tpl hier="236" item="1"/>
          <tpl fld="4" item="4"/>
        </tpls>
      </n>
      <n v="0.72" in="2">
        <tpls c="6">
          <tpl fld="11" item="0"/>
          <tpl fld="2" item="3"/>
          <tpl fld="6" item="2"/>
          <tpl hier="236" item="1"/>
          <tpl fld="4" item="7"/>
          <tpl fld="10" item="3"/>
        </tpls>
      </n>
      <m>
        <tpls c="4">
          <tpl fld="7" item="405"/>
          <tpl fld="6" item="1"/>
          <tpl hier="236" item="1"/>
          <tpl fld="4" item="4"/>
        </tpls>
      </m>
      <m>
        <tpls c="4">
          <tpl fld="7" item="673"/>
          <tpl fld="6" item="2"/>
          <tpl hier="236" item="1"/>
          <tpl fld="4" item="4"/>
        </tpls>
      </m>
      <m>
        <tpls c="4">
          <tpl fld="7" item="1036"/>
          <tpl fld="6" item="1"/>
          <tpl hier="236" item="1"/>
          <tpl fld="4" item="5"/>
        </tpls>
      </m>
      <n v="15" in="1">
        <tpls c="4">
          <tpl fld="7" item="927"/>
          <tpl fld="6" item="1"/>
          <tpl hier="236" item="1"/>
          <tpl fld="4" item="6"/>
        </tpls>
      </n>
      <n v="106" in="1">
        <tpls c="6">
          <tpl fld="11" item="0"/>
          <tpl fld="2" item="3"/>
          <tpl fld="6" item="1"/>
          <tpl hier="236" item="1"/>
          <tpl fld="4" item="1"/>
          <tpl fld="9" item="1"/>
        </tpls>
      </n>
      <n v="10" in="1">
        <tpls c="6">
          <tpl fld="11" item="0"/>
          <tpl fld="2" item="0"/>
          <tpl fld="6" item="1"/>
          <tpl hier="236" item="1"/>
          <tpl fld="4" item="6"/>
          <tpl fld="10" item="3"/>
        </tpls>
      </n>
      <n v="0" in="1">
        <tpls c="4">
          <tpl fld="7" item="1073"/>
          <tpl fld="6" item="1"/>
          <tpl hier="236" item="1"/>
          <tpl fld="4" item="5"/>
        </tpls>
      </n>
      <n v="1.48" in="2">
        <tpls c="5">
          <tpl fld="11" item="0"/>
          <tpl fld="5" item="0"/>
          <tpl fld="6" item="2"/>
          <tpl hier="236" item="1"/>
          <tpl fld="4" item="0"/>
        </tpls>
      </n>
      <n v="1" in="1">
        <tpls c="4">
          <tpl fld="7" item="952"/>
          <tpl fld="6" item="1"/>
          <tpl hier="236" item="1"/>
          <tpl fld="4" item="6"/>
        </tpls>
      </n>
      <n v="365" in="1">
        <tpls c="6">
          <tpl fld="11" item="0"/>
          <tpl fld="2" item="1"/>
          <tpl fld="6" item="1"/>
          <tpl hier="236" item="1"/>
          <tpl fld="4" item="4"/>
          <tpl fld="10" item="5"/>
        </tpls>
      </n>
      <n v="26" in="1">
        <tpls c="6">
          <tpl fld="11" item="0"/>
          <tpl fld="2" item="4"/>
          <tpl fld="6" item="1"/>
          <tpl hier="236" item="1"/>
          <tpl fld="4" item="4"/>
          <tpl fld="10" item="4"/>
        </tpls>
      </n>
      <m>
        <tpls c="3">
          <tpl fld="7" item="1079"/>
          <tpl fld="6" item="3"/>
          <tpl hier="236" item="1"/>
        </tpls>
      </m>
      <n v="24.580918918918915" in="2">
        <tpls c="6">
          <tpl fld="11" item="0"/>
          <tpl fld="2" item="3"/>
          <tpl fld="6" item="2"/>
          <tpl hier="236" item="1"/>
          <tpl fld="4" item="6"/>
          <tpl fld="10" item="0"/>
        </tpls>
      </n>
      <m>
        <tpls c="4">
          <tpl fld="7" item="223"/>
          <tpl fld="6" item="1"/>
          <tpl hier="236" item="1"/>
          <tpl fld="4" item="4"/>
        </tpls>
      </m>
      <n v="21" in="1">
        <tpls c="6">
          <tpl fld="3" item="1"/>
          <tpl fld="11" item="0"/>
          <tpl fld="6" item="1"/>
          <tpl hier="236" item="1"/>
          <tpl fld="4" item="7"/>
          <tpl fld="10" item="1"/>
        </tpls>
      </n>
      <n v="1" in="1">
        <tpls c="6">
          <tpl fld="3" item="0"/>
          <tpl fld="11" item="0"/>
          <tpl fld="6" item="1"/>
          <tpl hier="236" item="1"/>
          <tpl fld="4" item="6"/>
          <tpl fld="10" item="6"/>
        </tpls>
      </n>
      <n v="2.52" in="2">
        <tpls c="6">
          <tpl fld="11" item="0"/>
          <tpl fld="5" item="4"/>
          <tpl fld="6" item="2"/>
          <tpl hier="236" item="1"/>
          <tpl fld="4" item="4"/>
          <tpl fld="10" item="5"/>
        </tpls>
      </n>
      <n v="4.4799999999999995" in="2">
        <tpls c="6">
          <tpl fld="11" item="0"/>
          <tpl fld="2" item="0"/>
          <tpl fld="6" item="2"/>
          <tpl hier="236" item="1"/>
          <tpl fld="4" item="4"/>
          <tpl fld="10" item="5"/>
        </tpls>
      </n>
      <m>
        <tpls c="6">
          <tpl fld="11" item="0"/>
          <tpl fld="2" item="4"/>
          <tpl fld="6" item="2"/>
          <tpl hier="236" item="1"/>
          <tpl fld="4" item="7"/>
          <tpl fld="10" item="6"/>
        </tpls>
      </m>
      <m>
        <tpls c="4">
          <tpl fld="7" item="1262"/>
          <tpl fld="6" item="1"/>
          <tpl hier="236" item="1"/>
          <tpl fld="4" item="6"/>
        </tpls>
      </m>
      <n v="27.659459459459459" in="2">
        <tpls c="6">
          <tpl fld="11" item="0"/>
          <tpl fld="2" item="2"/>
          <tpl fld="6" item="2"/>
          <tpl hier="236" item="1"/>
          <tpl fld="4" item="6"/>
          <tpl fld="10" item="7"/>
        </tpls>
      </n>
      <n v="1.72" in="2">
        <tpls c="6">
          <tpl fld="3" item="4"/>
          <tpl fld="11" item="0"/>
          <tpl fld="6" item="2"/>
          <tpl hier="236" item="1"/>
          <tpl fld="4" item="1"/>
          <tpl fld="9" item="3"/>
        </tpls>
      </n>
      <m>
        <tpls c="6">
          <tpl fld="11" item="0"/>
          <tpl fld="2" item="3"/>
          <tpl fld="6" item="2"/>
          <tpl hier="236" item="1"/>
          <tpl fld="4" item="6"/>
          <tpl fld="10" item="5"/>
        </tpls>
      </m>
      <n v="527" in="1">
        <tpls c="6">
          <tpl fld="11" item="0"/>
          <tpl fld="6" item="1"/>
          <tpl fld="8" item="1"/>
          <tpl hier="236" item="1"/>
          <tpl fld="4" item="1"/>
          <tpl fld="9" item="2"/>
        </tpls>
      </n>
      <m>
        <tpls c="4">
          <tpl fld="7" item="223"/>
          <tpl fld="6" item="2"/>
          <tpl hier="236" item="1"/>
          <tpl fld="4" item="6"/>
        </tpls>
      </m>
      <n v="1205" in="1">
        <tpls c="6">
          <tpl fld="11" item="0"/>
          <tpl fld="2" item="1"/>
          <tpl fld="6" item="1"/>
          <tpl hier="236" item="1"/>
          <tpl fld="4" item="6"/>
          <tpl fld="10" item="7"/>
        </tpls>
      </n>
      <n v="6.8938378378378387" in="2">
        <tpls c="5">
          <tpl fld="11" item="0"/>
          <tpl fld="6" item="2"/>
          <tpl hier="236" item="1"/>
          <tpl fld="4" item="1"/>
          <tpl fld="9" item="3"/>
        </tpls>
      </n>
      <n v="0.8" in="2">
        <tpls c="6">
          <tpl fld="3" item="0"/>
          <tpl fld="11" item="0"/>
          <tpl fld="6" item="2"/>
          <tpl hier="236" item="1"/>
          <tpl fld="4" item="1"/>
          <tpl fld="9" item="4"/>
        </tpls>
      </n>
      <n v="151" in="1">
        <tpls c="6">
          <tpl fld="11" item="0"/>
          <tpl fld="6" item="1"/>
          <tpl fld="8" item="1"/>
          <tpl hier="236" item="1"/>
          <tpl fld="4" item="4"/>
          <tpl fld="10" item="1"/>
        </tpls>
      </n>
      <m>
        <tpls c="4">
          <tpl fld="7" item="220"/>
          <tpl fld="6" item="1"/>
          <tpl hier="236" item="1"/>
          <tpl fld="4" item="5"/>
        </tpls>
      </m>
      <m>
        <tpls c="4">
          <tpl fld="7" item="242"/>
          <tpl fld="6" item="2"/>
          <tpl hier="236" item="1"/>
          <tpl fld="4" item="1"/>
        </tpls>
      </m>
      <m>
        <tpls c="4">
          <tpl fld="7" item="326"/>
          <tpl fld="6" item="2"/>
          <tpl hier="236" item="1"/>
          <tpl fld="4" item="6"/>
        </tpls>
      </m>
      <n v="32" in="1">
        <tpls c="6">
          <tpl fld="11" item="0"/>
          <tpl fld="5" item="3"/>
          <tpl fld="6" item="1"/>
          <tpl hier="236" item="1"/>
          <tpl fld="4" item="4"/>
          <tpl fld="10" item="1"/>
        </tpls>
      </n>
      <n v="965" in="1">
        <tpls c="6">
          <tpl fld="11" item="0"/>
          <tpl fld="2" item="2"/>
          <tpl fld="6" item="1"/>
          <tpl hier="236" item="1"/>
          <tpl fld="4" item="3"/>
          <tpl fld="10" item="2"/>
        </tpls>
      </n>
      <n v="286" in="1">
        <tpls c="5">
          <tpl fld="11" item="0"/>
          <tpl fld="6" item="1"/>
          <tpl fld="8" item="0"/>
          <tpl hier="236" item="1"/>
          <tpl fld="4" item="0"/>
        </tpls>
      </n>
      <m>
        <tpls c="6">
          <tpl fld="11" item="0"/>
          <tpl fld="5" item="1"/>
          <tpl fld="6" item="2"/>
          <tpl hier="236" item="1"/>
          <tpl fld="4" item="3"/>
          <tpl fld="10" item="2"/>
        </tpls>
      </m>
      <n v="83" in="1">
        <tpls c="6">
          <tpl fld="11" item="0"/>
          <tpl fld="6" item="1"/>
          <tpl fld="8" item="1"/>
          <tpl hier="236" item="1"/>
          <tpl fld="4" item="7"/>
          <tpl fld="10" item="4"/>
        </tpls>
      </n>
      <m>
        <tpls c="4">
          <tpl fld="7" item="130"/>
          <tpl fld="6" item="2"/>
          <tpl hier="236" item="1"/>
          <tpl fld="4" item="1"/>
        </tpls>
      </m>
      <m>
        <tpls c="4">
          <tpl fld="7" item="469"/>
          <tpl fld="6" item="2"/>
          <tpl hier="236" item="1"/>
          <tpl fld="4" item="1"/>
        </tpls>
      </m>
      <m>
        <tpls c="3">
          <tpl fld="7" item="37"/>
          <tpl fld="6" item="3"/>
          <tpl hier="236" item="1"/>
        </tpls>
      </m>
      <m>
        <tpls c="3">
          <tpl fld="7" item="47"/>
          <tpl fld="6" item="3"/>
          <tpl hier="236" item="1"/>
        </tpls>
      </m>
      <m>
        <tpls c="3">
          <tpl fld="7" item="55"/>
          <tpl fld="6" item="3"/>
          <tpl hier="236" item="1"/>
        </tpls>
      </m>
      <m>
        <tpls c="4">
          <tpl fld="7" item="342"/>
          <tpl fld="6" item="1"/>
          <tpl hier="236" item="1"/>
          <tpl fld="4" item="4"/>
        </tpls>
      </m>
      <m>
        <tpls c="4">
          <tpl fld="7" item="190"/>
          <tpl fld="6" item="2"/>
          <tpl hier="236" item="1"/>
          <tpl fld="4" item="1"/>
        </tpls>
      </m>
      <m>
        <tpls c="4">
          <tpl fld="7" item="311"/>
          <tpl fld="6" item="2"/>
          <tpl hier="236" item="1"/>
          <tpl fld="4" item="1"/>
        </tpls>
      </m>
      <n v="1000" in="1">
        <tpls c="5">
          <tpl fld="11" item="0"/>
          <tpl fld="6" item="1"/>
          <tpl hier="236" item="1"/>
          <tpl fld="4" item="7"/>
          <tpl fld="10" item="2"/>
        </tpls>
      </n>
      <m>
        <tpls c="4">
          <tpl fld="7" item="246"/>
          <tpl fld="6" item="2"/>
          <tpl hier="236" item="1"/>
          <tpl fld="4" item="4"/>
        </tpls>
      </m>
      <m>
        <tpls c="4">
          <tpl fld="7" item="406"/>
          <tpl fld="6" item="1"/>
          <tpl hier="236" item="1"/>
          <tpl fld="4" item="6"/>
        </tpls>
      </m>
      <n v="44.876756756756762" in="2">
        <tpls c="5">
          <tpl fld="11" item="0"/>
          <tpl fld="2" item="1"/>
          <tpl fld="6" item="2"/>
          <tpl hier="236" item="1"/>
          <tpl fld="4" item="5"/>
        </tpls>
      </n>
      <n v="7.9491891891891884" in="2">
        <tpls c="6">
          <tpl fld="11" item="0"/>
          <tpl fld="2" item="1"/>
          <tpl fld="6" item="2"/>
          <tpl hier="236" item="1"/>
          <tpl fld="4" item="3"/>
          <tpl fld="10" item="4"/>
        </tpls>
      </n>
      <n v="26.381081081081081" in="2">
        <tpls c="5">
          <tpl fld="11" item="0"/>
          <tpl fld="6" item="2"/>
          <tpl hier="236" item="1"/>
          <tpl fld="4" item="6"/>
          <tpl fld="10" item="5"/>
        </tpls>
      </n>
      <n v="716" in="1">
        <tpls c="5">
          <tpl fld="11" item="0"/>
          <tpl fld="6" item="1"/>
          <tpl hier="236" item="1"/>
          <tpl fld="4" item="6"/>
          <tpl fld="10" item="3"/>
        </tpls>
      </n>
      <n v="884" in="1">
        <tpls c="6">
          <tpl fld="11" item="0"/>
          <tpl fld="6" item="1"/>
          <tpl fld="8" item="1"/>
          <tpl hier="236" item="1"/>
          <tpl fld="4" item="3"/>
          <tpl fld="10" item="4"/>
        </tpls>
      </n>
      <m>
        <tpls c="4">
          <tpl fld="7" item="125"/>
          <tpl fld="6" item="2"/>
          <tpl hier="236" item="1"/>
          <tpl fld="4" item="1"/>
        </tpls>
      </m>
      <m>
        <tpls c="4">
          <tpl fld="7" item="750"/>
          <tpl fld="6" item="2"/>
          <tpl hier="236" item="1"/>
          <tpl fld="4" item="6"/>
        </tpls>
      </m>
      <m>
        <tpls c="4">
          <tpl fld="7" item="670"/>
          <tpl fld="6" item="2"/>
          <tpl hier="236" item="1"/>
          <tpl fld="4" item="4"/>
        </tpls>
      </m>
      <m>
        <tpls c="4">
          <tpl fld="7" item="46"/>
          <tpl fld="6" item="1"/>
          <tpl hier="236" item="1"/>
          <tpl fld="1" item="0"/>
        </tpls>
      </m>
      <m>
        <tpls c="4">
          <tpl fld="7" item="54"/>
          <tpl fld="6" item="1"/>
          <tpl hier="236" item="1"/>
          <tpl fld="1" item="0"/>
        </tpls>
      </m>
      <m>
        <tpls c="3">
          <tpl fld="7" item="68"/>
          <tpl fld="6" item="3"/>
          <tpl hier="236" item="1"/>
        </tpls>
      </m>
      <m>
        <tpls c="4">
          <tpl fld="7" item="297"/>
          <tpl fld="6" item="1"/>
          <tpl hier="236" item="1"/>
          <tpl fld="4" item="6"/>
        </tpls>
      </m>
      <m>
        <tpls c="4">
          <tpl fld="7" item="201"/>
          <tpl fld="6" item="1"/>
          <tpl hier="236" item="1"/>
          <tpl fld="4" item="6"/>
        </tpls>
      </m>
      <n v="498" in="1">
        <tpls c="5">
          <tpl fld="11" item="0"/>
          <tpl fld="6" item="1"/>
          <tpl hier="236" item="1"/>
          <tpl fld="4" item="3"/>
          <tpl fld="10" item="5"/>
        </tpls>
      </n>
      <m>
        <tpls c="4">
          <tpl fld="7" item="473"/>
          <tpl fld="6" item="2"/>
          <tpl hier="236" item="1"/>
          <tpl fld="4" item="1"/>
        </tpls>
      </m>
      <m>
        <tpls c="3">
          <tpl fld="7" item="149"/>
          <tpl fld="6" item="3"/>
          <tpl hier="236" item="1"/>
        </tpls>
      </m>
      <m>
        <tpls c="3">
          <tpl fld="7" item="1157"/>
          <tpl fld="6" item="3"/>
          <tpl hier="236" item="1"/>
        </tpls>
      </m>
      <n v="19.723513513513517" in="2">
        <tpls c="5">
          <tpl fld="11" item="0"/>
          <tpl fld="2" item="0"/>
          <tpl fld="6" item="2"/>
          <tpl hier="236" item="1"/>
          <tpl fld="4" item="5"/>
        </tpls>
      </n>
      <m>
        <tpls c="6">
          <tpl fld="11" item="0"/>
          <tpl fld="6" item="1"/>
          <tpl fld="8" item="0"/>
          <tpl hier="236" item="1"/>
          <tpl fld="4" item="7"/>
          <tpl fld="10" item="6"/>
        </tpls>
      </m>
      <n v="1069" in="1">
        <tpls c="6">
          <tpl fld="11" item="0"/>
          <tpl fld="2" item="2"/>
          <tpl fld="6" item="1"/>
          <tpl hier="236" item="1"/>
          <tpl fld="4" item="4"/>
          <tpl fld="10" item="0"/>
        </tpls>
      </n>
      <n v="919" in="1">
        <tpls c="6">
          <tpl fld="11" item="0"/>
          <tpl fld="6" item="1"/>
          <tpl fld="8" item="1"/>
          <tpl hier="236" item="1"/>
          <tpl fld="4" item="7"/>
          <tpl fld="10" item="7"/>
        </tpls>
      </n>
      <m>
        <tpls c="4">
          <tpl fld="7" item="237"/>
          <tpl fld="6" item="2"/>
          <tpl hier="236" item="1"/>
          <tpl fld="4" item="1"/>
        </tpls>
      </m>
      <m>
        <tpls c="4">
          <tpl fld="7" item="10"/>
          <tpl fld="6" item="1"/>
          <tpl hier="236" item="1"/>
          <tpl fld="4" item="5"/>
        </tpls>
      </m>
      <m>
        <tpls c="4">
          <tpl fld="7" item="475"/>
          <tpl fld="6" item="2"/>
          <tpl hier="236" item="1"/>
          <tpl fld="4" item="4"/>
        </tpls>
      </m>
      <m>
        <tpls c="3">
          <tpl fld="7" item="263"/>
          <tpl fld="6" item="3"/>
          <tpl hier="236" item="1"/>
        </tpls>
      </m>
      <m>
        <tpls c="3">
          <tpl fld="7" item="271"/>
          <tpl fld="6" item="3"/>
          <tpl hier="236" item="1"/>
        </tpls>
      </m>
      <m>
        <tpls c="3">
          <tpl fld="7" item="69"/>
          <tpl fld="6" item="3"/>
          <tpl hier="236" item="1"/>
        </tpls>
      </m>
      <m>
        <tpls c="4">
          <tpl fld="7" item="298"/>
          <tpl fld="6" item="1"/>
          <tpl hier="236" item="1"/>
          <tpl fld="4" item="6"/>
        </tpls>
      </m>
      <m>
        <tpls c="4">
          <tpl fld="7" item="202"/>
          <tpl fld="6" item="1"/>
          <tpl hier="236" item="1"/>
          <tpl fld="4" item="6"/>
        </tpls>
      </m>
      <n v="46" in="1">
        <tpls c="5">
          <tpl fld="11" item="0"/>
          <tpl fld="6" item="1"/>
          <tpl hier="236" item="1"/>
          <tpl fld="4" item="7"/>
          <tpl fld="10" item="1"/>
        </tpls>
      </n>
      <m>
        <tpls c="4">
          <tpl fld="7" item="332"/>
          <tpl fld="6" item="2"/>
          <tpl hier="236" item="1"/>
          <tpl fld="4" item="1"/>
        </tpls>
      </m>
      <m>
        <tpls c="4">
          <tpl fld="7" item="150"/>
          <tpl fld="6" item="1"/>
          <tpl hier="236" item="1"/>
          <tpl fld="4" item="6"/>
        </tpls>
      </m>
      <m>
        <tpls c="4">
          <tpl fld="7" item="158"/>
          <tpl fld="6" item="1"/>
          <tpl hier="236" item="1"/>
          <tpl fld="4" item="6"/>
        </tpls>
      </m>
      <m>
        <tpls c="4">
          <tpl fld="7" item="167"/>
          <tpl fld="6" item="1"/>
          <tpl hier="236" item="1"/>
          <tpl fld="4" item="4"/>
        </tpls>
      </m>
      <m>
        <tpls c="4">
          <tpl fld="7" item="291"/>
          <tpl fld="6" item="1"/>
          <tpl hier="236" item="1"/>
          <tpl fld="4" item="4"/>
        </tpls>
      </m>
      <m>
        <tpls c="6">
          <tpl fld="11" item="0"/>
          <tpl fld="5" item="4"/>
          <tpl fld="6" item="2"/>
          <tpl hier="236" item="1"/>
          <tpl fld="4" item="7"/>
          <tpl fld="10" item="1"/>
        </tpls>
      </m>
      <n v="425" in="1">
        <tpls c="6">
          <tpl fld="11" item="0"/>
          <tpl fld="6" item="1"/>
          <tpl fld="8" item="1"/>
          <tpl hier="236" item="1"/>
          <tpl fld="4" item="3"/>
          <tpl fld="10" item="0"/>
        </tpls>
      </n>
      <m>
        <tpls c="4">
          <tpl fld="7" item="153"/>
          <tpl fld="6" item="1"/>
          <tpl hier="236" item="1"/>
          <tpl fld="1" item="0"/>
        </tpls>
      </m>
      <m>
        <tpls c="4">
          <tpl fld="7" item="92"/>
          <tpl fld="6" item="2"/>
          <tpl hier="236" item="1"/>
          <tpl fld="4" item="4"/>
        </tpls>
      </m>
      <m>
        <tpls c="4">
          <tpl fld="7" item="407"/>
          <tpl fld="6" item="2"/>
          <tpl hier="236" item="1"/>
          <tpl fld="4" item="6"/>
        </tpls>
      </m>
      <m>
        <tpls c="4">
          <tpl fld="7" item="165"/>
          <tpl fld="6" item="2"/>
          <tpl hier="236" item="1"/>
          <tpl fld="4" item="6"/>
        </tpls>
      </m>
      <m>
        <tpls c="4">
          <tpl fld="7" item="344"/>
          <tpl fld="6" item="2"/>
          <tpl hier="236" item="1"/>
          <tpl fld="4" item="1"/>
        </tpls>
      </m>
      <m>
        <tpls c="4">
          <tpl fld="7" item="200"/>
          <tpl fld="6" item="1"/>
          <tpl hier="236" item="1"/>
          <tpl fld="4" item="4"/>
        </tpls>
      </m>
      <n v="3234" in="1">
        <tpls c="6">
          <tpl fld="11" item="0"/>
          <tpl fld="6" item="1"/>
          <tpl fld="8" item="1"/>
          <tpl hier="236" item="1"/>
          <tpl fld="4" item="4"/>
          <tpl fld="10" item="7"/>
        </tpls>
      </n>
      <m>
        <tpls c="3">
          <tpl fld="7" item="1082"/>
          <tpl fld="6" item="3"/>
          <tpl hier="236" item="1"/>
        </tpls>
      </m>
      <m>
        <tpls c="4">
          <tpl fld="7" item="148"/>
          <tpl fld="6" item="1"/>
          <tpl hier="236" item="1"/>
          <tpl fld="4" item="6"/>
        </tpls>
      </m>
      <m>
        <tpls c="4">
          <tpl fld="7" item="49"/>
          <tpl fld="6" item="2"/>
          <tpl hier="236" item="1"/>
          <tpl fld="4" item="4"/>
        </tpls>
      </m>
      <m>
        <tpls c="4">
          <tpl fld="7" item="57"/>
          <tpl fld="6" item="2"/>
          <tpl hier="236" item="1"/>
          <tpl fld="4" item="4"/>
        </tpls>
      </m>
      <m>
        <tpls c="4">
          <tpl fld="7" item="289"/>
          <tpl fld="6" item="2"/>
          <tpl hier="236" item="1"/>
          <tpl fld="4" item="1"/>
        </tpls>
      </m>
      <m>
        <tpls c="4">
          <tpl fld="7" item="193"/>
          <tpl fld="6" item="2"/>
          <tpl hier="236" item="1"/>
          <tpl fld="4" item="1"/>
        </tpls>
      </m>
      <m>
        <tpls c="3">
          <tpl fld="7" item="98"/>
          <tpl fld="6" item="3"/>
          <tpl hier="236" item="1"/>
        </tpls>
      </m>
      <m>
        <tpls c="4">
          <tpl fld="7" item="34"/>
          <tpl fld="6" item="2"/>
          <tpl hier="236" item="1"/>
          <tpl fld="4" item="1"/>
        </tpls>
      </m>
      <m>
        <tpls c="4">
          <tpl fld="7" item="187"/>
          <tpl fld="6" item="1"/>
          <tpl hier="236" item="1"/>
          <tpl fld="4" item="4"/>
        </tpls>
      </m>
      <n v="8" in="2">
        <tpls c="4">
          <tpl fld="7" item="324"/>
          <tpl fld="6" item="2"/>
          <tpl hier="236" item="1"/>
          <tpl fld="4" item="4"/>
        </tpls>
      </n>
      <n v="5" in="1">
        <tpls c="4">
          <tpl fld="7" item="598"/>
          <tpl fld="6" item="1"/>
          <tpl hier="236" item="1"/>
          <tpl fld="4" item="4"/>
        </tpls>
      </n>
      <n v="1.6799999999999997" in="2">
        <tpls c="4">
          <tpl fld="7" item="448"/>
          <tpl fld="6" item="2"/>
          <tpl hier="236" item="1"/>
          <tpl fld="4" item="1"/>
        </tpls>
      </n>
      <m>
        <tpls c="4">
          <tpl fld="7" item="388"/>
          <tpl fld="6" item="1"/>
          <tpl hier="236" item="1"/>
          <tpl fld="1" item="0"/>
        </tpls>
      </m>
      <m>
        <tpls c="4">
          <tpl fld="7" item="535"/>
          <tpl fld="6" item="2"/>
          <tpl hier="236" item="1"/>
          <tpl fld="4" item="5"/>
        </tpls>
      </m>
      <n v="2.3600000000000003" in="2">
        <tpls c="4">
          <tpl fld="7" item="541"/>
          <tpl fld="6" item="2"/>
          <tpl hier="236" item="1"/>
          <tpl fld="4" item="1"/>
        </tpls>
      </n>
      <m>
        <tpls c="4">
          <tpl fld="7" item="35"/>
          <tpl fld="6" item="2"/>
          <tpl hier="236" item="1"/>
          <tpl fld="4" item="1"/>
        </tpls>
      </m>
      <m>
        <tpls c="4">
          <tpl fld="7" item="188"/>
          <tpl fld="6" item="1"/>
          <tpl hier="236" item="1"/>
          <tpl fld="4" item="4"/>
        </tpls>
      </m>
      <n v="13.719999999999999" in="2">
        <tpls c="4">
          <tpl fld="7" item="493"/>
          <tpl fld="6" item="2"/>
          <tpl hier="236" item="1"/>
          <tpl fld="4" item="4"/>
        </tpls>
      </n>
      <n v="6" in="1">
        <tpls c="4">
          <tpl fld="7" item="506"/>
          <tpl fld="6" item="1"/>
          <tpl hier="236" item="1"/>
          <tpl fld="4" item="4"/>
        </tpls>
      </n>
      <n v="1.4" in="2">
        <tpls c="4">
          <tpl fld="7" item="681"/>
          <tpl fld="6" item="2"/>
          <tpl hier="236" item="1"/>
          <tpl fld="4" item="1"/>
        </tpls>
      </n>
      <n v="5" in="1">
        <tpls c="4">
          <tpl fld="7" item="459"/>
          <tpl fld="6" item="1"/>
          <tpl hier="236" item="1"/>
          <tpl fld="4" item="4"/>
        </tpls>
      </n>
      <n v="4" in="1">
        <tpls c="4">
          <tpl fld="7" item="1079"/>
          <tpl fld="6" item="1"/>
          <tpl hier="236" item="1"/>
          <tpl fld="4" item="6"/>
        </tpls>
      </n>
      <n v="6933" in="1">
        <tpls c="5">
          <tpl fld="11" item="0"/>
          <tpl fld="6" item="1"/>
          <tpl hier="236" item="1"/>
          <tpl fld="4" item="4"/>
          <tpl fld="10" item="8"/>
        </tpls>
      </n>
      <m>
        <tpls c="4">
          <tpl fld="7" item="260"/>
          <tpl fld="6" item="1"/>
          <tpl hier="236" item="1"/>
          <tpl fld="1" item="0"/>
        </tpls>
      </m>
      <m>
        <tpls c="4">
          <tpl fld="7" item="306"/>
          <tpl fld="6" item="2"/>
          <tpl hier="236" item="1"/>
          <tpl fld="4" item="1"/>
        </tpls>
      </m>
      <m>
        <tpls c="4">
          <tpl fld="7" item="46"/>
          <tpl fld="6" item="2"/>
          <tpl hier="236" item="1"/>
          <tpl fld="4" item="6"/>
        </tpls>
      </m>
      <m>
        <tpls c="4">
          <tpl fld="7" item="273"/>
          <tpl fld="6" item="2"/>
          <tpl hier="236" item="1"/>
          <tpl fld="4" item="6"/>
        </tpls>
      </m>
      <m>
        <tpls c="4">
          <tpl fld="7" item="293"/>
          <tpl fld="6" item="1"/>
          <tpl hier="236" item="1"/>
          <tpl fld="4" item="4"/>
        </tpls>
      </m>
      <n v="0" in="1">
        <tpls c="4">
          <tpl fld="7" item="1083"/>
          <tpl fld="6" item="1"/>
          <tpl hier="236" item="1"/>
          <tpl fld="4" item="6"/>
        </tpls>
      </n>
      <n v="855" in="1">
        <tpls c="5">
          <tpl fld="11" item="0"/>
          <tpl fld="6" item="1"/>
          <tpl hier="236" item="1"/>
          <tpl fld="4" item="1"/>
          <tpl fld="9" item="1"/>
        </tpls>
      </n>
      <m>
        <tpls c="4">
          <tpl fld="7" item="27"/>
          <tpl fld="6" item="1"/>
          <tpl hier="236" item="1"/>
          <tpl fld="4" item="4"/>
        </tpls>
      </m>
      <m>
        <tpls c="4">
          <tpl fld="7" item="256"/>
          <tpl fld="6" item="2"/>
          <tpl hier="236" item="1"/>
          <tpl fld="4" item="1"/>
        </tpls>
      </m>
      <m>
        <tpls c="4">
          <tpl fld="7" item="265"/>
          <tpl fld="6" item="1"/>
          <tpl hier="236" item="1"/>
          <tpl fld="4" item="4"/>
        </tpls>
      </m>
      <m>
        <tpls c="4">
          <tpl fld="7" item="273"/>
          <tpl fld="6" item="1"/>
          <tpl hier="236" item="1"/>
          <tpl fld="4" item="4"/>
        </tpls>
      </m>
      <m>
        <tpls c="4">
          <tpl fld="7" item="72"/>
          <tpl fld="6" item="2"/>
          <tpl hier="236" item="1"/>
          <tpl fld="4" item="4"/>
        </tpls>
      </m>
      <m>
        <tpls c="4">
          <tpl fld="7" item="487"/>
          <tpl fld="6" item="2"/>
          <tpl hier="236" item="1"/>
          <tpl fld="4" item="4"/>
        </tpls>
      </m>
      <m>
        <tpls c="4">
          <tpl fld="7" item="349"/>
          <tpl fld="6" item="1"/>
          <tpl hier="236" item="1"/>
          <tpl fld="4" item="4"/>
        </tpls>
      </m>
      <m>
        <tpls c="4">
          <tpl fld="7" item="590"/>
          <tpl fld="6" item="1"/>
          <tpl hier="236" item="1"/>
          <tpl fld="4" item="6"/>
        </tpls>
      </m>
      <n v="0" in="1">
        <tpls c="4">
          <tpl fld="7" item="929"/>
          <tpl fld="6" item="1"/>
          <tpl hier="236" item="1"/>
          <tpl fld="1" item="0"/>
        </tpls>
      </n>
      <m>
        <tpls c="4">
          <tpl fld="7" item="1255"/>
          <tpl fld="6" item="1"/>
          <tpl hier="236" item="1"/>
          <tpl fld="4" item="5"/>
        </tpls>
      </m>
      <n v="2" in="1">
        <tpls c="4">
          <tpl fld="7" item="964"/>
          <tpl fld="6" item="1"/>
          <tpl hier="236" item="1"/>
          <tpl fld="1" item="0"/>
        </tpls>
      </n>
      <n v="10" in="1">
        <tpls c="6">
          <tpl fld="11" item="0"/>
          <tpl fld="2" item="4"/>
          <tpl fld="6" item="1"/>
          <tpl hier="236" item="1"/>
          <tpl fld="4" item="4"/>
          <tpl fld="10" item="1"/>
        </tpls>
      </n>
      <m>
        <tpls c="3">
          <tpl fld="7" item="1071"/>
          <tpl fld="6" item="3"/>
          <tpl hier="236" item="1"/>
        </tpls>
      </m>
      <n v="67" in="1">
        <tpls c="6">
          <tpl fld="11" item="0"/>
          <tpl fld="6" item="1"/>
          <tpl fld="8" item="0"/>
          <tpl hier="236" item="1"/>
          <tpl fld="4" item="1"/>
          <tpl fld="9" item="0"/>
        </tpls>
      </n>
      <n v="3" in="1">
        <tpls c="5">
          <tpl fld="3" item="0"/>
          <tpl fld="11" item="0"/>
          <tpl fld="6" item="1"/>
          <tpl hier="236" item="1"/>
          <tpl fld="4" item="2"/>
        </tpls>
      </n>
      <m>
        <tpls c="4">
          <tpl fld="7" item="4"/>
          <tpl fld="6" item="1"/>
          <tpl hier="236" item="1"/>
          <tpl fld="4" item="5"/>
        </tpls>
      </m>
      <n v="541" in="1">
        <tpls c="5">
          <tpl fld="11" item="0"/>
          <tpl fld="6" item="1"/>
          <tpl hier="236" item="1"/>
          <tpl fld="4" item="3"/>
          <tpl fld="10" item="3"/>
        </tpls>
      </n>
      <m>
        <tpls c="4">
          <tpl fld="7" item="144"/>
          <tpl fld="6" item="2"/>
          <tpl hier="236" item="1"/>
          <tpl fld="4" item="1"/>
        </tpls>
      </m>
      <m>
        <tpls c="4">
          <tpl fld="7" item="345"/>
          <tpl fld="6" item="1"/>
          <tpl hier="236" item="1"/>
          <tpl fld="4" item="4"/>
        </tpls>
      </m>
      <m>
        <tpls c="4">
          <tpl fld="7" item="258"/>
          <tpl fld="6" item="2"/>
          <tpl hier="236" item="1"/>
          <tpl fld="4" item="4"/>
        </tpls>
      </m>
      <n v="7508" in="1">
        <tpls c="5">
          <tpl fld="11" item="0"/>
          <tpl fld="6" item="1"/>
          <tpl hier="236" item="1"/>
          <tpl fld="4" item="4"/>
          <tpl fld="10" item="0"/>
        </tpls>
      </n>
      <m>
        <tpls c="4">
          <tpl fld="7" item="251"/>
          <tpl fld="6" item="1"/>
          <tpl hier="236" item="1"/>
          <tpl fld="4" item="6"/>
        </tpls>
      </m>
      <m>
        <tpls c="3">
          <tpl fld="7" item="80"/>
          <tpl fld="6" item="3"/>
          <tpl hier="236" item="1"/>
        </tpls>
      </m>
      <m>
        <tpls c="4">
          <tpl fld="7" item="476"/>
          <tpl fld="6" item="2"/>
          <tpl hier="236" item="1"/>
          <tpl fld="4" item="1"/>
        </tpls>
      </m>
      <n v="5.6348648648648636" in="2">
        <tpls c="6">
          <tpl fld="11" item="0"/>
          <tpl fld="6" item="2"/>
          <tpl fld="8" item="0"/>
          <tpl hier="236" item="1"/>
          <tpl fld="4" item="6"/>
          <tpl fld="10" item="8"/>
        </tpls>
      </n>
      <m>
        <tpls c="4">
          <tpl fld="7" item="252"/>
          <tpl fld="6" item="1"/>
          <tpl hier="236" item="1"/>
          <tpl fld="4" item="6"/>
        </tpls>
      </m>
      <m>
        <tpls c="3">
          <tpl fld="7" item="81"/>
          <tpl fld="6" item="3"/>
          <tpl hier="236" item="1"/>
        </tpls>
      </m>
      <m>
        <tpls c="4">
          <tpl fld="7" item="335"/>
          <tpl fld="6" item="2"/>
          <tpl hier="236" item="1"/>
          <tpl fld="4" item="1"/>
        </tpls>
      </m>
      <n v="1" in="1">
        <tpls c="4">
          <tpl fld="7" item="965"/>
          <tpl fld="6" item="1"/>
          <tpl hier="236" item="1"/>
          <tpl fld="1" item="0"/>
        </tpls>
      </n>
      <m>
        <tpls c="4">
          <tpl fld="7" item="262"/>
          <tpl fld="6" item="2"/>
          <tpl hier="236" item="1"/>
          <tpl fld="4" item="6"/>
        </tpls>
      </m>
      <n v="365.94891891891888" in="2">
        <tpls c="5">
          <tpl fld="11" item="0"/>
          <tpl fld="6" item="2"/>
          <tpl fld="8" item="0"/>
          <tpl hier="236" item="1"/>
          <tpl fld="1" item="0"/>
        </tpls>
      </n>
      <m>
        <tpls c="4">
          <tpl fld="7" item="480"/>
          <tpl fld="6" item="2"/>
          <tpl hier="236" item="1"/>
          <tpl fld="4" item="4"/>
        </tpls>
      </m>
      <m>
        <tpls c="3">
          <tpl fld="7" item="247"/>
          <tpl fld="6" item="3"/>
          <tpl hier="236" item="1"/>
        </tpls>
      </m>
      <n v="1" in="1">
        <tpls c="4">
          <tpl fld="7" item="601"/>
          <tpl fld="6" item="1"/>
          <tpl hier="236" item="1"/>
          <tpl fld="4" item="4"/>
        </tpls>
      </n>
      <m>
        <tpls c="3">
          <tpl fld="7" item="248"/>
          <tpl fld="6" item="3"/>
          <tpl hier="236" item="1"/>
        </tpls>
      </m>
      <n v="37" in="1">
        <tpls c="4">
          <tpl fld="7" item="518"/>
          <tpl fld="6" item="1"/>
          <tpl hier="236" item="1"/>
          <tpl fld="4" item="4"/>
        </tpls>
      </n>
      <m>
        <tpls c="4">
          <tpl fld="7" item="335"/>
          <tpl fld="6" item="2"/>
          <tpl hier="236" item="1"/>
          <tpl fld="4" item="4"/>
        </tpls>
      </m>
      <m>
        <tpls c="4">
          <tpl fld="7" item="267"/>
          <tpl fld="6" item="2"/>
          <tpl hier="236" item="1"/>
          <tpl fld="4" item="6"/>
        </tpls>
      </m>
      <m>
        <tpls c="4">
          <tpl fld="7" item="343"/>
          <tpl fld="6" item="2"/>
          <tpl hier="236" item="1"/>
          <tpl fld="4" item="1"/>
        </tpls>
      </m>
      <m>
        <tpls c="4">
          <tpl fld="7" item="201"/>
          <tpl fld="6" item="1"/>
          <tpl hier="236" item="1"/>
          <tpl fld="4" item="4"/>
        </tpls>
      </m>
      <m>
        <tpls c="4">
          <tpl fld="7" item="668"/>
          <tpl fld="6" item="1"/>
          <tpl hier="236" item="1"/>
          <tpl fld="4" item="4"/>
        </tpls>
      </m>
      <m>
        <tpls c="4">
          <tpl fld="7" item="145"/>
          <tpl fld="6" item="1"/>
          <tpl hier="236" item="1"/>
          <tpl fld="4" item="6"/>
        </tpls>
      </m>
      <m>
        <tpls c="4">
          <tpl fld="7" item="266"/>
          <tpl fld="6" item="1"/>
          <tpl hier="236" item="1"/>
          <tpl fld="4" item="4"/>
        </tpls>
      </m>
      <m>
        <tpls c="4">
          <tpl fld="7" item="65"/>
          <tpl fld="6" item="1"/>
          <tpl hier="236" item="1"/>
          <tpl fld="4" item="4"/>
        </tpls>
      </m>
      <m>
        <tpls c="3">
          <tpl fld="7" item="416"/>
          <tpl fld="6" item="3"/>
          <tpl hier="236" item="1"/>
        </tpls>
      </m>
      <m>
        <tpls c="3">
          <tpl fld="7" item="99"/>
          <tpl fld="6" item="3"/>
          <tpl hier="236" item="1"/>
        </tpls>
      </m>
      <m>
        <tpls c="4">
          <tpl fld="7" item="337"/>
          <tpl fld="6" item="1"/>
          <tpl hier="236" item="1"/>
          <tpl fld="4" item="5"/>
        </tpls>
      </m>
      <n v="2" in="1">
        <tpls c="4">
          <tpl fld="7" item="100"/>
          <tpl fld="6" item="1"/>
          <tpl hier="236" item="1"/>
          <tpl fld="4" item="4"/>
        </tpls>
      </n>
      <m>
        <tpls c="4">
          <tpl fld="7" item="676"/>
          <tpl fld="6" item="1"/>
          <tpl hier="236" item="1"/>
          <tpl fld="4" item="4"/>
        </tpls>
      </m>
      <m>
        <tpls c="4">
          <tpl fld="7" item="441"/>
          <tpl fld="6" item="2"/>
          <tpl hier="236" item="1"/>
          <tpl fld="4" item="1"/>
        </tpls>
      </m>
      <m>
        <tpls c="3">
          <tpl fld="7" item="383"/>
          <tpl fld="6" item="3"/>
          <tpl hier="236" item="1"/>
        </tpls>
      </m>
      <m>
        <tpls c="4">
          <tpl fld="7" item="532"/>
          <tpl fld="6" item="2"/>
          <tpl hier="236" item="1"/>
          <tpl fld="4" item="1"/>
        </tpls>
      </m>
      <m>
        <tpls c="4">
          <tpl fld="7" item="1186"/>
          <tpl fld="6" item="2"/>
          <tpl hier="236" item="1"/>
          <tpl fld="4" item="4"/>
        </tpls>
      </m>
      <m>
        <tpls c="4">
          <tpl fld="7" item="611"/>
          <tpl fld="6" item="2"/>
          <tpl hier="236" item="1"/>
          <tpl fld="4" item="6"/>
        </tpls>
      </m>
      <m>
        <tpls c="4">
          <tpl fld="7" item="160"/>
          <tpl fld="6" item="2"/>
          <tpl hier="236" item="1"/>
          <tpl fld="4" item="1"/>
        </tpls>
      </m>
      <m>
        <tpls c="3">
          <tpl fld="7" item="208"/>
          <tpl fld="6" item="3"/>
          <tpl hier="236" item="1"/>
        </tpls>
      </m>
      <n v="4" in="1">
        <tpls c="4">
          <tpl fld="7" item="499"/>
          <tpl fld="6" item="1"/>
          <tpl hier="236" item="1"/>
          <tpl fld="4" item="4"/>
        </tpls>
      </n>
      <m>
        <tpls c="4">
          <tpl fld="7" item="761"/>
          <tpl fld="6" item="2"/>
          <tpl hier="236" item="1"/>
          <tpl fld="4" item="1"/>
        </tpls>
      </m>
      <m>
        <tpls c="3">
          <tpl fld="7" item="454"/>
          <tpl fld="6" item="3"/>
          <tpl hier="236" item="1"/>
        </tpls>
      </m>
      <n v="4" in="1">
        <tpls c="4">
          <tpl fld="7" item="532"/>
          <tpl fld="6" item="1"/>
          <tpl hier="236" item="1"/>
          <tpl fld="1" item="0"/>
        </tpls>
      </n>
      <n v="12.560000000000002" in="2">
        <tpls c="6">
          <tpl fld="11" item="0"/>
          <tpl fld="2" item="1"/>
          <tpl fld="6" item="2"/>
          <tpl hier="236" item="1"/>
          <tpl fld="4" item="7"/>
          <tpl fld="10" item="3"/>
        </tpls>
      </n>
      <m>
        <tpls c="4">
          <tpl fld="7" item="235"/>
          <tpl fld="6" item="2"/>
          <tpl hier="236" item="1"/>
          <tpl fld="4" item="1"/>
        </tpls>
      </m>
      <m>
        <tpls c="4">
          <tpl fld="7" item="162"/>
          <tpl fld="6" item="1"/>
          <tpl hier="236" item="1"/>
          <tpl fld="1" item="0"/>
        </tpls>
      </m>
      <n v="1139" in="1">
        <tpls c="5">
          <tpl fld="11" item="0"/>
          <tpl fld="6" item="1"/>
          <tpl hier="236" item="1"/>
          <tpl fld="4" item="3"/>
          <tpl fld="10" item="4"/>
        </tpls>
      </n>
      <m>
        <tpls c="4">
          <tpl fld="7" item="337"/>
          <tpl fld="6" item="2"/>
          <tpl hier="236" item="1"/>
          <tpl fld="4" item="6"/>
        </tpls>
      </m>
      <m>
        <tpls c="3">
          <tpl fld="7" item="173"/>
          <tpl fld="6" item="3"/>
          <tpl hier="236" item="1"/>
        </tpls>
      </m>
      <m>
        <tpls c="3">
          <tpl fld="7" item="190"/>
          <tpl fld="6" item="3"/>
          <tpl hier="236" item="1"/>
        </tpls>
      </m>
      <m>
        <tpls c="3">
          <tpl fld="7" item="312"/>
          <tpl fld="6" item="3"/>
          <tpl hier="236" item="1"/>
        </tpls>
      </m>
      <m>
        <tpls c="4">
          <tpl fld="7" item="466"/>
          <tpl fld="6" item="2"/>
          <tpl hier="236" item="1"/>
          <tpl fld="4" item="6"/>
        </tpls>
      </m>
      <m>
        <tpls c="4">
          <tpl fld="7" item="31"/>
          <tpl fld="6" item="2"/>
          <tpl hier="236" item="1"/>
          <tpl fld="4" item="4"/>
        </tpls>
      </m>
      <m>
        <tpls c="4">
          <tpl fld="7" item="151"/>
          <tpl fld="6" item="2"/>
          <tpl hier="236" item="1"/>
          <tpl fld="4" item="4"/>
        </tpls>
      </m>
      <m>
        <tpls c="4">
          <tpl fld="7" item="159"/>
          <tpl fld="6" item="2"/>
          <tpl hier="236" item="1"/>
          <tpl fld="4" item="4"/>
        </tpls>
      </m>
      <m>
        <tpls c="4">
          <tpl fld="7" item="171"/>
          <tpl fld="6" item="2"/>
          <tpl hier="236" item="1"/>
          <tpl fld="4" item="1"/>
        </tpls>
      </m>
      <m>
        <tpls c="4">
          <tpl fld="7" item="184"/>
          <tpl fld="6" item="1"/>
          <tpl hier="236" item="1"/>
          <tpl fld="4" item="6"/>
        </tpls>
      </m>
      <m>
        <tpls c="4">
          <tpl fld="7" item="305"/>
          <tpl fld="6" item="1"/>
          <tpl hier="236" item="1"/>
          <tpl fld="4" item="6"/>
        </tpls>
      </m>
      <m>
        <tpls c="4">
          <tpl fld="7" item="350"/>
          <tpl fld="6" item="2"/>
          <tpl hier="236" item="1"/>
          <tpl fld="4" item="4"/>
        </tpls>
      </m>
      <m>
        <tpls c="4">
          <tpl fld="7" item="46"/>
          <tpl fld="6" item="1"/>
          <tpl hier="236" item="1"/>
          <tpl fld="4" item="5"/>
        </tpls>
      </m>
      <m>
        <tpls c="3">
          <tpl fld="7" item="201"/>
          <tpl fld="6" item="3"/>
          <tpl hier="236" item="1"/>
        </tpls>
      </m>
      <n v="6.2" in="2">
        <tpls c="4">
          <tpl fld="7" item="426"/>
          <tpl fld="6" item="2"/>
          <tpl hier="236" item="1"/>
          <tpl fld="4" item="1"/>
        </tpls>
      </n>
      <n v="1" in="3">
        <tpls c="3">
          <tpl fld="7" item="368"/>
          <tpl fld="6" item="3"/>
          <tpl hier="236" item="1"/>
        </tpls>
      </n>
      <n v="1" in="1">
        <tpls c="4">
          <tpl fld="7" item="522"/>
          <tpl fld="6" item="1"/>
          <tpl hier="236" item="1"/>
          <tpl fld="4" item="6"/>
        </tpls>
      </n>
      <m>
        <tpls c="4">
          <tpl fld="7" item="531"/>
          <tpl fld="6" item="2"/>
          <tpl hier="236" item="1"/>
          <tpl fld="4" item="1"/>
        </tpls>
      </m>
      <m>
        <tpls c="4">
          <tpl fld="7" item="606"/>
          <tpl fld="6" item="2"/>
          <tpl hier="236" item="1"/>
          <tpl fld="4" item="4"/>
        </tpls>
      </m>
      <m>
        <tpls c="4">
          <tpl fld="7" item="690"/>
          <tpl fld="6" item="2"/>
          <tpl hier="236" item="1"/>
          <tpl fld="4" item="6"/>
        </tpls>
      </m>
      <m>
        <tpls c="4">
          <tpl fld="7" item="263"/>
          <tpl fld="6" item="2"/>
          <tpl hier="236" item="1"/>
          <tpl fld="4" item="1"/>
        </tpls>
      </m>
      <m>
        <tpls c="3">
          <tpl fld="7" item="202"/>
          <tpl fld="6" item="3"/>
          <tpl hier="236" item="1"/>
        </tpls>
      </m>
      <m>
        <tpls c="4">
          <tpl fld="7" item="877"/>
          <tpl fld="6" item="2"/>
          <tpl hier="236" item="1"/>
          <tpl fld="4" item="1"/>
        </tpls>
      </m>
      <n v="1" in="3">
        <tpls c="3">
          <tpl fld="7" item="439"/>
          <tpl fld="6" item="3"/>
          <tpl hier="236" item="1"/>
        </tpls>
      </n>
      <m>
        <tpls c="4">
          <tpl fld="7" item="309"/>
          <tpl fld="6" item="2"/>
          <tpl hier="236" item="1"/>
          <tpl fld="4" item="1"/>
        </tpls>
      </m>
      <m>
        <tpls c="4">
          <tpl fld="7" item="466"/>
          <tpl fld="6" item="1"/>
          <tpl hier="236" item="1"/>
          <tpl fld="4" item="5"/>
        </tpls>
      </m>
      <m>
        <tpls c="4">
          <tpl fld="7" item="31"/>
          <tpl fld="6" item="1"/>
          <tpl hier="236" item="1"/>
          <tpl fld="4" item="6"/>
        </tpls>
      </m>
      <m>
        <tpls c="4">
          <tpl fld="7" item="151"/>
          <tpl fld="6" item="1"/>
          <tpl hier="236" item="1"/>
          <tpl fld="4" item="6"/>
        </tpls>
      </m>
      <m>
        <tpls c="4">
          <tpl fld="7" item="159"/>
          <tpl fld="6" item="1"/>
          <tpl hier="236" item="1"/>
          <tpl fld="4" item="6"/>
        </tpls>
      </m>
      <m>
        <tpls c="4">
          <tpl fld="7" item="171"/>
          <tpl fld="6" item="1"/>
          <tpl hier="236" item="1"/>
          <tpl fld="4" item="4"/>
        </tpls>
      </m>
      <m>
        <tpls c="3">
          <tpl fld="7" item="184"/>
          <tpl fld="6" item="3"/>
          <tpl hier="236" item="1"/>
        </tpls>
      </m>
      <n v="188" in="1">
        <tpls c="6">
          <tpl fld="3" item="0"/>
          <tpl fld="11" item="0"/>
          <tpl fld="6" item="1"/>
          <tpl hier="236" item="1"/>
          <tpl fld="4" item="4"/>
          <tpl fld="10" item="2"/>
        </tpls>
      </n>
      <m>
        <tpls c="4">
          <tpl fld="7" item="111"/>
          <tpl fld="6" item="1"/>
          <tpl hier="236" item="1"/>
          <tpl fld="4" item="4"/>
        </tpls>
      </m>
      <m>
        <tpls c="4">
          <tpl fld="7" item="157"/>
          <tpl fld="6" item="1"/>
          <tpl hier="236" item="1"/>
          <tpl fld="1" item="0"/>
        </tpls>
      </m>
      <m>
        <tpls c="3">
          <tpl fld="7" item="420"/>
          <tpl fld="6" item="3"/>
          <tpl hier="236" item="1"/>
        </tpls>
      </m>
      <m>
        <tpls c="4">
          <tpl fld="7" item="48"/>
          <tpl fld="6" item="1"/>
          <tpl hier="236" item="1"/>
          <tpl fld="4" item="6"/>
        </tpls>
      </m>
      <m>
        <tpls c="4">
          <tpl fld="7" item="277"/>
          <tpl fld="6" item="1"/>
          <tpl hier="236" item="1"/>
          <tpl fld="4" item="4"/>
        </tpls>
      </m>
      <m>
        <tpls c="4">
          <tpl fld="7" item="296"/>
          <tpl fld="6" item="1"/>
          <tpl hier="236" item="1"/>
          <tpl fld="4" item="4"/>
        </tpls>
      </m>
      <m>
        <tpls c="3">
          <tpl fld="7" item="310"/>
          <tpl fld="6" item="3"/>
          <tpl hier="236" item="1"/>
        </tpls>
      </m>
      <m>
        <tpls c="6">
          <tpl fld="11" item="0"/>
          <tpl fld="6" item="2"/>
          <tpl fld="8" item="1"/>
          <tpl hier="236" item="1"/>
          <tpl fld="4" item="7"/>
          <tpl fld="10" item="6"/>
        </tpls>
      </m>
      <m>
        <tpls c="4">
          <tpl fld="7" item="29"/>
          <tpl fld="6" item="2"/>
          <tpl hier="236" item="1"/>
          <tpl fld="4" item="4"/>
        </tpls>
      </m>
      <m>
        <tpls c="4">
          <tpl fld="7" item="42"/>
          <tpl fld="6" item="1"/>
          <tpl hier="236" item="1"/>
          <tpl fld="4" item="4"/>
        </tpls>
      </m>
      <m>
        <tpls c="4">
          <tpl fld="7" item="50"/>
          <tpl fld="6" item="2"/>
          <tpl hier="236" item="1"/>
          <tpl fld="4" item="4"/>
        </tpls>
      </m>
      <m>
        <tpls c="4">
          <tpl fld="7" item="166"/>
          <tpl fld="6" item="2"/>
          <tpl hier="236" item="1"/>
          <tpl fld="4" item="1"/>
        </tpls>
      </m>
      <m>
        <tpls c="4">
          <tpl fld="7" item="182"/>
          <tpl fld="6" item="1"/>
          <tpl hier="236" item="1"/>
          <tpl fld="4" item="6"/>
        </tpls>
      </m>
      <m>
        <tpls c="4">
          <tpl fld="7" item="303"/>
          <tpl fld="6" item="1"/>
          <tpl hier="236" item="1"/>
          <tpl fld="4" item="6"/>
        </tpls>
      </m>
      <m>
        <tpls c="4">
          <tpl fld="7" item="674"/>
          <tpl fld="6" item="2"/>
          <tpl hier="236" item="1"/>
          <tpl fld="4" item="4"/>
        </tpls>
      </m>
      <m>
        <tpls c="4">
          <tpl fld="7" item="148"/>
          <tpl fld="6" item="2"/>
          <tpl hier="236" item="1"/>
          <tpl fld="4" item="4"/>
        </tpls>
      </m>
      <m>
        <tpls c="3">
          <tpl fld="7" item="193"/>
          <tpl fld="6" item="3"/>
          <tpl hier="236" item="1"/>
        </tpls>
      </m>
      <n v="17.623783783783786" in="2">
        <tpls c="4">
          <tpl fld="7" item="424"/>
          <tpl fld="6" item="2"/>
          <tpl hier="236" item="1"/>
          <tpl fld="4" item="1"/>
        </tpls>
      </n>
      <n v="1" in="3">
        <tpls c="3">
          <tpl fld="7" item="366"/>
          <tpl fld="6" item="3"/>
          <tpl hier="236" item="1"/>
        </tpls>
      </n>
      <n v="2" in="1">
        <tpls c="4">
          <tpl fld="7" item="520"/>
          <tpl fld="6" item="1"/>
          <tpl hier="236" item="1"/>
          <tpl fld="4" item="6"/>
        </tpls>
      </n>
      <m>
        <tpls c="4">
          <tpl fld="7" item="530"/>
          <tpl fld="6" item="1"/>
          <tpl hier="236" item="1"/>
          <tpl fld="4" item="5"/>
        </tpls>
      </m>
      <m>
        <tpls c="4">
          <tpl fld="7" item="767"/>
          <tpl fld="6" item="1"/>
          <tpl hier="236" item="1"/>
          <tpl fld="4" item="1"/>
        </tpls>
      </m>
      <n v="23" in="1">
        <tpls c="4">
          <tpl fld="7" item="1087"/>
          <tpl fld="6" item="1"/>
          <tpl hier="236" item="1"/>
          <tpl fld="4" item="4"/>
        </tpls>
      </n>
      <m>
        <tpls c="4">
          <tpl fld="7" item="149"/>
          <tpl fld="6" item="2"/>
          <tpl hier="236" item="1"/>
          <tpl fld="4" item="4"/>
        </tpls>
      </m>
      <m>
        <tpls c="3">
          <tpl fld="7" item="194"/>
          <tpl fld="6" item="3"/>
          <tpl hier="236" item="1"/>
        </tpls>
      </m>
      <n v="16.520540540540537" in="2">
        <tpls c="4">
          <tpl fld="7" item="675"/>
          <tpl fld="6" item="2"/>
          <tpl hier="236" item="1"/>
          <tpl fld="4" item="1"/>
        </tpls>
      </n>
      <n v="1" in="3">
        <tpls c="3">
          <tpl fld="7" item="437"/>
          <tpl fld="6" item="3"/>
          <tpl hier="236" item="1"/>
        </tpls>
      </n>
      <n v="4" in="1">
        <tpls c="4">
          <tpl fld="7" item="379"/>
          <tpl fld="6" item="1"/>
          <tpl hier="236" item="1"/>
          <tpl fld="4" item="6"/>
        </tpls>
      </n>
      <m>
        <tpls c="4">
          <tpl fld="7" item="530"/>
          <tpl fld="6" item="2"/>
          <tpl hier="236" item="1"/>
          <tpl fld="1" item="0"/>
        </tpls>
      </m>
      <m>
        <tpls c="6">
          <tpl fld="11" item="0"/>
          <tpl fld="2" item="4"/>
          <tpl fld="6" item="2"/>
          <tpl hier="236" item="1"/>
          <tpl fld="4" item="3"/>
          <tpl fld="10" item="0"/>
        </tpls>
      </m>
      <m>
        <tpls c="4">
          <tpl fld="7" item="0"/>
          <tpl fld="6" item="2"/>
          <tpl hier="236" item="1"/>
          <tpl fld="4" item="1"/>
        </tpls>
      </m>
      <m>
        <tpls c="4">
          <tpl fld="7" item="264"/>
          <tpl fld="6" item="1"/>
          <tpl hier="236" item="1"/>
          <tpl fld="1" item="0"/>
        </tpls>
      </m>
      <m>
        <tpls c="4">
          <tpl fld="7" item="96"/>
          <tpl fld="6" item="2"/>
          <tpl hier="236" item="1"/>
          <tpl fld="4" item="4"/>
        </tpls>
      </m>
      <m>
        <tpls c="4">
          <tpl fld="7" item="1036"/>
          <tpl fld="6" item="2"/>
          <tpl hier="236" item="1"/>
          <tpl fld="4" item="5"/>
        </tpls>
      </m>
      <m>
        <tpls c="3">
          <tpl fld="7" item="1177"/>
          <tpl fld="6" item="3"/>
          <tpl hier="236" item="1"/>
        </tpls>
      </m>
      <n v="3.44" in="2">
        <tpls c="6">
          <tpl fld="11" item="0"/>
          <tpl fld="2" item="4"/>
          <tpl fld="6" item="2"/>
          <tpl hier="236" item="1"/>
          <tpl fld="4" item="1"/>
          <tpl fld="9" item="2"/>
        </tpls>
      </n>
      <n v="229" in="1">
        <tpls c="6">
          <tpl fld="11" item="0"/>
          <tpl fld="2" item="4"/>
          <tpl fld="6" item="1"/>
          <tpl hier="236" item="1"/>
          <tpl fld="4" item="6"/>
          <tpl fld="10" item="2"/>
        </tpls>
      </n>
      <n v="3.2718918918918916" in="2">
        <tpls c="6">
          <tpl fld="11" item="0"/>
          <tpl fld="5" item="0"/>
          <tpl fld="6" item="2"/>
          <tpl hier="236" item="1"/>
          <tpl fld="4" item="6"/>
          <tpl fld="10" item="4"/>
        </tpls>
      </n>
      <n v="57" in="1">
        <tpls c="6">
          <tpl fld="3" item="1"/>
          <tpl fld="11" item="0"/>
          <tpl fld="6" item="1"/>
          <tpl hier="236" item="1"/>
          <tpl fld="4" item="4"/>
          <tpl fld="10" item="6"/>
        </tpls>
      </n>
      <n v="1" in="1">
        <tpls c="6">
          <tpl fld="3" item="4"/>
          <tpl fld="11" item="0"/>
          <tpl fld="6" item="1"/>
          <tpl hier="236" item="1"/>
          <tpl fld="4" item="7"/>
          <tpl fld="10" item="4"/>
        </tpls>
      </n>
      <n v="6" in="1">
        <tpls c="5">
          <tpl fld="3" item="0"/>
          <tpl fld="11" item="0"/>
          <tpl fld="6" item="1"/>
          <tpl hier="236" item="1"/>
          <tpl fld="4" item="5"/>
        </tpls>
      </n>
      <n v="66" in="1">
        <tpls c="6">
          <tpl fld="11" item="0"/>
          <tpl fld="2" item="4"/>
          <tpl fld="6" item="1"/>
          <tpl hier="236" item="1"/>
          <tpl fld="4" item="6"/>
          <tpl fld="10" item="5"/>
        </tpls>
      </n>
      <n v="38.727567567567569" in="2">
        <tpls c="6">
          <tpl fld="11" item="0"/>
          <tpl fld="2" item="2"/>
          <tpl fld="6" item="2"/>
          <tpl hier="236" item="1"/>
          <tpl fld="4" item="4"/>
          <tpl fld="10" item="0"/>
        </tpls>
      </n>
      <n v="4.4399999999999995" in="2">
        <tpls c="6">
          <tpl fld="3" item="2"/>
          <tpl fld="11" item="0"/>
          <tpl fld="6" item="2"/>
          <tpl hier="236" item="1"/>
          <tpl fld="4" item="4"/>
          <tpl fld="10" item="1"/>
        </tpls>
      </n>
      <m>
        <tpls c="4">
          <tpl fld="7" item="17"/>
          <tpl fld="6" item="2"/>
          <tpl hier="236" item="1"/>
          <tpl fld="4" item="1"/>
        </tpls>
      </m>
      <n v="13.122162162162162" in="2">
        <tpls c="5">
          <tpl fld="11" item="0"/>
          <tpl fld="6" item="2"/>
          <tpl fld="8" item="1"/>
          <tpl hier="236" item="1"/>
          <tpl fld="4" item="2"/>
        </tpls>
      </n>
      <n v="96" in="1">
        <tpls c="6">
          <tpl fld="3" item="0"/>
          <tpl fld="11" item="0"/>
          <tpl fld="6" item="1"/>
          <tpl hier="236" item="1"/>
          <tpl fld="4" item="3"/>
          <tpl fld="10" item="4"/>
        </tpls>
      </n>
      <n v="29" in="1">
        <tpls c="4">
          <tpl fld="7" item="1155"/>
          <tpl fld="6" item="1"/>
          <tpl hier="236" item="1"/>
          <tpl fld="4" item="6"/>
        </tpls>
      </n>
      <n v="132" in="1">
        <tpls c="6">
          <tpl fld="3" item="4"/>
          <tpl fld="11" item="0"/>
          <tpl fld="6" item="1"/>
          <tpl hier="236" item="1"/>
          <tpl fld="4" item="6"/>
          <tpl fld="10" item="6"/>
        </tpls>
      </n>
      <n v="1143" in="1">
        <tpls c="6">
          <tpl fld="11" item="0"/>
          <tpl fld="2" item="2"/>
          <tpl fld="6" item="1"/>
          <tpl hier="236" item="1"/>
          <tpl fld="4" item="6"/>
          <tpl fld="10" item="7"/>
        </tpls>
      </n>
      <n v="0.8" in="2">
        <tpls c="6">
          <tpl fld="11" item="0"/>
          <tpl fld="5" item="2"/>
          <tpl fld="6" item="2"/>
          <tpl hier="236" item="1"/>
          <tpl fld="4" item="4"/>
          <tpl fld="10" item="4"/>
        </tpls>
      </n>
      <m>
        <tpls c="6">
          <tpl fld="11" item="0"/>
          <tpl fld="2" item="2"/>
          <tpl fld="6" item="2"/>
          <tpl hier="236" item="1"/>
          <tpl fld="4" item="7"/>
          <tpl fld="10" item="3"/>
        </tpls>
      </m>
      <n v="132" in="1">
        <tpls c="6">
          <tpl fld="3" item="3"/>
          <tpl fld="11" item="0"/>
          <tpl fld="6" item="1"/>
          <tpl hier="236" item="1"/>
          <tpl fld="4" item="6"/>
          <tpl fld="10" item="2"/>
        </tpls>
      </n>
      <n v="30" in="1">
        <tpls c="6">
          <tpl fld="3" item="3"/>
          <tpl fld="11" item="0"/>
          <tpl fld="6" item="1"/>
          <tpl hier="236" item="1"/>
          <tpl fld="4" item="6"/>
          <tpl fld="10" item="3"/>
        </tpls>
      </n>
      <n v="51.067027027027038" in="2">
        <tpls c="6">
          <tpl fld="11" item="0"/>
          <tpl fld="6" item="2"/>
          <tpl fld="8" item="1"/>
          <tpl hier="236" item="1"/>
          <tpl fld="4" item="6"/>
          <tpl fld="10" item="2"/>
        </tpls>
      </n>
      <m>
        <tpls c="4">
          <tpl fld="7" item="228"/>
          <tpl fld="6" item="1"/>
          <tpl hier="236" item="1"/>
          <tpl fld="4" item="4"/>
        </tpls>
      </m>
      <n v="0" in="1">
        <tpls c="6">
          <tpl fld="3" item="2"/>
          <tpl fld="11" item="0"/>
          <tpl fld="6" item="1"/>
          <tpl hier="236" item="1"/>
          <tpl fld="4" item="3"/>
          <tpl fld="10" item="5"/>
        </tpls>
      </n>
      <n v="2208" in="1">
        <tpls c="6">
          <tpl fld="11" item="0"/>
          <tpl fld="6" item="1"/>
          <tpl fld="8" item="1"/>
          <tpl hier="236" item="1"/>
          <tpl fld="4" item="6"/>
          <tpl fld="10" item="2"/>
        </tpls>
      </n>
      <n v="3" in="1">
        <tpls c="6">
          <tpl fld="3" item="0"/>
          <tpl fld="11" item="0"/>
          <tpl fld="6" item="1"/>
          <tpl hier="236" item="1"/>
          <tpl fld="4" item="7"/>
          <tpl fld="10" item="1"/>
        </tpls>
      </n>
      <n v="217" in="1">
        <tpls c="6">
          <tpl fld="11" item="0"/>
          <tpl fld="6" item="1"/>
          <tpl fld="8" item="0"/>
          <tpl hier="236" item="1"/>
          <tpl fld="4" item="6"/>
          <tpl fld="10" item="2"/>
        </tpls>
      </n>
      <m>
        <tpls c="4">
          <tpl fld="7" item="7"/>
          <tpl fld="6" item="2"/>
          <tpl hier="236" item="1"/>
          <tpl fld="4" item="1"/>
        </tpls>
      </m>
      <n v="7.32" in="2">
        <tpls c="6">
          <tpl fld="3" item="2"/>
          <tpl fld="11" item="0"/>
          <tpl fld="6" item="2"/>
          <tpl hier="236" item="1"/>
          <tpl fld="4" item="1"/>
          <tpl fld="9" item="0"/>
        </tpls>
      </n>
      <m>
        <tpls c="4">
          <tpl fld="7" item="399"/>
          <tpl fld="6" item="2"/>
          <tpl hier="236" item="1"/>
          <tpl fld="4" item="1"/>
        </tpls>
      </m>
      <n v="176" in="1">
        <tpls c="6">
          <tpl fld="11" item="0"/>
          <tpl fld="2" item="2"/>
          <tpl fld="6" item="1"/>
          <tpl hier="236" item="1"/>
          <tpl fld="4" item="1"/>
          <tpl fld="9" item="2"/>
        </tpls>
      </n>
      <m>
        <tpls c="6">
          <tpl fld="3" item="4"/>
          <tpl fld="11" item="0"/>
          <tpl fld="6" item="2"/>
          <tpl hier="236" item="1"/>
          <tpl fld="4" item="3"/>
          <tpl fld="10" item="6"/>
        </tpls>
      </m>
      <m>
        <tpls c="4">
          <tpl fld="7" item="120"/>
          <tpl fld="6" item="1"/>
          <tpl hier="236" item="1"/>
          <tpl fld="4" item="4"/>
        </tpls>
      </m>
      <n v="50" in="1">
        <tpls c="6">
          <tpl fld="3" item="1"/>
          <tpl fld="11" item="0"/>
          <tpl fld="6" item="1"/>
          <tpl hier="236" item="1"/>
          <tpl fld="4" item="7"/>
          <tpl fld="10" item="4"/>
        </tpls>
      </n>
      <m>
        <tpls c="4">
          <tpl fld="7" item="110"/>
          <tpl fld="6" item="2"/>
          <tpl hier="236" item="1"/>
          <tpl fld="4" item="6"/>
        </tpls>
      </m>
      <n v="171" in="1">
        <tpls c="6">
          <tpl fld="11" item="0"/>
          <tpl fld="2" item="2"/>
          <tpl fld="6" item="1"/>
          <tpl hier="236" item="1"/>
          <tpl fld="4" item="4"/>
          <tpl fld="10" item="4"/>
        </tpls>
      </n>
      <m>
        <tpls c="4">
          <tpl fld="7" item="1082"/>
          <tpl fld="6" item="1"/>
          <tpl hier="236" item="1"/>
          <tpl fld="4" item="4"/>
        </tpls>
      </m>
      <m>
        <tpls c="4">
          <tpl fld="7" item="148"/>
          <tpl fld="6" item="2"/>
          <tpl hier="236" item="1"/>
          <tpl fld="4" item="1"/>
        </tpls>
      </m>
      <m>
        <tpls c="3">
          <tpl fld="7" item="49"/>
          <tpl fld="6" item="3"/>
          <tpl hier="236" item="1"/>
        </tpls>
      </m>
      <m>
        <tpls c="3">
          <tpl fld="7" item="57"/>
          <tpl fld="6" item="3"/>
          <tpl hier="236" item="1"/>
        </tpls>
      </m>
      <m>
        <tpls c="4">
          <tpl fld="7" item="484"/>
          <tpl fld="6" item="2"/>
          <tpl hier="236" item="1"/>
          <tpl fld="4" item="4"/>
        </tpls>
      </m>
      <m>
        <tpls c="4">
          <tpl fld="7" item="85"/>
          <tpl fld="6" item="2"/>
          <tpl hier="236" item="1"/>
          <tpl fld="4" item="4"/>
        </tpls>
      </m>
      <m>
        <tpls c="4">
          <tpl fld="7" item="98"/>
          <tpl fld="6" item="1"/>
          <tpl hier="236" item="1"/>
          <tpl fld="4" item="4"/>
        </tpls>
      </m>
      <m>
        <tpls c="4">
          <tpl fld="7" item="467"/>
          <tpl fld="6" item="1"/>
          <tpl hier="236" item="1"/>
          <tpl fld="4" item="5"/>
        </tpls>
      </m>
      <m>
        <tpls c="4">
          <tpl fld="7" item="33"/>
          <tpl fld="6" item="1"/>
          <tpl hier="236" item="1"/>
          <tpl fld="4" item="6"/>
        </tpls>
      </m>
      <m>
        <tpls c="4">
          <tpl fld="7" item="477"/>
          <tpl fld="6" item="1"/>
          <tpl hier="236" item="1"/>
          <tpl fld="4" item="6"/>
        </tpls>
      </m>
      <n v="109" in="1">
        <tpls c="6">
          <tpl fld="11" item="0"/>
          <tpl fld="2" item="0"/>
          <tpl fld="6" item="1"/>
          <tpl hier="236" item="1"/>
          <tpl fld="4" item="3"/>
          <tpl fld="10" item="7"/>
        </tpls>
      </n>
      <m>
        <tpls c="6">
          <tpl fld="3" item="0"/>
          <tpl fld="11" item="0"/>
          <tpl fld="6" item="1"/>
          <tpl hier="236" item="1"/>
          <tpl fld="4" item="1"/>
          <tpl fld="9" item="0"/>
        </tpls>
      </m>
      <m>
        <tpls c="4">
          <tpl fld="7" item="326"/>
          <tpl fld="6" item="2"/>
          <tpl hier="236" item="1"/>
          <tpl fld="4" item="1"/>
        </tpls>
      </m>
      <n v="2029" in="1">
        <tpls c="6">
          <tpl fld="3" item="2"/>
          <tpl fld="11" item="0"/>
          <tpl fld="6" item="1"/>
          <tpl hier="236" item="1"/>
          <tpl fld="4" item="4"/>
          <tpl fld="10" item="0"/>
        </tpls>
      </n>
      <m>
        <tpls c="4">
          <tpl fld="7" item="108"/>
          <tpl fld="6" item="2"/>
          <tpl hier="236" item="1"/>
          <tpl fld="4" item="6"/>
        </tpls>
      </m>
      <n v="135" in="1">
        <tpls c="5">
          <tpl fld="11" item="0"/>
          <tpl fld="5" item="2"/>
          <tpl fld="6" item="1"/>
          <tpl hier="236" item="1"/>
          <tpl fld="4" item="0"/>
        </tpls>
      </n>
      <m>
        <tpls c="4">
          <tpl fld="7" item="472"/>
          <tpl fld="6" item="1"/>
          <tpl hier="236" item="1"/>
          <tpl fld="4" item="4"/>
        </tpls>
      </m>
      <n v="0" in="1">
        <tpls c="4">
          <tpl fld="7" item="255"/>
          <tpl fld="6" item="1"/>
          <tpl hier="236" item="1"/>
          <tpl fld="4" item="6"/>
        </tpls>
      </n>
      <m>
        <tpls c="4">
          <tpl fld="7" item="48"/>
          <tpl fld="6" item="1"/>
          <tpl hier="236" item="1"/>
          <tpl fld="1" item="0"/>
        </tpls>
      </m>
      <m>
        <tpls c="4">
          <tpl fld="7" item="56"/>
          <tpl fld="6" item="1"/>
          <tpl hier="236" item="1"/>
          <tpl fld="1" item="0"/>
        </tpls>
      </m>
      <m>
        <tpls c="4">
          <tpl fld="7" item="179"/>
          <tpl fld="6" item="2"/>
          <tpl hier="236" item="1"/>
          <tpl fld="4" item="1"/>
        </tpls>
      </m>
      <m>
        <tpls c="3">
          <tpl fld="7" item="84"/>
          <tpl fld="6" item="3"/>
          <tpl hier="236" item="1"/>
        </tpls>
      </m>
      <m>
        <tpls c="3">
          <tpl fld="7" item="490"/>
          <tpl fld="6" item="3"/>
          <tpl hier="236" item="1"/>
        </tpls>
      </m>
      <m>
        <tpls c="4">
          <tpl fld="7" item="218"/>
          <tpl fld="6" item="2"/>
          <tpl hier="236" item="1"/>
          <tpl fld="4" item="1"/>
        </tpls>
      </m>
      <m>
        <tpls c="4">
          <tpl fld="7" item="248"/>
          <tpl fld="6" item="1"/>
          <tpl hier="236" item="1"/>
          <tpl fld="4" item="4"/>
        </tpls>
      </m>
      <m>
        <tpls c="4">
          <tpl fld="7" item="1185"/>
          <tpl fld="6" item="2"/>
          <tpl hier="236" item="1"/>
          <tpl fld="4" item="6"/>
        </tpls>
      </m>
      <n v="1113" in="1">
        <tpls c="5">
          <tpl fld="11" item="0"/>
          <tpl fld="2" item="1"/>
          <tpl fld="6" item="1"/>
          <tpl hier="236" item="1"/>
          <tpl fld="4" item="5"/>
        </tpls>
      </n>
      <n v="52" in="1">
        <tpls c="6">
          <tpl fld="3" item="2"/>
          <tpl fld="11" item="0"/>
          <tpl fld="6" item="1"/>
          <tpl hier="236" item="1"/>
          <tpl fld="4" item="6"/>
          <tpl fld="10" item="5"/>
        </tpls>
      </n>
      <m>
        <tpls c="4">
          <tpl fld="7" item="327"/>
          <tpl fld="6" item="2"/>
          <tpl hier="236" item="1"/>
          <tpl fld="4" item="1"/>
        </tpls>
      </m>
      <m>
        <tpls c="6">
          <tpl fld="3" item="4"/>
          <tpl fld="11" item="0"/>
          <tpl fld="6" item="2"/>
          <tpl hier="236" item="1"/>
          <tpl fld="4" item="3"/>
          <tpl fld="10" item="7"/>
        </tpls>
      </m>
      <m>
        <tpls c="4">
          <tpl fld="7" item="218"/>
          <tpl fld="6" item="1"/>
          <tpl hier="236" item="1"/>
          <tpl fld="4" item="5"/>
        </tpls>
      </m>
      <m>
        <tpls c="6">
          <tpl fld="11" item="0"/>
          <tpl fld="2" item="1"/>
          <tpl fld="6" item="1"/>
          <tpl hier="236" item="1"/>
          <tpl fld="4" item="3"/>
          <tpl fld="10" item="6"/>
        </tpls>
      </m>
      <m>
        <tpls c="3">
          <tpl fld="7" item="27"/>
          <tpl fld="6" item="3"/>
          <tpl hier="236" item="1"/>
        </tpls>
      </m>
      <m>
        <tpls c="4">
          <tpl fld="7" item="256"/>
          <tpl fld="6" item="1"/>
          <tpl hier="236" item="1"/>
          <tpl fld="4" item="6"/>
        </tpls>
      </m>
      <m>
        <tpls c="3">
          <tpl fld="7" item="265"/>
          <tpl fld="6" item="3"/>
          <tpl hier="236" item="1"/>
        </tpls>
      </m>
      <m>
        <tpls c="3">
          <tpl fld="7" item="273"/>
          <tpl fld="6" item="3"/>
          <tpl hier="236" item="1"/>
        </tpls>
      </m>
      <m>
        <tpls c="4">
          <tpl fld="7" item="180"/>
          <tpl fld="6" item="2"/>
          <tpl hier="236" item="1"/>
          <tpl fld="4" item="1"/>
        </tpls>
      </m>
      <m>
        <tpls c="4">
          <tpl fld="7" item="301"/>
          <tpl fld="6" item="2"/>
          <tpl hier="236" item="1"/>
          <tpl fld="4" item="1"/>
        </tpls>
      </m>
      <m>
        <tpls c="3">
          <tpl fld="7" item="349"/>
          <tpl fld="6" item="3"/>
          <tpl hier="236" item="1"/>
        </tpls>
      </m>
      <m>
        <tpls c="4">
          <tpl fld="7" item="220"/>
          <tpl fld="6" item="2"/>
          <tpl hier="236" item="1"/>
          <tpl fld="4" item="1"/>
        </tpls>
      </m>
      <m>
        <tpls c="4">
          <tpl fld="7" item="249"/>
          <tpl fld="6" item="1"/>
          <tpl hier="236" item="1"/>
          <tpl fld="4" item="4"/>
        </tpls>
      </m>
      <m>
        <tpls c="4">
          <tpl fld="7" item="152"/>
          <tpl fld="6" item="1"/>
          <tpl hier="236" item="1"/>
          <tpl fld="4" item="6"/>
        </tpls>
      </m>
      <m>
        <tpls c="4">
          <tpl fld="7" item="160"/>
          <tpl fld="6" item="1"/>
          <tpl hier="236" item="1"/>
          <tpl fld="4" item="6"/>
        </tpls>
      </m>
      <m>
        <tpls c="4">
          <tpl fld="7" item="65"/>
          <tpl fld="6" item="1"/>
          <tpl hier="236" item="1"/>
          <tpl fld="4" item="6"/>
        </tpls>
      </m>
      <m>
        <tpls c="4">
          <tpl fld="7" item="294"/>
          <tpl fld="6" item="2"/>
          <tpl hier="236" item="1"/>
          <tpl fld="4" item="4"/>
        </tpls>
      </m>
      <n v="43.128972972972974" in="2">
        <tpls c="6">
          <tpl fld="11" item="0"/>
          <tpl fld="2" item="1"/>
          <tpl fld="6" item="2"/>
          <tpl hier="236" item="1"/>
          <tpl fld="4" item="6"/>
          <tpl fld="10" item="0"/>
        </tpls>
      </n>
      <m>
        <tpls c="4">
          <tpl fld="7" item="328"/>
          <tpl fld="6" item="1"/>
          <tpl hier="236" item="1"/>
          <tpl fld="4" item="4"/>
        </tpls>
      </m>
      <m>
        <tpls c="4">
          <tpl fld="7" item="161"/>
          <tpl fld="6" item="1"/>
          <tpl hier="236" item="1"/>
          <tpl fld="1" item="0"/>
        </tpls>
      </m>
      <n v="15.950270270270272" in="2">
        <tpls c="6">
          <tpl fld="11" item="0"/>
          <tpl fld="6" item="2"/>
          <tpl fld="8" item="1"/>
          <tpl hier="236" item="1"/>
          <tpl fld="4" item="4"/>
          <tpl fld="10" item="5"/>
        </tpls>
      </n>
      <m>
        <tpls c="4">
          <tpl fld="7" item="157"/>
          <tpl fld="6" item="2"/>
          <tpl hier="236" item="1"/>
          <tpl fld="4" item="6"/>
        </tpls>
      </m>
      <m>
        <tpls c="4">
          <tpl fld="7" item="281"/>
          <tpl fld="6" item="1"/>
          <tpl hier="236" item="1"/>
          <tpl fld="4" item="4"/>
        </tpls>
      </m>
      <m>
        <tpls c="4">
          <tpl fld="7" item="298"/>
          <tpl fld="6" item="1"/>
          <tpl hier="236" item="1"/>
          <tpl fld="4" item="4"/>
        </tpls>
      </m>
      <m>
        <tpls c="4">
          <tpl fld="7" item="203"/>
          <tpl fld="6" item="2"/>
          <tpl hier="236" item="1"/>
          <tpl fld="4" item="4"/>
        </tpls>
      </m>
      <m>
        <tpls c="4">
          <tpl fld="7" item="216"/>
          <tpl fld="6" item="1"/>
          <tpl hier="236" item="1"/>
          <tpl fld="1" item="0"/>
        </tpls>
      </m>
      <m>
        <tpls c="4">
          <tpl fld="7" item="247"/>
          <tpl fld="6" item="2"/>
          <tpl hier="236" item="1"/>
          <tpl fld="4" item="1"/>
        </tpls>
      </m>
      <m>
        <tpls c="4">
          <tpl fld="7" item="43"/>
          <tpl fld="6" item="2"/>
          <tpl hier="236" item="1"/>
          <tpl fld="4" item="4"/>
        </tpls>
      </m>
      <m>
        <tpls c="4">
          <tpl fld="7" item="51"/>
          <tpl fld="6" item="2"/>
          <tpl hier="236" item="1"/>
          <tpl fld="4" item="4"/>
        </tpls>
      </m>
      <m>
        <tpls c="4">
          <tpl fld="7" item="170"/>
          <tpl fld="6" item="2"/>
          <tpl hier="236" item="1"/>
          <tpl fld="4" item="1"/>
        </tpls>
      </m>
      <m>
        <tpls c="4">
          <tpl fld="7" item="76"/>
          <tpl fld="6" item="1"/>
          <tpl hier="236" item="1"/>
          <tpl fld="4" item="4"/>
        </tpls>
      </m>
      <m>
        <tpls c="4">
          <tpl fld="7" item="488"/>
          <tpl fld="6" item="1"/>
          <tpl hier="236" item="1"/>
          <tpl fld="4" item="4"/>
        </tpls>
      </m>
      <m>
        <tpls c="4">
          <tpl fld="7" item="209"/>
          <tpl fld="6" item="2"/>
          <tpl hier="236" item="1"/>
          <tpl fld="4" item="1"/>
        </tpls>
      </m>
      <m>
        <tpls c="4">
          <tpl fld="7" item="45"/>
          <tpl fld="6" item="1"/>
          <tpl hier="236" item="1"/>
          <tpl fld="4" item="5"/>
        </tpls>
      </m>
      <n v="0" in="1">
        <tpls c="4">
          <tpl fld="7" item="308"/>
          <tpl fld="6" item="1"/>
          <tpl hier="236" item="1"/>
          <tpl fld="4" item="4"/>
        </tpls>
      </n>
      <n v="21" in="1">
        <tpls c="4">
          <tpl fld="7" item="496"/>
          <tpl fld="6" item="1"/>
          <tpl hier="236" item="1"/>
          <tpl fld="4" item="6"/>
        </tpls>
      </n>
      <n v="0.4" in="2">
        <tpls c="4">
          <tpl fld="7" item="1237"/>
          <tpl fld="6" item="2"/>
          <tpl hier="236" item="1"/>
          <tpl fld="4" item="4"/>
        </tpls>
      </n>
      <n v="3" in="1">
        <tpls c="4">
          <tpl fld="7" item="602"/>
          <tpl fld="6" item="1"/>
          <tpl hier="236" item="1"/>
          <tpl fld="4" item="4"/>
        </tpls>
      </n>
      <m>
        <tpls c="4">
          <tpl fld="7" item="684"/>
          <tpl fld="6" item="2"/>
          <tpl hier="236" item="1"/>
          <tpl fld="4" item="4"/>
        </tpls>
      </m>
      <m>
        <tpls c="4">
          <tpl fld="7" item="1086"/>
          <tpl fld="6" item="2"/>
          <tpl hier="236" item="1"/>
          <tpl fld="4" item="6"/>
        </tpls>
      </m>
      <m>
        <tpls c="4">
          <tpl fld="7" item="610"/>
          <tpl fld="6" item="2"/>
          <tpl hier="236" item="1"/>
          <tpl fld="1" item="0"/>
        </tpls>
      </m>
      <m>
        <tpls c="4">
          <tpl fld="7" item="262"/>
          <tpl fld="6" item="2"/>
          <tpl hier="236" item="1"/>
          <tpl fld="4" item="1"/>
        </tpls>
      </m>
      <m>
        <tpls c="4">
          <tpl fld="7" item="309"/>
          <tpl fld="6" item="1"/>
          <tpl hier="236" item="1"/>
          <tpl fld="4" item="4"/>
        </tpls>
      </m>
      <n v="7" in="1">
        <tpls c="4">
          <tpl fld="7" item="355"/>
          <tpl fld="6" item="1"/>
          <tpl hier="236" item="1"/>
          <tpl fld="4" item="6"/>
        </tpls>
      </n>
      <m>
        <tpls c="4">
          <tpl fld="7" item="509"/>
          <tpl fld="6" item="2"/>
          <tpl hier="236" item="1"/>
          <tpl fld="4" item="4"/>
        </tpls>
      </m>
      <n v="1" in="1">
        <tpls c="4">
          <tpl fld="7" item="522"/>
          <tpl fld="6" item="1"/>
          <tpl hier="236" item="1"/>
          <tpl fld="4" item="4"/>
        </tpls>
      </n>
      <m>
        <tpls c="4">
          <tpl fld="7" item="684"/>
          <tpl fld="6" item="2"/>
          <tpl hier="236" item="1"/>
          <tpl fld="4" item="5"/>
        </tpls>
      </m>
      <n v="2314" in="1">
        <tpls c="6">
          <tpl fld="11" item="0"/>
          <tpl fld="5" item="5"/>
          <tpl fld="6" item="1"/>
          <tpl hier="236" item="1"/>
          <tpl fld="4" item="4"/>
          <tpl fld="10" item="7"/>
        </tpls>
      </n>
      <m>
        <tpls c="4">
          <tpl fld="7" item="116"/>
          <tpl fld="6" item="2"/>
          <tpl hier="236" item="1"/>
          <tpl fld="4" item="6"/>
        </tpls>
      </m>
      <m>
        <tpls c="4">
          <tpl fld="7" item="268"/>
          <tpl fld="6" item="1"/>
          <tpl hier="236" item="1"/>
          <tpl fld="1" item="0"/>
        </tpls>
      </m>
      <n v="1" in="1">
        <tpls c="6">
          <tpl fld="3" item="2"/>
          <tpl fld="11" item="0"/>
          <tpl fld="6" item="1"/>
          <tpl hier="236" item="1"/>
          <tpl fld="4" item="7"/>
          <tpl fld="10" item="0"/>
        </tpls>
      </n>
      <m>
        <tpls c="4">
          <tpl fld="7" item="265"/>
          <tpl fld="6" item="2"/>
          <tpl hier="236" item="1"/>
          <tpl fld="4" item="6"/>
        </tpls>
      </m>
      <m>
        <tpls c="4">
          <tpl fld="7" item="280"/>
          <tpl fld="6" item="2"/>
          <tpl hier="236" item="1"/>
          <tpl fld="4" item="4"/>
        </tpls>
      </m>
      <m>
        <tpls c="4">
          <tpl fld="7" item="297"/>
          <tpl fld="6" item="2"/>
          <tpl hier="236" item="1"/>
          <tpl fld="4" item="4"/>
        </tpls>
      </m>
      <m>
        <tpls c="3">
          <tpl fld="7" item="311"/>
          <tpl fld="6" item="3"/>
          <tpl hier="236" item="1"/>
        </tpls>
      </m>
      <m>
        <tpls c="6">
          <tpl fld="11" item="0"/>
          <tpl fld="6" item="2"/>
          <tpl fld="8" item="0"/>
          <tpl hier="236" item="1"/>
          <tpl fld="4" item="3"/>
          <tpl fld="10" item="1"/>
        </tpls>
      </m>
      <m>
        <tpls c="4">
          <tpl fld="7" item="30"/>
          <tpl fld="6" item="2"/>
          <tpl hier="236" item="1"/>
          <tpl fld="4" item="4"/>
        </tpls>
      </m>
      <m>
        <tpls c="4">
          <tpl fld="7" item="259"/>
          <tpl fld="6" item="1"/>
          <tpl hier="236" item="1"/>
          <tpl fld="4" item="4"/>
        </tpls>
      </m>
      <m>
        <tpls c="4">
          <tpl fld="7" item="267"/>
          <tpl fld="6" item="1"/>
          <tpl hier="236" item="1"/>
          <tpl fld="4" item="4"/>
        </tpls>
      </m>
      <m>
        <tpls c="4">
          <tpl fld="7" item="277"/>
          <tpl fld="6" item="2"/>
          <tpl hier="236" item="1"/>
          <tpl fld="4" item="1"/>
        </tpls>
      </m>
      <m>
        <tpls c="4">
          <tpl fld="7" item="183"/>
          <tpl fld="6" item="1"/>
          <tpl hier="236" item="1"/>
          <tpl fld="4" item="6"/>
        </tpls>
      </m>
      <m>
        <tpls c="4">
          <tpl fld="7" item="304"/>
          <tpl fld="6" item="1"/>
          <tpl hier="236" item="1"/>
          <tpl fld="4" item="6"/>
        </tpls>
      </m>
      <m>
        <tpls c="4">
          <tpl fld="7" item="491"/>
          <tpl fld="6" item="2"/>
          <tpl hier="236" item="1"/>
          <tpl fld="4" item="4"/>
        </tpls>
      </m>
      <m>
        <tpls c="4">
          <tpl fld="7" item="1185"/>
          <tpl fld="6" item="1"/>
          <tpl hier="236" item="1"/>
          <tpl fld="4" item="5"/>
        </tpls>
      </m>
      <n v="0" in="1">
        <tpls c="6">
          <tpl fld="11" item="0"/>
          <tpl fld="5" item="3"/>
          <tpl fld="6" item="1"/>
          <tpl hier="236" item="1"/>
          <tpl fld="4" item="3"/>
          <tpl fld="10" item="5"/>
        </tpls>
      </n>
      <m>
        <tpls c="6">
          <tpl fld="3" item="3"/>
          <tpl fld="11" item="0"/>
          <tpl fld="6" item="2"/>
          <tpl hier="236" item="1"/>
          <tpl fld="4" item="7"/>
          <tpl fld="10" item="1"/>
        </tpls>
      </m>
      <m>
        <tpls c="6">
          <tpl fld="11" item="0"/>
          <tpl fld="5" item="3"/>
          <tpl fld="6" item="2"/>
          <tpl hier="236" item="1"/>
          <tpl fld="4" item="3"/>
          <tpl fld="10" item="3"/>
        </tpls>
      </m>
      <m>
        <tpls c="3">
          <tpl fld="7" item="961"/>
          <tpl fld="6" item="3"/>
          <tpl hier="236" item="1"/>
        </tpls>
      </m>
      <n v="18.861081081081082" in="2">
        <tpls c="6">
          <tpl fld="11" item="0"/>
          <tpl fld="2" item="1"/>
          <tpl fld="6" item="2"/>
          <tpl hier="236" item="1"/>
          <tpl fld="4" item="6"/>
          <tpl fld="10" item="5"/>
        </tpls>
      </n>
      <m>
        <tpls c="4">
          <tpl fld="7" item="113"/>
          <tpl fld="6" item="1"/>
          <tpl hier="236" item="1"/>
          <tpl fld="4" item="5"/>
        </tpls>
      </m>
      <n v="626" in="1">
        <tpls c="6">
          <tpl fld="11" item="0"/>
          <tpl fld="6" item="1"/>
          <tpl fld="8" item="1"/>
          <tpl hier="236" item="1"/>
          <tpl fld="4" item="4"/>
          <tpl fld="10" item="6"/>
        </tpls>
      </n>
      <n v="1988" in="1">
        <tpls c="6">
          <tpl fld="3" item="4"/>
          <tpl fld="11" item="0"/>
          <tpl fld="6" item="1"/>
          <tpl hier="236" item="1"/>
          <tpl fld="4" item="1"/>
          <tpl fld="9" item="4"/>
        </tpls>
      </n>
      <n v="22" in="1">
        <tpls c="6">
          <tpl fld="11" item="0"/>
          <tpl fld="6" item="1"/>
          <tpl fld="8" item="1"/>
          <tpl hier="236" item="1"/>
          <tpl fld="4" item="7"/>
          <tpl fld="10" item="5"/>
        </tpls>
      </n>
      <m>
        <tpls c="3">
          <tpl fld="7" item="407"/>
          <tpl fld="6" item="3"/>
          <tpl hier="236" item="1"/>
        </tpls>
      </m>
      <m>
        <tpls c="4">
          <tpl fld="7" item="94"/>
          <tpl fld="6" item="1"/>
          <tpl hier="236" item="1"/>
          <tpl fld="4" item="4"/>
        </tpls>
      </m>
      <n v="5.4399999999999995" in="2">
        <tpls c="6">
          <tpl fld="11" item="0"/>
          <tpl fld="2" item="0"/>
          <tpl fld="6" item="2"/>
          <tpl hier="236" item="1"/>
          <tpl fld="4" item="4"/>
          <tpl fld="10" item="1"/>
        </tpls>
      </n>
      <n v="1.9600000000000002" in="2">
        <tpls c="6">
          <tpl fld="11" item="0"/>
          <tpl fld="6" item="2"/>
          <tpl fld="8" item="1"/>
          <tpl hier="236" item="1"/>
          <tpl fld="4" item="3"/>
          <tpl fld="10" item="3"/>
        </tpls>
      </n>
      <m>
        <tpls c="4">
          <tpl fld="7" item="336"/>
          <tpl fld="6" item="1"/>
          <tpl hier="236" item="1"/>
          <tpl fld="1" item="0"/>
        </tpls>
      </m>
      <m>
        <tpls c="3">
          <tpl fld="7" item="489"/>
          <tpl fld="6" item="3"/>
          <tpl hier="236" item="1"/>
        </tpls>
      </m>
      <n v="273.19454054054063" in="2">
        <tpls c="5">
          <tpl fld="3" item="4"/>
          <tpl fld="11" item="0"/>
          <tpl fld="6" item="2"/>
          <tpl hier="236" item="1"/>
          <tpl fld="1" item="0"/>
        </tpls>
      </n>
      <n v="3380" in="1">
        <tpls c="6">
          <tpl fld="11" item="0"/>
          <tpl fld="6" item="1"/>
          <tpl fld="8" item="1"/>
          <tpl hier="236" item="1"/>
          <tpl fld="4" item="3"/>
          <tpl fld="10" item="2"/>
        </tpls>
      </n>
      <m>
        <tpls c="3">
          <tpl fld="7" item="154"/>
          <tpl fld="6" item="3"/>
          <tpl hier="236" item="1"/>
        </tpls>
      </m>
      <m>
        <tpls c="3">
          <tpl fld="7" item="348"/>
          <tpl fld="6" item="3"/>
          <tpl hier="236" item="1"/>
        </tpls>
      </m>
      <m>
        <tpls c="4">
          <tpl fld="7" item="266"/>
          <tpl fld="6" item="1"/>
          <tpl hier="236" item="1"/>
          <tpl fld="4" item="6"/>
        </tpls>
      </m>
      <n v="21.95027027027027" in="2">
        <tpls c="5">
          <tpl fld="11" item="0"/>
          <tpl fld="6" item="2"/>
          <tpl hier="236" item="1"/>
          <tpl fld="4" item="4"/>
          <tpl fld="10" item="5"/>
        </tpls>
      </n>
      <m>
        <tpls c="4">
          <tpl fld="7" item="480"/>
          <tpl fld="6" item="2"/>
          <tpl hier="236" item="1"/>
          <tpl fld="4" item="6"/>
        </tpls>
      </m>
      <m>
        <tpls c="3">
          <tpl fld="7" item="243"/>
          <tpl fld="6" item="3"/>
          <tpl hier="236" item="1"/>
        </tpls>
      </m>
      <m>
        <tpls c="4">
          <tpl fld="7" item="72"/>
          <tpl fld="6" item="1"/>
          <tpl hier="236" item="1"/>
          <tpl fld="4" item="4"/>
        </tpls>
      </m>
      <m>
        <tpls c="4">
          <tpl fld="7" item="76"/>
          <tpl fld="6" item="2"/>
          <tpl hier="236" item="1"/>
          <tpl fld="4" item="1"/>
        </tpls>
      </m>
      <m>
        <tpls c="4">
          <tpl fld="7" item="529"/>
          <tpl fld="6" item="2"/>
          <tpl hier="236" item="1"/>
          <tpl fld="4" item="1"/>
        </tpls>
      </m>
      <m>
        <tpls c="4">
          <tpl fld="7" item="77"/>
          <tpl fld="6" item="2"/>
          <tpl hier="236" item="1"/>
          <tpl fld="4" item="1"/>
        </tpls>
      </m>
      <n v="1" in="1">
        <tpls c="4">
          <tpl fld="7" item="529"/>
          <tpl fld="6" item="1"/>
          <tpl hier="236" item="1"/>
          <tpl fld="1" item="0"/>
        </tpls>
      </n>
      <m>
        <tpls c="3">
          <tpl fld="7" item="417"/>
          <tpl fld="6" item="3"/>
          <tpl hier="236" item="1"/>
        </tpls>
      </m>
      <m>
        <tpls c="4">
          <tpl fld="7" item="271"/>
          <tpl fld="6" item="2"/>
          <tpl hier="236" item="1"/>
          <tpl fld="4" item="6"/>
        </tpls>
      </m>
      <m>
        <tpls c="4">
          <tpl fld="7" item="295"/>
          <tpl fld="6" item="2"/>
          <tpl hier="236" item="1"/>
          <tpl fld="4" item="4"/>
        </tpls>
      </m>
      <m>
        <tpls c="4">
          <tpl fld="7" item="205"/>
          <tpl fld="6" item="1"/>
          <tpl hier="236" item="1"/>
          <tpl fld="4" item="4"/>
        </tpls>
      </m>
      <m>
        <tpls c="4">
          <tpl fld="7" item="17"/>
          <tpl fld="6" item="1"/>
          <tpl hier="236" item="1"/>
          <tpl fld="4" item="4"/>
        </tpls>
      </m>
      <m>
        <tpls c="4">
          <tpl fld="7" item="149"/>
          <tpl fld="6" item="1"/>
          <tpl hier="236" item="1"/>
          <tpl fld="4" item="6"/>
        </tpls>
      </m>
      <m>
        <tpls c="4">
          <tpl fld="7" item="160"/>
          <tpl fld="6" item="1"/>
          <tpl hier="236" item="1"/>
          <tpl fld="4" item="4"/>
        </tpls>
      </m>
      <m>
        <tpls c="4">
          <tpl fld="7" item="286"/>
          <tpl fld="6" item="2"/>
          <tpl hier="236" item="1"/>
          <tpl fld="4" item="1"/>
        </tpls>
      </m>
      <m>
        <tpls c="4">
          <tpl fld="7" item="194"/>
          <tpl fld="6" item="2"/>
          <tpl hier="236" item="1"/>
          <tpl fld="4" item="1"/>
        </tpls>
      </m>
      <m>
        <tpls c="3">
          <tpl fld="7" item="103"/>
          <tpl fld="6" item="3"/>
          <tpl hier="236" item="1"/>
        </tpls>
      </m>
      <m>
        <tpls c="4">
          <tpl fld="7" item="64"/>
          <tpl fld="6" item="2"/>
          <tpl hier="236" item="1"/>
          <tpl fld="4" item="1"/>
        </tpls>
      </m>
      <n v="8" in="1">
        <tpls c="4">
          <tpl fld="7" item="212"/>
          <tpl fld="6" item="1"/>
          <tpl hier="236" item="1"/>
          <tpl fld="4" item="4"/>
        </tpls>
      </n>
      <m>
        <tpls c="4">
          <tpl fld="7" item="597"/>
          <tpl fld="6" item="2"/>
          <tpl hier="236" item="1"/>
          <tpl fld="4" item="4"/>
        </tpls>
      </m>
      <n v="8" in="1">
        <tpls c="4">
          <tpl fld="7" item="680"/>
          <tpl fld="6" item="1"/>
          <tpl hier="236" item="1"/>
          <tpl fld="4" item="4"/>
        </tpls>
      </n>
      <m>
        <tpls c="4">
          <tpl fld="7" item="457"/>
          <tpl fld="6" item="2"/>
          <tpl hier="236" item="1"/>
          <tpl fld="4" item="1"/>
        </tpls>
      </m>
      <m>
        <tpls c="4">
          <tpl fld="7" item="392"/>
          <tpl fld="6" item="2"/>
          <tpl hier="236" item="1"/>
          <tpl fld="1" item="0"/>
        </tpls>
      </m>
      <m>
        <tpls c="3">
          <tpl fld="7" item="880"/>
          <tpl fld="6" item="3"/>
          <tpl hier="236" item="1"/>
        </tpls>
      </m>
      <m>
        <tpls c="4">
          <tpl fld="7" item="668"/>
          <tpl fld="6" item="1"/>
          <tpl hier="236" item="1"/>
          <tpl fld="4" item="5"/>
        </tpls>
      </m>
      <m>
        <tpls c="4">
          <tpl fld="7" item="65"/>
          <tpl fld="6" item="2"/>
          <tpl hier="236" item="1"/>
          <tpl fld="4" item="1"/>
        </tpls>
      </m>
      <m>
        <tpls c="3">
          <tpl fld="7" item="492"/>
          <tpl fld="6" item="3"/>
          <tpl hier="236" item="1"/>
        </tpls>
      </m>
      <m>
        <tpls c="4">
          <tpl fld="7" item="502"/>
          <tpl fld="6" item="2"/>
          <tpl hier="236" item="1"/>
          <tpl fld="4" item="4"/>
        </tpls>
      </m>
      <n v="15" in="1">
        <tpls c="4">
          <tpl fld="7" item="515"/>
          <tpl fld="6" item="1"/>
          <tpl hier="236" item="1"/>
          <tpl fld="4" item="4"/>
        </tpls>
      </n>
      <m>
        <tpls c="4">
          <tpl fld="7" item="765"/>
          <tpl fld="6" item="1"/>
          <tpl hier="236" item="1"/>
          <tpl fld="4" item="5"/>
        </tpls>
      </m>
      <m>
        <tpls c="4">
          <tpl fld="7" item="463"/>
          <tpl fld="6" item="2"/>
          <tpl hier="236" item="1"/>
          <tpl fld="4" item="4"/>
        </tpls>
      </m>
      <n v="9.7135135135135133" in="2">
        <tpls c="6">
          <tpl fld="11" item="0"/>
          <tpl fld="6" item="2"/>
          <tpl fld="8" item="0"/>
          <tpl hier="236" item="1"/>
          <tpl fld="4" item="6"/>
          <tpl fld="10" item="2"/>
        </tpls>
      </n>
      <m>
        <tpls c="4">
          <tpl fld="7" item="468"/>
          <tpl fld="6" item="1"/>
          <tpl hier="236" item="1"/>
          <tpl fld="4" item="4"/>
        </tpls>
      </m>
      <m>
        <tpls c="4">
          <tpl fld="7" item="483"/>
          <tpl fld="6" item="1"/>
          <tpl hier="236" item="1"/>
          <tpl fld="4" item="4"/>
        </tpls>
      </m>
      <m>
        <tpls c="4">
          <tpl fld="7" item="245"/>
          <tpl fld="6" item="2"/>
          <tpl hier="236" item="1"/>
          <tpl fld="4" item="4"/>
        </tpls>
      </m>
      <m>
        <tpls c="4">
          <tpl fld="7" item="160"/>
          <tpl fld="6" item="2"/>
          <tpl hier="236" item="1"/>
          <tpl fld="4" item="6"/>
        </tpls>
      </m>
      <m>
        <tpls c="4">
          <tpl fld="7" item="342"/>
          <tpl fld="6" item="2"/>
          <tpl hier="236" item="1"/>
          <tpl fld="4" item="1"/>
        </tpls>
      </m>
      <m>
        <tpls c="4">
          <tpl fld="7" item="194"/>
          <tpl fld="6" item="1"/>
          <tpl hier="236" item="1"/>
          <tpl fld="4" item="4"/>
        </tpls>
      </m>
      <m>
        <tpls c="3">
          <tpl fld="7" item="1206"/>
          <tpl fld="6" item="3"/>
          <tpl hier="236" item="1"/>
        </tpls>
      </m>
      <m>
        <tpls c="4">
          <tpl fld="7" item="7"/>
          <tpl fld="6" item="1"/>
          <tpl hier="236" item="1"/>
          <tpl fld="4" item="5"/>
        </tpls>
      </m>
      <m>
        <tpls c="4">
          <tpl fld="7" item="142"/>
          <tpl fld="6" item="1"/>
          <tpl hier="236" item="1"/>
          <tpl fld="4" item="6"/>
        </tpls>
      </m>
      <m>
        <tpls c="4">
          <tpl fld="7" item="153"/>
          <tpl fld="6" item="2"/>
          <tpl hier="236" item="1"/>
          <tpl fld="4" item="4"/>
        </tpls>
      </m>
      <m>
        <tpls c="4">
          <tpl fld="7" item="161"/>
          <tpl fld="6" item="2"/>
          <tpl hier="236" item="1"/>
          <tpl fld="4" item="4"/>
        </tpls>
      </m>
      <m>
        <tpls c="4">
          <tpl fld="7" item="283"/>
          <tpl fld="6" item="2"/>
          <tpl hier="236" item="1"/>
          <tpl fld="4" item="1"/>
        </tpls>
      </m>
      <m>
        <tpls c="3">
          <tpl fld="7" item="593"/>
          <tpl fld="6" item="3"/>
          <tpl hier="236" item="1"/>
        </tpls>
      </m>
      <m>
        <tpls c="3">
          <tpl fld="7" item="92"/>
          <tpl fld="6" item="3"/>
          <tpl hier="236" item="1"/>
        </tpls>
      </m>
      <n v="650" in="1">
        <tpls c="6">
          <tpl fld="11" item="0"/>
          <tpl fld="2" item="1"/>
          <tpl fld="6" item="1"/>
          <tpl hier="236" item="1"/>
          <tpl fld="4" item="6"/>
          <tpl fld="10" item="0"/>
        </tpls>
      </n>
      <m>
        <tpls c="4">
          <tpl fld="7" item="54"/>
          <tpl fld="6" item="1"/>
          <tpl hier="236" item="1"/>
          <tpl fld="4" item="5"/>
        </tpls>
      </m>
      <m>
        <tpls c="3">
          <tpl fld="7" item="209"/>
          <tpl fld="6" item="3"/>
          <tpl hier="236" item="1"/>
        </tpls>
      </m>
      <n v="4" in="1">
        <tpls c="4">
          <tpl fld="7" item="758"/>
          <tpl fld="6" item="1"/>
          <tpl hier="236" item="1"/>
          <tpl fld="4" item="4"/>
        </tpls>
      </n>
      <m>
        <tpls c="4">
          <tpl fld="7" item="442"/>
          <tpl fld="6" item="2"/>
          <tpl hier="236" item="1"/>
          <tpl fld="4" item="1"/>
        </tpls>
      </m>
      <m>
        <tpls c="3">
          <tpl fld="7" item="384"/>
          <tpl fld="6" item="3"/>
          <tpl hier="236" item="1"/>
        </tpls>
      </m>
      <m>
        <tpls c="4">
          <tpl fld="7" item="391"/>
          <tpl fld="6" item="2"/>
          <tpl hier="236" item="1"/>
          <tpl fld="1" item="0"/>
        </tpls>
      </m>
      <m>
        <tpls c="3">
          <tpl fld="7" item="607"/>
          <tpl fld="6" item="3"/>
          <tpl hier="236" item="1"/>
        </tpls>
      </m>
      <n v="353" in="1">
        <tpls c="6">
          <tpl fld="3" item="0"/>
          <tpl fld="11" item="0"/>
          <tpl fld="6" item="1"/>
          <tpl hier="236" item="1"/>
          <tpl fld="4" item="4"/>
          <tpl fld="10" item="8"/>
        </tpls>
      </n>
      <m>
        <tpls c="4">
          <tpl fld="7" item="271"/>
          <tpl fld="6" item="2"/>
          <tpl hier="236" item="1"/>
          <tpl fld="4" item="1"/>
        </tpls>
      </m>
      <m>
        <tpls c="4">
          <tpl fld="7" item="350"/>
          <tpl fld="6" item="1"/>
          <tpl hier="236" item="1"/>
          <tpl fld="4" item="6"/>
        </tpls>
      </m>
      <m>
        <tpls c="4">
          <tpl fld="7" item="500"/>
          <tpl fld="6" item="1"/>
          <tpl hier="236" item="1"/>
          <tpl fld="4" item="4"/>
        </tpls>
      </m>
      <m>
        <tpls c="4">
          <tpl fld="7" item="878"/>
          <tpl fld="6" item="2"/>
          <tpl hier="236" item="1"/>
          <tpl fld="4" item="1"/>
        </tpls>
      </m>
      <m>
        <tpls c="3">
          <tpl fld="7" item="455"/>
          <tpl fld="6" item="3"/>
          <tpl hier="236" item="1"/>
        </tpls>
      </m>
      <m>
        <tpls c="4">
          <tpl fld="7" item="462"/>
          <tpl fld="6" item="2"/>
          <tpl hier="236" item="1"/>
          <tpl fld="4" item="4"/>
        </tpls>
      </m>
      <m>
        <tpls c="4">
          <tpl fld="7" item="607"/>
          <tpl fld="6" item="2"/>
          <tpl hier="236" item="1"/>
          <tpl fld="4" item="6"/>
        </tpls>
      </m>
      <m>
        <tpls c="4">
          <tpl fld="7" item="260"/>
          <tpl fld="6" item="1"/>
          <tpl hier="236" item="1"/>
          <tpl fld="4" item="5"/>
        </tpls>
      </m>
      <n v="10" in="1">
        <tpls c="4">
          <tpl fld="7" item="1053"/>
          <tpl fld="6" item="1"/>
          <tpl hier="236" item="1"/>
          <tpl fld="4" item="6"/>
        </tpls>
      </n>
      <m>
        <tpls c="4">
          <tpl fld="7" item="7"/>
          <tpl fld="6" item="1"/>
          <tpl hier="236" item="1"/>
          <tpl fld="4" item="4"/>
        </tpls>
      </m>
      <m>
        <tpls c="3">
          <tpl fld="7" item="142"/>
          <tpl fld="6" item="3"/>
          <tpl hier="236" item="1"/>
        </tpls>
      </m>
      <m>
        <tpls c="4">
          <tpl fld="7" item="153"/>
          <tpl fld="6" item="1"/>
          <tpl hier="236" item="1"/>
          <tpl fld="4" item="6"/>
        </tpls>
      </m>
      <m>
        <tpls c="4">
          <tpl fld="7" item="161"/>
          <tpl fld="6" item="1"/>
          <tpl hier="236" item="1"/>
          <tpl fld="4" item="6"/>
        </tpls>
      </m>
      <m>
        <tpls c="4">
          <tpl fld="7" item="283"/>
          <tpl fld="6" item="1"/>
          <tpl hier="236" item="1"/>
          <tpl fld="4" item="4"/>
        </tpls>
      </m>
      <m>
        <tpls c="4">
          <tpl fld="7" item="593"/>
          <tpl fld="6" item="2"/>
          <tpl hier="236" item="1"/>
          <tpl fld="4" item="1"/>
        </tpls>
      </m>
      <n v="0.55999999999999994" in="2">
        <tpls c="6">
          <tpl fld="3" item="1"/>
          <tpl fld="11" item="0"/>
          <tpl fld="6" item="2"/>
          <tpl hier="236" item="1"/>
          <tpl fld="4" item="7"/>
          <tpl fld="10" item="1"/>
        </tpls>
      </n>
      <n v="1932" in="1">
        <tpls c="6">
          <tpl fld="3" item="4"/>
          <tpl fld="11" item="0"/>
          <tpl fld="6" item="1"/>
          <tpl hier="236" item="1"/>
          <tpl fld="4" item="6"/>
          <tpl fld="10" item="8"/>
        </tpls>
      </n>
      <m>
        <tpls c="4">
          <tpl fld="7" item="165"/>
          <tpl fld="6" item="1"/>
          <tpl hier="236" item="1"/>
          <tpl fld="1" item="0"/>
        </tpls>
      </m>
      <m>
        <tpls c="4">
          <tpl fld="7" item="222"/>
          <tpl fld="6" item="2"/>
          <tpl hier="236" item="1"/>
          <tpl fld="4" item="1"/>
        </tpls>
      </m>
      <m>
        <tpls c="4">
          <tpl fld="7" item="408"/>
          <tpl fld="6" item="2"/>
          <tpl hier="236" item="1"/>
          <tpl fld="4" item="6"/>
        </tpls>
      </m>
      <m>
        <tpls c="4">
          <tpl fld="7" item="283"/>
          <tpl fld="6" item="2"/>
          <tpl hier="236" item="1"/>
          <tpl fld="4" item="4"/>
        </tpls>
      </m>
      <m>
        <tpls c="4">
          <tpl fld="7" item="300"/>
          <tpl fld="6" item="2"/>
          <tpl hier="236" item="1"/>
          <tpl fld="4" item="4"/>
        </tpls>
      </m>
      <m>
        <tpls c="4">
          <tpl fld="7" item="97"/>
          <tpl fld="6" item="2"/>
          <tpl hier="236" item="1"/>
          <tpl fld="4" item="1"/>
        </tpls>
      </m>
      <m>
        <tpls c="4">
          <tpl fld="7" item="3"/>
          <tpl fld="6" item="1"/>
          <tpl hier="236" item="1"/>
          <tpl fld="4" item="5"/>
        </tpls>
      </m>
      <m>
        <tpls c="4">
          <tpl fld="7" item="140"/>
          <tpl fld="6" item="1"/>
          <tpl hier="236" item="1"/>
          <tpl fld="4" item="6"/>
        </tpls>
      </m>
      <m>
        <tpls c="4">
          <tpl fld="7" item="44"/>
          <tpl fld="6" item="2"/>
          <tpl hier="236" item="1"/>
          <tpl fld="4" item="4"/>
        </tpls>
      </m>
      <m>
        <tpls c="4">
          <tpl fld="7" item="52"/>
          <tpl fld="6" item="2"/>
          <tpl hier="236" item="1"/>
          <tpl fld="4" item="4"/>
        </tpls>
      </m>
      <m>
        <tpls c="4">
          <tpl fld="7" item="281"/>
          <tpl fld="6" item="2"/>
          <tpl hier="236" item="1"/>
          <tpl fld="4" item="1"/>
        </tpls>
      </m>
      <m>
        <tpls c="3">
          <tpl fld="7" item="344"/>
          <tpl fld="6" item="3"/>
          <tpl hier="236" item="1"/>
        </tpls>
      </m>
      <m>
        <tpls c="3">
          <tpl fld="7" item="90"/>
          <tpl fld="6" item="3"/>
          <tpl hier="236" item="1"/>
        </tpls>
      </m>
      <n v="1" in="1">
        <tpls c="4">
          <tpl fld="7" item="319"/>
          <tpl fld="6" item="1"/>
          <tpl hier="236" item="1"/>
          <tpl fld="4" item="6"/>
        </tpls>
      </n>
      <m>
        <tpls c="4">
          <tpl fld="7" item="49"/>
          <tpl fld="6" item="1"/>
          <tpl hier="236" item="1"/>
          <tpl fld="4" item="5"/>
        </tpls>
      </m>
      <m>
        <tpls c="4">
          <tpl fld="7" item="98"/>
          <tpl fld="6" item="1"/>
          <tpl hier="236" item="1"/>
          <tpl fld="4" item="6"/>
        </tpls>
      </m>
      <n v="11" in="1">
        <tpls c="4">
          <tpl fld="7" item="596"/>
          <tpl fld="6" item="1"/>
          <tpl hier="236" item="1"/>
          <tpl fld="4" item="4"/>
        </tpls>
      </n>
      <m>
        <tpls c="4">
          <tpl fld="7" item="440"/>
          <tpl fld="6" item="2"/>
          <tpl hier="236" item="1"/>
          <tpl fld="4" item="1"/>
        </tpls>
      </m>
      <m>
        <tpls c="3">
          <tpl fld="7" item="382"/>
          <tpl fld="6" item="3"/>
          <tpl hier="236" item="1"/>
        </tpls>
      </m>
      <m>
        <tpls c="4">
          <tpl fld="7" item="461"/>
          <tpl fld="6" item="1"/>
          <tpl hier="236" item="1"/>
          <tpl fld="4" item="6"/>
        </tpls>
      </m>
      <n v="14" in="1">
        <tpls c="4">
          <tpl fld="7" item="686"/>
          <tpl fld="6" item="1"/>
          <tpl hier="236" item="1"/>
          <tpl fld="1" item="0"/>
        </tpls>
      </n>
      <m>
        <tpls c="4">
          <tpl fld="7" item="543"/>
          <tpl fld="6" item="2"/>
          <tpl hier="236" item="1"/>
          <tpl fld="4" item="5"/>
        </tpls>
      </m>
      <m>
        <tpls c="4">
          <tpl fld="7" item="266"/>
          <tpl fld="6" item="2"/>
          <tpl hier="236" item="1"/>
          <tpl fld="4" item="1"/>
        </tpls>
      </m>
      <m>
        <tpls c="4">
          <tpl fld="7" item="99"/>
          <tpl fld="6" item="1"/>
          <tpl hier="236" item="1"/>
          <tpl fld="4" item="4"/>
        </tpls>
      </m>
      <n v="4" in="1">
        <tpls c="4">
          <tpl fld="7" item="498"/>
          <tpl fld="6" item="1"/>
          <tpl hier="236" item="1"/>
          <tpl fld="4" item="4"/>
        </tpls>
      </n>
      <m>
        <tpls c="4">
          <tpl fld="7" item="679"/>
          <tpl fld="6" item="2"/>
          <tpl hier="236" item="1"/>
          <tpl fld="4" item="1"/>
        </tpls>
      </m>
      <m>
        <tpls c="3">
          <tpl fld="7" item="453"/>
          <tpl fld="6" item="3"/>
          <tpl hier="236" item="1"/>
        </tpls>
      </m>
      <m>
        <tpls c="4">
          <tpl fld="7" item="461"/>
          <tpl fld="6" item="1"/>
          <tpl hier="236" item="1"/>
          <tpl fld="4" item="1"/>
        </tpls>
      </m>
      <n v="68" in="1">
        <tpls c="6">
          <tpl fld="3" item="1"/>
          <tpl fld="11" item="0"/>
          <tpl fld="6" item="1"/>
          <tpl hier="236" item="1"/>
          <tpl fld="4" item="3"/>
          <tpl fld="10" item="1"/>
        </tpls>
      </n>
      <m>
        <tpls c="3">
          <tpl fld="7" item="1145"/>
          <tpl fld="6" item="3"/>
          <tpl hier="236" item="1"/>
        </tpls>
      </m>
      <m>
        <tpls c="4">
          <tpl fld="7" item="272"/>
          <tpl fld="6" item="1"/>
          <tpl hier="236" item="1"/>
          <tpl fld="1" item="0"/>
        </tpls>
      </m>
      <m>
        <tpls c="4">
          <tpl fld="7" item="1"/>
          <tpl fld="6" item="1"/>
          <tpl hier="236" item="1"/>
          <tpl fld="4" item="4"/>
        </tpls>
      </m>
      <m>
        <tpls c="3">
          <tpl fld="7" item="1267"/>
          <tpl fld="6" item="3"/>
          <tpl hier="236" item="1"/>
        </tpls>
      </m>
      <n v="170" in="1">
        <tpls c="6">
          <tpl fld="11" item="0"/>
          <tpl fld="5" item="3"/>
          <tpl fld="6" item="1"/>
          <tpl hier="236" item="1"/>
          <tpl fld="4" item="1"/>
          <tpl fld="9" item="1"/>
        </tpls>
      </n>
      <n v="1" in="1">
        <tpls c="4">
          <tpl fld="7" item="1067"/>
          <tpl fld="6" item="1"/>
          <tpl hier="236" item="1"/>
          <tpl fld="4" item="6"/>
        </tpls>
      </n>
      <m>
        <tpls c="6">
          <tpl fld="11" item="0"/>
          <tpl fld="2" item="3"/>
          <tpl fld="6" item="1"/>
          <tpl hier="236" item="1"/>
          <tpl fld="4" item="7"/>
          <tpl fld="10" item="6"/>
        </tpls>
      </m>
      <m>
        <tpls c="4">
          <tpl fld="7" item="1054"/>
          <tpl fld="6" item="2"/>
          <tpl hier="236" item="1"/>
          <tpl fld="1" item="0"/>
        </tpls>
      </m>
      <m>
        <tpls c="5">
          <tpl fld="11" item="0"/>
          <tpl fld="2" item="4"/>
          <tpl fld="6" item="2"/>
          <tpl hier="236" item="1"/>
          <tpl fld="4" item="2"/>
        </tpls>
      </m>
      <n v="1" in="1">
        <tpls c="6">
          <tpl fld="11" item="0"/>
          <tpl fld="6" item="1"/>
          <tpl fld="8" item="0"/>
          <tpl hier="236" item="1"/>
          <tpl fld="4" item="7"/>
          <tpl fld="10" item="5"/>
        </tpls>
      </n>
      <n v="5.1654054054054059" in="2">
        <tpls c="6">
          <tpl fld="11" item="0"/>
          <tpl fld="5" item="2"/>
          <tpl fld="6" item="2"/>
          <tpl hier="236" item="1"/>
          <tpl fld="4" item="6"/>
          <tpl fld="10" item="5"/>
        </tpls>
      </n>
      <m>
        <tpls c="6">
          <tpl fld="11" item="0"/>
          <tpl fld="5" item="2"/>
          <tpl fld="6" item="2"/>
          <tpl hier="236" item="1"/>
          <tpl fld="4" item="3"/>
          <tpl fld="10" item="2"/>
        </tpls>
      </m>
      <n v="87" in="1">
        <tpls c="6">
          <tpl fld="11" item="0"/>
          <tpl fld="2" item="2"/>
          <tpl fld="6" item="1"/>
          <tpl hier="236" item="1"/>
          <tpl fld="4" item="6"/>
          <tpl fld="10" item="3"/>
        </tpls>
      </n>
      <n v="239" in="1">
        <tpls c="6">
          <tpl fld="11" item="0"/>
          <tpl fld="6" item="1"/>
          <tpl fld="8" item="0"/>
          <tpl hier="236" item="1"/>
          <tpl fld="4" item="6"/>
          <tpl fld="10" item="4"/>
        </tpls>
      </n>
      <n v="29" in="1">
        <tpls c="5">
          <tpl fld="11" item="0"/>
          <tpl fld="5" item="2"/>
          <tpl fld="6" item="1"/>
          <tpl hier="236" item="1"/>
          <tpl fld="4" item="2"/>
        </tpls>
      </n>
      <n v="60.780540540540549" in="2">
        <tpls c="5">
          <tpl fld="11" item="0"/>
          <tpl fld="6" item="2"/>
          <tpl hier="236" item="1"/>
          <tpl fld="4" item="6"/>
          <tpl fld="10" item="2"/>
        </tpls>
      </n>
      <n v="1.92" in="2">
        <tpls c="5">
          <tpl fld="3" item="0"/>
          <tpl fld="11" item="0"/>
          <tpl fld="6" item="2"/>
          <tpl hier="236" item="1"/>
          <tpl fld="4" item="5"/>
        </tpls>
      </n>
      <n v="41" in="1">
        <tpls c="6">
          <tpl fld="11" item="0"/>
          <tpl fld="5" item="2"/>
          <tpl fld="6" item="1"/>
          <tpl hier="236" item="1"/>
          <tpl fld="4" item="4"/>
          <tpl fld="10" item="3"/>
        </tpls>
      </n>
      <n v="9" in="1">
        <tpls c="6">
          <tpl fld="11" item="0"/>
          <tpl fld="5" item="0"/>
          <tpl fld="6" item="1"/>
          <tpl hier="236" item="1"/>
          <tpl fld="4" item="4"/>
          <tpl fld="10" item="1"/>
        </tpls>
      </n>
      <n v="7" in="1">
        <tpls c="6">
          <tpl fld="3" item="0"/>
          <tpl fld="11" item="0"/>
          <tpl fld="6" item="1"/>
          <tpl hier="236" item="1"/>
          <tpl fld="4" item="3"/>
          <tpl fld="10" item="5"/>
        </tpls>
      </n>
      <n v="222" in="1">
        <tpls c="6">
          <tpl fld="11" item="0"/>
          <tpl fld="5" item="5"/>
          <tpl fld="6" item="1"/>
          <tpl hier="236" item="1"/>
          <tpl fld="4" item="4"/>
          <tpl fld="10" item="5"/>
        </tpls>
      </n>
      <n v="305" in="1">
        <tpls c="5">
          <tpl fld="11" item="0"/>
          <tpl fld="2" item="2"/>
          <tpl fld="6" item="1"/>
          <tpl hier="236" item="1"/>
          <tpl fld="4" item="0"/>
        </tpls>
      </n>
      <m>
        <tpls c="5">
          <tpl fld="3" item="0"/>
          <tpl fld="11" item="0"/>
          <tpl fld="6" item="2"/>
          <tpl hier="236" item="1"/>
          <tpl fld="4" item="0"/>
        </tpls>
      </m>
      <m>
        <tpls c="6">
          <tpl fld="3" item="2"/>
          <tpl fld="11" item="0"/>
          <tpl fld="6" item="1"/>
          <tpl hier="236" item="1"/>
          <tpl fld="4" item="7"/>
          <tpl fld="10" item="1"/>
        </tpls>
      </m>
      <n v="68" in="1">
        <tpls c="6">
          <tpl fld="11" item="0"/>
          <tpl fld="6" item="1"/>
          <tpl fld="8" item="0"/>
          <tpl hier="236" item="1"/>
          <tpl fld="4" item="7"/>
          <tpl fld="10" item="2"/>
        </tpls>
      </n>
      <m>
        <tpls c="4">
          <tpl fld="7" item="330"/>
          <tpl fld="6" item="2"/>
          <tpl hier="236" item="1"/>
          <tpl fld="4" item="1"/>
        </tpls>
      </m>
      <m>
        <tpls c="6">
          <tpl fld="3" item="2"/>
          <tpl fld="11" item="0"/>
          <tpl fld="6" item="2"/>
          <tpl hier="236" item="1"/>
          <tpl fld="4" item="7"/>
          <tpl fld="10" item="4"/>
        </tpls>
      </m>
      <n v="662" in="1">
        <tpls c="6">
          <tpl fld="11" item="0"/>
          <tpl fld="5" item="2"/>
          <tpl fld="6" item="1"/>
          <tpl hier="236" item="1"/>
          <tpl fld="4" item="4"/>
          <tpl fld="10" item="0"/>
        </tpls>
      </n>
      <m>
        <tpls c="6">
          <tpl fld="3" item="2"/>
          <tpl fld="11" item="0"/>
          <tpl fld="6" item="2"/>
          <tpl hier="236" item="1"/>
          <tpl fld="4" item="3"/>
          <tpl fld="10" item="8"/>
        </tpls>
      </m>
      <n v="31" in="1">
        <tpls c="6">
          <tpl fld="11" item="0"/>
          <tpl fld="6" item="1"/>
          <tpl fld="8" item="1"/>
          <tpl hier="236" item="1"/>
          <tpl fld="4" item="7"/>
          <tpl fld="10" item="1"/>
        </tpls>
      </n>
      <m>
        <tpls c="4">
          <tpl fld="7" item="118"/>
          <tpl fld="6" item="1"/>
          <tpl hier="236" item="1"/>
          <tpl fld="4" item="4"/>
        </tpls>
      </m>
      <n v="1329" in="1">
        <tpls c="5">
          <tpl fld="11" item="0"/>
          <tpl fld="6" item="1"/>
          <tpl hier="236" item="1"/>
          <tpl fld="4" item="4"/>
          <tpl fld="10" item="6"/>
        </tpls>
      </n>
      <n v="1.64" in="2">
        <tpls c="6">
          <tpl fld="11" item="0"/>
          <tpl fld="5" item="3"/>
          <tpl fld="6" item="2"/>
          <tpl hier="236" item="1"/>
          <tpl fld="4" item="6"/>
          <tpl fld="10" item="6"/>
        </tpls>
      </n>
      <n v="28.768648648648643" in="2">
        <tpls c="4">
          <tpl fld="11" item="0"/>
          <tpl fld="6" item="2"/>
          <tpl hier="236" item="1"/>
          <tpl fld="4" item="2"/>
        </tpls>
      </n>
      <m>
        <tpls c="6">
          <tpl fld="11" item="0"/>
          <tpl fld="2" item="3"/>
          <tpl fld="6" item="2"/>
          <tpl hier="236" item="1"/>
          <tpl fld="4" item="6"/>
          <tpl fld="10" item="1"/>
        </tpls>
      </m>
      <n v="390" in="1">
        <tpls c="6">
          <tpl fld="11" item="0"/>
          <tpl fld="2" item="1"/>
          <tpl fld="6" item="1"/>
          <tpl hier="236" item="1"/>
          <tpl fld="4" item="6"/>
          <tpl fld="10" item="4"/>
        </tpls>
      </n>
      <n v="440" in="1">
        <tpls c="6">
          <tpl fld="11" item="0"/>
          <tpl fld="6" item="1"/>
          <tpl fld="8" item="1"/>
          <tpl hier="236" item="1"/>
          <tpl fld="4" item="1"/>
          <tpl fld="9" item="3"/>
        </tpls>
      </n>
      <m>
        <tpls c="4">
          <tpl fld="7" item="397"/>
          <tpl fld="6" item="1"/>
          <tpl hier="236" item="1"/>
          <tpl fld="1" item="0"/>
        </tpls>
      </m>
      <n v="8.7414054054054038" in="2">
        <tpls c="5">
          <tpl fld="11" item="0"/>
          <tpl fld="6" item="2"/>
          <tpl hier="236" item="1"/>
          <tpl fld="4" item="6"/>
          <tpl fld="10" item="6"/>
        </tpls>
      </n>
      <m>
        <tpls c="4">
          <tpl fld="7" item="403"/>
          <tpl fld="6" item="2"/>
          <tpl hier="236" item="1"/>
          <tpl fld="4" item="4"/>
        </tpls>
      </m>
      <m>
        <tpls c="3">
          <tpl fld="7" item="43"/>
          <tpl fld="6" item="3"/>
          <tpl hier="236" item="1"/>
        </tpls>
      </m>
      <m>
        <tpls c="3">
          <tpl fld="7" item="51"/>
          <tpl fld="6" item="3"/>
          <tpl hier="236" item="1"/>
        </tpls>
      </m>
      <m>
        <tpls c="4">
          <tpl fld="7" item="62"/>
          <tpl fld="6" item="2"/>
          <tpl hier="236" item="1"/>
          <tpl fld="4" item="1"/>
        </tpls>
      </m>
      <m>
        <tpls c="4">
          <tpl fld="7" item="292"/>
          <tpl fld="6" item="1"/>
          <tpl hier="236" item="1"/>
          <tpl fld="4" item="6"/>
        </tpls>
      </m>
      <m>
        <tpls c="4">
          <tpl fld="7" item="196"/>
          <tpl fld="6" item="1"/>
          <tpl hier="236" item="1"/>
          <tpl fld="4" item="6"/>
        </tpls>
      </m>
      <n v="78" in="1">
        <tpls c="5">
          <tpl fld="11" item="0"/>
          <tpl fld="2" item="4"/>
          <tpl fld="6" item="1"/>
          <tpl hier="236" item="1"/>
          <tpl fld="4" item="5"/>
        </tpls>
      </n>
      <m>
        <tpls c="4">
          <tpl fld="7" item="228"/>
          <tpl fld="6" item="2"/>
          <tpl hier="236" item="1"/>
          <tpl fld="4" item="1"/>
        </tpls>
      </m>
      <m>
        <tpls c="3">
          <tpl fld="7" item="144"/>
          <tpl fld="6" item="3"/>
          <tpl hier="236" item="1"/>
        </tpls>
      </m>
      <m>
        <tpls c="4">
          <tpl fld="7" item="1160"/>
          <tpl fld="6" item="1"/>
          <tpl hier="236" item="1"/>
          <tpl fld="1" item="0"/>
        </tpls>
      </m>
      <n v="16.498918918918921" in="2">
        <tpls c="6">
          <tpl fld="3" item="4"/>
          <tpl fld="11" item="0"/>
          <tpl fld="6" item="2"/>
          <tpl hier="236" item="1"/>
          <tpl fld="4" item="4"/>
          <tpl fld="10" item="7"/>
        </tpls>
      </n>
      <n v="41" in="1">
        <tpls c="5">
          <tpl fld="11" item="0"/>
          <tpl fld="2" item="0"/>
          <tpl fld="6" item="1"/>
          <tpl hier="236" item="1"/>
          <tpl fld="4" item="2"/>
        </tpls>
      </n>
      <m>
        <tpls c="6">
          <tpl fld="11" item="0"/>
          <tpl fld="5" item="2"/>
          <tpl fld="6" item="1"/>
          <tpl hier="236" item="1"/>
          <tpl fld="4" item="7"/>
          <tpl fld="10" item="4"/>
        </tpls>
      </m>
      <n v="15.38054054054054" in="2">
        <tpls c="6">
          <tpl fld="3" item="1"/>
          <tpl fld="11" item="0"/>
          <tpl fld="6" item="2"/>
          <tpl hier="236" item="1"/>
          <tpl fld="4" item="4"/>
          <tpl fld="10" item="0"/>
        </tpls>
      </n>
      <m>
        <tpls c="4">
          <tpl fld="7" item="221"/>
          <tpl fld="6" item="1"/>
          <tpl hier="236" item="1"/>
          <tpl fld="4" item="5"/>
        </tpls>
      </m>
      <n v="36.078378378378375" in="2">
        <tpls c="6">
          <tpl fld="3" item="2"/>
          <tpl fld="11" item="0"/>
          <tpl fld="6" item="2"/>
          <tpl hier="236" item="1"/>
          <tpl fld="4" item="1"/>
          <tpl fld="9" item="2"/>
        </tpls>
      </n>
      <m>
        <tpls c="4">
          <tpl fld="7" item="137"/>
          <tpl fld="6" item="2"/>
          <tpl hier="236" item="1"/>
          <tpl fld="4" item="1"/>
        </tpls>
      </m>
      <m>
        <tpls c="4">
          <tpl fld="7" item="42"/>
          <tpl fld="6" item="1"/>
          <tpl hier="236" item="1"/>
          <tpl fld="4" item="6"/>
        </tpls>
      </m>
      <m>
        <tpls c="4">
          <tpl fld="7" item="50"/>
          <tpl fld="6" item="1"/>
          <tpl hier="236" item="1"/>
          <tpl fld="1" item="0"/>
        </tpls>
      </m>
      <m>
        <tpls c="4">
          <tpl fld="7" item="410"/>
          <tpl fld="6" item="2"/>
          <tpl hier="236" item="1"/>
          <tpl fld="4" item="1"/>
        </tpls>
      </m>
      <m>
        <tpls c="4">
          <tpl fld="7" item="414"/>
          <tpl fld="6" item="1"/>
          <tpl hier="236" item="1"/>
          <tpl fld="4" item="4"/>
        </tpls>
      </m>
      <m>
        <tpls c="4">
          <tpl fld="7" item="87"/>
          <tpl fld="6" item="1"/>
          <tpl hier="236" item="1"/>
          <tpl fld="4" item="4"/>
        </tpls>
      </m>
      <m>
        <tpls c="6">
          <tpl fld="11" item="0"/>
          <tpl fld="5" item="1"/>
          <tpl fld="6" item="1"/>
          <tpl hier="236" item="1"/>
          <tpl fld="4" item="3"/>
          <tpl fld="10" item="4"/>
        </tpls>
      </m>
      <m>
        <tpls c="4">
          <tpl fld="7" item="8"/>
          <tpl fld="6" item="2"/>
          <tpl hier="236" item="1"/>
          <tpl fld="4" item="6"/>
        </tpls>
      </m>
      <m>
        <tpls c="4">
          <tpl fld="7" item="251"/>
          <tpl fld="6" item="2"/>
          <tpl hier="236" item="1"/>
          <tpl fld="4" item="4"/>
        </tpls>
      </m>
      <n v="1" in="1">
        <tpls c="4">
          <tpl fld="7" item="1133"/>
          <tpl fld="6" item="1"/>
          <tpl hier="236" item="1"/>
          <tpl fld="4" item="6"/>
        </tpls>
      </n>
      <m>
        <tpls c="4">
          <tpl fld="7" item="1063"/>
          <tpl fld="6" item="1"/>
          <tpl hier="236" item="1"/>
          <tpl fld="4" item="6"/>
        </tpls>
      </m>
      <n v="12.039999999999997" in="2">
        <tpls c="6">
          <tpl fld="11" item="0"/>
          <tpl fld="2" item="3"/>
          <tpl fld="6" item="2"/>
          <tpl hier="236" item="1"/>
          <tpl fld="4" item="1"/>
          <tpl fld="9" item="1"/>
        </tpls>
      </n>
      <n v="4247" in="1">
        <tpls c="6">
          <tpl fld="11" item="0"/>
          <tpl fld="2" item="1"/>
          <tpl fld="6" item="1"/>
          <tpl hier="236" item="1"/>
          <tpl fld="4" item="4"/>
          <tpl fld="10" item="0"/>
        </tpls>
      </n>
      <n v="361" in="1">
        <tpls c="6">
          <tpl fld="11" item="0"/>
          <tpl fld="6" item="1"/>
          <tpl fld="8" item="1"/>
          <tpl hier="236" item="1"/>
          <tpl fld="4" item="1"/>
          <tpl fld="9" item="1"/>
        </tpls>
      </n>
      <m>
        <tpls c="4">
          <tpl fld="7" item="6"/>
          <tpl fld="6" item="2"/>
          <tpl hier="236" item="1"/>
          <tpl fld="4" item="1"/>
        </tpls>
      </m>
      <n v="67" in="1">
        <tpls c="6">
          <tpl fld="11" item="0"/>
          <tpl fld="6" item="1"/>
          <tpl fld="8" item="0"/>
          <tpl hier="236" item="1"/>
          <tpl fld="4" item="4"/>
          <tpl fld="10" item="1"/>
        </tpls>
      </n>
      <m>
        <tpls c="4">
          <tpl fld="7" item="138"/>
          <tpl fld="6" item="2"/>
          <tpl hier="236" item="1"/>
          <tpl fld="4" item="1"/>
        </tpls>
      </m>
      <m>
        <tpls c="3">
          <tpl fld="7" item="259"/>
          <tpl fld="6" item="3"/>
          <tpl hier="236" item="1"/>
        </tpls>
      </m>
      <m>
        <tpls c="3">
          <tpl fld="7" item="267"/>
          <tpl fld="6" item="3"/>
          <tpl hier="236" item="1"/>
        </tpls>
      </m>
      <m>
        <tpls c="4">
          <tpl fld="7" item="61"/>
          <tpl fld="6" item="2"/>
          <tpl hier="236" item="1"/>
          <tpl fld="4" item="1"/>
        </tpls>
      </m>
      <m>
        <tpls c="4">
          <tpl fld="7" item="980"/>
          <tpl fld="6" item="1"/>
          <tpl hier="236" item="1"/>
          <tpl fld="4" item="4"/>
        </tpls>
      </m>
      <n v="0" in="1">
        <tpls c="4">
          <tpl fld="7" item="88"/>
          <tpl fld="6" item="1"/>
          <tpl hier="236" item="1"/>
          <tpl fld="4" item="4"/>
        </tpls>
      </n>
      <n v="66" in="1">
        <tpls c="6">
          <tpl fld="11" item="0"/>
          <tpl fld="2" item="1"/>
          <tpl fld="6" item="1"/>
          <tpl hier="236" item="1"/>
          <tpl fld="4" item="3"/>
          <tpl fld="10" item="3"/>
        </tpls>
      </n>
      <m>
        <tpls c="4">
          <tpl fld="7" item="10"/>
          <tpl fld="6" item="2"/>
          <tpl hier="236" item="1"/>
          <tpl fld="4" item="6"/>
        </tpls>
      </m>
      <m>
        <tpls c="4">
          <tpl fld="7" item="252"/>
          <tpl fld="6" item="2"/>
          <tpl hier="236" item="1"/>
          <tpl fld="4" item="4"/>
        </tpls>
      </m>
      <m>
        <tpls c="4">
          <tpl fld="7" item="154"/>
          <tpl fld="6" item="1"/>
          <tpl hier="236" item="1"/>
          <tpl fld="4" item="6"/>
        </tpls>
      </m>
      <m>
        <tpls c="4">
          <tpl fld="7" item="162"/>
          <tpl fld="6" item="1"/>
          <tpl hier="236" item="1"/>
          <tpl fld="4" item="6"/>
        </tpls>
      </m>
      <m>
        <tpls c="3">
          <tpl fld="7" item="176"/>
          <tpl fld="6" item="3"/>
          <tpl hier="236" item="1"/>
        </tpls>
      </m>
      <m>
        <tpls c="4">
          <tpl fld="7" item="81"/>
          <tpl fld="6" item="1"/>
          <tpl hier="236" item="1"/>
          <tpl fld="4" item="6"/>
        </tpls>
      </m>
      <n v="997.0911351351366" in="2">
        <tpls c="5">
          <tpl fld="11" item="0"/>
          <tpl fld="6" item="2"/>
          <tpl fld="8" item="1"/>
          <tpl hier="236" item="1"/>
          <tpl fld="1" item="0"/>
        </tpls>
      </n>
      <m>
        <tpls c="4">
          <tpl fld="7" item="467"/>
          <tpl fld="6" item="1"/>
          <tpl hier="236" item="1"/>
          <tpl fld="4" item="4"/>
        </tpls>
      </m>
      <m>
        <tpls c="4">
          <tpl fld="7" item="283"/>
          <tpl fld="6" item="1"/>
          <tpl hier="236" item="1"/>
          <tpl fld="4" item="6"/>
        </tpls>
      </m>
      <m>
        <tpls c="3">
          <tpl fld="7" item="135"/>
          <tpl fld="6" item="3"/>
          <tpl hier="236" item="1"/>
        </tpls>
      </m>
      <m>
        <tpls c="4">
          <tpl fld="7" item="52"/>
          <tpl fld="6" item="1"/>
          <tpl hier="236" item="1"/>
          <tpl fld="4" item="6"/>
        </tpls>
      </m>
      <m>
        <tpls c="4">
          <tpl fld="7" item="285"/>
          <tpl fld="6" item="2"/>
          <tpl hier="236" item="1"/>
          <tpl fld="4" item="4"/>
        </tpls>
      </m>
      <m>
        <tpls c="3">
          <tpl fld="7" item="302"/>
          <tpl fld="6" item="3"/>
          <tpl hier="236" item="1"/>
        </tpls>
      </m>
      <m>
        <tpls c="4">
          <tpl fld="7" item="420"/>
          <tpl fld="6" item="1"/>
          <tpl hier="236" item="1"/>
          <tpl fld="4" item="6"/>
        </tpls>
      </m>
      <m>
        <tpls c="4">
          <tpl fld="7" item="114"/>
          <tpl fld="6" item="2"/>
          <tpl hier="236" item="1"/>
          <tpl fld="4" item="1"/>
        </tpls>
      </m>
      <m>
        <tpls c="4">
          <tpl fld="7" item="34"/>
          <tpl fld="6" item="1"/>
          <tpl hier="236" item="1"/>
          <tpl fld="4" item="4"/>
        </tpls>
      </m>
      <m>
        <tpls c="4">
          <tpl fld="7" item="45"/>
          <tpl fld="6" item="2"/>
          <tpl hier="236" item="1"/>
          <tpl fld="4" item="4"/>
        </tpls>
      </m>
      <m>
        <tpls c="4">
          <tpl fld="7" item="53"/>
          <tpl fld="6" item="2"/>
          <tpl hier="236" item="1"/>
          <tpl fld="4" item="4"/>
        </tpls>
      </m>
      <m>
        <tpls c="4">
          <tpl fld="7" item="174"/>
          <tpl fld="6" item="1"/>
          <tpl hier="236" item="1"/>
          <tpl fld="4" item="6"/>
        </tpls>
      </m>
      <m>
        <tpls c="4">
          <tpl fld="7" item="79"/>
          <tpl fld="6" item="2"/>
          <tpl hier="236" item="1"/>
          <tpl fld="4" item="4"/>
        </tpls>
      </m>
      <m>
        <tpls c="4">
          <tpl fld="7" item="1083"/>
          <tpl fld="6" item="2"/>
          <tpl hier="236" item="1"/>
          <tpl fld="4" item="4"/>
        </tpls>
      </m>
      <n v="8" in="1">
        <tpls c="4">
          <tpl fld="7" item="492"/>
          <tpl fld="6" item="1"/>
          <tpl hier="236" item="1"/>
          <tpl fld="4" item="4"/>
        </tpls>
      </n>
      <m>
        <tpls c="4">
          <tpl fld="7" item="53"/>
          <tpl fld="6" item="1"/>
          <tpl hier="236" item="1"/>
          <tpl fld="4" item="5"/>
        </tpls>
      </m>
      <m>
        <tpls c="4">
          <tpl fld="7" item="317"/>
          <tpl fld="6" item="2"/>
          <tpl hier="236" item="1"/>
          <tpl fld="4" item="1"/>
        </tpls>
      </m>
      <m>
        <tpls c="3">
          <tpl fld="7" item="358"/>
          <tpl fld="6" item="3"/>
          <tpl hier="236" item="1"/>
        </tpls>
      </m>
      <n v="0" in="1">
        <tpls c="4">
          <tpl fld="7" item="512"/>
          <tpl fld="6" item="1"/>
          <tpl hier="236" item="1"/>
          <tpl fld="4" item="6"/>
        </tpls>
      </n>
      <m>
        <tpls c="4">
          <tpl fld="7" item="1263"/>
          <tpl fld="6" item="2"/>
          <tpl hier="236" item="1"/>
          <tpl fld="4" item="4"/>
        </tpls>
      </m>
      <m>
        <tpls c="3">
          <tpl fld="7" item="391"/>
          <tpl fld="6" item="3"/>
          <tpl hier="236" item="1"/>
        </tpls>
      </m>
      <n v="1" in="1">
        <tpls c="4">
          <tpl fld="7" item="538"/>
          <tpl fld="6" item="1"/>
          <tpl hier="236" item="1"/>
          <tpl fld="4" item="5"/>
        </tpls>
      </n>
      <n v="1249" in="1">
        <tpls c="6">
          <tpl fld="11" item="0"/>
          <tpl fld="5" item="5"/>
          <tpl fld="6" item="1"/>
          <tpl hier="236" item="1"/>
          <tpl fld="4" item="7"/>
          <tpl fld="10" item="7"/>
        </tpls>
      </n>
      <m>
        <tpls c="4">
          <tpl fld="7" item="270"/>
          <tpl fld="6" item="2"/>
          <tpl hier="236" item="1"/>
          <tpl fld="4" item="1"/>
        </tpls>
      </m>
      <n v="1" in="1">
        <tpls c="4">
          <tpl fld="7" item="101"/>
          <tpl fld="6" item="1"/>
          <tpl hier="236" item="1"/>
          <tpl fld="4" item="6"/>
        </tpls>
      </n>
      <m>
        <tpls c="3">
          <tpl fld="7" item="429"/>
          <tpl fld="6" item="3"/>
          <tpl hier="236" item="1"/>
        </tpls>
      </m>
      <m>
        <tpls c="4">
          <tpl fld="7" item="371"/>
          <tpl fld="6" item="1"/>
          <tpl hier="236" item="1"/>
          <tpl fld="4" item="6"/>
        </tpls>
      </m>
      <n v="0.72" in="2">
        <tpls c="4">
          <tpl fld="7" item="525"/>
          <tpl fld="6" item="2"/>
          <tpl hier="236" item="1"/>
          <tpl fld="4" item="4"/>
        </tpls>
      </n>
      <m>
        <tpls c="4">
          <tpl fld="7" item="391"/>
          <tpl fld="6" item="2"/>
          <tpl hier="236" item="1"/>
          <tpl fld="4" item="6"/>
        </tpls>
      </m>
      <m>
        <tpls c="6">
          <tpl fld="3" item="3"/>
          <tpl fld="11" item="0"/>
          <tpl fld="6" item="2"/>
          <tpl hier="236" item="1"/>
          <tpl fld="4" item="6"/>
          <tpl fld="10" item="1"/>
        </tpls>
      </m>
      <n v="9.1199999999999992" in="2">
        <tpls c="6">
          <tpl fld="11" item="0"/>
          <tpl fld="6" item="2"/>
          <tpl fld="8" item="1"/>
          <tpl hier="236" item="1"/>
          <tpl fld="4" item="7"/>
          <tpl fld="10" item="2"/>
        </tpls>
      </n>
      <m>
        <tpls c="4">
          <tpl fld="7" item="482"/>
          <tpl fld="6" item="1"/>
          <tpl hier="236" item="1"/>
          <tpl fld="4" item="4"/>
        </tpls>
      </m>
      <m>
        <tpls c="4">
          <tpl fld="7" item="235"/>
          <tpl fld="6" item="1"/>
          <tpl hier="236" item="1"/>
          <tpl fld="4" item="4"/>
        </tpls>
      </m>
      <m>
        <tpls c="4">
          <tpl fld="7" item="671"/>
          <tpl fld="6" item="1"/>
          <tpl hier="236" item="1"/>
          <tpl fld="4" item="6"/>
        </tpls>
      </m>
      <m>
        <tpls c="4">
          <tpl fld="7" item="68"/>
          <tpl fld="6" item="1"/>
          <tpl hier="236" item="1"/>
          <tpl fld="4" item="6"/>
        </tpls>
      </m>
      <m>
        <tpls c="4">
          <tpl fld="7" item="85"/>
          <tpl fld="6" item="2"/>
          <tpl hier="236" item="1"/>
          <tpl fld="4" item="1"/>
        </tpls>
      </m>
      <m>
        <tpls c="4">
          <tpl fld="7" item="98"/>
          <tpl fld="6" item="2"/>
          <tpl hier="236" item="1"/>
          <tpl fld="4" item="1"/>
        </tpls>
      </m>
      <m>
        <tpls c="4">
          <tpl fld="7" item="5"/>
          <tpl fld="6" item="1"/>
          <tpl hier="236" item="1"/>
          <tpl fld="4" item="5"/>
        </tpls>
      </m>
      <m>
        <tpls c="4">
          <tpl fld="7" item="141"/>
          <tpl fld="6" item="1"/>
          <tpl hier="236" item="1"/>
          <tpl fld="4" item="6"/>
        </tpls>
      </m>
      <m>
        <tpls c="4">
          <tpl fld="7" item="261"/>
          <tpl fld="6" item="1"/>
          <tpl hier="236" item="1"/>
          <tpl fld="4" item="4"/>
        </tpls>
      </m>
      <m>
        <tpls c="4">
          <tpl fld="7" item="269"/>
          <tpl fld="6" item="1"/>
          <tpl hier="236" item="1"/>
          <tpl fld="4" item="4"/>
        </tpls>
      </m>
      <m>
        <tpls c="4">
          <tpl fld="7" item="282"/>
          <tpl fld="6" item="2"/>
          <tpl hier="236" item="1"/>
          <tpl fld="4" item="1"/>
        </tpls>
      </m>
      <m>
        <tpls c="3">
          <tpl fld="7" item="415"/>
          <tpl fld="6" item="3"/>
          <tpl hier="236" item="1"/>
        </tpls>
      </m>
      <m>
        <tpls c="3">
          <tpl fld="7" item="91"/>
          <tpl fld="6" item="3"/>
          <tpl hier="236" item="1"/>
        </tpls>
      </m>
      <m>
        <tpls c="4">
          <tpl fld="7" item="320"/>
          <tpl fld="6" item="1"/>
          <tpl hier="236" item="1"/>
          <tpl fld="4" item="6"/>
        </tpls>
      </m>
      <m>
        <tpls c="4">
          <tpl fld="7" item="671"/>
          <tpl fld="6" item="1"/>
          <tpl hier="236" item="1"/>
          <tpl fld="4" item="5"/>
        </tpls>
      </m>
      <m>
        <tpls c="6">
          <tpl fld="11" item="0"/>
          <tpl fld="5" item="4"/>
          <tpl fld="6" item="2"/>
          <tpl hier="236" item="1"/>
          <tpl fld="4" item="7"/>
          <tpl fld="10" item="8"/>
        </tpls>
      </m>
      <n v="11.236756756756758" in="2">
        <tpls c="6">
          <tpl fld="11" item="0"/>
          <tpl fld="5" item="4"/>
          <tpl fld="6" item="2"/>
          <tpl hier="236" item="1"/>
          <tpl fld="4" item="1"/>
          <tpl fld="9" item="1"/>
        </tpls>
      </n>
      <m>
        <tpls c="4">
          <tpl fld="7" item="112"/>
          <tpl fld="6" item="1"/>
          <tpl hier="236" item="1"/>
          <tpl fld="4" item="5"/>
        </tpls>
      </m>
      <n v="4861" in="1">
        <tpls c="5">
          <tpl fld="11" item="0"/>
          <tpl fld="2" item="0"/>
          <tpl fld="6" item="1"/>
          <tpl hier="236" item="1"/>
          <tpl fld="1" item="0"/>
        </tpls>
      </n>
      <n v="51" in="1">
        <tpls c="5">
          <tpl fld="3" item="3"/>
          <tpl fld="11" item="0"/>
          <tpl fld="6" item="1"/>
          <tpl hier="236" item="1"/>
          <tpl fld="4" item="5"/>
        </tpls>
      </n>
      <n v="3826" in="1">
        <tpls c="6">
          <tpl fld="11" item="0"/>
          <tpl fld="2" item="1"/>
          <tpl fld="6" item="1"/>
          <tpl hier="236" item="1"/>
          <tpl fld="4" item="4"/>
          <tpl fld="10" item="8"/>
        </tpls>
      </n>
      <m>
        <tpls c="4">
          <tpl fld="7" item="3"/>
          <tpl fld="6" item="2"/>
          <tpl hier="236" item="1"/>
          <tpl fld="4" item="1"/>
        </tpls>
      </m>
      <n v="15" in="1">
        <tpls c="6">
          <tpl fld="11" item="0"/>
          <tpl fld="2" item="0"/>
          <tpl fld="6" item="1"/>
          <tpl hier="236" item="1"/>
          <tpl fld="4" item="7"/>
          <tpl fld="10" item="4"/>
        </tpls>
      </n>
      <m>
        <tpls c="4">
          <tpl fld="7" item="127"/>
          <tpl fld="6" item="2"/>
          <tpl hier="236" item="1"/>
          <tpl fld="4" item="1"/>
        </tpls>
      </m>
      <m>
        <tpls c="3">
          <tpl fld="7" item="409"/>
          <tpl fld="6" item="3"/>
          <tpl hier="236" item="1"/>
        </tpls>
      </m>
      <n v="243" in="1">
        <tpls c="5">
          <tpl fld="11" item="0"/>
          <tpl fld="6" item="1"/>
          <tpl hier="236" item="1"/>
          <tpl fld="4" item="7"/>
          <tpl fld="10" item="0"/>
        </tpls>
      </n>
      <n v="20.442810810810808" in="2">
        <tpls c="6">
          <tpl fld="11" item="0"/>
          <tpl fld="2" item="1"/>
          <tpl fld="6" item="2"/>
          <tpl hier="236" item="1"/>
          <tpl fld="4" item="6"/>
          <tpl fld="10" item="7"/>
        </tpls>
      </n>
      <n v="0" in="1">
        <tpls c="4">
          <tpl fld="7" item="15"/>
          <tpl fld="6" item="1"/>
          <tpl hier="236" item="1"/>
          <tpl fld="4" item="4"/>
        </tpls>
      </n>
      <m>
        <tpls c="4">
          <tpl fld="7" item="338"/>
          <tpl fld="6" item="1"/>
          <tpl hier="236" item="1"/>
          <tpl fld="1" item="0"/>
        </tpls>
      </m>
      <n v="225" in="1">
        <tpls c="6">
          <tpl fld="11" item="0"/>
          <tpl fld="6" item="1"/>
          <tpl fld="8" item="0"/>
          <tpl hier="236" item="1"/>
          <tpl fld="4" item="4"/>
          <tpl fld="10" item="2"/>
        </tpls>
      </n>
      <m>
        <tpls c="6">
          <tpl fld="11" item="0"/>
          <tpl fld="2" item="2"/>
          <tpl fld="6" item="2"/>
          <tpl hier="236" item="1"/>
          <tpl fld="4" item="7"/>
          <tpl fld="10" item="6"/>
        </tpls>
      </m>
      <m>
        <tpls c="4">
          <tpl fld="7" item="126"/>
          <tpl fld="6" item="2"/>
          <tpl hier="236" item="1"/>
          <tpl fld="4" item="1"/>
        </tpls>
      </m>
      <m>
        <tpls c="3">
          <tpl fld="7" item="162"/>
          <tpl fld="6" item="3"/>
          <tpl hier="236" item="1"/>
        </tpls>
      </m>
      <n v="2773" in="1">
        <tpls c="5">
          <tpl fld="11" item="0"/>
          <tpl fld="6" item="1"/>
          <tpl hier="236" item="1"/>
          <tpl fld="4" item="3"/>
          <tpl fld="10" item="7"/>
        </tpls>
      </n>
      <m>
        <tpls c="4">
          <tpl fld="7" item="274"/>
          <tpl fld="6" item="1"/>
          <tpl hier="236" item="1"/>
          <tpl fld="4" item="5"/>
        </tpls>
      </m>
      <m>
        <tpls c="4">
          <tpl fld="7" item="151"/>
          <tpl fld="6" item="1"/>
          <tpl hier="236" item="1"/>
          <tpl fld="1" item="0"/>
        </tpls>
      </m>
      <m>
        <tpls c="4">
          <tpl fld="7" item="485"/>
          <tpl fld="6" item="2"/>
          <tpl hier="236" item="1"/>
          <tpl fld="4" item="1"/>
        </tpls>
      </m>
      <m>
        <tpls c="3">
          <tpl fld="7" item="752"/>
          <tpl fld="6" item="3"/>
          <tpl hier="236" item="1"/>
        </tpls>
      </m>
      <m>
        <tpls c="4">
          <tpl fld="7" item="487"/>
          <tpl fld="6" item="1"/>
          <tpl hier="236" item="1"/>
          <tpl fld="4" item="4"/>
        </tpls>
      </m>
      <n v="19" in="1">
        <tpls c="4">
          <tpl fld="7" item="107"/>
          <tpl fld="6" item="1"/>
          <tpl hier="236" item="1"/>
          <tpl fld="4" item="6"/>
        </tpls>
      </n>
      <m>
        <tpls c="4">
          <tpl fld="7" item="685"/>
          <tpl fld="6" item="2"/>
          <tpl hier="236" item="1"/>
          <tpl fld="4" item="4"/>
        </tpls>
      </m>
      <n v="27" in="1">
        <tpls c="4">
          <tpl fld="7" item="215"/>
          <tpl fld="6" item="1"/>
          <tpl hier="236" item="1"/>
          <tpl fld="4" item="6"/>
        </tpls>
      </n>
      <m>
        <tpls c="4">
          <tpl fld="7" item="685"/>
          <tpl fld="6" item="2"/>
          <tpl hier="236" item="1"/>
          <tpl fld="4" item="5"/>
        </tpls>
      </m>
      <m>
        <tpls c="4">
          <tpl fld="7" item="257"/>
          <tpl fld="6" item="2"/>
          <tpl hier="236" item="1"/>
          <tpl fld="4" item="4"/>
        </tpls>
      </m>
      <m>
        <tpls c="4">
          <tpl fld="7" item="275"/>
          <tpl fld="6" item="1"/>
          <tpl hier="236" item="1"/>
          <tpl fld="4" item="4"/>
        </tpls>
      </m>
      <n v="2" in="1">
        <tpls c="4">
          <tpl fld="7" item="84"/>
          <tpl fld="6" item="1"/>
          <tpl hier="236" item="1"/>
          <tpl fld="4" item="6"/>
        </tpls>
      </n>
      <m>
        <tpls c="6">
          <tpl fld="3" item="2"/>
          <tpl fld="11" item="0"/>
          <tpl fld="6" item="2"/>
          <tpl hier="236" item="1"/>
          <tpl fld="4" item="3"/>
          <tpl fld="10" item="6"/>
        </tpls>
      </m>
      <m>
        <tpls c="3">
          <tpl fld="7" item="473"/>
          <tpl fld="6" item="3"/>
          <tpl hier="236" item="1"/>
        </tpls>
      </m>
      <m>
        <tpls c="4">
          <tpl fld="7" item="152"/>
          <tpl fld="6" item="1"/>
          <tpl hier="236" item="1"/>
          <tpl fld="4" item="4"/>
        </tpls>
      </m>
      <m>
        <tpls c="4">
          <tpl fld="7" item="163"/>
          <tpl fld="6" item="1"/>
          <tpl hier="236" item="1"/>
          <tpl fld="4" item="4"/>
        </tpls>
      </m>
      <m>
        <tpls c="4">
          <tpl fld="7" item="290"/>
          <tpl fld="6" item="2"/>
          <tpl hier="236" item="1"/>
          <tpl fld="4" item="1"/>
        </tpls>
      </m>
      <m>
        <tpls c="4">
          <tpl fld="7" item="198"/>
          <tpl fld="6" item="2"/>
          <tpl hier="236" item="1"/>
          <tpl fld="4" item="1"/>
        </tpls>
      </m>
      <m>
        <tpls c="4">
          <tpl fld="7" item="8"/>
          <tpl fld="6" item="1"/>
          <tpl hier="236" item="1"/>
          <tpl fld="4" item="4"/>
        </tpls>
      </m>
      <m>
        <tpls c="3">
          <tpl fld="7" item="293"/>
          <tpl fld="6" item="3"/>
          <tpl hier="236" item="1"/>
        </tpls>
      </m>
      <m>
        <tpls c="3">
          <tpl fld="7" item="215"/>
          <tpl fld="6" item="3"/>
          <tpl hier="236" item="1"/>
        </tpls>
      </m>
      <n v="1" in="1">
        <tpls c="4">
          <tpl fld="7" item="505"/>
          <tpl fld="6" item="1"/>
          <tpl hier="236" item="1"/>
          <tpl fld="4" item="6"/>
        </tpls>
      </n>
      <m>
        <tpls c="4">
          <tpl fld="7" item="601"/>
          <tpl fld="6" item="2"/>
          <tpl hier="236" item="1"/>
          <tpl fld="4" item="4"/>
        </tpls>
      </m>
      <m>
        <tpls c="4">
          <tpl fld="7" item="529"/>
          <tpl fld="6" item="1"/>
          <tpl hier="236" item="1"/>
          <tpl fld="4" item="5"/>
        </tpls>
      </m>
      <n v="2" in="1">
        <tpls c="4">
          <tpl fld="7" item="685"/>
          <tpl fld="6" item="1"/>
          <tpl hier="236" item="1"/>
          <tpl fld="4" item="1"/>
        </tpls>
      </n>
      <n v="44" in="1">
        <tpls c="4">
          <tpl fld="7" item="609"/>
          <tpl fld="6" item="1"/>
          <tpl hier="236" item="1"/>
          <tpl fld="4" item="4"/>
        </tpls>
      </n>
      <m>
        <tpls c="4">
          <tpl fld="7" item="474"/>
          <tpl fld="6" item="1"/>
          <tpl hier="236" item="1"/>
          <tpl fld="4" item="6"/>
        </tpls>
      </m>
      <m>
        <tpls c="3">
          <tpl fld="7" item="294"/>
          <tpl fld="6" item="3"/>
          <tpl hier="236" item="1"/>
        </tpls>
      </m>
      <m>
        <tpls c="3">
          <tpl fld="7" item="1211"/>
          <tpl fld="6" item="3"/>
          <tpl hier="236" item="1"/>
        </tpls>
      </m>
      <m>
        <tpls c="4">
          <tpl fld="7" item="364"/>
          <tpl fld="6" item="1"/>
          <tpl hier="236" item="1"/>
          <tpl fld="4" item="6"/>
        </tpls>
      </m>
      <n v="1" in="2">
        <tpls c="4">
          <tpl fld="7" item="518"/>
          <tpl fld="6" item="2"/>
          <tpl hier="236" item="1"/>
          <tpl fld="4" item="4"/>
        </tpls>
      </n>
      <m>
        <tpls c="4">
          <tpl fld="7" item="529"/>
          <tpl fld="6" item="2"/>
          <tpl hier="236" item="1"/>
          <tpl fld="1" item="0"/>
        </tpls>
      </m>
      <m>
        <tpls c="3">
          <tpl fld="7" item="535"/>
          <tpl fld="6" item="3"/>
          <tpl hier="236" item="1"/>
        </tpls>
      </m>
      <n v="497" in="1">
        <tpls c="5">
          <tpl fld="11" item="0"/>
          <tpl fld="6" item="1"/>
          <tpl hier="236" item="1"/>
          <tpl fld="4" item="3"/>
          <tpl fld="10" item="0"/>
        </tpls>
      </n>
      <m>
        <tpls c="3">
          <tpl fld="7" item="36"/>
          <tpl fld="6" item="3"/>
          <tpl hier="236" item="1"/>
        </tpls>
      </m>
      <m>
        <tpls c="4">
          <tpl fld="7" item="189"/>
          <tpl fld="6" item="2"/>
          <tpl hier="236" item="1"/>
          <tpl fld="4" item="1"/>
        </tpls>
      </m>
      <m>
        <tpls c="4">
          <tpl fld="7" item="258"/>
          <tpl fld="6" item="1"/>
          <tpl hier="236" item="1"/>
          <tpl fld="4" item="4"/>
        </tpls>
      </m>
      <m>
        <tpls c="4">
          <tpl fld="7" item="55"/>
          <tpl fld="6" item="1"/>
          <tpl hier="236" item="1"/>
          <tpl fld="4" item="6"/>
        </tpls>
      </m>
      <m>
        <tpls c="4">
          <tpl fld="7" item="290"/>
          <tpl fld="6" item="1"/>
          <tpl hier="236" item="1"/>
          <tpl fld="4" item="4"/>
        </tpls>
      </m>
      <m>
        <tpls c="4">
          <tpl fld="7" item="197"/>
          <tpl fld="6" item="2"/>
          <tpl hier="236" item="1"/>
          <tpl fld="4" item="4"/>
        </tpls>
      </m>
      <n v="0" in="1">
        <tpls c="6">
          <tpl fld="3" item="2"/>
          <tpl fld="11" item="0"/>
          <tpl fld="6" item="1"/>
          <tpl hier="236" item="1"/>
          <tpl fld="4" item="3"/>
          <tpl fld="10" item="7"/>
        </tpls>
      </n>
      <m>
        <tpls c="4">
          <tpl fld="7" item="18"/>
          <tpl fld="6" item="1"/>
          <tpl hier="236" item="1"/>
          <tpl fld="4" item="4"/>
        </tpls>
      </m>
      <m>
        <tpls c="3">
          <tpl fld="7" item="334"/>
          <tpl fld="6" item="3"/>
          <tpl hier="236" item="1"/>
        </tpls>
      </m>
      <m>
        <tpls c="4">
          <tpl fld="7" item="155"/>
          <tpl fld="6" item="2"/>
          <tpl hier="236" item="1"/>
          <tpl fld="4" item="4"/>
        </tpls>
      </m>
      <m>
        <tpls c="4">
          <tpl fld="7" item="163"/>
          <tpl fld="6" item="2"/>
          <tpl hier="236" item="1"/>
          <tpl fld="4" item="4"/>
        </tpls>
      </m>
      <m>
        <tpls c="4">
          <tpl fld="7" item="70"/>
          <tpl fld="6" item="1"/>
          <tpl hier="236" item="1"/>
          <tpl fld="4" item="4"/>
        </tpls>
      </m>
      <m>
        <tpls c="4">
          <tpl fld="7" item="299"/>
          <tpl fld="6" item="2"/>
          <tpl hier="236" item="1"/>
          <tpl fld="4" item="1"/>
        </tpls>
      </m>
      <m>
        <tpls c="4">
          <tpl fld="7" item="203"/>
          <tpl fld="6" item="2"/>
          <tpl hier="236" item="1"/>
          <tpl fld="4" item="1"/>
        </tpls>
      </m>
      <m>
        <tpls c="4">
          <tpl fld="7" item="327"/>
          <tpl fld="6" item="1"/>
          <tpl hier="236" item="1"/>
          <tpl fld="4" item="5"/>
        </tpls>
      </m>
      <m>
        <tpls c="4">
          <tpl fld="7" item="68"/>
          <tpl fld="6" item="2"/>
          <tpl hier="236" item="1"/>
          <tpl fld="4" item="1"/>
        </tpls>
      </m>
      <m>
        <tpls c="3">
          <tpl fld="7" item="213"/>
          <tpl fld="6" item="3"/>
          <tpl hier="236" item="1"/>
        </tpls>
      </m>
      <n v="2" in="2">
        <tpls c="4">
          <tpl fld="7" item="677"/>
          <tpl fld="6" item="2"/>
          <tpl hier="236" item="1"/>
          <tpl fld="4" item="4"/>
        </tpls>
      </n>
      <m>
        <tpls c="4">
          <tpl fld="7" item="762"/>
          <tpl fld="6" item="1"/>
          <tpl hier="236" item="1"/>
          <tpl fld="4" item="4"/>
        </tpls>
      </m>
      <m>
        <tpls c="4">
          <tpl fld="7" item="528"/>
          <tpl fld="6" item="1"/>
          <tpl hier="236" item="1"/>
          <tpl fld="4" item="5"/>
        </tpls>
      </m>
      <n v="1" in="1">
        <tpls c="4">
          <tpl fld="7" item="605"/>
          <tpl fld="6" item="1"/>
          <tpl hier="236" item="1"/>
          <tpl fld="4" item="1"/>
        </tpls>
      </n>
      <n v="35" in="1">
        <tpls c="4">
          <tpl fld="7" item="688"/>
          <tpl fld="6" item="1"/>
          <tpl hier="236" item="1"/>
          <tpl fld="4" item="4"/>
        </tpls>
      </n>
      <m>
        <tpls c="4">
          <tpl fld="7" item="121"/>
          <tpl fld="6" item="2"/>
          <tpl hier="236" item="1"/>
          <tpl fld="4" item="1"/>
        </tpls>
      </m>
      <m>
        <tpls c="4">
          <tpl fld="7" item="69"/>
          <tpl fld="6" item="2"/>
          <tpl hier="236" item="1"/>
          <tpl fld="4" item="1"/>
        </tpls>
      </m>
      <n v="2.399189189189189" in="2">
        <tpls c="4">
          <tpl fld="7" item="351"/>
          <tpl fld="6" item="2"/>
          <tpl hier="236" item="1"/>
          <tpl fld="1" item="0"/>
        </tpls>
      </n>
      <n v="0.95675675675675675" in="2">
        <tpls c="4">
          <tpl fld="7" item="503"/>
          <tpl fld="6" item="2"/>
          <tpl hier="236" item="1"/>
          <tpl fld="4" item="4"/>
        </tpls>
      </n>
      <n v="6" in="1">
        <tpls c="4">
          <tpl fld="7" item="516"/>
          <tpl fld="6" item="1"/>
          <tpl hier="236" item="1"/>
          <tpl fld="4" item="4"/>
        </tpls>
      </n>
      <m>
        <tpls c="4">
          <tpl fld="7" item="528"/>
          <tpl fld="6" item="2"/>
          <tpl hier="236" item="1"/>
          <tpl fld="1" item="0"/>
        </tpls>
      </m>
      <m>
        <tpls c="3">
          <tpl fld="7" item="534"/>
          <tpl fld="6" item="3"/>
          <tpl hier="236" item="1"/>
        </tpls>
      </m>
      <n v="10" in="1">
        <tpls c="4">
          <tpl fld="7" item="688"/>
          <tpl fld="6" item="1"/>
          <tpl hier="236" item="1"/>
          <tpl fld="4" item="5"/>
        </tpls>
      </n>
      <m>
        <tpls c="4">
          <tpl fld="7" item="268"/>
          <tpl fld="6" item="1"/>
          <tpl hier="236" item="1"/>
          <tpl fld="4" item="5"/>
        </tpls>
      </m>
      <m>
        <tpls c="3">
          <tpl fld="7" item="147"/>
          <tpl fld="6" item="3"/>
          <tpl hier="236" item="1"/>
        </tpls>
      </m>
      <n v="53" in="1">
        <tpls c="6">
          <tpl fld="3" item="3"/>
          <tpl fld="11" item="0"/>
          <tpl fld="6" item="1"/>
          <tpl hier="236" item="1"/>
          <tpl fld="4" item="1"/>
          <tpl fld="9" item="3"/>
        </tpls>
      </n>
      <m>
        <tpls c="4">
          <tpl fld="7" item="381"/>
          <tpl fld="6" item="1"/>
          <tpl hier="236" item="1"/>
          <tpl fld="4" item="6"/>
        </tpls>
      </m>
      <n v="6.3014054054054052" in="2">
        <tpls c="6">
          <tpl fld="3" item="2"/>
          <tpl fld="11" item="0"/>
          <tpl fld="6" item="2"/>
          <tpl hier="236" item="1"/>
          <tpl fld="4" item="6"/>
          <tpl fld="10" item="6"/>
        </tpls>
      </n>
      <m>
        <tpls c="4">
          <tpl fld="7" item="289"/>
          <tpl fld="6" item="2"/>
          <tpl hier="236" item="1"/>
          <tpl fld="4" item="4"/>
        </tpls>
      </m>
      <m>
        <tpls c="4">
          <tpl fld="7" item="47"/>
          <tpl fld="6" item="1"/>
          <tpl hier="236" item="1"/>
          <tpl fld="4" item="4"/>
        </tpls>
      </m>
      <m>
        <tpls c="4">
          <tpl fld="7" item="419"/>
          <tpl fld="6" item="2"/>
          <tpl hier="236" item="1"/>
          <tpl fld="4" item="4"/>
        </tpls>
      </m>
      <n v="1" in="3">
        <tpls c="3">
          <tpl fld="7" item="361"/>
          <tpl fld="6" item="3"/>
          <tpl hier="236" item="1"/>
        </tpls>
      </n>
      <n v="1.6" in="2">
        <tpls c="4">
          <tpl fld="7" item="880"/>
          <tpl fld="6" item="2"/>
          <tpl hier="236" item="1"/>
          <tpl fld="1" item="0"/>
        </tpls>
      </n>
      <n v="1" in="3">
        <tpls c="3">
          <tpl fld="7" item="432"/>
          <tpl fld="6" item="3"/>
          <tpl hier="236" item="1"/>
        </tpls>
      </n>
      <m>
        <tpls c="4">
          <tpl fld="7" item="606"/>
          <tpl fld="6" item="2"/>
          <tpl hier="236" item="1"/>
          <tpl fld="4" item="1"/>
        </tpls>
      </m>
      <m>
        <tpls c="4">
          <tpl fld="7" item="153"/>
          <tpl fld="6" item="1"/>
          <tpl hier="236" item="1"/>
          <tpl fld="4" item="5"/>
        </tpls>
      </m>
      <m>
        <tpls c="3">
          <tpl fld="7" item="203"/>
          <tpl fld="6" item="3"/>
          <tpl hier="236" item="1"/>
        </tpls>
      </m>
      <m>
        <tpls c="4">
          <tpl fld="7" item="497"/>
          <tpl fld="6" item="2"/>
          <tpl hier="236" item="1"/>
          <tpl fld="4" item="1"/>
        </tpls>
      </m>
      <n v="1" in="3">
        <tpls c="3">
          <tpl fld="7" item="599"/>
          <tpl fld="6" item="3"/>
          <tpl hier="236" item="1"/>
        </tpls>
      </n>
      <n v="1" in="1">
        <tpls c="4">
          <tpl fld="7" item="452"/>
          <tpl fld="6" item="1"/>
          <tpl hier="236" item="1"/>
          <tpl fld="4" item="6"/>
        </tpls>
      </n>
      <n v="3" in="1">
        <tpls c="4">
          <tpl fld="7" item="390"/>
          <tpl fld="6" item="1"/>
          <tpl hier="236" item="1"/>
          <tpl fld="4" item="4"/>
        </tpls>
      </n>
      <n v="6" in="1">
        <tpls c="4">
          <tpl fld="7" item="537"/>
          <tpl fld="6" item="1"/>
          <tpl hier="236" item="1"/>
          <tpl fld="4" item="6"/>
        </tpls>
      </n>
      <n v="11" in="1">
        <tpls c="4">
          <tpl fld="7" item="772"/>
          <tpl fld="6" item="1"/>
          <tpl hier="236" item="1"/>
          <tpl fld="1" item="0"/>
        </tpls>
      </n>
      <m>
        <tpls c="4">
          <tpl fld="7" item="62"/>
          <tpl fld="6" item="1"/>
          <tpl hier="236" item="1"/>
          <tpl fld="4" item="4"/>
        </tpls>
      </m>
      <m>
        <tpls c="4">
          <tpl fld="7" item="386"/>
          <tpl fld="6" item="2"/>
          <tpl hier="236" item="1"/>
          <tpl fld="4" item="1"/>
        </tpls>
      </m>
      <n v="1" in="1">
        <tpls c="4">
          <tpl fld="7" item="612"/>
          <tpl fld="6" item="1"/>
          <tpl hier="236" item="1"/>
          <tpl fld="4" item="5"/>
        </tpls>
      </n>
      <m>
        <tpls c="4">
          <tpl fld="7" item="551"/>
          <tpl fld="6" item="2"/>
          <tpl hier="236" item="1"/>
          <tpl fld="4" item="5"/>
        </tpls>
      </m>
      <m>
        <tpls c="4">
          <tpl fld="7" item="557"/>
          <tpl fld="6" item="2"/>
          <tpl hier="236" item="1"/>
          <tpl fld="4" item="1"/>
        </tpls>
      </m>
      <n v="0.771891891891892" in="2">
        <tpls c="4">
          <tpl fld="7" item="787"/>
          <tpl fld="6" item="2"/>
          <tpl hier="236" item="1"/>
          <tpl fld="4" item="4"/>
        </tpls>
      </n>
      <m>
        <tpls c="4">
          <tpl fld="7" item="570"/>
          <tpl fld="6" item="2"/>
          <tpl hier="236" item="1"/>
          <tpl fld="4" item="6"/>
        </tpls>
      </m>
      <m>
        <tpls c="3">
          <tpl fld="7" item="576"/>
          <tpl fld="6" item="3"/>
          <tpl hier="236" item="1"/>
        </tpls>
      </m>
      <m>
        <tpls c="4">
          <tpl fld="7" item="671"/>
          <tpl fld="6" item="2"/>
          <tpl hier="236" item="1"/>
          <tpl fld="4" item="1"/>
        </tpls>
      </m>
      <m>
        <tpls c="4">
          <tpl fld="7" item="383"/>
          <tpl fld="6" item="2"/>
          <tpl hier="236" item="1"/>
          <tpl fld="4" item="1"/>
        </tpls>
      </m>
      <m>
        <tpls c="4">
          <tpl fld="7" item="773"/>
          <tpl fld="6" item="2"/>
          <tpl hier="236" item="1"/>
          <tpl fld="4" item="6"/>
        </tpls>
      </m>
      <m>
        <tpls c="4">
          <tpl fld="7" item="778"/>
          <tpl fld="6" item="1"/>
          <tpl hier="236" item="1"/>
          <tpl fld="4" item="5"/>
        </tpls>
      </m>
      <n v="2" in="1">
        <tpls c="4">
          <tpl fld="7" item="987"/>
          <tpl fld="6" item="1"/>
          <tpl hier="236" item="1"/>
          <tpl fld="4" item="1"/>
        </tpls>
      </n>
      <n v="17" in="1">
        <tpls c="4">
          <tpl fld="7" item="705"/>
          <tpl fld="6" item="1"/>
          <tpl hier="236" item="1"/>
          <tpl fld="4" item="4"/>
        </tpls>
      </n>
      <n v="0" in="1">
        <tpls c="4">
          <tpl fld="7" item="792"/>
          <tpl fld="6" item="1"/>
          <tpl hier="236" item="1"/>
          <tpl fld="4" item="1"/>
        </tpls>
      </n>
      <m>
        <tpls c="4">
          <tpl fld="7" item="635"/>
          <tpl fld="6" item="2"/>
          <tpl hier="236" item="1"/>
          <tpl fld="4" item="5"/>
        </tpls>
      </m>
      <m>
        <tpls c="3">
          <tpl fld="7" item="419"/>
          <tpl fld="6" item="3"/>
          <tpl hier="236" item="1"/>
        </tpls>
      </m>
      <m>
        <tpls c="3">
          <tpl fld="7" item="309"/>
          <tpl fld="6" item="3"/>
          <tpl hier="236" item="1"/>
        </tpls>
      </m>
      <m>
        <tpls c="4">
          <tpl fld="7" item="337"/>
          <tpl fld="6" item="1"/>
          <tpl hier="236" item="1"/>
          <tpl fld="4" item="4"/>
        </tpls>
      </m>
      <m>
        <tpls c="4">
          <tpl fld="7" item="420"/>
          <tpl fld="6" item="2"/>
          <tpl hier="236" item="1"/>
          <tpl fld="4" item="4"/>
        </tpls>
      </m>
      <n v="1" in="3">
        <tpls c="3">
          <tpl fld="7" item="365"/>
          <tpl fld="6" item="3"/>
          <tpl hier="236" item="1"/>
        </tpls>
      </n>
      <m>
        <tpls c="3">
          <tpl fld="7" item="689"/>
          <tpl fld="6" item="3"/>
          <tpl hier="236" item="1"/>
        </tpls>
      </m>
      <n v="1" in="3">
        <tpls c="3">
          <tpl fld="7" item="436"/>
          <tpl fld="6" item="3"/>
          <tpl hier="236" item="1"/>
        </tpls>
      </n>
      <m>
        <tpls c="4">
          <tpl fld="7" item="686"/>
          <tpl fld="6" item="2"/>
          <tpl hier="236" item="1"/>
          <tpl fld="4" item="6"/>
        </tpls>
      </m>
      <m>
        <tpls c="4">
          <tpl fld="7" item="265"/>
          <tpl fld="6" item="1"/>
          <tpl hier="236" item="1"/>
          <tpl fld="4" item="5"/>
        </tpls>
      </m>
      <m>
        <tpls c="4">
          <tpl fld="7" item="99"/>
          <tpl fld="6" item="2"/>
          <tpl hier="236" item="1"/>
          <tpl fld="4" item="1"/>
        </tpls>
      </m>
      <n v="1.3199999999999998" in="2">
        <tpls c="4">
          <tpl fld="7" item="498"/>
          <tpl fld="6" item="2"/>
          <tpl hier="236" item="1"/>
          <tpl fld="4" item="1"/>
        </tpls>
      </n>
      <n v="1" in="3">
        <tpls c="3">
          <tpl fld="7" item="679"/>
          <tpl fld="6" item="3"/>
          <tpl hier="236" item="1"/>
        </tpls>
      </n>
      <m>
        <tpls c="3">
          <tpl fld="7" item="937"/>
          <tpl fld="6" item="3"/>
          <tpl hier="236" item="1"/>
        </tpls>
      </m>
      <n v="22" in="1">
        <tpls c="6">
          <tpl fld="3" item="3"/>
          <tpl fld="11" item="0"/>
          <tpl fld="6" item="1"/>
          <tpl hier="236" item="1"/>
          <tpl fld="4" item="7"/>
          <tpl fld="10" item="1"/>
        </tpls>
      </n>
      <m>
        <tpls c="4">
          <tpl fld="7" item="119"/>
          <tpl fld="6" item="1"/>
          <tpl hier="236" item="1"/>
          <tpl fld="4" item="4"/>
        </tpls>
      </m>
      <n v="405" in="1">
        <tpls c="6">
          <tpl fld="11" item="0"/>
          <tpl fld="2" item="4"/>
          <tpl fld="6" item="1"/>
          <tpl hier="236" item="1"/>
          <tpl fld="4" item="4"/>
          <tpl fld="10" item="0"/>
        </tpls>
      </n>
      <n v="2" in="1">
        <tpls c="6">
          <tpl fld="3" item="3"/>
          <tpl fld="11" item="0"/>
          <tpl fld="6" item="1"/>
          <tpl hier="236" item="1"/>
          <tpl fld="4" item="6"/>
          <tpl fld="10" item="1"/>
        </tpls>
      </n>
      <n v="8" in="1">
        <tpls c="6">
          <tpl fld="3" item="0"/>
          <tpl fld="11" item="0"/>
          <tpl fld="6" item="1"/>
          <tpl hier="236" item="1"/>
          <tpl fld="4" item="1"/>
          <tpl fld="9" item="2"/>
        </tpls>
      </n>
      <m>
        <tpls c="4">
          <tpl fld="7" item="114"/>
          <tpl fld="6" item="1"/>
          <tpl hier="236" item="1"/>
          <tpl fld="4" item="4"/>
        </tpls>
      </m>
      <n v="1228" in="1">
        <tpls c="6">
          <tpl fld="3" item="1"/>
          <tpl fld="11" item="0"/>
          <tpl fld="6" item="1"/>
          <tpl hier="236" item="1"/>
          <tpl fld="4" item="4"/>
          <tpl fld="10" item="3"/>
        </tpls>
      </n>
      <n v="2119" in="1">
        <tpls c="6">
          <tpl fld="11" item="0"/>
          <tpl fld="2" item="1"/>
          <tpl fld="6" item="1"/>
          <tpl hier="236" item="1"/>
          <tpl fld="4" item="4"/>
          <tpl fld="10" item="3"/>
        </tpls>
      </n>
      <m>
        <tpls c="3">
          <tpl fld="7" item="480"/>
          <tpl fld="6" item="3"/>
          <tpl hier="236" item="1"/>
        </tpls>
      </m>
      <m>
        <tpls c="4">
          <tpl fld="7" item="3"/>
          <tpl fld="6" item="1"/>
          <tpl hier="236" item="1"/>
          <tpl fld="4" item="4"/>
        </tpls>
      </m>
      <m>
        <tpls c="6">
          <tpl fld="3" item="3"/>
          <tpl fld="11" item="0"/>
          <tpl fld="6" item="2"/>
          <tpl hier="236" item="1"/>
          <tpl fld="4" item="6"/>
          <tpl fld="10" item="3"/>
        </tpls>
      </m>
      <m>
        <tpls c="4">
          <tpl fld="7" item="133"/>
          <tpl fld="6" item="2"/>
          <tpl hier="236" item="1"/>
          <tpl fld="4" item="1"/>
        </tpls>
      </m>
      <m>
        <tpls c="4">
          <tpl fld="7" item="753"/>
          <tpl fld="6" item="1"/>
          <tpl hier="236" item="1"/>
          <tpl fld="1" item="0"/>
        </tpls>
      </m>
      <m>
        <tpls c="4">
          <tpl fld="7" item="0"/>
          <tpl fld="6" item="2"/>
          <tpl hier="236" item="1"/>
          <tpl fld="4" item="6"/>
        </tpls>
      </m>
      <m>
        <tpls c="6">
          <tpl fld="3" item="3"/>
          <tpl fld="11" item="0"/>
          <tpl fld="6" item="2"/>
          <tpl hier="236" item="1"/>
          <tpl fld="4" item="1"/>
          <tpl fld="9" item="1"/>
        </tpls>
      </m>
      <n v="0" in="1">
        <tpls c="6">
          <tpl fld="11" item="0"/>
          <tpl fld="5" item="0"/>
          <tpl fld="6" item="1"/>
          <tpl hier="236" item="1"/>
          <tpl fld="4" item="7"/>
          <tpl fld="10" item="5"/>
        </tpls>
      </n>
      <m>
        <tpls c="3">
          <tpl fld="7" item="164"/>
          <tpl fld="6" item="3"/>
          <tpl hier="236" item="1"/>
        </tpls>
      </m>
      <m>
        <tpls c="4">
          <tpl fld="7" item="2"/>
          <tpl fld="6" item="2"/>
          <tpl hier="236" item="1"/>
          <tpl fld="4" item="6"/>
        </tpls>
      </m>
      <m>
        <tpls c="3">
          <tpl fld="7" item="172"/>
          <tpl fld="6" item="3"/>
          <tpl hier="236" item="1"/>
        </tpls>
      </m>
      <m>
        <tpls c="4">
          <tpl fld="7" item="159"/>
          <tpl fld="6" item="1"/>
          <tpl hier="236" item="1"/>
          <tpl fld="1" item="0"/>
        </tpls>
      </m>
      <m>
        <tpls c="4">
          <tpl fld="7" item="297"/>
          <tpl fld="6" item="1"/>
          <tpl hier="236" item="1"/>
          <tpl fld="4" item="4"/>
        </tpls>
      </m>
      <m>
        <tpls c="4">
          <tpl fld="7" item="406"/>
          <tpl fld="6" item="2"/>
          <tpl hier="236" item="1"/>
          <tpl fld="4" item="4"/>
        </tpls>
      </m>
      <m>
        <tpls c="4">
          <tpl fld="7" item="755"/>
          <tpl fld="6" item="2"/>
          <tpl hier="236" item="1"/>
          <tpl fld="4" item="4"/>
        </tpls>
      </m>
      <m>
        <tpls c="3">
          <tpl fld="7" item="354"/>
          <tpl fld="6" item="3"/>
          <tpl hier="236" item="1"/>
        </tpls>
      </m>
      <m>
        <tpls c="3">
          <tpl fld="7" item="395"/>
          <tpl fld="6" item="3"/>
          <tpl hier="236" item="1"/>
        </tpls>
      </m>
      <m>
        <tpls c="3">
          <tpl fld="7" item="425"/>
          <tpl fld="6" item="3"/>
          <tpl hier="236" item="1"/>
        </tpls>
      </m>
      <n v="416.52394594594591" in="2">
        <tpls c="6">
          <tpl fld="3" item="2"/>
          <tpl fld="11" item="0"/>
          <tpl fld="6" item="2"/>
          <tpl hier="236" item="1"/>
          <tpl fld="4" item="1"/>
          <tpl fld="9" item="4"/>
        </tpls>
      </n>
      <m>
        <tpls c="4">
          <tpl fld="7" item="151"/>
          <tpl fld="6" item="2"/>
          <tpl hier="236" item="1"/>
          <tpl fld="4" item="6"/>
        </tpls>
      </m>
      <m>
        <tpls c="4">
          <tpl fld="7" item="278"/>
          <tpl fld="6" item="1"/>
          <tpl hier="236" item="1"/>
          <tpl fld="4" item="4"/>
        </tpls>
      </m>
      <m>
        <tpls c="4">
          <tpl fld="7" item="86"/>
          <tpl fld="6" item="2"/>
          <tpl hier="236" item="1"/>
          <tpl fld="4" item="1"/>
        </tpls>
      </m>
      <m>
        <tpls c="6">
          <tpl fld="3" item="4"/>
          <tpl fld="11" item="0"/>
          <tpl fld="6" item="2"/>
          <tpl hier="236" item="1"/>
          <tpl fld="4" item="3"/>
          <tpl fld="10" item="0"/>
        </tpls>
      </m>
      <m>
        <tpls c="4">
          <tpl fld="7" item="137"/>
          <tpl fld="6" item="1"/>
          <tpl hier="236" item="1"/>
          <tpl fld="4" item="6"/>
        </tpls>
      </m>
      <m>
        <tpls c="4">
          <tpl fld="7" item="153"/>
          <tpl fld="6" item="1"/>
          <tpl hier="236" item="1"/>
          <tpl fld="4" item="4"/>
        </tpls>
      </m>
      <m>
        <tpls c="4">
          <tpl fld="7" item="272"/>
          <tpl fld="6" item="1"/>
          <tpl hier="236" item="1"/>
          <tpl fld="4" item="4"/>
        </tpls>
      </m>
      <m>
        <tpls c="3">
          <tpl fld="7" item="414"/>
          <tpl fld="6" item="3"/>
          <tpl hier="236" item="1"/>
        </tpls>
      </m>
      <m>
        <tpls c="4">
          <tpl fld="7" item="308"/>
          <tpl fld="6" item="1"/>
          <tpl hier="236" item="1"/>
          <tpl fld="4" item="6"/>
        </tpls>
      </m>
      <m>
        <tpls c="4">
          <tpl fld="7" item="128"/>
          <tpl fld="6" item="1"/>
          <tpl hier="236" item="1"/>
          <tpl fld="4" item="4"/>
        </tpls>
      </m>
      <m>
        <tpls c="4">
          <tpl fld="7" item="80"/>
          <tpl fld="6" item="2"/>
          <tpl hier="236" item="1"/>
          <tpl fld="4" item="1"/>
        </tpls>
      </m>
      <n v="10" in="1">
        <tpls c="4">
          <tpl fld="7" item="493"/>
          <tpl fld="6" item="1"/>
          <tpl hier="236" item="1"/>
          <tpl fld="4" item="6"/>
        </tpls>
      </n>
      <n v="1" in="2">
        <tpls c="4">
          <tpl fld="7" item="598"/>
          <tpl fld="6" item="2"/>
          <tpl hier="236" item="1"/>
          <tpl fld="4" item="4"/>
        </tpls>
      </n>
      <n v="29" in="1">
        <tpls c="4">
          <tpl fld="7" item="681"/>
          <tpl fld="6" item="1"/>
          <tpl hier="236" item="1"/>
          <tpl fld="4" item="4"/>
        </tpls>
      </n>
      <m>
        <tpls c="4">
          <tpl fld="7" item="388"/>
          <tpl fld="6" item="2"/>
          <tpl hier="236" item="1"/>
          <tpl fld="1" item="0"/>
        </tpls>
      </m>
      <m>
        <tpls c="3">
          <tpl fld="7" item="394"/>
          <tpl fld="6" item="3"/>
          <tpl hier="236" item="1"/>
        </tpls>
      </m>
      <n v="1" in="1">
        <tpls c="4">
          <tpl fld="7" item="541"/>
          <tpl fld="6" item="1"/>
          <tpl hier="236" item="1"/>
          <tpl fld="4" item="5"/>
        </tpls>
      </n>
      <m>
        <tpls c="3">
          <tpl fld="7" item="252"/>
          <tpl fld="6" item="3"/>
          <tpl hier="236" item="1"/>
        </tpls>
      </m>
      <m>
        <tpls c="4">
          <tpl fld="7" item="81"/>
          <tpl fld="6" item="2"/>
          <tpl hier="236" item="1"/>
          <tpl fld="4" item="1"/>
        </tpls>
      </m>
      <m>
        <tpls c="4">
          <tpl fld="7" item="352"/>
          <tpl fld="6" item="1"/>
          <tpl hier="236" item="1"/>
          <tpl fld="4" item="6"/>
        </tpls>
      </m>
      <n v="1.0399999999999998" in="2">
        <tpls c="4">
          <tpl fld="7" item="506"/>
          <tpl fld="6" item="2"/>
          <tpl hier="236" item="1"/>
          <tpl fld="4" item="4"/>
        </tpls>
      </n>
      <n v="19" in="1">
        <tpls c="4">
          <tpl fld="7" item="519"/>
          <tpl fld="6" item="1"/>
          <tpl hier="236" item="1"/>
          <tpl fld="4" item="4"/>
        </tpls>
      </n>
      <m>
        <tpls c="4">
          <tpl fld="7" item="459"/>
          <tpl fld="6" item="2"/>
          <tpl hier="236" item="1"/>
          <tpl fld="4" item="4"/>
        </tpls>
      </m>
      <m>
        <tpls c="4">
          <tpl fld="7" item="394"/>
          <tpl fld="6" item="2"/>
          <tpl hier="236" item="1"/>
          <tpl fld="4" item="6"/>
        </tpls>
      </m>
      <n v="44" in="1">
        <tpls c="6">
          <tpl fld="3" item="2"/>
          <tpl fld="11" item="0"/>
          <tpl fld="6" item="1"/>
          <tpl hier="236" item="1"/>
          <tpl fld="4" item="1"/>
          <tpl fld="9" item="3"/>
        </tpls>
      </n>
      <m>
        <tpls c="4">
          <tpl fld="7" item="147"/>
          <tpl fld="6" item="2"/>
          <tpl hier="236" item="1"/>
          <tpl fld="4" item="1"/>
        </tpls>
      </m>
      <m>
        <tpls c="4">
          <tpl fld="7" item="192"/>
          <tpl fld="6" item="2"/>
          <tpl hier="236" item="1"/>
          <tpl fld="4" item="5"/>
        </tpls>
      </m>
      <m>
        <tpls c="4">
          <tpl fld="7" item="260"/>
          <tpl fld="6" item="2"/>
          <tpl hier="236" item="1"/>
          <tpl fld="4" item="6"/>
        </tpls>
      </m>
      <m>
        <tpls c="4">
          <tpl fld="7" item="753"/>
          <tpl fld="6" item="2"/>
          <tpl hier="236" item="1"/>
          <tpl fld="4" item="6"/>
        </tpls>
      </m>
      <m>
        <tpls c="4">
          <tpl fld="7" item="291"/>
          <tpl fld="6" item="2"/>
          <tpl hier="236" item="1"/>
          <tpl fld="4" item="4"/>
        </tpls>
      </m>
      <m>
        <tpls c="4">
          <tpl fld="7" item="198"/>
          <tpl fld="6" item="1"/>
          <tpl hier="236" item="1"/>
          <tpl fld="4" item="4"/>
        </tpls>
      </m>
      <n v="250" in="1">
        <tpls c="6">
          <tpl fld="3" item="0"/>
          <tpl fld="11" item="0"/>
          <tpl fld="6" item="1"/>
          <tpl hier="236" item="1"/>
          <tpl fld="4" item="7"/>
          <tpl fld="10" item="7"/>
        </tpls>
      </n>
      <m>
        <tpls c="4">
          <tpl fld="7" item="22"/>
          <tpl fld="6" item="1"/>
          <tpl hier="236" item="1"/>
          <tpl fld="4" item="4"/>
        </tpls>
      </m>
      <m>
        <tpls c="4">
          <tpl fld="7" item="146"/>
          <tpl fld="6" item="1"/>
          <tpl hier="236" item="1"/>
          <tpl fld="4" item="6"/>
        </tpls>
      </m>
      <m>
        <tpls c="4">
          <tpl fld="7" item="264"/>
          <tpl fld="6" item="2"/>
          <tpl hier="236" item="1"/>
          <tpl fld="4" item="4"/>
        </tpls>
      </m>
      <m>
        <tpls c="4">
          <tpl fld="7" item="272"/>
          <tpl fld="6" item="2"/>
          <tpl hier="236" item="1"/>
          <tpl fld="4" item="4"/>
        </tpls>
      </m>
      <m>
        <tpls c="4">
          <tpl fld="7" item="287"/>
          <tpl fld="6" item="2"/>
          <tpl hier="236" item="1"/>
          <tpl fld="4" item="1"/>
        </tpls>
      </m>
      <m>
        <tpls c="3">
          <tpl fld="7" item="673"/>
          <tpl fld="6" item="3"/>
          <tpl hier="236" item="1"/>
        </tpls>
      </m>
      <m>
        <tpls c="3">
          <tpl fld="7" item="96"/>
          <tpl fld="6" item="3"/>
          <tpl hier="236" item="1"/>
        </tpls>
      </m>
      <m>
        <tpls c="4">
          <tpl fld="7" item="132"/>
          <tpl fld="6" item="1"/>
          <tpl hier="236" item="1"/>
          <tpl fld="4" item="4"/>
        </tpls>
      </m>
      <n v="0" in="1">
        <tpls c="4">
          <tpl fld="7" item="179"/>
          <tpl fld="6" item="1"/>
          <tpl hier="236" item="1"/>
          <tpl fld="4" item="4"/>
        </tpls>
      </n>
      <n v="3.6399999999999997" in="2">
        <tpls c="4">
          <tpl fld="7" item="322"/>
          <tpl fld="6" item="2"/>
          <tpl hier="236" item="1"/>
          <tpl fld="4" item="4"/>
        </tpls>
      </n>
      <n v="0" in="1">
        <tpls c="4">
          <tpl fld="7" item="759"/>
          <tpl fld="6" item="1"/>
          <tpl hier="236" item="1"/>
          <tpl fld="4" item="4"/>
        </tpls>
      </n>
      <n v="4.699459459459459" in="2">
        <tpls c="4">
          <tpl fld="7" item="446"/>
          <tpl fld="6" item="2"/>
          <tpl hier="236" item="1"/>
          <tpl fld="4" item="1"/>
        </tpls>
      </n>
      <m>
        <tpls c="4">
          <tpl fld="7" item="387"/>
          <tpl fld="6" item="2"/>
          <tpl hier="236" item="1"/>
          <tpl fld="1" item="0"/>
        </tpls>
      </m>
      <m>
        <tpls c="3">
          <tpl fld="7" item="393"/>
          <tpl fld="6" item="3"/>
          <tpl hier="236" item="1"/>
        </tpls>
      </m>
      <n v="1" in="1">
        <tpls c="4">
          <tpl fld="7" item="540"/>
          <tpl fld="6" item="1"/>
          <tpl hier="236" item="1"/>
          <tpl fld="4" item="5"/>
        </tpls>
      </n>
      <m>
        <tpls c="4">
          <tpl fld="7" item="27"/>
          <tpl fld="6" item="2"/>
          <tpl hier="236" item="1"/>
          <tpl fld="4" item="1"/>
        </tpls>
      </m>
      <m>
        <tpls c="4">
          <tpl fld="7" item="180"/>
          <tpl fld="6" item="1"/>
          <tpl hier="236" item="1"/>
          <tpl fld="4" item="4"/>
        </tpls>
      </m>
      <n v="2.8400000000000003" in="2">
        <tpls c="4">
          <tpl fld="7" item="106"/>
          <tpl fld="6" item="2"/>
          <tpl hier="236" item="1"/>
          <tpl fld="4" item="4"/>
        </tpls>
      </n>
      <n v="13" in="1">
        <tpls c="4">
          <tpl fld="7" item="504"/>
          <tpl fld="6" item="1"/>
          <tpl hier="236" item="1"/>
          <tpl fld="4" item="4"/>
        </tpls>
      </n>
      <n v="1.3599999999999999" in="2">
        <tpls c="4">
          <tpl fld="7" item="982"/>
          <tpl fld="6" item="2"/>
          <tpl hier="236" item="1"/>
          <tpl fld="4" item="1"/>
        </tpls>
      </n>
      <n v="1" in="2">
        <tpls c="4">
          <tpl fld="7" item="458"/>
          <tpl fld="6" item="2"/>
          <tpl hier="236" item="1"/>
          <tpl fld="4" item="4"/>
        </tpls>
      </n>
      <m>
        <tpls c="4">
          <tpl fld="7" item="393"/>
          <tpl fld="6" item="2"/>
          <tpl hier="236" item="1"/>
          <tpl fld="4" item="6"/>
        </tpls>
      </m>
      <n v="4.5999999999999996" in="2">
        <tpls c="6">
          <tpl fld="11" item="0"/>
          <tpl fld="5" item="0"/>
          <tpl fld="6" item="2"/>
          <tpl hier="236" item="1"/>
          <tpl fld="4" item="6"/>
          <tpl fld="10" item="7"/>
        </tpls>
      </n>
      <m>
        <tpls c="3">
          <tpl fld="7" item="1068"/>
          <tpl fld="6" item="3"/>
          <tpl hier="236" item="1"/>
        </tpls>
      </m>
      <m>
        <tpls c="4">
          <tpl fld="7" item="407"/>
          <tpl fld="6" item="1"/>
          <tpl hier="236" item="1"/>
          <tpl fld="4" item="6"/>
        </tpls>
      </m>
      <n v="512" in="1">
        <tpls c="6">
          <tpl fld="11" item="0"/>
          <tpl fld="6" item="1"/>
          <tpl fld="8" item="1"/>
          <tpl hier="236" item="1"/>
          <tpl fld="4" item="4"/>
          <tpl fld="10" item="5"/>
        </tpls>
      </n>
      <m>
        <tpls c="4">
          <tpl fld="7" item="57"/>
          <tpl fld="6" item="1"/>
          <tpl hier="236" item="1"/>
          <tpl fld="4" item="4"/>
        </tpls>
      </m>
      <m>
        <tpls c="4">
          <tpl fld="7" item="141"/>
          <tpl fld="6" item="1"/>
          <tpl hier="236" item="1"/>
          <tpl fld="4" item="4"/>
        </tpls>
      </m>
      <n v="1" in="3">
        <tpls c="3">
          <tpl fld="7" item="377"/>
          <tpl fld="6" item="3"/>
          <tpl hier="236" item="1"/>
        </tpls>
      </n>
      <m>
        <tpls c="4">
          <tpl fld="7" item="142"/>
          <tpl fld="6" item="1"/>
          <tpl hier="236" item="1"/>
          <tpl fld="4" item="4"/>
        </tpls>
      </m>
      <n v="1" in="3">
        <tpls c="3">
          <tpl fld="7" item="448"/>
          <tpl fld="6" item="3"/>
          <tpl hier="236" item="1"/>
        </tpls>
      </n>
      <n v="2.6" in="2">
        <tpls c="4">
          <tpl fld="7" item="539"/>
          <tpl fld="6" item="2"/>
          <tpl hier="236" item="1"/>
          <tpl fld="1" item="0"/>
        </tpls>
      </n>
      <m>
        <tpls c="4">
          <tpl fld="7" item="165"/>
          <tpl fld="6" item="1"/>
          <tpl hier="236" item="1"/>
          <tpl fld="4" item="5"/>
        </tpls>
      </m>
      <m>
        <tpls c="4">
          <tpl fld="7" item="103"/>
          <tpl fld="6" item="2"/>
          <tpl hier="236" item="1"/>
          <tpl fld="4" item="1"/>
        </tpls>
      </m>
      <n v="1.72" in="2">
        <tpls c="4">
          <tpl fld="7" item="501"/>
          <tpl fld="6" item="2"/>
          <tpl hier="236" item="1"/>
          <tpl fld="4" item="1"/>
        </tpls>
      </n>
      <n v="1" in="3">
        <tpls c="3">
          <tpl fld="7" item="600"/>
          <tpl fld="6" item="3"/>
          <tpl hier="236" item="1"/>
        </tpls>
      </n>
      <m>
        <tpls c="4">
          <tpl fld="7" item="456"/>
          <tpl fld="6" item="1"/>
          <tpl hier="236" item="1"/>
          <tpl fld="4" item="6"/>
        </tpls>
      </m>
      <n v="4" in="1">
        <tpls c="4">
          <tpl fld="7" item="533"/>
          <tpl fld="6" item="1"/>
          <tpl hier="236" item="1"/>
          <tpl fld="4" item="6"/>
        </tpls>
      </n>
      <n v="1" in="1">
        <tpls c="4">
          <tpl fld="7" item="769"/>
          <tpl fld="6" item="1"/>
          <tpl hier="236" item="1"/>
          <tpl fld="1" item="0"/>
        </tpls>
      </n>
      <m>
        <tpls c="4">
          <tpl fld="7" item="881"/>
          <tpl fld="6" item="2"/>
          <tpl hier="236" item="1"/>
          <tpl fld="4" item="5"/>
        </tpls>
      </m>
      <m>
        <tpls c="3">
          <tpl fld="7" item="107"/>
          <tpl fld="6" item="3"/>
          <tpl hier="236" item="1"/>
        </tpls>
      </m>
      <n v="1" in="1">
        <tpls c="4">
          <tpl fld="7" item="685"/>
          <tpl fld="6" item="1"/>
          <tpl hier="236" item="1"/>
          <tpl fld="4" item="6"/>
        </tpls>
      </n>
      <m>
        <tpls c="4">
          <tpl fld="7" item="547"/>
          <tpl fld="6" item="2"/>
          <tpl hier="236" item="1"/>
          <tpl fld="4" item="5"/>
        </tpls>
      </m>
      <m>
        <tpls c="4">
          <tpl fld="7" item="553"/>
          <tpl fld="6" item="2"/>
          <tpl hier="236" item="1"/>
          <tpl fld="4" item="1"/>
        </tpls>
      </m>
      <m>
        <tpls c="4">
          <tpl fld="7" item="784"/>
          <tpl fld="6" item="2"/>
          <tpl hier="236" item="1"/>
          <tpl fld="4" item="4"/>
        </tpls>
      </m>
      <m>
        <tpls c="4">
          <tpl fld="7" item="1213"/>
          <tpl fld="6" item="2"/>
          <tpl hier="236" item="1"/>
          <tpl fld="4" item="6"/>
        </tpls>
      </m>
      <m>
        <tpls c="3">
          <tpl fld="7" item="572"/>
          <tpl fld="6" item="3"/>
          <tpl hier="236" item="1"/>
        </tpls>
      </m>
      <m>
        <tpls c="4">
          <tpl fld="7" item="991"/>
          <tpl fld="6" item="1"/>
          <tpl hier="236" item="1"/>
          <tpl fld="4" item="5"/>
        </tpls>
      </m>
      <n v="0.08" in="2">
        <tpls c="4">
          <tpl fld="7" item="104"/>
          <tpl fld="6" item="2"/>
          <tpl hier="236" item="1"/>
          <tpl fld="4" item="4"/>
        </tpls>
      </n>
      <m>
        <tpls c="4">
          <tpl fld="7" item="392"/>
          <tpl fld="6" item="2"/>
          <tpl hier="236" item="1"/>
          <tpl fld="4" item="5"/>
        </tpls>
      </m>
      <m>
        <tpls c="4">
          <tpl fld="7" item="775"/>
          <tpl fld="6" item="2"/>
          <tpl hier="236" item="1"/>
          <tpl fld="4" item="4"/>
        </tpls>
      </m>
      <m>
        <tpls c="4">
          <tpl fld="7" item="1089"/>
          <tpl fld="6" item="1"/>
          <tpl hier="236" item="1"/>
          <tpl fld="4" item="1"/>
        </tpls>
      </m>
      <m>
        <tpls c="4">
          <tpl fld="7" item="702"/>
          <tpl fld="6" item="1"/>
          <tpl hier="236" item="1"/>
          <tpl fld="4" item="4"/>
        </tpls>
      </m>
      <n v="8" in="1">
        <tpls c="4">
          <tpl fld="7" item="788"/>
          <tpl fld="6" item="1"/>
          <tpl hier="236" item="1"/>
          <tpl fld="4" item="6"/>
        </tpls>
      </n>
      <m>
        <tpls c="4">
          <tpl fld="7" item="632"/>
          <tpl fld="6" item="2"/>
          <tpl hier="236" item="1"/>
          <tpl fld="4" item="5"/>
        </tpls>
      </m>
      <n v="149" in="1">
        <tpls c="6">
          <tpl fld="11" item="0"/>
          <tpl fld="2" item="2"/>
          <tpl fld="6" item="1"/>
          <tpl hier="236" item="1"/>
          <tpl fld="4" item="3"/>
          <tpl fld="10" item="3"/>
        </tpls>
      </n>
      <m>
        <tpls c="4">
          <tpl fld="7" item="266"/>
          <tpl fld="6" item="2"/>
          <tpl hier="236" item="1"/>
          <tpl fld="4" item="6"/>
        </tpls>
      </m>
      <m>
        <tpls c="4">
          <tpl fld="7" item="1"/>
          <tpl fld="6" item="1"/>
          <tpl hier="236" item="1"/>
          <tpl fld="4" item="5"/>
        </tpls>
      </m>
      <m>
        <tpls c="4">
          <tpl fld="7" item="280"/>
          <tpl fld="6" item="2"/>
          <tpl hier="236" item="1"/>
          <tpl fld="4" item="1"/>
        </tpls>
      </m>
      <m>
        <tpls c="4">
          <tpl fld="7" item="407"/>
          <tpl fld="6" item="1"/>
          <tpl hier="236" item="1"/>
          <tpl fld="4" item="5"/>
        </tpls>
      </m>
      <n v="1" in="3">
        <tpls c="3">
          <tpl fld="7" item="381"/>
          <tpl fld="6" item="3"/>
          <tpl hier="236" item="1"/>
        </tpls>
      </n>
      <m>
        <tpls c="4">
          <tpl fld="7" item="155"/>
          <tpl fld="6" item="2"/>
          <tpl hier="236" item="1"/>
          <tpl fld="4" item="1"/>
        </tpls>
      </m>
      <n v="1" in="3">
        <tpls c="3">
          <tpl fld="7" item="452"/>
          <tpl fld="6" item="3"/>
          <tpl hier="236" item="1"/>
        </tpls>
      </n>
      <m>
        <tpls c="4">
          <tpl fld="7" item="688"/>
          <tpl fld="6" item="2"/>
          <tpl hier="236" item="1"/>
          <tpl fld="4" item="1"/>
        </tpls>
      </m>
      <m>
        <tpls c="4">
          <tpl fld="7" item="172"/>
          <tpl fld="6" item="2"/>
          <tpl hier="236" item="1"/>
          <tpl fld="4" item="4"/>
        </tpls>
      </m>
      <m>
        <tpls c="4">
          <tpl fld="7" item="212"/>
          <tpl fld="6" item="1"/>
          <tpl hier="236" item="1"/>
          <tpl fld="4" item="6"/>
        </tpls>
      </m>
      <n v="1" in="2">
        <tpls c="4">
          <tpl fld="7" item="502"/>
          <tpl fld="6" item="2"/>
          <tpl hier="236" item="1"/>
          <tpl fld="4" item="1"/>
        </tpls>
      </n>
      <n v="539" in="1">
        <tpls c="6">
          <tpl fld="11" item="0"/>
          <tpl fld="5" item="1"/>
          <tpl fld="6" item="1"/>
          <tpl hier="236" item="1"/>
          <tpl fld="4" item="4"/>
          <tpl fld="10" item="0"/>
        </tpls>
      </n>
      <n v="16.316216216216219" in="2">
        <tpls c="5">
          <tpl fld="11" item="0"/>
          <tpl fld="2" item="0"/>
          <tpl fld="6" item="2"/>
          <tpl hier="236" item="1"/>
          <tpl fld="4" item="0"/>
        </tpls>
      </n>
      <n v="0.6" in="2">
        <tpls c="6">
          <tpl fld="11" item="0"/>
          <tpl fld="2" item="4"/>
          <tpl fld="6" item="2"/>
          <tpl hier="236" item="1"/>
          <tpl fld="4" item="7"/>
          <tpl fld="10" item="3"/>
        </tpls>
      </n>
      <n v="46.650648648648655" in="2">
        <tpls c="6">
          <tpl fld="11" item="0"/>
          <tpl fld="5" item="1"/>
          <tpl fld="6" item="2"/>
          <tpl hier="236" item="1"/>
          <tpl fld="4" item="6"/>
          <tpl fld="10" item="0"/>
        </tpls>
      </n>
      <n v="759" in="1">
        <tpls c="6">
          <tpl fld="3" item="3"/>
          <tpl fld="11" item="0"/>
          <tpl fld="6" item="1"/>
          <tpl hier="236" item="1"/>
          <tpl fld="4" item="4"/>
          <tpl fld="10" item="3"/>
        </tpls>
      </n>
      <m>
        <tpls c="6">
          <tpl fld="3" item="2"/>
          <tpl fld="11" item="0"/>
          <tpl fld="6" item="2"/>
          <tpl hier="236" item="1"/>
          <tpl fld="4" item="7"/>
          <tpl fld="10" item="6"/>
        </tpls>
      </m>
      <m>
        <tpls c="6">
          <tpl fld="11" item="0"/>
          <tpl fld="2" item="3"/>
          <tpl fld="6" item="2"/>
          <tpl hier="236" item="1"/>
          <tpl fld="4" item="4"/>
          <tpl fld="10" item="1"/>
        </tpls>
      </m>
      <n v="12.028108108108107" in="2">
        <tpls c="6">
          <tpl fld="11" item="0"/>
          <tpl fld="6" item="2"/>
          <tpl fld="8" item="1"/>
          <tpl hier="236" item="1"/>
          <tpl fld="4" item="7"/>
          <tpl fld="10" item="8"/>
        </tpls>
      </n>
      <n v="4.3448648648648645" in="2">
        <tpls c="6">
          <tpl fld="3" item="4"/>
          <tpl fld="11" item="0"/>
          <tpl fld="6" item="2"/>
          <tpl hier="236" item="1"/>
          <tpl fld="4" item="6"/>
          <tpl fld="10" item="3"/>
        </tpls>
      </n>
      <m>
        <tpls c="3">
          <tpl fld="7" item="33"/>
          <tpl fld="6" item="3"/>
          <tpl hier="236" item="1"/>
        </tpls>
      </m>
      <m>
        <tpls c="4">
          <tpl fld="7" item="186"/>
          <tpl fld="6" item="2"/>
          <tpl hier="236" item="1"/>
          <tpl fld="4" item="1"/>
        </tpls>
      </m>
      <m>
        <tpls c="4">
          <tpl fld="7" item="255"/>
          <tpl fld="6" item="1"/>
          <tpl hier="236" item="1"/>
          <tpl fld="4" item="4"/>
        </tpls>
      </m>
      <n v="2428" in="1">
        <tpls c="6">
          <tpl fld="3" item="3"/>
          <tpl fld="11" item="0"/>
          <tpl fld="6" item="1"/>
          <tpl hier="236" item="1"/>
          <tpl fld="4" item="3"/>
          <tpl fld="10" item="8"/>
        </tpls>
      </n>
      <m>
        <tpls c="4">
          <tpl fld="7" item="590"/>
          <tpl fld="6" item="2"/>
          <tpl hier="236" item="1"/>
          <tpl fld="4" item="4"/>
        </tpls>
      </m>
      <m>
        <tpls c="4">
          <tpl fld="7" item="293"/>
          <tpl fld="6" item="1"/>
          <tpl hier="236" item="1"/>
          <tpl fld="4" item="6"/>
        </tpls>
      </m>
      <m>
        <tpls c="3">
          <tpl fld="7" item="145"/>
          <tpl fld="6" item="3"/>
          <tpl hier="236" item="1"/>
        </tpls>
      </m>
      <n v="0" in="1">
        <tpls c="6">
          <tpl fld="3" item="2"/>
          <tpl fld="11" item="0"/>
          <tpl fld="6" item="1"/>
          <tpl hier="236" item="1"/>
          <tpl fld="4" item="7"/>
          <tpl fld="10" item="5"/>
        </tpls>
      </n>
      <m>
        <tpls c="4">
          <tpl fld="7" item="474"/>
          <tpl fld="6" item="2"/>
          <tpl hier="236" item="1"/>
          <tpl fld="4" item="4"/>
        </tpls>
      </m>
      <m>
        <tpls c="4">
          <tpl fld="7" item="294"/>
          <tpl fld="6" item="1"/>
          <tpl hier="236" item="1"/>
          <tpl fld="4" item="6"/>
        </tpls>
      </m>
      <m>
        <tpls c="3">
          <tpl fld="7" item="146"/>
          <tpl fld="6" item="3"/>
          <tpl hier="236" item="1"/>
        </tpls>
      </m>
      <m>
        <tpls c="4">
          <tpl fld="7" item="673"/>
          <tpl fld="6" item="2"/>
          <tpl hier="236" item="1"/>
          <tpl fld="4" item="1"/>
        </tpls>
      </m>
      <m>
        <tpls c="4">
          <tpl fld="7" item="253"/>
          <tpl fld="6" item="2"/>
          <tpl hier="236" item="1"/>
          <tpl fld="4" item="4"/>
        </tpls>
      </m>
      <n v="791" in="1">
        <tpls c="6">
          <tpl fld="11" item="0"/>
          <tpl fld="2" item="2"/>
          <tpl fld="6" item="1"/>
          <tpl hier="236" item="1"/>
          <tpl fld="4" item="6"/>
          <tpl fld="10" item="2"/>
        </tpls>
      </n>
      <m>
        <tpls c="4">
          <tpl fld="7" item="409"/>
          <tpl fld="6" item="2"/>
          <tpl hier="236" item="1"/>
          <tpl fld="4" item="4"/>
        </tpls>
      </m>
      <m>
        <tpls c="4">
          <tpl fld="7" item="0"/>
          <tpl fld="6" item="1"/>
          <tpl hier="236" item="1"/>
          <tpl fld="4" item="4"/>
        </tpls>
      </m>
      <n v="1" in="2">
        <tpls c="4">
          <tpl fld="7" item="444"/>
          <tpl fld="6" item="2"/>
          <tpl hier="236" item="1"/>
          <tpl fld="4" item="1"/>
        </tpls>
      </n>
      <m>
        <tpls c="4">
          <tpl fld="7" item="2"/>
          <tpl fld="6" item="1"/>
          <tpl hier="236" item="1"/>
          <tpl fld="4" item="4"/>
        </tpls>
      </m>
      <n v="1.44" in="2">
        <tpls c="4">
          <tpl fld="7" item="680"/>
          <tpl fld="6" item="2"/>
          <tpl hier="236" item="1"/>
          <tpl fld="4" item="1"/>
        </tpls>
      </n>
      <m>
        <tpls c="4">
          <tpl fld="7" item="245"/>
          <tpl fld="6" item="1"/>
          <tpl hier="236" item="1"/>
          <tpl fld="4" item="6"/>
        </tpls>
      </m>
      <m>
        <tpls c="4">
          <tpl fld="7" item="50"/>
          <tpl fld="6" item="2"/>
          <tpl hier="236" item="1"/>
          <tpl fld="4" item="6"/>
        </tpls>
      </m>
      <m>
        <tpls c="3">
          <tpl fld="7" item="179"/>
          <tpl fld="6" item="3"/>
          <tpl hier="236" item="1"/>
        </tpls>
      </m>
      <m>
        <tpls c="4">
          <tpl fld="7" item="200"/>
          <tpl fld="6" item="2"/>
          <tpl hier="236" item="1"/>
          <tpl fld="4" item="4"/>
        </tpls>
      </m>
      <m>
        <tpls c="4">
          <tpl fld="7" item="218"/>
          <tpl fld="6" item="1"/>
          <tpl hier="236" item="1"/>
          <tpl fld="1" item="0"/>
        </tpls>
      </m>
      <m>
        <tpls c="4">
          <tpl fld="7" item="252"/>
          <tpl fld="6" item="2"/>
          <tpl hier="236" item="1"/>
          <tpl fld="4" item="1"/>
        </tpls>
      </m>
      <m>
        <tpls c="4">
          <tpl fld="7" item="157"/>
          <tpl fld="6" item="1"/>
          <tpl hier="236" item="1"/>
          <tpl fld="4" item="4"/>
        </tpls>
      </m>
      <m>
        <tpls c="4">
          <tpl fld="7" item="64"/>
          <tpl fld="6" item="2"/>
          <tpl hier="236" item="1"/>
          <tpl fld="4" item="4"/>
        </tpls>
      </m>
      <m>
        <tpls c="4">
          <tpl fld="7" item="81"/>
          <tpl fld="6" item="1"/>
          <tpl hier="236" item="1"/>
          <tpl fld="4" item="4"/>
        </tpls>
      </m>
      <m>
        <tpls c="4">
          <tpl fld="7" item="206"/>
          <tpl fld="6" item="2"/>
          <tpl hier="236" item="1"/>
          <tpl fld="4" item="1"/>
        </tpls>
      </m>
      <m>
        <tpls c="4">
          <tpl fld="7" item="591"/>
          <tpl fld="6" item="1"/>
          <tpl hier="236" item="1"/>
          <tpl fld="4" item="5"/>
        </tpls>
      </m>
      <m>
        <tpls c="4">
          <tpl fld="7" item="315"/>
          <tpl fld="6" item="2"/>
          <tpl hier="236" item="1"/>
          <tpl fld="4" item="4"/>
        </tpls>
      </m>
      <n v="8.1999999999999993" in="2">
        <tpls c="4">
          <tpl fld="7" item="596"/>
          <tpl fld="6" item="2"/>
          <tpl hier="236" item="1"/>
          <tpl fld="4" item="4"/>
        </tpls>
      </n>
      <m>
        <tpls c="4">
          <tpl fld="7" item="679"/>
          <tpl fld="6" item="1"/>
          <tpl hier="236" item="1"/>
          <tpl fld="4" item="4"/>
        </tpls>
      </m>
      <m>
        <tpls c="4">
          <tpl fld="7" item="453"/>
          <tpl fld="6" item="2"/>
          <tpl hier="236" item="1"/>
          <tpl fld="4" item="1"/>
        </tpls>
      </m>
      <m>
        <tpls c="4">
          <tpl fld="7" item="461"/>
          <tpl fld="6" item="2"/>
          <tpl hier="236" item="1"/>
          <tpl fld="4" item="6"/>
        </tpls>
      </m>
      <m>
        <tpls c="4">
          <tpl fld="7" item="686"/>
          <tpl fld="6" item="2"/>
          <tpl hier="236" item="1"/>
          <tpl fld="1" item="0"/>
        </tpls>
      </m>
      <m>
        <tpls c="3">
          <tpl fld="7" item="1212"/>
          <tpl fld="6" item="3"/>
          <tpl hier="236" item="1"/>
        </tpls>
      </m>
      <m>
        <tpls c="4">
          <tpl fld="7" item="158"/>
          <tpl fld="6" item="2"/>
          <tpl hier="236" item="1"/>
          <tpl fld="4" item="1"/>
        </tpls>
      </m>
      <n v="0" in="1">
        <tpls c="4">
          <tpl fld="7" item="207"/>
          <tpl fld="6" item="1"/>
          <tpl hier="236" item="1"/>
          <tpl fld="4" item="4"/>
        </tpls>
      </n>
      <n v="2.6399999999999997" in="2">
        <tpls c="4">
          <tpl fld="7" item="498"/>
          <tpl fld="6" item="2"/>
          <tpl hier="236" item="1"/>
          <tpl fld="4" item="4"/>
        </tpls>
      </n>
      <n v="4" in="1">
        <tpls c="4">
          <tpl fld="7" item="511"/>
          <tpl fld="6" item="1"/>
          <tpl hier="236" item="1"/>
          <tpl fld="4" item="4"/>
        </tpls>
      </n>
      <m>
        <tpls c="4">
          <tpl fld="7" item="764"/>
          <tpl fld="6" item="2"/>
          <tpl hier="236" item="1"/>
          <tpl fld="4" item="1"/>
        </tpls>
      </m>
      <m>
        <tpls c="4">
          <tpl fld="7" item="766"/>
          <tpl fld="6" item="2"/>
          <tpl hier="236" item="1"/>
          <tpl fld="4" item="1"/>
        </tpls>
      </m>
      <m>
        <tpls c="6">
          <tpl fld="11" item="0"/>
          <tpl fld="5" item="2"/>
          <tpl fld="6" item="2"/>
          <tpl hier="236" item="1"/>
          <tpl fld="4" item="7"/>
          <tpl fld="10" item="1"/>
        </tpls>
      </m>
      <m>
        <tpls c="4">
          <tpl fld="7" item="327"/>
          <tpl fld="6" item="1"/>
          <tpl hier="236" item="1"/>
          <tpl fld="1" item="0"/>
        </tpls>
      </m>
      <m>
        <tpls c="4">
          <tpl fld="7" item="160"/>
          <tpl fld="6" item="1"/>
          <tpl hier="236" item="1"/>
          <tpl fld="1" item="0"/>
        </tpls>
      </m>
      <m>
        <tpls c="6">
          <tpl fld="3" item="0"/>
          <tpl fld="11" item="0"/>
          <tpl fld="6" item="2"/>
          <tpl hier="236" item="1"/>
          <tpl fld="4" item="6"/>
          <tpl fld="10" item="3"/>
        </tpls>
      </m>
      <m>
        <tpls c="4">
          <tpl fld="7" item="49"/>
          <tpl fld="6" item="1"/>
          <tpl hier="236" item="1"/>
          <tpl fld="4" item="6"/>
        </tpls>
      </m>
      <m>
        <tpls c="4">
          <tpl fld="7" item="64"/>
          <tpl fld="6" item="1"/>
          <tpl hier="236" item="1"/>
          <tpl fld="4" item="6"/>
        </tpls>
      </m>
      <m>
        <tpls c="3">
          <tpl fld="7" item="189"/>
          <tpl fld="6" item="3"/>
          <tpl hier="236" item="1"/>
        </tpls>
      </m>
      <m>
        <tpls c="4">
          <tpl fld="7" item="95"/>
          <tpl fld="6" item="2"/>
          <tpl hier="236" item="1"/>
          <tpl fld="4" item="1"/>
        </tpls>
      </m>
      <n v="2.5918918918918918" in="2">
        <tpls c="6">
          <tpl fld="11" item="0"/>
          <tpl fld="6" item="2"/>
          <tpl fld="8" item="0"/>
          <tpl hier="236" item="1"/>
          <tpl fld="4" item="3"/>
          <tpl fld="10" item="3"/>
        </tpls>
      </n>
      <m>
        <tpls c="4">
          <tpl fld="7" item="138"/>
          <tpl fld="6" item="1"/>
          <tpl hier="236" item="1"/>
          <tpl fld="4" item="6"/>
        </tpls>
      </m>
      <m>
        <tpls c="4">
          <tpl fld="7" item="259"/>
          <tpl fld="6" item="2"/>
          <tpl hier="236" item="1"/>
          <tpl fld="4" item="4"/>
        </tpls>
      </m>
      <m>
        <tpls c="4">
          <tpl fld="7" item="267"/>
          <tpl fld="6" item="2"/>
          <tpl hier="236" item="1"/>
          <tpl fld="4" item="4"/>
        </tpls>
      </m>
      <m>
        <tpls c="4">
          <tpl fld="7" item="169"/>
          <tpl fld="6" item="2"/>
          <tpl hier="236" item="1"/>
          <tpl fld="4" item="1"/>
        </tpls>
      </m>
      <m>
        <tpls c="3">
          <tpl fld="7" item="980"/>
          <tpl fld="6" item="3"/>
          <tpl hier="236" item="1"/>
        </tpls>
      </m>
      <m>
        <tpls c="3">
          <tpl fld="7" item="88"/>
          <tpl fld="6" item="3"/>
          <tpl hier="236" item="1"/>
        </tpls>
      </m>
      <m>
        <tpls c="4">
          <tpl fld="7" item="317"/>
          <tpl fld="6" item="1"/>
          <tpl hier="236" item="1"/>
          <tpl fld="4" item="6"/>
        </tpls>
      </m>
      <m>
        <tpls c="4">
          <tpl fld="7" item="44"/>
          <tpl fld="6" item="1"/>
          <tpl hier="236" item="1"/>
          <tpl fld="4" item="5"/>
        </tpls>
      </m>
      <m>
        <tpls c="4">
          <tpl fld="7" item="90"/>
          <tpl fld="6" item="1"/>
          <tpl hier="236" item="1"/>
          <tpl fld="4" item="6"/>
        </tpls>
      </m>
      <n v="34" in="1">
        <tpls c="4">
          <tpl fld="7" item="757"/>
          <tpl fld="6" item="1"/>
          <tpl hier="236" item="1"/>
          <tpl fld="4" item="4"/>
        </tpls>
      </n>
      <m>
        <tpls c="4">
          <tpl fld="7" item="438"/>
          <tpl fld="6" item="2"/>
          <tpl hier="236" item="1"/>
          <tpl fld="4" item="1"/>
        </tpls>
      </m>
      <n v="1" in="3">
        <tpls c="3">
          <tpl fld="7" item="380"/>
          <tpl fld="6" item="3"/>
          <tpl hier="236" item="1"/>
        </tpls>
      </n>
      <m>
        <tpls c="4">
          <tpl fld="7" item="460"/>
          <tpl fld="6" item="2"/>
          <tpl hier="236" item="1"/>
          <tpl fld="4" item="6"/>
        </tpls>
      </m>
      <m>
        <tpls c="4">
          <tpl fld="7" item="395"/>
          <tpl fld="6" item="2"/>
          <tpl hier="236" item="1"/>
          <tpl fld="1" item="0"/>
        </tpls>
      </m>
      <m>
        <tpls c="3">
          <tpl fld="7" item="610"/>
          <tpl fld="6" item="3"/>
          <tpl hier="236" item="1"/>
        </tpls>
      </m>
      <m>
        <tpls c="4">
          <tpl fld="7" item="261"/>
          <tpl fld="6" item="2"/>
          <tpl hier="236" item="1"/>
          <tpl fld="4" item="1"/>
        </tpls>
      </m>
      <m>
        <tpls c="4">
          <tpl fld="7" item="91"/>
          <tpl fld="6" item="1"/>
          <tpl hier="236" item="1"/>
          <tpl fld="4" item="6"/>
        </tpls>
      </m>
      <n v="25" in="1">
        <tpls c="4">
          <tpl fld="7" item="496"/>
          <tpl fld="6" item="1"/>
          <tpl hier="236" item="1"/>
          <tpl fld="4" item="4"/>
        </tpls>
      </n>
      <m>
        <tpls c="4">
          <tpl fld="7" item="1237"/>
          <tpl fld="6" item="2"/>
          <tpl hier="236" item="1"/>
          <tpl fld="4" item="1"/>
        </tpls>
      </m>
      <n v="1" in="3">
        <tpls c="3">
          <tpl fld="7" item="451"/>
          <tpl fld="6" item="3"/>
          <tpl hier="236" item="1"/>
        </tpls>
      </n>
      <m>
        <tpls c="4">
          <tpl fld="7" item="684"/>
          <tpl fld="6" item="2"/>
          <tpl hier="236" item="1"/>
          <tpl fld="4" item="1"/>
        </tpls>
      </m>
      <m>
        <tpls c="4">
          <tpl fld="7" item="1086"/>
          <tpl fld="6" item="2"/>
          <tpl hier="236" item="1"/>
          <tpl fld="4" item="4"/>
        </tpls>
      </m>
      <m>
        <tpls c="4">
          <tpl fld="7" item="531"/>
          <tpl fld="6" item="1"/>
          <tpl hier="236" item="1"/>
          <tpl fld="1" item="0"/>
        </tpls>
      </m>
      <m>
        <tpls c="4">
          <tpl fld="7" item="333"/>
          <tpl fld="6" item="2"/>
          <tpl hier="236" item="1"/>
          <tpl fld="4" item="4"/>
        </tpls>
      </m>
      <m>
        <tpls c="3">
          <tpl fld="7" item="305"/>
          <tpl fld="6" item="3"/>
          <tpl hier="236" item="1"/>
        </tpls>
      </m>
      <m>
        <tpls c="4">
          <tpl fld="7" item="55"/>
          <tpl fld="6" item="1"/>
          <tpl hier="236" item="1"/>
          <tpl fld="4" item="4"/>
        </tpls>
      </m>
      <m>
        <tpls c="4">
          <tpl fld="7" item="221"/>
          <tpl fld="6" item="2"/>
          <tpl hier="236" item="1"/>
          <tpl fld="4" item="1"/>
        </tpls>
      </m>
      <n v="9" in="1">
        <tpls c="4">
          <tpl fld="7" item="515"/>
          <tpl fld="6" item="1"/>
          <tpl hier="236" item="1"/>
          <tpl fld="4" item="6"/>
        </tpls>
      </n>
      <m>
        <tpls c="4">
          <tpl fld="7" item="223"/>
          <tpl fld="6" item="2"/>
          <tpl hier="236" item="1"/>
          <tpl fld="4" item="1"/>
        </tpls>
      </m>
      <n v="10" in="1">
        <tpls c="4">
          <tpl fld="7" item="374"/>
          <tpl fld="6" item="1"/>
          <tpl hier="236" item="1"/>
          <tpl fld="4" item="6"/>
        </tpls>
      </n>
      <m>
        <tpls c="4">
          <tpl fld="7" item="687"/>
          <tpl fld="6" item="1"/>
          <tpl hier="236" item="1"/>
          <tpl fld="4" item="1"/>
        </tpls>
      </m>
      <m>
        <tpls c="4">
          <tpl fld="7" item="163"/>
          <tpl fld="6" item="1"/>
          <tpl hier="236" item="1"/>
          <tpl fld="4" item="5"/>
        </tpls>
      </m>
      <n v="1" in="1">
        <tpls c="4">
          <tpl fld="7" item="102"/>
          <tpl fld="6" item="1"/>
          <tpl hier="236" item="1"/>
          <tpl fld="4" item="4"/>
        </tpls>
      </n>
      <m>
        <tpls c="4">
          <tpl fld="7" item="359"/>
          <tpl fld="6" item="1"/>
          <tpl hier="236" item="1"/>
          <tpl fld="4" item="4"/>
        </tpls>
      </m>
      <n v="1" in="2">
        <tpls c="4">
          <tpl fld="7" item="513"/>
          <tpl fld="6" item="2"/>
          <tpl hier="236" item="1"/>
          <tpl fld="4" item="1"/>
        </tpls>
      </n>
      <m>
        <tpls c="3">
          <tpl fld="7" item="603"/>
          <tpl fld="6" item="3"/>
          <tpl hier="236" item="1"/>
        </tpls>
      </m>
      <m>
        <tpls c="4">
          <tpl fld="7" item="462"/>
          <tpl fld="6" item="2"/>
          <tpl hier="236" item="1"/>
          <tpl fld="4" item="5"/>
        </tpls>
      </m>
      <m>
        <tpls c="4">
          <tpl fld="7" item="687"/>
          <tpl fld="6" item="2"/>
          <tpl hier="236" item="1"/>
          <tpl fld="4" item="1"/>
        </tpls>
      </m>
      <m>
        <tpls c="4">
          <tpl fld="7" item="773"/>
          <tpl fld="6" item="2"/>
          <tpl hier="236" item="1"/>
          <tpl fld="4" item="4"/>
        </tpls>
      </m>
      <n v="0.24" in="2">
        <tpls c="4">
          <tpl fld="7" item="320"/>
          <tpl fld="6" item="2"/>
          <tpl hier="236" item="1"/>
          <tpl fld="4" item="4"/>
        </tpls>
      </n>
      <m>
        <tpls c="4">
          <tpl fld="7" item="392"/>
          <tpl fld="6" item="1"/>
          <tpl hier="236" item="1"/>
          <tpl fld="4" item="5"/>
        </tpls>
      </m>
      <n v="2" in="1">
        <tpls c="4">
          <tpl fld="7" item="775"/>
          <tpl fld="6" item="1"/>
          <tpl hier="236" item="1"/>
          <tpl fld="4" item="6"/>
        </tpls>
      </n>
      <m>
        <tpls c="4">
          <tpl fld="7" item="1089"/>
          <tpl fld="6" item="2"/>
          <tpl hier="236" item="1"/>
          <tpl fld="4" item="6"/>
        </tpls>
      </m>
      <m>
        <tpls c="4">
          <tpl fld="7" item="622"/>
          <tpl fld="6" item="2"/>
          <tpl hier="236" item="1"/>
          <tpl fld="1" item="0"/>
        </tpls>
      </m>
      <m>
        <tpls c="3">
          <tpl fld="7" item="788"/>
          <tpl fld="6" item="3"/>
          <tpl hier="236" item="1"/>
        </tpls>
      </m>
      <n v="2" in="1">
        <tpls c="4">
          <tpl fld="7" item="632"/>
          <tpl fld="6" item="1"/>
          <tpl hier="236" item="1"/>
          <tpl fld="4" item="1"/>
        </tpls>
      </n>
      <n v="2" in="1">
        <tpls c="4">
          <tpl fld="7" item="798"/>
          <tpl fld="6" item="1"/>
          <tpl hier="236" item="1"/>
          <tpl fld="4" item="4"/>
        </tpls>
      </n>
      <m>
        <tpls c="4">
          <tpl fld="7" item="316"/>
          <tpl fld="6" item="2"/>
          <tpl hier="236" item="1"/>
          <tpl fld="4" item="4"/>
        </tpls>
      </m>
      <n v="2" in="1">
        <tpls c="4">
          <tpl fld="7" item="532"/>
          <tpl fld="6" item="1"/>
          <tpl hier="236" item="1"/>
          <tpl fld="4" item="4"/>
        </tpls>
      </n>
      <m>
        <tpls c="4">
          <tpl fld="7" item="613"/>
          <tpl fld="6" item="1"/>
          <tpl hier="236" item="1"/>
          <tpl fld="4" item="5"/>
        </tpls>
      </m>
      <n v="1" in="1">
        <tpls c="4">
          <tpl fld="7" item="779"/>
          <tpl fld="6" item="1"/>
          <tpl hier="236" item="1"/>
          <tpl fld="4" item="6"/>
        </tpls>
      </n>
      <m>
        <tpls c="4">
          <tpl fld="7" item="558"/>
          <tpl fld="6" item="1"/>
          <tpl hier="236" item="1"/>
          <tpl fld="1" item="0"/>
        </tpls>
      </m>
      <m>
        <tpls c="4">
          <tpl fld="7" item="706"/>
          <tpl fld="6" item="2"/>
          <tpl hier="236" item="1"/>
          <tpl fld="4" item="5"/>
        </tpls>
      </m>
      <m>
        <tpls c="4">
          <tpl fld="7" item="886"/>
          <tpl fld="6" item="2"/>
          <tpl hier="236" item="1"/>
          <tpl fld="4" item="4"/>
        </tpls>
      </m>
      <m>
        <tpls c="6">
          <tpl fld="3" item="0"/>
          <tpl fld="11" item="0"/>
          <tpl fld="6" item="2"/>
          <tpl hier="236" item="1"/>
          <tpl fld="4" item="6"/>
          <tpl fld="10" item="2"/>
        </tpls>
      </m>
      <m>
        <tpls c="4">
          <tpl fld="7" item="47"/>
          <tpl fld="6" item="2"/>
          <tpl hier="236" item="1"/>
          <tpl fld="4" item="6"/>
        </tpls>
      </m>
      <n v="215" in="1">
        <tpls c="6">
          <tpl fld="11" item="0"/>
          <tpl fld="6" item="1"/>
          <tpl fld="8" item="0"/>
          <tpl hier="236" item="1"/>
          <tpl fld="4" item="6"/>
          <tpl fld="10" item="8"/>
        </tpls>
      </n>
      <m>
        <tpls c="4">
          <tpl fld="7" item="339"/>
          <tpl fld="6" item="1"/>
          <tpl hier="236" item="1"/>
          <tpl fld="4" item="4"/>
        </tpls>
      </m>
      <m>
        <tpls c="4">
          <tpl fld="7" item="144"/>
          <tpl fld="6" item="2"/>
          <tpl hier="236" item="1"/>
          <tpl fld="4" item="4"/>
        </tpls>
      </m>
      <n v="12" in="1">
        <tpls c="4">
          <tpl fld="7" item="519"/>
          <tpl fld="6" item="1"/>
          <tpl hier="236" item="1"/>
          <tpl fld="4" item="6"/>
        </tpls>
      </n>
      <m>
        <tpls c="4">
          <tpl fld="7" item="145"/>
          <tpl fld="6" item="2"/>
          <tpl hier="236" item="1"/>
          <tpl fld="4" item="4"/>
        </tpls>
      </m>
      <m>
        <tpls c="4">
          <tpl fld="7" item="378"/>
          <tpl fld="6" item="1"/>
          <tpl hier="236" item="1"/>
          <tpl fld="4" item="6"/>
        </tpls>
      </m>
      <n v="6" in="1">
        <tpls c="4">
          <tpl fld="7" item="880"/>
          <tpl fld="6" item="1"/>
          <tpl hier="236" item="1"/>
          <tpl fld="4" item="6"/>
        </tpls>
      </n>
      <m>
        <tpls c="4">
          <tpl fld="7" item="274"/>
          <tpl fld="6" item="2"/>
          <tpl hier="236" item="1"/>
          <tpl fld="4" item="6"/>
        </tpls>
      </m>
      <m>
        <tpls c="3">
          <tpl fld="7" item="211"/>
          <tpl fld="6" item="3"/>
          <tpl hier="236" item="1"/>
        </tpls>
      </m>
      <n v="6" in="1">
        <tpls c="4">
          <tpl fld="7" item="360"/>
          <tpl fld="6" item="1"/>
          <tpl hier="236" item="1"/>
          <tpl fld="4" item="4"/>
        </tpls>
      </n>
      <m>
        <tpls c="4">
          <tpl fld="7" item="1208"/>
          <tpl fld="6" item="2"/>
          <tpl hier="236" item="1"/>
          <tpl fld="4" item="5"/>
        </tpls>
      </m>
      <m>
        <tpls c="6">
          <tpl fld="11" item="0"/>
          <tpl fld="5" item="1"/>
          <tpl fld="6" item="1"/>
          <tpl hier="236" item="1"/>
          <tpl fld="4" item="7"/>
          <tpl fld="10" item="5"/>
        </tpls>
      </m>
      <n v="6.2" in="2">
        <tpls c="6">
          <tpl fld="11" item="0"/>
          <tpl fld="5" item="5"/>
          <tpl fld="6" item="2"/>
          <tpl hier="236" item="1"/>
          <tpl fld="4" item="7"/>
          <tpl fld="10" item="0"/>
        </tpls>
      </n>
      <n v="3.3599999999999994" in="2">
        <tpls c="5">
          <tpl fld="3" item="2"/>
          <tpl fld="11" item="0"/>
          <tpl fld="6" item="2"/>
          <tpl hier="236" item="1"/>
          <tpl fld="4" item="2"/>
        </tpls>
      </n>
      <m>
        <tpls c="6">
          <tpl fld="11" item="0"/>
          <tpl fld="2" item="3"/>
          <tpl fld="6" item="2"/>
          <tpl hier="236" item="1"/>
          <tpl fld="4" item="7"/>
          <tpl fld="10" item="7"/>
        </tpls>
      </m>
      <n v="12173" in="1">
        <tpls c="5">
          <tpl fld="11" item="0"/>
          <tpl fld="2" item="2"/>
          <tpl fld="6" item="1"/>
          <tpl hier="236" item="1"/>
          <tpl fld="1" item="0"/>
        </tpls>
      </n>
      <n v="240" in="1">
        <tpls c="6">
          <tpl fld="11" item="0"/>
          <tpl fld="6" item="1"/>
          <tpl fld="8" item="1"/>
          <tpl hier="236" item="1"/>
          <tpl fld="4" item="6"/>
          <tpl fld="10" item="5"/>
        </tpls>
      </n>
      <n v="99" in="1">
        <tpls c="6">
          <tpl fld="11" item="0"/>
          <tpl fld="2" item="1"/>
          <tpl fld="6" item="1"/>
          <tpl hier="236" item="1"/>
          <tpl fld="4" item="7"/>
          <tpl fld="10" item="0"/>
        </tpls>
      </n>
      <m>
        <tpls c="4">
          <tpl fld="7" item="224"/>
          <tpl fld="6" item="2"/>
          <tpl hier="236" item="1"/>
          <tpl fld="4" item="6"/>
        </tpls>
      </m>
      <m>
        <tpls c="4">
          <tpl fld="7" item="243"/>
          <tpl fld="6" item="1"/>
          <tpl hier="236" item="1"/>
          <tpl fld="4" item="4"/>
        </tpls>
      </m>
      <m>
        <tpls c="4">
          <tpl fld="7" item="288"/>
          <tpl fld="6" item="1"/>
          <tpl hier="236" item="1"/>
          <tpl fld="4" item="6"/>
        </tpls>
      </m>
      <m>
        <tpls c="3">
          <tpl fld="7" item="140"/>
          <tpl fld="6" item="3"/>
          <tpl hier="236" item="1"/>
        </tpls>
      </m>
      <m>
        <tpls c="4">
          <tpl fld="7" item="110"/>
          <tpl fld="6" item="1"/>
          <tpl hier="236" item="1"/>
          <tpl fld="4" item="5"/>
        </tpls>
      </m>
      <m>
        <tpls c="4">
          <tpl fld="7" item="669"/>
          <tpl fld="6" item="1"/>
          <tpl hier="236" item="1"/>
          <tpl fld="4" item="4"/>
        </tpls>
      </m>
      <m>
        <tpls c="4">
          <tpl fld="7" item="413"/>
          <tpl fld="6" item="1"/>
          <tpl hier="236" item="1"/>
          <tpl fld="4" item="4"/>
        </tpls>
      </m>
      <m>
        <tpls c="4">
          <tpl fld="7" item="247"/>
          <tpl fld="6" item="2"/>
          <tpl hier="236" item="1"/>
          <tpl fld="4" item="4"/>
        </tpls>
      </m>
      <m>
        <tpls c="4">
          <tpl fld="7" item="114"/>
          <tpl fld="6" item="1"/>
          <tpl hier="236" item="1"/>
          <tpl fld="4" item="5"/>
        </tpls>
      </m>
      <m>
        <tpls c="4">
          <tpl fld="7" item="331"/>
          <tpl fld="6" item="1"/>
          <tpl hier="236" item="1"/>
          <tpl fld="4" item="4"/>
        </tpls>
      </m>
      <m>
        <tpls c="4">
          <tpl fld="7" item="754"/>
          <tpl fld="6" item="1"/>
          <tpl hier="236" item="1"/>
          <tpl fld="4" item="4"/>
        </tpls>
      </m>
      <m>
        <tpls c="4">
          <tpl fld="7" item="248"/>
          <tpl fld="6" item="2"/>
          <tpl hier="236" item="1"/>
          <tpl fld="4" item="4"/>
        </tpls>
      </m>
      <m>
        <tpls c="4">
          <tpl fld="7" item="77"/>
          <tpl fld="6" item="1"/>
          <tpl hier="236" item="1"/>
          <tpl fld="4" item="6"/>
        </tpls>
      </m>
      <n v="88.93162162162163" in="2">
        <tpls c="6">
          <tpl fld="3" item="2"/>
          <tpl fld="11" item="0"/>
          <tpl fld="6" item="2"/>
          <tpl hier="236" item="1"/>
          <tpl fld="4" item="1"/>
          <tpl fld="9" item="1"/>
        </tpls>
      </n>
      <m>
        <tpls c="4">
          <tpl fld="7" item="419"/>
          <tpl fld="6" item="1"/>
          <tpl hier="236" item="1"/>
          <tpl fld="4" item="6"/>
        </tpls>
      </m>
      <m>
        <tpls c="4">
          <tpl fld="7" item="408"/>
          <tpl fld="6" item="2"/>
          <tpl hier="236" item="1"/>
          <tpl fld="4" item="4"/>
        </tpls>
      </m>
      <n v="2" in="1">
        <tpls c="4">
          <tpl fld="7" item="491"/>
          <tpl fld="6" item="1"/>
          <tpl hier="236" item="1"/>
          <tpl fld="4" item="4"/>
        </tpls>
      </n>
      <n v="1" in="1">
        <tpls c="4">
          <tpl fld="7" item="508"/>
          <tpl fld="6" item="1"/>
          <tpl hier="236" item="1"/>
          <tpl fld="4" item="6"/>
        </tpls>
      </n>
      <m>
        <tpls c="4">
          <tpl fld="7" item="542"/>
          <tpl fld="6" item="1"/>
          <tpl hier="236" item="1"/>
          <tpl fld="4" item="5"/>
        </tpls>
      </m>
      <m>
        <tpls c="4">
          <tpl fld="7" item="367"/>
          <tpl fld="6" item="1"/>
          <tpl hier="236" item="1"/>
          <tpl fld="4" item="6"/>
        </tpls>
      </m>
      <m>
        <tpls c="4">
          <tpl fld="7" item="112"/>
          <tpl fld="6" item="1"/>
          <tpl hier="236" item="1"/>
          <tpl fld="4" item="4"/>
        </tpls>
      </m>
      <m>
        <tpls c="4">
          <tpl fld="7" item="48"/>
          <tpl fld="6" item="2"/>
          <tpl hier="236" item="1"/>
          <tpl fld="4" item="6"/>
        </tpls>
      </m>
      <m>
        <tpls c="3">
          <tpl fld="7" item="177"/>
          <tpl fld="6" item="3"/>
          <tpl hier="236" item="1"/>
        </tpls>
      </m>
      <m>
        <tpls c="4">
          <tpl fld="7" item="90"/>
          <tpl fld="6" item="2"/>
          <tpl hier="236" item="1"/>
          <tpl fld="4" item="1"/>
        </tpls>
      </m>
      <n v="5.16" in="2">
        <tpls c="6">
          <tpl fld="11" item="0"/>
          <tpl fld="6" item="2"/>
          <tpl fld="8" item="1"/>
          <tpl hier="236" item="1"/>
          <tpl fld="4" item="7"/>
          <tpl fld="10" item="3"/>
        </tpls>
      </n>
      <m>
        <tpls c="4">
          <tpl fld="7" item="34"/>
          <tpl fld="6" item="2"/>
          <tpl hier="236" item="1"/>
          <tpl fld="4" item="4"/>
        </tpls>
      </m>
      <m>
        <tpls c="4">
          <tpl fld="7" item="264"/>
          <tpl fld="6" item="1"/>
          <tpl hier="236" item="1"/>
          <tpl fld="4" item="4"/>
        </tpls>
      </m>
      <m>
        <tpls c="4">
          <tpl fld="7" item="275"/>
          <tpl fld="6" item="2"/>
          <tpl hier="236" item="1"/>
          <tpl fld="4" item="1"/>
        </tpls>
      </m>
      <m>
        <tpls c="4">
          <tpl fld="7" item="187"/>
          <tpl fld="6" item="1"/>
          <tpl hier="236" item="1"/>
          <tpl fld="4" item="6"/>
        </tpls>
      </m>
      <m>
        <tpls c="4">
          <tpl fld="7" item="312"/>
          <tpl fld="6" item="1"/>
          <tpl hier="236" item="1"/>
          <tpl fld="4" item="6"/>
        </tpls>
      </m>
      <m>
        <tpls c="4">
          <tpl fld="7" item="149"/>
          <tpl fld="6" item="1"/>
          <tpl hier="236" item="1"/>
          <tpl fld="4" item="4"/>
        </tpls>
      </m>
      <m>
        <tpls c="4">
          <tpl fld="7" item="489"/>
          <tpl fld="6" item="2"/>
          <tpl hier="236" item="1"/>
          <tpl fld="4" item="1"/>
        </tpls>
      </m>
      <m>
        <tpls c="3">
          <tpl fld="7" item="355"/>
          <tpl fld="6" item="3"/>
          <tpl hier="236" item="1"/>
        </tpls>
      </m>
      <m>
        <tpls c="4">
          <tpl fld="7" item="509"/>
          <tpl fld="6" item="1"/>
          <tpl hier="236" item="1"/>
          <tpl fld="4" item="6"/>
        </tpls>
      </m>
      <m>
        <tpls c="4">
          <tpl fld="7" item="602"/>
          <tpl fld="6" item="2"/>
          <tpl hier="236" item="1"/>
          <tpl fld="4" item="4"/>
        </tpls>
      </m>
      <m>
        <tpls c="4">
          <tpl fld="7" item="684"/>
          <tpl fld="6" item="1"/>
          <tpl hier="236" item="1"/>
          <tpl fld="4" item="1"/>
        </tpls>
      </m>
      <m>
        <tpls c="4">
          <tpl fld="7" item="606"/>
          <tpl fld="6" item="1"/>
          <tpl hier="236" item="1"/>
          <tpl fld="4" item="4"/>
        </tpls>
      </m>
      <n v="3" in="1">
        <tpls c="4">
          <tpl fld="7" item="690"/>
          <tpl fld="6" item="1"/>
          <tpl hier="236" item="1"/>
          <tpl fld="4" item="6"/>
        </tpls>
      </n>
      <m>
        <tpls c="4">
          <tpl fld="7" item="154"/>
          <tpl fld="6" item="2"/>
          <tpl hier="236" item="1"/>
          <tpl fld="4" item="1"/>
        </tpls>
      </m>
      <m>
        <tpls c="4">
          <tpl fld="7" item="348"/>
          <tpl fld="6" item="2"/>
          <tpl hier="236" item="1"/>
          <tpl fld="4" item="1"/>
        </tpls>
      </m>
      <m>
        <tpls c="3">
          <tpl fld="7" item="426"/>
          <tpl fld="6" item="3"/>
          <tpl hier="236" item="1"/>
        </tpls>
      </m>
      <m>
        <tpls c="4">
          <tpl fld="7" item="368"/>
          <tpl fld="6" item="1"/>
          <tpl hier="236" item="1"/>
          <tpl fld="4" item="6"/>
        </tpls>
      </m>
      <m>
        <tpls c="4">
          <tpl fld="7" item="522"/>
          <tpl fld="6" item="2"/>
          <tpl hier="236" item="1"/>
          <tpl fld="4" item="4"/>
        </tpls>
      </m>
      <m>
        <tpls c="3">
          <tpl fld="7" item="531"/>
          <tpl fld="6" item="3"/>
          <tpl hier="236" item="1"/>
        </tpls>
      </m>
      <m>
        <tpls c="6">
          <tpl fld="11" item="0"/>
          <tpl fld="2" item="0"/>
          <tpl fld="6" item="1"/>
          <tpl hier="236" item="1"/>
          <tpl fld="4" item="7"/>
          <tpl fld="10" item="6"/>
        </tpls>
      </m>
      <m>
        <tpls c="4">
          <tpl fld="7" item="1"/>
          <tpl fld="6" item="2"/>
          <tpl hier="236" item="1"/>
          <tpl fld="4" item="1"/>
        </tpls>
      </m>
      <m>
        <tpls c="4">
          <tpl fld="7" item="156"/>
          <tpl fld="6" item="1"/>
          <tpl hier="236" item="1"/>
          <tpl fld="1" item="0"/>
        </tpls>
      </m>
      <m>
        <tpls c="4">
          <tpl fld="7" item="97"/>
          <tpl fld="6" item="1"/>
          <tpl hier="236" item="1"/>
          <tpl fld="4" item="4"/>
        </tpls>
      </m>
      <m>
        <tpls c="4">
          <tpl fld="7" item="591"/>
          <tpl fld="6" item="2"/>
          <tpl hier="236" item="1"/>
          <tpl fld="4" item="6"/>
        </tpls>
      </m>
      <m>
        <tpls c="4">
          <tpl fld="7" item="276"/>
          <tpl fld="6" item="1"/>
          <tpl hier="236" item="1"/>
          <tpl fld="4" item="4"/>
        </tpls>
      </m>
      <m>
        <tpls c="4">
          <tpl fld="7" item="79"/>
          <tpl fld="6" item="1"/>
          <tpl hier="236" item="1"/>
          <tpl fld="4" item="6"/>
        </tpls>
      </m>
      <m>
        <tpls c="4">
          <tpl fld="7" item="201"/>
          <tpl fld="6" item="2"/>
          <tpl hier="236" item="1"/>
          <tpl fld="4" item="4"/>
        </tpls>
      </m>
      <n v="52.324324324324323" in="2">
        <tpls c="6">
          <tpl fld="11" item="0"/>
          <tpl fld="6" item="2"/>
          <tpl fld="8" item="1"/>
          <tpl hier="236" item="1"/>
          <tpl fld="4" item="3"/>
          <tpl fld="10" item="8"/>
        </tpls>
      </n>
      <m>
        <tpls c="4">
          <tpl fld="7" item="245"/>
          <tpl fld="6" item="2"/>
          <tpl hier="236" item="1"/>
          <tpl fld="4" item="1"/>
        </tpls>
      </m>
      <m>
        <tpls c="3">
          <tpl fld="7" item="335"/>
          <tpl fld="6" item="3"/>
          <tpl hier="236" item="1"/>
        </tpls>
      </m>
      <m>
        <tpls c="4">
          <tpl fld="7" item="266"/>
          <tpl fld="6" item="2"/>
          <tpl hier="236" item="1"/>
          <tpl fld="4" item="4"/>
        </tpls>
      </m>
      <m>
        <tpls c="4">
          <tpl fld="7" item="274"/>
          <tpl fld="6" item="1"/>
          <tpl hier="236" item="1"/>
          <tpl fld="1" item="0"/>
        </tpls>
      </m>
      <m>
        <tpls c="4">
          <tpl fld="7" item="74"/>
          <tpl fld="6" item="1"/>
          <tpl hier="236" item="1"/>
          <tpl fld="4" item="4"/>
        </tpls>
      </m>
      <m>
        <tpls c="4">
          <tpl fld="7" item="417"/>
          <tpl fld="6" item="1"/>
          <tpl hier="236" item="1"/>
          <tpl fld="4" item="4"/>
        </tpls>
      </m>
      <m>
        <tpls c="4">
          <tpl fld="7" item="207"/>
          <tpl fld="6" item="2"/>
          <tpl hier="236" item="1"/>
          <tpl fld="4" item="1"/>
        </tpls>
      </m>
      <m>
        <tpls c="3">
          <tpl fld="7" item="255"/>
          <tpl fld="6" item="3"/>
          <tpl hier="236" item="1"/>
        </tpls>
      </m>
      <m>
        <tpls c="4">
          <tpl fld="7" item="84"/>
          <tpl fld="6" item="2"/>
          <tpl hier="236" item="1"/>
          <tpl fld="4" item="1"/>
        </tpls>
      </m>
      <n v="8" in="1">
        <tpls c="4">
          <tpl fld="7" item="494"/>
          <tpl fld="6" item="1"/>
          <tpl hier="236" item="1"/>
          <tpl fld="4" item="6"/>
        </tpls>
      </n>
      <n v="0.96" in="2">
        <tpls c="4">
          <tpl fld="7" item="678"/>
          <tpl fld="6" item="2"/>
          <tpl hier="236" item="1"/>
          <tpl fld="4" item="4"/>
        </tpls>
      </n>
      <n v="12" in="1">
        <tpls c="4">
          <tpl fld="7" item="763"/>
          <tpl fld="6" item="1"/>
          <tpl hier="236" item="1"/>
          <tpl fld="4" item="4"/>
        </tpls>
      </n>
      <m>
        <tpls c="4">
          <tpl fld="7" item="604"/>
          <tpl fld="6" item="1"/>
          <tpl hier="236" item="1"/>
          <tpl fld="4" item="1"/>
        </tpls>
      </m>
      <n v="7" in="1">
        <tpls c="4">
          <tpl fld="7" item="767"/>
          <tpl fld="6" item="1"/>
          <tpl hier="236" item="1"/>
          <tpl fld="4" item="4"/>
        </tpls>
      </n>
      <m>
        <tpls c="4">
          <tpl fld="7" item="771"/>
          <tpl fld="6" item="1"/>
          <tpl hier="236" item="1"/>
          <tpl fld="4" item="6"/>
        </tpls>
      </m>
      <m>
        <tpls c="3">
          <tpl fld="7" item="256"/>
          <tpl fld="6" item="3"/>
          <tpl hier="236" item="1"/>
        </tpls>
      </m>
      <m>
        <tpls c="4">
          <tpl fld="7" item="301"/>
          <tpl fld="6" item="1"/>
          <tpl hier="236" item="1"/>
          <tpl fld="4" item="4"/>
        </tpls>
      </m>
      <n v="13" in="1">
        <tpls c="4">
          <tpl fld="7" item="353"/>
          <tpl fld="6" item="1"/>
          <tpl hier="236" item="1"/>
          <tpl fld="4" item="6"/>
        </tpls>
      </n>
      <m>
        <tpls c="4">
          <tpl fld="7" item="507"/>
          <tpl fld="6" item="2"/>
          <tpl hier="236" item="1"/>
          <tpl fld="4" item="4"/>
        </tpls>
      </m>
      <n v="13" in="1">
        <tpls c="4">
          <tpl fld="7" item="520"/>
          <tpl fld="6" item="1"/>
          <tpl hier="236" item="1"/>
          <tpl fld="4" item="4"/>
        </tpls>
      </n>
      <m>
        <tpls c="3">
          <tpl fld="7" item="530"/>
          <tpl fld="6" item="3"/>
          <tpl hier="236" item="1"/>
        </tpls>
      </m>
      <n v="0" in="1">
        <tpls c="4">
          <tpl fld="7" item="767"/>
          <tpl fld="6" item="1"/>
          <tpl hier="236" item="1"/>
          <tpl fld="4" item="5"/>
        </tpls>
      </n>
      <m>
        <tpls c="4">
          <tpl fld="7" item="225"/>
          <tpl fld="6" item="2"/>
          <tpl hier="236" item="1"/>
          <tpl fld="4" item="1"/>
        </tpls>
      </m>
      <n v="89.802162162162176" in="2">
        <tpls c="5">
          <tpl fld="11" item="0"/>
          <tpl fld="6" item="2"/>
          <tpl hier="236" item="1"/>
          <tpl fld="4" item="6"/>
          <tpl fld="10" item="8"/>
        </tpls>
      </n>
      <m>
        <tpls c="4">
          <tpl fld="7" item="57"/>
          <tpl fld="6" item="2"/>
          <tpl hier="236" item="1"/>
          <tpl fld="4" item="6"/>
        </tpls>
      </m>
      <m>
        <tpls c="4">
          <tpl fld="7" item="135"/>
          <tpl fld="6" item="1"/>
          <tpl hier="236" item="1"/>
          <tpl fld="4" item="6"/>
        </tpls>
      </m>
      <m>
        <tpls c="3">
          <tpl fld="7" item="484"/>
          <tpl fld="6" item="3"/>
          <tpl hier="236" item="1"/>
        </tpls>
      </m>
      <m>
        <tpls c="4">
          <tpl fld="7" item="186"/>
          <tpl fld="6" item="2"/>
          <tpl hier="236" item="1"/>
          <tpl fld="4" item="4"/>
        </tpls>
      </m>
      <m>
        <tpls c="3">
          <tpl fld="7" item="388"/>
          <tpl fld="6" item="3"/>
          <tpl hier="236" item="1"/>
        </tpls>
      </m>
      <m>
        <tpls c="4">
          <tpl fld="7" item="187"/>
          <tpl fld="6" item="2"/>
          <tpl hier="236" item="1"/>
          <tpl fld="4" item="4"/>
        </tpls>
      </m>
      <m>
        <tpls c="4">
          <tpl fld="7" item="388"/>
          <tpl fld="6" item="2"/>
          <tpl hier="236" item="1"/>
          <tpl fld="4" item="6"/>
        </tpls>
      </m>
      <n v="9.6248648648648647" in="2">
        <tpls c="6">
          <tpl fld="11" item="0"/>
          <tpl fld="6" item="2"/>
          <tpl fld="8" item="0"/>
          <tpl hier="236" item="1"/>
          <tpl fld="4" item="6"/>
          <tpl fld="10" item="3"/>
        </tpls>
      </n>
      <m>
        <tpls c="4">
          <tpl fld="7" item="181"/>
          <tpl fld="6" item="1"/>
          <tpl hier="236" item="1"/>
          <tpl fld="4" item="4"/>
        </tpls>
      </m>
      <n v="2" in="2">
        <tpls c="4">
          <tpl fld="7" item="214"/>
          <tpl fld="6" item="2"/>
          <tpl hier="236" item="1"/>
          <tpl fld="4" item="4"/>
        </tpls>
      </n>
      <n v="13" in="1">
        <tpls c="4">
          <tpl fld="7" item="363"/>
          <tpl fld="6" item="1"/>
          <tpl hier="236" item="1"/>
          <tpl fld="4" item="4"/>
        </tpls>
      </n>
      <n v="3.72" in="2">
        <tpls c="4">
          <tpl fld="7" item="517"/>
          <tpl fld="6" item="2"/>
          <tpl hier="236" item="1"/>
          <tpl fld="4" item="1"/>
        </tpls>
      </n>
      <m>
        <tpls c="4">
          <tpl fld="7" item="458"/>
          <tpl fld="6" item="2"/>
          <tpl hier="236" item="1"/>
          <tpl fld="4" item="5"/>
        </tpls>
      </m>
      <m>
        <tpls c="4">
          <tpl fld="7" item="464"/>
          <tpl fld="6" item="2"/>
          <tpl hier="236" item="1"/>
          <tpl fld="4" item="1"/>
        </tpls>
      </m>
      <m>
        <tpls c="4">
          <tpl fld="7" item="770"/>
          <tpl fld="6" item="2"/>
          <tpl hier="236" item="1"/>
          <tpl fld="4" item="4"/>
        </tpls>
      </m>
      <n v="1" in="2">
        <tpls c="4">
          <tpl fld="7" item="546"/>
          <tpl fld="6" item="2"/>
          <tpl hier="236" item="1"/>
          <tpl fld="4" item="6"/>
        </tpls>
      </n>
      <n v="1" in="1">
        <tpls c="4">
          <tpl fld="7" item="1084"/>
          <tpl fld="6" item="1"/>
          <tpl hier="236" item="1"/>
          <tpl fld="4" item="6"/>
        </tpls>
      </n>
      <m>
        <tpls c="4">
          <tpl fld="7" item="770"/>
          <tpl fld="6" item="2"/>
          <tpl hier="236" item="1"/>
          <tpl fld="4" item="1"/>
        </tpls>
      </m>
      <n v="0.8" in="2">
        <tpls c="4">
          <tpl fld="7" item="1238"/>
          <tpl fld="6" item="2"/>
          <tpl hier="236" item="1"/>
          <tpl fld="4" item="6"/>
        </tpls>
      </n>
      <m>
        <tpls c="4">
          <tpl fld="7" item="619"/>
          <tpl fld="6" item="2"/>
          <tpl hier="236" item="1"/>
          <tpl fld="1" item="0"/>
        </tpls>
      </m>
      <m>
        <tpls c="3">
          <tpl fld="7" item="785"/>
          <tpl fld="6" item="3"/>
          <tpl hier="236" item="1"/>
        </tpls>
      </m>
      <m>
        <tpls c="4">
          <tpl fld="7" item="708"/>
          <tpl fld="6" item="2"/>
          <tpl hier="236" item="1"/>
          <tpl fld="4" item="6"/>
        </tpls>
      </m>
      <m>
        <tpls c="4">
          <tpl fld="7" item="795"/>
          <tpl fld="6" item="1"/>
          <tpl hier="236" item="1"/>
          <tpl fld="4" item="4"/>
        </tpls>
      </m>
      <m>
        <tpls c="4">
          <tpl fld="7" item="1094"/>
          <tpl fld="6" item="1"/>
          <tpl hier="236" item="1"/>
          <tpl fld="4" item="6"/>
        </tpls>
      </m>
      <m>
        <tpls c="4">
          <tpl fld="7" item="597"/>
          <tpl fld="6" item="1"/>
          <tpl hier="236" item="1"/>
          <tpl fld="4" item="6"/>
        </tpls>
      </m>
      <m>
        <tpls c="4">
          <tpl fld="7" item="880"/>
          <tpl fld="6" item="2"/>
          <tpl hier="236" item="1"/>
          <tpl fld="4" item="1"/>
        </tpls>
      </m>
      <n v="1" in="1">
        <tpls c="4">
          <tpl fld="7" item="776"/>
          <tpl fld="6" item="1"/>
          <tpl hier="236" item="1"/>
          <tpl fld="4" item="6"/>
        </tpls>
      </n>
      <m>
        <tpls c="4">
          <tpl fld="7" item="554"/>
          <tpl fld="6" item="1"/>
          <tpl hier="236" item="1"/>
          <tpl fld="1" item="0"/>
        </tpls>
      </m>
      <m>
        <tpls c="4">
          <tpl fld="7" item="703"/>
          <tpl fld="6" item="2"/>
          <tpl hier="236" item="1"/>
          <tpl fld="4" item="5"/>
        </tpls>
      </m>
      <n v="1" in="1">
        <tpls c="4">
          <tpl fld="7" item="566"/>
          <tpl fld="6" item="1"/>
          <tpl hier="236" item="1"/>
          <tpl fld="4" item="1"/>
        </tpls>
      </n>
      <n v="0" in="2">
        <tpls c="4">
          <tpl fld="7" item="573"/>
          <tpl fld="6" item="2"/>
          <tpl hier="236" item="1"/>
          <tpl fld="4" item="6"/>
        </tpls>
      </n>
      <m>
        <tpls c="4">
          <tpl fld="7" item="129"/>
          <tpl fld="6" item="2"/>
          <tpl hier="236" item="1"/>
          <tpl fld="4" item="1"/>
        </tpls>
      </m>
      <m>
        <tpls c="4">
          <tpl fld="7" item="341"/>
          <tpl fld="6" item="2"/>
          <tpl hier="236" item="1"/>
          <tpl fld="4" item="1"/>
        </tpls>
      </m>
      <m>
        <tpls c="4">
          <tpl fld="7" item="139"/>
          <tpl fld="6" item="1"/>
          <tpl hier="236" item="1"/>
          <tpl fld="4" item="6"/>
        </tpls>
      </m>
      <m>
        <tpls c="3">
          <tpl fld="7" item="485"/>
          <tpl fld="6" item="3"/>
          <tpl hier="236" item="1"/>
        </tpls>
      </m>
      <m>
        <tpls c="4">
          <tpl fld="7" item="94"/>
          <tpl fld="6" item="1"/>
          <tpl hier="236" item="1"/>
          <tpl fld="4" item="6"/>
        </tpls>
      </m>
      <m>
        <tpls c="4">
          <tpl fld="7" item="531"/>
          <tpl fld="6" item="1"/>
          <tpl hier="236" item="1"/>
          <tpl fld="4" item="5"/>
        </tpls>
      </m>
      <m>
        <tpls c="4">
          <tpl fld="7" item="95"/>
          <tpl fld="6" item="1"/>
          <tpl hier="236" item="1"/>
          <tpl fld="4" item="6"/>
        </tpls>
      </m>
      <m>
        <tpls c="4">
          <tpl fld="7" item="531"/>
          <tpl fld="6" item="2"/>
          <tpl hier="236" item="1"/>
          <tpl fld="1" item="0"/>
        </tpls>
      </m>
      <m>
        <tpls c="4">
          <tpl fld="7" item="118"/>
          <tpl fld="6" item="2"/>
          <tpl hier="236" item="1"/>
          <tpl fld="4" item="6"/>
        </tpls>
      </m>
      <n v="0" in="1">
        <tpls c="4">
          <tpl fld="7" item="185"/>
          <tpl fld="6" item="1"/>
          <tpl hier="236" item="1"/>
          <tpl fld="4" item="4"/>
        </tpls>
      </n>
      <n v="13.229729729729732" in="2">
        <tpls c="4">
          <tpl fld="7" item="215"/>
          <tpl fld="6" item="2"/>
          <tpl hier="236" item="1"/>
          <tpl fld="4" item="4"/>
        </tpls>
      </n>
      <m>
        <tpls c="4">
          <tpl fld="7" item="364"/>
          <tpl fld="6" item="1"/>
          <tpl hier="236" item="1"/>
          <tpl fld="4" item="4"/>
        </tpls>
      </m>
      <n v="1014" in="1">
        <tpls c="6">
          <tpl fld="11" item="0"/>
          <tpl fld="5" item="0"/>
          <tpl fld="6" item="1"/>
          <tpl hier="236" item="1"/>
          <tpl fld="4" item="6"/>
          <tpl fld="10" item="7"/>
        </tpls>
      </n>
      <n v="598.03427027027021" in="2">
        <tpls c="5">
          <tpl fld="11" item="0"/>
          <tpl fld="2" item="1"/>
          <tpl fld="6" item="2"/>
          <tpl hier="236" item="1"/>
          <tpl fld="1" item="0"/>
        </tpls>
      </n>
      <m>
        <tpls c="6">
          <tpl fld="3" item="0"/>
          <tpl fld="11" item="0"/>
          <tpl fld="6" item="1"/>
          <tpl hier="236" item="1"/>
          <tpl fld="4" item="4"/>
          <tpl fld="10" item="6"/>
        </tpls>
      </m>
      <m>
        <tpls c="4">
          <tpl fld="7" item="947"/>
          <tpl fld="6" item="1"/>
          <tpl hier="236" item="1"/>
          <tpl fld="4" item="5"/>
        </tpls>
      </m>
      <n v="12.321621621621622" in="2">
        <tpls c="6">
          <tpl fld="11" item="0"/>
          <tpl fld="2" item="2"/>
          <tpl fld="6" item="2"/>
          <tpl hier="236" item="1"/>
          <tpl fld="4" item="1"/>
          <tpl fld="9" item="2"/>
        </tpls>
      </n>
      <m>
        <tpls c="4">
          <tpl fld="7" item="109"/>
          <tpl fld="6" item="1"/>
          <tpl hier="236" item="1"/>
          <tpl fld="4" item="5"/>
        </tpls>
      </m>
      <n v="4.2464864864864866" in="2">
        <tpls c="5">
          <tpl fld="3" item="1"/>
          <tpl fld="11" item="0"/>
          <tpl fld="6" item="2"/>
          <tpl hier="236" item="1"/>
          <tpl fld="4" item="2"/>
        </tpls>
      </n>
      <n v="21.045945945945945" in="2">
        <tpls c="6">
          <tpl fld="11" item="0"/>
          <tpl fld="5" item="2"/>
          <tpl fld="6" item="2"/>
          <tpl hier="236" item="1"/>
          <tpl fld="4" item="1"/>
          <tpl fld="9" item="1"/>
        </tpls>
      </n>
      <n v="8.7827027027027018" in="2">
        <tpls c="6">
          <tpl fld="11" item="0"/>
          <tpl fld="6" item="2"/>
          <tpl fld="8" item="1"/>
          <tpl hier="236" item="1"/>
          <tpl fld="4" item="6"/>
          <tpl fld="10" item="3"/>
        </tpls>
      </n>
      <m>
        <tpls c="3">
          <tpl fld="7" item="477"/>
          <tpl fld="6" item="3"/>
          <tpl hier="236" item="1"/>
        </tpls>
      </m>
      <m>
        <tpls c="4">
          <tpl fld="7" item="307"/>
          <tpl fld="6" item="2"/>
          <tpl hier="236" item="1"/>
          <tpl fld="4" item="1"/>
        </tpls>
      </m>
      <m>
        <tpls c="4">
          <tpl fld="7" item="1159"/>
          <tpl fld="6" item="1"/>
          <tpl hier="236" item="1"/>
          <tpl fld="4" item="6"/>
        </tpls>
      </m>
      <n v="4.84" in="2">
        <tpls c="6">
          <tpl fld="11" item="0"/>
          <tpl fld="6" item="2"/>
          <tpl fld="8" item="1"/>
          <tpl hier="236" item="1"/>
          <tpl fld="4" item="4"/>
          <tpl fld="10" item="1"/>
        </tpls>
      </n>
      <m>
        <tpls c="4">
          <tpl fld="7" item="1185"/>
          <tpl fld="6" item="1"/>
          <tpl hier="236" item="1"/>
          <tpl fld="1" item="0"/>
        </tpls>
      </m>
      <m>
        <tpls c="4">
          <tpl fld="7" item="197"/>
          <tpl fld="6" item="1"/>
          <tpl hier="236" item="1"/>
          <tpl fld="4" item="6"/>
        </tpls>
      </m>
      <n v="11.4" in="2">
        <tpls c="6">
          <tpl fld="11" item="0"/>
          <tpl fld="5" item="5"/>
          <tpl fld="6" item="2"/>
          <tpl hier="236" item="1"/>
          <tpl fld="4" item="3"/>
          <tpl fld="10" item="0"/>
        </tpls>
      </n>
      <n v="100.80124324324322" in="2">
        <tpls c="5">
          <tpl fld="11" item="0"/>
          <tpl fld="6" item="2"/>
          <tpl hier="236" item="1"/>
          <tpl fld="4" item="6"/>
          <tpl fld="10" item="0"/>
        </tpls>
      </n>
      <m>
        <tpls c="3">
          <tpl fld="7" item="152"/>
          <tpl fld="6" item="3"/>
          <tpl hier="236" item="1"/>
        </tpls>
      </m>
      <m>
        <tpls c="4">
          <tpl fld="7" item="198"/>
          <tpl fld="6" item="1"/>
          <tpl hier="236" item="1"/>
          <tpl fld="4" item="6"/>
        </tpls>
      </m>
      <m>
        <tpls c="4">
          <tpl fld="7" item="264"/>
          <tpl fld="6" item="1"/>
          <tpl hier="236" item="1"/>
          <tpl fld="4" item="6"/>
        </tpls>
      </m>
      <n v="427" in="1">
        <tpls c="6">
          <tpl fld="11" item="0"/>
          <tpl fld="2" item="2"/>
          <tpl fld="6" item="1"/>
          <tpl hier="236" item="1"/>
          <tpl fld="4" item="4"/>
          <tpl fld="10" item="2"/>
        </tpls>
      </n>
      <m>
        <tpls c="4">
          <tpl fld="7" item="54"/>
          <tpl fld="6" item="1"/>
          <tpl hier="236" item="1"/>
          <tpl fld="4" item="6"/>
        </tpls>
      </m>
      <m>
        <tpls c="4">
          <tpl fld="7" item="12"/>
          <tpl fld="6" item="2"/>
          <tpl hier="236" item="1"/>
          <tpl fld="4" item="1"/>
        </tpls>
      </m>
      <m>
        <tpls c="4">
          <tpl fld="7" item="285"/>
          <tpl fld="6" item="2"/>
          <tpl hier="236" item="1"/>
          <tpl fld="4" item="1"/>
        </tpls>
      </m>
      <m>
        <tpls c="4">
          <tpl fld="7" item="411"/>
          <tpl fld="6" item="1"/>
          <tpl hier="236" item="1"/>
          <tpl fld="4" item="4"/>
        </tpls>
      </m>
      <m>
        <tpls c="3">
          <tpl fld="7" item="386"/>
          <tpl fld="6" item="3"/>
          <tpl hier="236" item="1"/>
        </tpls>
      </m>
      <m>
        <tpls c="4">
          <tpl fld="7" item="172"/>
          <tpl fld="6" item="1"/>
          <tpl hier="236" item="1"/>
          <tpl fld="4" item="4"/>
        </tpls>
      </m>
      <m>
        <tpls c="3">
          <tpl fld="7" item="457"/>
          <tpl fld="6" item="3"/>
          <tpl hier="236" item="1"/>
        </tpls>
      </m>
      <m>
        <tpls c="3">
          <tpl fld="7" item="74"/>
          <tpl fld="6" item="3"/>
          <tpl hier="236" item="1"/>
        </tpls>
      </m>
      <m>
        <tpls c="4">
          <tpl fld="7" item="338"/>
          <tpl fld="6" item="1"/>
          <tpl hier="236" item="1"/>
          <tpl fld="4" item="6"/>
        </tpls>
      </m>
      <m>
        <tpls c="4">
          <tpl fld="7" item="294"/>
          <tpl fld="6" item="1"/>
          <tpl hier="236" item="1"/>
          <tpl fld="4" item="4"/>
        </tpls>
      </m>
      <m>
        <tpls c="4">
          <tpl fld="7" item="204"/>
          <tpl fld="6" item="2"/>
          <tpl hier="236" item="1"/>
          <tpl fld="4" item="4"/>
        </tpls>
      </m>
      <m>
        <tpls c="4">
          <tpl fld="7" item="226"/>
          <tpl fld="6" item="1"/>
          <tpl hier="236" item="1"/>
          <tpl fld="1" item="0"/>
        </tpls>
      </m>
      <m>
        <tpls c="3">
          <tpl fld="7" item="476"/>
          <tpl fld="6" item="3"/>
          <tpl hier="236" item="1"/>
        </tpls>
      </m>
      <m>
        <tpls c="4">
          <tpl fld="7" item="268"/>
          <tpl fld="6" item="1"/>
          <tpl hier="236" item="1"/>
          <tpl fld="4" item="4"/>
        </tpls>
      </m>
      <m>
        <tpls c="4">
          <tpl fld="7" item="68"/>
          <tpl fld="6" item="2"/>
          <tpl hier="236" item="1"/>
          <tpl fld="4" item="4"/>
        </tpls>
      </m>
      <m>
        <tpls c="4">
          <tpl fld="7" item="346"/>
          <tpl fld="6" item="1"/>
          <tpl hier="236" item="1"/>
          <tpl fld="4" item="4"/>
        </tpls>
      </m>
      <m>
        <tpls c="4">
          <tpl fld="7" item="210"/>
          <tpl fld="6" item="2"/>
          <tpl hier="236" item="1"/>
          <tpl fld="4" item="1"/>
        </tpls>
      </m>
      <m>
        <tpls c="4">
          <tpl fld="7" item="339"/>
          <tpl fld="6" item="1"/>
          <tpl hier="236" item="1"/>
          <tpl fld="4" item="5"/>
        </tpls>
      </m>
      <m>
        <tpls c="4">
          <tpl fld="7" item="103"/>
          <tpl fld="6" item="2"/>
          <tpl hier="236" item="1"/>
          <tpl fld="4" item="4"/>
        </tpls>
      </m>
      <n v="2" in="1">
        <tpls c="4">
          <tpl fld="7" item="501"/>
          <tpl fld="6" item="1"/>
          <tpl hier="236" item="1"/>
          <tpl fld="4" item="6"/>
        </tpls>
      </n>
      <n v="1" in="2">
        <tpls c="4">
          <tpl fld="7" item="600"/>
          <tpl fld="6" item="2"/>
          <tpl hier="236" item="1"/>
          <tpl fld="4" item="4"/>
        </tpls>
      </n>
      <n v="16" in="1">
        <tpls c="4">
          <tpl fld="7" item="683"/>
          <tpl fld="6" item="1"/>
          <tpl hier="236" item="1"/>
          <tpl fld="4" item="4"/>
        </tpls>
      </n>
      <m>
        <tpls c="4">
          <tpl fld="7" item="533"/>
          <tpl fld="6" item="1"/>
          <tpl hier="236" item="1"/>
          <tpl fld="4" item="5"/>
        </tpls>
      </m>
      <m>
        <tpls c="4">
          <tpl fld="7" item="769"/>
          <tpl fld="6" item="1"/>
          <tpl hier="236" item="1"/>
          <tpl fld="4" item="1"/>
        </tpls>
      </m>
      <n v="1065" in="1">
        <tpls c="5">
          <tpl fld="11" item="0"/>
          <tpl fld="6" item="1"/>
          <tpl hier="236" item="1"/>
          <tpl fld="4" item="7"/>
          <tpl fld="10" item="3"/>
        </tpls>
      </n>
      <m>
        <tpls c="4">
          <tpl fld="7" item="59"/>
          <tpl fld="6" item="1"/>
          <tpl hier="236" item="1"/>
          <tpl fld="4" item="4"/>
        </tpls>
      </m>
      <n v="0.4" in="2">
        <tpls c="4">
          <tpl fld="7" item="756"/>
          <tpl fld="6" item="2"/>
          <tpl hier="236" item="1"/>
          <tpl fld="4" item="1"/>
        </tpls>
      </n>
      <n v="1" in="1">
        <tpls c="4">
          <tpl fld="7" item="360"/>
          <tpl fld="6" item="1"/>
          <tpl hier="236" item="1"/>
          <tpl fld="4" item="6"/>
        </tpls>
      </n>
      <m>
        <tpls c="4">
          <tpl fld="7" item="514"/>
          <tpl fld="6" item="2"/>
          <tpl hier="236" item="1"/>
          <tpl fld="4" item="4"/>
        </tpls>
      </m>
      <n v="9" in="1">
        <tpls c="4">
          <tpl fld="7" item="527"/>
          <tpl fld="6" item="1"/>
          <tpl hier="236" item="1"/>
          <tpl fld="4" item="4"/>
        </tpls>
      </n>
      <m>
        <tpls c="4">
          <tpl fld="7" item="533"/>
          <tpl fld="6" item="2"/>
          <tpl hier="236" item="1"/>
          <tpl fld="1" item="0"/>
        </tpls>
      </m>
      <m>
        <tpls c="6">
          <tpl fld="3" item="1"/>
          <tpl fld="11" item="0"/>
          <tpl fld="6" item="2"/>
          <tpl hier="236" item="1"/>
          <tpl fld="4" item="7"/>
          <tpl fld="10" item="4"/>
        </tpls>
      </m>
      <m>
        <tpls c="4">
          <tpl fld="7" item="0"/>
          <tpl fld="6" item="1"/>
          <tpl hier="236" item="1"/>
          <tpl fld="4" item="5"/>
        </tpls>
      </m>
      <m>
        <tpls c="4">
          <tpl fld="7" item="173"/>
          <tpl fld="6" item="2"/>
          <tpl hier="236" item="1"/>
          <tpl fld="4" item="1"/>
        </tpls>
      </m>
      <m>
        <tpls c="4">
          <tpl fld="7" item="239"/>
          <tpl fld="6" item="1"/>
          <tpl hier="236" item="1"/>
          <tpl fld="4" item="4"/>
        </tpls>
      </m>
      <m>
        <tpls c="4">
          <tpl fld="7" item="671"/>
          <tpl fld="6" item="2"/>
          <tpl hier="236" item="1"/>
          <tpl fld="4" item="6"/>
        </tpls>
      </m>
      <m>
        <tpls c="4">
          <tpl fld="7" item="483"/>
          <tpl fld="6" item="2"/>
          <tpl hier="236" item="1"/>
          <tpl fld="4" item="1"/>
        </tpls>
      </m>
      <m>
        <tpls c="4">
          <tpl fld="7" item="193"/>
          <tpl fld="6" item="1"/>
          <tpl hier="236" item="1"/>
          <tpl fld="4" item="4"/>
        </tpls>
      </m>
      <m>
        <tpls c="4">
          <tpl fld="7" item="206"/>
          <tpl fld="6" item="1"/>
          <tpl hier="236" item="1"/>
          <tpl fld="4" item="4"/>
        </tpls>
      </m>
      <m>
        <tpls c="4">
          <tpl fld="7" item="326"/>
          <tpl fld="6" item="1"/>
          <tpl hier="236" item="1"/>
          <tpl fld="4" item="4"/>
        </tpls>
      </m>
      <m>
        <tpls c="3">
          <tpl fld="7" item="333"/>
          <tpl fld="6" item="3"/>
          <tpl hier="236" item="1"/>
        </tpls>
      </m>
      <m>
        <tpls c="4">
          <tpl fld="7" item="261"/>
          <tpl fld="6" item="2"/>
          <tpl hier="236" item="1"/>
          <tpl fld="4" item="4"/>
        </tpls>
      </m>
      <m>
        <tpls c="4">
          <tpl fld="7" item="269"/>
          <tpl fld="6" item="2"/>
          <tpl hier="236" item="1"/>
          <tpl fld="4" item="4"/>
        </tpls>
      </m>
      <m>
        <tpls c="4">
          <tpl fld="7" item="66"/>
          <tpl fld="6" item="1"/>
          <tpl hier="236" item="1"/>
          <tpl fld="4" item="4"/>
        </tpls>
      </m>
      <m>
        <tpls c="4">
          <tpl fld="7" item="295"/>
          <tpl fld="6" item="2"/>
          <tpl hier="236" item="1"/>
          <tpl fld="4" item="1"/>
        </tpls>
      </m>
      <m>
        <tpls c="4">
          <tpl fld="7" item="199"/>
          <tpl fld="6" item="2"/>
          <tpl hier="236" item="1"/>
          <tpl fld="4" item="1"/>
        </tpls>
      </m>
      <m>
        <tpls c="3">
          <tpl fld="7" item="104"/>
          <tpl fld="6" item="3"/>
          <tpl hier="236" item="1"/>
        </tpls>
      </m>
      <m>
        <tpls c="4">
          <tpl fld="7" item="52"/>
          <tpl fld="6" item="1"/>
          <tpl hier="236" item="1"/>
          <tpl fld="4" item="5"/>
        </tpls>
      </m>
      <n v="3" in="1">
        <tpls c="4">
          <tpl fld="7" item="208"/>
          <tpl fld="6" item="1"/>
          <tpl hier="236" item="1"/>
          <tpl fld="4" item="4"/>
        </tpls>
      </n>
      <m>
        <tpls c="4">
          <tpl fld="7" item="676"/>
          <tpl fld="6" item="2"/>
          <tpl hier="236" item="1"/>
          <tpl fld="4" item="4"/>
        </tpls>
      </m>
      <n v="4" in="1">
        <tpls c="4">
          <tpl fld="7" item="761"/>
          <tpl fld="6" item="1"/>
          <tpl hier="236" item="1"/>
          <tpl fld="4" item="4"/>
        </tpls>
      </n>
      <m>
        <tpls c="4">
          <tpl fld="7" item="454"/>
          <tpl fld="6" item="2"/>
          <tpl hier="236" item="1"/>
          <tpl fld="4" item="1"/>
        </tpls>
      </m>
      <m>
        <tpls c="4">
          <tpl fld="7" item="532"/>
          <tpl fld="6" item="1"/>
          <tpl hier="236" item="1"/>
          <tpl fld="4" item="5"/>
        </tpls>
      </m>
      <n v="2" in="1">
        <tpls c="4">
          <tpl fld="7" item="1186"/>
          <tpl fld="6" item="1"/>
          <tpl hier="236" item="1"/>
          <tpl fld="4" item="1"/>
        </tpls>
      </n>
      <m>
        <tpls c="4">
          <tpl fld="7" item="691"/>
          <tpl fld="6" item="1"/>
          <tpl hier="236" item="1"/>
          <tpl fld="4" item="4"/>
        </tpls>
      </m>
      <m>
        <tpls c="4">
          <tpl fld="7" item="269"/>
          <tpl fld="6" item="2"/>
          <tpl hier="236" item="1"/>
          <tpl fld="4" item="1"/>
        </tpls>
      </m>
      <m>
        <tpls c="3">
          <tpl fld="7" item="491"/>
          <tpl fld="6" item="3"/>
          <tpl hier="236" item="1"/>
        </tpls>
      </m>
      <n v="0.95200000000000007" in="2">
        <tpls c="4">
          <tpl fld="7" item="499"/>
          <tpl fld="6" item="2"/>
          <tpl hier="236" item="1"/>
          <tpl fld="4" item="4"/>
        </tpls>
      </n>
      <n v="3" in="1">
        <tpls c="4">
          <tpl fld="7" item="512"/>
          <tpl fld="6" item="1"/>
          <tpl hier="236" item="1"/>
          <tpl fld="4" item="4"/>
        </tpls>
      </n>
      <m>
        <tpls c="4">
          <tpl fld="7" item="1263"/>
          <tpl fld="6" item="2"/>
          <tpl hier="236" item="1"/>
          <tpl fld="4" item="1"/>
        </tpls>
      </m>
      <n v="0.71621621621621623" in="2">
        <tpls c="4">
          <tpl fld="7" item="532"/>
          <tpl fld="6" item="2"/>
          <tpl hier="236" item="1"/>
          <tpl fld="1" item="0"/>
        </tpls>
      </n>
      <m>
        <tpls c="4">
          <tpl fld="7" item="606"/>
          <tpl fld="6" item="2"/>
          <tpl hier="236" item="1"/>
          <tpl fld="4" item="5"/>
        </tpls>
      </m>
      <m>
        <tpls c="4">
          <tpl fld="7" item="295"/>
          <tpl fld="6" item="1"/>
          <tpl hier="236" item="1"/>
          <tpl fld="4" item="6"/>
        </tpls>
      </m>
      <m>
        <tpls c="4">
          <tpl fld="7" item="15"/>
          <tpl fld="6" item="2"/>
          <tpl hier="236" item="1"/>
          <tpl fld="4" item="1"/>
        </tpls>
      </m>
      <m>
        <tpls c="4">
          <tpl fld="7" item="177"/>
          <tpl fld="6" item="1"/>
          <tpl hier="236" item="1"/>
          <tpl fld="4" item="6"/>
        </tpls>
      </m>
      <m>
        <tpls c="4">
          <tpl fld="7" item="341"/>
          <tpl fld="6" item="1"/>
          <tpl hier="236" item="1"/>
          <tpl fld="4" item="6"/>
        </tpls>
      </m>
      <m>
        <tpls c="4">
          <tpl fld="7" item="765"/>
          <tpl fld="6" item="2"/>
          <tpl hier="236" item="1"/>
          <tpl fld="4" item="6"/>
        </tpls>
      </m>
      <m>
        <tpls c="4">
          <tpl fld="7" item="412"/>
          <tpl fld="6" item="1"/>
          <tpl hier="236" item="1"/>
          <tpl fld="4" item="6"/>
        </tpls>
      </m>
      <n v="2" in="1">
        <tpls c="4">
          <tpl fld="7" item="765"/>
          <tpl fld="6" item="1"/>
          <tpl hier="236" item="1"/>
          <tpl fld="4" item="6"/>
        </tpls>
      </n>
      <n v="8.664594594594595" in="2">
        <tpls c="6">
          <tpl fld="3" item="1"/>
          <tpl fld="11" item="0"/>
          <tpl fld="6" item="2"/>
          <tpl hier="236" item="1"/>
          <tpl fld="4" item="6"/>
          <tpl fld="10" item="0"/>
        </tpls>
      </n>
      <m>
        <tpls c="4">
          <tpl fld="7" item="70"/>
          <tpl fld="6" item="2"/>
          <tpl hier="236" item="1"/>
          <tpl fld="4" item="1"/>
        </tpls>
      </m>
      <n v="2" in="1">
        <tpls c="4">
          <tpl fld="7" item="351"/>
          <tpl fld="6" item="1"/>
          <tpl hier="236" item="1"/>
          <tpl fld="4" item="6"/>
        </tpls>
      </n>
      <n v="1" in="2">
        <tpls c="4">
          <tpl fld="7" item="362"/>
          <tpl fld="6" item="2"/>
          <tpl hier="236" item="1"/>
          <tpl fld="4" item="4"/>
        </tpls>
      </n>
      <n v="25" in="1">
        <tpls c="4">
          <tpl fld="7" item="375"/>
          <tpl fld="6" item="1"/>
          <tpl hier="236" item="1"/>
          <tpl fld="4" item="4"/>
        </tpls>
      </n>
      <m>
        <tpls c="4">
          <tpl fld="7" item="387"/>
          <tpl fld="6" item="2"/>
          <tpl hier="236" item="1"/>
          <tpl fld="4" item="4"/>
        </tpls>
      </m>
      <m>
        <tpls c="4">
          <tpl fld="7" item="534"/>
          <tpl fld="6" item="2"/>
          <tpl hier="236" item="1"/>
          <tpl fld="4" item="6"/>
        </tpls>
      </m>
      <n v="0.55999999999999994" in="2">
        <tpls c="4">
          <tpl fld="7" item="688"/>
          <tpl fld="6" item="2"/>
          <tpl hier="236" item="1"/>
          <tpl fld="1" item="0"/>
        </tpls>
      </n>
      <m>
        <tpls c="3">
          <tpl fld="7" item="985"/>
          <tpl fld="6" item="3"/>
          <tpl hier="236" item="1"/>
        </tpls>
      </m>
      <m>
        <tpls c="4">
          <tpl fld="7" item="431"/>
          <tpl fld="6" item="2"/>
          <tpl hier="236" item="1"/>
          <tpl fld="4" item="4"/>
        </tpls>
      </m>
      <n v="24" in="1">
        <tpls c="4">
          <tpl fld="7" item="539"/>
          <tpl fld="6" item="1"/>
          <tpl hier="236" item="1"/>
          <tpl fld="4" item="1"/>
        </tpls>
      </n>
      <m>
        <tpls c="3">
          <tpl fld="7" item="776"/>
          <tpl fld="6" item="3"/>
          <tpl hier="236" item="1"/>
        </tpls>
      </m>
      <m>
        <tpls c="4">
          <tpl fld="7" item="554"/>
          <tpl fld="6" item="1"/>
          <tpl hier="236" item="1"/>
          <tpl fld="4" item="5"/>
        </tpls>
      </m>
      <m>
        <tpls c="4">
          <tpl fld="7" item="703"/>
          <tpl fld="6" item="1"/>
          <tpl hier="236" item="1"/>
          <tpl fld="4" item="1"/>
        </tpls>
      </m>
      <m>
        <tpls c="4">
          <tpl fld="7" item="566"/>
          <tpl fld="6" item="2"/>
          <tpl hier="236" item="1"/>
          <tpl fld="4" item="6"/>
        </tpls>
      </m>
      <n v="9" in="1">
        <tpls c="4">
          <tpl fld="7" item="573"/>
          <tpl fld="6" item="1"/>
          <tpl hier="236" item="1"/>
          <tpl fld="1" item="0"/>
        </tpls>
      </n>
      <m>
        <tpls c="4">
          <tpl fld="7" item="799"/>
          <tpl fld="6" item="2"/>
          <tpl hier="236" item="1"/>
          <tpl fld="4" item="5"/>
        </tpls>
      </m>
      <m>
        <tpls c="4">
          <tpl fld="7" item="428"/>
          <tpl fld="6" item="2"/>
          <tpl hier="236" item="1"/>
          <tpl fld="4" item="4"/>
        </tpls>
      </m>
      <m>
        <tpls c="4">
          <tpl fld="7" item="1186"/>
          <tpl fld="6" item="1"/>
          <tpl hier="236" item="1"/>
          <tpl fld="4" item="6"/>
        </tpls>
      </m>
      <m>
        <tpls c="4">
          <tpl fld="7" item="694"/>
          <tpl fld="6" item="2"/>
          <tpl hier="236" item="1"/>
          <tpl fld="4" item="5"/>
        </tpls>
      </m>
      <m>
        <tpls c="4">
          <tpl fld="7" item="1270"/>
          <tpl fld="6" item="2"/>
          <tpl hier="236" item="1"/>
          <tpl fld="4" item="1"/>
        </tpls>
      </m>
      <m>
        <tpls c="4">
          <tpl fld="7" item="623"/>
          <tpl fld="6" item="2"/>
          <tpl hier="236" item="1"/>
          <tpl fld="4" item="4"/>
        </tpls>
      </m>
      <m>
        <tpls c="4">
          <tpl fld="7" item="789"/>
          <tpl fld="6" item="1"/>
          <tpl hier="236" item="1"/>
          <tpl fld="4" item="1"/>
        </tpls>
      </m>
      <m>
        <tpls c="3">
          <tpl fld="7" item="633"/>
          <tpl fld="6" item="3"/>
          <tpl hier="236" item="1"/>
        </tpls>
      </m>
      <n v="1259" in="1">
        <tpls c="6">
          <tpl fld="11" item="0"/>
          <tpl fld="6" item="1"/>
          <tpl fld="8" item="1"/>
          <tpl hier="236" item="1"/>
          <tpl fld="4" item="7"/>
          <tpl fld="10" item="8"/>
        </tpls>
      </n>
      <m>
        <tpls c="4">
          <tpl fld="7" item="58"/>
          <tpl fld="6" item="2"/>
          <tpl hier="236" item="1"/>
          <tpl fld="1" item="0"/>
        </tpls>
      </m>
      <m>
        <tpls c="4">
          <tpl fld="7" item="28"/>
          <tpl fld="6" item="2"/>
          <tpl hier="236" item="1"/>
          <tpl fld="4" item="4"/>
        </tpls>
      </m>
      <m>
        <tpls c="4">
          <tpl fld="7" item="181"/>
          <tpl fld="6" item="1"/>
          <tpl hier="236" item="1"/>
          <tpl fld="4" item="6"/>
        </tpls>
      </m>
      <m>
        <tpls c="4">
          <tpl fld="7" item="345"/>
          <tpl fld="6" item="1"/>
          <tpl hier="236" item="1"/>
          <tpl fld="4" item="6"/>
        </tpls>
      </m>
      <m>
        <tpls c="4">
          <tpl fld="7" item="459"/>
          <tpl fld="6" item="2"/>
          <tpl hier="236" item="1"/>
          <tpl fld="4" item="6"/>
        </tpls>
      </m>
      <m>
        <tpls c="4">
          <tpl fld="7" item="416"/>
          <tpl fld="6" item="1"/>
          <tpl hier="236" item="1"/>
          <tpl fld="4" item="6"/>
        </tpls>
      </m>
      <m>
        <tpls c="4">
          <tpl fld="7" item="604"/>
          <tpl fld="6" item="2"/>
          <tpl hier="236" item="1"/>
          <tpl fld="4" item="1"/>
        </tpls>
      </m>
      <m>
        <tpls c="4">
          <tpl fld="7" item="217"/>
          <tpl fld="6" item="2"/>
          <tpl hier="236" item="1"/>
          <tpl fld="4" item="1"/>
        </tpls>
      </m>
      <m>
        <tpls c="4">
          <tpl fld="7" item="74"/>
          <tpl fld="6" item="2"/>
          <tpl hier="236" item="1"/>
          <tpl fld="4" item="1"/>
        </tpls>
      </m>
      <m>
        <tpls c="4">
          <tpl fld="7" item="422"/>
          <tpl fld="6" item="1"/>
          <tpl hier="236" item="1"/>
          <tpl fld="4" item="6"/>
        </tpls>
      </m>
      <n v="0.6" in="2">
        <tpls c="4">
          <tpl fld="7" item="363"/>
          <tpl fld="6" item="2"/>
          <tpl hier="236" item="1"/>
          <tpl fld="4" item="4"/>
        </tpls>
      </n>
      <m>
        <tpls c="4">
          <tpl fld="7" item="1049"/>
          <tpl fld="6" item="1"/>
          <tpl hier="236" item="1"/>
          <tpl fld="4" item="5"/>
        </tpls>
      </m>
      <n v="53" in="1">
        <tpls c="6">
          <tpl fld="3" item="2"/>
          <tpl fld="11" item="0"/>
          <tpl fld="6" item="1"/>
          <tpl hier="236" item="1"/>
          <tpl fld="4" item="6"/>
          <tpl fld="10" item="6"/>
        </tpls>
      </n>
      <m>
        <tpls c="6">
          <tpl fld="11" item="0"/>
          <tpl fld="5" item="2"/>
          <tpl fld="6" item="2"/>
          <tpl hier="236" item="1"/>
          <tpl fld="4" item="7"/>
          <tpl fld="10" item="2"/>
        </tpls>
      </m>
      <m>
        <tpls c="6">
          <tpl fld="3" item="2"/>
          <tpl fld="11" item="0"/>
          <tpl fld="6" item="2"/>
          <tpl hier="236" item="1"/>
          <tpl fld="4" item="3"/>
          <tpl fld="10" item="3"/>
        </tpls>
      </m>
      <m>
        <tpls c="6">
          <tpl fld="11" item="0"/>
          <tpl fld="5" item="0"/>
          <tpl fld="6" item="2"/>
          <tpl hier="236" item="1"/>
          <tpl fld="4" item="7"/>
          <tpl fld="10" item="0"/>
        </tpls>
      </m>
      <n v="98" in="1">
        <tpls c="6">
          <tpl fld="11" item="0"/>
          <tpl fld="6" item="1"/>
          <tpl fld="8" item="1"/>
          <tpl hier="236" item="1"/>
          <tpl fld="4" item="6"/>
          <tpl fld="10" item="6"/>
        </tpls>
      </n>
      <m>
        <tpls c="6">
          <tpl fld="3" item="4"/>
          <tpl fld="11" item="0"/>
          <tpl fld="6" item="2"/>
          <tpl hier="236" item="1"/>
          <tpl fld="4" item="7"/>
          <tpl fld="10" item="0"/>
        </tpls>
      </m>
      <m>
        <tpls c="4">
          <tpl fld="7" item="398"/>
          <tpl fld="6" item="2"/>
          <tpl hier="236" item="1"/>
          <tpl fld="4" item="1"/>
        </tpls>
      </m>
      <n v="0.2" in="2">
        <tpls c="6">
          <tpl fld="3" item="4"/>
          <tpl fld="11" item="0"/>
          <tpl fld="6" item="2"/>
          <tpl hier="236" item="1"/>
          <tpl fld="4" item="6"/>
          <tpl fld="10" item="1"/>
        </tpls>
      </n>
      <m>
        <tpls c="4">
          <tpl fld="7" item="752"/>
          <tpl fld="6" item="1"/>
          <tpl hier="236" item="1"/>
          <tpl fld="4" item="4"/>
        </tpls>
      </m>
      <n v="0" in="1">
        <tpls c="4">
          <tpl fld="7" item="192"/>
          <tpl fld="6" item="1"/>
          <tpl hier="236" item="1"/>
          <tpl fld="4" item="6"/>
        </tpls>
      </n>
      <m>
        <tpls c="4">
          <tpl fld="7" item="44"/>
          <tpl fld="6" item="1"/>
          <tpl hier="236" item="1"/>
          <tpl fld="4" item="6"/>
        </tpls>
      </m>
      <n v="13.920000000000002" in="2">
        <tpls c="6">
          <tpl fld="11" item="0"/>
          <tpl fld="2" item="3"/>
          <tpl fld="6" item="2"/>
          <tpl hier="236" item="1"/>
          <tpl fld="4" item="6"/>
          <tpl fld="10" item="7"/>
        </tpls>
      </n>
      <m>
        <tpls c="3">
          <tpl fld="7" item="38"/>
          <tpl fld="6" item="3"/>
          <tpl hier="236" item="1"/>
        </tpls>
      </m>
      <m>
        <tpls c="4">
          <tpl fld="7" item="191"/>
          <tpl fld="6" item="2"/>
          <tpl hier="236" item="1"/>
          <tpl fld="4" item="1"/>
        </tpls>
      </m>
      <m>
        <tpls c="4">
          <tpl fld="7" item="43"/>
          <tpl fld="6" item="2"/>
          <tpl hier="236" item="1"/>
          <tpl fld="4" item="6"/>
        </tpls>
      </m>
      <n v="94" in="1">
        <tpls c="6">
          <tpl fld="3" item="3"/>
          <tpl fld="11" item="0"/>
          <tpl fld="6" item="1"/>
          <tpl hier="236" item="1"/>
          <tpl fld="4" item="3"/>
          <tpl fld="10" item="5"/>
        </tpls>
      </n>
      <m>
        <tpls c="3">
          <tpl fld="7" item="39"/>
          <tpl fld="6" item="3"/>
          <tpl hier="236" item="1"/>
        </tpls>
      </m>
      <n v="1" in="1">
        <tpls c="4">
          <tpl fld="7" item="192"/>
          <tpl fld="6" item="1"/>
          <tpl hier="236" item="1"/>
          <tpl fld="4" item="5"/>
        </tpls>
      </n>
      <m>
        <tpls c="4">
          <tpl fld="7" item="260"/>
          <tpl fld="6" item="1"/>
          <tpl hier="236" item="1"/>
          <tpl fld="4" item="6"/>
        </tpls>
      </m>
      <n v="34.84686486486487" in="2">
        <tpls c="6">
          <tpl fld="11" item="0"/>
          <tpl fld="5" item="1"/>
          <tpl fld="6" item="2"/>
          <tpl hier="236" item="1"/>
          <tpl fld="4" item="4"/>
          <tpl fld="10" item="3"/>
        </tpls>
      </n>
      <m>
        <tpls c="4">
          <tpl fld="7" item="478"/>
          <tpl fld="6" item="2"/>
          <tpl hier="236" item="1"/>
          <tpl fld="4" item="6"/>
        </tpls>
      </m>
      <n v="89.754324324324315" in="2">
        <tpls c="5">
          <tpl fld="11" item="0"/>
          <tpl fld="6" item="2"/>
          <tpl fld="8" item="1"/>
          <tpl hier="236" item="1"/>
          <tpl fld="4" item="0"/>
        </tpls>
      </n>
      <m>
        <tpls c="4">
          <tpl fld="7" item="168"/>
          <tpl fld="6" item="2"/>
          <tpl hier="236" item="1"/>
          <tpl fld="4" item="1"/>
        </tpls>
      </m>
      <m>
        <tpls c="4">
          <tpl fld="7" item="43"/>
          <tpl fld="6" item="1"/>
          <tpl hier="236" item="1"/>
          <tpl fld="4" item="5"/>
        </tpls>
      </m>
      <n v="0.36" in="2">
        <tpls c="4">
          <tpl fld="7" item="1085"/>
          <tpl fld="6" item="2"/>
          <tpl hier="236" item="1"/>
          <tpl fld="4" item="4"/>
        </tpls>
      </n>
      <m>
        <tpls c="4">
          <tpl fld="7" item="260"/>
          <tpl fld="6" item="2"/>
          <tpl hier="236" item="1"/>
          <tpl fld="4" item="1"/>
        </tpls>
      </m>
      <m>
        <tpls c="4">
          <tpl fld="7" item="521"/>
          <tpl fld="6" item="2"/>
          <tpl hier="236" item="1"/>
          <tpl fld="4" item="4"/>
        </tpls>
      </m>
      <m>
        <tpls c="4">
          <tpl fld="7" item="266"/>
          <tpl fld="6" item="1"/>
          <tpl hier="236" item="1"/>
          <tpl fld="1" item="0"/>
        </tpls>
      </m>
      <m>
        <tpls c="4">
          <tpl fld="7" item="52"/>
          <tpl fld="6" item="2"/>
          <tpl hier="236" item="1"/>
          <tpl fld="4" item="6"/>
        </tpls>
      </m>
      <m>
        <tpls c="4">
          <tpl fld="7" item="414"/>
          <tpl fld="6" item="2"/>
          <tpl hier="236" item="1"/>
          <tpl fld="4" item="1"/>
        </tpls>
      </m>
      <m>
        <tpls c="4">
          <tpl fld="7" item="94"/>
          <tpl fld="6" item="2"/>
          <tpl hier="236" item="1"/>
          <tpl fld="4" item="1"/>
        </tpls>
      </m>
      <m>
        <tpls c="4">
          <tpl fld="7" item="397"/>
          <tpl fld="6" item="2"/>
          <tpl hier="236" item="1"/>
          <tpl fld="4" item="6"/>
        </tpls>
      </m>
      <m>
        <tpls c="4">
          <tpl fld="7" item="38"/>
          <tpl fld="6" item="2"/>
          <tpl hier="236" item="1"/>
          <tpl fld="4" item="4"/>
        </tpls>
      </m>
      <m>
        <tpls c="4">
          <tpl fld="7" item="158"/>
          <tpl fld="6" item="1"/>
          <tpl hier="236" item="1"/>
          <tpl fld="4" item="4"/>
        </tpls>
      </m>
      <m>
        <tpls c="3">
          <tpl fld="7" item="412"/>
          <tpl fld="6" item="3"/>
          <tpl hier="236" item="1"/>
        </tpls>
      </m>
      <m>
        <tpls c="4">
          <tpl fld="7" item="191"/>
          <tpl fld="6" item="1"/>
          <tpl hier="236" item="1"/>
          <tpl fld="4" item="6"/>
        </tpls>
      </m>
      <m>
        <tpls c="4">
          <tpl fld="7" item="316"/>
          <tpl fld="6" item="1"/>
          <tpl hier="236" item="1"/>
          <tpl fld="4" item="6"/>
        </tpls>
      </m>
      <m>
        <tpls c="4">
          <tpl fld="7" item="338"/>
          <tpl fld="6" item="1"/>
          <tpl hier="236" item="1"/>
          <tpl fld="4" item="5"/>
        </tpls>
      </m>
      <m>
        <tpls c="4">
          <tpl fld="7" item="101"/>
          <tpl fld="6" item="2"/>
          <tpl hier="236" item="1"/>
          <tpl fld="4" item="1"/>
        </tpls>
      </m>
      <m>
        <tpls c="4">
          <tpl fld="7" item="429"/>
          <tpl fld="6" item="2"/>
          <tpl hier="236" item="1"/>
          <tpl fld="4" item="1"/>
        </tpls>
      </m>
      <n v="1" in="3">
        <tpls c="3">
          <tpl fld="7" item="371"/>
          <tpl fld="6" item="3"/>
          <tpl hier="236" item="1"/>
        </tpls>
      </n>
      <m>
        <tpls c="4">
          <tpl fld="7" item="525"/>
          <tpl fld="6" item="1"/>
          <tpl hier="236" item="1"/>
          <tpl fld="4" item="6"/>
        </tpls>
      </m>
      <n v="1" in="1">
        <tpls c="4">
          <tpl fld="7" item="391"/>
          <tpl fld="6" item="1"/>
          <tpl hier="236" item="1"/>
          <tpl fld="1" item="0"/>
        </tpls>
      </n>
      <m>
        <tpls c="4">
          <tpl fld="7" item="538"/>
          <tpl fld="6" item="2"/>
          <tpl hier="236" item="1"/>
          <tpl fld="4" item="5"/>
        </tpls>
      </m>
      <n v="665" in="1">
        <tpls c="6">
          <tpl fld="11" item="0"/>
          <tpl fld="2" item="1"/>
          <tpl fld="6" item="1"/>
          <tpl hier="236" item="1"/>
          <tpl fld="4" item="6"/>
          <tpl fld="10" item="2"/>
        </tpls>
      </n>
      <m>
        <tpls c="4">
          <tpl fld="7" item="162"/>
          <tpl fld="6" item="2"/>
          <tpl hier="236" item="1"/>
          <tpl fld="4" item="1"/>
        </tpls>
      </m>
      <m>
        <tpls c="4">
          <tpl fld="7" item="209"/>
          <tpl fld="6" item="1"/>
          <tpl hier="236" item="1"/>
          <tpl fld="4" item="6"/>
        </tpls>
      </m>
      <n v="3" in="2">
        <tpls c="4">
          <tpl fld="7" item="758"/>
          <tpl fld="6" item="2"/>
          <tpl hier="236" item="1"/>
          <tpl fld="4" item="1"/>
        </tpls>
      </n>
      <n v="1" in="3">
        <tpls c="3">
          <tpl fld="7" item="442"/>
          <tpl fld="6" item="3"/>
          <tpl hier="236" item="1"/>
        </tpls>
      </n>
      <m>
        <tpls c="4">
          <tpl fld="7" item="384"/>
          <tpl fld="6" item="1"/>
          <tpl hier="236" item="1"/>
          <tpl fld="4" item="6"/>
        </tpls>
      </m>
      <n v="1" in="1">
        <tpls c="4">
          <tpl fld="7" item="462"/>
          <tpl fld="6" item="1"/>
          <tpl hier="236" item="1"/>
          <tpl fld="4" item="4"/>
        </tpls>
      </n>
      <n v="240" in="1">
        <tpls c="6">
          <tpl fld="3" item="4"/>
          <tpl fld="11" item="0"/>
          <tpl fld="6" item="1"/>
          <tpl hier="236" item="1"/>
          <tpl fld="4" item="1"/>
          <tpl fld="9" item="3"/>
        </tpls>
      </n>
      <n v="946" in="1">
        <tpls c="6">
          <tpl fld="11" item="0"/>
          <tpl fld="5" item="5"/>
          <tpl fld="6" item="1"/>
          <tpl hier="236" item="1"/>
          <tpl fld="4" item="6"/>
          <tpl fld="10" item="7"/>
        </tpls>
      </n>
      <m>
        <tpls c="4">
          <tpl fld="7" item="164"/>
          <tpl fld="6" item="1"/>
          <tpl hier="236" item="1"/>
          <tpl fld="1" item="0"/>
        </tpls>
      </m>
      <m>
        <tpls c="4">
          <tpl fld="7" item="396"/>
          <tpl fld="6" item="1"/>
          <tpl hier="236" item="1"/>
          <tpl fld="4" item="5"/>
        </tpls>
      </m>
      <m>
        <tpls c="4">
          <tpl fld="7" item="158"/>
          <tpl fld="6" item="2"/>
          <tpl hier="236" item="1"/>
          <tpl fld="4" item="6"/>
        </tpls>
      </m>
      <m>
        <tpls c="3">
          <tpl fld="7" item="174"/>
          <tpl fld="6" item="3"/>
          <tpl hier="236" item="1"/>
        </tpls>
      </m>
      <m>
        <tpls c="3">
          <tpl fld="7" item="191"/>
          <tpl fld="6" item="3"/>
          <tpl hier="236" item="1"/>
        </tpls>
      </m>
      <m>
        <tpls c="4">
          <tpl fld="7" item="490"/>
          <tpl fld="6" item="1"/>
          <tpl hier="236" item="1"/>
          <tpl fld="4" item="6"/>
        </tpls>
      </m>
      <m>
        <tpls c="4">
          <tpl fld="7" item="110"/>
          <tpl fld="6" item="2"/>
          <tpl hier="236" item="1"/>
          <tpl fld="4" item="1"/>
        </tpls>
      </m>
      <m>
        <tpls c="4">
          <tpl fld="7" item="32"/>
          <tpl fld="6" item="1"/>
          <tpl hier="236" item="1"/>
          <tpl fld="4" item="4"/>
        </tpls>
      </m>
      <m>
        <tpls c="4">
          <tpl fld="7" item="260"/>
          <tpl fld="6" item="2"/>
          <tpl hier="236" item="1"/>
          <tpl fld="4" item="4"/>
        </tpls>
      </m>
      <m>
        <tpls c="4">
          <tpl fld="7" item="268"/>
          <tpl fld="6" item="2"/>
          <tpl hier="236" item="1"/>
          <tpl fld="4" item="4"/>
        </tpls>
      </m>
      <m>
        <tpls c="4">
          <tpl fld="7" item="172"/>
          <tpl fld="6" item="1"/>
          <tpl hier="236" item="1"/>
          <tpl fld="4" item="6"/>
        </tpls>
      </m>
      <m>
        <tpls c="4">
          <tpl fld="7" item="77"/>
          <tpl fld="6" item="2"/>
          <tpl hier="236" item="1"/>
          <tpl fld="4" item="4"/>
        </tpls>
      </m>
      <m>
        <tpls c="4">
          <tpl fld="7" item="347"/>
          <tpl fld="6" item="2"/>
          <tpl hier="236" item="1"/>
          <tpl fld="4" item="4"/>
        </tpls>
      </m>
      <m>
        <tpls c="4">
          <tpl fld="7" item="421"/>
          <tpl fld="6" item="1"/>
          <tpl hier="236" item="1"/>
          <tpl fld="4" item="4"/>
        </tpls>
      </m>
      <m>
        <tpls c="4">
          <tpl fld="7" item="48"/>
          <tpl fld="6" item="1"/>
          <tpl hier="236" item="1"/>
          <tpl fld="4" item="5"/>
        </tpls>
      </m>
      <m>
        <tpls c="4">
          <tpl fld="7" item="490"/>
          <tpl fld="6" item="2"/>
          <tpl hier="236" item="1"/>
          <tpl fld="4" item="1"/>
        </tpls>
      </m>
      <m>
        <tpls c="3">
          <tpl fld="7" item="356"/>
          <tpl fld="6" item="3"/>
          <tpl hier="236" item="1"/>
        </tpls>
      </m>
      <n v="1" in="1">
        <tpls c="4">
          <tpl fld="7" item="510"/>
          <tpl fld="6" item="1"/>
          <tpl hier="236" item="1"/>
          <tpl fld="4" item="6"/>
        </tpls>
      </n>
      <m>
        <tpls c="4">
          <tpl fld="7" item="682"/>
          <tpl fld="6" item="2"/>
          <tpl hier="236" item="1"/>
          <tpl fld="4" item="4"/>
        </tpls>
      </m>
      <n v="3" in="1">
        <tpls c="4">
          <tpl fld="7" item="390"/>
          <tpl fld="6" item="1"/>
          <tpl hier="236" item="1"/>
          <tpl fld="1" item="0"/>
        </tpls>
      </n>
      <m>
        <tpls c="4">
          <tpl fld="7" item="537"/>
          <tpl fld="6" item="2"/>
          <tpl hier="236" item="1"/>
          <tpl fld="4" item="5"/>
        </tpls>
      </m>
      <m>
        <tpls c="4">
          <tpl fld="7" item="543"/>
          <tpl fld="6" item="2"/>
          <tpl hier="236" item="1"/>
          <tpl fld="4" item="1"/>
        </tpls>
      </m>
      <m>
        <tpls c="4">
          <tpl fld="7" item="265"/>
          <tpl fld="6" item="2"/>
          <tpl hier="236" item="1"/>
          <tpl fld="4" item="1"/>
        </tpls>
      </m>
      <m>
        <tpls c="4">
          <tpl fld="7" item="349"/>
          <tpl fld="6" item="2"/>
          <tpl hier="236" item="1"/>
          <tpl fld="4" item="1"/>
        </tpls>
      </m>
      <m>
        <tpls c="3">
          <tpl fld="7" item="427"/>
          <tpl fld="6" item="3"/>
          <tpl hier="236" item="1"/>
        </tpls>
      </m>
      <n v="1" in="1">
        <tpls c="4">
          <tpl fld="7" item="369"/>
          <tpl fld="6" item="1"/>
          <tpl hier="236" item="1"/>
          <tpl fld="4" item="6"/>
        </tpls>
      </n>
      <m>
        <tpls c="4">
          <tpl fld="7" item="523"/>
          <tpl fld="6" item="2"/>
          <tpl hier="236" item="1"/>
          <tpl fld="4" item="4"/>
        </tpls>
      </m>
      <m>
        <tpls c="4">
          <tpl fld="7" item="461"/>
          <tpl fld="6" item="1"/>
          <tpl hier="236" item="1"/>
          <tpl fld="4" item="4"/>
        </tpls>
      </m>
      <m>
        <tpls c="4">
          <tpl fld="7" item="686"/>
          <tpl fld="6" item="1"/>
          <tpl hier="236" item="1"/>
          <tpl fld="4" item="6"/>
        </tpls>
      </m>
      <m>
        <tpls c="4">
          <tpl fld="7" item="143"/>
          <tpl fld="6" item="1"/>
          <tpl hier="236" item="1"/>
          <tpl fld="4" item="4"/>
        </tpls>
      </m>
      <m>
        <tpls c="4">
          <tpl fld="7" item="261"/>
          <tpl fld="6" item="1"/>
          <tpl hier="236" item="1"/>
          <tpl fld="1" item="0"/>
        </tpls>
      </m>
      <m>
        <tpls c="3">
          <tpl fld="7" item="185"/>
          <tpl fld="6" item="3"/>
          <tpl hier="236" item="1"/>
        </tpls>
      </m>
      <m>
        <tpls c="4">
          <tpl fld="7" item="40"/>
          <tpl fld="6" item="2"/>
          <tpl hier="236" item="1"/>
          <tpl fld="4" item="4"/>
        </tpls>
      </m>
      <m>
        <tpls c="3">
          <tpl fld="7" item="85"/>
          <tpl fld="6" item="3"/>
          <tpl hier="236" item="1"/>
        </tpls>
      </m>
      <n v="23" in="1">
        <tpls c="4">
          <tpl fld="7" item="324"/>
          <tpl fld="6" item="1"/>
          <tpl hier="236" item="1"/>
          <tpl fld="4" item="4"/>
        </tpls>
      </n>
      <m>
        <tpls c="4">
          <tpl fld="7" item="535"/>
          <tpl fld="6" item="1"/>
          <tpl hier="236" item="1"/>
          <tpl fld="4" item="5"/>
        </tpls>
      </m>
      <n v="27" in="1">
        <tpls c="4">
          <tpl fld="7" item="493"/>
          <tpl fld="6" item="1"/>
          <tpl hier="236" item="1"/>
          <tpl fld="4" item="4"/>
        </tpls>
      </n>
      <m>
        <tpls c="4">
          <tpl fld="7" item="535"/>
          <tpl fld="6" item="2"/>
          <tpl hier="236" item="1"/>
          <tpl fld="1" item="0"/>
        </tpls>
      </m>
      <m>
        <tpls c="4">
          <tpl fld="7" item="142"/>
          <tpl fld="6" item="2"/>
          <tpl hier="236" item="1"/>
          <tpl fld="4" item="4"/>
        </tpls>
      </m>
      <m>
        <tpls c="4">
          <tpl fld="7" item="302"/>
          <tpl fld="6" item="1"/>
          <tpl hier="236" item="1"/>
          <tpl fld="4" item="4"/>
        </tpls>
      </m>
      <n v="12" in="1">
        <tpls c="4">
          <tpl fld="7" item="424"/>
          <tpl fld="6" item="1"/>
          <tpl hier="236" item="1"/>
          <tpl fld="4" item="6"/>
        </tpls>
      </n>
      <m>
        <tpls c="4">
          <tpl fld="7" item="366"/>
          <tpl fld="6" item="2"/>
          <tpl hier="236" item="1"/>
          <tpl fld="4" item="4"/>
        </tpls>
      </m>
      <n v="8" in="1">
        <tpls c="4">
          <tpl fld="7" item="379"/>
          <tpl fld="6" item="1"/>
          <tpl hier="236" item="1"/>
          <tpl fld="4" item="4"/>
        </tpls>
      </n>
      <m>
        <tpls c="4">
          <tpl fld="7" item="530"/>
          <tpl fld="6" item="2"/>
          <tpl hier="236" item="1"/>
          <tpl fld="4" item="6"/>
        </tpls>
      </m>
      <m>
        <tpls c="4">
          <tpl fld="7" item="767"/>
          <tpl fld="6" item="2"/>
          <tpl hier="236" item="1"/>
          <tpl fld="1" item="0"/>
        </tpls>
      </m>
      <m>
        <tpls c="3">
          <tpl fld="7" item="1087"/>
          <tpl fld="6" item="3"/>
          <tpl hier="236" item="1"/>
        </tpls>
      </m>
      <m>
        <tpls c="4">
          <tpl fld="7" item="403"/>
          <tpl fld="6" item="1"/>
          <tpl hier="236" item="1"/>
          <tpl fld="4" item="6"/>
        </tpls>
      </m>
      <n v="0.52" in="2">
        <tpls c="4">
          <tpl fld="7" item="447"/>
          <tpl fld="6" item="2"/>
          <tpl hier="236" item="1"/>
          <tpl fld="4" item="4"/>
        </tpls>
      </n>
      <n v="4" in="1">
        <tpls c="4">
          <tpl fld="7" item="543"/>
          <tpl fld="6" item="1"/>
          <tpl hier="236" item="1"/>
          <tpl fld="4" item="1"/>
        </tpls>
      </n>
      <m>
        <tpls c="4">
          <tpl fld="7" item="550"/>
          <tpl fld="6" item="1"/>
          <tpl hier="236" item="1"/>
          <tpl fld="4" item="5"/>
        </tpls>
      </m>
      <m>
        <tpls c="4">
          <tpl fld="7" item="700"/>
          <tpl fld="6" item="1"/>
          <tpl hier="236" item="1"/>
          <tpl fld="4" item="1"/>
        </tpls>
      </m>
      <n v="35" in="1">
        <tpls c="4">
          <tpl fld="7" item="988"/>
          <tpl fld="6" item="1"/>
          <tpl hier="236" item="1"/>
          <tpl fld="4" item="4"/>
        </tpls>
      </n>
      <m>
        <tpls c="4">
          <tpl fld="7" item="1092"/>
          <tpl fld="6" item="2"/>
          <tpl hier="236" item="1"/>
          <tpl fld="4" item="6"/>
        </tpls>
      </m>
      <m>
        <tpls c="4">
          <tpl fld="7" item="796"/>
          <tpl fld="6" item="2"/>
          <tpl hier="236" item="1"/>
          <tpl fld="4" item="5"/>
        </tpls>
      </m>
      <m>
        <tpls c="4">
          <tpl fld="7" item="1"/>
          <tpl fld="6" item="2"/>
          <tpl hier="236" item="1"/>
          <tpl fld="4" item="6"/>
        </tpls>
      </m>
      <n v="0.87340540540540545" in="2">
        <tpls c="4">
          <tpl fld="7" item="444"/>
          <tpl fld="6" item="2"/>
          <tpl hier="236" item="1"/>
          <tpl fld="4" item="4"/>
        </tpls>
      </n>
      <n v="15" in="1">
        <tpls c="4">
          <tpl fld="7" item="690"/>
          <tpl fld="6" item="1"/>
          <tpl hier="236" item="1"/>
          <tpl fld="4" item="4"/>
        </tpls>
      </n>
      <m>
        <tpls c="4">
          <tpl fld="7" item="882"/>
          <tpl fld="6" item="2"/>
          <tpl hier="236" item="1"/>
          <tpl fld="4" item="1"/>
        </tpls>
      </m>
      <m>
        <tpls c="4">
          <tpl fld="7" item="620"/>
          <tpl fld="6" item="2"/>
          <tpl hier="236" item="1"/>
          <tpl fld="4" item="4"/>
        </tpls>
      </m>
      <n v="1.9600000000000002" in="2">
        <tpls c="4">
          <tpl fld="7" item="704"/>
          <tpl fld="6" item="2"/>
          <tpl hier="236" item="1"/>
          <tpl fld="4" item="6"/>
        </tpls>
      </n>
      <n v="2" in="1">
        <tpls c="4">
          <tpl fld="7" item="568"/>
          <tpl fld="6" item="1"/>
          <tpl hier="236" item="1"/>
          <tpl fld="4" item="1"/>
        </tpls>
      </n>
      <m>
        <tpls c="4">
          <tpl fld="7" item="714"/>
          <tpl fld="6" item="1"/>
          <tpl hier="236" item="1"/>
          <tpl fld="4" item="5"/>
        </tpls>
      </m>
      <m>
        <tpls c="4">
          <tpl fld="7" item="271"/>
          <tpl fld="6" item="1"/>
          <tpl hier="236" item="1"/>
          <tpl fld="1" item="0"/>
        </tpls>
      </m>
      <m>
        <tpls c="4">
          <tpl fld="7" item="416"/>
          <tpl fld="6" item="2"/>
          <tpl hier="236" item="1"/>
          <tpl fld="4" item="1"/>
        </tpls>
      </m>
      <m>
        <tpls c="4">
          <tpl fld="7" item="1185"/>
          <tpl fld="6" item="1"/>
          <tpl hier="236" item="1"/>
          <tpl fld="4" item="4"/>
        </tpls>
      </m>
      <m>
        <tpls c="3">
          <tpl fld="7" item="89"/>
          <tpl fld="6" item="3"/>
          <tpl hier="236" item="1"/>
        </tpls>
      </m>
      <m>
        <tpls c="4">
          <tpl fld="7" item="877"/>
          <tpl fld="6" item="1"/>
          <tpl hier="236" item="1"/>
          <tpl fld="4" item="4"/>
        </tpls>
      </m>
      <m>
        <tpls c="4">
          <tpl fld="7" item="606"/>
          <tpl fld="6" item="1"/>
          <tpl hier="236" item="1"/>
          <tpl fld="4" item="1"/>
        </tpls>
      </m>
      <m>
        <tpls c="4">
          <tpl fld="7" item="497"/>
          <tpl fld="6" item="1"/>
          <tpl hier="236" item="1"/>
          <tpl fld="4" item="4"/>
        </tpls>
      </m>
      <m>
        <tpls c="4">
          <tpl fld="7" item="767"/>
          <tpl fld="6" item="2"/>
          <tpl hier="236" item="1"/>
          <tpl fld="4" item="5"/>
        </tpls>
      </m>
      <m>
        <tpls c="4">
          <tpl fld="7" item="40"/>
          <tpl fld="6" item="2"/>
          <tpl hier="236" item="1"/>
          <tpl fld="4" item="1"/>
        </tpls>
      </m>
      <m>
        <tpls c="4">
          <tpl fld="7" item="306"/>
          <tpl fld="6" item="1"/>
          <tpl hier="236" item="1"/>
          <tpl fld="4" item="4"/>
        </tpls>
      </m>
      <n v="18" in="1">
        <tpls c="4">
          <tpl fld="7" item="425"/>
          <tpl fld="6" item="1"/>
          <tpl hier="236" item="1"/>
          <tpl fld="4" item="6"/>
        </tpls>
      </n>
      <n v="0.87567567567567572" in="2">
        <tpls c="4">
          <tpl fld="7" item="367"/>
          <tpl fld="6" item="2"/>
          <tpl hier="236" item="1"/>
          <tpl fld="4" item="4"/>
        </tpls>
      </n>
      <m>
        <tpls c="6">
          <tpl fld="11" item="0"/>
          <tpl fld="5" item="3"/>
          <tpl fld="6" item="2"/>
          <tpl hier="236" item="1"/>
          <tpl fld="4" item="7"/>
          <tpl fld="10" item="8"/>
        </tpls>
      </m>
      <m>
        <tpls c="4">
          <tpl fld="7" item="397"/>
          <tpl fld="6" item="2"/>
          <tpl hier="236" item="1"/>
          <tpl fld="4" item="1"/>
        </tpls>
      </m>
      <n v="17" in="1">
        <tpls c="6">
          <tpl fld="11" item="0"/>
          <tpl fld="6" item="1"/>
          <tpl fld="8" item="0"/>
          <tpl hier="236" item="1"/>
          <tpl fld="4" item="7"/>
          <tpl fld="10" item="4"/>
        </tpls>
      </n>
      <m>
        <tpls c="3">
          <tpl fld="7" item="1159"/>
          <tpl fld="6" item="3"/>
          <tpl hier="236" item="1"/>
        </tpls>
      </m>
      <n v="48" in="1">
        <tpls c="6">
          <tpl fld="3" item="4"/>
          <tpl fld="11" item="0"/>
          <tpl fld="6" item="1"/>
          <tpl hier="236" item="1"/>
          <tpl fld="4" item="4"/>
          <tpl fld="10" item="1"/>
        </tpls>
      </n>
      <n v="36.98043243243243" in="2">
        <tpls c="5">
          <tpl fld="11" item="0"/>
          <tpl fld="6" item="2"/>
          <tpl hier="236" item="1"/>
          <tpl fld="4" item="3"/>
          <tpl fld="10" item="2"/>
        </tpls>
      </n>
      <m>
        <tpls c="4">
          <tpl fld="7" item="216"/>
          <tpl fld="6" item="1"/>
          <tpl hier="236" item="1"/>
          <tpl fld="4" item="5"/>
        </tpls>
      </m>
      <n v="0" in="1">
        <tpls c="6">
          <tpl fld="11" item="0"/>
          <tpl fld="5" item="2"/>
          <tpl fld="6" item="1"/>
          <tpl hier="236" item="1"/>
          <tpl fld="4" item="7"/>
          <tpl fld="10" item="2"/>
        </tpls>
      </n>
      <m>
        <tpls c="4">
          <tpl fld="7" item="226"/>
          <tpl fld="6" item="1"/>
          <tpl hier="236" item="1"/>
          <tpl fld="4" item="5"/>
        </tpls>
      </m>
      <m>
        <tpls c="3">
          <tpl fld="7" item="479"/>
          <tpl fld="6" item="3"/>
          <tpl hier="236" item="1"/>
        </tpls>
      </m>
      <m>
        <tpls c="6">
          <tpl fld="3" item="2"/>
          <tpl fld="11" item="0"/>
          <tpl fld="6" item="2"/>
          <tpl hier="236" item="1"/>
          <tpl fld="4" item="3"/>
          <tpl fld="10" item="1"/>
        </tpls>
      </m>
      <n v="15" in="1">
        <tpls c="6">
          <tpl fld="11" item="0"/>
          <tpl fld="5" item="2"/>
          <tpl fld="6" item="1"/>
          <tpl hier="236" item="1"/>
          <tpl fld="4" item="1"/>
          <tpl fld="9" item="0"/>
        </tpls>
      </n>
      <m>
        <tpls c="4">
          <tpl fld="7" item="8"/>
          <tpl fld="6" item="2"/>
          <tpl hier="236" item="1"/>
          <tpl fld="4" item="1"/>
        </tpls>
      </m>
      <m>
        <tpls c="4">
          <tpl fld="7" item="671"/>
          <tpl fld="6" item="1"/>
          <tpl hier="236" item="1"/>
          <tpl fld="1" item="0"/>
        </tpls>
      </m>
      <n v="1006" in="1">
        <tpls c="6">
          <tpl fld="3" item="1"/>
          <tpl fld="11" item="0"/>
          <tpl fld="6" item="1"/>
          <tpl hier="236" item="1"/>
          <tpl fld="4" item="6"/>
          <tpl fld="10" item="2"/>
        </tpls>
      </n>
      <n v="21.298486486486489" in="2">
        <tpls c="6">
          <tpl fld="11" item="0"/>
          <tpl fld="5" item="5"/>
          <tpl fld="6" item="2"/>
          <tpl hier="236" item="1"/>
          <tpl fld="4" item="4"/>
          <tpl fld="10" item="3"/>
        </tpls>
      </n>
      <m>
        <tpls c="4">
          <tpl fld="7" item="117"/>
          <tpl fld="6" item="1"/>
          <tpl hier="236" item="1"/>
          <tpl fld="4" item="4"/>
        </tpls>
      </m>
      <m>
        <tpls c="3">
          <tpl fld="7" item="160"/>
          <tpl fld="6" item="3"/>
          <tpl hier="236" item="1"/>
        </tpls>
      </m>
      <n v="629" in="1">
        <tpls c="6">
          <tpl fld="3" item="3"/>
          <tpl fld="11" item="0"/>
          <tpl fld="6" item="1"/>
          <tpl hier="236" item="1"/>
          <tpl fld="4" item="7"/>
          <tpl fld="10" item="7"/>
        </tpls>
      </n>
      <m>
        <tpls c="4">
          <tpl fld="7" item="272"/>
          <tpl fld="6" item="1"/>
          <tpl hier="236" item="1"/>
          <tpl fld="4" item="6"/>
        </tpls>
      </m>
      <m>
        <tpls c="4">
          <tpl fld="7" item="139"/>
          <tpl fld="6" item="2"/>
          <tpl hier="236" item="1"/>
          <tpl fld="4" item="1"/>
        </tpls>
      </m>
      <m>
        <tpls c="4">
          <tpl fld="7" item="72"/>
          <tpl fld="6" item="1"/>
          <tpl hier="236" item="1"/>
          <tpl fld="4" item="6"/>
        </tpls>
      </m>
      <m>
        <tpls c="4">
          <tpl fld="7" item="144"/>
          <tpl fld="6" item="1"/>
          <tpl hier="236" item="1"/>
          <tpl fld="4" item="6"/>
        </tpls>
      </m>
      <m>
        <tpls c="3">
          <tpl fld="7" item="345"/>
          <tpl fld="6" item="3"/>
          <tpl hier="236" item="1"/>
        </tpls>
      </m>
      <n v="1" in="1">
        <tpls c="4">
          <tpl fld="7" item="104"/>
          <tpl fld="6" item="1"/>
          <tpl hier="236" item="1"/>
          <tpl fld="4" item="4"/>
        </tpls>
      </n>
      <m>
        <tpls c="4">
          <tpl fld="7" item="392"/>
          <tpl fld="6" item="1"/>
          <tpl hier="236" item="1"/>
          <tpl fld="1" item="0"/>
        </tpls>
      </m>
      <m>
        <tpls c="3">
          <tpl fld="7" item="212"/>
          <tpl fld="6" item="3"/>
          <tpl hier="236" item="1"/>
        </tpls>
      </m>
      <m>
        <tpls c="4">
          <tpl fld="7" item="463"/>
          <tpl fld="6" item="1"/>
          <tpl hier="236" item="1"/>
          <tpl fld="4" item="4"/>
        </tpls>
      </m>
      <m>
        <tpls c="4">
          <tpl fld="7" item="404"/>
          <tpl fld="6" item="2"/>
          <tpl hier="236" item="1"/>
          <tpl fld="4" item="1"/>
        </tpls>
      </m>
      <m>
        <tpls c="4">
          <tpl fld="7" item="339"/>
          <tpl fld="6" item="1"/>
          <tpl hier="236" item="1"/>
          <tpl fld="4" item="6"/>
        </tpls>
      </m>
      <m>
        <tpls c="4">
          <tpl fld="7" item="83"/>
          <tpl fld="6" item="1"/>
          <tpl hier="236" item="1"/>
          <tpl fld="4" item="6"/>
        </tpls>
      </m>
      <n v="1574" in="1">
        <tpls c="6">
          <tpl fld="11" item="0"/>
          <tpl fld="2" item="1"/>
          <tpl fld="6" item="1"/>
          <tpl hier="236" item="1"/>
          <tpl fld="4" item="6"/>
          <tpl fld="10" item="8"/>
        </tpls>
      </n>
      <m>
        <tpls c="4">
          <tpl fld="7" item="244"/>
          <tpl fld="6" item="2"/>
          <tpl hier="236" item="1"/>
          <tpl fld="4" item="1"/>
        </tpls>
      </m>
      <m>
        <tpls c="4">
          <tpl fld="7" item="260"/>
          <tpl fld="6" item="1"/>
          <tpl hier="236" item="1"/>
          <tpl fld="4" item="4"/>
        </tpls>
      </m>
      <m>
        <tpls c="4">
          <tpl fld="7" item="162"/>
          <tpl fld="6" item="1"/>
          <tpl hier="236" item="1"/>
          <tpl fld="4" item="4"/>
        </tpls>
      </m>
      <m>
        <tpls c="4">
          <tpl fld="7" item="73"/>
          <tpl fld="6" item="1"/>
          <tpl hier="236" item="1"/>
          <tpl fld="4" item="4"/>
        </tpls>
      </m>
      <m>
        <tpls c="4">
          <tpl fld="7" item="347"/>
          <tpl fld="6" item="1"/>
          <tpl hier="236" item="1"/>
          <tpl fld="4" item="4"/>
        </tpls>
      </m>
      <m>
        <tpls c="6">
          <tpl fld="11" item="0"/>
          <tpl fld="6" item="2"/>
          <tpl fld="8" item="1"/>
          <tpl hier="236" item="1"/>
          <tpl fld="4" item="3"/>
          <tpl fld="10" item="6"/>
        </tpls>
      </m>
      <m>
        <tpls c="4">
          <tpl fld="7" item="343"/>
          <tpl fld="6" item="1"/>
          <tpl hier="236" item="1"/>
          <tpl fld="4" item="6"/>
        </tpls>
      </m>
      <m>
        <tpls c="4">
          <tpl fld="7" item="422"/>
          <tpl fld="6" item="2"/>
          <tpl hier="236" item="1"/>
          <tpl fld="4" item="1"/>
        </tpls>
      </m>
      <n v="1" in="3">
        <tpls c="3">
          <tpl fld="7" item="363"/>
          <tpl fld="6" item="3"/>
          <tpl hier="236" item="1"/>
        </tpls>
      </n>
      <n v="8" in="1">
        <tpls c="4">
          <tpl fld="7" item="517"/>
          <tpl fld="6" item="1"/>
          <tpl hier="236" item="1"/>
          <tpl fld="4" item="6"/>
        </tpls>
      </n>
      <n v="1" in="1">
        <tpls c="4">
          <tpl fld="7" item="879"/>
          <tpl fld="6" item="1"/>
          <tpl hier="236" item="1"/>
          <tpl fld="4" item="4"/>
        </tpls>
      </n>
      <m>
        <tpls c="4">
          <tpl fld="7" item="464"/>
          <tpl fld="6" item="1"/>
          <tpl hier="236" item="1"/>
          <tpl fld="4" item="6"/>
        </tpls>
      </m>
      <m>
        <tpls c="4">
          <tpl fld="7" item="770"/>
          <tpl fld="6" item="1"/>
          <tpl hier="236" item="1"/>
          <tpl fld="1" item="0"/>
        </tpls>
      </m>
      <m>
        <tpls c="4">
          <tpl fld="7" item="137"/>
          <tpl fld="6" item="2"/>
          <tpl hier="236" item="1"/>
          <tpl fld="4" item="4"/>
        </tpls>
      </m>
      <m>
        <tpls c="4">
          <tpl fld="7" item="414"/>
          <tpl fld="6" item="1"/>
          <tpl hier="236" item="1"/>
          <tpl fld="4" item="6"/>
        </tpls>
      </m>
      <m>
        <tpls c="4">
          <tpl fld="7" item="323"/>
          <tpl fld="6" item="2"/>
          <tpl hier="236" item="1"/>
          <tpl fld="4" item="1"/>
        </tpls>
      </m>
      <n v="1" in="3">
        <tpls c="3">
          <tpl fld="7" item="434"/>
          <tpl fld="6" item="3"/>
          <tpl hier="236" item="1"/>
        </tpls>
      </n>
      <n v="18" in="1">
        <tpls c="4">
          <tpl fld="7" item="376"/>
          <tpl fld="6" item="1"/>
          <tpl hier="236" item="1"/>
          <tpl fld="4" item="6"/>
        </tpls>
      </n>
      <m>
        <tpls c="4">
          <tpl fld="7" item="879"/>
          <tpl fld="6" item="1"/>
          <tpl hier="236" item="1"/>
          <tpl fld="4" item="5"/>
        </tpls>
      </m>
      <n v="1" in="1">
        <tpls c="4">
          <tpl fld="7" item="464"/>
          <tpl fld="6" item="1"/>
          <tpl hier="236" item="1"/>
          <tpl fld="4" item="1"/>
        </tpls>
      </n>
      <n v="150" in="1">
        <tpls c="6">
          <tpl fld="3" item="0"/>
          <tpl fld="11" item="0"/>
          <tpl fld="6" item="1"/>
          <tpl hier="236" item="1"/>
          <tpl fld="4" item="7"/>
          <tpl fld="10" item="2"/>
        </tpls>
      </n>
      <m>
        <tpls c="4">
          <tpl fld="7" item="249"/>
          <tpl fld="6" item="1"/>
          <tpl hier="236" item="1"/>
          <tpl fld="4" item="6"/>
        </tpls>
      </m>
      <m>
        <tpls c="3">
          <tpl fld="7" item="78"/>
          <tpl fld="6" item="3"/>
          <tpl hier="236" item="1"/>
        </tpls>
      </m>
      <m>
        <tpls c="4">
          <tpl fld="7" item="405"/>
          <tpl fld="6" item="2"/>
          <tpl hier="236" item="1"/>
          <tpl fld="4" item="1"/>
        </tpls>
      </m>
      <m>
        <tpls c="4">
          <tpl fld="7" item="162"/>
          <tpl fld="6" item="2"/>
          <tpl hier="236" item="1"/>
          <tpl fld="4" item="6"/>
        </tpls>
      </m>
      <m>
        <tpls c="4">
          <tpl fld="7" item="289"/>
          <tpl fld="6" item="1"/>
          <tpl hier="236" item="1"/>
          <tpl fld="4" item="4"/>
        </tpls>
      </m>
      <m>
        <tpls c="4">
          <tpl fld="7" item="488"/>
          <tpl fld="6" item="1"/>
          <tpl hier="236" item="1"/>
          <tpl fld="4" item="6"/>
        </tpls>
      </m>
      <n v="82" in="1">
        <tpls c="6">
          <tpl fld="3" item="0"/>
          <tpl fld="11" item="0"/>
          <tpl fld="6" item="1"/>
          <tpl hier="236" item="1"/>
          <tpl fld="4" item="3"/>
          <tpl fld="10" item="1"/>
        </tpls>
      </n>
      <m>
        <tpls c="4">
          <tpl fld="7" item="14"/>
          <tpl fld="6" item="2"/>
          <tpl hier="236" item="1"/>
          <tpl fld="4" item="1"/>
        </tpls>
      </m>
      <m>
        <tpls c="4">
          <tpl fld="7" item="253"/>
          <tpl fld="6" item="2"/>
          <tpl hier="236" item="1"/>
          <tpl fld="4" item="1"/>
        </tpls>
      </m>
      <m>
        <tpls c="4">
          <tpl fld="7" item="263"/>
          <tpl fld="6" item="2"/>
          <tpl hier="236" item="1"/>
          <tpl fld="4" item="4"/>
        </tpls>
      </m>
      <m>
        <tpls c="4">
          <tpl fld="7" item="271"/>
          <tpl fld="6" item="2"/>
          <tpl hier="236" item="1"/>
          <tpl fld="4" item="4"/>
        </tpls>
      </m>
      <m>
        <tpls c="4">
          <tpl fld="7" item="69"/>
          <tpl fld="6" item="2"/>
          <tpl hier="236" item="1"/>
          <tpl fld="4" item="4"/>
        </tpls>
      </m>
      <m>
        <tpls c="4">
          <tpl fld="7" item="82"/>
          <tpl fld="6" item="1"/>
          <tpl hier="236" item="1"/>
          <tpl fld="4" item="4"/>
        </tpls>
      </m>
      <m>
        <tpls c="4">
          <tpl fld="7" item="419"/>
          <tpl fld="6" item="1"/>
          <tpl hier="236" item="1"/>
          <tpl fld="4" item="4"/>
        </tpls>
      </m>
      <m>
        <tpls c="4">
          <tpl fld="7" item="3"/>
          <tpl fld="6" item="2"/>
          <tpl hier="236" item="1"/>
          <tpl fld="4" item="6"/>
        </tpls>
      </m>
      <m>
        <tpls c="3">
          <tpl fld="7" item="281"/>
          <tpl fld="6" item="3"/>
          <tpl hier="236" item="1"/>
        </tpls>
      </m>
      <n v="0.91999999999999993" in="2">
        <tpls c="4">
          <tpl fld="7" item="492"/>
          <tpl fld="6" item="2"/>
          <tpl hier="236" item="1"/>
          <tpl fld="4" item="1"/>
        </tpls>
      </n>
      <m>
        <tpls c="4">
          <tpl fld="7" item="502"/>
          <tpl fld="6" item="1"/>
          <tpl hier="236" item="1"/>
          <tpl fld="4" item="6"/>
        </tpls>
      </m>
      <m>
        <tpls c="4">
          <tpl fld="7" item="680"/>
          <tpl fld="6" item="2"/>
          <tpl hier="236" item="1"/>
          <tpl fld="4" item="4"/>
        </tpls>
      </m>
      <m>
        <tpls c="3">
          <tpl fld="7" item="765"/>
          <tpl fld="6" item="3"/>
          <tpl hier="236" item="1"/>
        </tpls>
      </m>
      <m>
        <tpls c="4">
          <tpl fld="7" item="463"/>
          <tpl fld="6" item="1"/>
          <tpl hier="236" item="1"/>
          <tpl fld="4" item="6"/>
        </tpls>
      </m>
      <n v="24" in="1">
        <tpls c="4">
          <tpl fld="7" item="880"/>
          <tpl fld="6" item="1"/>
          <tpl hier="236" item="1"/>
          <tpl fld="1" item="0"/>
        </tpls>
      </n>
      <m>
        <tpls c="4">
          <tpl fld="7" item="5"/>
          <tpl fld="6" item="2"/>
          <tpl hier="236" item="1"/>
          <tpl fld="4" item="6"/>
        </tpls>
      </m>
      <m>
        <tpls c="3">
          <tpl fld="7" item="282"/>
          <tpl fld="6" item="3"/>
          <tpl hier="236" item="1"/>
        </tpls>
      </m>
      <m>
        <tpls c="4">
          <tpl fld="7" item="321"/>
          <tpl fld="6" item="2"/>
          <tpl hier="236" item="1"/>
          <tpl fld="4" item="1"/>
        </tpls>
      </m>
      <n v="3" in="1">
        <tpls c="4">
          <tpl fld="7" item="361"/>
          <tpl fld="6" item="1"/>
          <tpl hier="236" item="1"/>
          <tpl fld="4" item="6"/>
        </tpls>
      </n>
      <n v="2.2799999999999998" in="2">
        <tpls c="4">
          <tpl fld="7" item="515"/>
          <tpl fld="6" item="2"/>
          <tpl hier="236" item="1"/>
          <tpl fld="4" item="4"/>
        </tpls>
      </n>
      <m>
        <tpls c="4">
          <tpl fld="7" item="765"/>
          <tpl fld="6" item="2"/>
          <tpl hier="236" item="1"/>
          <tpl fld="4" item="5"/>
        </tpls>
      </m>
      <m>
        <tpls c="4">
          <tpl fld="7" item="463"/>
          <tpl fld="6" item="1"/>
          <tpl hier="236" item="1"/>
          <tpl fld="4" item="1"/>
        </tpls>
      </m>
      <n v="44" in="1">
        <tpls c="4">
          <tpl fld="7" item="608"/>
          <tpl fld="6" item="1"/>
          <tpl hier="236" item="1"/>
          <tpl fld="4" item="4"/>
        </tpls>
      </n>
      <m>
        <tpls c="4">
          <tpl fld="7" item="32"/>
          <tpl fld="6" item="2"/>
          <tpl hier="236" item="1"/>
          <tpl fld="4" item="1"/>
        </tpls>
      </m>
      <m>
        <tpls c="4">
          <tpl fld="7" item="409"/>
          <tpl fld="6" item="1"/>
          <tpl hier="236" item="1"/>
          <tpl fld="4" item="6"/>
        </tpls>
      </m>
      <m>
        <tpls c="4">
          <tpl fld="7" item="37"/>
          <tpl fld="6" item="1"/>
          <tpl hier="236" item="1"/>
          <tpl fld="4" item="4"/>
        </tpls>
      </m>
      <m>
        <tpls c="4">
          <tpl fld="7" item="82"/>
          <tpl fld="6" item="2"/>
          <tpl hier="236" item="1"/>
          <tpl fld="4" item="4"/>
        </tpls>
      </m>
      <m>
        <tpls c="4">
          <tpl fld="7" item="321"/>
          <tpl fld="6" item="1"/>
          <tpl hier="236" item="1"/>
          <tpl fld="4" item="4"/>
        </tpls>
      </m>
      <m>
        <tpls c="4">
          <tpl fld="7" item="463"/>
          <tpl fld="6" item="2"/>
          <tpl hier="236" item="1"/>
          <tpl fld="4" item="6"/>
        </tpls>
      </m>
      <m>
        <tpls c="4">
          <tpl fld="7" item="105"/>
          <tpl fld="6" item="1"/>
          <tpl hier="236" item="1"/>
          <tpl fld="4" item="4"/>
        </tpls>
      </m>
      <n v="0.84000000000000008" in="2">
        <tpls c="4">
          <tpl fld="7" item="605"/>
          <tpl fld="6" item="2"/>
          <tpl hier="236" item="1"/>
          <tpl fld="4" item="1"/>
        </tpls>
      </n>
      <m>
        <tpls c="4">
          <tpl fld="7" item="138"/>
          <tpl fld="6" item="2"/>
          <tpl hier="236" item="1"/>
          <tpl fld="4" item="4"/>
        </tpls>
      </m>
      <m>
        <tpls c="3">
          <tpl fld="7" item="299"/>
          <tpl fld="6" item="3"/>
          <tpl hier="236" item="1"/>
        </tpls>
      </m>
      <m>
        <tpls c="3">
          <tpl fld="7" item="595"/>
          <tpl fld="6" item="3"/>
          <tpl hier="236" item="1"/>
        </tpls>
      </m>
      <m>
        <tpls c="4">
          <tpl fld="7" item="436"/>
          <tpl fld="6" item="1"/>
          <tpl hier="236" item="1"/>
          <tpl fld="4" item="6"/>
        </tpls>
      </m>
      <m>
        <tpls c="4">
          <tpl fld="7" item="378"/>
          <tpl fld="6" item="2"/>
          <tpl hier="236" item="1"/>
          <tpl fld="4" item="4"/>
        </tpls>
      </m>
      <m>
        <tpls c="3">
          <tpl fld="7" item="604"/>
          <tpl fld="6" item="3"/>
          <tpl hier="236" item="1"/>
        </tpls>
      </m>
      <m>
        <tpls c="4">
          <tpl fld="7" item="465"/>
          <tpl fld="6" item="1"/>
          <tpl hier="236" item="1"/>
          <tpl fld="4" item="5"/>
        </tpls>
      </m>
      <n v="8" in="1">
        <tpls c="4">
          <tpl fld="7" item="689"/>
          <tpl fld="6" item="1"/>
          <tpl hier="236" item="1"/>
          <tpl fld="4" item="1"/>
        </tpls>
      </n>
      <n v="538" in="1">
        <tpls c="5">
          <tpl fld="11" item="0"/>
          <tpl fld="6" item="1"/>
          <tpl fld="8" item="0"/>
          <tpl hier="236" item="1"/>
          <tpl fld="4" item="5"/>
        </tpls>
      </n>
      <n v="19" in="1">
        <tpls c="4">
          <tpl fld="7" item="444"/>
          <tpl fld="6" item="1"/>
          <tpl hier="236" item="1"/>
          <tpl fld="4" item="4"/>
        </tpls>
      </n>
      <m>
        <tpls c="4">
          <tpl fld="7" item="610"/>
          <tpl fld="6" item="2"/>
          <tpl hier="236" item="1"/>
          <tpl fld="4" item="5"/>
        </tpls>
      </m>
      <n v="4" in="1">
        <tpls c="4">
          <tpl fld="7" item="882"/>
          <tpl fld="6" item="1"/>
          <tpl hier="236" item="1"/>
          <tpl fld="4" item="4"/>
        </tpls>
      </n>
      <m>
        <tpls c="4">
          <tpl fld="7" item="620"/>
          <tpl fld="6" item="1"/>
          <tpl hier="236" item="1"/>
          <tpl fld="4" item="6"/>
        </tpls>
      </m>
      <n v="12" in="1">
        <tpls c="4">
          <tpl fld="7" item="704"/>
          <tpl fld="6" item="1"/>
          <tpl hier="236" item="1"/>
          <tpl fld="1" item="0"/>
        </tpls>
      </n>
      <m>
        <tpls c="4">
          <tpl fld="7" item="568"/>
          <tpl fld="6" item="2"/>
          <tpl hier="236" item="1"/>
          <tpl fld="4" item="6"/>
        </tpls>
      </m>
      <n v="0.52" in="2">
        <tpls c="4">
          <tpl fld="7" item="714"/>
          <tpl fld="6" item="2"/>
          <tpl hier="236" item="1"/>
          <tpl fld="4" item="4"/>
        </tpls>
      </n>
      <m>
        <tpls c="4">
          <tpl fld="7" item="800"/>
          <tpl fld="6" item="2"/>
          <tpl hier="236" item="1"/>
          <tpl fld="4" item="6"/>
        </tpls>
      </m>
      <n v="4" in="1">
        <tpls c="4">
          <tpl fld="7" item="441"/>
          <tpl fld="6" item="1"/>
          <tpl hier="236" item="1"/>
          <tpl fld="4" item="4"/>
        </tpls>
      </n>
      <n v="1" in="2">
        <tpls c="4">
          <tpl fld="7" item="1087"/>
          <tpl fld="6" item="2"/>
          <tpl hier="236" item="1"/>
          <tpl fld="4" item="1"/>
        </tpls>
      </n>
      <m>
        <tpls c="4">
          <tpl fld="7" item="695"/>
          <tpl fld="6" item="2"/>
          <tpl hier="236" item="1"/>
          <tpl fld="4" item="6"/>
        </tpls>
      </m>
      <m>
        <tpls c="4">
          <tpl fld="7" item="555"/>
          <tpl fld="6" item="2"/>
          <tpl hier="236" item="1"/>
          <tpl fld="1" item="0"/>
        </tpls>
      </m>
      <m>
        <tpls c="3">
          <tpl fld="7" item="561"/>
          <tpl fld="6" item="3"/>
          <tpl hier="236" item="1"/>
        </tpls>
      </m>
      <m>
        <tpls c="4">
          <tpl fld="7" item="629"/>
          <tpl fld="6" item="1"/>
          <tpl hier="236" item="1"/>
          <tpl fld="4" item="1"/>
        </tpls>
      </m>
      <n v="1" in="1">
        <tpls c="4">
          <tpl fld="7" item="634"/>
          <tpl fld="6" item="1"/>
          <tpl hier="236" item="1"/>
          <tpl fld="4" item="4"/>
        </tpls>
      </n>
      <m>
        <tpls c="4">
          <tpl fld="7" item="263"/>
          <tpl fld="6" item="1"/>
          <tpl hier="236" item="1"/>
          <tpl fld="1" item="0"/>
        </tpls>
      </m>
      <m>
        <tpls c="3">
          <tpl fld="7" item="186"/>
          <tpl fld="6" item="3"/>
          <tpl hier="236" item="1"/>
        </tpls>
      </m>
      <m>
        <tpls c="4">
          <tpl fld="7" item="41"/>
          <tpl fld="6" item="1"/>
          <tpl hier="236" item="1"/>
          <tpl fld="4" item="4"/>
        </tpls>
      </m>
      <m>
        <tpls c="4">
          <tpl fld="7" item="302"/>
          <tpl fld="6" item="1"/>
          <tpl hier="236" item="1"/>
          <tpl fld="4" item="6"/>
        </tpls>
      </m>
      <n v="0.67999999999999994" in="2">
        <tpls c="4">
          <tpl fld="7" item="423"/>
          <tpl fld="6" item="2"/>
          <tpl hier="236" item="1"/>
          <tpl fld="4" item="1"/>
        </tpls>
      </n>
      <m>
        <tpls c="4">
          <tpl fld="7" item="394"/>
          <tpl fld="6" item="2"/>
          <tpl hier="236" item="1"/>
          <tpl fld="1" item="0"/>
        </tpls>
      </m>
      <n v="21.380648648648648" in="2">
        <tpls c="4">
          <tpl fld="7" item="595"/>
          <tpl fld="6" item="2"/>
          <tpl hier="236" item="1"/>
          <tpl fld="4" item="1"/>
        </tpls>
      </n>
      <m>
        <tpls c="4">
          <tpl fld="7" item="394"/>
          <tpl fld="6" item="1"/>
          <tpl hier="236" item="1"/>
          <tpl fld="4" item="6"/>
        </tpls>
      </m>
      <m>
        <tpls c="4">
          <tpl fld="7" item="36"/>
          <tpl fld="6" item="2"/>
          <tpl hier="236" item="1"/>
          <tpl fld="4" item="1"/>
        </tpls>
      </m>
      <m>
        <tpls c="4">
          <tpl fld="7" item="417"/>
          <tpl fld="6" item="2"/>
          <tpl hier="236" item="1"/>
          <tpl fld="4" item="1"/>
        </tpls>
      </m>
      <m>
        <tpls c="3">
          <tpl fld="7" item="675"/>
          <tpl fld="6" item="3"/>
          <tpl hier="236" item="1"/>
        </tpls>
      </m>
      <n v="4" in="1">
        <tpls c="4">
          <tpl fld="7" item="437"/>
          <tpl fld="6" item="1"/>
          <tpl hier="236" item="1"/>
          <tpl fld="4" item="6"/>
        </tpls>
      </n>
      <n v="382.88654054054058" in="2">
        <tpls c="6">
          <tpl fld="11" item="0"/>
          <tpl fld="5" item="1"/>
          <tpl fld="6" item="2"/>
          <tpl hier="236" item="1"/>
          <tpl fld="4" item="1"/>
          <tpl fld="9" item="4"/>
        </tpls>
      </n>
      <m>
        <tpls c="6">
          <tpl fld="3" item="0"/>
          <tpl fld="11" item="0"/>
          <tpl fld="6" item="2"/>
          <tpl hier="236" item="1"/>
          <tpl fld="4" item="3"/>
          <tpl fld="10" item="6"/>
        </tpls>
      </m>
      <n v="3.4" in="2">
        <tpls c="6">
          <tpl fld="3" item="0"/>
          <tpl fld="11" item="0"/>
          <tpl fld="6" item="2"/>
          <tpl hier="236" item="1"/>
          <tpl fld="4" item="7"/>
          <tpl fld="10" item="2"/>
        </tpls>
      </n>
      <n v="1" in="1">
        <tpls c="4">
          <tpl fld="7" item="1141"/>
          <tpl fld="6" item="1"/>
          <tpl hier="236" item="1"/>
          <tpl fld="4" item="6"/>
        </tpls>
      </n>
      <n v="16.64" in="2">
        <tpls c="6">
          <tpl fld="11" item="0"/>
          <tpl fld="2" item="1"/>
          <tpl fld="6" item="2"/>
          <tpl hier="236" item="1"/>
          <tpl fld="4" item="3"/>
          <tpl fld="10" item="8"/>
        </tpls>
      </n>
      <m>
        <tpls c="4">
          <tpl fld="7" item="10"/>
          <tpl fld="6" item="1"/>
          <tpl hier="236" item="1"/>
          <tpl fld="1" item="0"/>
        </tpls>
      </m>
      <n v="3578" in="1">
        <tpls c="5">
          <tpl fld="11" item="0"/>
          <tpl fld="6" item="1"/>
          <tpl hier="236" item="1"/>
          <tpl fld="4" item="6"/>
          <tpl fld="10" item="7"/>
        </tpls>
      </n>
      <n v="21" in="1">
        <tpls c="6">
          <tpl fld="11" item="0"/>
          <tpl fld="2" item="0"/>
          <tpl fld="6" item="1"/>
          <tpl hier="236" item="1"/>
          <tpl fld="4" item="7"/>
          <tpl fld="10" item="1"/>
        </tpls>
      </n>
      <m>
        <tpls c="4">
          <tpl fld="7" item="109"/>
          <tpl fld="6" item="1"/>
          <tpl hier="236" item="1"/>
          <tpl fld="4" item="4"/>
        </tpls>
      </m>
      <m>
        <tpls c="3">
          <tpl fld="7" item="478"/>
          <tpl fld="6" item="3"/>
          <tpl hier="236" item="1"/>
        </tpls>
      </m>
      <m>
        <tpls c="4">
          <tpl fld="7" item="97"/>
          <tpl fld="6" item="2"/>
          <tpl hier="236" item="1"/>
          <tpl fld="4" item="4"/>
        </tpls>
      </m>
      <n v="488" in="1">
        <tpls c="6">
          <tpl fld="11" item="0"/>
          <tpl fld="2" item="0"/>
          <tpl fld="6" item="1"/>
          <tpl hier="236" item="1"/>
          <tpl fld="4" item="4"/>
          <tpl fld="10" item="7"/>
        </tpls>
      </n>
      <n v="30.695405405405403" in="2">
        <tpls c="6">
          <tpl fld="11" item="0"/>
          <tpl fld="6" item="2"/>
          <tpl fld="8" item="0"/>
          <tpl hier="236" item="1"/>
          <tpl fld="4" item="4"/>
          <tpl fld="10" item="7"/>
        </tpls>
      </n>
      <m>
        <tpls c="4">
          <tpl fld="7" item="591"/>
          <tpl fld="6" item="1"/>
          <tpl hier="236" item="1"/>
          <tpl fld="1" item="0"/>
        </tpls>
      </m>
      <m>
        <tpls c="4">
          <tpl fld="7" item="312"/>
          <tpl fld="6" item="2"/>
          <tpl hier="236" item="1"/>
          <tpl fld="4" item="1"/>
        </tpls>
      </m>
      <n v="6.3448648648648662" in="2">
        <tpls c="6">
          <tpl fld="11" item="0"/>
          <tpl fld="2" item="4"/>
          <tpl fld="6" item="2"/>
          <tpl hier="236" item="1"/>
          <tpl fld="4" item="3"/>
          <tpl fld="10" item="2"/>
        </tpls>
      </n>
      <m>
        <tpls c="4">
          <tpl fld="7" item="217"/>
          <tpl fld="6" item="1"/>
          <tpl hier="236" item="1"/>
          <tpl fld="4" item="5"/>
        </tpls>
      </m>
      <m>
        <tpls c="3">
          <tpl fld="7" item="156"/>
          <tpl fld="6" item="3"/>
          <tpl hier="236" item="1"/>
        </tpls>
      </m>
      <m>
        <tpls c="4">
          <tpl fld="7" item="313"/>
          <tpl fld="6" item="2"/>
          <tpl hier="236" item="1"/>
          <tpl fld="4" item="1"/>
        </tpls>
      </m>
      <m>
        <tpls c="4">
          <tpl fld="7" item="268"/>
          <tpl fld="6" item="1"/>
          <tpl hier="236" item="1"/>
          <tpl fld="4" item="6"/>
        </tpls>
      </m>
      <m>
        <tpls c="4">
          <tpl fld="7" item="115"/>
          <tpl fld="6" item="2"/>
          <tpl hier="236" item="1"/>
          <tpl fld="4" item="6"/>
        </tpls>
      </m>
      <m>
        <tpls c="4">
          <tpl fld="7" item="280"/>
          <tpl fld="6" item="1"/>
          <tpl hier="236" item="1"/>
          <tpl fld="4" item="4"/>
        </tpls>
      </m>
      <m>
        <tpls c="4">
          <tpl fld="7" item="30"/>
          <tpl fld="6" item="1"/>
          <tpl hier="236" item="1"/>
          <tpl fld="4" item="4"/>
        </tpls>
      </m>
      <m>
        <tpls c="4">
          <tpl fld="7" item="75"/>
          <tpl fld="6" item="2"/>
          <tpl hier="236" item="1"/>
          <tpl fld="4" item="4"/>
        </tpls>
      </m>
      <m>
        <tpls c="4">
          <tpl fld="7" item="488"/>
          <tpl fld="6" item="2"/>
          <tpl hier="236" item="1"/>
          <tpl fld="4" item="1"/>
        </tpls>
      </m>
      <m>
        <tpls c="4">
          <tpl fld="7" item="389"/>
          <tpl fld="6" item="2"/>
          <tpl hier="236" item="1"/>
          <tpl fld="1" item="0"/>
        </tpls>
      </m>
      <m>
        <tpls c="4">
          <tpl fld="7" item="347"/>
          <tpl fld="6" item="2"/>
          <tpl hier="236" item="1"/>
          <tpl fld="4" item="1"/>
        </tpls>
      </m>
      <m>
        <tpls c="4">
          <tpl fld="7" item="460"/>
          <tpl fld="6" item="2"/>
          <tpl hier="236" item="1"/>
          <tpl fld="4" item="4"/>
        </tpls>
      </m>
      <m>
        <tpls c="6">
          <tpl fld="11" item="0"/>
          <tpl fld="5" item="0"/>
          <tpl fld="6" item="2"/>
          <tpl hier="236" item="1"/>
          <tpl fld="4" item="3"/>
          <tpl fld="10" item="4"/>
        </tpls>
      </m>
      <m>
        <tpls c="4">
          <tpl fld="7" item="753"/>
          <tpl fld="6" item="1"/>
          <tpl hier="236" item="1"/>
          <tpl fld="4" item="6"/>
        </tpls>
      </m>
      <m>
        <tpls c="4">
          <tpl fld="7" item="296"/>
          <tpl fld="6" item="2"/>
          <tpl hier="236" item="1"/>
          <tpl fld="4" item="4"/>
        </tpls>
      </m>
      <m>
        <tpls c="3">
          <tpl fld="7" item="315"/>
          <tpl fld="6" item="3"/>
          <tpl hier="236" item="1"/>
        </tpls>
      </m>
      <m>
        <tpls c="4">
          <tpl fld="7" item="21"/>
          <tpl fld="6" item="1"/>
          <tpl hier="236" item="1"/>
          <tpl fld="4" item="4"/>
        </tpls>
      </m>
      <m>
        <tpls c="4">
          <tpl fld="7" item="150"/>
          <tpl fld="6" item="1"/>
          <tpl hier="236" item="1"/>
          <tpl fld="4" item="4"/>
        </tpls>
      </m>
      <m>
        <tpls c="4">
          <tpl fld="7" item="161"/>
          <tpl fld="6" item="1"/>
          <tpl hier="236" item="1"/>
          <tpl fld="4" item="4"/>
        </tpls>
      </m>
      <m>
        <tpls c="3">
          <tpl fld="7" item="413"/>
          <tpl fld="6" item="3"/>
          <tpl hier="236" item="1"/>
        </tpls>
      </m>
      <m>
        <tpls c="3">
          <tpl fld="7" item="87"/>
          <tpl fld="6" item="3"/>
          <tpl hier="236" item="1"/>
        </tpls>
      </m>
      <n v="4.0183783783783786" in="2">
        <tpls c="6">
          <tpl fld="11" item="0"/>
          <tpl fld="5" item="4"/>
          <tpl fld="6" item="2"/>
          <tpl hier="236" item="1"/>
          <tpl fld="4" item="4"/>
          <tpl fld="10" item="7"/>
        </tpls>
      </n>
      <m>
        <tpls c="4">
          <tpl fld="7" item="175"/>
          <tpl fld="6" item="1"/>
          <tpl hier="236" item="1"/>
          <tpl fld="4" item="4"/>
        </tpls>
      </m>
      <m>
        <tpls c="4">
          <tpl fld="7" item="105"/>
          <tpl fld="6" item="1"/>
          <tpl hier="236" item="1"/>
          <tpl fld="4" item="6"/>
        </tpls>
      </m>
      <n v="10" in="1">
        <tpls c="4">
          <tpl fld="7" item="677"/>
          <tpl fld="6" item="1"/>
          <tpl hier="236" item="1"/>
          <tpl fld="4" item="4"/>
        </tpls>
      </n>
      <n v="1.7037837837837837" in="2">
        <tpls c="4">
          <tpl fld="7" item="445"/>
          <tpl fld="6" item="2"/>
          <tpl hier="236" item="1"/>
          <tpl fld="4" item="1"/>
        </tpls>
      </n>
      <m>
        <tpls c="4">
          <tpl fld="7" item="528"/>
          <tpl fld="6" item="2"/>
          <tpl hier="236" item="1"/>
          <tpl fld="4" item="1"/>
        </tpls>
      </m>
      <m>
        <tpls c="4">
          <tpl fld="7" item="605"/>
          <tpl fld="6" item="2"/>
          <tpl hier="236" item="1"/>
          <tpl fld="4" item="4"/>
        </tpls>
      </m>
      <n v="1" in="2">
        <tpls c="4">
          <tpl fld="7" item="608"/>
          <tpl fld="6" item="2"/>
          <tpl hier="236" item="1"/>
          <tpl fld="4" item="6"/>
        </tpls>
      </n>
      <m>
        <tpls c="4">
          <tpl fld="7" item="10"/>
          <tpl fld="6" item="1"/>
          <tpl hier="236" item="1"/>
          <tpl fld="4" item="4"/>
        </tpls>
      </m>
      <m>
        <tpls c="4">
          <tpl fld="7" item="176"/>
          <tpl fld="6" item="1"/>
          <tpl hier="236" item="1"/>
          <tpl fld="4" item="4"/>
        </tpls>
      </m>
      <m>
        <tpls c="4">
          <tpl fld="7" item="213"/>
          <tpl fld="6" item="1"/>
          <tpl hier="236" item="1"/>
          <tpl fld="4" item="6"/>
        </tpls>
      </m>
      <n v="5" in="1">
        <tpls c="4">
          <tpl fld="7" item="503"/>
          <tpl fld="6" item="1"/>
          <tpl hier="236" item="1"/>
          <tpl fld="4" item="4"/>
        </tpls>
      </n>
      <m>
        <tpls c="4">
          <tpl fld="7" item="762"/>
          <tpl fld="6" item="2"/>
          <tpl hier="236" item="1"/>
          <tpl fld="4" item="1"/>
        </tpls>
      </m>
      <m>
        <tpls c="4">
          <tpl fld="7" item="528"/>
          <tpl fld="6" item="1"/>
          <tpl hier="236" item="1"/>
          <tpl fld="1" item="0"/>
        </tpls>
      </m>
      <m>
        <tpls c="4">
          <tpl fld="7" item="605"/>
          <tpl fld="6" item="2"/>
          <tpl hier="236" item="1"/>
          <tpl fld="4" item="5"/>
        </tpls>
      </m>
      <m>
        <tpls c="4">
          <tpl fld="7" item="7"/>
          <tpl fld="6" item="1"/>
          <tpl hier="236" item="1"/>
          <tpl fld="1" item="0"/>
        </tpls>
      </m>
      <m>
        <tpls c="4">
          <tpl fld="7" item="134"/>
          <tpl fld="6" item="1"/>
          <tpl hier="236" item="1"/>
          <tpl fld="4" item="4"/>
        </tpls>
      </m>
      <m>
        <tpls c="4">
          <tpl fld="7" item="754"/>
          <tpl fld="6" item="2"/>
          <tpl hier="236" item="1"/>
          <tpl fld="4" item="4"/>
        </tpls>
      </m>
      <m>
        <tpls c="4">
          <tpl fld="7" item="32"/>
          <tpl fld="6" item="1"/>
          <tpl hier="236" item="1"/>
          <tpl fld="4" item="6"/>
        </tpls>
      </m>
      <m>
        <tpls c="4">
          <tpl fld="7" item="53"/>
          <tpl fld="6" item="1"/>
          <tpl hier="236" item="1"/>
          <tpl fld="4" item="6"/>
        </tpls>
      </m>
      <m>
        <tpls c="4">
          <tpl fld="7" item="413"/>
          <tpl fld="6" item="2"/>
          <tpl hier="236" item="1"/>
          <tpl fld="4" item="1"/>
        </tpls>
      </m>
      <m>
        <tpls c="4">
          <tpl fld="7" item="87"/>
          <tpl fld="6" item="2"/>
          <tpl hier="236" item="1"/>
          <tpl fld="4" item="1"/>
        </tpls>
      </m>
      <m>
        <tpls c="6">
          <tpl fld="11" item="0"/>
          <tpl fld="5" item="0"/>
          <tpl fld="6" item="2"/>
          <tpl hier="236" item="1"/>
          <tpl fld="4" item="3"/>
          <tpl fld="10" item="5"/>
        </tpls>
      </m>
      <m>
        <tpls c="4">
          <tpl fld="7" item="468"/>
          <tpl fld="6" item="2"/>
          <tpl hier="236" item="1"/>
          <tpl fld="4" item="6"/>
        </tpls>
      </m>
      <m>
        <tpls c="4">
          <tpl fld="7" item="35"/>
          <tpl fld="6" item="2"/>
          <tpl hier="236" item="1"/>
          <tpl fld="4" item="4"/>
        </tpls>
      </m>
      <m>
        <tpls c="4">
          <tpl fld="7" item="262"/>
          <tpl fld="6" item="2"/>
          <tpl hier="236" item="1"/>
          <tpl fld="4" item="4"/>
        </tpls>
      </m>
      <m>
        <tpls c="4">
          <tpl fld="7" item="270"/>
          <tpl fld="6" item="2"/>
          <tpl hier="236" item="1"/>
          <tpl fld="4" item="4"/>
        </tpls>
      </m>
      <m>
        <tpls c="3">
          <tpl fld="7" item="672"/>
          <tpl fld="6" item="3"/>
          <tpl hier="236" item="1"/>
        </tpls>
      </m>
      <m>
        <tpls c="4">
          <tpl fld="7" item="188"/>
          <tpl fld="6" item="1"/>
          <tpl hier="236" item="1"/>
          <tpl fld="4" item="6"/>
        </tpls>
      </m>
      <m>
        <tpls c="4">
          <tpl fld="7" item="309"/>
          <tpl fld="6" item="1"/>
          <tpl hier="236" item="1"/>
          <tpl fld="4" item="6"/>
        </tpls>
      </m>
      <n v="53.983405405405399" in="2">
        <tpls c="6">
          <tpl fld="3" item="2"/>
          <tpl fld="11" item="0"/>
          <tpl fld="6" item="2"/>
          <tpl hier="236" item="1"/>
          <tpl fld="4" item="4"/>
          <tpl fld="10" item="8"/>
        </tpls>
      </n>
      <m>
        <tpls c="4">
          <tpl fld="7" item="56"/>
          <tpl fld="6" item="1"/>
          <tpl hier="236" item="1"/>
          <tpl fld="4" item="5"/>
        </tpls>
      </m>
      <n v="1" in="1">
        <tpls c="4">
          <tpl fld="7" item="210"/>
          <tpl fld="6" item="1"/>
          <tpl hier="236" item="1"/>
          <tpl fld="4" item="6"/>
        </tpls>
      </n>
      <n v="2" in="2">
        <tpls c="4">
          <tpl fld="7" item="430"/>
          <tpl fld="6" item="2"/>
          <tpl hier="236" item="1"/>
          <tpl fld="4" item="1"/>
        </tpls>
      </n>
      <n v="1" in="3">
        <tpls c="3">
          <tpl fld="7" item="372"/>
          <tpl fld="6" item="3"/>
          <tpl hier="236" item="1"/>
        </tpls>
      </n>
      <n v="0" in="1">
        <tpls c="4">
          <tpl fld="7" item="526"/>
          <tpl fld="6" item="1"/>
          <tpl hier="236" item="1"/>
          <tpl fld="4" item="6"/>
        </tpls>
      </n>
      <m>
        <tpls c="4">
          <tpl fld="7" item="983"/>
          <tpl fld="6" item="2"/>
          <tpl hier="236" item="1"/>
          <tpl fld="4" item="4"/>
        </tpls>
      </m>
      <m>
        <tpls c="4">
          <tpl fld="7" item="687"/>
          <tpl fld="6" item="2"/>
          <tpl hier="236" item="1"/>
          <tpl fld="4" item="6"/>
        </tpls>
      </m>
      <n v="31.838378378378376" in="2">
        <tpls c="6">
          <tpl fld="11" item="0"/>
          <tpl fld="6" item="2"/>
          <tpl fld="8" item="1"/>
          <tpl hier="236" item="1"/>
          <tpl fld="4" item="1"/>
          <tpl fld="9" item="2"/>
        </tpls>
      </n>
      <m>
        <tpls c="4">
          <tpl fld="7" item="273"/>
          <tpl fld="6" item="2"/>
          <tpl hier="236" item="1"/>
          <tpl fld="4" item="1"/>
        </tpls>
      </m>
      <n v="2" in="1">
        <tpls c="4">
          <tpl fld="7" item="319"/>
          <tpl fld="6" item="1"/>
          <tpl hier="236" item="1"/>
          <tpl fld="4" item="4"/>
        </tpls>
      </n>
      <n v="2.52" in="2">
        <tpls c="4">
          <tpl fld="7" item="981"/>
          <tpl fld="6" item="2"/>
          <tpl hier="236" item="1"/>
          <tpl fld="4" item="1"/>
        </tpls>
      </n>
      <n v="1" in="3">
        <tpls c="3">
          <tpl fld="7" item="443"/>
          <tpl fld="6" item="3"/>
          <tpl hier="236" item="1"/>
        </tpls>
      </n>
      <m>
        <tpls c="4">
          <tpl fld="7" item="385"/>
          <tpl fld="6" item="1"/>
          <tpl hier="236" item="1"/>
          <tpl fld="4" item="6"/>
        </tpls>
      </m>
      <m>
        <tpls c="4">
          <tpl fld="7" item="983"/>
          <tpl fld="6" item="2"/>
          <tpl hier="236" item="1"/>
          <tpl fld="4" item="5"/>
        </tpls>
      </m>
      <m>
        <tpls c="4">
          <tpl fld="7" item="769"/>
          <tpl fld="6" item="2"/>
          <tpl hier="236" item="1"/>
          <tpl fld="4" item="1"/>
        </tpls>
      </m>
      <m>
        <tpls c="4">
          <tpl fld="7" item="262"/>
          <tpl fld="6" item="1"/>
          <tpl hier="236" item="1"/>
          <tpl fld="4" item="5"/>
        </tpls>
      </m>
      <n v="0" in="1">
        <tpls c="4">
          <tpl fld="7" item="199"/>
          <tpl fld="6" item="1"/>
          <tpl hier="236" item="1"/>
          <tpl fld="4" item="6"/>
        </tpls>
      </n>
      <m>
        <tpls c="4">
          <tpl fld="7" item="92"/>
          <tpl fld="6" item="2"/>
          <tpl hier="236" item="1"/>
          <tpl fld="4" item="1"/>
        </tpls>
      </m>
      <m>
        <tpls c="4">
          <tpl fld="7" item="49"/>
          <tpl fld="6" item="1"/>
          <tpl hier="236" item="1"/>
          <tpl fld="4" item="4"/>
        </tpls>
      </m>
      <m>
        <tpls c="4">
          <tpl fld="7" item="314"/>
          <tpl fld="6" item="1"/>
          <tpl hier="236" item="1"/>
          <tpl fld="4" item="6"/>
        </tpls>
      </m>
      <m>
        <tpls c="4">
          <tpl fld="7" item="435"/>
          <tpl fld="6" item="2"/>
          <tpl hier="236" item="1"/>
          <tpl fld="4" item="1"/>
        </tpls>
      </m>
      <n v="14" in="1">
        <tpls c="4">
          <tpl fld="7" item="609"/>
          <tpl fld="6" item="1"/>
          <tpl hier="236" item="1"/>
          <tpl fld="4" item="1"/>
        </tpls>
      </n>
      <m>
        <tpls c="4">
          <tpl fld="7" item="598"/>
          <tpl fld="6" item="2"/>
          <tpl hier="236" item="1"/>
          <tpl fld="4" item="1"/>
        </tpls>
      </m>
      <m>
        <tpls c="4">
          <tpl fld="7" item="537"/>
          <tpl fld="6" item="2"/>
          <tpl hier="236" item="1"/>
          <tpl fld="1" item="0"/>
        </tpls>
      </m>
      <m>
        <tpls c="4">
          <tpl fld="7" item="156"/>
          <tpl fld="6" item="1"/>
          <tpl hier="236" item="1"/>
          <tpl fld="4" item="5"/>
        </tpls>
      </m>
      <m>
        <tpls c="4">
          <tpl fld="7" item="420"/>
          <tpl fld="6" item="2"/>
          <tpl hier="236" item="1"/>
          <tpl fld="4" item="1"/>
        </tpls>
      </m>
      <m>
        <tpls c="3">
          <tpl fld="7" item="596"/>
          <tpl fld="6" item="3"/>
          <tpl hier="236" item="1"/>
        </tpls>
      </m>
      <m>
        <tpls c="4">
          <tpl fld="7" item="440"/>
          <tpl fld="6" item="1"/>
          <tpl hier="236" item="1"/>
          <tpl fld="4" item="6"/>
        </tpls>
      </m>
      <m>
        <tpls c="4">
          <tpl fld="7" item="382"/>
          <tpl fld="6" item="2"/>
          <tpl hier="236" item="1"/>
          <tpl fld="4" item="4"/>
        </tpls>
      </m>
      <m>
        <tpls c="4">
          <tpl fld="7" item="461"/>
          <tpl fld="6" item="1"/>
          <tpl hier="236" item="1"/>
          <tpl fld="4" item="5"/>
        </tpls>
      </m>
      <n v="4" in="1">
        <tpls c="4">
          <tpl fld="7" item="686"/>
          <tpl fld="6" item="1"/>
          <tpl hier="236" item="1"/>
          <tpl fld="4" item="1"/>
        </tpls>
      </n>
      <n v="12" in="1">
        <tpls c="4">
          <tpl fld="7" item="1212"/>
          <tpl fld="6" item="1"/>
          <tpl hier="236" item="1"/>
          <tpl fld="4" item="4"/>
        </tpls>
      </n>
      <m>
        <tpls c="3">
          <tpl fld="7" item="292"/>
          <tpl fld="6" item="3"/>
          <tpl hier="236" item="1"/>
        </tpls>
      </m>
      <n v="1" in="1">
        <tpls c="4">
          <tpl fld="7" item="529"/>
          <tpl fld="6" item="1"/>
          <tpl hier="236" item="1"/>
          <tpl fld="4" item="4"/>
        </tpls>
      </n>
      <m>
        <tpls c="4">
          <tpl fld="7" item="692"/>
          <tpl fld="6" item="1"/>
          <tpl hier="236" item="1"/>
          <tpl fld="4" item="5"/>
        </tpls>
      </m>
      <n v="0" in="1">
        <tpls c="4">
          <tpl fld="7" item="617"/>
          <tpl fld="6" item="1"/>
          <tpl hier="236" item="1"/>
          <tpl fld="4" item="6"/>
        </tpls>
      </n>
      <n v="2" in="1">
        <tpls c="4">
          <tpl fld="7" item="701"/>
          <tpl fld="6" item="1"/>
          <tpl hier="236" item="1"/>
          <tpl fld="1" item="0"/>
        </tpls>
      </n>
      <m>
        <tpls c="4">
          <tpl fld="7" item="563"/>
          <tpl fld="6" item="2"/>
          <tpl hier="236" item="1"/>
          <tpl fld="4" item="5"/>
        </tpls>
      </m>
      <m>
        <tpls c="4">
          <tpl fld="7" item="711"/>
          <tpl fld="6" item="2"/>
          <tpl hier="236" item="1"/>
          <tpl fld="4" item="4"/>
        </tpls>
      </m>
      <m>
        <tpls c="4">
          <tpl fld="7" item="797"/>
          <tpl fld="6" item="2"/>
          <tpl hier="236" item="1"/>
          <tpl fld="4" item="6"/>
        </tpls>
      </m>
      <m>
        <tpls c="3">
          <tpl fld="7" item="280"/>
          <tpl fld="6" item="3"/>
          <tpl hier="236" item="1"/>
        </tpls>
      </m>
      <n v="3" in="1">
        <tpls c="4">
          <tpl fld="7" item="457"/>
          <tpl fld="6" item="1"/>
          <tpl hier="236" item="1"/>
          <tpl fld="4" item="4"/>
        </tpls>
      </n>
      <m>
        <tpls c="4">
          <tpl fld="7" item="612"/>
          <tpl fld="6" item="2"/>
          <tpl hier="236" item="1"/>
          <tpl fld="4" item="6"/>
        </tpls>
      </m>
      <m>
        <tpls c="4">
          <tpl fld="7" item="551"/>
          <tpl fld="6" item="2"/>
          <tpl hier="236" item="1"/>
          <tpl fld="1" item="0"/>
        </tpls>
      </m>
      <m>
        <tpls c="3">
          <tpl fld="7" item="557"/>
          <tpl fld="6" item="3"/>
          <tpl hier="236" item="1"/>
        </tpls>
      </m>
      <n v="2" in="1">
        <tpls c="4">
          <tpl fld="7" item="787"/>
          <tpl fld="6" item="1"/>
          <tpl hier="236" item="1"/>
          <tpl fld="4" item="5"/>
        </tpls>
      </n>
      <m>
        <tpls c="4">
          <tpl fld="7" item="570"/>
          <tpl fld="6" item="1"/>
          <tpl hier="236" item="1"/>
          <tpl fld="4" item="1"/>
        </tpls>
      </m>
      <n v="1" in="1">
        <tpls c="4">
          <tpl fld="7" item="576"/>
          <tpl fld="6" item="1"/>
          <tpl hier="236" item="1"/>
          <tpl fld="4" item="6"/>
        </tpls>
      </n>
      <n v="1360" in="1">
        <tpls c="5">
          <tpl fld="11" item="0"/>
          <tpl fld="6" item="1"/>
          <tpl hier="236" item="1"/>
          <tpl fld="4" item="7"/>
          <tpl fld="10" item="8"/>
        </tpls>
      </n>
      <m>
        <tpls c="4">
          <tpl fld="7" item="96"/>
          <tpl fld="6" item="2"/>
          <tpl hier="236" item="1"/>
          <tpl fld="4" item="1"/>
        </tpls>
      </m>
      <m>
        <tpls c="4">
          <tpl fld="7" item="671"/>
          <tpl fld="6" item="1"/>
          <tpl hier="236" item="1"/>
          <tpl fld="4" item="4"/>
        </tpls>
      </m>
      <m>
        <tpls c="4">
          <tpl fld="7" item="318"/>
          <tpl fld="6" item="1"/>
          <tpl hier="236" item="1"/>
          <tpl fld="4" item="6"/>
        </tpls>
      </m>
      <m>
        <tpls c="4">
          <tpl fld="7" item="439"/>
          <tpl fld="6" item="2"/>
          <tpl hier="236" item="1"/>
          <tpl fld="4" item="1"/>
        </tpls>
      </m>
      <n v="9" in="1">
        <tpls c="4">
          <tpl fld="7" item="772"/>
          <tpl fld="6" item="1"/>
          <tpl hier="236" item="1"/>
          <tpl fld="4" item="4"/>
        </tpls>
      </n>
      <m>
        <tpls c="4">
          <tpl fld="7" item="599"/>
          <tpl fld="6" item="2"/>
          <tpl hier="236" item="1"/>
          <tpl fld="4" item="1"/>
        </tpls>
      </m>
      <m>
        <tpls c="4">
          <tpl fld="7" item="1186"/>
          <tpl fld="6" item="1"/>
          <tpl hier="236" item="1"/>
          <tpl fld="4" item="5"/>
        </tpls>
      </m>
      <m>
        <tpls c="4">
          <tpl fld="7" item="159"/>
          <tpl fld="6" item="1"/>
          <tpl hier="236" item="1"/>
          <tpl fld="4" item="5"/>
        </tpls>
      </m>
      <m>
        <tpls c="4">
          <tpl fld="7" item="100"/>
          <tpl fld="6" item="1"/>
          <tpl hier="236" item="1"/>
          <tpl fld="4" item="6"/>
        </tpls>
      </m>
      <m>
        <tpls c="3">
          <tpl fld="7" item="676"/>
          <tpl fld="6" item="3"/>
          <tpl hier="236" item="1"/>
        </tpls>
      </m>
      <m>
        <tpls c="4">
          <tpl fld="7" item="441"/>
          <tpl fld="6" item="1"/>
          <tpl hier="236" item="1"/>
          <tpl fld="4" item="6"/>
        </tpls>
      </m>
      <n v="5.312702702702703" in="2">
        <tpls c="6">
          <tpl fld="11" item="0"/>
          <tpl fld="2" item="4"/>
          <tpl fld="6" item="2"/>
          <tpl hier="236" item="1"/>
          <tpl fld="4" item="1"/>
          <tpl fld="9" item="1"/>
        </tpls>
      </n>
      <n v="372" in="1">
        <tpls c="6">
          <tpl fld="3" item="0"/>
          <tpl fld="11" item="0"/>
          <tpl fld="6" item="1"/>
          <tpl hier="236" item="1"/>
          <tpl fld="4" item="3"/>
          <tpl fld="10" item="2"/>
        </tpls>
      </n>
      <n v="272" in="1">
        <tpls c="6">
          <tpl fld="11" item="0"/>
          <tpl fld="2" item="1"/>
          <tpl fld="6" item="1"/>
          <tpl hier="236" item="1"/>
          <tpl fld="4" item="6"/>
          <tpl fld="10" item="3"/>
        </tpls>
      </n>
      <n v="439" in="1">
        <tpls c="6">
          <tpl fld="11" item="0"/>
          <tpl fld="2" item="0"/>
          <tpl fld="6" item="1"/>
          <tpl hier="236" item="1"/>
          <tpl fld="4" item="1"/>
          <tpl fld="9" item="4"/>
        </tpls>
      </n>
      <m>
        <tpls c="3">
          <tpl fld="7" item="1260"/>
          <tpl fld="6" item="3"/>
          <tpl hier="236" item="1"/>
        </tpls>
      </m>
      <m>
        <tpls c="6">
          <tpl fld="3" item="2"/>
          <tpl fld="11" item="0"/>
          <tpl fld="6" item="2"/>
          <tpl hier="236" item="1"/>
          <tpl fld="4" item="3"/>
          <tpl fld="10" item="0"/>
        </tpls>
      </m>
      <m>
        <tpls c="4">
          <tpl fld="7" item="232"/>
          <tpl fld="6" item="2"/>
          <tpl hier="236" item="1"/>
          <tpl fld="4" item="1"/>
        </tpls>
      </m>
      <m>
        <tpls c="6">
          <tpl fld="3" item="4"/>
          <tpl fld="11" item="0"/>
          <tpl fld="6" item="2"/>
          <tpl hier="236" item="1"/>
          <tpl fld="4" item="3"/>
          <tpl fld="10" item="2"/>
        </tpls>
      </m>
      <m>
        <tpls c="4">
          <tpl fld="7" item="466"/>
          <tpl fld="6" item="1"/>
          <tpl hier="236" item="1"/>
          <tpl fld="4" item="4"/>
        </tpls>
      </m>
      <m>
        <tpls c="4">
          <tpl fld="7" item="341"/>
          <tpl fld="6" item="1"/>
          <tpl hier="236" item="1"/>
          <tpl fld="4" item="4"/>
        </tpls>
      </m>
      <m>
        <tpls c="4">
          <tpl fld="7" item="240"/>
          <tpl fld="6" item="1"/>
          <tpl hier="236" item="1"/>
          <tpl fld="4" item="4"/>
        </tpls>
      </m>
      <n v="90" in="1">
        <tpls c="6">
          <tpl fld="3" item="0"/>
          <tpl fld="11" item="0"/>
          <tpl fld="6" item="1"/>
          <tpl hier="236" item="1"/>
          <tpl fld="4" item="3"/>
          <tpl fld="10" item="0"/>
        </tpls>
      </n>
      <n v="2" in="2">
        <tpls c="6">
          <tpl fld="11" item="0"/>
          <tpl fld="6" item="2"/>
          <tpl fld="8" item="1"/>
          <tpl hier="236" item="1"/>
          <tpl fld="4" item="7"/>
          <tpl fld="10" item="5"/>
        </tpls>
      </n>
      <m>
        <tpls c="3">
          <tpl fld="7" item="64"/>
          <tpl fld="6" item="3"/>
          <tpl hier="236" item="1"/>
        </tpls>
      </m>
      <m>
        <tpls c="4">
          <tpl fld="7" item="233"/>
          <tpl fld="6" item="1"/>
          <tpl hier="236" item="1"/>
          <tpl fld="4" item="4"/>
        </tpls>
      </m>
      <n v="44" in="1">
        <tpls c="6">
          <tpl fld="3" item="0"/>
          <tpl fld="11" item="0"/>
          <tpl fld="6" item="1"/>
          <tpl hier="236" item="1"/>
          <tpl fld="4" item="7"/>
          <tpl fld="10" item="0"/>
        </tpls>
      </n>
      <n v="45.073513513513518" in="2">
        <tpls c="5">
          <tpl fld="11" item="0"/>
          <tpl fld="6" item="2"/>
          <tpl fld="8" item="0"/>
          <tpl hier="236" item="1"/>
          <tpl fld="4" item="5"/>
        </tpls>
      </n>
      <m>
        <tpls c="3">
          <tpl fld="7" item="65"/>
          <tpl fld="6" item="3"/>
          <tpl hier="236" item="1"/>
        </tpls>
      </m>
      <m>
        <tpls c="4">
          <tpl fld="7" item="238"/>
          <tpl fld="6" item="1"/>
          <tpl hier="236" item="1"/>
          <tpl fld="4" item="4"/>
        </tpls>
      </m>
      <m>
        <tpls c="4">
          <tpl fld="7" item="287"/>
          <tpl fld="6" item="1"/>
          <tpl hier="236" item="1"/>
          <tpl fld="4" item="4"/>
        </tpls>
      </m>
      <n v="0" in="1">
        <tpls c="4">
          <tpl fld="7" item="485"/>
          <tpl fld="6" item="1"/>
          <tpl hier="236" item="1"/>
          <tpl fld="4" item="4"/>
        </tpls>
      </n>
      <m>
        <tpls c="4">
          <tpl fld="7" item="196"/>
          <tpl fld="6" item="1"/>
          <tpl hier="236" item="1"/>
          <tpl fld="4" item="4"/>
        </tpls>
      </m>
      <m>
        <tpls c="4">
          <tpl fld="7" item="407"/>
          <tpl fld="6" item="2"/>
          <tpl hier="236" item="1"/>
          <tpl fld="4" item="4"/>
        </tpls>
      </m>
      <m>
        <tpls c="3">
          <tpl fld="7" item="94"/>
          <tpl fld="6" item="3"/>
          <tpl hier="236" item="1"/>
        </tpls>
      </m>
      <m>
        <tpls c="4">
          <tpl fld="7" item="597"/>
          <tpl fld="6" item="1"/>
          <tpl hier="236" item="1"/>
          <tpl fld="4" item="4"/>
        </tpls>
      </m>
      <m>
        <tpls c="4">
          <tpl fld="7" item="539"/>
          <tpl fld="6" item="2"/>
          <tpl hier="236" item="1"/>
          <tpl fld="4" item="5"/>
        </tpls>
      </m>
      <m>
        <tpls c="4">
          <tpl fld="7" item="502"/>
          <tpl fld="6" item="1"/>
          <tpl hier="236" item="1"/>
          <tpl fld="4" item="4"/>
        </tpls>
      </m>
      <m>
        <tpls c="4">
          <tpl fld="7" item="1057"/>
          <tpl fld="6" item="1"/>
          <tpl hier="236" item="1"/>
          <tpl fld="4" item="5"/>
        </tpls>
      </m>
      <m>
        <tpls c="4">
          <tpl fld="7" item="263"/>
          <tpl fld="6" item="2"/>
          <tpl hier="236" item="1"/>
          <tpl fld="4" item="6"/>
        </tpls>
      </m>
      <m>
        <tpls c="4">
          <tpl fld="7" item="66"/>
          <tpl fld="6" item="1"/>
          <tpl hier="236" item="1"/>
          <tpl fld="4" item="6"/>
        </tpls>
      </m>
      <m>
        <tpls c="4">
          <tpl fld="7" item="755"/>
          <tpl fld="6" item="1"/>
          <tpl hier="236" item="1"/>
          <tpl fld="4" item="6"/>
        </tpls>
      </m>
      <n v="66.42708108108107" in="2">
        <tpls c="6">
          <tpl fld="11" item="0"/>
          <tpl fld="6" item="2"/>
          <tpl fld="8" item="1"/>
          <tpl hier="236" item="1"/>
          <tpl fld="4" item="6"/>
          <tpl fld="10" item="0"/>
        </tpls>
      </n>
      <m>
        <tpls c="4">
          <tpl fld="7" item="248"/>
          <tpl fld="6" item="2"/>
          <tpl hier="236" item="1"/>
          <tpl fld="4" item="1"/>
        </tpls>
      </m>
      <m>
        <tpls c="4">
          <tpl fld="7" item="154"/>
          <tpl fld="6" item="1"/>
          <tpl hier="236" item="1"/>
          <tpl fld="4" item="4"/>
        </tpls>
      </m>
      <m>
        <tpls c="4">
          <tpl fld="7" item="165"/>
          <tpl fld="6" item="1"/>
          <tpl hier="236" item="1"/>
          <tpl fld="4" item="4"/>
        </tpls>
      </m>
      <m>
        <tpls c="4">
          <tpl fld="7" item="77"/>
          <tpl fld="6" item="1"/>
          <tpl hier="236" item="1"/>
          <tpl fld="4" item="4"/>
        </tpls>
      </m>
      <m>
        <tpls c="4">
          <tpl fld="7" item="348"/>
          <tpl fld="6" item="1"/>
          <tpl hier="236" item="1"/>
          <tpl fld="4" item="4"/>
        </tpls>
      </m>
      <m>
        <tpls c="3">
          <tpl fld="7" item="251"/>
          <tpl fld="6" item="3"/>
          <tpl hier="236" item="1"/>
        </tpls>
      </m>
      <m>
        <tpls c="4">
          <tpl fld="7" item="86"/>
          <tpl fld="6" item="1"/>
          <tpl hier="236" item="1"/>
          <tpl fld="4" item="6"/>
        </tpls>
      </m>
      <n v="55" in="1">
        <tpls c="4">
          <tpl fld="7" item="675"/>
          <tpl fld="6" item="1"/>
          <tpl hier="236" item="1"/>
          <tpl fld="4" item="4"/>
        </tpls>
      </n>
      <m>
        <tpls c="4">
          <tpl fld="7" item="437"/>
          <tpl fld="6" item="2"/>
          <tpl hier="236" item="1"/>
          <tpl fld="4" item="1"/>
        </tpls>
      </m>
      <n v="1" in="3">
        <tpls c="3">
          <tpl fld="7" item="379"/>
          <tpl fld="6" item="3"/>
          <tpl hier="236" item="1"/>
        </tpls>
      </n>
      <m>
        <tpls c="4">
          <tpl fld="7" item="530"/>
          <tpl fld="6" item="2"/>
          <tpl hier="236" item="1"/>
          <tpl fld="4" item="5"/>
        </tpls>
      </m>
      <m>
        <tpls c="4">
          <tpl fld="7" item="536"/>
          <tpl fld="6" item="2"/>
          <tpl hier="236" item="1"/>
          <tpl fld="4" item="1"/>
        </tpls>
      </m>
      <m>
        <tpls c="4">
          <tpl fld="7" item="1087"/>
          <tpl fld="6" item="2"/>
          <tpl hier="236" item="1"/>
          <tpl fld="4" item="4"/>
        </tpls>
      </m>
      <m>
        <tpls c="4">
          <tpl fld="7" item="150"/>
          <tpl fld="6" item="2"/>
          <tpl hier="236" item="1"/>
          <tpl fld="4" item="1"/>
        </tpls>
      </m>
      <m>
        <tpls c="4">
          <tpl fld="7" item="87"/>
          <tpl fld="6" item="1"/>
          <tpl hier="236" item="1"/>
          <tpl fld="4" item="6"/>
        </tpls>
      </m>
      <m>
        <tpls c="4">
          <tpl fld="7" item="495"/>
          <tpl fld="6" item="1"/>
          <tpl hier="236" item="1"/>
          <tpl fld="4" item="4"/>
        </tpls>
      </m>
      <m>
        <tpls c="4">
          <tpl fld="7" item="760"/>
          <tpl fld="6" item="2"/>
          <tpl hier="236" item="1"/>
          <tpl fld="4" item="1"/>
        </tpls>
      </m>
      <n v="1" in="3">
        <tpls c="3">
          <tpl fld="7" item="450"/>
          <tpl fld="6" item="3"/>
          <tpl hier="236" item="1"/>
        </tpls>
      </n>
      <n v="0" in="1">
        <tpls c="4">
          <tpl fld="7" item="389"/>
          <tpl fld="6" item="1"/>
          <tpl hier="236" item="1"/>
          <tpl fld="4" item="6"/>
        </tpls>
      </n>
      <n v="373" in="1">
        <tpls c="6">
          <tpl fld="11" item="0"/>
          <tpl fld="5" item="4"/>
          <tpl fld="6" item="1"/>
          <tpl hier="236" item="1"/>
          <tpl fld="4" item="6"/>
          <tpl fld="10" item="8"/>
        </tpls>
      </n>
      <n v="207" in="1">
        <tpls c="5">
          <tpl fld="11" item="0"/>
          <tpl fld="6" item="1"/>
          <tpl hier="236" item="1"/>
          <tpl fld="4" item="6"/>
          <tpl fld="10" item="6"/>
        </tpls>
      </n>
      <m>
        <tpls c="4">
          <tpl fld="7" item="152"/>
          <tpl fld="6" item="1"/>
          <tpl hier="236" item="1"/>
          <tpl fld="1" item="0"/>
        </tpls>
      </m>
      <m>
        <tpls c="3">
          <tpl fld="7" item="418"/>
          <tpl fld="6" item="3"/>
          <tpl hier="236" item="1"/>
        </tpls>
      </m>
      <m>
        <tpls c="4">
          <tpl fld="7" item="154"/>
          <tpl fld="6" item="2"/>
          <tpl hier="236" item="1"/>
          <tpl fld="4" item="6"/>
        </tpls>
      </m>
      <m>
        <tpls c="4">
          <tpl fld="7" item="57"/>
          <tpl fld="6" item="1"/>
          <tpl hier="236" item="1"/>
          <tpl fld="4" item="6"/>
        </tpls>
      </m>
      <m>
        <tpls c="4">
          <tpl fld="7" item="293"/>
          <tpl fld="6" item="2"/>
          <tpl hier="236" item="1"/>
          <tpl fld="4" item="4"/>
        </tpls>
      </m>
      <m>
        <tpls c="3">
          <tpl fld="7" item="308"/>
          <tpl fld="6" item="3"/>
          <tpl hier="236" item="1"/>
        </tpls>
      </m>
      <n v="211.69670270270262" in="2">
        <tpls c="6">
          <tpl fld="11" item="0"/>
          <tpl fld="6" item="2"/>
          <tpl fld="8" item="1"/>
          <tpl hier="236" item="1"/>
          <tpl fld="4" item="4"/>
          <tpl fld="10" item="0"/>
        </tpls>
      </n>
      <m>
        <tpls c="4">
          <tpl fld="7" item="27"/>
          <tpl fld="6" item="2"/>
          <tpl hier="236" item="1"/>
          <tpl fld="4" item="4"/>
        </tpls>
      </m>
      <m>
        <tpls c="4">
          <tpl fld="7" item="40"/>
          <tpl fld="6" item="1"/>
          <tpl hier="236" item="1"/>
          <tpl fld="4" item="4"/>
        </tpls>
      </m>
      <m>
        <tpls c="4">
          <tpl fld="7" item="265"/>
          <tpl fld="6" item="2"/>
          <tpl hier="236" item="1"/>
          <tpl fld="4" item="4"/>
        </tpls>
      </m>
      <m>
        <tpls c="4">
          <tpl fld="7" item="273"/>
          <tpl fld="6" item="2"/>
          <tpl hier="236" item="1"/>
          <tpl fld="4" item="4"/>
        </tpls>
      </m>
      <m>
        <tpls c="4">
          <tpl fld="7" item="180"/>
          <tpl fld="6" item="1"/>
          <tpl hier="236" item="1"/>
          <tpl fld="4" item="6"/>
        </tpls>
      </m>
      <m>
        <tpls c="4">
          <tpl fld="7" item="301"/>
          <tpl fld="6" item="1"/>
          <tpl hier="236" item="1"/>
          <tpl fld="4" item="6"/>
        </tpls>
      </m>
      <m>
        <tpls c="4">
          <tpl fld="7" item="349"/>
          <tpl fld="6" item="2"/>
          <tpl hier="236" item="1"/>
          <tpl fld="4" item="4"/>
        </tpls>
      </m>
      <m>
        <tpls c="4">
          <tpl fld="7" item="140"/>
          <tpl fld="6" item="2"/>
          <tpl hier="236" item="1"/>
          <tpl fld="4" item="4"/>
        </tpls>
      </m>
      <m>
        <tpls c="4">
          <tpl fld="7" item="344"/>
          <tpl fld="6" item="1"/>
          <tpl hier="236" item="1"/>
          <tpl fld="4" item="6"/>
        </tpls>
      </m>
      <n v="14.4" in="2">
        <tpls c="4">
          <tpl fld="7" item="1211"/>
          <tpl fld="6" item="2"/>
          <tpl hier="236" item="1"/>
          <tpl fld="4" item="1"/>
        </tpls>
      </n>
      <n v="1" in="3">
        <tpls c="3">
          <tpl fld="7" item="364"/>
          <tpl fld="6" item="3"/>
          <tpl hier="236" item="1"/>
        </tpls>
      </n>
      <n v="23" in="1">
        <tpls c="4">
          <tpl fld="7" item="518"/>
          <tpl fld="6" item="1"/>
          <tpl hier="236" item="1"/>
          <tpl fld="4" item="6"/>
        </tpls>
      </n>
      <m>
        <tpls c="4">
          <tpl fld="7" item="529"/>
          <tpl fld="6" item="2"/>
          <tpl hier="236" item="1"/>
          <tpl fld="4" item="5"/>
        </tpls>
      </m>
      <m>
        <tpls c="4">
          <tpl fld="7" item="535"/>
          <tpl fld="6" item="2"/>
          <tpl hier="236" item="1"/>
          <tpl fld="4" item="1"/>
        </tpls>
      </m>
      <n v="0.55999999999999994" in="2">
        <tpls c="4">
          <tpl fld="7" item="609"/>
          <tpl fld="6" item="2"/>
          <tpl hier="236" item="1"/>
          <tpl fld="4" item="4"/>
        </tpls>
      </n>
      <m>
        <tpls c="4">
          <tpl fld="7" item="141"/>
          <tpl fld="6" item="2"/>
          <tpl hier="236" item="1"/>
          <tpl fld="4" item="4"/>
        </tpls>
      </m>
      <m>
        <tpls c="4">
          <tpl fld="7" item="415"/>
          <tpl fld="6" item="1"/>
          <tpl hier="236" item="1"/>
          <tpl fld="4" item="6"/>
        </tpls>
      </m>
      <n v="13.798378378378381" in="2">
        <tpls c="4">
          <tpl fld="7" item="324"/>
          <tpl fld="6" item="2"/>
          <tpl hier="236" item="1"/>
          <tpl fld="4" item="1"/>
        </tpls>
      </n>
      <n v="1" in="3">
        <tpls c="3">
          <tpl fld="7" item="435"/>
          <tpl fld="6" item="3"/>
          <tpl hier="236" item="1"/>
        </tpls>
      </n>
      <n v="24" in="1">
        <tpls c="4">
          <tpl fld="7" item="377"/>
          <tpl fld="6" item="1"/>
          <tpl hier="236" item="1"/>
          <tpl fld="4" item="6"/>
        </tpls>
      </n>
      <m>
        <tpls c="4">
          <tpl fld="7" item="388"/>
          <tpl fld="6" item="1"/>
          <tpl hier="236" item="1"/>
          <tpl fld="4" item="6"/>
        </tpls>
      </m>
      <m>
        <tpls c="4">
          <tpl fld="7" item="535"/>
          <tpl fld="6" item="1"/>
          <tpl hier="236" item="1"/>
          <tpl fld="1" item="0"/>
        </tpls>
      </m>
      <n v="4265" in="1">
        <tpls c="5">
          <tpl fld="11" item="0"/>
          <tpl fld="6" item="1"/>
          <tpl hier="236" item="1"/>
          <tpl fld="4" item="3"/>
          <tpl fld="10" item="8"/>
        </tpls>
      </n>
      <m>
        <tpls c="6">
          <tpl fld="3" item="2"/>
          <tpl fld="11" item="0"/>
          <tpl fld="6" item="2"/>
          <tpl hier="236" item="1"/>
          <tpl fld="4" item="3"/>
          <tpl fld="10" item="5"/>
        </tpls>
      </m>
      <m>
        <tpls c="4">
          <tpl fld="7" item="268"/>
          <tpl fld="6" item="2"/>
          <tpl hier="236" item="1"/>
          <tpl fld="4" item="6"/>
        </tpls>
      </m>
      <m>
        <tpls c="3">
          <tpl fld="7" item="538"/>
          <tpl fld="6" item="3"/>
          <tpl hier="236" item="1"/>
        </tpls>
      </m>
      <m>
        <tpls c="4">
          <tpl fld="7" item="2"/>
          <tpl fld="6" item="1"/>
          <tpl hier="236" item="1"/>
          <tpl fld="4" item="5"/>
        </tpls>
      </m>
      <m>
        <tpls c="4">
          <tpl fld="7" item="193"/>
          <tpl fld="6" item="2"/>
          <tpl hier="236" item="1"/>
          <tpl fld="4" item="4"/>
        </tpls>
      </m>
      <m>
        <tpls c="4">
          <tpl fld="7" item="45"/>
          <tpl fld="6" item="1"/>
          <tpl hier="236" item="1"/>
          <tpl fld="4" item="4"/>
        </tpls>
      </m>
      <n v="0" in="1">
        <tpls c="4">
          <tpl fld="7" item="1083"/>
          <tpl fld="6" item="1"/>
          <tpl hier="236" item="1"/>
          <tpl fld="4" item="4"/>
        </tpls>
      </n>
      <n v="1" in="1">
        <tpls c="4">
          <tpl fld="7" item="499"/>
          <tpl fld="6" item="1"/>
          <tpl hier="236" item="1"/>
          <tpl fld="4" item="6"/>
        </tpls>
      </n>
      <n v="1" in="2">
        <tpls c="4">
          <tpl fld="7" item="538"/>
          <tpl fld="6" item="2"/>
          <tpl hier="236" item="1"/>
          <tpl fld="4" item="1"/>
        </tpls>
      </n>
      <n v="3" in="1">
        <tpls c="4">
          <tpl fld="7" item="358"/>
          <tpl fld="6" item="1"/>
          <tpl hier="236" item="1"/>
          <tpl fld="4" item="6"/>
        </tpls>
      </n>
      <m>
        <tpls c="4">
          <tpl fld="7" item="395"/>
          <tpl fld="6" item="1"/>
          <tpl hier="236" item="1"/>
          <tpl fld="4" item="6"/>
        </tpls>
      </m>
      <m>
        <tpls c="4">
          <tpl fld="7" item="259"/>
          <tpl fld="6" item="1"/>
          <tpl hier="236" item="1"/>
          <tpl fld="4" item="5"/>
        </tpls>
      </m>
      <m>
        <tpls c="4">
          <tpl fld="7" item="92"/>
          <tpl fld="6" item="1"/>
          <tpl hier="236" item="1"/>
          <tpl fld="4" item="6"/>
        </tpls>
      </m>
      <n v="15" in="1">
        <tpls c="4">
          <tpl fld="7" item="355"/>
          <tpl fld="6" item="1"/>
          <tpl hier="236" item="1"/>
          <tpl fld="4" item="4"/>
        </tpls>
      </n>
      <m>
        <tpls c="4">
          <tpl fld="7" item="509"/>
          <tpl fld="6" item="2"/>
          <tpl hier="236" item="1"/>
          <tpl fld="4" item="1"/>
        </tpls>
      </m>
      <n v="1" in="3">
        <tpls c="3">
          <tpl fld="7" item="602"/>
          <tpl fld="6" item="3"/>
          <tpl hier="236" item="1"/>
        </tpls>
      </n>
      <n v="1" in="1">
        <tpls c="4">
          <tpl fld="7" item="684"/>
          <tpl fld="6" item="1"/>
          <tpl hier="236" item="1"/>
          <tpl fld="1" item="0"/>
        </tpls>
      </n>
      <m>
        <tpls c="4">
          <tpl fld="7" item="1086"/>
          <tpl fld="6" item="2"/>
          <tpl hier="236" item="1"/>
          <tpl fld="4" item="5"/>
        </tpls>
      </m>
      <m>
        <tpls c="4">
          <tpl fld="7" item="690"/>
          <tpl fld="6" item="2"/>
          <tpl hier="236" item="1"/>
          <tpl fld="4" item="1"/>
        </tpls>
      </m>
      <m>
        <tpls c="4">
          <tpl fld="7" item="51"/>
          <tpl fld="6" item="2"/>
          <tpl hier="236" item="1"/>
          <tpl fld="4" item="1"/>
        </tpls>
      </m>
      <m>
        <tpls c="3">
          <tpl fld="7" item="524"/>
          <tpl fld="6" item="3"/>
          <tpl hier="236" item="1"/>
        </tpls>
      </m>
      <n v="6" in="1">
        <tpls c="4">
          <tpl fld="7" item="773"/>
          <tpl fld="6" item="1"/>
          <tpl hier="236" item="1"/>
          <tpl fld="1" item="0"/>
        </tpls>
      </n>
      <m>
        <tpls c="4">
          <tpl fld="7" item="778"/>
          <tpl fld="6" item="2"/>
          <tpl hier="236" item="1"/>
          <tpl fld="4" item="4"/>
        </tpls>
      </m>
      <m>
        <tpls c="4">
          <tpl fld="7" item="987"/>
          <tpl fld="6" item="2"/>
          <tpl hier="236" item="1"/>
          <tpl fld="4" item="6"/>
        </tpls>
      </m>
      <m>
        <tpls c="4">
          <tpl fld="7" item="625"/>
          <tpl fld="6" item="2"/>
          <tpl hier="236" item="1"/>
          <tpl fld="1" item="0"/>
        </tpls>
      </m>
      <m>
        <tpls c="4">
          <tpl fld="7" item="792"/>
          <tpl fld="6" item="2"/>
          <tpl hier="236" item="1"/>
          <tpl fld="4" item="6"/>
        </tpls>
      </m>
      <m>
        <tpls c="4">
          <tpl fld="7" item="635"/>
          <tpl fld="6" item="1"/>
          <tpl hier="236" item="1"/>
          <tpl fld="4" item="1"/>
        </tpls>
      </m>
      <m>
        <tpls c="4">
          <tpl fld="7" item="1185"/>
          <tpl fld="6" item="2"/>
          <tpl hier="236" item="1"/>
          <tpl fld="4" item="1"/>
        </tpls>
      </m>
      <n v="1" in="3">
        <tpls c="3">
          <tpl fld="7" item="521"/>
          <tpl fld="6" item="3"/>
          <tpl hier="236" item="1"/>
        </tpls>
      </n>
      <m>
        <tpls c="4">
          <tpl fld="7" item="691"/>
          <tpl fld="6" item="1"/>
          <tpl hier="236" item="1"/>
          <tpl fld="4" item="1"/>
        </tpls>
      </m>
      <n v="7" in="1">
        <tpls c="4">
          <tpl fld="7" item="696"/>
          <tpl fld="6" item="1"/>
          <tpl hier="236" item="1"/>
          <tpl fld="4" item="4"/>
        </tpls>
      </n>
      <m>
        <tpls c="4">
          <tpl fld="7" item="782"/>
          <tpl fld="6" item="1"/>
          <tpl hier="236" item="1"/>
          <tpl fld="4" item="6"/>
        </tpls>
      </m>
      <n v="37" in="1">
        <tpls c="4">
          <tpl fld="7" item="562"/>
          <tpl fld="6" item="1"/>
          <tpl hier="236" item="1"/>
          <tpl fld="1" item="0"/>
        </tpls>
      </n>
      <n v="2" in="1">
        <tpls c="4">
          <tpl fld="7" item="569"/>
          <tpl fld="6" item="1"/>
          <tpl hier="236" item="1"/>
          <tpl fld="4" item="1"/>
        </tpls>
      </n>
      <m>
        <tpls c="4">
          <tpl fld="7" item="1276"/>
          <tpl fld="6" item="2"/>
          <tpl hier="236" item="1"/>
          <tpl fld="4" item="4"/>
        </tpls>
      </m>
      <m>
        <tpls c="3">
          <tpl fld="7" item="82"/>
          <tpl fld="6" item="3"/>
          <tpl hier="236" item="1"/>
        </tpls>
      </m>
      <m>
        <tpls c="4">
          <tpl fld="7" item="347"/>
          <tpl fld="6" item="1"/>
          <tpl hier="236" item="1"/>
          <tpl fld="4" item="6"/>
        </tpls>
      </m>
      <m>
        <tpls c="4">
          <tpl fld="7" item="591"/>
          <tpl fld="6" item="1"/>
          <tpl hier="236" item="1"/>
          <tpl fld="4" item="4"/>
        </tpls>
      </m>
      <m>
        <tpls c="4">
          <tpl fld="7" item="594"/>
          <tpl fld="6" item="1"/>
          <tpl hier="236" item="1"/>
          <tpl fld="4" item="4"/>
        </tpls>
      </m>
      <m>
        <tpls c="4">
          <tpl fld="7" item="503"/>
          <tpl fld="6" item="1"/>
          <tpl hier="236" item="1"/>
          <tpl fld="4" item="6"/>
        </tpls>
      </m>
      <m>
        <tpls c="4">
          <tpl fld="7" item="688"/>
          <tpl fld="6" item="2"/>
          <tpl hier="236" item="1"/>
          <tpl fld="4" item="4"/>
        </tpls>
      </m>
      <n v="1" in="1">
        <tpls c="4">
          <tpl fld="7" item="362"/>
          <tpl fld="6" item="1"/>
          <tpl hier="236" item="1"/>
          <tpl fld="4" item="6"/>
        </tpls>
      </n>
      <m>
        <tpls c="4">
          <tpl fld="7" item="606"/>
          <tpl fld="6" item="1"/>
          <tpl hier="236" item="1"/>
          <tpl fld="4" item="5"/>
        </tpls>
      </m>
      <m>
        <tpls c="4">
          <tpl fld="7" item="154"/>
          <tpl fld="6" item="1"/>
          <tpl hier="236" item="1"/>
          <tpl fld="4" item="5"/>
        </tpls>
      </m>
      <m>
        <tpls c="4">
          <tpl fld="7" item="96"/>
          <tpl fld="6" item="1"/>
          <tpl hier="236" item="1"/>
          <tpl fld="4" item="6"/>
        </tpls>
      </m>
      <n v="14" in="1">
        <tpls c="4">
          <tpl fld="7" item="356"/>
          <tpl fld="6" item="1"/>
          <tpl hier="236" item="1"/>
          <tpl fld="4" item="4"/>
        </tpls>
      </n>
      <m>
        <tpls c="4">
          <tpl fld="7" item="510"/>
          <tpl fld="6" item="2"/>
          <tpl hier="236" item="1"/>
          <tpl fld="4" item="1"/>
        </tpls>
      </m>
      <m>
        <tpls c="3">
          <tpl fld="7" item="682"/>
          <tpl fld="6" item="3"/>
          <tpl hier="236" item="1"/>
        </tpls>
      </m>
      <m>
        <tpls c="4">
          <tpl fld="7" item="390"/>
          <tpl fld="6" item="2"/>
          <tpl hier="236" item="1"/>
          <tpl fld="4" item="4"/>
        </tpls>
      </m>
      <m>
        <tpls c="4">
          <tpl fld="7" item="537"/>
          <tpl fld="6" item="2"/>
          <tpl hier="236" item="1"/>
          <tpl fld="4" item="6"/>
        </tpls>
      </m>
      <n v="1" in="2">
        <tpls c="4">
          <tpl fld="7" item="772"/>
          <tpl fld="6" item="2"/>
          <tpl hier="236" item="1"/>
          <tpl fld="1" item="0"/>
        </tpls>
      </n>
      <m>
        <tpls c="4">
          <tpl fld="7" item="174"/>
          <tpl fld="6" item="1"/>
          <tpl hier="236" item="1"/>
          <tpl fld="4" item="4"/>
        </tpls>
      </m>
      <n v="1" in="1">
        <tpls c="4">
          <tpl fld="7" item="765"/>
          <tpl fld="6" item="1"/>
          <tpl hier="236" item="1"/>
          <tpl fld="4" item="4"/>
        </tpls>
      </n>
      <n v="1" in="1">
        <tpls c="4">
          <tpl fld="7" item="545"/>
          <tpl fld="6" item="1"/>
          <tpl hier="236" item="1"/>
          <tpl fld="4" item="4"/>
        </tpls>
      </n>
      <m>
        <tpls c="3">
          <tpl fld="7" item="986"/>
          <tpl fld="6" item="3"/>
          <tpl hier="236" item="1"/>
        </tpls>
      </m>
      <m>
        <tpls c="4">
          <tpl fld="7" item="557"/>
          <tpl fld="6" item="1"/>
          <tpl hier="236" item="1"/>
          <tpl fld="4" item="5"/>
        </tpls>
      </m>
      <n v="9" in="1">
        <tpls c="4">
          <tpl fld="7" item="787"/>
          <tpl fld="6" item="1"/>
          <tpl hier="236" item="1"/>
          <tpl fld="4" item="1"/>
        </tpls>
      </n>
      <m>
        <tpls c="4">
          <tpl fld="7" item="631"/>
          <tpl fld="6" item="1"/>
          <tpl hier="236" item="1"/>
          <tpl fld="4" item="4"/>
        </tpls>
      </m>
      <n v="1" in="1">
        <tpls c="4">
          <tpl fld="7" item="576"/>
          <tpl fld="6" item="1"/>
          <tpl hier="236" item="1"/>
          <tpl fld="1" item="0"/>
        </tpls>
      </n>
      <m>
        <tpls c="4">
          <tpl fld="7" item="338"/>
          <tpl fld="6" item="2"/>
          <tpl hier="236" item="1"/>
          <tpl fld="4" item="1"/>
        </tpls>
      </m>
      <m>
        <tpls c="3">
          <tpl fld="7" item="525"/>
          <tpl fld="6" item="3"/>
          <tpl hier="236" item="1"/>
        </tpls>
      </m>
      <m>
        <tpls c="3">
          <tpl fld="7" item="881"/>
          <tpl fld="6" item="3"/>
          <tpl hier="236" item="1"/>
        </tpls>
      </m>
      <m>
        <tpls c="4">
          <tpl fld="7" item="778"/>
          <tpl fld="6" item="2"/>
          <tpl hier="236" item="1"/>
          <tpl fld="4" item="5"/>
        </tpls>
      </m>
      <m>
        <tpls c="4">
          <tpl fld="7" item="621"/>
          <tpl fld="6" item="2"/>
          <tpl hier="236" item="1"/>
          <tpl fld="4" item="1"/>
        </tpls>
      </m>
      <n v="0.52" in="2">
        <tpls c="4">
          <tpl fld="7" item="705"/>
          <tpl fld="6" item="2"/>
          <tpl hier="236" item="1"/>
          <tpl fld="4" item="4"/>
        </tpls>
      </n>
      <m>
        <tpls c="4">
          <tpl fld="7" item="1239"/>
          <tpl fld="6" item="2"/>
          <tpl hier="236" item="1"/>
          <tpl fld="4" item="1"/>
        </tpls>
      </m>
      <m>
        <tpls c="3">
          <tpl fld="7" item="715"/>
          <tpl fld="6" item="3"/>
          <tpl hier="236" item="1"/>
        </tpls>
      </m>
      <m>
        <tpls c="4">
          <tpl fld="7" item="314"/>
          <tpl fld="6" item="2"/>
          <tpl hier="236" item="1"/>
          <tpl fld="4" item="1"/>
        </tpls>
      </m>
      <m>
        <tpls c="4">
          <tpl fld="7" item="348"/>
          <tpl fld="6" item="1"/>
          <tpl hier="236" item="1"/>
          <tpl fld="4" item="6"/>
        </tpls>
      </m>
      <m>
        <tpls c="4">
          <tpl fld="7" item="50"/>
          <tpl fld="6" item="1"/>
          <tpl hier="236" item="1"/>
          <tpl fld="4" item="4"/>
        </tpls>
      </m>
      <n v="0" in="1">
        <tpls c="4">
          <tpl fld="7" item="674"/>
          <tpl fld="6" item="1"/>
          <tpl hier="236" item="1"/>
          <tpl fld="4" item="4"/>
        </tpls>
      </n>
      <m>
        <tpls c="4">
          <tpl fld="7" item="507"/>
          <tpl fld="6" item="1"/>
          <tpl hier="236" item="1"/>
          <tpl fld="4" item="6"/>
        </tpls>
      </m>
      <m>
        <tpls c="4">
          <tpl fld="7" item="771"/>
          <tpl fld="6" item="2"/>
          <tpl hier="236" item="1"/>
          <tpl fld="4" item="6"/>
        </tpls>
      </m>
      <n v="2" in="1">
        <tpls c="4">
          <tpl fld="7" item="366"/>
          <tpl fld="6" item="1"/>
          <tpl hier="236" item="1"/>
          <tpl fld="4" item="6"/>
        </tpls>
      </n>
      <n v="4.8" in="2">
        <tpls c="6">
          <tpl fld="11" item="0"/>
          <tpl fld="2" item="2"/>
          <tpl fld="6" item="2"/>
          <tpl hier="236" item="1"/>
          <tpl fld="4" item="3"/>
          <tpl fld="10" item="7"/>
        </tpls>
      </n>
      <n v="0" in="1">
        <tpls c="6">
          <tpl fld="3" item="2"/>
          <tpl fld="11" item="0"/>
          <tpl fld="6" item="1"/>
          <tpl hier="236" item="1"/>
          <tpl fld="4" item="3"/>
          <tpl fld="10" item="3"/>
        </tpls>
      </n>
      <m>
        <tpls c="4">
          <tpl fld="7" item="246"/>
          <tpl fld="6" item="1"/>
          <tpl hier="236" item="1"/>
          <tpl fld="4" item="6"/>
        </tpls>
      </m>
      <m>
        <tpls c="4">
          <tpl fld="7" item="473"/>
          <tpl fld="6" item="1"/>
          <tpl hier="236" item="1"/>
          <tpl fld="4" item="4"/>
        </tpls>
      </m>
      <m>
        <tpls c="4">
          <tpl fld="7" item="332"/>
          <tpl fld="6" item="1"/>
          <tpl hier="236" item="1"/>
          <tpl fld="4" item="4"/>
        </tpls>
      </m>
      <m>
        <tpls c="4">
          <tpl fld="7" item="231"/>
          <tpl fld="6" item="2"/>
          <tpl hier="236" item="1"/>
          <tpl fld="4" item="1"/>
        </tpls>
      </m>
      <n v="1" in="3">
        <tpls c="3">
          <tpl fld="7" item="370"/>
          <tpl fld="6" item="3"/>
          <tpl hier="236" item="1"/>
        </tpls>
      </n>
      <m>
        <tpls c="4">
          <tpl fld="7" item="337"/>
          <tpl fld="6" item="1"/>
          <tpl hier="236" item="1"/>
          <tpl fld="4" item="6"/>
        </tpls>
      </m>
      <m>
        <tpls c="4">
          <tpl fld="7" item="35"/>
          <tpl fld="6" item="1"/>
          <tpl hier="236" item="1"/>
          <tpl fld="4" item="4"/>
        </tpls>
      </m>
      <m>
        <tpls c="4">
          <tpl fld="7" item="490"/>
          <tpl fld="6" item="2"/>
          <tpl hier="236" item="1"/>
          <tpl fld="4" item="4"/>
        </tpls>
      </m>
      <m>
        <tpls c="4">
          <tpl fld="7" item="599"/>
          <tpl fld="6" item="2"/>
          <tpl hier="236" item="1"/>
          <tpl fld="4" item="4"/>
        </tpls>
      </m>
      <n v="3" in="1">
        <tpls c="4">
          <tpl fld="7" item="772"/>
          <tpl fld="6" item="1"/>
          <tpl hier="236" item="1"/>
          <tpl fld="4" item="1"/>
        </tpls>
      </n>
      <m>
        <tpls c="4">
          <tpl fld="7" item="510"/>
          <tpl fld="6" item="2"/>
          <tpl hier="236" item="1"/>
          <tpl fld="4" item="4"/>
        </tpls>
      </m>
      <m>
        <tpls c="4">
          <tpl fld="7" item="113"/>
          <tpl fld="6" item="1"/>
          <tpl hier="236" item="1"/>
          <tpl fld="4" item="4"/>
        </tpls>
      </m>
      <m>
        <tpls c="4">
          <tpl fld="7" item="170"/>
          <tpl fld="6" item="1"/>
          <tpl hier="236" item="1"/>
          <tpl fld="4" item="4"/>
        </tpls>
      </m>
      <m>
        <tpls c="3">
          <tpl fld="7" item="332"/>
          <tpl fld="6" item="3"/>
          <tpl hier="236" item="1"/>
        </tpls>
      </m>
      <m>
        <tpls c="4">
          <tpl fld="7" item="291"/>
          <tpl fld="6" item="2"/>
          <tpl hier="236" item="1"/>
          <tpl fld="4" item="1"/>
        </tpls>
      </m>
      <m>
        <tpls c="4">
          <tpl fld="7" item="303"/>
          <tpl fld="6" item="2"/>
          <tpl hier="236" item="1"/>
          <tpl fld="4" item="4"/>
        </tpls>
      </m>
      <m>
        <tpls c="3">
          <tpl fld="7" item="389"/>
          <tpl fld="6" item="3"/>
          <tpl hier="236" item="1"/>
        </tpls>
      </m>
      <m>
        <tpls c="4">
          <tpl fld="7" item="304"/>
          <tpl fld="6" item="2"/>
          <tpl hier="236" item="1"/>
          <tpl fld="4" item="4"/>
        </tpls>
      </m>
      <m>
        <tpls c="4">
          <tpl fld="7" item="389"/>
          <tpl fld="6" item="2"/>
          <tpl hier="236" item="1"/>
          <tpl fld="4" item="6"/>
        </tpls>
      </m>
      <m>
        <tpls c="4">
          <tpl fld="7" item="482"/>
          <tpl fld="6" item="2"/>
          <tpl hier="236" item="1"/>
          <tpl fld="4" item="1"/>
        </tpls>
      </m>
      <n v="1" in="1">
        <tpls c="4">
          <tpl fld="7" item="684"/>
          <tpl fld="6" item="1"/>
          <tpl hier="236" item="1"/>
          <tpl fld="4" item="4"/>
        </tpls>
      </n>
      <m>
        <tpls c="4">
          <tpl fld="7" item="184"/>
          <tpl fld="6" item="2"/>
          <tpl hier="236" item="1"/>
          <tpl fld="4" item="4"/>
        </tpls>
      </m>
      <m>
        <tpls c="4">
          <tpl fld="7" item="529"/>
          <tpl fld="6" item="1"/>
          <tpl hier="236" item="1"/>
          <tpl fld="4" item="6"/>
        </tpls>
      </m>
      <n v="1" in="3">
        <tpls c="3">
          <tpl fld="7" item="508"/>
          <tpl fld="6" item="3"/>
          <tpl hier="236" item="1"/>
        </tpls>
      </n>
      <m>
        <tpls c="4">
          <tpl fld="7" item="884"/>
          <tpl fld="6" item="2"/>
          <tpl hier="236" item="1"/>
          <tpl fld="4" item="6"/>
        </tpls>
      </m>
      <n v="1" in="3">
        <tpls c="3">
          <tpl fld="7" item="505"/>
          <tpl fld="6" item="3"/>
          <tpl hier="236" item="1"/>
        </tpls>
      </n>
      <m>
        <tpls c="4">
          <tpl fld="7" item="785"/>
          <tpl fld="6" item="1"/>
          <tpl hier="236" item="1"/>
          <tpl fld="4" item="6"/>
        </tpls>
      </m>
      <m>
        <tpls c="4">
          <tpl fld="7" item="286"/>
          <tpl fld="6" item="1"/>
          <tpl hier="236" item="1"/>
          <tpl fld="4" item="4"/>
        </tpls>
      </m>
      <m>
        <tpls c="4">
          <tpl fld="7" item="462"/>
          <tpl fld="6" item="1"/>
          <tpl hier="236" item="1"/>
          <tpl fld="4" item="6"/>
        </tpls>
      </m>
      <m>
        <tpls c="4">
          <tpl fld="7" item="188"/>
          <tpl fld="6" item="2"/>
          <tpl hier="236" item="1"/>
          <tpl fld="4" item="4"/>
        </tpls>
      </m>
      <n v="1" in="3">
        <tpls c="3">
          <tpl fld="7" item="681"/>
          <tpl fld="6" item="3"/>
          <tpl hier="236" item="1"/>
        </tpls>
      </n>
      <m>
        <tpls c="4">
          <tpl fld="7" item="461"/>
          <tpl fld="6" item="2"/>
          <tpl hier="236" item="1"/>
          <tpl fld="4" item="5"/>
        </tpls>
      </m>
      <n v="1.2" in="2">
        <tpls c="4">
          <tpl fld="7" item="880"/>
          <tpl fld="6" item="2"/>
          <tpl hier="236" item="1"/>
          <tpl fld="4" item="4"/>
        </tpls>
      </n>
      <m>
        <tpls c="3">
          <tpl fld="7" item="1208"/>
          <tpl fld="6" item="3"/>
          <tpl hier="236" item="1"/>
        </tpls>
      </m>
      <m>
        <tpls c="4">
          <tpl fld="7" item="388"/>
          <tpl fld="6" item="1"/>
          <tpl hier="236" item="1"/>
          <tpl fld="4" item="5"/>
        </tpls>
      </m>
      <m>
        <tpls c="4">
          <tpl fld="7" item="614"/>
          <tpl fld="6" item="2"/>
          <tpl hier="236" item="1"/>
          <tpl fld="4" item="6"/>
        </tpls>
      </m>
      <m>
        <tpls c="3">
          <tpl fld="7" item="883"/>
          <tpl fld="6" item="3"/>
          <tpl hier="236" item="1"/>
        </tpls>
      </m>
      <m>
        <tpls c="3">
          <tpl fld="7" item="1091"/>
          <tpl fld="6" item="3"/>
          <tpl hier="236" item="1"/>
        </tpls>
      </m>
      <n v="5" in="1">
        <tpls c="4">
          <tpl fld="7" item="990"/>
          <tpl fld="6" item="1"/>
          <tpl hier="236" item="1"/>
          <tpl fld="4" item="4"/>
        </tpls>
      </n>
      <m>
        <tpls c="4">
          <tpl fld="7" item="580"/>
          <tpl fld="6" item="1"/>
          <tpl hier="236" item="1"/>
          <tpl fld="1" item="0"/>
        </tpls>
      </m>
      <m>
        <tpls c="4">
          <tpl fld="7" item="528"/>
          <tpl fld="6" item="1"/>
          <tpl hier="236" item="1"/>
          <tpl fld="4" item="4"/>
        </tpls>
      </m>
      <m>
        <tpls c="4">
          <tpl fld="7" item="1088"/>
          <tpl fld="6" item="1"/>
          <tpl hier="236" item="1"/>
          <tpl fld="4" item="6"/>
        </tpls>
      </m>
      <m>
        <tpls c="4">
          <tpl fld="7" item="781"/>
          <tpl fld="6" item="2"/>
          <tpl hier="236" item="1"/>
          <tpl fld="4" item="5"/>
        </tpls>
      </m>
      <m>
        <tpls c="4">
          <tpl fld="7" item="787"/>
          <tpl fld="6" item="2"/>
          <tpl hier="236" item="1"/>
          <tpl fld="4" item="5"/>
        </tpls>
      </m>
      <m>
        <tpls c="4">
          <tpl fld="7" item="572"/>
          <tpl fld="6" item="2"/>
          <tpl hier="236" item="1"/>
          <tpl fld="4" item="6"/>
        </tpls>
      </m>
      <m>
        <tpls c="3">
          <tpl fld="7" item="40"/>
          <tpl fld="6" item="3"/>
          <tpl hier="236" item="1"/>
        </tpls>
      </m>
      <m>
        <tpls c="3">
          <tpl fld="7" item="313"/>
          <tpl fld="6" item="3"/>
          <tpl hier="236" item="1"/>
        </tpls>
      </m>
      <m>
        <tpls c="4">
          <tpl fld="7" item="284"/>
          <tpl fld="6" item="2"/>
          <tpl hier="236" item="1"/>
          <tpl fld="4" item="1"/>
        </tpls>
      </m>
      <n v="1" in="1">
        <tpls c="4">
          <tpl fld="7" item="106"/>
          <tpl fld="6" item="1"/>
          <tpl hier="236" item="1"/>
          <tpl fld="4" item="6"/>
        </tpls>
      </n>
      <m>
        <tpls c="4">
          <tpl fld="7" item="543"/>
          <tpl fld="6" item="1"/>
          <tpl hier="236" item="1"/>
          <tpl fld="4" item="5"/>
        </tpls>
      </m>
      <m>
        <tpls c="3">
          <tpl fld="7" item="456"/>
          <tpl fld="6" item="3"/>
          <tpl hier="236" item="1"/>
        </tpls>
      </m>
      <n v="1.24" in="2">
        <tpls c="6">
          <tpl fld="11" item="0"/>
          <tpl fld="6" item="2"/>
          <tpl fld="8" item="1"/>
          <tpl hier="236" item="1"/>
          <tpl fld="4" item="6"/>
          <tpl fld="10" item="1"/>
        </tpls>
      </n>
      <m>
        <tpls c="4">
          <tpl fld="7" item="754"/>
          <tpl fld="6" item="1"/>
          <tpl hier="236" item="1"/>
          <tpl fld="4" item="6"/>
        </tpls>
      </m>
      <n v="0.48" in="2">
        <tpls c="4">
          <tpl fld="7" item="106"/>
          <tpl fld="6" item="2"/>
          <tpl hier="236" item="1"/>
          <tpl fld="4" item="1"/>
        </tpls>
      </n>
      <n v="1" in="3">
        <tpls c="3">
          <tpl fld="7" item="759"/>
          <tpl fld="6" item="3"/>
          <tpl hier="236" item="1"/>
        </tpls>
      </n>
      <n v="13" in="1">
        <tpls c="4">
          <tpl fld="7" item="446"/>
          <tpl fld="6" item="1"/>
          <tpl hier="236" item="1"/>
          <tpl fld="4" item="6"/>
        </tpls>
      </n>
      <m>
        <tpls c="4">
          <tpl fld="7" item="458"/>
          <tpl fld="6" item="2"/>
          <tpl hier="236" item="1"/>
          <tpl fld="4" item="1"/>
        </tpls>
      </m>
      <m>
        <tpls c="4">
          <tpl fld="7" item="393"/>
          <tpl fld="6" item="2"/>
          <tpl hier="236" item="1"/>
          <tpl fld="4" item="4"/>
        </tpls>
      </m>
      <m>
        <tpls c="4">
          <tpl fld="7" item="540"/>
          <tpl fld="6" item="2"/>
          <tpl hier="236" item="1"/>
          <tpl fld="4" item="6"/>
        </tpls>
      </m>
      <m>
        <tpls c="4">
          <tpl fld="7" item="985"/>
          <tpl fld="6" item="2"/>
          <tpl hier="236" item="1"/>
          <tpl fld="1" item="0"/>
        </tpls>
      </m>
      <n v="1.72" in="2">
        <tpls c="4">
          <tpl fld="7" item="362"/>
          <tpl fld="6" item="2"/>
          <tpl hier="236" item="1"/>
          <tpl fld="4" item="1"/>
        </tpls>
      </n>
      <n v="0.55999999999999994" in="2">
        <tpls c="4">
          <tpl fld="7" item="688"/>
          <tpl fld="6" item="2"/>
          <tpl hier="236" item="1"/>
          <tpl fld="4" item="6"/>
        </tpls>
      </n>
      <m>
        <tpls c="4">
          <tpl fld="7" item="776"/>
          <tpl fld="6" item="2"/>
          <tpl hier="236" item="1"/>
          <tpl fld="1" item="0"/>
        </tpls>
      </m>
      <m>
        <tpls c="3">
          <tpl fld="7" item="619"/>
          <tpl fld="6" item="3"/>
          <tpl hier="236" item="1"/>
        </tpls>
      </m>
      <n v="1" in="1">
        <tpls c="4">
          <tpl fld="7" item="560"/>
          <tpl fld="6" item="1"/>
          <tpl hier="236" item="1"/>
          <tpl fld="4" item="5"/>
        </tpls>
      </n>
      <n v="0.52" in="2">
        <tpls c="4">
          <tpl fld="7" item="628"/>
          <tpl fld="6" item="2"/>
          <tpl hier="236" item="1"/>
          <tpl fld="4" item="6"/>
        </tpls>
      </n>
      <m>
        <tpls c="4">
          <tpl fld="7" item="713"/>
          <tpl fld="6" item="1"/>
          <tpl hier="236" item="1"/>
          <tpl fld="4" item="6"/>
        </tpls>
      </m>
      <m>
        <tpls c="4">
          <tpl fld="7" item="579"/>
          <tpl fld="6" item="1"/>
          <tpl hier="236" item="1"/>
          <tpl fld="1" item="0"/>
        </tpls>
      </m>
      <m>
        <tpls c="4">
          <tpl fld="7" item="359"/>
          <tpl fld="6" item="2"/>
          <tpl hier="236" item="1"/>
          <tpl fld="4" item="1"/>
        </tpls>
      </m>
      <m>
        <tpls c="3">
          <tpl fld="7" item="687"/>
          <tpl fld="6" item="3"/>
          <tpl hier="236" item="1"/>
        </tpls>
      </m>
      <n v="7" in="1">
        <tpls c="4">
          <tpl fld="7" item="548"/>
          <tpl fld="6" item="1"/>
          <tpl hier="236" item="1"/>
          <tpl fld="1" item="0"/>
        </tpls>
      </n>
      <m>
        <tpls c="4">
          <tpl fld="7" item="1270"/>
          <tpl fld="6" item="2"/>
          <tpl hier="236" item="1"/>
          <tpl fld="4" item="5"/>
        </tpls>
      </m>
      <m>
        <tpls c="4">
          <tpl fld="7" item="703"/>
          <tpl fld="6" item="2"/>
          <tpl hier="236" item="1"/>
          <tpl fld="4" item="1"/>
        </tpls>
      </m>
      <n v="4" in="1">
        <tpls c="4">
          <tpl fld="7" item="885"/>
          <tpl fld="6" item="1"/>
          <tpl hier="236" item="1"/>
          <tpl fld="4" item="1"/>
        </tpls>
      </n>
      <m>
        <tpls c="4">
          <tpl fld="7" item="633"/>
          <tpl fld="6" item="2"/>
          <tpl hier="236" item="1"/>
          <tpl fld="1" item="0"/>
        </tpls>
      </m>
      <m>
        <tpls c="3">
          <tpl fld="7" item="799"/>
          <tpl fld="6" item="3"/>
          <tpl hier="236" item="1"/>
        </tpls>
      </m>
      <n v="2" in="2">
        <tpls c="4">
          <tpl fld="7" item="360"/>
          <tpl fld="6" item="2"/>
          <tpl hier="236" item="1"/>
          <tpl fld="4" item="1"/>
        </tpls>
      </n>
      <n v="30" in="1">
        <tpls c="4">
          <tpl fld="7" item="539"/>
          <tpl fld="6" item="1"/>
          <tpl hier="236" item="1"/>
          <tpl fld="4" item="4"/>
        </tpls>
      </n>
      <n v="8" in="1">
        <tpls c="4">
          <tpl fld="7" item="776"/>
          <tpl fld="6" item="1"/>
          <tpl hier="236" item="1"/>
          <tpl fld="4" item="4"/>
        </tpls>
      </n>
      <m>
        <tpls c="4">
          <tpl fld="7" item="88"/>
          <tpl fld="6" item="2"/>
          <tpl hier="236" item="1"/>
          <tpl fld="4" item="4"/>
        </tpls>
      </m>
      <n v="8" in="1">
        <tpls c="4">
          <tpl fld="7" item="1084"/>
          <tpl fld="6" item="1"/>
          <tpl hier="236" item="1"/>
          <tpl fld="4" item="4"/>
        </tpls>
      </n>
      <m>
        <tpls c="4">
          <tpl fld="7" item="155"/>
          <tpl fld="6" item="1"/>
          <tpl hier="236" item="1"/>
          <tpl fld="4" item="5"/>
        </tpls>
      </m>
      <n v="12" in="1">
        <tpls c="4">
          <tpl fld="7" item="382"/>
          <tpl fld="6" item="1"/>
          <tpl hier="236" item="1"/>
          <tpl fld="4" item="4"/>
        </tpls>
      </n>
      <m>
        <tpls c="4">
          <tpl fld="7" item="484"/>
          <tpl fld="6" item="1"/>
          <tpl hier="236" item="1"/>
          <tpl fld="4" item="6"/>
        </tpls>
      </m>
      <m>
        <tpls c="3">
          <tpl fld="7" item="701"/>
          <tpl fld="6" item="3"/>
          <tpl hier="236" item="1"/>
        </tpls>
      </m>
      <m>
        <tpls c="4">
          <tpl fld="7" item="339"/>
          <tpl fld="6" item="2"/>
          <tpl hier="236" item="1"/>
          <tpl fld="4" item="1"/>
        </tpls>
      </m>
      <m>
        <tpls c="4">
          <tpl fld="7" item="621"/>
          <tpl fld="6" item="2"/>
          <tpl hier="236" item="1"/>
          <tpl fld="4" item="5"/>
        </tpls>
      </m>
      <m>
        <tpls c="4">
          <tpl fld="7" item="717"/>
          <tpl fld="6" item="1"/>
          <tpl hier="236" item="1"/>
          <tpl fld="4" item="5"/>
        </tpls>
      </m>
      <n v="31" in="1">
        <tpls c="4">
          <tpl fld="7" item="446"/>
          <tpl fld="6" item="1"/>
          <tpl hier="236" item="1"/>
          <tpl fld="4" item="4"/>
        </tpls>
      </n>
      <m>
        <tpls c="4">
          <tpl fld="7" item="985"/>
          <tpl fld="6" item="2"/>
          <tpl hier="236" item="1"/>
          <tpl fld="4" item="6"/>
        </tpls>
      </m>
      <m>
        <tpls c="4">
          <tpl fld="7" item="780"/>
          <tpl fld="6" item="1"/>
          <tpl hier="236" item="1"/>
          <tpl fld="4" item="5"/>
        </tpls>
      </m>
      <n v="2" in="1">
        <tpls c="4">
          <tpl fld="7" item="1187"/>
          <tpl fld="6" item="1"/>
          <tpl hier="236" item="1"/>
          <tpl fld="4" item="1"/>
        </tpls>
      </n>
      <m>
        <tpls c="4">
          <tpl fld="7" item="707"/>
          <tpl fld="6" item="2"/>
          <tpl hier="236" item="1"/>
          <tpl fld="4" item="5"/>
        </tpls>
      </m>
      <n v="6" in="1">
        <tpls c="4">
          <tpl fld="7" item="990"/>
          <tpl fld="6" item="1"/>
          <tpl hier="236" item="1"/>
          <tpl fld="1" item="0"/>
        </tpls>
      </n>
      <m>
        <tpls c="4">
          <tpl fld="7" item="637"/>
          <tpl fld="6" item="2"/>
          <tpl hier="236" item="1"/>
          <tpl fld="4" item="5"/>
        </tpls>
      </m>
      <m>
        <tpls c="4">
          <tpl fld="7" item="803"/>
          <tpl fld="6" item="2"/>
          <tpl hier="236" item="1"/>
          <tpl fld="4" item="1"/>
        </tpls>
      </m>
      <n v="0.8" in="2">
        <tpls c="4">
          <tpl fld="7" item="1238"/>
          <tpl fld="6" item="2"/>
          <tpl hier="236" item="1"/>
          <tpl fld="1" item="0"/>
        </tpls>
      </n>
      <m>
        <tpls c="4">
          <tpl fld="7" item="795"/>
          <tpl fld="6" item="1"/>
          <tpl hier="236" item="1"/>
          <tpl fld="4" item="6"/>
        </tpls>
      </m>
      <m>
        <tpls c="4">
          <tpl fld="7" item="1214"/>
          <tpl fld="6" item="2"/>
          <tpl hier="236" item="1"/>
          <tpl fld="4" item="1"/>
        </tpls>
      </m>
      <n v="9" in="1">
        <tpls c="4">
          <tpl fld="7" item="890"/>
          <tpl fld="6" item="1"/>
          <tpl hier="236" item="1"/>
          <tpl fld="1" item="0"/>
        </tpls>
      </n>
      <m>
        <tpls c="4">
          <tpl fld="7" item="815"/>
          <tpl fld="6" item="2"/>
          <tpl hier="236" item="1"/>
          <tpl fld="4" item="5"/>
        </tpls>
      </m>
      <m>
        <tpls c="4">
          <tpl fld="7" item="821"/>
          <tpl fld="6" item="2"/>
          <tpl hier="236" item="1"/>
          <tpl fld="4" item="1"/>
        </tpls>
      </m>
      <n v="1" in="1">
        <tpls c="4">
          <tpl fld="7" item="1101"/>
          <tpl fld="6" item="1"/>
          <tpl hier="236" item="1"/>
          <tpl fld="4" item="5"/>
        </tpls>
      </n>
      <n v="8" in="1">
        <tpls c="4">
          <tpl fld="7" item="1243"/>
          <tpl fld="6" item="1"/>
          <tpl hier="236" item="1"/>
          <tpl fld="4" item="4"/>
        </tpls>
      </n>
      <m>
        <tpls c="4">
          <tpl fld="7" item="1015"/>
          <tpl fld="6" item="2"/>
          <tpl hier="236" item="1"/>
          <tpl fld="4" item="1"/>
        </tpls>
      </m>
      <m>
        <tpls c="3">
          <tpl fld="7" item="1222"/>
          <tpl fld="6" item="3"/>
          <tpl hier="236" item="1"/>
        </tpls>
      </m>
      <m>
        <tpls c="4">
          <tpl fld="7" item="1043"/>
          <tpl fld="6" item="2"/>
          <tpl hier="236" item="1"/>
          <tpl fld="4" item="1"/>
        </tpls>
      </m>
      <m>
        <tpls c="4">
          <tpl fld="7" item="1075"/>
          <tpl fld="6" item="2"/>
          <tpl hier="236" item="1"/>
          <tpl fld="4" item="1"/>
        </tpls>
      </m>
      <m>
        <tpls c="4">
          <tpl fld="7" item="456"/>
          <tpl fld="6" item="2"/>
          <tpl hier="236" item="1"/>
          <tpl fld="1" item="0"/>
        </tpls>
      </m>
      <m>
        <tpls c="4">
          <tpl fld="7" item="288"/>
          <tpl fld="6" item="2"/>
          <tpl hier="236" item="1"/>
          <tpl fld="1" item="0"/>
        </tpls>
      </m>
      <m>
        <tpls c="4">
          <tpl fld="7" item="232"/>
          <tpl fld="6" item="2"/>
          <tpl hier="236" item="1"/>
          <tpl fld="1" item="0"/>
        </tpls>
      </m>
      <n v="4" in="1">
        <tpls c="6">
          <tpl fld="11" item="0"/>
          <tpl fld="2" item="1"/>
          <tpl fld="6" item="1"/>
          <tpl hier="236" item="1"/>
          <tpl fld="4" item="7"/>
          <tpl fld="10" item="5"/>
        </tpls>
      </n>
      <m>
        <tpls c="4">
          <tpl fld="7" item="760"/>
          <tpl fld="6" item="2"/>
          <tpl hier="236" item="1"/>
          <tpl fld="4" item="4"/>
        </tpls>
      </m>
      <m>
        <tpls c="4">
          <tpl fld="7" item="158"/>
          <tpl fld="6" item="1"/>
          <tpl hier="236" item="1"/>
          <tpl fld="4" item="5"/>
        </tpls>
      </m>
      <n v="2.12" in="2">
        <tpls c="4">
          <tpl fld="7" item="524"/>
          <tpl fld="6" item="2"/>
          <tpl hier="236" item="1"/>
          <tpl fld="4" item="1"/>
        </tpls>
      </n>
      <m>
        <tpls c="4">
          <tpl fld="7" item="85"/>
          <tpl fld="6" item="1"/>
          <tpl hier="236" item="1"/>
          <tpl fld="4" item="6"/>
        </tpls>
      </m>
      <m>
        <tpls c="4">
          <tpl fld="7" item="783"/>
          <tpl fld="6" item="2"/>
          <tpl hier="236" item="1"/>
          <tpl fld="4" item="6"/>
        </tpls>
      </m>
      <m>
        <tpls c="4">
          <tpl fld="7" item="181"/>
          <tpl fld="6" item="2"/>
          <tpl hier="236" item="1"/>
          <tpl fld="4" item="4"/>
        </tpls>
      </m>
      <n v="1" in="1">
        <tpls c="4">
          <tpl fld="7" item="701"/>
          <tpl fld="6" item="1"/>
          <tpl hier="236" item="1"/>
          <tpl fld="4" item="6"/>
        </tpls>
      </n>
      <m>
        <tpls c="4">
          <tpl fld="7" item="717"/>
          <tpl fld="6" item="2"/>
          <tpl hier="236" item="1"/>
          <tpl fld="4" item="5"/>
        </tpls>
      </m>
      <n v="1" in="3">
        <tpls c="3">
          <tpl fld="7" item="518"/>
          <tpl fld="6" item="3"/>
          <tpl hier="236" item="1"/>
        </tpls>
      </n>
      <m>
        <tpls c="4">
          <tpl fld="7" item="546"/>
          <tpl fld="6" item="2"/>
          <tpl hier="236" item="1"/>
          <tpl fld="4" item="1"/>
        </tpls>
      </m>
      <m>
        <tpls c="4">
          <tpl fld="7" item="780"/>
          <tpl fld="6" item="2"/>
          <tpl hier="236" item="1"/>
          <tpl fld="4" item="5"/>
        </tpls>
      </m>
      <m>
        <tpls c="4">
          <tpl fld="7" item="623"/>
          <tpl fld="6" item="2"/>
          <tpl hier="236" item="1"/>
          <tpl fld="4" item="1"/>
        </tpls>
      </m>
      <m>
        <tpls c="4">
          <tpl fld="7" item="789"/>
          <tpl fld="6" item="1"/>
          <tpl hier="236" item="1"/>
          <tpl fld="4" item="5"/>
        </tpls>
      </m>
      <m>
        <tpls c="4">
          <tpl fld="7" item="990"/>
          <tpl fld="6" item="2"/>
          <tpl hier="236" item="1"/>
          <tpl fld="1" item="0"/>
        </tpls>
      </m>
      <n v="885" in="1">
        <tpls c="6">
          <tpl fld="11" item="0"/>
          <tpl fld="2" item="1"/>
          <tpl fld="6" item="1"/>
          <tpl hier="236" item="1"/>
          <tpl fld="4" item="7"/>
          <tpl fld="10" item="8"/>
        </tpls>
      </n>
      <m>
        <tpls c="6">
          <tpl fld="3" item="0"/>
          <tpl fld="11" item="0"/>
          <tpl fld="6" item="2"/>
          <tpl hier="236" item="1"/>
          <tpl fld="4" item="6"/>
          <tpl fld="10" item="7"/>
        </tpls>
      </m>
      <m>
        <tpls c="3">
          <tpl fld="7" item="755"/>
          <tpl fld="6" item="3"/>
          <tpl hier="236" item="1"/>
        </tpls>
      </m>
      <m>
        <tpls c="4">
          <tpl fld="7" item="86"/>
          <tpl fld="6" item="2"/>
          <tpl hier="236" item="1"/>
          <tpl fld="4" item="4"/>
        </tpls>
      </m>
      <m>
        <tpls c="4">
          <tpl fld="7" item="87"/>
          <tpl fld="6" item="2"/>
          <tpl hier="236" item="1"/>
          <tpl fld="4" item="4"/>
        </tpls>
      </m>
      <m>
        <tpls c="4">
          <tpl fld="7" item="467"/>
          <tpl fld="6" item="2"/>
          <tpl hier="236" item="1"/>
          <tpl fld="4" item="6"/>
        </tpls>
      </m>
      <m>
        <tpls c="4">
          <tpl fld="7" item="268"/>
          <tpl fld="6" item="2"/>
          <tpl hier="236" item="1"/>
          <tpl fld="4" item="1"/>
        </tpls>
      </m>
      <m>
        <tpls c="4">
          <tpl fld="7" item="292"/>
          <tpl fld="6" item="1"/>
          <tpl hier="236" item="1"/>
          <tpl fld="4" item="4"/>
        </tpls>
      </m>
      <m>
        <tpls c="4">
          <tpl fld="7" item="159"/>
          <tpl fld="6" item="1"/>
          <tpl hier="236" item="1"/>
          <tpl fld="4" item="4"/>
        </tpls>
      </m>
      <m>
        <tpls c="4">
          <tpl fld="7" item="753"/>
          <tpl fld="6" item="1"/>
          <tpl hier="236" item="1"/>
          <tpl fld="4" item="5"/>
        </tpls>
      </m>
      <m>
        <tpls c="4">
          <tpl fld="7" item="603"/>
          <tpl fld="6" item="2"/>
          <tpl hier="236" item="1"/>
          <tpl fld="4" item="4"/>
        </tpls>
      </m>
      <m>
        <tpls c="4">
          <tpl fld="7" item="164"/>
          <tpl fld="6" item="2"/>
          <tpl hier="236" item="1"/>
          <tpl fld="4" item="1"/>
        </tpls>
      </m>
      <m>
        <tpls c="4">
          <tpl fld="7" item="526"/>
          <tpl fld="6" item="2"/>
          <tpl hier="236" item="1"/>
          <tpl fld="4" item="4"/>
        </tpls>
      </m>
      <m>
        <tpls c="4">
          <tpl fld="7" item="876"/>
          <tpl fld="6" item="2"/>
          <tpl hier="236" item="1"/>
          <tpl fld="4" item="1"/>
        </tpls>
      </m>
      <m>
        <tpls c="4">
          <tpl fld="7" item="192"/>
          <tpl fld="6" item="2"/>
          <tpl hier="236" item="1"/>
          <tpl fld="1" item="0"/>
        </tpls>
      </m>
      <m>
        <tpls c="4">
          <tpl fld="7" item="152"/>
          <tpl fld="6" item="2"/>
          <tpl hier="236" item="1"/>
          <tpl fld="4" item="4"/>
        </tpls>
      </m>
      <n v="0" in="1">
        <tpls c="4">
          <tpl fld="7" item="418"/>
          <tpl fld="6" item="1"/>
          <tpl hier="236" item="1"/>
          <tpl fld="4" item="4"/>
        </tpls>
      </n>
      <n v="2" in="1">
        <tpls c="4">
          <tpl fld="7" item="498"/>
          <tpl fld="6" item="1"/>
          <tpl hier="236" item="1"/>
          <tpl fld="4" item="6"/>
        </tpls>
      </n>
      <n v="2" in="1">
        <tpls c="4">
          <tpl fld="7" item="768"/>
          <tpl fld="6" item="1"/>
          <tpl hier="236" item="1"/>
          <tpl fld="4" item="6"/>
        </tpls>
      </n>
      <n v="3" in="1">
        <tpls c="4">
          <tpl fld="7" item="357"/>
          <tpl fld="6" item="1"/>
          <tpl hier="236" item="1"/>
          <tpl fld="4" item="6"/>
        </tpls>
      </n>
      <n v="1" in="1">
        <tpls c="4">
          <tpl fld="7" item="768"/>
          <tpl fld="6" item="1"/>
          <tpl hier="236" item="1"/>
          <tpl fld="4" item="1"/>
        </tpls>
      </n>
      <m>
        <tpls c="4">
          <tpl fld="7" item="43"/>
          <tpl fld="6" item="1"/>
          <tpl hier="236" item="1"/>
          <tpl fld="4" item="4"/>
        </tpls>
      </m>
      <n v="10.836756756756756" in="2">
        <tpls c="4">
          <tpl fld="7" item="496"/>
          <tpl fld="6" item="2"/>
          <tpl hier="236" item="1"/>
          <tpl fld="4" item="4"/>
        </tpls>
      </n>
      <n v="0.16" in="2">
        <tpls c="4">
          <tpl fld="7" item="354"/>
          <tpl fld="6" item="2"/>
          <tpl hier="236" item="1"/>
          <tpl fld="4" item="4"/>
        </tpls>
      </n>
      <m>
        <tpls c="4">
          <tpl fld="7" item="395"/>
          <tpl fld="6" item="2"/>
          <tpl hier="236" item="1"/>
          <tpl fld="4" item="4"/>
        </tpls>
      </m>
      <m>
        <tpls c="4">
          <tpl fld="7" item="691"/>
          <tpl fld="6" item="2"/>
          <tpl hier="236" item="1"/>
          <tpl fld="4" item="6"/>
        </tpls>
      </m>
      <m>
        <tpls c="4">
          <tpl fld="7" item="569"/>
          <tpl fld="6" item="2"/>
          <tpl hier="236" item="1"/>
          <tpl fld="4" item="6"/>
        </tpls>
      </m>
      <m>
        <tpls c="4">
          <tpl fld="7" item="543"/>
          <tpl fld="6" item="2"/>
          <tpl hier="236" item="1"/>
          <tpl fld="1" item="0"/>
        </tpls>
      </m>
      <m>
        <tpls c="4">
          <tpl fld="7" item="1092"/>
          <tpl fld="6" item="1"/>
          <tpl hier="236" item="1"/>
          <tpl fld="4" item="1"/>
        </tpls>
      </m>
      <m>
        <tpls c="4">
          <tpl fld="7" item="336"/>
          <tpl fld="6" item="1"/>
          <tpl hier="236" item="1"/>
          <tpl fld="4" item="4"/>
        </tpls>
      </m>
      <m>
        <tpls c="4">
          <tpl fld="7" item="500"/>
          <tpl fld="6" item="2"/>
          <tpl hier="236" item="1"/>
          <tpl fld="4" item="4"/>
        </tpls>
      </m>
      <n v="7.9012432432432433" in="2">
        <tpls c="4">
          <tpl fld="7" item="355"/>
          <tpl fld="6" item="2"/>
          <tpl hier="236" item="1"/>
          <tpl fld="4" item="4"/>
        </tpls>
      </n>
      <m>
        <tpls c="4">
          <tpl fld="7" item="383"/>
          <tpl fld="6" item="2"/>
          <tpl hier="236" item="1"/>
          <tpl fld="4" item="4"/>
        </tpls>
      </m>
      <n v="2" in="1">
        <tpls c="4">
          <tpl fld="7" item="605"/>
          <tpl fld="6" item="1"/>
          <tpl hier="236" item="1"/>
          <tpl fld="1" item="0"/>
        </tpls>
      </n>
      <n v="33" in="1">
        <tpls c="4">
          <tpl fld="7" item="1087"/>
          <tpl fld="6" item="1"/>
          <tpl hier="236" item="1"/>
          <tpl fld="1" item="0"/>
        </tpls>
      </n>
      <m>
        <tpls c="4">
          <tpl fld="7" item="1083"/>
          <tpl fld="6" item="2"/>
          <tpl hier="236" item="1"/>
          <tpl fld="4" item="1"/>
        </tpls>
      </m>
      <m>
        <tpls c="4">
          <tpl fld="7" item="538"/>
          <tpl fld="6" item="2"/>
          <tpl hier="236" item="1"/>
          <tpl fld="4" item="4"/>
        </tpls>
      </m>
      <m>
        <tpls c="4">
          <tpl fld="7" item="550"/>
          <tpl fld="6" item="2"/>
          <tpl hier="236" item="1"/>
          <tpl fld="4" item="5"/>
        </tpls>
      </m>
      <m>
        <tpls c="4">
          <tpl fld="7" item="1090"/>
          <tpl fld="6" item="2"/>
          <tpl hier="236" item="1"/>
          <tpl fld="4" item="4"/>
        </tpls>
      </m>
      <n v="12" in="1">
        <tpls c="4">
          <tpl fld="7" item="885"/>
          <tpl fld="6" item="1"/>
          <tpl hier="236" item="1"/>
          <tpl fld="4" item="4"/>
        </tpls>
      </n>
      <m>
        <tpls c="3">
          <tpl fld="7" item="575"/>
          <tpl fld="6" item="3"/>
          <tpl hier="236" item="1"/>
        </tpls>
      </m>
      <m>
        <tpls c="3">
          <tpl fld="7" item="296"/>
          <tpl fld="6" item="3"/>
          <tpl hier="236" item="1"/>
        </tpls>
      </m>
      <m>
        <tpls c="4">
          <tpl fld="7" item="1086"/>
          <tpl fld="6" item="2"/>
          <tpl hier="236" item="1"/>
          <tpl fld="1" item="0"/>
        </tpls>
      </m>
      <m>
        <tpls c="4">
          <tpl fld="7" item="882"/>
          <tpl fld="6" item="1"/>
          <tpl hier="236" item="1"/>
          <tpl fld="4" item="5"/>
        </tpls>
      </m>
      <n v="2" in="1">
        <tpls c="4">
          <tpl fld="7" item="783"/>
          <tpl fld="6" item="1"/>
          <tpl hier="236" item="1"/>
          <tpl fld="4" item="4"/>
        </tpls>
      </n>
      <m>
        <tpls c="4">
          <tpl fld="7" item="707"/>
          <tpl fld="6" item="2"/>
          <tpl hier="236" item="1"/>
          <tpl fld="4" item="1"/>
        </tpls>
      </m>
      <m>
        <tpls c="4">
          <tpl fld="7" item="714"/>
          <tpl fld="6" item="2"/>
          <tpl hier="236" item="1"/>
          <tpl fld="4" item="5"/>
        </tpls>
      </m>
      <m>
        <tpls c="4">
          <tpl fld="7" item="249"/>
          <tpl fld="6" item="2"/>
          <tpl hier="236" item="1"/>
          <tpl fld="4" item="4"/>
        </tpls>
      </m>
      <m>
        <tpls c="4">
          <tpl fld="7" item="23"/>
          <tpl fld="6" item="1"/>
          <tpl hier="236" item="1"/>
          <tpl fld="4" item="4"/>
        </tpls>
      </m>
      <m>
        <tpls c="4">
          <tpl fld="7" item="306"/>
          <tpl fld="6" item="1"/>
          <tpl hier="236" item="1"/>
          <tpl fld="4" item="6"/>
        </tpls>
      </m>
      <m>
        <tpls c="4">
          <tpl fld="7" item="443"/>
          <tpl fld="6" item="2"/>
          <tpl hier="236" item="1"/>
          <tpl fld="4" item="1"/>
        </tpls>
      </m>
      <m>
        <tpls c="4">
          <tpl fld="7" item="73"/>
          <tpl fld="6" item="2"/>
          <tpl hier="236" item="1"/>
          <tpl fld="4" item="1"/>
        </tpls>
      </m>
      <m>
        <tpls c="4">
          <tpl fld="7" item="465"/>
          <tpl fld="6" item="2"/>
          <tpl hier="236" item="1"/>
          <tpl fld="4" item="4"/>
        </tpls>
      </m>
      <m>
        <tpls c="3">
          <tpl fld="7" item="253"/>
          <tpl fld="6" item="3"/>
          <tpl hier="236" item="1"/>
        </tpls>
      </m>
      <m>
        <tpls c="3">
          <tpl fld="7" item="195"/>
          <tpl fld="6" item="3"/>
          <tpl hier="236" item="1"/>
        </tpls>
      </m>
      <m>
        <tpls c="4">
          <tpl fld="7" item="495"/>
          <tpl fld="6" item="2"/>
          <tpl hier="236" item="1"/>
          <tpl fld="4" item="1"/>
        </tpls>
      </m>
      <m>
        <tpls c="3">
          <tpl fld="7" item="245"/>
          <tpl fld="6" item="3"/>
          <tpl hier="236" item="1"/>
        </tpls>
      </m>
      <m>
        <tpls c="3">
          <tpl fld="7" item="66"/>
          <tpl fld="6" item="3"/>
          <tpl hier="236" item="1"/>
        </tpls>
      </m>
      <m>
        <tpls c="4">
          <tpl fld="7" item="206"/>
          <tpl fld="6" item="2"/>
          <tpl hier="236" item="1"/>
          <tpl fld="4" item="4"/>
        </tpls>
      </m>
      <m>
        <tpls c="4">
          <tpl fld="7" item="53"/>
          <tpl fld="6" item="1"/>
          <tpl hier="236" item="1"/>
          <tpl fld="4" item="4"/>
        </tpls>
      </m>
      <n v="0.6" in="2">
        <tpls c="4">
          <tpl fld="7" item="212"/>
          <tpl fld="6" item="2"/>
          <tpl hier="236" item="1"/>
          <tpl fld="4" item="1"/>
        </tpls>
      </n>
      <m>
        <tpls c="4">
          <tpl fld="7" item="761"/>
          <tpl fld="6" item="2"/>
          <tpl hier="236" item="1"/>
          <tpl fld="4" item="4"/>
        </tpls>
      </m>
      <m>
        <tpls c="4">
          <tpl fld="7" item="691"/>
          <tpl fld="6" item="2"/>
          <tpl hier="236" item="1"/>
          <tpl fld="4" item="4"/>
        </tpls>
      </m>
      <m>
        <tpls c="4">
          <tpl fld="7" item="512"/>
          <tpl fld="6" item="2"/>
          <tpl hier="236" item="1"/>
          <tpl fld="4" item="4"/>
        </tpls>
      </m>
      <n v="0.76" in="2">
        <tpls c="4">
          <tpl fld="7" item="538"/>
          <tpl fld="6" item="2"/>
          <tpl hier="236" item="1"/>
          <tpl fld="1" item="0"/>
        </tpls>
      </n>
      <m>
        <tpls c="4">
          <tpl fld="7" item="161"/>
          <tpl fld="6" item="1"/>
          <tpl hier="236" item="1"/>
          <tpl fld="4" item="5"/>
        </tpls>
      </m>
      <m>
        <tpls c="4">
          <tpl fld="7" item="317"/>
          <tpl fld="6" item="2"/>
          <tpl hier="236" item="1"/>
          <tpl fld="4" item="4"/>
        </tpls>
      </m>
      <n v="0.4" in="2">
        <tpls c="4">
          <tpl fld="7" item="358"/>
          <tpl fld="6" item="2"/>
          <tpl hier="236" item="1"/>
          <tpl fld="4" item="4"/>
        </tpls>
      </n>
      <m>
        <tpls c="4">
          <tpl fld="7" item="371"/>
          <tpl fld="6" item="1"/>
          <tpl hier="236" item="1"/>
          <tpl fld="4" item="4"/>
        </tpls>
      </m>
      <m>
        <tpls c="4">
          <tpl fld="7" item="525"/>
          <tpl fld="6" item="2"/>
          <tpl hier="236" item="1"/>
          <tpl fld="4" item="1"/>
        </tpls>
      </m>
      <m>
        <tpls c="4">
          <tpl fld="7" item="391"/>
          <tpl fld="6" item="2"/>
          <tpl hier="236" item="1"/>
          <tpl fld="4" item="4"/>
        </tpls>
      </m>
      <n v="0.76" in="2">
        <tpls c="4">
          <tpl fld="7" item="538"/>
          <tpl fld="6" item="2"/>
          <tpl hier="236" item="1"/>
          <tpl fld="4" item="6"/>
        </tpls>
      </n>
      <m>
        <tpls c="4">
          <tpl fld="7" item="691"/>
          <tpl fld="6" item="2"/>
          <tpl hier="236" item="1"/>
          <tpl fld="1" item="0"/>
        </tpls>
      </m>
      <m>
        <tpls c="4">
          <tpl fld="7" item="674"/>
          <tpl fld="6" item="1"/>
          <tpl hier="236" item="1"/>
          <tpl fld="4" item="6"/>
        </tpls>
      </m>
      <m>
        <tpls c="4">
          <tpl fld="7" item="766"/>
          <tpl fld="6" item="2"/>
          <tpl hier="236" item="1"/>
          <tpl fld="4" item="6"/>
        </tpls>
      </m>
      <m>
        <tpls c="4">
          <tpl fld="7" item="613"/>
          <tpl fld="6" item="1"/>
          <tpl hier="236" item="1"/>
          <tpl fld="4" item="6"/>
        </tpls>
      </m>
      <m>
        <tpls c="3">
          <tpl fld="7" item="779"/>
          <tpl fld="6" item="3"/>
          <tpl hier="236" item="1"/>
        </tpls>
      </m>
      <m>
        <tpls c="4">
          <tpl fld="7" item="558"/>
          <tpl fld="6" item="1"/>
          <tpl hier="236" item="1"/>
          <tpl fld="4" item="5"/>
        </tpls>
      </m>
      <n v="7" in="1">
        <tpls c="4">
          <tpl fld="7" item="706"/>
          <tpl fld="6" item="1"/>
          <tpl hier="236" item="1"/>
          <tpl fld="4" item="1"/>
        </tpls>
      </n>
      <m>
        <tpls c="4">
          <tpl fld="7" item="886"/>
          <tpl fld="6" item="1"/>
          <tpl hier="236" item="1"/>
          <tpl fld="4" item="6"/>
        </tpls>
      </m>
      <m>
        <tpls c="4">
          <tpl fld="7" item="577"/>
          <tpl fld="6" item="1"/>
          <tpl hier="236" item="1"/>
          <tpl fld="1" item="0"/>
        </tpls>
      </m>
      <m>
        <tpls c="4">
          <tpl fld="7" item="89"/>
          <tpl fld="6" item="1"/>
          <tpl hier="236" item="1"/>
          <tpl fld="4" item="6"/>
        </tpls>
      </m>
      <m>
        <tpls c="3">
          <tpl fld="7" item="460"/>
          <tpl fld="6" item="3"/>
          <tpl hier="236" item="1"/>
        </tpls>
      </m>
      <m>
        <tpls c="4">
          <tpl fld="7" item="985"/>
          <tpl fld="6" item="1"/>
          <tpl hier="236" item="1"/>
          <tpl fld="4" item="5"/>
        </tpls>
      </m>
      <m>
        <tpls c="4">
          <tpl fld="7" item="697"/>
          <tpl fld="6" item="2"/>
          <tpl hier="236" item="1"/>
          <tpl fld="4" item="5"/>
        </tpls>
      </m>
      <m>
        <tpls c="4">
          <tpl fld="7" item="1090"/>
          <tpl fld="6" item="2"/>
          <tpl hier="236" item="1"/>
          <tpl fld="4" item="1"/>
        </tpls>
      </m>
      <m>
        <tpls c="4">
          <tpl fld="7" item="626"/>
          <tpl fld="6" item="2"/>
          <tpl hier="236" item="1"/>
          <tpl fld="4" item="4"/>
        </tpls>
      </m>
      <n v="0.8" in="2">
        <tpls c="4">
          <tpl fld="7" item="793"/>
          <tpl fld="6" item="2"/>
          <tpl hier="236" item="1"/>
          <tpl fld="1" item="0"/>
        </tpls>
      </n>
      <m>
        <tpls c="3">
          <tpl fld="7" item="636"/>
          <tpl fld="6" item="3"/>
          <tpl hier="236" item="1"/>
        </tpls>
      </m>
      <m>
        <tpls c="4">
          <tpl fld="7" item="150"/>
          <tpl fld="6" item="2"/>
          <tpl hier="236" item="1"/>
          <tpl fld="4" item="6"/>
        </tpls>
      </m>
      <m>
        <tpls c="6">
          <tpl fld="3" item="2"/>
          <tpl fld="11" item="0"/>
          <tpl fld="6" item="2"/>
          <tpl hier="236" item="1"/>
          <tpl fld="4" item="7"/>
          <tpl fld="10" item="5"/>
        </tpls>
      </m>
      <m>
        <tpls c="4">
          <tpl fld="7" item="753"/>
          <tpl fld="6" item="1"/>
          <tpl hier="236" item="1"/>
          <tpl fld="4" item="4"/>
        </tpls>
      </m>
      <m>
        <tpls c="4">
          <tpl fld="7" item="120"/>
          <tpl fld="6" item="2"/>
          <tpl hier="236" item="1"/>
          <tpl fld="4" item="1"/>
        </tpls>
      </m>
      <m>
        <tpls c="4">
          <tpl fld="7" item="762"/>
          <tpl fld="6" item="2"/>
          <tpl hier="236" item="1"/>
          <tpl fld="4" item="4"/>
        </tpls>
      </m>
      <m>
        <tpls c="4">
          <tpl fld="7" item="125"/>
          <tpl fld="6" item="1"/>
          <tpl hier="236" item="1"/>
          <tpl fld="4" item="4"/>
        </tpls>
      </m>
      <m>
        <tpls c="4">
          <tpl fld="7" item="516"/>
          <tpl fld="6" item="2"/>
          <tpl hier="236" item="1"/>
          <tpl fld="4" item="4"/>
        </tpls>
      </m>
      <m>
        <tpls c="4">
          <tpl fld="7" item="769"/>
          <tpl fld="6" item="1"/>
          <tpl hier="236" item="1"/>
          <tpl fld="4" item="5"/>
        </tpls>
      </m>
      <m>
        <tpls c="4">
          <tpl fld="7" item="272"/>
          <tpl fld="6" item="1"/>
          <tpl hier="236" item="1"/>
          <tpl fld="4" item="5"/>
        </tpls>
      </m>
      <n v="1" in="1">
        <tpls c="4">
          <tpl fld="7" item="210"/>
          <tpl fld="6" item="1"/>
          <tpl hier="236" item="1"/>
          <tpl fld="4" item="4"/>
        </tpls>
      </n>
      <m>
        <tpls c="4">
          <tpl fld="7" item="359"/>
          <tpl fld="6" item="2"/>
          <tpl hier="236" item="1"/>
          <tpl fld="4" item="4"/>
        </tpls>
      </m>
      <n v="5" in="1">
        <tpls c="4">
          <tpl fld="7" item="372"/>
          <tpl fld="6" item="1"/>
          <tpl hier="236" item="1"/>
          <tpl fld="4" item="4"/>
        </tpls>
      </n>
      <m>
        <tpls c="4">
          <tpl fld="7" item="526"/>
          <tpl fld="6" item="2"/>
          <tpl hier="236" item="1"/>
          <tpl fld="4" item="1"/>
        </tpls>
      </m>
      <m>
        <tpls c="3">
          <tpl fld="7" item="983"/>
          <tpl fld="6" item="3"/>
          <tpl hier="236" item="1"/>
        </tpls>
      </m>
      <m>
        <tpls c="4">
          <tpl fld="7" item="687"/>
          <tpl fld="6" item="1"/>
          <tpl hier="236" item="1"/>
          <tpl fld="4" item="5"/>
        </tpls>
      </m>
      <m>
        <tpls c="4">
          <tpl fld="7" item="773"/>
          <tpl fld="6" item="1"/>
          <tpl hier="236" item="1"/>
          <tpl fld="4" item="1"/>
        </tpls>
      </m>
      <m>
        <tpls c="4">
          <tpl fld="7" item="321"/>
          <tpl fld="6" item="1"/>
          <tpl hier="236" item="1"/>
          <tpl fld="4" item="6"/>
        </tpls>
      </m>
      <m>
        <tpls c="4">
          <tpl fld="7" item="463"/>
          <tpl fld="6" item="2"/>
          <tpl hier="236" item="1"/>
          <tpl fld="1" item="0"/>
        </tpls>
      </m>
      <n v="2" in="1">
        <tpls c="4">
          <tpl fld="7" item="775"/>
          <tpl fld="6" item="1"/>
          <tpl hier="236" item="1"/>
          <tpl fld="4" item="1"/>
        </tpls>
      </n>
      <m>
        <tpls c="4">
          <tpl fld="7" item="618"/>
          <tpl fld="6" item="1"/>
          <tpl hier="236" item="1"/>
          <tpl fld="4" item="4"/>
        </tpls>
      </m>
      <n v="1" in="1">
        <tpls c="4">
          <tpl fld="7" item="702"/>
          <tpl fld="6" item="1"/>
          <tpl hier="236" item="1"/>
          <tpl fld="4" item="6"/>
        </tpls>
      </n>
      <n v="33" in="1">
        <tpls c="4">
          <tpl fld="7" item="788"/>
          <tpl fld="6" item="1"/>
          <tpl hier="236" item="1"/>
          <tpl fld="1" item="0"/>
        </tpls>
      </n>
      <m>
        <tpls c="4">
          <tpl fld="7" item="712"/>
          <tpl fld="6" item="2"/>
          <tpl hier="236" item="1"/>
          <tpl fld="4" item="1"/>
        </tpls>
      </m>
      <m>
        <tpls c="4">
          <tpl fld="7" item="798"/>
          <tpl fld="6" item="2"/>
          <tpl hier="236" item="1"/>
          <tpl fld="4" item="4"/>
        </tpls>
      </m>
      <n v="2" in="1">
        <tpls c="4">
          <tpl fld="7" item="101"/>
          <tpl fld="6" item="1"/>
          <tpl hier="236" item="1"/>
          <tpl fld="4" item="4"/>
        </tpls>
      </n>
      <m>
        <tpls c="4">
          <tpl fld="7" item="391"/>
          <tpl fld="6" item="1"/>
          <tpl hier="236" item="1"/>
          <tpl fld="4" item="5"/>
        </tpls>
      </m>
      <n v="1" in="2">
        <tpls c="4">
          <tpl fld="7" item="613"/>
          <tpl fld="6" item="2"/>
          <tpl hier="236" item="1"/>
          <tpl fld="1" item="0"/>
        </tpls>
      </n>
      <m>
        <tpls c="4">
          <tpl fld="7" item="779"/>
          <tpl fld="6" item="2"/>
          <tpl hier="236" item="1"/>
          <tpl fld="4" item="6"/>
        </tpls>
      </m>
      <m>
        <tpls c="4">
          <tpl fld="7" item="558"/>
          <tpl fld="6" item="2"/>
          <tpl hier="236" item="1"/>
          <tpl fld="1" item="0"/>
        </tpls>
      </m>
      <m>
        <tpls c="3">
          <tpl fld="7" item="564"/>
          <tpl fld="6" item="3"/>
          <tpl hier="236" item="1"/>
        </tpls>
      </m>
      <n v="2" in="1">
        <tpls c="4">
          <tpl fld="7" item="886"/>
          <tpl fld="6" item="1"/>
          <tpl hier="236" item="1"/>
          <tpl fld="4" item="1"/>
        </tpls>
      </n>
      <n v="500" in="1">
        <tpls c="6">
          <tpl fld="11" item="0"/>
          <tpl fld="2" item="2"/>
          <tpl fld="6" item="1"/>
          <tpl hier="236" item="1"/>
          <tpl fld="4" item="6"/>
          <tpl fld="10" item="0"/>
        </tpls>
      </n>
      <m>
        <tpls c="4">
          <tpl fld="7" item="264"/>
          <tpl fld="6" item="2"/>
          <tpl hier="236" item="1"/>
          <tpl fld="4" item="6"/>
        </tpls>
      </m>
      <n v="33.740432432432428" in="2">
        <tpls c="6">
          <tpl fld="11" item="0"/>
          <tpl fld="6" item="2"/>
          <tpl fld="8" item="1"/>
          <tpl hier="236" item="1"/>
          <tpl fld="4" item="3"/>
          <tpl fld="10" item="2"/>
        </tpls>
      </n>
      <m>
        <tpls c="4">
          <tpl fld="7" item="58"/>
          <tpl fld="6" item="1"/>
          <tpl hier="236" item="1"/>
          <tpl fld="4" item="4"/>
        </tpls>
      </m>
      <m>
        <tpls c="4">
          <tpl fld="7" item="752"/>
          <tpl fld="6" item="1"/>
          <tpl hier="236" item="1"/>
          <tpl fld="4" item="6"/>
        </tpls>
      </m>
      <n v="1" in="2">
        <tpls c="4">
          <tpl fld="7" item="763"/>
          <tpl fld="6" item="2"/>
          <tpl hier="236" item="1"/>
          <tpl fld="4" item="4"/>
        </tpls>
      </n>
      <m>
        <tpls c="4">
          <tpl fld="7" item="476"/>
          <tpl fld="6" item="1"/>
          <tpl hier="236" item="1"/>
          <tpl fld="4" item="6"/>
        </tpls>
      </m>
      <n v="3.2" in="2">
        <tpls c="4">
          <tpl fld="7" item="520"/>
          <tpl fld="6" item="2"/>
          <tpl hier="236" item="1"/>
          <tpl fld="4" item="4"/>
        </tpls>
      </n>
      <n v="-1" in="1">
        <tpls c="6">
          <tpl fld="3" item="4"/>
          <tpl fld="11" item="0"/>
          <tpl fld="6" item="1"/>
          <tpl hier="236" item="1"/>
          <tpl fld="4" item="3"/>
          <tpl fld="10" item="2"/>
        </tpls>
      </n>
      <m>
        <tpls c="6">
          <tpl fld="11" item="0"/>
          <tpl fld="5" item="1"/>
          <tpl fld="6" item="1"/>
          <tpl hier="236" item="1"/>
          <tpl fld="4" item="3"/>
          <tpl fld="10" item="0"/>
        </tpls>
      </m>
      <m>
        <tpls c="3">
          <tpl fld="7" item="75"/>
          <tpl fld="6" item="3"/>
          <tpl hier="236" item="1"/>
        </tpls>
      </m>
      <m>
        <tpls c="4">
          <tpl fld="7" item="343"/>
          <tpl fld="6" item="2"/>
          <tpl hier="236" item="1"/>
          <tpl fld="4" item="4"/>
        </tpls>
      </m>
      <m>
        <tpls c="4">
          <tpl fld="7" item="414"/>
          <tpl fld="6" item="2"/>
          <tpl hier="236" item="1"/>
          <tpl fld="4" item="4"/>
        </tpls>
      </m>
      <m>
        <tpls c="3">
          <tpl fld="7" item="314"/>
          <tpl fld="6" item="3"/>
          <tpl hier="236" item="1"/>
        </tpls>
      </m>
      <m>
        <tpls c="4">
          <tpl fld="7" item="611"/>
          <tpl fld="6" item="1"/>
          <tpl hier="236" item="1"/>
          <tpl fld="4" item="6"/>
        </tpls>
      </m>
      <m>
        <tpls c="3">
          <tpl fld="7" item="178"/>
          <tpl fld="6" item="3"/>
          <tpl hier="236" item="1"/>
        </tpls>
      </m>
      <m>
        <tpls c="4">
          <tpl fld="7" item="156"/>
          <tpl fld="6" item="1"/>
          <tpl hier="236" item="1"/>
          <tpl fld="4" item="4"/>
        </tpls>
      </m>
      <m>
        <tpls c="4">
          <tpl fld="7" item="336"/>
          <tpl fld="6" item="1"/>
          <tpl hier="236" item="1"/>
          <tpl fld="4" item="5"/>
        </tpls>
      </m>
      <n v="2" in="1">
        <tpls c="4">
          <tpl fld="7" item="682"/>
          <tpl fld="6" item="1"/>
          <tpl hier="236" item="1"/>
          <tpl fld="4" item="4"/>
        </tpls>
      </n>
      <m>
        <tpls c="4">
          <tpl fld="7" item="156"/>
          <tpl fld="6" item="2"/>
          <tpl hier="236" item="1"/>
          <tpl fld="4" item="1"/>
        </tpls>
      </m>
      <n v="1" in="1">
        <tpls c="4">
          <tpl fld="7" item="523"/>
          <tpl fld="6" item="1"/>
          <tpl hier="236" item="1"/>
          <tpl fld="4" item="4"/>
        </tpls>
      </n>
      <m>
        <tpls c="4">
          <tpl fld="7" item="158"/>
          <tpl fld="6" item="1"/>
          <tpl hier="236" item="1"/>
          <tpl fld="1" item="0"/>
        </tpls>
      </m>
      <m>
        <tpls c="4">
          <tpl fld="7" item="80"/>
          <tpl fld="6" item="1"/>
          <tpl hier="236" item="1"/>
          <tpl fld="4" item="6"/>
        </tpls>
      </m>
      <m>
        <tpls c="4">
          <tpl fld="7" item="150"/>
          <tpl fld="6" item="2"/>
          <tpl hier="236" item="1"/>
          <tpl fld="4" item="4"/>
        </tpls>
      </m>
      <m>
        <tpls c="4">
          <tpl fld="7" item="195"/>
          <tpl fld="6" item="2"/>
          <tpl hier="236" item="1"/>
          <tpl fld="4" item="1"/>
        </tpls>
      </m>
      <n v="25.767567567567568" in="2">
        <tpls c="4">
          <tpl fld="7" item="675"/>
          <tpl fld="6" item="2"/>
          <tpl hier="236" item="1"/>
          <tpl fld="4" item="4"/>
        </tpls>
      </n>
      <m>
        <tpls c="4">
          <tpl fld="7" item="536"/>
          <tpl fld="6" item="1"/>
          <tpl hier="236" item="1"/>
          <tpl fld="4" item="5"/>
        </tpls>
      </m>
      <m>
        <tpls c="4">
          <tpl fld="7" item="495"/>
          <tpl fld="6" item="2"/>
          <tpl hier="236" item="1"/>
          <tpl fld="4" item="4"/>
        </tpls>
      </m>
      <n v="0.8" in="2">
        <tpls c="4">
          <tpl fld="7" item="536"/>
          <tpl fld="6" item="2"/>
          <tpl hier="236" item="1"/>
          <tpl fld="1" item="0"/>
        </tpls>
      </n>
      <m>
        <tpls c="3">
          <tpl fld="7" item="403"/>
          <tpl fld="6" item="3"/>
          <tpl hier="236" item="1"/>
        </tpls>
      </m>
      <m>
        <tpls c="4">
          <tpl fld="7" item="308"/>
          <tpl fld="6" item="2"/>
          <tpl hier="236" item="1"/>
          <tpl fld="4" item="4"/>
        </tpls>
      </m>
      <n v="72" in="1">
        <tpls c="4">
          <tpl fld="7" item="215"/>
          <tpl fld="6" item="1"/>
          <tpl hier="236" item="1"/>
          <tpl fld="4" item="4"/>
        </tpls>
      </n>
      <n v="2" in="1">
        <tpls c="4">
          <tpl fld="7" item="685"/>
          <tpl fld="6" item="1"/>
          <tpl hier="236" item="1"/>
          <tpl fld="1" item="0"/>
        </tpls>
      </n>
      <n v="39" in="1">
        <tpls c="4">
          <tpl fld="7" item="541"/>
          <tpl fld="6" item="1"/>
          <tpl hier="236" item="1"/>
          <tpl fld="4" item="4"/>
        </tpls>
      </n>
      <m>
        <tpls c="4">
          <tpl fld="7" item="567"/>
          <tpl fld="6" item="2"/>
          <tpl hier="236" item="1"/>
          <tpl fld="4" item="6"/>
        </tpls>
      </m>
      <m>
        <tpls c="4">
          <tpl fld="7" item="770"/>
          <tpl fld="6" item="1"/>
          <tpl hier="236" item="1"/>
          <tpl fld="4" item="6"/>
        </tpls>
      </m>
      <m>
        <tpls c="4">
          <tpl fld="7" item="708"/>
          <tpl fld="6" item="1"/>
          <tpl hier="236" item="1"/>
          <tpl fld="4" item="1"/>
        </tpls>
      </m>
      <m>
        <tpls c="3">
          <tpl fld="7" item="404"/>
          <tpl fld="6" item="3"/>
          <tpl hier="236" item="1"/>
        </tpls>
      </m>
      <m>
        <tpls c="4">
          <tpl fld="7" item="318"/>
          <tpl fld="6" item="2"/>
          <tpl hier="236" item="1"/>
          <tpl fld="4" item="4"/>
        </tpls>
      </m>
      <n v="1" in="1">
        <tpls c="4">
          <tpl fld="7" item="352"/>
          <tpl fld="6" item="1"/>
          <tpl hier="236" item="1"/>
          <tpl fld="4" item="4"/>
        </tpls>
      </n>
      <n v="0" in="1">
        <tpls c="4">
          <tpl fld="7" item="453"/>
          <tpl fld="6" item="1"/>
          <tpl hier="236" item="1"/>
          <tpl fld="4" item="6"/>
        </tpls>
      </n>
      <m>
        <tpls c="4">
          <tpl fld="7" item="463"/>
          <tpl fld="6" item="2"/>
          <tpl hier="236" item="1"/>
          <tpl fld="4" item="1"/>
        </tpls>
      </m>
      <m>
        <tpls c="4">
          <tpl fld="7" item="541"/>
          <tpl fld="6" item="2"/>
          <tpl hier="236" item="1"/>
          <tpl fld="4" item="6"/>
        </tpls>
      </m>
      <m>
        <tpls c="4">
          <tpl fld="7" item="79"/>
          <tpl fld="6" item="2"/>
          <tpl hier="236" item="1"/>
          <tpl fld="4" item="1"/>
        </tpls>
      </m>
      <n v="3" in="1">
        <tpls c="4">
          <tpl fld="7" item="1086"/>
          <tpl fld="6" item="1"/>
          <tpl hier="236" item="1"/>
          <tpl fld="1" item="0"/>
        </tpls>
      </n>
      <m>
        <tpls c="4">
          <tpl fld="7" item="695"/>
          <tpl fld="6" item="2"/>
          <tpl hier="236" item="1"/>
          <tpl fld="1" item="0"/>
        </tpls>
      </m>
      <m>
        <tpls c="4">
          <tpl fld="7" item="701"/>
          <tpl fld="6" item="2"/>
          <tpl hier="236" item="1"/>
          <tpl fld="1" item="0"/>
        </tpls>
      </m>
      <n v="13" in="1">
        <tpls c="4">
          <tpl fld="7" item="707"/>
          <tpl fld="6" item="1"/>
          <tpl hier="236" item="1"/>
          <tpl fld="4" item="4"/>
        </tpls>
      </n>
      <m>
        <tpls c="4">
          <tpl fld="7" item="634"/>
          <tpl fld="6" item="1"/>
          <tpl hier="236" item="1"/>
          <tpl fld="4" item="6"/>
        </tpls>
      </m>
      <m>
        <tpls c="4">
          <tpl fld="7" item="67"/>
          <tpl fld="6" item="2"/>
          <tpl hier="236" item="1"/>
          <tpl fld="4" item="1"/>
        </tpls>
      </m>
      <m>
        <tpls c="4">
          <tpl fld="7" item="394"/>
          <tpl fld="6" item="2"/>
          <tpl hier="236" item="1"/>
          <tpl fld="4" item="1"/>
        </tpls>
      </m>
      <m>
        <tpls c="4">
          <tpl fld="7" item="549"/>
          <tpl fld="6" item="1"/>
          <tpl hier="236" item="1"/>
          <tpl fld="1" item="0"/>
        </tpls>
      </m>
      <m>
        <tpls c="4">
          <tpl fld="7" item="557"/>
          <tpl fld="6" item="1"/>
          <tpl hier="236" item="1"/>
          <tpl fld="1" item="0"/>
        </tpls>
      </m>
      <m>
        <tpls c="4">
          <tpl fld="7" item="627"/>
          <tpl fld="6" item="2"/>
          <tpl hier="236" item="1"/>
          <tpl fld="4" item="1"/>
        </tpls>
      </m>
      <m>
        <tpls c="4">
          <tpl fld="7" item="1093"/>
          <tpl fld="6" item="2"/>
          <tpl hier="236" item="1"/>
          <tpl fld="1" item="0"/>
        </tpls>
      </m>
      <m>
        <tpls c="4">
          <tpl fld="7" item="4"/>
          <tpl fld="6" item="2"/>
          <tpl hier="236" item="1"/>
          <tpl fld="4" item="6"/>
        </tpls>
      </m>
      <m>
        <tpls c="4">
          <tpl fld="7" item="9"/>
          <tpl fld="6" item="1"/>
          <tpl hier="236" item="1"/>
          <tpl fld="4" item="5"/>
        </tpls>
      </m>
      <m>
        <tpls c="4">
          <tpl fld="7" item="300"/>
          <tpl fld="6" item="2"/>
          <tpl hier="236" item="1"/>
          <tpl fld="4" item="1"/>
        </tpls>
      </m>
      <n v="1" in="3">
        <tpls c="3">
          <tpl fld="7" item="369"/>
          <tpl fld="6" item="3"/>
          <tpl hier="236" item="1"/>
        </tpls>
      </n>
      <m>
        <tpls c="4">
          <tpl fld="7" item="165"/>
          <tpl fld="6" item="2"/>
          <tpl hier="236" item="1"/>
          <tpl fld="4" item="1"/>
        </tpls>
      </m>
      <n v="1" in="1">
        <tpls c="4">
          <tpl fld="7" item="464"/>
          <tpl fld="6" item="1"/>
          <tpl hier="236" item="1"/>
          <tpl fld="4" item="4"/>
        </tpls>
      </n>
      <m>
        <tpls c="3">
          <tpl fld="7" item="249"/>
          <tpl fld="6" item="3"/>
          <tpl hier="236" item="1"/>
        </tpls>
      </m>
      <n v="0" in="1">
        <tpls c="4">
          <tpl fld="7" item="192"/>
          <tpl fld="6" item="1"/>
          <tpl hier="236" item="1"/>
          <tpl fld="4" item="1"/>
        </tpls>
      </n>
      <n v="41" in="1">
        <tpls c="4">
          <tpl fld="7" item="353"/>
          <tpl fld="6" item="1"/>
          <tpl hier="236" item="1"/>
          <tpl fld="4" item="4"/>
        </tpls>
      </n>
      <m>
        <tpls c="4">
          <tpl fld="7" item="507"/>
          <tpl fld="6" item="2"/>
          <tpl hier="236" item="1"/>
          <tpl fld="4" item="1"/>
        </tpls>
      </m>
      <n v="1" in="3">
        <tpls c="3">
          <tpl fld="7" item="763"/>
          <tpl fld="6" item="3"/>
          <tpl hier="236" item="1"/>
        </tpls>
      </n>
      <m>
        <tpls c="4">
          <tpl fld="7" item="604"/>
          <tpl fld="6" item="2"/>
          <tpl hier="236" item="1"/>
          <tpl fld="1" item="0"/>
        </tpls>
      </m>
      <m>
        <tpls c="3">
          <tpl fld="7" item="767"/>
          <tpl fld="6" item="3"/>
          <tpl hier="236" item="1"/>
        </tpls>
      </m>
      <m>
        <tpls c="4">
          <tpl fld="7" item="771"/>
          <tpl fld="6" item="1"/>
          <tpl hier="236" item="1"/>
          <tpl fld="4" item="5"/>
        </tpls>
      </m>
      <m>
        <tpls c="4">
          <tpl fld="7" item="123"/>
          <tpl fld="6" item="2"/>
          <tpl hier="236" item="1"/>
          <tpl fld="4" item="1"/>
        </tpls>
      </m>
      <n v="1" in="3">
        <tpls c="3">
          <tpl fld="7" item="516"/>
          <tpl fld="6" item="3"/>
          <tpl hier="236" item="1"/>
        </tpls>
      </n>
      <n v="2" in="1">
        <tpls c="4">
          <tpl fld="7" item="772"/>
          <tpl fld="6" item="1"/>
          <tpl hier="236" item="1"/>
          <tpl fld="4" item="6"/>
        </tpls>
      </n>
      <n v="3" in="1">
        <tpls c="4">
          <tpl fld="7" item="882"/>
          <tpl fld="6" item="1"/>
          <tpl hier="236" item="1"/>
          <tpl fld="4" item="1"/>
        </tpls>
      </n>
      <n v="2" in="1">
        <tpls c="4">
          <tpl fld="7" item="700"/>
          <tpl fld="6" item="1"/>
          <tpl hier="236" item="1"/>
          <tpl fld="4" item="4"/>
        </tpls>
      </n>
      <n v="2" in="1">
        <tpls c="4">
          <tpl fld="7" item="786"/>
          <tpl fld="6" item="1"/>
          <tpl hier="236" item="1"/>
          <tpl fld="4" item="6"/>
        </tpls>
      </n>
      <m>
        <tpls c="4">
          <tpl fld="7" item="791"/>
          <tpl fld="6" item="2"/>
          <tpl hier="236" item="1"/>
          <tpl fld="4" item="6"/>
        </tpls>
      </m>
      <m>
        <tpls c="4">
          <tpl fld="7" item="796"/>
          <tpl fld="6" item="2"/>
          <tpl hier="236" item="1"/>
          <tpl fld="4" item="1"/>
        </tpls>
      </m>
      <n v="0" in="1">
        <tpls c="6">
          <tpl fld="3" item="4"/>
          <tpl fld="11" item="0"/>
          <tpl fld="6" item="1"/>
          <tpl hier="236" item="1"/>
          <tpl fld="4" item="7"/>
          <tpl fld="10" item="5"/>
        </tpls>
      </n>
      <n v="1" in="3">
        <tpls c="3">
          <tpl fld="7" item="513"/>
          <tpl fld="6" item="3"/>
          <tpl hier="236" item="1"/>
        </tpls>
      </n>
      <m>
        <tpls c="4">
          <tpl fld="7" item="542"/>
          <tpl fld="6" item="1"/>
          <tpl hier="236" item="1"/>
          <tpl fld="1" item="0"/>
        </tpls>
      </m>
      <m>
        <tpls c="4">
          <tpl fld="7" item="777"/>
          <tpl fld="6" item="2"/>
          <tpl hier="236" item="1"/>
          <tpl fld="4" item="4"/>
        </tpls>
      </m>
      <m>
        <tpls c="4">
          <tpl fld="7" item="883"/>
          <tpl fld="6" item="2"/>
          <tpl hier="236" item="1"/>
          <tpl fld="4" item="6"/>
        </tpls>
      </m>
      <m>
        <tpls c="4">
          <tpl fld="7" item="561"/>
          <tpl fld="6" item="2"/>
          <tpl hier="236" item="1"/>
          <tpl fld="1" item="0"/>
        </tpls>
      </m>
      <n v="4" in="1">
        <tpls c="4">
          <tpl fld="7" item="709"/>
          <tpl fld="6" item="1"/>
          <tpl hier="236" item="1"/>
          <tpl fld="4" item="1"/>
        </tpls>
      </n>
      <m>
        <tpls c="4">
          <tpl fld="7" item="634"/>
          <tpl fld="6" item="1"/>
          <tpl hier="236" item="1"/>
          <tpl fld="4" item="1"/>
        </tpls>
      </m>
      <n v="3606" in="1">
        <tpls c="5">
          <tpl fld="11" item="0"/>
          <tpl fld="6" item="1"/>
          <tpl hier="236" item="1"/>
          <tpl fld="4" item="3"/>
          <tpl fld="10" item="2"/>
        </tpls>
      </n>
      <n v="1" in="3">
        <tpls c="3">
          <tpl fld="7" item="514"/>
          <tpl fld="6" item="3"/>
          <tpl hier="236" item="1"/>
        </tpls>
      </n>
      <m>
        <tpls c="4">
          <tpl fld="7" item="610"/>
          <tpl fld="6" item="1"/>
          <tpl hier="236" item="1"/>
          <tpl fld="4" item="5"/>
        </tpls>
      </m>
      <m>
        <tpls c="4">
          <tpl fld="7" item="777"/>
          <tpl fld="6" item="2"/>
          <tpl hier="236" item="1"/>
          <tpl fld="4" item="5"/>
        </tpls>
      </m>
      <m>
        <tpls c="4">
          <tpl fld="7" item="199"/>
          <tpl fld="6" item="1"/>
          <tpl hier="236" item="1"/>
          <tpl fld="4" item="4"/>
        </tpls>
      </m>
      <n v="2" in="1">
        <tpls c="4">
          <tpl fld="7" item="984"/>
          <tpl fld="6" item="1"/>
          <tpl hier="236" item="1"/>
          <tpl fld="4" item="6"/>
        </tpls>
      </n>
      <m>
        <tpls c="4">
          <tpl fld="7" item="314"/>
          <tpl fld="6" item="1"/>
          <tpl hier="236" item="1"/>
          <tpl fld="4" item="4"/>
        </tpls>
      </m>
      <m>
        <tpls c="4">
          <tpl fld="7" item="461"/>
          <tpl fld="6" item="2"/>
          <tpl hier="236" item="1"/>
          <tpl fld="4" item="1"/>
        </tpls>
      </m>
      <n v="10" in="1">
        <tpls c="4">
          <tpl fld="7" item="458"/>
          <tpl fld="6" item="1"/>
          <tpl hier="236" item="1"/>
          <tpl fld="1" item="0"/>
        </tpls>
      </n>
      <m>
        <tpls c="4">
          <tpl fld="7" item="563"/>
          <tpl fld="6" item="1"/>
          <tpl hier="236" item="1"/>
          <tpl fld="4" item="5"/>
        </tpls>
      </m>
      <m>
        <tpls c="4">
          <tpl fld="7" item="456"/>
          <tpl fld="6" item="2"/>
          <tpl hier="236" item="1"/>
          <tpl fld="4" item="4"/>
        </tpls>
      </m>
      <n v="0.4" in="2">
        <tpls c="4">
          <tpl fld="7" item="787"/>
          <tpl fld="6" item="2"/>
          <tpl hier="236" item="1"/>
          <tpl fld="4" item="1"/>
        </tpls>
      </n>
      <m>
        <tpls c="4">
          <tpl fld="7" item="131"/>
          <tpl fld="6" item="1"/>
          <tpl hier="236" item="1"/>
          <tpl fld="4" item="4"/>
        </tpls>
      </m>
      <n v="3" in="1">
        <tpls c="4">
          <tpl fld="7" item="460"/>
          <tpl fld="6" item="1"/>
          <tpl hier="236" item="1"/>
          <tpl fld="1" item="0"/>
        </tpls>
      </n>
      <n v="1" in="1">
        <tpls c="4">
          <tpl fld="7" item="548"/>
          <tpl fld="6" item="1"/>
          <tpl hier="236" item="1"/>
          <tpl fld="4" item="6"/>
        </tpls>
      </n>
      <n v="1" in="1">
        <tpls c="4">
          <tpl fld="7" item="555"/>
          <tpl fld="6" item="1"/>
          <tpl hier="236" item="1"/>
          <tpl fld="4" item="6"/>
        </tpls>
      </n>
      <n v="6" in="1">
        <tpls c="4">
          <tpl fld="7" item="624"/>
          <tpl fld="6" item="1"/>
          <tpl hier="236" item="1"/>
          <tpl fld="1" item="0"/>
        </tpls>
      </n>
      <m>
        <tpls c="4">
          <tpl fld="7" item="989"/>
          <tpl fld="6" item="2"/>
          <tpl hier="236" item="1"/>
          <tpl fld="4" item="5"/>
        </tpls>
      </m>
      <m>
        <tpls c="4">
          <tpl fld="7" item="574"/>
          <tpl fld="6" item="2"/>
          <tpl hier="236" item="1"/>
          <tpl fld="4" item="4"/>
        </tpls>
      </m>
      <m>
        <tpls c="4">
          <tpl fld="7" item="718"/>
          <tpl fld="6" item="2"/>
          <tpl hier="236" item="1"/>
          <tpl fld="4" item="6"/>
        </tpls>
      </m>
      <n v="1" in="2">
        <tpls c="4">
          <tpl fld="7" item="804"/>
          <tpl fld="6" item="2"/>
          <tpl hier="236" item="1"/>
          <tpl fld="1" item="0"/>
        </tpls>
      </n>
      <m>
        <tpls c="3">
          <tpl fld="7" item="699"/>
          <tpl fld="6" item="3"/>
          <tpl hier="236" item="1"/>
        </tpls>
      </m>
      <n v="7" in="1">
        <tpls c="4">
          <tpl fld="7" item="1094"/>
          <tpl fld="6" item="1"/>
          <tpl hier="236" item="1"/>
          <tpl fld="1" item="0"/>
        </tpls>
      </n>
      <m>
        <tpls c="4">
          <tpl fld="7" item="889"/>
          <tpl fld="6" item="2"/>
          <tpl hier="236" item="1"/>
          <tpl fld="4" item="1"/>
        </tpls>
      </m>
      <m>
        <tpls c="4">
          <tpl fld="7" item="729"/>
          <tpl fld="6" item="2"/>
          <tpl hier="236" item="1"/>
          <tpl fld="4" item="4"/>
        </tpls>
      </m>
      <m>
        <tpls c="4">
          <tpl fld="7" item="655"/>
          <tpl fld="6" item="2"/>
          <tpl hier="236" item="1"/>
          <tpl fld="4" item="6"/>
        </tpls>
      </m>
      <m>
        <tpls c="4">
          <tpl fld="7" item="997"/>
          <tpl fld="6" item="2"/>
          <tpl hier="236" item="1"/>
          <tpl fld="1" item="0"/>
        </tpls>
      </m>
      <n v="1" in="1">
        <tpls c="4">
          <tpl fld="7" item="895"/>
          <tpl fld="6" item="1"/>
          <tpl hier="236" item="1"/>
          <tpl fld="1" item="0"/>
        </tpls>
      </n>
      <m>
        <tpls c="4">
          <tpl fld="7" item="904"/>
          <tpl fld="6" item="2"/>
          <tpl hier="236" item="1"/>
          <tpl fld="4" item="4"/>
        </tpls>
      </m>
      <n v="2" in="1">
        <tpls c="4">
          <tpl fld="7" item="1246"/>
          <tpl fld="6" item="1"/>
          <tpl hier="236" item="1"/>
          <tpl fld="4" item="4"/>
        </tpls>
      </n>
      <m>
        <tpls c="4">
          <tpl fld="7" item="1027"/>
          <tpl fld="6" item="2"/>
          <tpl hier="236" item="1"/>
          <tpl fld="4" item="1"/>
        </tpls>
      </m>
      <m>
        <tpls c="4">
          <tpl fld="7" item="1051"/>
          <tpl fld="6" item="2"/>
          <tpl hier="236" item="1"/>
          <tpl fld="4" item="1"/>
        </tpls>
      </m>
      <m>
        <tpls c="4">
          <tpl fld="7" item="1180"/>
          <tpl fld="6" item="2"/>
          <tpl hier="236" item="1"/>
          <tpl fld="1" item="0"/>
        </tpls>
      </m>
      <m>
        <tpls c="4">
          <tpl fld="7" item="440"/>
          <tpl fld="6" item="2"/>
          <tpl hier="236" item="1"/>
          <tpl fld="1" item="0"/>
        </tpls>
      </m>
      <m>
        <tpls c="4">
          <tpl fld="7" item="43"/>
          <tpl fld="6" item="2"/>
          <tpl hier="236" item="1"/>
          <tpl fld="1" item="0"/>
        </tpls>
      </m>
      <m>
        <tpls c="4">
          <tpl fld="7" item="1026"/>
          <tpl fld="6" item="2"/>
          <tpl hier="236" item="1"/>
          <tpl fld="4" item="5"/>
        </tpls>
      </m>
      <m>
        <tpls c="4">
          <tpl fld="7" item="202"/>
          <tpl fld="6" item="2"/>
          <tpl hier="236" item="1"/>
          <tpl fld="4" item="4"/>
        </tpls>
      </m>
      <m>
        <tpls c="4">
          <tpl fld="7" item="542"/>
          <tpl fld="6" item="2"/>
          <tpl hier="236" item="1"/>
          <tpl fld="4" item="1"/>
        </tpls>
      </m>
      <m>
        <tpls c="3">
          <tpl fld="7" item="674"/>
          <tpl fld="6" item="3"/>
          <tpl hier="236" item="1"/>
        </tpls>
      </m>
      <m>
        <tpls c="4">
          <tpl fld="7" item="766"/>
          <tpl fld="6" item="1"/>
          <tpl hier="236" item="1"/>
          <tpl fld="1" item="0"/>
        </tpls>
      </m>
      <m>
        <tpls c="4">
          <tpl fld="7" item="530"/>
          <tpl fld="6" item="2"/>
          <tpl hier="236" item="1"/>
          <tpl fld="4" item="4"/>
        </tpls>
      </m>
      <m>
        <tpls c="4">
          <tpl fld="7" item="1091"/>
          <tpl fld="6" item="2"/>
          <tpl hier="236" item="1"/>
          <tpl fld="1" item="0"/>
        </tpls>
      </m>
      <n v="1" in="2">
        <tpls c="4">
          <tpl fld="7" item="458"/>
          <tpl fld="6" item="2"/>
          <tpl hier="236" item="1"/>
          <tpl fld="1" item="0"/>
        </tpls>
      </n>
      <m>
        <tpls c="4">
          <tpl fld="7" item="563"/>
          <tpl fld="6" item="1"/>
          <tpl hier="236" item="1"/>
          <tpl fld="1" item="0"/>
        </tpls>
      </m>
      <m>
        <tpls c="4">
          <tpl fld="7" item="140"/>
          <tpl fld="6" item="1"/>
          <tpl hier="236" item="1"/>
          <tpl fld="4" item="4"/>
        </tpls>
      </m>
      <m>
        <tpls c="4">
          <tpl fld="7" item="531"/>
          <tpl fld="6" item="1"/>
          <tpl hier="236" item="1"/>
          <tpl fld="4" item="4"/>
        </tpls>
      </m>
      <m>
        <tpls c="4">
          <tpl fld="7" item="548"/>
          <tpl fld="6" item="2"/>
          <tpl hier="236" item="1"/>
          <tpl fld="4" item="6"/>
        </tpls>
      </m>
      <m>
        <tpls c="4">
          <tpl fld="7" item="555"/>
          <tpl fld="6" item="2"/>
          <tpl hier="236" item="1"/>
          <tpl fld="4" item="6"/>
        </tpls>
      </m>
      <m>
        <tpls c="4">
          <tpl fld="7" item="624"/>
          <tpl fld="6" item="2"/>
          <tpl hier="236" item="1"/>
          <tpl fld="1" item="0"/>
        </tpls>
      </m>
      <m>
        <tpls c="4">
          <tpl fld="7" item="629"/>
          <tpl fld="6" item="1"/>
          <tpl hier="236" item="1"/>
          <tpl fld="4" item="5"/>
        </tpls>
      </m>
      <m>
        <tpls c="4">
          <tpl fld="7" item="574"/>
          <tpl fld="6" item="1"/>
          <tpl hier="236" item="1"/>
          <tpl fld="4" item="1"/>
        </tpls>
      </m>
      <n v="0.72" in="2">
        <tpls c="6">
          <tpl fld="3" item="0"/>
          <tpl fld="11" item="0"/>
          <tpl fld="6" item="2"/>
          <tpl hier="236" item="1"/>
          <tpl fld="4" item="3"/>
          <tpl fld="10" item="1"/>
        </tpls>
      </n>
      <n v="3" in="1">
        <tpls c="4">
          <tpl fld="7" item="1167"/>
          <tpl fld="6" item="1"/>
          <tpl hier="236" item="1"/>
          <tpl fld="4" item="6"/>
        </tpls>
      </n>
      <m>
        <tpls c="4">
          <tpl fld="7" item="46"/>
          <tpl fld="6" item="1"/>
          <tpl hier="236" item="1"/>
          <tpl fld="4" item="6"/>
        </tpls>
      </m>
      <n v="1" in="1">
        <tpls c="4">
          <tpl fld="7" item="1060"/>
          <tpl fld="6" item="1"/>
          <tpl hier="236" item="1"/>
          <tpl fld="4" item="5"/>
        </tpls>
      </n>
      <m>
        <tpls c="4">
          <tpl fld="7" item="262"/>
          <tpl fld="6" item="1"/>
          <tpl hier="236" item="1"/>
          <tpl fld="4" item="6"/>
        </tpls>
      </m>
      <m>
        <tpls c="3">
          <tpl fld="7" item="341"/>
          <tpl fld="6" item="3"/>
          <tpl hier="236" item="1"/>
        </tpls>
      </m>
      <n v="0" in="1">
        <tpls c="4">
          <tpl fld="7" item="383"/>
          <tpl fld="6" item="1"/>
          <tpl hier="236" item="1"/>
          <tpl fld="4" item="6"/>
        </tpls>
      </n>
      <m>
        <tpls c="4">
          <tpl fld="7" item="594"/>
          <tpl fld="6" item="1"/>
          <tpl hier="236" item="1"/>
          <tpl fld="4" item="6"/>
        </tpls>
      </m>
      <m>
        <tpls c="4">
          <tpl fld="7" item="175"/>
          <tpl fld="6" item="1"/>
          <tpl hier="236" item="1"/>
          <tpl fld="4" item="6"/>
        </tpls>
      </m>
      <m>
        <tpls c="4">
          <tpl fld="7" item="102"/>
          <tpl fld="6" item="1"/>
          <tpl hier="236" item="1"/>
          <tpl fld="4" item="6"/>
        </tpls>
      </m>
      <m>
        <tpls c="4">
          <tpl fld="7" item="983"/>
          <tpl fld="6" item="1"/>
          <tpl hier="236" item="1"/>
          <tpl fld="4" item="4"/>
        </tpls>
      </m>
      <n v="0.04" in="2">
        <tpls c="4">
          <tpl fld="7" item="210"/>
          <tpl fld="6" item="2"/>
          <tpl hier="236" item="1"/>
          <tpl fld="4" item="4"/>
        </tpls>
      </n>
      <m>
        <tpls c="4">
          <tpl fld="7" item="983"/>
          <tpl fld="6" item="1"/>
          <tpl hier="236" item="1"/>
          <tpl fld="4" item="5"/>
        </tpls>
      </m>
      <m>
        <tpls c="4">
          <tpl fld="7" item="9"/>
          <tpl fld="6" item="1"/>
          <tpl hier="236" item="1"/>
          <tpl fld="4" item="4"/>
        </tpls>
      </m>
      <m>
        <tpls c="4">
          <tpl fld="7" item="205"/>
          <tpl fld="6" item="2"/>
          <tpl hier="236" item="1"/>
          <tpl fld="4" item="4"/>
        </tpls>
      </m>
      <m>
        <tpls c="4">
          <tpl fld="7" item="160"/>
          <tpl fld="6" item="2"/>
          <tpl hier="236" item="1"/>
          <tpl fld="4" item="4"/>
        </tpls>
      </m>
      <m>
        <tpls c="4">
          <tpl fld="7" item="211"/>
          <tpl fld="6" item="2"/>
          <tpl hier="236" item="1"/>
          <tpl fld="4" item="1"/>
        </tpls>
      </m>
      <m>
        <tpls c="4">
          <tpl fld="7" item="679"/>
          <tpl fld="6" item="2"/>
          <tpl hier="236" item="1"/>
          <tpl fld="4" item="4"/>
        </tpls>
      </m>
      <n v="17" in="1">
        <tpls c="4">
          <tpl fld="7" item="1212"/>
          <tpl fld="6" item="1"/>
          <tpl hier="236" item="1"/>
          <tpl fld="1" item="0"/>
        </tpls>
      </n>
      <m>
        <tpls c="4">
          <tpl fld="7" item="511"/>
          <tpl fld="6" item="2"/>
          <tpl hier="236" item="1"/>
          <tpl fld="4" item="4"/>
        </tpls>
      </m>
      <m>
        <tpls c="4">
          <tpl fld="7" item="146"/>
          <tpl fld="6" item="2"/>
          <tpl hier="236" item="1"/>
          <tpl fld="4" item="4"/>
        </tpls>
      </m>
      <m>
        <tpls c="4">
          <tpl fld="7" item="196"/>
          <tpl fld="6" item="2"/>
          <tpl hier="236" item="1"/>
          <tpl fld="4" item="1"/>
        </tpls>
      </m>
      <m>
        <tpls c="4">
          <tpl fld="7" item="767"/>
          <tpl fld="6" item="2"/>
          <tpl hier="236" item="1"/>
          <tpl fld="4" item="1"/>
        </tpls>
      </m>
      <n v="5" in="1">
        <tpls c="4">
          <tpl fld="7" item="367"/>
          <tpl fld="6" item="1"/>
          <tpl hier="236" item="1"/>
          <tpl fld="4" item="4"/>
        </tpls>
      </n>
      <m>
        <tpls c="4">
          <tpl fld="7" item="542"/>
          <tpl fld="6" item="2"/>
          <tpl hier="236" item="1"/>
          <tpl fld="4" item="6"/>
        </tpls>
      </m>
      <m>
        <tpls c="4">
          <tpl fld="7" item="616"/>
          <tpl fld="6" item="2"/>
          <tpl hier="236" item="1"/>
          <tpl fld="1" item="0"/>
        </tpls>
      </m>
      <m>
        <tpls c="4">
          <tpl fld="7" item="1276"/>
          <tpl fld="6" item="1"/>
          <tpl hier="236" item="1"/>
          <tpl fld="4" item="6"/>
        </tpls>
      </m>
      <n v="7" in="1">
        <tpls c="4">
          <tpl fld="7" item="550"/>
          <tpl fld="6" item="1"/>
          <tpl hier="236" item="1"/>
          <tpl fld="1" item="0"/>
        </tpls>
      </n>
      <m>
        <tpls c="4">
          <tpl fld="7" item="796"/>
          <tpl fld="6" item="2"/>
          <tpl hier="236" item="1"/>
          <tpl fld="1" item="0"/>
        </tpls>
      </m>
      <m>
        <tpls c="4">
          <tpl fld="7" item="200"/>
          <tpl fld="6" item="2"/>
          <tpl hier="236" item="1"/>
          <tpl fld="4" item="1"/>
        </tpls>
      </m>
      <m>
        <tpls c="4">
          <tpl fld="7" item="395"/>
          <tpl fld="6" item="2"/>
          <tpl hier="236" item="1"/>
          <tpl fld="4" item="6"/>
        </tpls>
      </m>
      <n v="2" in="1">
        <tpls c="4">
          <tpl fld="7" item="368"/>
          <tpl fld="6" item="1"/>
          <tpl hier="236" item="1"/>
          <tpl fld="4" item="4"/>
        </tpls>
      </n>
      <m>
        <tpls c="4">
          <tpl fld="7" item="528"/>
          <tpl fld="6" item="1"/>
          <tpl hier="236" item="1"/>
          <tpl fld="4" item="6"/>
        </tpls>
      </m>
      <n v="0" in="1">
        <tpls c="4">
          <tpl fld="7" item="536"/>
          <tpl fld="6" item="1"/>
          <tpl hier="236" item="1"/>
          <tpl fld="4" item="6"/>
        </tpls>
      </n>
      <m>
        <tpls c="4">
          <tpl fld="7" item="611"/>
          <tpl fld="6" item="2"/>
          <tpl hier="236" item="1"/>
          <tpl fld="4" item="5"/>
        </tpls>
      </m>
      <m>
        <tpls c="4">
          <tpl fld="7" item="358"/>
          <tpl fld="6" item="2"/>
          <tpl hier="236" item="1"/>
          <tpl fld="4" item="1"/>
        </tpls>
      </m>
      <m>
        <tpls c="4">
          <tpl fld="7" item="1212"/>
          <tpl fld="6" item="1"/>
          <tpl hier="236" item="1"/>
          <tpl fld="4" item="5"/>
        </tpls>
      </m>
      <m>
        <tpls c="4">
          <tpl fld="7" item="552"/>
          <tpl fld="6" item="2"/>
          <tpl hier="236" item="1"/>
          <tpl fld="4" item="1"/>
        </tpls>
      </m>
      <m>
        <tpls c="4">
          <tpl fld="7" item="623"/>
          <tpl fld="6" item="2"/>
          <tpl hier="236" item="1"/>
          <tpl fld="4" item="6"/>
        </tpls>
      </m>
      <n v="16" in="1">
        <tpls c="4">
          <tpl fld="7" item="630"/>
          <tpl fld="6" item="1"/>
          <tpl hier="236" item="1"/>
          <tpl fld="4" item="4"/>
        </tpls>
      </n>
      <m>
        <tpls c="4">
          <tpl fld="7" item="636"/>
          <tpl fld="6" item="1"/>
          <tpl hier="236" item="1"/>
          <tpl fld="4" item="5"/>
        </tpls>
      </m>
      <n v="11.465945945945945" in="2">
        <tpls c="4">
          <tpl fld="7" item="355"/>
          <tpl fld="6" item="2"/>
          <tpl hier="236" item="1"/>
          <tpl fld="4" item="1"/>
        </tpls>
      </n>
      <n v="2" in="1">
        <tpls c="4">
          <tpl fld="7" item="690"/>
          <tpl fld="6" item="1"/>
          <tpl hier="236" item="1"/>
          <tpl fld="4" item="1"/>
        </tpls>
      </n>
      <m>
        <tpls c="4">
          <tpl fld="7" item="617"/>
          <tpl fld="6" item="1"/>
          <tpl hier="236" item="1"/>
          <tpl fld="4" item="1"/>
        </tpls>
      </m>
      <m>
        <tpls c="4">
          <tpl fld="7" item="1187"/>
          <tpl fld="6" item="1"/>
          <tpl hier="236" item="1"/>
          <tpl fld="4" item="6"/>
        </tpls>
      </m>
      <m>
        <tpls c="4">
          <tpl fld="7" item="791"/>
          <tpl fld="6" item="2"/>
          <tpl hier="236" item="1"/>
          <tpl fld="4" item="1"/>
        </tpls>
      </m>
      <m>
        <tpls c="4">
          <tpl fld="7" item="887"/>
          <tpl fld="6" item="2"/>
          <tpl hier="236" item="1"/>
          <tpl fld="4" item="1"/>
        </tpls>
      </m>
      <m>
        <tpls c="4">
          <tpl fld="7" item="272"/>
          <tpl fld="6" item="2"/>
          <tpl hier="236" item="1"/>
          <tpl fld="4" item="6"/>
        </tpls>
      </m>
      <m>
        <tpls c="4">
          <tpl fld="7" item="44"/>
          <tpl fld="6" item="1"/>
          <tpl hier="236" item="1"/>
          <tpl fld="4" item="4"/>
        </tpls>
      </m>
      <n v="4508" in="1">
        <tpls c="5">
          <tpl fld="11" item="0"/>
          <tpl fld="6" item="1"/>
          <tpl hier="236" item="1"/>
          <tpl fld="4" item="1"/>
          <tpl fld="9" item="4"/>
        </tpls>
      </n>
      <m>
        <tpls c="4">
          <tpl fld="7" item="458"/>
          <tpl fld="6" item="1"/>
          <tpl hier="236" item="1"/>
          <tpl fld="4" item="6"/>
        </tpls>
      </m>
      <n v="1.7600000000000002" in="2">
        <tpls c="4">
          <tpl fld="7" item="596"/>
          <tpl fld="6" item="2"/>
          <tpl hier="236" item="1"/>
          <tpl fld="4" item="1"/>
        </tpls>
      </n>
      <n v="1" in="1">
        <tpls c="4">
          <tpl fld="7" item="768"/>
          <tpl fld="6" item="1"/>
          <tpl hier="236" item="1"/>
          <tpl fld="4" item="4"/>
        </tpls>
      </n>
      <m>
        <tpls c="4">
          <tpl fld="7" item="157"/>
          <tpl fld="6" item="1"/>
          <tpl hier="236" item="1"/>
          <tpl fld="4" item="5"/>
        </tpls>
      </m>
      <m>
        <tpls c="3">
          <tpl fld="7" item="207"/>
          <tpl fld="6" item="3"/>
          <tpl hier="236" item="1"/>
        </tpls>
      </m>
      <m>
        <tpls c="4">
          <tpl fld="7" item="335"/>
          <tpl fld="6" item="1"/>
          <tpl hier="236" item="1"/>
          <tpl fld="4" item="6"/>
        </tpls>
      </m>
      <m>
        <tpls c="4">
          <tpl fld="7" item="134"/>
          <tpl fld="6" item="2"/>
          <tpl hier="236" item="1"/>
          <tpl fld="4" item="1"/>
        </tpls>
      </m>
      <m>
        <tpls c="4">
          <tpl fld="7" item="222"/>
          <tpl fld="6" item="1"/>
          <tpl hier="236" item="1"/>
          <tpl fld="1" item="0"/>
        </tpls>
      </m>
      <m>
        <tpls c="4">
          <tpl fld="7" item="66"/>
          <tpl fld="6" item="2"/>
          <tpl hier="236" item="1"/>
          <tpl fld="4" item="4"/>
        </tpls>
      </m>
      <m>
        <tpls c="4">
          <tpl fld="7" item="479"/>
          <tpl fld="6" item="1"/>
          <tpl hier="236" item="1"/>
          <tpl fld="4" item="5"/>
        </tpls>
      </m>
      <m>
        <tpls c="4">
          <tpl fld="7" item="1263"/>
          <tpl fld="6" item="1"/>
          <tpl hier="236" item="1"/>
          <tpl fld="4" item="4"/>
        </tpls>
      </m>
      <m>
        <tpls c="4">
          <tpl fld="7" item="161"/>
          <tpl fld="6" item="2"/>
          <tpl hier="236" item="1"/>
          <tpl fld="4" item="1"/>
        </tpls>
      </m>
      <n v="12" in="1">
        <tpls c="4">
          <tpl fld="7" item="525"/>
          <tpl fld="6" item="1"/>
          <tpl hier="236" item="1"/>
          <tpl fld="4" item="4"/>
        </tpls>
      </n>
      <n v="0" in="1">
        <tpls c="6">
          <tpl fld="3" item="2"/>
          <tpl fld="11" item="0"/>
          <tpl fld="6" item="1"/>
          <tpl hier="236" item="1"/>
          <tpl fld="4" item="7"/>
          <tpl fld="10" item="2"/>
        </tpls>
      </n>
      <m>
        <tpls c="3">
          <tpl fld="7" item="283"/>
          <tpl fld="6" item="3"/>
          <tpl hier="236" item="1"/>
        </tpls>
      </m>
      <m>
        <tpls c="4">
          <tpl fld="7" item="105"/>
          <tpl fld="6" item="2"/>
          <tpl hier="236" item="1"/>
          <tpl fld="4" item="1"/>
        </tpls>
      </m>
      <n v="2" in="1">
        <tpls c="4">
          <tpl fld="7" item="432"/>
          <tpl fld="6" item="1"/>
          <tpl hier="236" item="1"/>
          <tpl fld="4" item="6"/>
        </tpls>
      </n>
      <n v="1.2" in="2">
        <tpls c="4">
          <tpl fld="7" item="374"/>
          <tpl fld="6" item="2"/>
          <tpl hier="236" item="1"/>
          <tpl fld="4" item="4"/>
        </tpls>
      </n>
      <m>
        <tpls c="4">
          <tpl fld="7" item="765"/>
          <tpl fld="6" item="2"/>
          <tpl hier="236" item="1"/>
          <tpl fld="4" item="4"/>
        </tpls>
      </m>
      <m>
        <tpls c="3">
          <tpl fld="7" item="605"/>
          <tpl fld="6" item="3"/>
          <tpl hier="236" item="1"/>
        </tpls>
      </m>
      <n v="4" in="1">
        <tpls c="4">
          <tpl fld="7" item="608"/>
          <tpl fld="6" item="1"/>
          <tpl hier="236" item="1"/>
          <tpl fld="4" item="5"/>
        </tpls>
      </n>
      <n v="1" in="1">
        <tpls c="4">
          <tpl fld="7" item="692"/>
          <tpl fld="6" item="1"/>
          <tpl hier="236" item="1"/>
          <tpl fld="4" item="1"/>
        </tpls>
      </n>
      <m>
        <tpls c="4">
          <tpl fld="7" item="428"/>
          <tpl fld="6" item="1"/>
          <tpl hier="236" item="1"/>
          <tpl fld="4" item="4"/>
        </tpls>
      </m>
      <m>
        <tpls c="4">
          <tpl fld="7" item="768"/>
          <tpl fld="6" item="2"/>
          <tpl hier="236" item="1"/>
          <tpl fld="1" item="0"/>
        </tpls>
      </m>
      <n v="4" in="1">
        <tpls c="4">
          <tpl fld="7" item="694"/>
          <tpl fld="6" item="1"/>
          <tpl hier="236" item="1"/>
          <tpl fld="4" item="1"/>
        </tpls>
      </n>
      <m>
        <tpls c="4">
          <tpl fld="7" item="1270"/>
          <tpl fld="6" item="1"/>
          <tpl hier="236" item="1"/>
          <tpl fld="4" item="4"/>
        </tpls>
      </m>
      <m>
        <tpls c="4">
          <tpl fld="7" item="623"/>
          <tpl fld="6" item="1"/>
          <tpl hier="236" item="1"/>
          <tpl fld="4" item="6"/>
        </tpls>
      </m>
      <m>
        <tpls c="4">
          <tpl fld="7" item="789"/>
          <tpl fld="6" item="2"/>
          <tpl hier="236" item="1"/>
          <tpl fld="4" item="6"/>
        </tpls>
      </m>
      <m>
        <tpls c="4">
          <tpl fld="7" item="633"/>
          <tpl fld="6" item="2"/>
          <tpl hier="236" item="1"/>
          <tpl fld="4" item="1"/>
        </tpls>
      </m>
      <m>
        <tpls c="4">
          <tpl fld="7" item="717"/>
          <tpl fld="6" item="2"/>
          <tpl hier="236" item="1"/>
          <tpl fld="4" item="4"/>
        </tpls>
      </m>
      <n v="17" in="1">
        <tpls c="4">
          <tpl fld="7" item="425"/>
          <tpl fld="6" item="1"/>
          <tpl hier="236" item="1"/>
          <tpl fld="4" item="4"/>
        </tpls>
      </n>
      <m>
        <tpls c="4">
          <tpl fld="7" item="395"/>
          <tpl fld="6" item="1"/>
          <tpl hier="236" item="1"/>
          <tpl fld="4" item="5"/>
        </tpls>
      </m>
      <m>
        <tpls c="4">
          <tpl fld="7" item="614"/>
          <tpl fld="6" item="2"/>
          <tpl hier="236" item="1"/>
          <tpl fld="4" item="4"/>
        </tpls>
      </m>
      <m>
        <tpls c="4">
          <tpl fld="7" item="698"/>
          <tpl fld="6" item="2"/>
          <tpl hier="236" item="1"/>
          <tpl fld="4" item="6"/>
        </tpls>
      </m>
      <m>
        <tpls c="4">
          <tpl fld="7" item="559"/>
          <tpl fld="6" item="2"/>
          <tpl hier="236" item="1"/>
          <tpl fld="1" item="0"/>
        </tpls>
      </m>
      <n v="0" in="1">
        <tpls c="4">
          <tpl fld="7" item="565"/>
          <tpl fld="6" item="1"/>
          <tpl hier="236" item="1"/>
          <tpl fld="4" item="1"/>
        </tpls>
      </n>
      <n v="2" in="1">
        <tpls c="4">
          <tpl fld="7" item="794"/>
          <tpl fld="6" item="1"/>
          <tpl hier="236" item="1"/>
          <tpl fld="4" item="1"/>
        </tpls>
      </n>
      <n v="395" in="1">
        <tpls c="6">
          <tpl fld="11" item="0"/>
          <tpl fld="5" item="3"/>
          <tpl fld="6" item="1"/>
          <tpl hier="236" item="1"/>
          <tpl fld="4" item="4"/>
          <tpl fld="10" item="3"/>
        </tpls>
      </n>
      <m>
        <tpls c="4">
          <tpl fld="7" item="55"/>
          <tpl fld="6" item="2"/>
          <tpl hier="236" item="1"/>
          <tpl fld="4" item="6"/>
        </tpls>
      </m>
      <m>
        <tpls c="4">
          <tpl fld="7" item="19"/>
          <tpl fld="6" item="1"/>
          <tpl hier="236" item="1"/>
          <tpl fld="4" item="4"/>
        </tpls>
      </m>
      <m>
        <tpls c="4">
          <tpl fld="7" item="70"/>
          <tpl fld="6" item="2"/>
          <tpl hier="236" item="1"/>
          <tpl fld="4" item="4"/>
        </tpls>
      </m>
      <m>
        <tpls c="3">
          <tpl fld="7" item="285"/>
          <tpl fld="6" item="3"/>
          <tpl hier="236" item="1"/>
        </tpls>
      </m>
      <m>
        <tpls c="4">
          <tpl fld="7" item="528"/>
          <tpl fld="6" item="2"/>
          <tpl hier="236" item="1"/>
          <tpl fld="4" item="5"/>
        </tpls>
      </m>
      <m>
        <tpls c="3">
          <tpl fld="7" item="286"/>
          <tpl fld="6" item="3"/>
          <tpl hier="236" item="1"/>
        </tpls>
      </m>
      <m>
        <tpls c="4">
          <tpl fld="7" item="387"/>
          <tpl fld="6" item="1"/>
          <tpl hier="236" item="1"/>
          <tpl fld="4" item="6"/>
        </tpls>
      </m>
      <n v="303.43129729729725" in="2">
        <tpls c="5">
          <tpl fld="11" item="0"/>
          <tpl fld="6" item="2"/>
          <tpl hier="236" item="1"/>
          <tpl fld="4" item="4"/>
          <tpl fld="10" item="0"/>
        </tpls>
      </n>
      <m>
        <tpls c="3">
          <tpl fld="7" item="287"/>
          <tpl fld="6" item="3"/>
          <tpl hier="236" item="1"/>
        </tpls>
      </m>
      <m>
        <tpls c="3">
          <tpl fld="7" item="322"/>
          <tpl fld="6" item="3"/>
          <tpl hier="236" item="1"/>
        </tpls>
      </m>
      <m>
        <tpls c="4">
          <tpl fld="7" item="433"/>
          <tpl fld="6" item="1"/>
          <tpl hier="236" item="1"/>
          <tpl fld="4" item="6"/>
        </tpls>
      </m>
      <n v="2.8" in="2">
        <tpls c="4">
          <tpl fld="7" item="375"/>
          <tpl fld="6" item="2"/>
          <tpl hier="236" item="1"/>
          <tpl fld="4" item="4"/>
        </tpls>
      </n>
      <n v="1" in="1">
        <tpls c="4">
          <tpl fld="7" item="387"/>
          <tpl fld="6" item="1"/>
          <tpl hier="236" item="1"/>
          <tpl fld="4" item="1"/>
        </tpls>
      </n>
      <m>
        <tpls c="4">
          <tpl fld="7" item="393"/>
          <tpl fld="6" item="1"/>
          <tpl hier="236" item="1"/>
          <tpl fld="4" item="4"/>
        </tpls>
      </m>
      <n v="16" in="1">
        <tpls c="4">
          <tpl fld="7" item="540"/>
          <tpl fld="6" item="1"/>
          <tpl hier="236" item="1"/>
          <tpl fld="4" item="6"/>
        </tpls>
      </n>
      <n v="2" in="1">
        <tpls c="4">
          <tpl fld="7" item="985"/>
          <tpl fld="6" item="1"/>
          <tpl hier="236" item="1"/>
          <tpl fld="1" item="0"/>
        </tpls>
      </n>
      <n v="7" in="1">
        <tpls c="4">
          <tpl fld="7" item="432"/>
          <tpl fld="6" item="1"/>
          <tpl hier="236" item="1"/>
          <tpl fld="4" item="4"/>
        </tpls>
      </n>
      <m>
        <tpls c="3">
          <tpl fld="7" item="608"/>
          <tpl fld="6" item="3"/>
          <tpl hier="236" item="1"/>
        </tpls>
      </m>
      <n v="9" in="1">
        <tpls c="4">
          <tpl fld="7" item="776"/>
          <tpl fld="6" item="1"/>
          <tpl hier="236" item="1"/>
          <tpl fld="1" item="0"/>
        </tpls>
      </n>
      <m>
        <tpls c="4">
          <tpl fld="7" item="554"/>
          <tpl fld="6" item="2"/>
          <tpl hier="236" item="1"/>
          <tpl fld="4" item="5"/>
        </tpls>
      </m>
      <m>
        <tpls c="4">
          <tpl fld="7" item="560"/>
          <tpl fld="6" item="2"/>
          <tpl hier="236" item="1"/>
          <tpl fld="4" item="1"/>
        </tpls>
      </m>
      <n v="8" in="1">
        <tpls c="4">
          <tpl fld="7" item="628"/>
          <tpl fld="6" item="1"/>
          <tpl hier="236" item="1"/>
          <tpl fld="4" item="4"/>
        </tpls>
      </n>
      <n v="0" in="2">
        <tpls c="4">
          <tpl fld="7" item="573"/>
          <tpl fld="6" item="2"/>
          <tpl hier="236" item="1"/>
          <tpl fld="1" item="0"/>
        </tpls>
      </n>
      <m>
        <tpls c="3">
          <tpl fld="7" item="579"/>
          <tpl fld="6" item="3"/>
          <tpl hier="236" item="1"/>
        </tpls>
      </m>
      <n v="22" in="1">
        <tpls c="4">
          <tpl fld="7" item="429"/>
          <tpl fld="6" item="1"/>
          <tpl hier="236" item="1"/>
          <tpl fld="4" item="4"/>
        </tpls>
      </n>
      <n v="2" in="1">
        <tpls c="4">
          <tpl fld="7" item="538"/>
          <tpl fld="6" item="1"/>
          <tpl hier="236" item="1"/>
          <tpl fld="4" item="1"/>
        </tpls>
      </n>
      <m>
        <tpls c="3">
          <tpl fld="7" item="548"/>
          <tpl fld="6" item="3"/>
          <tpl hier="236" item="1"/>
        </tpls>
      </m>
      <m>
        <tpls c="4">
          <tpl fld="7" item="1270"/>
          <tpl fld="6" item="1"/>
          <tpl hier="236" item="1"/>
          <tpl fld="4" item="5"/>
        </tpls>
      </m>
      <m>
        <tpls c="4">
          <tpl fld="7" item="623"/>
          <tpl fld="6" item="1"/>
          <tpl hier="236" item="1"/>
          <tpl fld="4" item="1"/>
        </tpls>
      </m>
      <m>
        <tpls c="4">
          <tpl fld="7" item="885"/>
          <tpl fld="6" item="2"/>
          <tpl hier="236" item="1"/>
          <tpl fld="4" item="1"/>
        </tpls>
      </m>
      <n v="5" in="1">
        <tpls c="4">
          <tpl fld="7" item="633"/>
          <tpl fld="6" item="1"/>
          <tpl hier="236" item="1"/>
          <tpl fld="1" item="0"/>
        </tpls>
      </n>
      <m>
        <tpls c="4">
          <tpl fld="7" item="2"/>
          <tpl fld="6" item="2"/>
          <tpl hier="236" item="1"/>
          <tpl fld="4" item="1"/>
        </tpls>
      </m>
      <m>
        <tpls c="4">
          <tpl fld="7" item="168"/>
          <tpl fld="6" item="1"/>
          <tpl hier="236" item="1"/>
          <tpl fld="4" item="4"/>
        </tpls>
      </m>
      <m>
        <tpls c="4">
          <tpl fld="7" item="29"/>
          <tpl fld="6" item="1"/>
          <tpl hier="236" item="1"/>
          <tpl fld="4" item="4"/>
        </tpls>
      </m>
      <m>
        <tpls c="4">
          <tpl fld="7" item="74"/>
          <tpl fld="6" item="2"/>
          <tpl hier="236" item="1"/>
          <tpl fld="4" item="4"/>
        </tpls>
      </m>
      <m>
        <tpls c="4">
          <tpl fld="7" item="487"/>
          <tpl fld="6" item="2"/>
          <tpl hier="236" item="1"/>
          <tpl fld="4" item="1"/>
        </tpls>
      </m>
      <m>
        <tpls c="4">
          <tpl fld="7" item="530"/>
          <tpl fld="6" item="2"/>
          <tpl hier="236" item="1"/>
          <tpl fld="4" item="1"/>
        </tpls>
      </m>
      <m>
        <tpls c="4">
          <tpl fld="7" item="346"/>
          <tpl fld="6" item="2"/>
          <tpl hier="236" item="1"/>
          <tpl fld="4" item="1"/>
        </tpls>
      </m>
      <m>
        <tpls c="4">
          <tpl fld="7" item="530"/>
          <tpl fld="6" item="1"/>
          <tpl hier="236" item="1"/>
          <tpl fld="1" item="0"/>
        </tpls>
      </m>
      <n v="589" in="1">
        <tpls c="6">
          <tpl fld="11" item="0"/>
          <tpl fld="6" item="1"/>
          <tpl fld="8" item="1"/>
          <tpl hier="236" item="1"/>
          <tpl fld="4" item="4"/>
          <tpl fld="10" item="4"/>
        </tpls>
      </n>
      <n v="0.6" in="2">
        <tpls c="6">
          <tpl fld="3" item="1"/>
          <tpl fld="11" item="0"/>
          <tpl fld="6" item="2"/>
          <tpl hier="236" item="1"/>
          <tpl fld="4" item="4"/>
          <tpl fld="10" item="6"/>
        </tpls>
      </n>
      <m>
        <tpls c="4">
          <tpl fld="7" item="670"/>
          <tpl fld="6" item="2"/>
          <tpl hier="236" item="1"/>
          <tpl fld="4" item="1"/>
        </tpls>
      </m>
      <m>
        <tpls c="4">
          <tpl fld="7" item="34"/>
          <tpl fld="6" item="1"/>
          <tpl hier="236" item="1"/>
          <tpl fld="4" item="6"/>
        </tpls>
      </m>
      <m>
        <tpls c="4">
          <tpl fld="7" item="35"/>
          <tpl fld="6" item="1"/>
          <tpl hier="236" item="1"/>
          <tpl fld="4" item="6"/>
        </tpls>
      </m>
      <m>
        <tpls c="4">
          <tpl fld="7" item="479"/>
          <tpl fld="6" item="2"/>
          <tpl hier="236" item="1"/>
          <tpl fld="4" item="4"/>
        </tpls>
      </m>
      <n v="1" in="3">
        <tpls c="3">
          <tpl fld="7" item="441"/>
          <tpl fld="6" item="3"/>
          <tpl hier="236" item="1"/>
        </tpls>
      </n>
      <m>
        <tpls c="3">
          <tpl fld="7" item="307"/>
          <tpl fld="6" item="3"/>
          <tpl hier="236" item="1"/>
        </tpls>
      </m>
      <m>
        <tpls c="4">
          <tpl fld="7" item="279"/>
          <tpl fld="6" item="2"/>
          <tpl hier="236" item="1"/>
          <tpl fld="4" item="1"/>
        </tpls>
      </m>
      <m>
        <tpls c="4">
          <tpl fld="7" item="312"/>
          <tpl fld="6" item="1"/>
          <tpl hier="236" item="1"/>
          <tpl fld="4" item="4"/>
        </tpls>
      </m>
      <m>
        <tpls c="3">
          <tpl fld="7" item="390"/>
          <tpl fld="6" item="3"/>
          <tpl hier="236" item="1"/>
        </tpls>
      </m>
      <m>
        <tpls c="4">
          <tpl fld="7" item="313"/>
          <tpl fld="6" item="1"/>
          <tpl hier="236" item="1"/>
          <tpl fld="4" item="4"/>
        </tpls>
      </m>
      <m>
        <tpls c="4">
          <tpl fld="7" item="390"/>
          <tpl fld="6" item="2"/>
          <tpl hier="236" item="1"/>
          <tpl fld="4" item="6"/>
        </tpls>
      </m>
      <n v="419" in="1">
        <tpls c="6">
          <tpl fld="11" item="0"/>
          <tpl fld="2" item="1"/>
          <tpl fld="6" item="1"/>
          <tpl hier="236" item="1"/>
          <tpl fld="4" item="1"/>
          <tpl fld="9" item="1"/>
        </tpls>
      </n>
      <m>
        <tpls c="4">
          <tpl fld="7" item="202"/>
          <tpl fld="6" item="1"/>
          <tpl hier="236" item="1"/>
          <tpl fld="4" item="4"/>
        </tpls>
      </m>
      <m>
        <tpls c="4">
          <tpl fld="7" item="158"/>
          <tpl fld="6" item="2"/>
          <tpl hier="236" item="1"/>
          <tpl fld="4" item="4"/>
        </tpls>
      </m>
      <m>
        <tpls c="3">
          <tpl fld="7" item="100"/>
          <tpl fld="6" item="3"/>
          <tpl hier="236" item="1"/>
        </tpls>
      </m>
      <n v="2" in="1">
        <tpls c="4">
          <tpl fld="7" item="760"/>
          <tpl fld="6" item="1"/>
          <tpl hier="236" item="1"/>
          <tpl fld="4" item="4"/>
        </tpls>
      </n>
      <n v="8" in="1">
        <tpls c="4">
          <tpl fld="7" item="1087"/>
          <tpl fld="6" item="1"/>
          <tpl hier="236" item="1"/>
          <tpl fld="4" item="1"/>
        </tpls>
      </n>
      <n v="2" in="1">
        <tpls c="4">
          <tpl fld="7" item="508"/>
          <tpl fld="6" item="1"/>
          <tpl hier="236" item="1"/>
          <tpl fld="4" item="4"/>
        </tpls>
      </n>
      <m>
        <tpls c="4">
          <tpl fld="7" item="130"/>
          <tpl fld="6" item="1"/>
          <tpl hier="236" item="1"/>
          <tpl fld="4" item="4"/>
        </tpls>
      </m>
      <m>
        <tpls c="4">
          <tpl fld="7" item="292"/>
          <tpl fld="6" item="2"/>
          <tpl hier="236" item="1"/>
          <tpl fld="4" item="1"/>
        </tpls>
      </m>
      <m>
        <tpls c="4">
          <tpl fld="7" item="684"/>
          <tpl fld="6" item="1"/>
          <tpl hier="236" item="1"/>
          <tpl fld="4" item="5"/>
        </tpls>
      </m>
      <n v="2" in="2">
        <tpls c="4">
          <tpl fld="7" item="505"/>
          <tpl fld="6" item="2"/>
          <tpl hier="236" item="1"/>
          <tpl fld="4" item="1"/>
        </tpls>
      </n>
      <m>
        <tpls c="4">
          <tpl fld="7" item="984"/>
          <tpl fld="6" item="2"/>
          <tpl hier="236" item="1"/>
          <tpl fld="4" item="5"/>
        </tpls>
      </m>
      <m>
        <tpls c="4">
          <tpl fld="7" item="549"/>
          <tpl fld="6" item="2"/>
          <tpl hier="236" item="1"/>
          <tpl fld="4" item="1"/>
        </tpls>
      </m>
      <m>
        <tpls c="4">
          <tpl fld="7" item="1093"/>
          <tpl fld="6" item="1"/>
          <tpl hier="236" item="1"/>
          <tpl fld="4" item="5"/>
        </tpls>
      </m>
      <n v="3" in="1">
        <tpls c="4">
          <tpl fld="7" item="1238"/>
          <tpl fld="6" item="1"/>
          <tpl hier="236" item="1"/>
          <tpl fld="4" item="1"/>
        </tpls>
      </n>
      <m>
        <tpls c="4">
          <tpl fld="7" item="795"/>
          <tpl fld="6" item="2"/>
          <tpl hier="236" item="1"/>
          <tpl fld="4" item="1"/>
        </tpls>
      </m>
      <m>
        <tpls c="4">
          <tpl fld="7" item="296"/>
          <tpl fld="6" item="2"/>
          <tpl hier="236" item="1"/>
          <tpl fld="4" item="1"/>
        </tpls>
      </m>
      <m>
        <tpls c="4">
          <tpl fld="7" item="462"/>
          <tpl fld="6" item="1"/>
          <tpl hier="236" item="1"/>
          <tpl fld="4" item="1"/>
        </tpls>
      </m>
      <n v="1" in="2">
        <tpls c="4">
          <tpl fld="7" item="506"/>
          <tpl fld="6" item="2"/>
          <tpl hier="236" item="1"/>
          <tpl fld="4" item="1"/>
        </tpls>
      </n>
      <m>
        <tpls c="4">
          <tpl fld="7" item="457"/>
          <tpl fld="6" item="1"/>
          <tpl hier="236" item="1"/>
          <tpl fld="4" item="6"/>
        </tpls>
      </m>
      <m>
        <tpls c="4">
          <tpl fld="7" item="394"/>
          <tpl fld="6" item="2"/>
          <tpl hier="236" item="1"/>
          <tpl fld="4" item="4"/>
        </tpls>
      </m>
      <m>
        <tpls c="4">
          <tpl fld="7" item="1212"/>
          <tpl fld="6" item="2"/>
          <tpl hier="236" item="1"/>
          <tpl fld="4" item="4"/>
        </tpls>
      </m>
      <m>
        <tpls c="3">
          <tpl fld="7" item="496"/>
          <tpl fld="6" item="3"/>
          <tpl hier="236" item="1"/>
        </tpls>
      </m>
      <n v="1" in="2">
        <tpls c="4">
          <tpl fld="7" item="1087"/>
          <tpl fld="6" item="2"/>
          <tpl hier="236" item="1"/>
          <tpl fld="4" item="6"/>
        </tpls>
      </n>
      <m>
        <tpls c="4">
          <tpl fld="7" item="617"/>
          <tpl fld="6" item="2"/>
          <tpl hier="236" item="1"/>
          <tpl fld="4" item="6"/>
        </tpls>
      </m>
      <m>
        <tpls c="3">
          <tpl fld="7" item="1187"/>
          <tpl fld="6" item="3"/>
          <tpl hier="236" item="1"/>
        </tpls>
      </m>
      <n v="2" in="1">
        <tpls c="4">
          <tpl fld="7" item="709"/>
          <tpl fld="6" item="1"/>
          <tpl hier="236" item="1"/>
          <tpl fld="4" item="4"/>
        </tpls>
      </n>
      <n v="4" in="1">
        <tpls c="4">
          <tpl fld="7" item="887"/>
          <tpl fld="6" item="1"/>
          <tpl hier="236" item="1"/>
          <tpl fld="4" item="4"/>
        </tpls>
      </n>
      <m>
        <tpls c="3">
          <tpl fld="7" item="493"/>
          <tpl fld="6" item="3"/>
          <tpl hier="236" item="1"/>
        </tpls>
      </m>
      <n v="1" in="2">
        <tpls c="4">
          <tpl fld="7" item="541"/>
          <tpl fld="6" item="2"/>
          <tpl hier="236" item="1"/>
          <tpl fld="1" item="0"/>
        </tpls>
      </n>
      <n v="1" in="1">
        <tpls c="4">
          <tpl fld="7" item="986"/>
          <tpl fld="6" item="1"/>
          <tpl hier="236" item="1"/>
          <tpl fld="4" item="6"/>
        </tpls>
      </n>
      <m>
        <tpls c="4">
          <tpl fld="7" item="784"/>
          <tpl fld="6" item="2"/>
          <tpl hier="236" item="1"/>
          <tpl fld="4" item="5"/>
        </tpls>
      </m>
      <m>
        <tpls c="4">
          <tpl fld="7" item="989"/>
          <tpl fld="6" item="2"/>
          <tpl hier="236" item="1"/>
          <tpl fld="4" item="1"/>
        </tpls>
      </m>
      <m>
        <tpls c="4">
          <tpl fld="7" item="576"/>
          <tpl fld="6" item="2"/>
          <tpl hier="236" item="1"/>
          <tpl fld="4" item="6"/>
        </tpls>
      </m>
      <m>
        <tpls c="4">
          <tpl fld="7" item="53"/>
          <tpl fld="6" item="2"/>
          <tpl hier="236" item="1"/>
          <tpl fld="4" item="6"/>
        </tpls>
      </m>
      <m>
        <tpls c="3">
          <tpl fld="7" item="405"/>
          <tpl fld="6" item="3"/>
          <tpl hier="236" item="1"/>
        </tpls>
      </m>
      <m>
        <tpls c="4">
          <tpl fld="7" item="421"/>
          <tpl fld="6" item="2"/>
          <tpl hier="236" item="1"/>
          <tpl fld="4" item="4"/>
        </tpls>
      </m>
      <m>
        <tpls c="3">
          <tpl fld="7" item="385"/>
          <tpl fld="6" item="3"/>
          <tpl hier="236" item="1"/>
        </tpls>
      </m>
      <m>
        <tpls c="4">
          <tpl fld="7" item="214"/>
          <tpl fld="6" item="1"/>
          <tpl hier="236" item="1"/>
          <tpl fld="4" item="6"/>
        </tpls>
      </m>
      <m>
        <tpls c="3">
          <tpl fld="7" item="537"/>
          <tpl fld="6" item="3"/>
          <tpl hier="236" item="1"/>
        </tpls>
      </m>
      <m>
        <tpls c="4">
          <tpl fld="7" item="263"/>
          <tpl fld="6" item="1"/>
          <tpl hier="236" item="1"/>
          <tpl fld="4" item="5"/>
        </tpls>
      </m>
      <m>
        <tpls c="4">
          <tpl fld="7" item="313"/>
          <tpl fld="6" item="2"/>
          <tpl hier="236" item="1"/>
          <tpl fld="4" item="4"/>
        </tpls>
      </m>
      <n v="7.8382162162162157" in="2">
        <tpls c="4">
          <tpl fld="7" item="356"/>
          <tpl fld="6" item="2"/>
          <tpl hier="236" item="1"/>
          <tpl fld="4" item="4"/>
        </tpls>
      </n>
      <n v="2" in="1">
        <tpls c="4">
          <tpl fld="7" item="369"/>
          <tpl fld="6" item="1"/>
          <tpl hier="236" item="1"/>
          <tpl fld="4" item="4"/>
        </tpls>
      </n>
      <n v="0.8" in="2">
        <tpls c="4">
          <tpl fld="7" item="523"/>
          <tpl fld="6" item="2"/>
          <tpl hier="236" item="1"/>
          <tpl fld="4" item="1"/>
        </tpls>
      </n>
      <m>
        <tpls c="4">
          <tpl fld="7" item="390"/>
          <tpl fld="6" item="1"/>
          <tpl hier="236" item="1"/>
          <tpl fld="4" item="1"/>
        </tpls>
      </m>
      <n v="14" in="1">
        <tpls c="4">
          <tpl fld="7" item="686"/>
          <tpl fld="6" item="1"/>
          <tpl hier="236" item="1"/>
          <tpl fld="4" item="4"/>
        </tpls>
      </n>
      <n v="4" in="1">
        <tpls c="4">
          <tpl fld="7" item="543"/>
          <tpl fld="6" item="1"/>
          <tpl hier="236" item="1"/>
          <tpl fld="4" item="6"/>
        </tpls>
      </n>
      <m>
        <tpls c="4">
          <tpl fld="7" item="177"/>
          <tpl fld="6" item="2"/>
          <tpl hier="236" item="1"/>
          <tpl fld="4" item="4"/>
        </tpls>
      </m>
      <m>
        <tpls c="4">
          <tpl fld="7" item="387"/>
          <tpl fld="6" item="2"/>
          <tpl hier="236" item="1"/>
          <tpl fld="4" item="1"/>
        </tpls>
      </m>
      <m>
        <tpls c="4">
          <tpl fld="7" item="545"/>
          <tpl fld="6" item="1"/>
          <tpl hier="236" item="1"/>
          <tpl fld="4" item="5"/>
        </tpls>
      </m>
      <n v="3" in="1">
        <tpls c="4">
          <tpl fld="7" item="986"/>
          <tpl fld="6" item="1"/>
          <tpl hier="236" item="1"/>
          <tpl fld="1" item="0"/>
        </tpls>
      </n>
      <m>
        <tpls c="4">
          <tpl fld="7" item="557"/>
          <tpl fld="6" item="2"/>
          <tpl hier="236" item="1"/>
          <tpl fld="4" item="5"/>
        </tpls>
      </m>
      <m>
        <tpls c="4">
          <tpl fld="7" item="563"/>
          <tpl fld="6" item="2"/>
          <tpl hier="236" item="1"/>
          <tpl fld="4" item="1"/>
        </tpls>
      </m>
      <m>
        <tpls c="4">
          <tpl fld="7" item="631"/>
          <tpl fld="6" item="2"/>
          <tpl hier="236" item="1"/>
          <tpl fld="4" item="6"/>
        </tpls>
      </m>
      <m>
        <tpls c="4">
          <tpl fld="7" item="576"/>
          <tpl fld="6" item="2"/>
          <tpl hier="236" item="1"/>
          <tpl fld="1" item="0"/>
        </tpls>
      </m>
      <m>
        <tpls c="4">
          <tpl fld="7" item="753"/>
          <tpl fld="6" item="2"/>
          <tpl hier="236" item="1"/>
          <tpl fld="4" item="1"/>
        </tpls>
      </m>
      <n v="2" in="1">
        <tpls c="4">
          <tpl fld="7" item="603"/>
          <tpl fld="6" item="1"/>
          <tpl hier="236" item="1"/>
          <tpl fld="4" item="6"/>
        </tpls>
      </n>
      <m>
        <tpls c="4">
          <tpl fld="7" item="881"/>
          <tpl fld="6" item="2"/>
          <tpl hier="236" item="1"/>
          <tpl fld="4" item="6"/>
        </tpls>
      </m>
      <m>
        <tpls c="3">
          <tpl fld="7" item="551"/>
          <tpl fld="6" item="3"/>
          <tpl hier="236" item="1"/>
        </tpls>
      </m>
      <m>
        <tpls c="4">
          <tpl fld="7" item="621"/>
          <tpl fld="6" item="1"/>
          <tpl hier="236" item="1"/>
          <tpl fld="4" item="5"/>
        </tpls>
      </m>
      <n v="4" in="1">
        <tpls c="4">
          <tpl fld="7" item="705"/>
          <tpl fld="6" item="1"/>
          <tpl hier="236" item="1"/>
          <tpl fld="4" item="1"/>
        </tpls>
      </n>
      <m>
        <tpls c="4">
          <tpl fld="7" item="1239"/>
          <tpl fld="6" item="1"/>
          <tpl hier="236" item="1"/>
          <tpl fld="4" item="1"/>
        </tpls>
      </m>
      <n v="4" in="1">
        <tpls c="4">
          <tpl fld="7" item="715"/>
          <tpl fld="6" item="1"/>
          <tpl hier="236" item="1"/>
          <tpl fld="1" item="0"/>
        </tpls>
      </n>
      <m>
        <tpls c="4">
          <tpl fld="7" item="58"/>
          <tpl fld="6" item="2"/>
          <tpl hier="236" item="1"/>
          <tpl fld="4" item="1"/>
        </tpls>
      </m>
      <n v="5" in="1">
        <tpls c="4">
          <tpl fld="7" item="683"/>
          <tpl fld="6" item="1"/>
          <tpl hier="236" item="1"/>
          <tpl fld="4" item="6"/>
        </tpls>
      </n>
      <m>
        <tpls c="4">
          <tpl fld="7" item="612"/>
          <tpl fld="6" item="1"/>
          <tpl hier="236" item="1"/>
          <tpl fld="4" item="6"/>
        </tpls>
      </m>
      <m>
        <tpls c="4">
          <tpl fld="7" item="551"/>
          <tpl fld="6" item="2"/>
          <tpl hier="236" item="1"/>
          <tpl fld="4" item="6"/>
        </tpls>
      </m>
      <m>
        <tpls c="4">
          <tpl fld="7" item="478"/>
          <tpl fld="6" item="1"/>
          <tpl hier="236" item="1"/>
          <tpl fld="4" item="4"/>
        </tpls>
      </m>
      <n v="8" in="1">
        <tpls c="4">
          <tpl fld="7" item="505"/>
          <tpl fld="6" item="1"/>
          <tpl hier="236" item="1"/>
          <tpl fld="4" item="4"/>
        </tpls>
      </n>
      <n v="3" in="1">
        <tpls c="4">
          <tpl fld="7" item="427"/>
          <tpl fld="6" item="1"/>
          <tpl hier="236" item="1"/>
          <tpl fld="4" item="6"/>
        </tpls>
      </n>
      <m>
        <tpls c="4">
          <tpl fld="7" item="686"/>
          <tpl fld="6" item="2"/>
          <tpl hier="236" item="1"/>
          <tpl fld="4" item="4"/>
        </tpls>
      </m>
      <m>
        <tpls c="4">
          <tpl fld="7" item="545"/>
          <tpl fld="6" item="2"/>
          <tpl hier="236" item="1"/>
          <tpl fld="1" item="0"/>
        </tpls>
      </m>
      <n v="6" in="1">
        <tpls c="4">
          <tpl fld="7" item="711"/>
          <tpl fld="6" item="1"/>
          <tpl hier="236" item="1"/>
          <tpl fld="4" item="4"/>
        </tpls>
      </n>
      <m>
        <tpls c="4">
          <tpl fld="7" item="612"/>
          <tpl fld="6" item="2"/>
          <tpl hier="236" item="1"/>
          <tpl fld="4" item="1"/>
        </tpls>
      </m>
      <m>
        <tpls c="4">
          <tpl fld="7" item="570"/>
          <tpl fld="6" item="2"/>
          <tpl hier="236" item="1"/>
          <tpl fld="4" item="1"/>
        </tpls>
      </m>
      <m>
        <tpls c="4">
          <tpl fld="7" item="306"/>
          <tpl fld="6" item="2"/>
          <tpl hier="236" item="1"/>
          <tpl fld="4" item="4"/>
        </tpls>
      </m>
      <m>
        <tpls c="4">
          <tpl fld="7" item="607"/>
          <tpl fld="6" item="2"/>
          <tpl hier="236" item="1"/>
          <tpl fld="4" item="1"/>
        </tpls>
      </m>
      <n v="0.52" in="2">
        <tpls c="4">
          <tpl fld="7" item="882"/>
          <tpl fld="6" item="2"/>
          <tpl hier="236" item="1"/>
          <tpl fld="1" item="0"/>
        </tpls>
      </n>
      <m>
        <tpls c="4">
          <tpl fld="7" item="987"/>
          <tpl fld="6" item="2"/>
          <tpl hier="236" item="1"/>
          <tpl fld="4" item="1"/>
        </tpls>
      </m>
      <m>
        <tpls c="4">
          <tpl fld="7" item="625"/>
          <tpl fld="6" item="2"/>
          <tpl hier="236" item="1"/>
          <tpl fld="4" item="4"/>
        </tpls>
      </m>
      <m>
        <tpls c="4">
          <tpl fld="7" item="710"/>
          <tpl fld="6" item="2"/>
          <tpl hier="236" item="1"/>
          <tpl fld="4" item="5"/>
        </tpls>
      </m>
      <m>
        <tpls c="3">
          <tpl fld="7" item="635"/>
          <tpl fld="6" item="3"/>
          <tpl hier="236" item="1"/>
        </tpls>
      </m>
      <m>
        <tpls c="4">
          <tpl fld="7" item="719"/>
          <tpl fld="6" item="1"/>
          <tpl hier="236" item="1"/>
          <tpl fld="4" item="5"/>
        </tpls>
      </m>
      <m>
        <tpls c="4">
          <tpl fld="7" item="435"/>
          <tpl fld="6" item="1"/>
          <tpl hier="236" item="1"/>
          <tpl fld="4" item="4"/>
        </tpls>
      </m>
      <m>
        <tpls c="4">
          <tpl fld="7" item="785"/>
          <tpl fld="6" item="1"/>
          <tpl hier="236" item="1"/>
          <tpl fld="4" item="5"/>
        </tpls>
      </m>
      <n v="2" in="1">
        <tpls c="4">
          <tpl fld="7" item="888"/>
          <tpl fld="6" item="1"/>
          <tpl hier="236" item="1"/>
          <tpl fld="1" item="0"/>
        </tpls>
      </n>
      <n v="2" in="2">
        <tpls c="4">
          <tpl fld="7" item="993"/>
          <tpl fld="6" item="2"/>
          <tpl hier="236" item="1"/>
          <tpl fld="1" item="0"/>
        </tpls>
      </n>
      <m>
        <tpls c="3">
          <tpl fld="7" item="1282"/>
          <tpl fld="6" item="3"/>
          <tpl hier="236" item="1"/>
        </tpls>
      </m>
      <m>
        <tpls c="4">
          <tpl fld="7" item="818"/>
          <tpl fld="6" item="1"/>
          <tpl hier="236" item="1"/>
          <tpl fld="4" item="5"/>
        </tpls>
      </m>
      <n v="1" in="1">
        <tpls c="4">
          <tpl fld="7" item="742"/>
          <tpl fld="6" item="1"/>
          <tpl hier="236" item="1"/>
          <tpl fld="4" item="1"/>
        </tpls>
      </n>
      <m>
        <tpls c="3">
          <tpl fld="7" item="1216"/>
          <tpl fld="6" item="3"/>
          <tpl hier="236" item="1"/>
        </tpls>
      </m>
      <n v="1" in="1">
        <tpls c="4">
          <tpl fld="7" item="845"/>
          <tpl fld="6" item="1"/>
          <tpl hier="236" item="1"/>
          <tpl fld="4" item="6"/>
        </tpls>
      </n>
      <m>
        <tpls c="4">
          <tpl fld="7" item="916"/>
          <tpl fld="6" item="2"/>
          <tpl hier="236" item="1"/>
          <tpl fld="4" item="4"/>
        </tpls>
      </m>
      <n v="12" in="1">
        <tpls c="4">
          <tpl fld="7" item="1249"/>
          <tpl fld="6" item="1"/>
          <tpl hier="236" item="1"/>
          <tpl fld="4" item="4"/>
        </tpls>
      </n>
      <m>
        <tpls c="4">
          <tpl fld="7" item="1059"/>
          <tpl fld="6" item="2"/>
          <tpl hier="236" item="1"/>
          <tpl fld="4" item="1"/>
        </tpls>
      </m>
      <m>
        <tpls c="4">
          <tpl fld="7" item="914"/>
          <tpl fld="6" item="2"/>
          <tpl hier="236" item="1"/>
          <tpl fld="1" item="0"/>
        </tpls>
      </m>
      <n v="32.799351351351341" in="2">
        <tpls c="4">
          <tpl fld="7" item="424"/>
          <tpl fld="6" item="2"/>
          <tpl hier="236" item="1"/>
          <tpl fld="1" item="0"/>
        </tpls>
      </n>
      <m>
        <tpls c="4">
          <tpl fld="7" item="238"/>
          <tpl fld="6" item="2"/>
          <tpl hier="236" item="1"/>
          <tpl fld="1" item="0"/>
        </tpls>
      </m>
      <n v="3" in="1">
        <tpls c="4">
          <tpl fld="7" item="758"/>
          <tpl fld="6" item="1"/>
          <tpl hier="236" item="1"/>
          <tpl fld="4" item="6"/>
        </tpls>
      </n>
      <m>
        <tpls c="4">
          <tpl fld="7" item="408"/>
          <tpl fld="6" item="1"/>
          <tpl hier="236" item="1"/>
          <tpl fld="4" item="4"/>
        </tpls>
      </m>
      <m>
        <tpls c="4">
          <tpl fld="7" item="508"/>
          <tpl fld="6" item="2"/>
          <tpl hier="236" item="1"/>
          <tpl fld="4" item="4"/>
        </tpls>
      </m>
      <m>
        <tpls c="4">
          <tpl fld="7" item="357"/>
          <tpl fld="6" item="2"/>
          <tpl hier="236" item="1"/>
          <tpl fld="4" item="4"/>
        </tpls>
      </m>
      <m>
        <tpls c="4">
          <tpl fld="7" item="768"/>
          <tpl fld="6" item="2"/>
          <tpl hier="236" item="1"/>
          <tpl fld="4" item="5"/>
        </tpls>
      </m>
      <m>
        <tpls c="4">
          <tpl fld="7" item="774"/>
          <tpl fld="6" item="2"/>
          <tpl hier="236" item="1"/>
          <tpl fld="1" item="0"/>
        </tpls>
      </m>
      <m>
        <tpls c="4">
          <tpl fld="7" item="793"/>
          <tpl fld="6" item="1"/>
          <tpl hier="236" item="1"/>
          <tpl fld="4" item="5"/>
        </tpls>
      </m>
      <m>
        <tpls c="4">
          <tpl fld="7" item="692"/>
          <tpl fld="6" item="2"/>
          <tpl hier="236" item="1"/>
          <tpl fld="4" item="1"/>
        </tpls>
      </m>
      <m>
        <tpls c="4">
          <tpl fld="7" item="711"/>
          <tpl fld="6" item="2"/>
          <tpl hier="236" item="1"/>
          <tpl fld="4" item="1"/>
        </tpls>
      </m>
      <m>
        <tpls c="4">
          <tpl fld="7" item="93"/>
          <tpl fld="6" item="1"/>
          <tpl hier="236" item="1"/>
          <tpl fld="4" item="6"/>
        </tpls>
      </m>
      <m>
        <tpls c="4">
          <tpl fld="7" item="687"/>
          <tpl fld="6" item="1"/>
          <tpl hier="236" item="1"/>
          <tpl fld="1" item="0"/>
        </tpls>
      </m>
      <m>
        <tpls c="4">
          <tpl fld="7" item="550"/>
          <tpl fld="6" item="2"/>
          <tpl hier="236" item="1"/>
          <tpl fld="4" item="6"/>
        </tpls>
      </m>
      <m>
        <tpls c="4">
          <tpl fld="7" item="987"/>
          <tpl fld="6" item="1"/>
          <tpl hier="236" item="1"/>
          <tpl fld="4" item="5"/>
        </tpls>
      </m>
      <n v="3" in="1">
        <tpls c="4">
          <tpl fld="7" item="625"/>
          <tpl fld="6" item="1"/>
          <tpl hier="236" item="1"/>
          <tpl fld="4" item="1"/>
        </tpls>
      </n>
      <m>
        <tpls c="4">
          <tpl fld="7" item="792"/>
          <tpl fld="6" item="1"/>
          <tpl hier="236" item="1"/>
          <tpl fld="4" item="5"/>
        </tpls>
      </m>
      <n v="0" in="1">
        <tpls c="6">
          <tpl fld="11" item="0"/>
          <tpl fld="5" item="2"/>
          <tpl fld="6" item="1"/>
          <tpl hier="236" item="1"/>
          <tpl fld="4" item="7"/>
          <tpl fld="10" item="3"/>
        </tpls>
      </n>
      <n v="45.030270270270272" in="2">
        <tpls c="6">
          <tpl fld="11" item="0"/>
          <tpl fld="5" item="1"/>
          <tpl fld="6" item="2"/>
          <tpl hier="236" item="1"/>
          <tpl fld="4" item="6"/>
          <tpl fld="10" item="7"/>
        </tpls>
      </n>
      <n v="2243" in="1">
        <tpls c="6">
          <tpl fld="11" item="0"/>
          <tpl fld="6" item="1"/>
          <tpl fld="8" item="1"/>
          <tpl hier="236" item="1"/>
          <tpl fld="4" item="1"/>
          <tpl fld="9" item="4"/>
        </tpls>
      </n>
      <n v="5.9599999999999991" in="2">
        <tpls c="6">
          <tpl fld="3" item="1"/>
          <tpl fld="11" item="0"/>
          <tpl fld="6" item="2"/>
          <tpl hier="236" item="1"/>
          <tpl fld="4" item="7"/>
          <tpl fld="10" item="3"/>
        </tpls>
      </n>
      <n v="1.3199999999999998" in="2">
        <tpls c="6">
          <tpl fld="11" item="0"/>
          <tpl fld="2" item="4"/>
          <tpl fld="6" item="2"/>
          <tpl hier="236" item="1"/>
          <tpl fld="4" item="7"/>
          <tpl fld="10" item="7"/>
        </tpls>
      </n>
      <m>
        <tpls c="4">
          <tpl fld="7" item="51"/>
          <tpl fld="6" item="1"/>
          <tpl hier="236" item="1"/>
          <tpl fld="4" item="5"/>
        </tpls>
      </m>
      <m>
        <tpls c="4">
          <tpl fld="7" item="58"/>
          <tpl fld="6" item="1"/>
          <tpl hier="236" item="1"/>
          <tpl fld="4" item="6"/>
        </tpls>
      </m>
      <m>
        <tpls c="4">
          <tpl fld="7" item="116"/>
          <tpl fld="6" item="2"/>
          <tpl hier="236" item="1"/>
          <tpl fld="4" item="1"/>
        </tpls>
      </m>
      <m>
        <tpls c="4">
          <tpl fld="7" item="84"/>
          <tpl fld="6" item="2"/>
          <tpl hier="236" item="1"/>
          <tpl fld="4" item="4"/>
        </tpls>
      </m>
      <n v="1" in="3">
        <tpls c="3">
          <tpl fld="7" item="359"/>
          <tpl fld="6" item="3"/>
          <tpl hier="236" item="1"/>
        </tpls>
      </n>
      <m>
        <tpls c="4">
          <tpl fld="7" item="687"/>
          <tpl fld="6" item="1"/>
          <tpl hier="236" item="1"/>
          <tpl fld="4" item="6"/>
        </tpls>
      </m>
      <n v="1" in="3">
        <tpls c="3">
          <tpl fld="7" item="430"/>
          <tpl fld="6" item="3"/>
          <tpl hier="236" item="1"/>
        </tpls>
      </n>
      <n v="7.1838918918918919" in="2">
        <tpls c="6">
          <tpl fld="11" item="0"/>
          <tpl fld="5" item="2"/>
          <tpl fld="6" item="2"/>
          <tpl hier="236" item="1"/>
          <tpl fld="4" item="6"/>
          <tpl fld="10" item="2"/>
        </tpls>
      </n>
      <m>
        <tpls c="4">
          <tpl fld="7" item="51"/>
          <tpl fld="6" item="1"/>
          <tpl hier="236" item="1"/>
          <tpl fld="4" item="6"/>
        </tpls>
      </m>
      <m>
        <tpls c="4">
          <tpl fld="7" item="220"/>
          <tpl fld="6" item="1"/>
          <tpl hier="236" item="1"/>
          <tpl fld="1" item="0"/>
        </tpls>
      </m>
      <m>
        <tpls c="4">
          <tpl fld="7" item="65"/>
          <tpl fld="6" item="2"/>
          <tpl hier="236" item="1"/>
          <tpl fld="4" item="4"/>
        </tpls>
      </m>
      <m>
        <tpls c="4">
          <tpl fld="7" item="50"/>
          <tpl fld="6" item="1"/>
          <tpl hier="236" item="1"/>
          <tpl fld="4" item="5"/>
        </tpls>
      </m>
      <n v="14" in="1">
        <tpls c="4">
          <tpl fld="7" item="764"/>
          <tpl fld="6" item="1"/>
          <tpl hier="236" item="1"/>
          <tpl fld="4" item="4"/>
        </tpls>
      </n>
      <m>
        <tpls c="4">
          <tpl fld="7" item="267"/>
          <tpl fld="6" item="2"/>
          <tpl hier="236" item="1"/>
          <tpl fld="4" item="1"/>
        </tpls>
      </m>
      <n v="6" in="1">
        <tpls c="4">
          <tpl fld="7" item="524"/>
          <tpl fld="6" item="1"/>
          <tpl hier="236" item="1"/>
          <tpl fld="4" item="4"/>
        </tpls>
      </n>
      <m>
        <tpls c="4">
          <tpl fld="7" item="269"/>
          <tpl fld="6" item="1"/>
          <tpl hier="236" item="1"/>
          <tpl fld="1" item="0"/>
        </tpls>
      </m>
      <n v="20.596216216216217" in="2">
        <tpls c="4">
          <tpl fld="7" item="757"/>
          <tpl fld="6" item="2"/>
          <tpl hier="236" item="1"/>
          <tpl fld="4" item="4"/>
        </tpls>
      </n>
      <m>
        <tpls c="4">
          <tpl fld="7" item="147"/>
          <tpl fld="6" item="1"/>
          <tpl hier="236" item="1"/>
          <tpl fld="4" item="4"/>
        </tpls>
      </m>
      <m>
        <tpls c="4">
          <tpl fld="7" item="521"/>
          <tpl fld="6" item="2"/>
          <tpl hier="236" item="1"/>
          <tpl fld="4" item="1"/>
        </tpls>
      </m>
      <m>
        <tpls c="4">
          <tpl fld="7" item="43"/>
          <tpl fld="6" item="2"/>
          <tpl hier="236" item="1"/>
          <tpl fld="4" item="1"/>
        </tpls>
      </m>
      <m>
        <tpls c="3">
          <tpl fld="7" item="782"/>
          <tpl fld="6" item="3"/>
          <tpl hier="236" item="1"/>
        </tpls>
      </m>
      <m>
        <tpls c="4">
          <tpl fld="7" item="139"/>
          <tpl fld="6" item="2"/>
          <tpl hier="236" item="1"/>
          <tpl fld="4" item="4"/>
        </tpls>
      </m>
      <m>
        <tpls c="4">
          <tpl fld="7" item="700"/>
          <tpl fld="6" item="2"/>
          <tpl hier="236" item="1"/>
          <tpl fld="4" item="5"/>
        </tpls>
      </m>
      <m>
        <tpls c="4">
          <tpl fld="7" item="177"/>
          <tpl fld="6" item="2"/>
          <tpl hier="236" item="1"/>
          <tpl fld="4" item="1"/>
        </tpls>
      </m>
      <m>
        <tpls c="4">
          <tpl fld="7" item="758"/>
          <tpl fld="6" item="2"/>
          <tpl hier="236" item="1"/>
          <tpl fld="4" item="4"/>
        </tpls>
      </m>
      <m>
        <tpls c="4">
          <tpl fld="7" item="151"/>
          <tpl fld="6" item="1"/>
          <tpl hier="236" item="1"/>
          <tpl fld="4" item="5"/>
        </tpls>
      </m>
      <n v="3" in="1">
        <tpls c="4">
          <tpl fld="7" item="445"/>
          <tpl fld="6" item="1"/>
          <tpl hier="236" item="1"/>
          <tpl fld="4" item="6"/>
        </tpls>
      </n>
      <n v="2" in="1">
        <tpls c="4">
          <tpl fld="7" item="389"/>
          <tpl fld="6" item="1"/>
          <tpl hier="236" item="1"/>
          <tpl fld="4" item="4"/>
        </tpls>
      </n>
      <n v="4" in="1">
        <tpls c="4">
          <tpl fld="7" item="1186"/>
          <tpl fld="6" item="1"/>
          <tpl hier="236" item="1"/>
          <tpl fld="1" item="0"/>
        </tpls>
      </n>
      <m>
        <tpls c="4">
          <tpl fld="7" item="774"/>
          <tpl fld="6" item="2"/>
          <tpl hier="236" item="1"/>
          <tpl fld="4" item="1"/>
        </tpls>
      </m>
      <n v="21" in="1">
        <tpls c="4">
          <tpl fld="7" item="448"/>
          <tpl fld="6" item="1"/>
          <tpl hier="236" item="1"/>
          <tpl fld="4" item="4"/>
        </tpls>
      </n>
      <m>
        <tpls c="4">
          <tpl fld="7" item="985"/>
          <tpl fld="6" item="2"/>
          <tpl hier="236" item="1"/>
          <tpl fld="4" item="5"/>
        </tpls>
      </m>
      <m>
        <tpls c="4">
          <tpl fld="7" item="1270"/>
          <tpl fld="6" item="2"/>
          <tpl hier="236" item="1"/>
          <tpl fld="4" item="4"/>
        </tpls>
      </m>
      <n v="0.52" in="2">
        <tpls c="4">
          <tpl fld="7" item="988"/>
          <tpl fld="6" item="2"/>
          <tpl hier="236" item="1"/>
          <tpl fld="4" item="4"/>
        </tpls>
      </n>
      <m>
        <tpls c="3">
          <tpl fld="7" item="571"/>
          <tpl fld="6" item="3"/>
          <tpl hier="236" item="1"/>
        </tpls>
      </m>
      <m>
        <tpls c="4">
          <tpl fld="7" item="717"/>
          <tpl fld="6" item="1"/>
          <tpl hier="236" item="1"/>
          <tpl fld="4" item="1"/>
        </tpls>
      </m>
      <n v="5" in="1">
        <tpls c="4">
          <tpl fld="7" item="445"/>
          <tpl fld="6" item="1"/>
          <tpl hier="236" item="1"/>
          <tpl fld="4" item="4"/>
        </tpls>
      </n>
      <n v="0" in="1">
        <tpls c="4">
          <tpl fld="7" item="774"/>
          <tpl fld="6" item="1"/>
          <tpl hier="236" item="1"/>
          <tpl fld="4" item="4"/>
        </tpls>
      </n>
      <n v="4" in="1">
        <tpls c="4">
          <tpl fld="7" item="780"/>
          <tpl fld="6" item="1"/>
          <tpl hier="236" item="1"/>
          <tpl fld="4" item="4"/>
        </tpls>
      </n>
      <m>
        <tpls c="4">
          <tpl fld="7" item="786"/>
          <tpl fld="6" item="1"/>
          <tpl hier="236" item="1"/>
          <tpl fld="4" item="4"/>
        </tpls>
      </m>
      <m>
        <tpls c="4">
          <tpl fld="7" item="711"/>
          <tpl fld="6" item="2"/>
          <tpl hier="236" item="1"/>
          <tpl fld="4" item="5"/>
        </tpls>
      </m>
      <n v="156" in="1">
        <tpls c="6">
          <tpl fld="3" item="3"/>
          <tpl fld="11" item="0"/>
          <tpl fld="6" item="1"/>
          <tpl hier="236" item="1"/>
          <tpl fld="4" item="7"/>
          <tpl fld="10" item="0"/>
        </tpls>
      </n>
      <m>
        <tpls c="4">
          <tpl fld="7" item="300"/>
          <tpl fld="6" item="1"/>
          <tpl hier="236" item="1"/>
          <tpl fld="4" item="4"/>
        </tpls>
      </m>
      <m>
        <tpls c="4">
          <tpl fld="7" item="54"/>
          <tpl fld="6" item="1"/>
          <tpl hier="236" item="1"/>
          <tpl fld="4" item="4"/>
        </tpls>
      </m>
      <m>
        <tpls c="4">
          <tpl fld="7" item="72"/>
          <tpl fld="6" item="2"/>
          <tpl hier="236" item="1"/>
          <tpl fld="4" item="1"/>
        </tpls>
      </m>
      <m>
        <tpls c="3">
          <tpl fld="7" item="686"/>
          <tpl fld="6" item="3"/>
          <tpl hier="236" item="1"/>
        </tpls>
      </m>
      <m>
        <tpls c="4">
          <tpl fld="7" item="600"/>
          <tpl fld="6" item="2"/>
          <tpl hier="236" item="1"/>
          <tpl fld="4" item="1"/>
        </tpls>
      </m>
      <n v="0.4" in="2">
        <tpls c="4">
          <tpl fld="7" item="880"/>
          <tpl fld="6" item="2"/>
          <tpl hier="236" item="1"/>
          <tpl fld="4" item="6"/>
        </tpls>
      </n>
      <m>
        <tpls c="4">
          <tpl fld="7" item="876"/>
          <tpl fld="6" item="1"/>
          <tpl hier="236" item="1"/>
          <tpl fld="4" item="4"/>
        </tpls>
      </m>
      <m>
        <tpls c="3">
          <tpl fld="7" item="756"/>
          <tpl fld="6" item="3"/>
          <tpl hier="236" item="1"/>
        </tpls>
      </m>
      <m>
        <tpls c="4">
          <tpl fld="7" item="266"/>
          <tpl fld="6" item="1"/>
          <tpl hier="236" item="1"/>
          <tpl fld="4" item="5"/>
        </tpls>
      </m>
      <m>
        <tpls c="4">
          <tpl fld="7" item="285"/>
          <tpl fld="6" item="1"/>
          <tpl hier="236" item="1"/>
          <tpl fld="4" item="4"/>
        </tpls>
      </m>
      <m>
        <tpls c="4">
          <tpl fld="7" item="250"/>
          <tpl fld="6" item="2"/>
          <tpl hier="236" item="1"/>
          <tpl fld="4" item="1"/>
        </tpls>
      </m>
      <m>
        <tpls c="4">
          <tpl fld="7" item="79"/>
          <tpl fld="6" item="1"/>
          <tpl hier="236" item="1"/>
          <tpl fld="4" item="4"/>
        </tpls>
      </m>
      <m>
        <tpls c="4">
          <tpl fld="7" item="491"/>
          <tpl fld="6" item="2"/>
          <tpl hier="236" item="1"/>
          <tpl fld="4" item="1"/>
        </tpls>
      </m>
      <m>
        <tpls c="4">
          <tpl fld="7" item="532"/>
          <tpl fld="6" item="2"/>
          <tpl hier="236" item="1"/>
          <tpl fld="4" item="5"/>
        </tpls>
      </m>
      <m>
        <tpls c="3">
          <tpl fld="7" item="317"/>
          <tpl fld="6" item="3"/>
          <tpl hier="236" item="1"/>
        </tpls>
      </m>
      <m>
        <tpls c="4">
          <tpl fld="7" item="391"/>
          <tpl fld="6" item="1"/>
          <tpl hier="236" item="1"/>
          <tpl fld="4" item="6"/>
        </tpls>
      </m>
      <m>
        <tpls c="4">
          <tpl fld="7" item="26"/>
          <tpl fld="6" item="2"/>
          <tpl hier="236" item="1"/>
          <tpl fld="4" item="1"/>
        </tpls>
      </m>
      <m>
        <tpls c="4">
          <tpl fld="7" item="593"/>
          <tpl fld="6" item="1"/>
          <tpl hier="236" item="1"/>
          <tpl fld="4" item="6"/>
        </tpls>
      </m>
      <n v="11.209729729729728" in="2">
        <tpls c="4">
          <tpl fld="7" item="493"/>
          <tpl fld="6" item="2"/>
          <tpl hier="236" item="1"/>
          <tpl fld="4" item="1"/>
        </tpls>
      </n>
      <n v="1" in="3">
        <tpls c="3">
          <tpl fld="7" item="598"/>
          <tpl fld="6" item="3"/>
          <tpl hier="236" item="1"/>
        </tpls>
      </n>
      <n v="14" in="1">
        <tpls c="4">
          <tpl fld="7" item="448"/>
          <tpl fld="6" item="1"/>
          <tpl hier="236" item="1"/>
          <tpl fld="4" item="6"/>
        </tpls>
      </n>
      <m>
        <tpls c="4">
          <tpl fld="7" item="388"/>
          <tpl fld="6" item="1"/>
          <tpl hier="236" item="1"/>
          <tpl fld="4" item="1"/>
        </tpls>
      </m>
      <m>
        <tpls c="4">
          <tpl fld="7" item="394"/>
          <tpl fld="6" item="1"/>
          <tpl hier="236" item="1"/>
          <tpl fld="4" item="4"/>
        </tpls>
      </m>
      <n v="8" in="1">
        <tpls c="4">
          <tpl fld="7" item="541"/>
          <tpl fld="6" item="1"/>
          <tpl hier="236" item="1"/>
          <tpl fld="4" item="6"/>
        </tpls>
      </n>
      <n v="6" in="1">
        <tpls c="4">
          <tpl fld="7" item="775"/>
          <tpl fld="6" item="1"/>
          <tpl hier="236" item="1"/>
          <tpl fld="1" item="0"/>
        </tpls>
      </n>
      <m>
        <tpls c="4">
          <tpl fld="7" item="370"/>
          <tpl fld="6" item="2"/>
          <tpl hier="236" item="1"/>
          <tpl fld="4" item="1"/>
        </tpls>
      </m>
      <n v="0.52" in="2">
        <tpls c="4">
          <tpl fld="7" item="771"/>
          <tpl fld="6" item="2"/>
          <tpl hier="236" item="1"/>
          <tpl fld="1" item="0"/>
        </tpls>
      </n>
      <m>
        <tpls c="4">
          <tpl fld="7" item="695"/>
          <tpl fld="6" item="1"/>
          <tpl hier="236" item="1"/>
          <tpl fld="1" item="0"/>
        </tpls>
      </m>
      <m>
        <tpls c="4">
          <tpl fld="7" item="555"/>
          <tpl fld="6" item="2"/>
          <tpl hier="236" item="1"/>
          <tpl fld="4" item="5"/>
        </tpls>
      </m>
      <n v="1" in="2">
        <tpls c="4">
          <tpl fld="7" item="561"/>
          <tpl fld="6" item="2"/>
          <tpl hier="236" item="1"/>
          <tpl fld="4" item="1"/>
        </tpls>
      </n>
      <m>
        <tpls c="4">
          <tpl fld="7" item="629"/>
          <tpl fld="6" item="2"/>
          <tpl hier="236" item="1"/>
          <tpl fld="4" item="6"/>
        </tpls>
      </m>
      <m>
        <tpls c="4">
          <tpl fld="7" item="574"/>
          <tpl fld="6" item="2"/>
          <tpl hier="236" item="1"/>
          <tpl fld="1" item="0"/>
        </tpls>
      </m>
      <m>
        <tpls c="3">
          <tpl fld="7" item="580"/>
          <tpl fld="6" item="3"/>
          <tpl hier="236" item="1"/>
        </tpls>
      </m>
      <m>
        <tpls c="4">
          <tpl fld="7" item="367"/>
          <tpl fld="6" item="2"/>
          <tpl hier="236" item="1"/>
          <tpl fld="4" item="1"/>
        </tpls>
      </m>
      <m>
        <tpls c="3">
          <tpl fld="7" item="541"/>
          <tpl fld="6" item="3"/>
          <tpl hier="236" item="1"/>
        </tpls>
      </m>
      <m>
        <tpls c="3">
          <tpl fld="7" item="549"/>
          <tpl fld="6" item="3"/>
          <tpl hier="236" item="1"/>
        </tpls>
      </m>
      <m>
        <tpls c="4">
          <tpl fld="7" item="781"/>
          <tpl fld="6" item="1"/>
          <tpl hier="236" item="1"/>
          <tpl fld="4" item="5"/>
        </tpls>
      </m>
      <n v="1" in="1">
        <tpls c="4">
          <tpl fld="7" item="884"/>
          <tpl fld="6" item="1"/>
          <tpl hier="236" item="1"/>
          <tpl fld="4" item="1"/>
        </tpls>
      </n>
      <n v="2" in="1">
        <tpls c="4">
          <tpl fld="7" item="567"/>
          <tpl fld="6" item="1"/>
          <tpl hier="236" item="1"/>
          <tpl fld="4" item="1"/>
        </tpls>
      </n>
      <m>
        <tpls c="4">
          <tpl fld="7" item="1093"/>
          <tpl fld="6" item="1"/>
          <tpl hier="236" item="1"/>
          <tpl fld="1" item="0"/>
        </tpls>
      </m>
      <m>
        <tpls c="4">
          <tpl fld="7" item="253"/>
          <tpl fld="6" item="1"/>
          <tpl hier="236" item="1"/>
          <tpl fld="4" item="6"/>
        </tpls>
      </m>
      <m>
        <tpls c="4">
          <tpl fld="7" item="74"/>
          <tpl fld="6" item="1"/>
          <tpl hier="236" item="1"/>
          <tpl fld="4" item="6"/>
        </tpls>
      </m>
      <m>
        <tpls c="4">
          <tpl fld="7" item="254"/>
          <tpl fld="6" item="2"/>
          <tpl hier="236" item="1"/>
          <tpl fld="4" item="1"/>
        </tpls>
      </m>
      <m>
        <tpls c="4">
          <tpl fld="7" item="83"/>
          <tpl fld="6" item="1"/>
          <tpl hier="236" item="1"/>
          <tpl fld="4" item="4"/>
        </tpls>
      </m>
      <m>
        <tpls c="3">
          <tpl fld="7" item="351"/>
          <tpl fld="6" item="3"/>
          <tpl hier="236" item="1"/>
        </tpls>
      </m>
      <m>
        <tpls c="4">
          <tpl fld="7" item="534"/>
          <tpl fld="6" item="2"/>
          <tpl hier="236" item="1"/>
          <tpl fld="4" item="1"/>
        </tpls>
      </m>
      <n v="1.4327567567567567" in="2">
        <tpls c="4">
          <tpl fld="7" item="351"/>
          <tpl fld="6" item="2"/>
          <tpl hier="236" item="1"/>
          <tpl fld="4" item="1"/>
        </tpls>
      </n>
      <n v="0" in="1">
        <tpls c="4">
          <tpl fld="7" item="534"/>
          <tpl fld="6" item="1"/>
          <tpl hier="236" item="1"/>
          <tpl fld="1" item="0"/>
        </tpls>
      </n>
      <m>
        <tpls c="4">
          <tpl fld="7" item="139"/>
          <tpl fld="6" item="1"/>
          <tpl hier="236" item="1"/>
          <tpl fld="4" item="4"/>
        </tpls>
      </m>
      <m>
        <tpls c="4">
          <tpl fld="7" item="673"/>
          <tpl fld="6" item="1"/>
          <tpl hier="236" item="1"/>
          <tpl fld="4" item="6"/>
        </tpls>
      </m>
      <n v="19.839999999999996" in="2">
        <tpls c="4">
          <tpl fld="7" item="494"/>
          <tpl fld="6" item="2"/>
          <tpl hier="236" item="1"/>
          <tpl fld="4" item="1"/>
        </tpls>
      </n>
      <n v="1" in="3">
        <tpls c="3">
          <tpl fld="7" item="678"/>
          <tpl fld="6" item="3"/>
          <tpl hier="236" item="1"/>
        </tpls>
      </n>
      <m>
        <tpls c="4">
          <tpl fld="7" item="449"/>
          <tpl fld="6" item="1"/>
          <tpl hier="236" item="1"/>
          <tpl fld="4" item="6"/>
        </tpls>
      </m>
      <m>
        <tpls c="4">
          <tpl fld="7" item="604"/>
          <tpl fld="6" item="1"/>
          <tpl hier="236" item="1"/>
          <tpl fld="1" item="0"/>
        </tpls>
      </m>
      <m>
        <tpls c="4">
          <tpl fld="7" item="465"/>
          <tpl fld="6" item="2"/>
          <tpl hier="236" item="1"/>
          <tpl fld="4" item="5"/>
        </tpls>
      </m>
      <n v="0.8" in="2">
        <tpls c="4">
          <tpl fld="7" item="771"/>
          <tpl fld="6" item="2"/>
          <tpl hier="236" item="1"/>
          <tpl fld="4" item="1"/>
        </tpls>
      </n>
      <m>
        <tpls c="4">
          <tpl fld="7" item="6"/>
          <tpl fld="6" item="1"/>
          <tpl hier="236" item="1"/>
          <tpl fld="4" item="4"/>
        </tpls>
      </m>
      <n v="3.1201621621621625" in="2">
        <tpls c="4">
          <tpl fld="7" item="374"/>
          <tpl fld="6" item="2"/>
          <tpl hier="236" item="1"/>
          <tpl fld="4" item="1"/>
        </tpls>
      </n>
      <n v="18" in="1">
        <tpls c="4">
          <tpl fld="7" item="690"/>
          <tpl fld="6" item="1"/>
          <tpl hier="236" item="1"/>
          <tpl fld="1" item="0"/>
        </tpls>
      </n>
      <n v="0.52" in="2">
        <tpls c="4">
          <tpl fld="7" item="882"/>
          <tpl fld="6" item="2"/>
          <tpl hier="236" item="1"/>
          <tpl fld="4" item="4"/>
        </tpls>
      </n>
      <m>
        <tpls c="4">
          <tpl fld="7" item="620"/>
          <tpl fld="6" item="2"/>
          <tpl hier="236" item="1"/>
          <tpl fld="4" item="6"/>
        </tpls>
      </m>
      <n v="1.9600000000000002" in="2">
        <tpls c="4">
          <tpl fld="7" item="704"/>
          <tpl fld="6" item="2"/>
          <tpl hier="236" item="1"/>
          <tpl fld="1" item="0"/>
        </tpls>
      </n>
      <m>
        <tpls c="4">
          <tpl fld="7" item="791"/>
          <tpl fld="6" item="1"/>
          <tpl hier="236" item="1"/>
          <tpl fld="4" item="4"/>
        </tpls>
      </m>
      <n v="2" in="1">
        <tpls c="4">
          <tpl fld="7" item="714"/>
          <tpl fld="6" item="1"/>
          <tpl hier="236" item="1"/>
          <tpl fld="4" item="1"/>
        </tpls>
      </n>
      <m>
        <tpls c="6">
          <tpl fld="11" item="0"/>
          <tpl fld="5" item="3"/>
          <tpl fld="6" item="2"/>
          <tpl hier="236" item="1"/>
          <tpl fld="4" item="7"/>
          <tpl fld="10" item="7"/>
        </tpls>
      </m>
      <m>
        <tpls c="4">
          <tpl fld="7" item="371"/>
          <tpl fld="6" item="2"/>
          <tpl hier="236" item="1"/>
          <tpl fld="4" item="1"/>
        </tpls>
      </m>
      <m>
        <tpls c="4">
          <tpl fld="7" item="1087"/>
          <tpl fld="6" item="2"/>
          <tpl hier="236" item="1"/>
          <tpl fld="4" item="5"/>
        </tpls>
      </m>
      <n v="6" in="1">
        <tpls c="4">
          <tpl fld="7" item="777"/>
          <tpl fld="6" item="1"/>
          <tpl hier="236" item="1"/>
          <tpl fld="4" item="4"/>
        </tpls>
      </n>
      <n v="1" in="1">
        <tpls c="4">
          <tpl fld="7" item="883"/>
          <tpl fld="6" item="1"/>
          <tpl hier="236" item="1"/>
          <tpl fld="4" item="6"/>
        </tpls>
      </n>
      <n v="26" in="1">
        <tpls c="4">
          <tpl fld="7" item="561"/>
          <tpl fld="6" item="1"/>
          <tpl hier="236" item="1"/>
          <tpl fld="1" item="0"/>
        </tpls>
      </n>
      <m>
        <tpls c="4">
          <tpl fld="7" item="709"/>
          <tpl fld="6" item="2"/>
          <tpl hier="236" item="1"/>
          <tpl fld="4" item="1"/>
        </tpls>
      </m>
      <m>
        <tpls c="4">
          <tpl fld="7" item="634"/>
          <tpl fld="6" item="2"/>
          <tpl hier="236" item="1"/>
          <tpl fld="4" item="4"/>
        </tpls>
      </m>
      <m>
        <tpls c="4">
          <tpl fld="7" item="265"/>
          <tpl fld="6" item="1"/>
          <tpl hier="236" item="1"/>
          <tpl fld="1" item="0"/>
        </tpls>
      </m>
      <m>
        <tpls c="3">
          <tpl fld="7" item="187"/>
          <tpl fld="6" item="3"/>
          <tpl hier="236" item="1"/>
        </tpls>
      </m>
      <m>
        <tpls c="4">
          <tpl fld="7" item="258"/>
          <tpl fld="6" item="2"/>
          <tpl hier="236" item="1"/>
          <tpl fld="4" item="1"/>
        </tpls>
      </m>
      <m>
        <tpls c="4">
          <tpl fld="7" item="417"/>
          <tpl fld="6" item="2"/>
          <tpl hier="236" item="1"/>
          <tpl fld="4" item="4"/>
        </tpls>
      </m>
      <m>
        <tpls c="3">
          <tpl fld="7" item="353"/>
          <tpl fld="6" item="3"/>
          <tpl hier="236" item="1"/>
        </tpls>
      </m>
      <m>
        <tpls c="4">
          <tpl fld="7" item="767"/>
          <tpl fld="6" item="2"/>
          <tpl hier="236" item="1"/>
          <tpl fld="4" item="4"/>
        </tpls>
      </m>
      <m>
        <tpls c="3">
          <tpl fld="7" item="424"/>
          <tpl fld="6" item="3"/>
          <tpl hier="236" item="1"/>
        </tpls>
      </m>
      <m>
        <tpls c="4">
          <tpl fld="7" item="1145"/>
          <tpl fld="6" item="1"/>
          <tpl hier="236" item="1"/>
          <tpl fld="1" item="0"/>
        </tpls>
      </m>
      <n v="682" in="1">
        <tpls c="6">
          <tpl fld="3" item="2"/>
          <tpl fld="11" item="0"/>
          <tpl fld="6" item="1"/>
          <tpl hier="236" item="1"/>
          <tpl fld="4" item="6"/>
          <tpl fld="10" item="7"/>
        </tpls>
      </n>
      <n v="0" in="1">
        <tpls c="6">
          <tpl fld="11" item="0"/>
          <tpl fld="5" item="3"/>
          <tpl fld="6" item="1"/>
          <tpl hier="236" item="1"/>
          <tpl fld="4" item="7"/>
          <tpl fld="10" item="7"/>
        </tpls>
      </n>
      <m>
        <tpls c="4">
          <tpl fld="7" item="22"/>
          <tpl fld="6" item="2"/>
          <tpl hier="236" item="1"/>
          <tpl fld="4" item="1"/>
        </tpls>
      </m>
      <n v="0" in="1">
        <tpls c="6">
          <tpl fld="11" item="0"/>
          <tpl fld="5" item="3"/>
          <tpl fld="6" item="1"/>
          <tpl hier="236" item="1"/>
          <tpl fld="4" item="3"/>
          <tpl fld="10" item="7"/>
        </tpls>
      </n>
      <m>
        <tpls c="3">
          <tpl fld="7" item="188"/>
          <tpl fld="6" item="3"/>
          <tpl hier="236" item="1"/>
        </tpls>
      </m>
      <n v="0.31891891891891894" in="2">
        <tpls c="4">
          <tpl fld="7" item="756"/>
          <tpl fld="6" item="2"/>
          <tpl hier="236" item="1"/>
          <tpl fld="4" item="4"/>
        </tpls>
      </n>
      <n v="16105" in="1">
        <tpls c="5">
          <tpl fld="3" item="4"/>
          <tpl fld="11" item="0"/>
          <tpl fld="6" item="1"/>
          <tpl hier="236" item="1"/>
          <tpl fld="1" item="0"/>
        </tpls>
      </n>
      <m>
        <tpls c="4">
          <tpl fld="7" item="108"/>
          <tpl fld="6" item="2"/>
          <tpl hier="236" item="1"/>
          <tpl fld="4" item="1"/>
        </tpls>
      </m>
      <m>
        <tpls c="4">
          <tpl fld="7" item="80"/>
          <tpl fld="6" item="2"/>
          <tpl hier="236" item="1"/>
          <tpl fld="4" item="4"/>
        </tpls>
      </m>
      <m>
        <tpls c="4">
          <tpl fld="7" item="497"/>
          <tpl fld="6" item="1"/>
          <tpl hier="236" item="1"/>
          <tpl fld="4" item="6"/>
        </tpls>
      </m>
      <m>
        <tpls c="4">
          <tpl fld="7" item="537"/>
          <tpl fld="6" item="1"/>
          <tpl hier="236" item="1"/>
          <tpl fld="4" item="5"/>
        </tpls>
      </m>
      <n v="6" in="1">
        <tpls c="4">
          <tpl fld="7" item="356"/>
          <tpl fld="6" item="1"/>
          <tpl hier="236" item="1"/>
          <tpl fld="4" item="6"/>
        </tpls>
      </n>
      <m>
        <tpls c="4">
          <tpl fld="7" item="1158"/>
          <tpl fld="6" item="1"/>
          <tpl hier="236" item="1"/>
          <tpl fld="4" item="5"/>
        </tpls>
      </m>
      <m>
        <tpls c="4">
          <tpl fld="7" item="156"/>
          <tpl fld="6" item="2"/>
          <tpl hier="236" item="1"/>
          <tpl fld="4" item="6"/>
        </tpls>
      </m>
      <n v="3.84" in="2">
        <tpls c="6">
          <tpl fld="11" item="0"/>
          <tpl fld="6" item="2"/>
          <tpl fld="8" item="1"/>
          <tpl hier="236" item="1"/>
          <tpl fld="4" item="7"/>
          <tpl fld="10" item="7"/>
        </tpls>
      </n>
      <m>
        <tpls c="4">
          <tpl fld="7" item="167"/>
          <tpl fld="6" item="2"/>
          <tpl hier="236" item="1"/>
          <tpl fld="4" item="1"/>
        </tpls>
      </m>
      <m>
        <tpls c="4">
          <tpl fld="7" item="42"/>
          <tpl fld="6" item="2"/>
          <tpl hier="236" item="1"/>
          <tpl fld="4" item="1"/>
        </tpls>
      </m>
      <n v="1.1599999999999999" in="2">
        <tpls c="4">
          <tpl fld="7" item="450"/>
          <tpl fld="6" item="2"/>
          <tpl hier="236" item="1"/>
          <tpl fld="4" item="1"/>
        </tpls>
      </n>
      <m>
        <tpls c="4">
          <tpl fld="7" item="259"/>
          <tpl fld="6" item="2"/>
          <tpl hier="236" item="1"/>
          <tpl fld="4" item="1"/>
        </tpls>
      </m>
      <n v="1" in="2">
        <tpls c="4">
          <tpl fld="7" item="1085"/>
          <tpl fld="6" item="2"/>
          <tpl hier="236" item="1"/>
          <tpl fld="4" item="1"/>
        </tpls>
      </n>
      <m>
        <tpls c="4">
          <tpl fld="7" item="11"/>
          <tpl fld="6" item="1"/>
          <tpl hier="236" item="1"/>
          <tpl fld="4" item="4"/>
        </tpls>
      </m>
      <m>
        <tpls c="4">
          <tpl fld="7" item="307"/>
          <tpl fld="6" item="2"/>
          <tpl hier="236" item="1"/>
          <tpl fld="4" item="4"/>
        </tpls>
      </m>
      <m>
        <tpls c="4">
          <tpl fld="7" item="7"/>
          <tpl fld="6" item="2"/>
          <tpl hier="236" item="1"/>
          <tpl fld="4" item="6"/>
        </tpls>
      </m>
      <n v="1" in="3">
        <tpls c="3">
          <tpl fld="7" item="601"/>
          <tpl fld="6" item="3"/>
          <tpl hier="236" item="1"/>
        </tpls>
      </n>
      <m>
        <tpls c="4">
          <tpl fld="7" item="693"/>
          <tpl fld="6" item="2"/>
          <tpl hier="236" item="1"/>
          <tpl fld="4" item="1"/>
        </tpls>
      </m>
      <m>
        <tpls c="4">
          <tpl fld="7" item="781"/>
          <tpl fld="6" item="2"/>
          <tpl hier="236" item="1"/>
          <tpl fld="4" item="4"/>
        </tpls>
      </m>
      <n v="1" in="1">
        <tpls c="4">
          <tpl fld="7" item="638"/>
          <tpl fld="6" item="1"/>
          <tpl hier="236" item="1"/>
          <tpl fld="4" item="1"/>
        </tpls>
      </n>
      <m>
        <tpls c="4">
          <tpl fld="7" item="699"/>
          <tpl fld="6" item="1"/>
          <tpl hier="236" item="1"/>
          <tpl fld="4" item="4"/>
        </tpls>
      </m>
      <m>
        <tpls c="4">
          <tpl fld="7" item="979"/>
          <tpl fld="6" item="2"/>
          <tpl hier="236" item="1"/>
          <tpl fld="4" item="1"/>
        </tpls>
      </m>
      <m>
        <tpls c="3">
          <tpl fld="7" item="350"/>
          <tpl fld="6" item="3"/>
          <tpl hier="236" item="1"/>
        </tpls>
      </m>
      <m>
        <tpls c="4">
          <tpl fld="7" item="135"/>
          <tpl fld="6" item="1"/>
          <tpl hier="236" item="1"/>
          <tpl fld="4" item="4"/>
        </tpls>
      </m>
      <n v="1" in="3">
        <tpls c="3">
          <tpl fld="7" item="680"/>
          <tpl fld="6" item="3"/>
          <tpl hier="236" item="1"/>
        </tpls>
      </n>
      <m>
        <tpls c="4">
          <tpl fld="7" item="459"/>
          <tpl fld="6" item="2"/>
          <tpl hier="236" item="1"/>
          <tpl fld="4" item="1"/>
        </tpls>
      </m>
      <m>
        <tpls c="4">
          <tpl fld="7" item="768"/>
          <tpl fld="6" item="2"/>
          <tpl hier="236" item="1"/>
          <tpl fld="4" item="1"/>
        </tpls>
      </m>
      <m>
        <tpls c="4">
          <tpl fld="7" item="545"/>
          <tpl fld="6" item="2"/>
          <tpl hier="236" item="1"/>
          <tpl fld="4" item="6"/>
        </tpls>
      </m>
      <n v="1" in="3">
        <tpls c="3">
          <tpl fld="7" item="512"/>
          <tpl fld="6" item="3"/>
          <tpl hier="236" item="1"/>
        </tpls>
      </n>
      <m>
        <tpls c="4">
          <tpl fld="7" item="692"/>
          <tpl fld="6" item="2"/>
          <tpl hier="236" item="1"/>
          <tpl fld="1" item="0"/>
        </tpls>
      </m>
      <m>
        <tpls c="4">
          <tpl fld="7" item="698"/>
          <tpl fld="6" item="2"/>
          <tpl hier="236" item="1"/>
          <tpl fld="1" item="0"/>
        </tpls>
      </m>
      <n v="2" in="1">
        <tpls c="4">
          <tpl fld="7" item="561"/>
          <tpl fld="6" item="1"/>
          <tpl hier="236" item="1"/>
          <tpl fld="4" item="5"/>
        </tpls>
      </n>
      <n v="4" in="1">
        <tpls c="4">
          <tpl fld="7" item="711"/>
          <tpl fld="6" item="1"/>
          <tpl hier="236" item="1"/>
          <tpl fld="4" item="1"/>
        </tpls>
      </n>
      <n v="1" in="1">
        <tpls c="4">
          <tpl fld="7" item="637"/>
          <tpl fld="6" item="1"/>
          <tpl hier="236" item="1"/>
          <tpl fld="4" item="6"/>
        </tpls>
      </n>
      <n v="1" in="3">
        <tpls c="3">
          <tpl fld="7" item="509"/>
          <tpl fld="6" item="3"/>
          <tpl hier="236" item="1"/>
        </tpls>
      </n>
      <m>
        <tpls c="4">
          <tpl fld="7" item="545"/>
          <tpl fld="6" item="2"/>
          <tpl hier="236" item="1"/>
          <tpl fld="4" item="1"/>
        </tpls>
      </m>
      <n v="1" in="1">
        <tpls c="4">
          <tpl fld="7" item="553"/>
          <tpl fld="6" item="1"/>
          <tpl hier="236" item="1"/>
          <tpl fld="1" item="0"/>
        </tpls>
      </n>
      <m>
        <tpls c="4">
          <tpl fld="7" item="624"/>
          <tpl fld="6" item="2"/>
          <tpl hier="236" item="1"/>
          <tpl fld="4" item="1"/>
        </tpls>
      </m>
      <m>
        <tpls c="4">
          <tpl fld="7" item="631"/>
          <tpl fld="6" item="2"/>
          <tpl hier="236" item="1"/>
          <tpl fld="4" item="1"/>
        </tpls>
      </m>
      <m>
        <tpls c="4">
          <tpl fld="7" item="118"/>
          <tpl fld="6" item="2"/>
          <tpl hier="236" item="1"/>
          <tpl fld="4" item="1"/>
        </tpls>
      </m>
      <m>
        <tpls c="4">
          <tpl fld="7" item="75"/>
          <tpl fld="6" item="1"/>
          <tpl hier="236" item="1"/>
          <tpl fld="4" item="6"/>
        </tpls>
      </m>
      <m>
        <tpls c="4">
          <tpl fld="7" item="52"/>
          <tpl fld="6" item="1"/>
          <tpl hier="236" item="1"/>
          <tpl fld="4" item="4"/>
        </tpls>
      </m>
      <m>
        <tpls c="4">
          <tpl fld="7" item="480"/>
          <tpl fld="6" item="1"/>
          <tpl hier="236" item="1"/>
          <tpl fld="4" item="5"/>
        </tpls>
      </m>
      <n v="1" in="1">
        <tpls c="4">
          <tpl fld="7" item="393"/>
          <tpl fld="6" item="1"/>
          <tpl hier="236" item="1"/>
          <tpl fld="1" item="0"/>
        </tpls>
      </n>
      <n v="1" in="3">
        <tpls c="3">
          <tpl fld="7" item="440"/>
          <tpl fld="6" item="3"/>
          <tpl hier="236" item="1"/>
        </tpls>
      </n>
      <m>
        <tpls c="4">
          <tpl fld="7" item="769"/>
          <tpl fld="6" item="2"/>
          <tpl hier="236" item="1"/>
          <tpl fld="4" item="5"/>
        </tpls>
      </m>
      <m>
        <tpls c="4">
          <tpl fld="7" item="164"/>
          <tpl fld="6" item="1"/>
          <tpl hier="236" item="1"/>
          <tpl fld="4" item="5"/>
        </tpls>
      </m>
      <n v="0.12" in="2">
        <tpls c="4">
          <tpl fld="7" item="421"/>
          <tpl fld="6" item="2"/>
          <tpl hier="236" item="1"/>
          <tpl fld="4" item="1"/>
        </tpls>
      </n>
      <n v="1" in="1">
        <tpls c="4">
          <tpl fld="7" item="430"/>
          <tpl fld="6" item="1"/>
          <tpl hier="236" item="1"/>
          <tpl fld="4" item="6"/>
        </tpls>
      </n>
      <m>
        <tpls c="4">
          <tpl fld="7" item="372"/>
          <tpl fld="6" item="2"/>
          <tpl hier="236" item="1"/>
          <tpl fld="4" item="4"/>
        </tpls>
      </m>
      <m>
        <tpls c="4">
          <tpl fld="7" item="385"/>
          <tpl fld="6" item="1"/>
          <tpl hier="236" item="1"/>
          <tpl fld="4" item="4"/>
        </tpls>
      </m>
      <m>
        <tpls c="4">
          <tpl fld="7" item="983"/>
          <tpl fld="6" item="1"/>
          <tpl hier="236" item="1"/>
          <tpl fld="1" item="0"/>
        </tpls>
      </m>
      <m>
        <tpls c="4">
          <tpl fld="7" item="687"/>
          <tpl fld="6" item="2"/>
          <tpl hier="236" item="1"/>
          <tpl fld="4" item="5"/>
        </tpls>
      </m>
      <m>
        <tpls c="4">
          <tpl fld="7" item="881"/>
          <tpl fld="6" item="2"/>
          <tpl hier="236" item="1"/>
          <tpl fld="4" item="1"/>
        </tpls>
      </m>
      <m>
        <tpls c="4">
          <tpl fld="7" item="351"/>
          <tpl fld="6" item="2"/>
          <tpl hier="236" item="1"/>
          <tpl fld="4" item="6"/>
        </tpls>
      </m>
      <m>
        <tpls c="4">
          <tpl fld="7" item="534"/>
          <tpl fld="6" item="2"/>
          <tpl hier="236" item="1"/>
          <tpl fld="4" item="4"/>
        </tpls>
      </m>
      <m>
        <tpls c="4">
          <tpl fld="7" item="547"/>
          <tpl fld="6" item="2"/>
          <tpl hier="236" item="1"/>
          <tpl fld="4" item="1"/>
        </tpls>
      </m>
      <m>
        <tpls c="4">
          <tpl fld="7" item="618"/>
          <tpl fld="6" item="2"/>
          <tpl hier="236" item="1"/>
          <tpl fld="4" item="4"/>
        </tpls>
      </m>
      <m>
        <tpls c="4">
          <tpl fld="7" item="702"/>
          <tpl fld="6" item="2"/>
          <tpl hier="236" item="1"/>
          <tpl fld="4" item="6"/>
        </tpls>
      </m>
      <n v="0.91999999999999993" in="2">
        <tpls c="4">
          <tpl fld="7" item="788"/>
          <tpl fld="6" item="2"/>
          <tpl hier="236" item="1"/>
          <tpl fld="1" item="0"/>
        </tpls>
      </n>
      <m>
        <tpls c="4">
          <tpl fld="7" item="712"/>
          <tpl fld="6" item="1"/>
          <tpl hier="236" item="1"/>
          <tpl fld="4" item="5"/>
        </tpls>
      </m>
      <m>
        <tpls c="4">
          <tpl fld="7" item="798"/>
          <tpl fld="6" item="1"/>
          <tpl hier="236" item="1"/>
          <tpl fld="4" item="1"/>
        </tpls>
      </m>
      <m>
        <tpls c="4">
          <tpl fld="7" item="102"/>
          <tpl fld="6" item="2"/>
          <tpl hier="236" item="1"/>
          <tpl fld="4" item="1"/>
        </tpls>
      </m>
      <m>
        <tpls c="4">
          <tpl fld="7" item="462"/>
          <tpl fld="6" item="2"/>
          <tpl hier="236" item="1"/>
          <tpl fld="1" item="0"/>
        </tpls>
      </m>
      <m>
        <tpls c="4">
          <tpl fld="7" item="693"/>
          <tpl fld="6" item="2"/>
          <tpl hier="236" item="1"/>
          <tpl fld="4" item="4"/>
        </tpls>
      </m>
      <m>
        <tpls c="4">
          <tpl fld="7" item="1089"/>
          <tpl fld="6" item="1"/>
          <tpl hier="236" item="1"/>
          <tpl fld="4" item="4"/>
        </tpls>
      </m>
      <n v="2" in="1">
        <tpls c="4">
          <tpl fld="7" item="622"/>
          <tpl fld="6" item="1"/>
          <tpl hier="236" item="1"/>
          <tpl fld="4" item="6"/>
        </tpls>
      </n>
      <n v="37" in="1">
        <tpls c="4">
          <tpl fld="7" item="564"/>
          <tpl fld="6" item="1"/>
          <tpl hier="236" item="1"/>
          <tpl fld="1" item="0"/>
        </tpls>
      </n>
      <n v="0.6" in="2">
        <tpls c="4">
          <tpl fld="7" item="632"/>
          <tpl fld="6" item="2"/>
          <tpl hier="236" item="1"/>
          <tpl fld="4" item="1"/>
        </tpls>
      </n>
      <m>
        <tpls c="4">
          <tpl fld="7" item="716"/>
          <tpl fld="6" item="2"/>
          <tpl hier="236" item="1"/>
          <tpl fld="4" item="4"/>
        </tpls>
      </m>
      <m>
        <tpls c="4">
          <tpl fld="7" item="211"/>
          <tpl fld="6" item="1"/>
          <tpl hier="236" item="1"/>
          <tpl fld="4" item="6"/>
        </tpls>
      </m>
      <n v="1" in="1">
        <tpls c="4">
          <tpl fld="7" item="533"/>
          <tpl fld="6" item="1"/>
          <tpl hier="236" item="1"/>
          <tpl fld="4" item="1"/>
        </tpls>
      </n>
      <n v="4" in="1">
        <tpls c="4">
          <tpl fld="7" item="775"/>
          <tpl fld="6" item="1"/>
          <tpl hier="236" item="1"/>
          <tpl fld="4" item="4"/>
        </tpls>
      </n>
      <m>
        <tpls c="4">
          <tpl fld="7" item="1089"/>
          <tpl fld="6" item="1"/>
          <tpl hier="236" item="1"/>
          <tpl fld="4" item="5"/>
        </tpls>
      </m>
      <m>
        <tpls c="3">
          <tpl fld="7" item="97"/>
          <tpl fld="6" item="3"/>
          <tpl hier="236" item="1"/>
        </tpls>
      </m>
      <n v="7" in="1">
        <tpls c="4">
          <tpl fld="7" item="537"/>
          <tpl fld="6" item="1"/>
          <tpl hier="236" item="1"/>
          <tpl fld="1" item="0"/>
        </tpls>
      </n>
      <m>
        <tpls c="4">
          <tpl fld="7" item="369"/>
          <tpl fld="6" item="2"/>
          <tpl hier="236" item="1"/>
          <tpl fld="4" item="4"/>
        </tpls>
      </m>
      <m>
        <tpls c="4">
          <tpl fld="7" item="543"/>
          <tpl fld="6" item="2"/>
          <tpl hier="236" item="1"/>
          <tpl fld="4" item="6"/>
        </tpls>
      </m>
      <m>
        <tpls c="4">
          <tpl fld="7" item="986"/>
          <tpl fld="6" item="2"/>
          <tpl hier="236" item="1"/>
          <tpl fld="1" item="0"/>
        </tpls>
      </m>
      <n v="1" in="1">
        <tpls c="4">
          <tpl fld="7" item="797"/>
          <tpl fld="6" item="1"/>
          <tpl hier="236" item="1"/>
          <tpl fld="4" item="6"/>
        </tpls>
      </n>
      <m>
        <tpls c="4">
          <tpl fld="7" item="551"/>
          <tpl fld="6" item="1"/>
          <tpl hier="236" item="1"/>
          <tpl fld="1" item="0"/>
        </tpls>
      </m>
      <m>
        <tpls c="4">
          <tpl fld="7" item="715"/>
          <tpl fld="6" item="2"/>
          <tpl hier="236" item="1"/>
          <tpl fld="1" item="0"/>
        </tpls>
      </m>
      <m>
        <tpls c="4">
          <tpl fld="7" item="429"/>
          <tpl fld="6" item="2"/>
          <tpl hier="236" item="1"/>
          <tpl fld="4" item="4"/>
        </tpls>
      </m>
      <n v="1" in="2">
        <tpls c="4">
          <tpl fld="7" item="772"/>
          <tpl fld="6" item="2"/>
          <tpl hier="236" item="1"/>
          <tpl fld="4" item="6"/>
        </tpls>
      </n>
      <m>
        <tpls c="4">
          <tpl fld="7" item="697"/>
          <tpl fld="6" item="2"/>
          <tpl hier="236" item="1"/>
          <tpl fld="1" item="0"/>
        </tpls>
      </m>
      <m>
        <tpls c="4">
          <tpl fld="7" item="1090"/>
          <tpl fld="6" item="2"/>
          <tpl hier="236" item="1"/>
          <tpl fld="1" item="0"/>
        </tpls>
      </m>
      <m>
        <tpls c="3">
          <tpl fld="7" item="706"/>
          <tpl fld="6" item="3"/>
          <tpl hier="236" item="1"/>
        </tpls>
      </m>
      <n v="3" in="1">
        <tpls c="4">
          <tpl fld="7" item="571"/>
          <tpl fld="6" item="1"/>
          <tpl hier="236" item="1"/>
          <tpl fld="4" item="1"/>
        </tpls>
      </n>
      <m>
        <tpls c="4">
          <tpl fld="7" item="577"/>
          <tpl fld="6" item="1"/>
          <tpl hier="236" item="1"/>
          <tpl fld="4" item="4"/>
        </tpls>
      </m>
      <n v="1" in="1">
        <tpls c="4">
          <tpl fld="7" item="802"/>
          <tpl fld="6" item="1"/>
          <tpl hier="236" item="1"/>
          <tpl fld="4" item="6"/>
        </tpls>
      </n>
      <m>
        <tpls c="4">
          <tpl fld="7" item="770"/>
          <tpl fld="6" item="2"/>
          <tpl hier="236" item="1"/>
          <tpl fld="4" item="6"/>
        </tpls>
      </m>
      <m>
        <tpls c="4">
          <tpl fld="7" item="708"/>
          <tpl fld="6" item="2"/>
          <tpl hier="236" item="1"/>
          <tpl fld="1" item="0"/>
        </tpls>
      </m>
      <m>
        <tpls c="4">
          <tpl fld="7" item="721"/>
          <tpl fld="6" item="2"/>
          <tpl hier="236" item="1"/>
          <tpl fld="4" item="4"/>
        </tpls>
      </m>
      <n v="1" in="1">
        <tpls c="4">
          <tpl fld="7" item="726"/>
          <tpl fld="6" item="1"/>
          <tpl hier="236" item="1"/>
          <tpl fld="4" item="1"/>
        </tpls>
      </n>
      <m>
        <tpls c="4">
          <tpl fld="7" item="732"/>
          <tpl fld="6" item="1"/>
          <tpl hier="236" item="1"/>
          <tpl fld="4" item="4"/>
        </tpls>
      </m>
      <n v="1" in="1">
        <tpls c="4">
          <tpl fld="7" item="658"/>
          <tpl fld="6" item="1"/>
          <tpl hier="236" item="1"/>
          <tpl fld="4" item="6"/>
        </tpls>
      </n>
      <n v="10" in="1">
        <tpls c="4">
          <tpl fld="7" item="894"/>
          <tpl fld="6" item="1"/>
          <tpl hier="236" item="1"/>
          <tpl fld="1" item="0"/>
        </tpls>
      </n>
      <m>
        <tpls c="4">
          <tpl fld="7" item="1003"/>
          <tpl fld="6" item="2"/>
          <tpl hier="236" item="1"/>
          <tpl fld="4" item="1"/>
        </tpls>
      </m>
      <m>
        <tpls c="3">
          <tpl fld="7" item="1219"/>
          <tpl fld="6" item="3"/>
          <tpl hier="236" item="1"/>
        </tpls>
      </m>
      <m>
        <tpls c="4">
          <tpl fld="7" item="861"/>
          <tpl fld="6" item="1"/>
          <tpl hier="236" item="1"/>
          <tpl fld="4" item="6"/>
        </tpls>
      </m>
      <m>
        <tpls c="4">
          <tpl fld="7" item="1035"/>
          <tpl fld="6" item="2"/>
          <tpl hier="236" item="1"/>
          <tpl fld="4" item="1"/>
        </tpls>
      </m>
      <m>
        <tpls c="4">
          <tpl fld="7" item="1067"/>
          <tpl fld="6" item="2"/>
          <tpl hier="236" item="1"/>
          <tpl fld="4" item="1"/>
        </tpls>
      </m>
      <m>
        <tpls c="4">
          <tpl fld="7" item="902"/>
          <tpl fld="6" item="2"/>
          <tpl hier="236" item="1"/>
          <tpl fld="1" item="0"/>
        </tpls>
      </m>
      <m>
        <tpls c="4">
          <tpl fld="7" item="420"/>
          <tpl fld="6" item="2"/>
          <tpl hier="236" item="1"/>
          <tpl fld="1" item="0"/>
        </tpls>
      </m>
      <m>
        <tpls c="4">
          <tpl fld="7" item="27"/>
          <tpl fld="6" item="2"/>
          <tpl hier="236" item="1"/>
          <tpl fld="1" item="0"/>
        </tpls>
      </m>
      <n v="3" in="1">
        <tpls c="4">
          <tpl fld="7" item="607"/>
          <tpl fld="6" item="1"/>
          <tpl hier="236" item="1"/>
          <tpl fld="4" item="5"/>
        </tpls>
      </n>
      <m>
        <tpls c="4">
          <tpl fld="7" item="208"/>
          <tpl fld="6" item="2"/>
          <tpl hier="236" item="1"/>
          <tpl fld="4" item="1"/>
        </tpls>
      </m>
      <m>
        <tpls c="4">
          <tpl fld="7" item="768"/>
          <tpl fld="6" item="2"/>
          <tpl hier="236" item="1"/>
          <tpl fld="4" item="4"/>
        </tpls>
      </m>
      <n v="4" in="1">
        <tpls c="4">
          <tpl fld="7" item="370"/>
          <tpl fld="6" item="1"/>
          <tpl hier="236" item="1"/>
          <tpl fld="4" item="4"/>
        </tpls>
      </n>
      <n v="0.64" in="2">
        <tpls c="4">
          <tpl fld="7" item="611"/>
          <tpl fld="6" item="2"/>
          <tpl hier="236" item="1"/>
          <tpl fld="4" item="1"/>
        </tpls>
      </n>
      <m>
        <tpls c="4">
          <tpl fld="7" item="697"/>
          <tpl fld="6" item="2"/>
          <tpl hier="236" item="1"/>
          <tpl fld="4" item="4"/>
        </tpls>
      </m>
      <n v="1" in="1">
        <tpls c="4">
          <tpl fld="7" item="887"/>
          <tpl fld="6" item="1"/>
          <tpl hier="236" item="1"/>
          <tpl fld="4" item="1"/>
        </tpls>
      </n>
      <n v="4" in="1">
        <tpls c="4">
          <tpl fld="7" item="617"/>
          <tpl fld="6" item="1"/>
          <tpl hier="236" item="1"/>
          <tpl fld="4" item="4"/>
        </tpls>
      </n>
      <m>
        <tpls c="4">
          <tpl fld="7" item="797"/>
          <tpl fld="6" item="2"/>
          <tpl hier="236" item="1"/>
          <tpl fld="4" item="4"/>
        </tpls>
      </m>
      <n v="13" in="1">
        <tpls c="4">
          <tpl fld="7" item="430"/>
          <tpl fld="6" item="1"/>
          <tpl hier="236" item="1"/>
          <tpl fld="4" item="4"/>
        </tpls>
      </n>
      <m>
        <tpls c="4">
          <tpl fld="7" item="1212"/>
          <tpl fld="6" item="2"/>
          <tpl hier="236" item="1"/>
          <tpl fld="4" item="1"/>
        </tpls>
      </m>
      <n v="2" in="1">
        <tpls c="4">
          <tpl fld="7" item="552"/>
          <tpl fld="6" item="1"/>
          <tpl hier="236" item="1"/>
          <tpl fld="4" item="6"/>
        </tpls>
      </n>
      <m>
        <tpls c="4">
          <tpl fld="7" item="558"/>
          <tpl fld="6" item="1"/>
          <tpl hier="236" item="1"/>
          <tpl fld="4" item="6"/>
        </tpls>
      </m>
      <n v="39" in="1">
        <tpls c="4">
          <tpl fld="7" item="706"/>
          <tpl fld="6" item="1"/>
          <tpl hier="236" item="1"/>
          <tpl fld="1" item="0"/>
        </tpls>
      </n>
      <m>
        <tpls c="4">
          <tpl fld="7" item="886"/>
          <tpl fld="6" item="2"/>
          <tpl hier="236" item="1"/>
          <tpl fld="4" item="1"/>
        </tpls>
      </m>
      <m>
        <tpls c="6">
          <tpl fld="11" item="0"/>
          <tpl fld="5" item="2"/>
          <tpl fld="6" item="1"/>
          <tpl hier="236" item="1"/>
          <tpl fld="4" item="7"/>
          <tpl fld="10" item="8"/>
        </tpls>
      </m>
      <n v="15" in="1">
        <tpls c="6">
          <tpl fld="11" item="0"/>
          <tpl fld="6" item="1"/>
          <tpl fld="8" item="0"/>
          <tpl hier="236" item="1"/>
          <tpl fld="4" item="7"/>
          <tpl fld="10" item="1"/>
        </tpls>
      </n>
      <m>
        <tpls c="3">
          <tpl fld="7" item="406"/>
          <tpl fld="6" item="3"/>
          <tpl hier="236" item="1"/>
        </tpls>
      </m>
      <m>
        <tpls c="4">
          <tpl fld="7" item="149"/>
          <tpl fld="6" item="2"/>
          <tpl hier="236" item="1"/>
          <tpl fld="4" item="1"/>
        </tpls>
      </m>
      <m>
        <tpls c="3">
          <tpl fld="7" item="150"/>
          <tpl fld="6" item="3"/>
          <tpl hier="236" item="1"/>
        </tpls>
      </m>
      <m>
        <tpls c="4">
          <tpl fld="7" item="159"/>
          <tpl fld="6" item="2"/>
          <tpl hier="236" item="1"/>
          <tpl fld="4" item="6"/>
        </tpls>
      </m>
      <n v="1" in="1">
        <tpls c="4">
          <tpl fld="7" item="524"/>
          <tpl fld="6" item="1"/>
          <tpl hier="236" item="1"/>
          <tpl fld="4" item="6"/>
        </tpls>
      </n>
      <m>
        <tpls c="4">
          <tpl fld="7" item="269"/>
          <tpl fld="6" item="2"/>
          <tpl hier="236" item="1"/>
          <tpl fld="4" item="6"/>
        </tpls>
      </m>
      <m>
        <tpls c="4">
          <tpl fld="7" item="39"/>
          <tpl fld="6" item="1"/>
          <tpl hier="236" item="1"/>
          <tpl fld="4" item="4"/>
        </tpls>
      </m>
      <m>
        <tpls c="4">
          <tpl fld="7" item="350"/>
          <tpl fld="6" item="1"/>
          <tpl hier="236" item="1"/>
          <tpl fld="4" item="4"/>
        </tpls>
      </m>
      <n v="2" in="1">
        <tpls c="4">
          <tpl fld="7" item="513"/>
          <tpl fld="6" item="1"/>
          <tpl hier="236" item="1"/>
          <tpl fld="4" item="6"/>
        </tpls>
      </n>
      <n v="120" in="1">
        <tpls c="6">
          <tpl fld="3" item="0"/>
          <tpl fld="11" item="0"/>
          <tpl fld="6" item="1"/>
          <tpl hier="236" item="1"/>
          <tpl fld="4" item="7"/>
          <tpl fld="10" item="3"/>
        </tpls>
      </n>
      <n v="2" in="1">
        <tpls c="4">
          <tpl fld="7" item="372"/>
          <tpl fld="6" item="1"/>
          <tpl hier="236" item="1"/>
          <tpl fld="4" item="6"/>
        </tpls>
      </n>
      <n v="2.4" in="2">
        <tpls c="6">
          <tpl fld="3" item="1"/>
          <tpl fld="11" item="0"/>
          <tpl fld="6" item="2"/>
          <tpl hier="236" item="1"/>
          <tpl fld="4" item="1"/>
          <tpl fld="9" item="2"/>
        </tpls>
      </n>
      <m>
        <tpls c="3">
          <tpl fld="7" item="175"/>
          <tpl fld="6" item="3"/>
          <tpl hier="236" item="1"/>
        </tpls>
      </m>
      <m>
        <tpls c="4">
          <tpl fld="7" item="249"/>
          <tpl fld="6" item="2"/>
          <tpl hier="236" item="1"/>
          <tpl fld="4" item="1"/>
        </tpls>
      </m>
      <m>
        <tpls c="4">
          <tpl fld="7" item="78"/>
          <tpl fld="6" item="1"/>
          <tpl hier="236" item="1"/>
          <tpl fld="4" item="4"/>
        </tpls>
      </m>
      <m>
        <tpls c="4">
          <tpl fld="7" item="99"/>
          <tpl fld="6" item="2"/>
          <tpl hier="236" item="1"/>
          <tpl fld="4" item="4"/>
        </tpls>
      </m>
      <m>
        <tpls c="4">
          <tpl fld="7" item="766"/>
          <tpl fld="6" item="1"/>
          <tpl hier="236" item="1"/>
          <tpl fld="4" item="4"/>
        </tpls>
      </m>
      <m>
        <tpls c="4">
          <tpl fld="7" item="674"/>
          <tpl fld="6" item="2"/>
          <tpl hier="236" item="1"/>
          <tpl fld="4" item="1"/>
        </tpls>
      </m>
      <m>
        <tpls c="4">
          <tpl fld="7" item="766"/>
          <tpl fld="6" item="1"/>
          <tpl hier="236" item="1"/>
          <tpl fld="4" item="5"/>
        </tpls>
      </m>
      <m>
        <tpls c="4">
          <tpl fld="7" item="345"/>
          <tpl fld="6" item="2"/>
          <tpl hier="236" item="1"/>
          <tpl fld="4" item="1"/>
        </tpls>
      </m>
      <n v="3" in="1">
        <tpls c="4">
          <tpl fld="7" item="1086"/>
          <tpl fld="6" item="1"/>
          <tpl hier="236" item="1"/>
          <tpl fld="4" item="6"/>
        </tpls>
      </n>
      <m>
        <tpls c="4">
          <tpl fld="7" item="305"/>
          <tpl fld="6" item="2"/>
          <tpl hier="236" item="1"/>
          <tpl fld="4" item="4"/>
        </tpls>
      </m>
      <m>
        <tpls c="4">
          <tpl fld="7" item="460"/>
          <tpl fld="6" item="2"/>
          <tpl hier="236" item="1"/>
          <tpl fld="4" item="1"/>
        </tpls>
      </m>
      <n v="2" in="1">
        <tpls c="4">
          <tpl fld="7" item="1085"/>
          <tpl fld="6" item="1"/>
          <tpl hier="236" item="1"/>
          <tpl fld="4" item="6"/>
        </tpls>
      </n>
      <n v="2" in="1">
        <tpls c="4">
          <tpl fld="7" item="562"/>
          <tpl fld="6" item="1"/>
          <tpl hier="236" item="1"/>
          <tpl fld="4" item="5"/>
        </tpls>
      </n>
      <n v="1" in="1">
        <tpls c="4">
          <tpl fld="7" item="601"/>
          <tpl fld="6" item="1"/>
          <tpl hier="236" item="1"/>
          <tpl fld="4" item="6"/>
        </tpls>
      </n>
      <n v="0.48" in="2">
        <tpls c="4">
          <tpl fld="7" item="988"/>
          <tpl fld="6" item="2"/>
          <tpl hier="236" item="1"/>
          <tpl fld="4" item="1"/>
        </tpls>
      </n>
      <m>
        <tpls c="4">
          <tpl fld="7" item="194"/>
          <tpl fld="6" item="2"/>
          <tpl hier="236" item="1"/>
          <tpl fld="4" item="4"/>
        </tpls>
      </m>
      <n v="19" in="1">
        <tpls c="4">
          <tpl fld="7" item="607"/>
          <tpl fld="6" item="1"/>
          <tpl hier="236" item="1"/>
          <tpl fld="1" item="0"/>
        </tpls>
      </n>
      <m>
        <tpls c="4">
          <tpl fld="7" item="309"/>
          <tpl fld="6" item="2"/>
          <tpl hier="236" item="1"/>
          <tpl fld="4" item="4"/>
        </tpls>
      </m>
      <n v="4" in="2">
        <tpls c="4">
          <tpl fld="7" item="379"/>
          <tpl fld="6" item="2"/>
          <tpl hier="236" item="1"/>
          <tpl fld="4" item="4"/>
        </tpls>
      </n>
      <n v="2" in="1">
        <tpls c="4">
          <tpl fld="7" item="532"/>
          <tpl fld="6" item="1"/>
          <tpl hier="236" item="1"/>
          <tpl fld="4" item="6"/>
        </tpls>
      </n>
      <m>
        <tpls c="4">
          <tpl fld="7" item="608"/>
          <tpl fld="6" item="2"/>
          <tpl hier="236" item="1"/>
          <tpl fld="4" item="5"/>
        </tpls>
      </m>
      <m>
        <tpls c="3">
          <tpl fld="7" item="250"/>
          <tpl fld="6" item="3"/>
          <tpl hier="236" item="1"/>
        </tpls>
      </m>
      <m>
        <tpls c="4">
          <tpl fld="7" item="684"/>
          <tpl fld="6" item="1"/>
          <tpl hier="236" item="1"/>
          <tpl fld="4" item="6"/>
        </tpls>
      </m>
      <m>
        <tpls c="4">
          <tpl fld="7" item="548"/>
          <tpl fld="6" item="2"/>
          <tpl hier="236" item="1"/>
          <tpl fld="4" item="1"/>
        </tpls>
      </m>
      <m>
        <tpls c="4">
          <tpl fld="7" item="556"/>
          <tpl fld="6" item="2"/>
          <tpl hier="236" item="1"/>
          <tpl fld="4" item="1"/>
        </tpls>
      </m>
      <n v="0.80540540540540539" in="2">
        <tpls c="4">
          <tpl fld="7" item="626"/>
          <tpl fld="6" item="2"/>
          <tpl hier="236" item="1"/>
          <tpl fld="4" item="6"/>
        </tpls>
      </n>
      <m>
        <tpls c="4">
          <tpl fld="7" item="633"/>
          <tpl fld="6" item="1"/>
          <tpl hier="236" item="1"/>
          <tpl fld="4" item="5"/>
        </tpls>
      </m>
      <m>
        <tpls c="4">
          <tpl fld="7" item="750"/>
          <tpl fld="6" item="1"/>
          <tpl hier="236" item="1"/>
          <tpl fld="4" item="5"/>
        </tpls>
      </m>
      <m>
        <tpls c="4">
          <tpl fld="7" item="388"/>
          <tpl fld="6" item="2"/>
          <tpl hier="236" item="1"/>
          <tpl fld="4" item="5"/>
        </tpls>
      </m>
      <m>
        <tpls c="4">
          <tpl fld="7" item="614"/>
          <tpl fld="6" item="1"/>
          <tpl hier="236" item="1"/>
          <tpl fld="4" item="1"/>
        </tpls>
      </m>
      <m>
        <tpls c="4">
          <tpl fld="7" item="620"/>
          <tpl fld="6" item="1"/>
          <tpl hier="236" item="1"/>
          <tpl fld="4" item="1"/>
        </tpls>
      </m>
      <m>
        <tpls c="4">
          <tpl fld="7" item="1091"/>
          <tpl fld="6" item="1"/>
          <tpl hier="236" item="1"/>
          <tpl fld="4" item="6"/>
        </tpls>
      </m>
      <m>
        <tpls c="4">
          <tpl fld="7" item="990"/>
          <tpl fld="6" item="2"/>
          <tpl hier="236" item="1"/>
          <tpl fld="4" item="1"/>
        </tpls>
      </m>
      <m>
        <tpls c="4">
          <tpl fld="7" item="273"/>
          <tpl fld="6" item="1"/>
          <tpl hier="236" item="1"/>
          <tpl fld="1" item="0"/>
        </tpls>
      </m>
      <n v="171" in="1">
        <tpls c="6">
          <tpl fld="11" item="0"/>
          <tpl fld="2" item="1"/>
          <tpl fld="6" item="1"/>
          <tpl hier="236" item="1"/>
          <tpl fld="4" item="1"/>
          <tpl fld="9" item="3"/>
        </tpls>
      </n>
      <m>
        <tpls c="4">
          <tpl fld="7" item="71"/>
          <tpl fld="6" item="1"/>
          <tpl hier="236" item="1"/>
          <tpl fld="4" item="4"/>
        </tpls>
      </m>
      <n v="2.2399999999999998" in="2">
        <tpls c="4">
          <tpl fld="7" item="427"/>
          <tpl fld="6" item="2"/>
          <tpl hier="236" item="1"/>
          <tpl fld="4" item="1"/>
        </tpls>
      </n>
      <n v="1371" in="1">
        <tpls c="6">
          <tpl fld="11" item="0"/>
          <tpl fld="6" item="1"/>
          <tpl fld="8" item="1"/>
          <tpl hier="236" item="1"/>
          <tpl fld="4" item="6"/>
          <tpl fld="10" item="0"/>
        </tpls>
      </n>
      <n v="1" in="1">
        <tpls c="4">
          <tpl fld="7" item="458"/>
          <tpl fld="6" item="1"/>
          <tpl hier="236" item="1"/>
          <tpl fld="4" item="1"/>
        </tpls>
      </n>
      <m>
        <tpls c="4">
          <tpl fld="7" item="4"/>
          <tpl fld="6" item="1"/>
          <tpl hier="236" item="1"/>
          <tpl fld="4" item="4"/>
        </tpls>
      </m>
      <m>
        <tpls c="3">
          <tpl fld="7" item="291"/>
          <tpl fld="6" item="3"/>
          <tpl hier="236" item="1"/>
        </tpls>
      </m>
      <m>
        <tpls c="3">
          <tpl fld="7" item="323"/>
          <tpl fld="6" item="3"/>
          <tpl hier="236" item="1"/>
        </tpls>
      </m>
      <n v="1" in="1">
        <tpls c="4">
          <tpl fld="7" item="434"/>
          <tpl fld="6" item="1"/>
          <tpl hier="236" item="1"/>
          <tpl fld="4" item="6"/>
        </tpls>
      </n>
      <n v="2.8" in="2">
        <tpls c="4">
          <tpl fld="7" item="376"/>
          <tpl fld="6" item="2"/>
          <tpl hier="236" item="1"/>
          <tpl fld="4" item="4"/>
        </tpls>
      </n>
      <n v="1" in="1">
        <tpls c="4">
          <tpl fld="7" item="879"/>
          <tpl fld="6" item="1"/>
          <tpl hier="236" item="1"/>
          <tpl fld="1" item="0"/>
        </tpls>
      </n>
      <m>
        <tpls c="4">
          <tpl fld="7" item="464"/>
          <tpl fld="6" item="2"/>
          <tpl hier="236" item="1"/>
          <tpl fld="4" item="5"/>
        </tpls>
      </m>
      <m>
        <tpls c="4">
          <tpl fld="7" item="984"/>
          <tpl fld="6" item="2"/>
          <tpl hier="236" item="1"/>
          <tpl fld="4" item="1"/>
        </tpls>
      </m>
      <n v="1" in="2">
        <tpls c="4">
          <tpl fld="7" item="613"/>
          <tpl fld="6" item="2"/>
          <tpl hier="236" item="1"/>
          <tpl fld="4" item="4"/>
        </tpls>
      </n>
      <n v="2" in="1">
        <tpls c="4">
          <tpl fld="7" item="436"/>
          <tpl fld="6" item="1"/>
          <tpl hier="236" item="1"/>
          <tpl fld="4" item="4"/>
        </tpls>
      </n>
      <n v="5" in="1">
        <tpls c="4">
          <tpl fld="7" item="984"/>
          <tpl fld="6" item="1"/>
          <tpl hier="236" item="1"/>
          <tpl fld="1" item="0"/>
        </tpls>
      </n>
      <m>
        <tpls c="4">
          <tpl fld="7" item="615"/>
          <tpl fld="6" item="2"/>
          <tpl hier="236" item="1"/>
          <tpl fld="4" item="4"/>
        </tpls>
      </m>
      <m>
        <tpls c="4">
          <tpl fld="7" item="699"/>
          <tpl fld="6" item="2"/>
          <tpl hier="236" item="1"/>
          <tpl fld="4" item="6"/>
        </tpls>
      </m>
      <m>
        <tpls c="4">
          <tpl fld="7" item="785"/>
          <tpl fld="6" item="2"/>
          <tpl hier="236" item="1"/>
          <tpl fld="1" item="0"/>
        </tpls>
      </m>
      <m>
        <tpls c="4">
          <tpl fld="7" item="790"/>
          <tpl fld="6" item="2"/>
          <tpl hier="236" item="1"/>
          <tpl fld="4" item="6"/>
        </tpls>
      </m>
      <m>
        <tpls c="4">
          <tpl fld="7" item="795"/>
          <tpl fld="6" item="1"/>
          <tpl hier="236" item="1"/>
          <tpl fld="4" item="1"/>
        </tpls>
      </m>
      <m>
        <tpls c="4">
          <tpl fld="7" item="638"/>
          <tpl fld="6" item="1"/>
          <tpl hier="236" item="1"/>
          <tpl fld="4" item="4"/>
        </tpls>
      </m>
      <m>
        <tpls c="4">
          <tpl fld="7" item="433"/>
          <tpl fld="6" item="1"/>
          <tpl hier="236" item="1"/>
          <tpl fld="4" item="4"/>
        </tpls>
      </m>
      <n v="1" in="2">
        <tpls c="4">
          <tpl fld="7" item="688"/>
          <tpl fld="6" item="2"/>
          <tpl hier="236" item="1"/>
          <tpl fld="4" item="5"/>
        </tpls>
      </n>
      <n v="5" in="1">
        <tpls c="4">
          <tpl fld="7" item="1238"/>
          <tpl fld="6" item="1"/>
          <tpl hier="236" item="1"/>
          <tpl fld="4" item="4"/>
        </tpls>
      </n>
      <m>
        <tpls c="4">
          <tpl fld="7" item="619"/>
          <tpl fld="6" item="1"/>
          <tpl hier="236" item="1"/>
          <tpl fld="4" item="6"/>
        </tpls>
      </m>
      <m>
        <tpls c="4">
          <tpl fld="7" item="357"/>
          <tpl fld="6" item="1"/>
          <tpl hier="236" item="1"/>
          <tpl fld="4" item="4"/>
        </tpls>
      </m>
      <n v="1" in="1">
        <tpls c="4">
          <tpl fld="7" item="373"/>
          <tpl fld="6" item="1"/>
          <tpl hier="236" item="1"/>
          <tpl fld="4" item="4"/>
        </tpls>
      </n>
      <m>
        <tpls c="4">
          <tpl fld="7" item="389"/>
          <tpl fld="6" item="2"/>
          <tpl hier="236" item="1"/>
          <tpl fld="4" item="4"/>
        </tpls>
      </m>
      <m>
        <tpls c="4">
          <tpl fld="7" item="768"/>
          <tpl fld="6" item="1"/>
          <tpl hier="236" item="1"/>
          <tpl fld="4" item="5"/>
        </tpls>
      </m>
      <n v="6" in="1">
        <tpls c="4">
          <tpl fld="7" item="612"/>
          <tpl fld="6" item="1"/>
          <tpl hier="236" item="1"/>
          <tpl fld="1" item="0"/>
        </tpls>
      </n>
      <m>
        <tpls c="4">
          <tpl fld="7" item="378"/>
          <tpl fld="6" item="2"/>
          <tpl hier="236" item="1"/>
          <tpl fld="4" item="1"/>
        </tpls>
      </m>
      <m>
        <tpls c="4">
          <tpl fld="7" item="774"/>
          <tpl fld="6" item="2"/>
          <tpl hier="236" item="1"/>
          <tpl fld="4" item="4"/>
        </tpls>
      </m>
      <m>
        <tpls c="4">
          <tpl fld="7" item="553"/>
          <tpl fld="6" item="2"/>
          <tpl hier="236" item="1"/>
          <tpl fld="4" item="5"/>
        </tpls>
      </m>
      <n v="9" in="1">
        <tpls c="4">
          <tpl fld="7" item="988"/>
          <tpl fld="6" item="1"/>
          <tpl hier="236" item="1"/>
          <tpl fld="4" item="1"/>
        </tpls>
      </n>
      <n v="0.88000000000000012" in="2">
        <tpls c="4">
          <tpl fld="7" item="793"/>
          <tpl fld="6" item="2"/>
          <tpl hier="236" item="1"/>
          <tpl fld="4" item="1"/>
        </tpls>
      </n>
      <m>
        <tpls c="3">
          <tpl fld="7" item="578"/>
          <tpl fld="6" item="3"/>
          <tpl hier="236" item="1"/>
        </tpls>
      </m>
      <n v="2.7781081081081078" in="2">
        <tpls c="4">
          <tpl fld="7" item="375"/>
          <tpl fld="6" item="2"/>
          <tpl hier="236" item="1"/>
          <tpl fld="4" item="1"/>
        </tpls>
      </n>
      <n v="1" in="1">
        <tpls c="4">
          <tpl fld="7" item="545"/>
          <tpl fld="6" item="1"/>
          <tpl hier="236" item="1"/>
          <tpl fld="1" item="0"/>
        </tpls>
      </n>
      <m>
        <tpls c="4">
          <tpl fld="7" item="618"/>
          <tpl fld="6" item="1"/>
          <tpl hier="236" item="1"/>
          <tpl fld="4" item="5"/>
        </tpls>
      </m>
      <n v="3" in="1">
        <tpls c="4">
          <tpl fld="7" item="560"/>
          <tpl fld="6" item="1"/>
          <tpl hier="236" item="1"/>
          <tpl fld="1" item="0"/>
        </tpls>
      </n>
      <n v="3" in="1">
        <tpls c="4">
          <tpl fld="7" item="628"/>
          <tpl fld="6" item="1"/>
          <tpl hier="236" item="1"/>
          <tpl fld="4" item="1"/>
        </tpls>
      </n>
      <n v="1.4" in="2">
        <tpls c="4">
          <tpl fld="7" item="713"/>
          <tpl fld="6" item="2"/>
          <tpl hier="236" item="1"/>
          <tpl fld="4" item="4"/>
        </tpls>
      </n>
      <m>
        <tpls c="4">
          <tpl fld="7" item="579"/>
          <tpl fld="6" item="2"/>
          <tpl hier="236" item="1"/>
          <tpl fld="4" item="6"/>
        </tpls>
      </m>
      <n v="11" in="1">
        <tpls c="4">
          <tpl fld="7" item="434"/>
          <tpl fld="6" item="1"/>
          <tpl hier="236" item="1"/>
          <tpl fld="4" item="4"/>
        </tpls>
      </n>
      <n v="20" in="1">
        <tpls c="4">
          <tpl fld="7" item="540"/>
          <tpl fld="6" item="1"/>
          <tpl hier="236" item="1"/>
          <tpl fld="4" item="1"/>
        </tpls>
      </n>
      <m>
        <tpls c="4">
          <tpl fld="7" item="1238"/>
          <tpl fld="6" item="1"/>
          <tpl hier="236" item="1"/>
          <tpl fld="4" item="5"/>
        </tpls>
      </m>
      <m>
        <tpls c="4">
          <tpl fld="7" item="336"/>
          <tpl fld="6" item="2"/>
          <tpl hier="236" item="1"/>
          <tpl fld="4" item="6"/>
        </tpls>
      </m>
      <m>
        <tpls c="4">
          <tpl fld="7" item="447"/>
          <tpl fld="6" item="2"/>
          <tpl hier="236" item="1"/>
          <tpl fld="4" item="1"/>
        </tpls>
      </m>
      <m>
        <tpls c="4">
          <tpl fld="7" item="273"/>
          <tpl fld="6" item="1"/>
          <tpl hier="236" item="1"/>
          <tpl fld="4" item="5"/>
        </tpls>
      </m>
      <m>
        <tpls c="4">
          <tpl fld="7" item="385"/>
          <tpl fld="6" item="2"/>
          <tpl hier="236" item="1"/>
          <tpl fld="4" item="4"/>
        </tpls>
      </m>
      <n v="2.2000000000000002" in="2">
        <tpls c="4">
          <tpl fld="7" item="214"/>
          <tpl fld="6" item="2"/>
          <tpl hier="236" item="1"/>
          <tpl fld="4" item="1"/>
        </tpls>
      </n>
      <n v="4" in="1">
        <tpls c="4">
          <tpl fld="7" item="784"/>
          <tpl fld="6" item="1"/>
          <tpl hier="236" item="1"/>
          <tpl fld="4" item="4"/>
        </tpls>
      </n>
      <m>
        <tpls c="4">
          <tpl fld="7" item="103"/>
          <tpl fld="6" item="1"/>
          <tpl hier="236" item="1"/>
          <tpl fld="4" item="6"/>
        </tpls>
      </m>
      <m>
        <tpls c="4">
          <tpl fld="7" item="622"/>
          <tpl fld="6" item="2"/>
          <tpl hier="236" item="1"/>
          <tpl fld="4" item="6"/>
        </tpls>
      </m>
      <m>
        <tpls c="4">
          <tpl fld="7" item="579"/>
          <tpl fld="6" item="1"/>
          <tpl hier="236" item="1"/>
          <tpl fld="4" item="6"/>
        </tpls>
      </m>
      <m>
        <tpls c="4">
          <tpl fld="7" item="380"/>
          <tpl fld="6" item="2"/>
          <tpl hier="236" item="1"/>
          <tpl fld="4" item="1"/>
        </tpls>
      </m>
      <n v="6" in="1">
        <tpls c="4">
          <tpl fld="7" item="693"/>
          <tpl fld="6" item="1"/>
          <tpl hier="236" item="1"/>
          <tpl fld="4" item="4"/>
        </tpls>
      </n>
      <m>
        <tpls c="4">
          <tpl fld="7" item="1270"/>
          <tpl fld="6" item="2"/>
          <tpl hier="236" item="1"/>
          <tpl fld="1" item="0"/>
        </tpls>
      </m>
      <m>
        <tpls c="3">
          <tpl fld="7" item="703"/>
          <tpl fld="6" item="3"/>
          <tpl hier="236" item="1"/>
        </tpls>
      </m>
      <m>
        <tpls c="4">
          <tpl fld="7" item="885"/>
          <tpl fld="6" item="2"/>
          <tpl hier="236" item="1"/>
          <tpl fld="4" item="5"/>
        </tpls>
      </m>
      <n v="8" in="1">
        <tpls c="4">
          <tpl fld="7" item="573"/>
          <tpl fld="6" item="1"/>
          <tpl hier="236" item="1"/>
          <tpl fld="4" item="4"/>
        </tpls>
      </n>
      <m>
        <tpls c="4">
          <tpl fld="7" item="799"/>
          <tpl fld="6" item="1"/>
          <tpl hier="236" item="1"/>
          <tpl fld="4" item="6"/>
        </tpls>
      </m>
      <n v="39" in="1">
        <tpls c="4">
          <tpl fld="7" item="1095"/>
          <tpl fld="6" item="1"/>
          <tpl hier="236" item="1"/>
          <tpl fld="1" item="0"/>
        </tpls>
      </n>
      <n v="2" in="1">
        <tpls c="4">
          <tpl fld="7" item="550"/>
          <tpl fld="6" item="1"/>
          <tpl hier="236" item="1"/>
          <tpl fld="4" item="1"/>
        </tpls>
      </n>
      <m>
        <tpls c="4">
          <tpl fld="7" item="575"/>
          <tpl fld="6" item="2"/>
          <tpl hier="236" item="1"/>
          <tpl fld="4" item="1"/>
        </tpls>
      </m>
      <m>
        <tpls c="4">
          <tpl fld="7" item="586"/>
          <tpl fld="6" item="1"/>
          <tpl hier="236" item="1"/>
          <tpl fld="4" item="1"/>
        </tpls>
      </m>
      <n v="3" in="1">
        <tpls c="4">
          <tpl fld="7" item="728"/>
          <tpl fld="6" item="1"/>
          <tpl hier="236" item="1"/>
          <tpl fld="4" item="4"/>
        </tpls>
      </n>
      <m>
        <tpls c="4">
          <tpl fld="7" item="654"/>
          <tpl fld="6" item="1"/>
          <tpl hier="236" item="1"/>
          <tpl fld="4" item="6"/>
        </tpls>
      </m>
      <n v="2" in="1">
        <tpls c="4">
          <tpl fld="7" item="893"/>
          <tpl fld="6" item="1"/>
          <tpl hier="236" item="1"/>
          <tpl fld="1" item="0"/>
        </tpls>
      </n>
      <m>
        <tpls c="4">
          <tpl fld="7" item="746"/>
          <tpl fld="6" item="1"/>
          <tpl hier="236" item="1"/>
          <tpl fld="4" item="5"/>
        </tpls>
      </m>
      <m>
        <tpls c="4">
          <tpl fld="7" item="1006"/>
          <tpl fld="6" item="2"/>
          <tpl hier="236" item="1"/>
          <tpl fld="4" item="1"/>
        </tpls>
      </m>
      <m>
        <tpls c="3">
          <tpl fld="7" item="1194"/>
          <tpl fld="6" item="3"/>
          <tpl hier="236" item="1"/>
        </tpls>
      </m>
      <m>
        <tpls c="4">
          <tpl fld="7" item="865"/>
          <tpl fld="6" item="1"/>
          <tpl hier="236" item="1"/>
          <tpl fld="4" item="6"/>
        </tpls>
      </m>
      <m>
        <tpls c="4">
          <tpl fld="7" item="1045"/>
          <tpl fld="6" item="2"/>
          <tpl hier="236" item="1"/>
          <tpl fld="4" item="1"/>
        </tpls>
      </m>
      <m>
        <tpls c="4">
          <tpl fld="7" item="1077"/>
          <tpl fld="6" item="2"/>
          <tpl hier="236" item="1"/>
          <tpl fld="4" item="1"/>
        </tpls>
      </m>
      <m>
        <tpls c="4">
          <tpl fld="7" item="452"/>
          <tpl fld="6" item="2"/>
          <tpl hier="236" item="1"/>
          <tpl fld="1" item="0"/>
        </tpls>
      </m>
      <m>
        <tpls c="4">
          <tpl fld="7" item="284"/>
          <tpl fld="6" item="2"/>
          <tpl hier="236" item="1"/>
          <tpl fld="1" item="0"/>
        </tpls>
      </m>
      <m>
        <tpls c="4">
          <tpl fld="7" item="121"/>
          <tpl fld="6" item="2"/>
          <tpl hier="236" item="1"/>
          <tpl fld="1" item="0"/>
        </tpls>
      </m>
      <m>
        <tpls c="4">
          <tpl fld="7" item="478"/>
          <tpl fld="6" item="1"/>
          <tpl hier="236" item="1"/>
          <tpl fld="4" item="6"/>
        </tpls>
      </m>
      <n v="12" in="1">
        <tpls c="4">
          <tpl fld="7" item="1085"/>
          <tpl fld="6" item="1"/>
          <tpl hier="236" item="1"/>
          <tpl fld="4" item="4"/>
        </tpls>
      </n>
      <m>
        <tpls c="4">
          <tpl fld="7" item="340"/>
          <tpl fld="6" item="1"/>
          <tpl hier="236" item="1"/>
          <tpl fld="4" item="4"/>
        </tpls>
      </m>
      <n v="3" in="1">
        <tpls c="4">
          <tpl fld="7" item="386"/>
          <tpl fld="6" item="1"/>
          <tpl hier="236" item="1"/>
          <tpl fld="4" item="4"/>
        </tpls>
      </n>
      <n v="47" in="1">
        <tpls c="4">
          <tpl fld="7" item="424"/>
          <tpl fld="6" item="1"/>
          <tpl hier="236" item="1"/>
          <tpl fld="4" item="4"/>
        </tpls>
      </n>
      <m>
        <tpls c="4">
          <tpl fld="7" item="559"/>
          <tpl fld="6" item="1"/>
          <tpl hier="236" item="1"/>
          <tpl fld="4" item="5"/>
        </tpls>
      </m>
      <n v="3" in="1">
        <tpls c="4">
          <tpl fld="7" item="422"/>
          <tpl fld="6" item="1"/>
          <tpl hier="236" item="1"/>
          <tpl fld="4" item="4"/>
        </tpls>
      </n>
      <m>
        <tpls c="4">
          <tpl fld="7" item="784"/>
          <tpl fld="6" item="2"/>
          <tpl hier="236" item="1"/>
          <tpl fld="4" item="1"/>
        </tpls>
      </m>
      <n v="7" in="1">
        <tpls c="4">
          <tpl fld="7" item="1094"/>
          <tpl fld="6" item="1"/>
          <tpl hier="236" item="1"/>
          <tpl fld="4" item="4"/>
        </tpls>
      </n>
      <n v="1" in="3">
        <tpls c="3">
          <tpl fld="7" item="522"/>
          <tpl fld="6" item="3"/>
          <tpl hier="236" item="1"/>
        </tpls>
      </n>
      <n v="6" in="1">
        <tpls c="4">
          <tpl fld="7" item="693"/>
          <tpl fld="6" item="1"/>
          <tpl hier="236" item="1"/>
          <tpl fld="1" item="0"/>
        </tpls>
      </n>
      <m>
        <tpls c="4">
          <tpl fld="7" item="554"/>
          <tpl fld="6" item="1"/>
          <tpl hier="236" item="1"/>
          <tpl fld="4" item="6"/>
        </tpls>
      </m>
      <n v="2" in="1">
        <tpls c="4">
          <tpl fld="7" item="703"/>
          <tpl fld="6" item="1"/>
          <tpl hier="236" item="1"/>
          <tpl fld="1" item="0"/>
        </tpls>
      </n>
      <n v="2" in="1">
        <tpls c="4">
          <tpl fld="7" item="566"/>
          <tpl fld="6" item="1"/>
          <tpl hier="236" item="1"/>
          <tpl fld="4" item="5"/>
        </tpls>
      </n>
      <m>
        <tpls c="4">
          <tpl fld="7" item="573"/>
          <tpl fld="6" item="2"/>
          <tpl hier="236" item="1"/>
          <tpl fld="4" item="4"/>
        </tpls>
      </m>
      <n v="13" in="1">
        <tpls c="6">
          <tpl fld="11" item="0"/>
          <tpl fld="2" item="3"/>
          <tpl fld="6" item="1"/>
          <tpl hier="236" item="1"/>
          <tpl fld="4" item="1"/>
          <tpl fld="9" item="0"/>
        </tpls>
      </n>
      <n v="38" in="1">
        <tpls c="6">
          <tpl fld="3" item="3"/>
          <tpl fld="11" item="0"/>
          <tpl fld="6" item="1"/>
          <tpl hier="236" item="1"/>
          <tpl fld="4" item="7"/>
          <tpl fld="10" item="4"/>
        </tpls>
      </n>
      <n v="5.7199999999999989" in="2">
        <tpls c="6">
          <tpl fld="11" item="0"/>
          <tpl fld="6" item="2"/>
          <tpl fld="8" item="1"/>
          <tpl hier="236" item="1"/>
          <tpl fld="4" item="1"/>
          <tpl fld="9" item="0"/>
        </tpls>
      </n>
      <n v="0" in="1">
        <tpls c="6">
          <tpl fld="3" item="4"/>
          <tpl fld="11" item="0"/>
          <tpl fld="6" item="1"/>
          <tpl hier="236" item="1"/>
          <tpl fld="4" item="7"/>
          <tpl fld="10" item="1"/>
        </tpls>
      </n>
      <n v="8.52" in="2">
        <tpls c="6">
          <tpl fld="3" item="1"/>
          <tpl fld="11" item="0"/>
          <tpl fld="6" item="2"/>
          <tpl hier="236" item="1"/>
          <tpl fld="4" item="3"/>
          <tpl fld="10" item="5"/>
        </tpls>
      </n>
      <m>
        <tpls c="4">
          <tpl fld="7" item="592"/>
          <tpl fld="6" item="2"/>
          <tpl hier="236" item="1"/>
          <tpl fld="4" item="1"/>
        </tpls>
      </m>
      <m>
        <tpls c="4">
          <tpl fld="7" item="428"/>
          <tpl fld="6" item="2"/>
          <tpl hier="236" item="1"/>
          <tpl fld="4" item="1"/>
        </tpls>
      </m>
      <m>
        <tpls c="4">
          <tpl fld="7" item="45"/>
          <tpl fld="6" item="2"/>
          <tpl hier="236" item="1"/>
          <tpl fld="4" item="6"/>
        </tpls>
      </m>
      <m>
        <tpls c="4">
          <tpl fld="7" item="31"/>
          <tpl fld="6" item="1"/>
          <tpl hier="236" item="1"/>
          <tpl fld="4" item="4"/>
        </tpls>
      </m>
      <m>
        <tpls c="4">
          <tpl fld="7" item="489"/>
          <tpl fld="6" item="2"/>
          <tpl hier="236" item="1"/>
          <tpl fld="4" item="4"/>
        </tpls>
      </m>
      <n v="7" in="1">
        <tpls c="4">
          <tpl fld="7" item="678"/>
          <tpl fld="6" item="1"/>
          <tpl hier="236" item="1"/>
          <tpl fld="4" item="4"/>
        </tpls>
      </n>
      <n v="2.7729729729729731" in="2">
        <tpls c="4">
          <tpl fld="7" item="689"/>
          <tpl fld="6" item="2"/>
          <tpl hier="236" item="1"/>
          <tpl fld="1" item="0"/>
        </tpls>
      </n>
      <m>
        <tpls c="4">
          <tpl fld="7" item="507"/>
          <tpl fld="6" item="1"/>
          <tpl hier="236" item="1"/>
          <tpl fld="4" item="4"/>
        </tpls>
      </m>
      <n v="2265" in="1">
        <tpls c="6">
          <tpl fld="11" item="0"/>
          <tpl fld="6" item="1"/>
          <tpl fld="8" item="0"/>
          <tpl hier="236" item="1"/>
          <tpl fld="4" item="1"/>
          <tpl fld="9" item="4"/>
        </tpls>
      </n>
      <m>
        <tpls c="4">
          <tpl fld="7" item="164"/>
          <tpl fld="6" item="2"/>
          <tpl hier="236" item="1"/>
          <tpl fld="4" item="6"/>
        </tpls>
      </m>
      <m>
        <tpls c="4">
          <tpl fld="7" item="26"/>
          <tpl fld="6" item="1"/>
          <tpl hier="236" item="1"/>
          <tpl fld="4" item="4"/>
        </tpls>
      </m>
      <m>
        <tpls c="3">
          <tpl fld="7" item="754"/>
          <tpl fld="6" item="3"/>
          <tpl hier="236" item="1"/>
        </tpls>
      </m>
      <m>
        <tpls c="4">
          <tpl fld="7" item="182"/>
          <tpl fld="6" item="2"/>
          <tpl hier="236" item="1"/>
          <tpl fld="4" item="4"/>
        </tpls>
      </m>
      <m>
        <tpls c="4">
          <tpl fld="7" item="879"/>
          <tpl fld="6" item="2"/>
          <tpl hier="236" item="1"/>
          <tpl fld="4" item="4"/>
        </tpls>
      </m>
      <m>
        <tpls c="4">
          <tpl fld="7" item="183"/>
          <tpl fld="6" item="2"/>
          <tpl hier="236" item="1"/>
          <tpl fld="4" item="4"/>
        </tpls>
      </m>
      <m>
        <tpls c="4">
          <tpl fld="7" item="879"/>
          <tpl fld="6" item="2"/>
          <tpl hier="236" item="1"/>
          <tpl fld="4" item="5"/>
        </tpls>
      </m>
      <m>
        <tpls c="4">
          <tpl fld="7" item="49"/>
          <tpl fld="6" item="2"/>
          <tpl hier="236" item="1"/>
          <tpl fld="4" item="6"/>
        </tpls>
      </m>
      <m>
        <tpls c="4">
          <tpl fld="7" item="451"/>
          <tpl fld="6" item="2"/>
          <tpl hier="236" item="1"/>
          <tpl fld="4" item="1"/>
        </tpls>
      </m>
      <m>
        <tpls c="4">
          <tpl fld="7" item="592"/>
          <tpl fld="6" item="1"/>
          <tpl hier="236" item="1"/>
          <tpl fld="4" item="4"/>
        </tpls>
      </m>
      <m>
        <tpls c="4">
          <tpl fld="7" item="386"/>
          <tpl fld="6" item="2"/>
          <tpl hier="236" item="1"/>
          <tpl fld="4" item="4"/>
        </tpls>
      </m>
      <m>
        <tpls c="4">
          <tpl fld="7" item="354"/>
          <tpl fld="6" item="2"/>
          <tpl hier="236" item="1"/>
          <tpl fld="4" item="1"/>
        </tpls>
      </m>
      <m>
        <tpls c="4">
          <tpl fld="7" item="559"/>
          <tpl fld="6" item="2"/>
          <tpl hier="236" item="1"/>
          <tpl fld="4" item="5"/>
        </tpls>
      </m>
      <n v="14.325243243243246" in="2">
        <tpls c="4">
          <tpl fld="7" item="215"/>
          <tpl fld="6" item="2"/>
          <tpl hier="236" item="1"/>
          <tpl fld="4" item="1"/>
        </tpls>
      </n>
      <m>
        <tpls c="4">
          <tpl fld="7" item="784"/>
          <tpl fld="6" item="1"/>
          <tpl hier="236" item="1"/>
          <tpl fld="4" item="5"/>
        </tpls>
      </m>
      <m>
        <tpls c="4">
          <tpl fld="7" item="479"/>
          <tpl fld="6" item="1"/>
          <tpl hier="236" item="1"/>
          <tpl fld="4" item="6"/>
        </tpls>
      </m>
      <m>
        <tpls c="4">
          <tpl fld="7" item="455"/>
          <tpl fld="6" item="2"/>
          <tpl hier="236" item="1"/>
          <tpl fld="4" item="1"/>
        </tpls>
      </m>
      <m>
        <tpls c="4">
          <tpl fld="7" item="672"/>
          <tpl fld="6" item="1"/>
          <tpl hier="236" item="1"/>
          <tpl fld="4" item="6"/>
        </tpls>
      </m>
      <n v="1.9600000000000002" in="2">
        <tpls c="4">
          <tpl fld="7" item="518"/>
          <tpl fld="6" item="2"/>
          <tpl hier="236" item="1"/>
          <tpl fld="4" item="1"/>
        </tpls>
      </n>
      <m>
        <tpls c="4">
          <tpl fld="7" item="684"/>
          <tpl fld="6" item="2"/>
          <tpl hier="236" item="1"/>
          <tpl fld="1" item="0"/>
        </tpls>
      </m>
      <m>
        <tpls c="4">
          <tpl fld="7" item="769"/>
          <tpl fld="6" item="2"/>
          <tpl hier="236" item="1"/>
          <tpl fld="1" item="0"/>
        </tpls>
      </m>
      <m>
        <tpls c="4">
          <tpl fld="7" item="693"/>
          <tpl fld="6" item="1"/>
          <tpl hier="236" item="1"/>
          <tpl fld="4" item="5"/>
        </tpls>
      </m>
      <n v="0" in="1">
        <tpls c="4">
          <tpl fld="7" item="1263"/>
          <tpl fld="6" item="1"/>
          <tpl hier="236" item="1"/>
          <tpl fld="4" item="6"/>
        </tpls>
      </n>
      <m>
        <tpls c="3">
          <tpl fld="7" item="1088"/>
          <tpl fld="6" item="3"/>
          <tpl hier="236" item="1"/>
        </tpls>
      </m>
      <m>
        <tpls c="4">
          <tpl fld="7" item="781"/>
          <tpl fld="6" item="1"/>
          <tpl hier="236" item="1"/>
          <tpl fld="4" item="1"/>
        </tpls>
      </m>
      <n v="13" in="1">
        <tpls c="4">
          <tpl fld="7" item="705"/>
          <tpl fld="6" item="1"/>
          <tpl hier="236" item="1"/>
          <tpl fld="4" item="6"/>
        </tpls>
      </n>
      <n v="1" in="1">
        <tpls c="4">
          <tpl fld="7" item="572"/>
          <tpl fld="6" item="1"/>
          <tpl hier="236" item="1"/>
          <tpl fld="1" item="0"/>
        </tpls>
      </n>
      <m>
        <tpls c="4">
          <tpl fld="7" item="718"/>
          <tpl fld="6" item="2"/>
          <tpl hier="236" item="1"/>
          <tpl fld="4" item="1"/>
        </tpls>
      </m>
      <n v="1" in="1">
        <tpls c="4">
          <tpl fld="7" item="602"/>
          <tpl fld="6" item="1"/>
          <tpl hier="236" item="1"/>
          <tpl fld="4" item="6"/>
        </tpls>
      </n>
      <m>
        <tpls c="4">
          <tpl fld="7" item="775"/>
          <tpl fld="6" item="2"/>
          <tpl hier="236" item="1"/>
          <tpl fld="4" item="5"/>
        </tpls>
      </m>
      <m>
        <tpls c="4">
          <tpl fld="7" item="699"/>
          <tpl fld="6" item="2"/>
          <tpl hier="236" item="1"/>
          <tpl fld="4" item="4"/>
        </tpls>
      </m>
      <n v="1" in="2">
        <tpls c="4">
          <tpl fld="7" item="562"/>
          <tpl fld="6" item="2"/>
          <tpl hier="236" item="1"/>
          <tpl fld="1" item="0"/>
        </tpls>
      </n>
      <m>
        <tpls c="3">
          <tpl fld="7" item="712"/>
          <tpl fld="6" item="3"/>
          <tpl hier="236" item="1"/>
        </tpls>
      </m>
      <m>
        <tpls c="4">
          <tpl fld="7" item="135"/>
          <tpl fld="6" item="2"/>
          <tpl hier="236" item="1"/>
          <tpl fld="4" item="1"/>
        </tpls>
      </m>
      <m>
        <tpls c="4">
          <tpl fld="7" item="198"/>
          <tpl fld="6" item="2"/>
          <tpl hier="236" item="1"/>
          <tpl fld="4" item="4"/>
        </tpls>
      </m>
      <m>
        <tpls c="3">
          <tpl fld="7" item="482"/>
          <tpl fld="6" item="3"/>
          <tpl hier="236" item="1"/>
        </tpls>
      </m>
      <m>
        <tpls c="4">
          <tpl fld="7" item="421"/>
          <tpl fld="6" item="1"/>
          <tpl hier="236" item="1"/>
          <tpl fld="4" item="6"/>
        </tpls>
      </m>
      <m>
        <tpls c="4">
          <tpl fld="7" item="540"/>
          <tpl fld="6" item="2"/>
          <tpl hier="236" item="1"/>
          <tpl fld="4" item="5"/>
        </tpls>
      </m>
      <n v="1" in="1">
        <tpls c="4">
          <tpl fld="7" item="382"/>
          <tpl fld="6" item="1"/>
          <tpl hier="236" item="1"/>
          <tpl fld="4" item="6"/>
        </tpls>
      </n>
      <m>
        <tpls c="6">
          <tpl fld="3" item="2"/>
          <tpl fld="11" item="0"/>
          <tpl fld="6" item="1"/>
          <tpl hier="236" item="1"/>
          <tpl fld="4" item="7"/>
          <tpl fld="10" item="6"/>
        </tpls>
      </m>
      <m>
        <tpls c="4">
          <tpl fld="7" item="176"/>
          <tpl fld="6" item="2"/>
          <tpl hier="236" item="1"/>
          <tpl fld="4" item="4"/>
        </tpls>
      </m>
      <n v="2.4389189189189189" in="2">
        <tpls c="4">
          <tpl fld="7" item="213"/>
          <tpl fld="6" item="2"/>
          <tpl hier="236" item="1"/>
          <tpl fld="4" item="4"/>
        </tpls>
      </n>
      <n v="1" in="2">
        <tpls c="4">
          <tpl fld="7" item="503"/>
          <tpl fld="6" item="2"/>
          <tpl hier="236" item="1"/>
          <tpl fld="4" item="1"/>
        </tpls>
      </n>
      <n v="1" in="3">
        <tpls c="3">
          <tpl fld="7" item="762"/>
          <tpl fld="6" item="3"/>
          <tpl hier="236" item="1"/>
        </tpls>
      </n>
      <m>
        <tpls c="4">
          <tpl fld="7" item="528"/>
          <tpl fld="6" item="2"/>
          <tpl hier="236" item="1"/>
          <tpl fld="4" item="6"/>
        </tpls>
      </m>
      <m>
        <tpls c="4">
          <tpl fld="7" item="605"/>
          <tpl fld="6" item="2"/>
          <tpl hier="236" item="1"/>
          <tpl fld="1" item="0"/>
        </tpls>
      </m>
      <m>
        <tpls c="3">
          <tpl fld="7" item="688"/>
          <tpl fld="6" item="3"/>
          <tpl hier="236" item="1"/>
        </tpls>
      </m>
      <m>
        <tpls c="4">
          <tpl fld="7" item="774"/>
          <tpl fld="6" item="1"/>
          <tpl hier="236" item="1"/>
          <tpl fld="4" item="5"/>
        </tpls>
      </m>
      <n v="1" in="3">
        <tpls c="3">
          <tpl fld="7" item="500"/>
          <tpl fld="6" item="3"/>
          <tpl hier="236" item="1"/>
        </tpls>
      </n>
      <m>
        <tpls c="4">
          <tpl fld="7" item="607"/>
          <tpl fld="6" item="2"/>
          <tpl hier="236" item="1"/>
          <tpl fld="4" item="5"/>
        </tpls>
      </m>
      <m>
        <tpls c="4">
          <tpl fld="7" item="548"/>
          <tpl fld="6" item="1"/>
          <tpl hier="236" item="1"/>
          <tpl fld="4" item="5"/>
        </tpls>
      </m>
      <m>
        <tpls c="4">
          <tpl fld="7" item="1270"/>
          <tpl fld="6" item="1"/>
          <tpl hier="236" item="1"/>
          <tpl fld="4" item="1"/>
        </tpls>
      </m>
      <m>
        <tpls c="4">
          <tpl fld="7" item="703"/>
          <tpl fld="6" item="1"/>
          <tpl hier="236" item="1"/>
          <tpl fld="4" item="4"/>
        </tpls>
      </m>
      <m>
        <tpls c="4">
          <tpl fld="7" item="885"/>
          <tpl fld="6" item="2"/>
          <tpl hier="236" item="1"/>
          <tpl fld="4" item="6"/>
        </tpls>
      </m>
      <m>
        <tpls c="4">
          <tpl fld="7" item="633"/>
          <tpl fld="6" item="2"/>
          <tpl hier="236" item="1"/>
          <tpl fld="4" item="5"/>
        </tpls>
      </m>
      <m>
        <tpls c="4">
          <tpl fld="7" item="799"/>
          <tpl fld="6" item="2"/>
          <tpl hier="236" item="1"/>
          <tpl fld="4" item="1"/>
        </tpls>
      </m>
      <m>
        <tpls c="3">
          <tpl fld="7" item="497"/>
          <tpl fld="6" item="3"/>
          <tpl hier="236" item="1"/>
        </tpls>
      </m>
      <m>
        <tpls c="4">
          <tpl fld="7" item="537"/>
          <tpl fld="6" item="2"/>
          <tpl hier="236" item="1"/>
          <tpl fld="4" item="4"/>
        </tpls>
      </m>
      <n v="0.55999999999999994" in="2">
        <tpls c="4">
          <tpl fld="7" item="694"/>
          <tpl fld="6" item="2"/>
          <tpl hier="236" item="1"/>
          <tpl fld="4" item="1"/>
        </tpls>
      </n>
      <m>
        <tpls c="4">
          <tpl fld="7" item="780"/>
          <tpl fld="6" item="2"/>
          <tpl hier="236" item="1"/>
          <tpl fld="4" item="4"/>
        </tpls>
      </m>
      <m>
        <tpls c="4">
          <tpl fld="7" item="1187"/>
          <tpl fld="6" item="2"/>
          <tpl hier="236" item="1"/>
          <tpl fld="4" item="6"/>
        </tpls>
      </m>
      <n v="2" in="1">
        <tpls c="4">
          <tpl fld="7" item="707"/>
          <tpl fld="6" item="1"/>
          <tpl hier="236" item="1"/>
          <tpl fld="4" item="1"/>
        </tpls>
      </n>
      <m>
        <tpls c="4">
          <tpl fld="7" item="990"/>
          <tpl fld="6" item="1"/>
          <tpl hier="236" item="1"/>
          <tpl fld="4" item="5"/>
        </tpls>
      </m>
      <n v="2" in="1">
        <tpls c="4">
          <tpl fld="7" item="637"/>
          <tpl fld="6" item="1"/>
          <tpl hier="236" item="1"/>
          <tpl fld="4" item="1"/>
        </tpls>
      </n>
      <m>
        <tpls c="3">
          <tpl fld="7" item="498"/>
          <tpl fld="6" item="3"/>
          <tpl hier="236" item="1"/>
        </tpls>
      </m>
      <m>
        <tpls c="3">
          <tpl fld="7" item="768"/>
          <tpl fld="6" item="3"/>
          <tpl hier="236" item="1"/>
        </tpls>
      </m>
      <n v="11" in="1">
        <tpls c="4">
          <tpl fld="7" item="694"/>
          <tpl fld="6" item="1"/>
          <tpl hier="236" item="1"/>
          <tpl fld="1" item="0"/>
        </tpls>
      </n>
      <m>
        <tpls c="4">
          <tpl fld="7" item="259"/>
          <tpl fld="6" item="1"/>
          <tpl hier="236" item="1"/>
          <tpl fld="1" item="0"/>
        </tpls>
      </m>
      <m>
        <tpls c="4">
          <tpl fld="7" item="323"/>
          <tpl fld="6" item="2"/>
          <tpl hier="236" item="1"/>
          <tpl fld="4" item="4"/>
        </tpls>
      </m>
      <m>
        <tpls c="4">
          <tpl fld="7" item="333"/>
          <tpl fld="6" item="1"/>
          <tpl hier="236" item="1"/>
          <tpl fld="4" item="6"/>
        </tpls>
      </m>
      <m>
        <tpls c="4">
          <tpl fld="7" item="520"/>
          <tpl fld="6" item="2"/>
          <tpl hier="236" item="1"/>
          <tpl fld="4" item="1"/>
        </tpls>
      </m>
      <m>
        <tpls c="4">
          <tpl fld="7" item="135"/>
          <tpl fld="6" item="2"/>
          <tpl hier="236" item="1"/>
          <tpl fld="4" item="4"/>
        </tpls>
      </m>
      <m>
        <tpls c="4">
          <tpl fld="7" item="700"/>
          <tpl fld="6" item="2"/>
          <tpl hier="236" item="1"/>
          <tpl fld="4" item="4"/>
        </tpls>
      </m>
      <n v="13.644864864864866" in="2">
        <tpls c="6">
          <tpl fld="11" item="0"/>
          <tpl fld="6" item="2"/>
          <tpl fld="8" item="1"/>
          <tpl hier="236" item="1"/>
          <tpl fld="4" item="6"/>
          <tpl fld="10" item="4"/>
        </tpls>
      </n>
      <m>
        <tpls c="4">
          <tpl fld="7" item="620"/>
          <tpl fld="6" item="1"/>
          <tpl hier="236" item="1"/>
          <tpl fld="4" item="4"/>
        </tpls>
      </m>
      <m>
        <tpls c="4">
          <tpl fld="7" item="578"/>
          <tpl fld="6" item="2"/>
          <tpl hier="236" item="1"/>
          <tpl fld="4" item="6"/>
        </tpls>
      </m>
      <m>
        <tpls c="4">
          <tpl fld="7" item="442"/>
          <tpl fld="6" item="1"/>
          <tpl hier="236" item="1"/>
          <tpl fld="4" item="4"/>
        </tpls>
      </m>
      <n v="1" in="1">
        <tpls c="4">
          <tpl fld="7" item="545"/>
          <tpl fld="6" item="1"/>
          <tpl hier="236" item="1"/>
          <tpl fld="4" item="1"/>
        </tpls>
      </n>
      <n v="7" in="1">
        <tpls c="4">
          <tpl fld="7" item="698"/>
          <tpl fld="6" item="1"/>
          <tpl hier="236" item="1"/>
          <tpl fld="4" item="4"/>
        </tpls>
      </n>
      <m>
        <tpls c="4">
          <tpl fld="7" item="559"/>
          <tpl fld="6" item="1"/>
          <tpl hier="236" item="1"/>
          <tpl fld="4" item="6"/>
        </tpls>
      </m>
      <m>
        <tpls c="4">
          <tpl fld="7" item="627"/>
          <tpl fld="6" item="2"/>
          <tpl hier="236" item="1"/>
          <tpl fld="4" item="5"/>
        </tpls>
      </m>
      <m>
        <tpls c="4">
          <tpl fld="7" item="794"/>
          <tpl fld="6" item="2"/>
          <tpl hier="236" item="1"/>
          <tpl fld="4" item="1"/>
        </tpls>
      </m>
      <m>
        <tpls c="4">
          <tpl fld="7" item="578"/>
          <tpl fld="6" item="2"/>
          <tpl hier="236" item="1"/>
          <tpl fld="4" item="4"/>
        </tpls>
      </m>
      <m>
        <tpls c="4">
          <tpl fld="7" item="721"/>
          <tpl fld="6" item="2"/>
          <tpl hier="236" item="1"/>
          <tpl fld="4" item="6"/>
        </tpls>
      </m>
      <m>
        <tpls c="4">
          <tpl fld="7" item="1088"/>
          <tpl fld="6" item="2"/>
          <tpl hier="236" item="1"/>
          <tpl fld="4" item="1"/>
        </tpls>
      </m>
      <m>
        <tpls c="4">
          <tpl fld="7" item="572"/>
          <tpl fld="6" item="1"/>
          <tpl hier="236" item="1"/>
          <tpl fld="4" item="5"/>
        </tpls>
      </m>
      <m>
        <tpls c="3">
          <tpl fld="7" item="722"/>
          <tpl fld="6" item="3"/>
          <tpl hier="236" item="1"/>
        </tpls>
      </m>
      <m>
        <tpls c="4">
          <tpl fld="7" item="809"/>
          <tpl fld="6" item="2"/>
          <tpl hier="236" item="1"/>
          <tpl fld="4" item="1"/>
        </tpls>
      </m>
      <m>
        <tpls c="4">
          <tpl fld="7" item="733"/>
          <tpl fld="6" item="2"/>
          <tpl hier="236" item="1"/>
          <tpl fld="4" item="4"/>
        </tpls>
      </m>
      <m>
        <tpls c="4">
          <tpl fld="7" item="659"/>
          <tpl fld="6" item="2"/>
          <tpl hier="236" item="1"/>
          <tpl fld="4" item="6"/>
        </tpls>
      </m>
      <m>
        <tpls c="4">
          <tpl fld="7" item="745"/>
          <tpl fld="6" item="1"/>
          <tpl hier="236" item="1"/>
          <tpl fld="4" item="5"/>
        </tpls>
      </m>
      <m>
        <tpls c="4">
          <tpl fld="7" item="901"/>
          <tpl fld="6" item="2"/>
          <tpl hier="236" item="1"/>
          <tpl fld="4" item="4"/>
        </tpls>
      </m>
      <m>
        <tpls c="4">
          <tpl fld="7" item="1265"/>
          <tpl fld="6" item="1"/>
          <tpl hier="236" item="1"/>
          <tpl fld="4" item="4"/>
        </tpls>
      </m>
      <m>
        <tpls c="4">
          <tpl fld="7" item="1024"/>
          <tpl fld="6" item="2"/>
          <tpl hier="236" item="1"/>
          <tpl fld="4" item="1"/>
        </tpls>
      </m>
      <m>
        <tpls c="4">
          <tpl fld="7" item="1041"/>
          <tpl fld="6" item="2"/>
          <tpl hier="236" item="1"/>
          <tpl fld="4" item="1"/>
        </tpls>
      </m>
      <m>
        <tpls c="4">
          <tpl fld="7" item="1073"/>
          <tpl fld="6" item="2"/>
          <tpl hier="236" item="1"/>
          <tpl fld="4" item="1"/>
        </tpls>
      </m>
      <m>
        <tpls c="4">
          <tpl fld="7" item="312"/>
          <tpl fld="6" item="2"/>
          <tpl hier="236" item="1"/>
          <tpl fld="1" item="0"/>
        </tpls>
      </m>
      <m>
        <tpls c="4">
          <tpl fld="7" item="292"/>
          <tpl fld="6" item="2"/>
          <tpl hier="236" item="1"/>
          <tpl fld="1" item="0"/>
        </tpls>
      </m>
      <m>
        <tpls c="4">
          <tpl fld="7" item="236"/>
          <tpl fld="6" item="2"/>
          <tpl hier="236" item="1"/>
          <tpl fld="1" item="0"/>
        </tpls>
      </m>
      <m>
        <tpls c="4">
          <tpl fld="7" item="267"/>
          <tpl fld="6" item="1"/>
          <tpl hier="236" item="1"/>
          <tpl fld="1" item="0"/>
        </tpls>
      </m>
      <n v="1" in="1">
        <tpls c="4">
          <tpl fld="7" item="495"/>
          <tpl fld="6" item="1"/>
          <tpl hier="236" item="1"/>
          <tpl fld="4" item="6"/>
        </tpls>
      </n>
      <m>
        <tpls c="4">
          <tpl fld="7" item="334"/>
          <tpl fld="6" item="1"/>
          <tpl hier="236" item="1"/>
          <tpl fld="4" item="6"/>
        </tpls>
      </m>
      <n v="1" in="3">
        <tpls c="3">
          <tpl fld="7" item="1085"/>
          <tpl fld="6" item="3"/>
          <tpl hier="236" item="1"/>
        </tpls>
      </n>
      <m>
        <tpls c="4">
          <tpl fld="7" item="148"/>
          <tpl fld="6" item="1"/>
          <tpl hier="236" item="1"/>
          <tpl fld="4" item="4"/>
        </tpls>
      </m>
      <m>
        <tpls c="4">
          <tpl fld="7" item="556"/>
          <tpl fld="6" item="2"/>
          <tpl hier="236" item="1"/>
          <tpl fld="4" item="5"/>
        </tpls>
      </m>
      <m>
        <tpls c="4">
          <tpl fld="7" item="136"/>
          <tpl fld="6" item="1"/>
          <tpl hier="236" item="1"/>
          <tpl fld="4" item="4"/>
        </tpls>
      </m>
      <m>
        <tpls c="4">
          <tpl fld="7" item="700"/>
          <tpl fld="6" item="1"/>
          <tpl hier="236" item="1"/>
          <tpl fld="4" item="5"/>
        </tpls>
      </m>
      <m>
        <tpls c="4">
          <tpl fld="7" item="637"/>
          <tpl fld="6" item="1"/>
          <tpl hier="236" item="1"/>
          <tpl fld="4" item="4"/>
        </tpls>
      </m>
      <n v="1" in="2">
        <tpls c="4">
          <tpl fld="7" item="372"/>
          <tpl fld="6" item="2"/>
          <tpl hier="236" item="1"/>
          <tpl fld="4" item="1"/>
        </tpls>
      </n>
      <m>
        <tpls c="4">
          <tpl fld="7" item="692"/>
          <tpl fld="6" item="2"/>
          <tpl hier="236" item="1"/>
          <tpl fld="4" item="6"/>
        </tpls>
      </m>
      <m>
        <tpls c="4">
          <tpl fld="7" item="698"/>
          <tpl fld="6" item="2"/>
          <tpl hier="236" item="1"/>
          <tpl fld="4" item="4"/>
        </tpls>
      </m>
      <m>
        <tpls c="4">
          <tpl fld="7" item="559"/>
          <tpl fld="6" item="2"/>
          <tpl hier="236" item="1"/>
          <tpl fld="4" item="6"/>
        </tpls>
      </m>
      <m>
        <tpls c="4">
          <tpl fld="7" item="565"/>
          <tpl fld="6" item="1"/>
          <tpl hier="236" item="1"/>
          <tpl fld="4" item="5"/>
        </tpls>
      </m>
      <n v="1" in="1">
        <tpls c="4">
          <tpl fld="7" item="794"/>
          <tpl fld="6" item="1"/>
          <tpl hier="236" item="1"/>
          <tpl fld="4" item="5"/>
        </tpls>
      </n>
      <m>
        <tpls c="4">
          <tpl fld="7" item="578"/>
          <tpl fld="6" item="1"/>
          <tpl hier="236" item="1"/>
          <tpl fld="4" item="1"/>
        </tpls>
      </m>
      <n v="12" in="1">
        <tpls c="4">
          <tpl fld="7" item="584"/>
          <tpl fld="6" item="1"/>
          <tpl hier="236" item="1"/>
          <tpl fld="4" item="4"/>
        </tpls>
      </n>
      <m>
        <tpls c="4">
          <tpl fld="7" item="614"/>
          <tpl fld="6" item="1"/>
          <tpl hier="236" item="1"/>
          <tpl fld="1" item="0"/>
        </tpls>
      </m>
      <m>
        <tpls c="4">
          <tpl fld="7" item="794"/>
          <tpl fld="6" item="2"/>
          <tpl hier="236" item="1"/>
          <tpl fld="1" item="0"/>
        </tpls>
      </m>
      <m>
        <tpls c="4">
          <tpl fld="7" item="722"/>
          <tpl fld="6" item="2"/>
          <tpl hier="236" item="1"/>
          <tpl fld="4" item="6"/>
        </tpls>
      </m>
      <m>
        <tpls c="4">
          <tpl fld="7" item="809"/>
          <tpl fld="6" item="1"/>
          <tpl hier="236" item="1"/>
          <tpl fld="4" item="5"/>
        </tpls>
      </m>
      <n v="4" in="1">
        <tpls c="4">
          <tpl fld="7" item="733"/>
          <tpl fld="6" item="1"/>
          <tpl hier="236" item="1"/>
          <tpl fld="4" item="1"/>
        </tpls>
      </n>
      <m>
        <tpls c="4">
          <tpl fld="7" item="739"/>
          <tpl fld="6" item="1"/>
          <tpl hier="236" item="1"/>
          <tpl fld="4" item="4"/>
        </tpls>
      </m>
      <m>
        <tpls c="4">
          <tpl fld="7" item="745"/>
          <tpl fld="6" item="2"/>
          <tpl hier="236" item="1"/>
          <tpl fld="4" item="5"/>
        </tpls>
      </m>
      <m>
        <tpls c="4">
          <tpl fld="7" item="838"/>
          <tpl fld="6" item="1"/>
          <tpl hier="236" item="1"/>
          <tpl fld="4" item="6"/>
        </tpls>
      </m>
      <m>
        <tpls c="4">
          <tpl fld="7" item="1265"/>
          <tpl fld="6" item="2"/>
          <tpl hier="236" item="1"/>
          <tpl fld="4" item="4"/>
        </tpls>
      </m>
      <n v="1" in="1">
        <tpls c="4">
          <tpl fld="7" item="1127"/>
          <tpl fld="6" item="1"/>
          <tpl hier="236" item="1"/>
          <tpl fld="4" item="4"/>
        </tpls>
      </n>
      <m>
        <tpls c="4">
          <tpl fld="7" item="1252"/>
          <tpl fld="6" item="2"/>
          <tpl hier="236" item="1"/>
          <tpl fld="4" item="1"/>
        </tpls>
      </m>
      <m>
        <tpls c="4">
          <tpl fld="7" item="1260"/>
          <tpl fld="6" item="2"/>
          <tpl hier="236" item="1"/>
          <tpl fld="4" item="1"/>
        </tpls>
      </m>
      <m>
        <tpls c="4">
          <tpl fld="7" item="308"/>
          <tpl fld="6" item="2"/>
          <tpl hier="236" item="1"/>
          <tpl fld="1" item="0"/>
        </tpls>
      </m>
      <m>
        <tpls c="4">
          <tpl fld="7" item="291"/>
          <tpl fld="6" item="2"/>
          <tpl hier="236" item="1"/>
          <tpl fld="1" item="0"/>
        </tpls>
      </m>
      <m>
        <tpls c="4">
          <tpl fld="7" item="235"/>
          <tpl fld="6" item="2"/>
          <tpl hier="236" item="1"/>
          <tpl fld="1" item="0"/>
        </tpls>
      </m>
      <m>
        <tpls c="4">
          <tpl fld="7" item="227"/>
          <tpl fld="6" item="2"/>
          <tpl hier="236" item="1"/>
          <tpl fld="4" item="1"/>
        </tpls>
      </m>
      <m>
        <tpls c="4">
          <tpl fld="7" item="326"/>
          <tpl fld="6" item="1"/>
          <tpl hier="236" item="1"/>
          <tpl fld="1" item="0"/>
        </tpls>
      </m>
      <n v="0" in="1">
        <tpls c="4">
          <tpl fld="7" item="316"/>
          <tpl fld="6" item="1"/>
          <tpl hier="236" item="1"/>
          <tpl fld="4" item="4"/>
        </tpls>
      </n>
      <m>
        <tpls c="4">
          <tpl fld="7" item="433"/>
          <tpl fld="6" item="2"/>
          <tpl hier="236" item="1"/>
          <tpl fld="4" item="1"/>
        </tpls>
      </m>
      <m>
        <tpls c="4">
          <tpl fld="7" item="338"/>
          <tpl fld="6" item="2"/>
          <tpl hier="236" item="1"/>
          <tpl fld="4" item="6"/>
        </tpls>
      </m>
      <n v="1" in="2">
        <tpls c="4">
          <tpl fld="7" item="683"/>
          <tpl fld="6" item="2"/>
          <tpl hier="236" item="1"/>
          <tpl fld="4" item="4"/>
        </tpls>
      </n>
      <n v="1" in="1">
        <tpls c="4">
          <tpl fld="7" item="1237"/>
          <tpl fld="6" item="1"/>
          <tpl hier="236" item="1"/>
          <tpl fld="4" item="4"/>
        </tpls>
      </n>
      <m>
        <tpls c="4">
          <tpl fld="7" item="1090"/>
          <tpl fld="6" item="1"/>
          <tpl hier="236" item="1"/>
          <tpl fld="4" item="4"/>
        </tpls>
      </m>
      <n v="15" in="1">
        <tpls c="4">
          <tpl fld="7" item="878"/>
          <tpl fld="6" item="1"/>
          <tpl hier="236" item="1"/>
          <tpl fld="4" item="4"/>
        </tpls>
      </n>
      <n v="12" in="1">
        <tpls c="4">
          <tpl fld="7" item="607"/>
          <tpl fld="6" item="1"/>
          <tpl hier="236" item="1"/>
          <tpl fld="4" item="4"/>
        </tpls>
      </n>
      <m>
        <tpls c="4">
          <tpl fld="7" item="699"/>
          <tpl fld="6" item="1"/>
          <tpl hier="236" item="1"/>
          <tpl fld="4" item="6"/>
        </tpls>
      </m>
      <m>
        <tpls c="4">
          <tpl fld="7" item="448"/>
          <tpl fld="6" item="2"/>
          <tpl hier="236" item="1"/>
          <tpl fld="4" item="4"/>
        </tpls>
      </m>
      <n v="1" in="1">
        <tpls c="4">
          <tpl fld="7" item="571"/>
          <tpl fld="6" item="1"/>
          <tpl hier="236" item="1"/>
          <tpl fld="4" item="6"/>
        </tpls>
      </n>
      <m>
        <tpls c="3">
          <tpl fld="7" item="205"/>
          <tpl fld="6" item="3"/>
          <tpl hier="236" item="1"/>
        </tpls>
      </m>
      <m>
        <tpls c="4">
          <tpl fld="7" item="173"/>
          <tpl fld="6" item="1"/>
          <tpl hier="236" item="1"/>
          <tpl fld="4" item="4"/>
        </tpls>
      </m>
      <n v="5" in="1">
        <tpls c="4">
          <tpl fld="7" item="765"/>
          <tpl fld="6" item="1"/>
          <tpl hier="236" item="1"/>
          <tpl fld="4" item="1"/>
        </tpls>
      </n>
      <m>
        <tpls c="4">
          <tpl fld="7" item="877"/>
          <tpl fld="6" item="1"/>
          <tpl hier="236" item="1"/>
          <tpl fld="4" item="6"/>
        </tpls>
      </m>
      <m>
        <tpls c="4">
          <tpl fld="7" item="1187"/>
          <tpl fld="6" item="1"/>
          <tpl hier="236" item="1"/>
          <tpl fld="1" item="0"/>
        </tpls>
      </m>
      <n v="25" in="1">
        <tpls c="4">
          <tpl fld="7" item="595"/>
          <tpl fld="6" item="1"/>
          <tpl hier="236" item="1"/>
          <tpl fld="4" item="6"/>
        </tpls>
      </n>
      <m>
        <tpls c="3">
          <tpl fld="7" item="559"/>
          <tpl fld="6" item="3"/>
          <tpl hier="236" item="1"/>
        </tpls>
      </m>
      <n v="20" in="1">
        <tpls c="4">
          <tpl fld="7" item="675"/>
          <tpl fld="6" item="1"/>
          <tpl hier="236" item="1"/>
          <tpl fld="4" item="6"/>
        </tpls>
      </n>
      <m>
        <tpls c="4">
          <tpl fld="7" item="183"/>
          <tpl fld="6" item="1"/>
          <tpl hier="236" item="1"/>
          <tpl fld="4" item="4"/>
        </tpls>
      </m>
      <m>
        <tpls c="4">
          <tpl fld="7" item="619"/>
          <tpl fld="6" item="1"/>
          <tpl hier="236" item="1"/>
          <tpl fld="1" item="0"/>
        </tpls>
      </m>
      <n v="1" in="1">
        <tpls c="4">
          <tpl fld="7" item="438"/>
          <tpl fld="6" item="1"/>
          <tpl hier="236" item="1"/>
          <tpl fld="4" item="4"/>
        </tpls>
      </n>
      <n v="0.76" in="2">
        <tpls c="4">
          <tpl fld="7" item="1213"/>
          <tpl fld="6" item="2"/>
          <tpl hier="236" item="1"/>
          <tpl fld="4" item="1"/>
        </tpls>
      </n>
      <m>
        <tpls c="4">
          <tpl fld="7" item="692"/>
          <tpl fld="6" item="2"/>
          <tpl hier="236" item="1"/>
          <tpl fld="4" item="5"/>
        </tpls>
      </m>
      <m>
        <tpls c="4">
          <tpl fld="7" item="995"/>
          <tpl fld="6" item="2"/>
          <tpl hier="236" item="1"/>
          <tpl fld="1" item="0"/>
        </tpls>
      </m>
      <m>
        <tpls c="4">
          <tpl fld="7" item="910"/>
          <tpl fld="6" item="2"/>
          <tpl hier="236" item="1"/>
          <tpl fld="4" item="4"/>
        </tpls>
      </m>
      <m>
        <tpls c="4">
          <tpl fld="7" item="896"/>
          <tpl fld="6" item="2"/>
          <tpl hier="236" item="1"/>
          <tpl fld="1" item="0"/>
        </tpls>
      </m>
      <m>
        <tpls c="4">
          <tpl fld="7" item="304"/>
          <tpl fld="6" item="1"/>
          <tpl hier="236" item="1"/>
          <tpl fld="4" item="4"/>
        </tpls>
      </m>
      <m>
        <tpls c="4">
          <tpl fld="7" item="781"/>
          <tpl fld="6" item="1"/>
          <tpl hier="236" item="1"/>
          <tpl fld="4" item="4"/>
        </tpls>
      </m>
      <m>
        <tpls c="4">
          <tpl fld="7" item="368"/>
          <tpl fld="6" item="2"/>
          <tpl hier="236" item="1"/>
          <tpl fld="4" item="1"/>
        </tpls>
      </m>
      <n v="2" in="1">
        <tpls c="4">
          <tpl fld="7" item="1213"/>
          <tpl fld="6" item="1"/>
          <tpl hier="236" item="1"/>
          <tpl fld="4" item="5"/>
        </tpls>
      </n>
      <m>
        <tpls c="4">
          <tpl fld="7" item="1188"/>
          <tpl fld="6" item="2"/>
          <tpl hier="236" item="1"/>
          <tpl fld="1" item="0"/>
        </tpls>
      </m>
      <n v="47" in="1">
        <tpls c="4">
          <tpl fld="7" item="541"/>
          <tpl fld="6" item="1"/>
          <tpl hier="236" item="1"/>
          <tpl fld="1" item="0"/>
        </tpls>
      </n>
      <m>
        <tpls c="4">
          <tpl fld="7" item="1276"/>
          <tpl fld="6" item="1"/>
          <tpl hier="236" item="1"/>
          <tpl fld="1" item="0"/>
        </tpls>
      </m>
      <m>
        <tpls c="4">
          <tpl fld="7" item="588"/>
          <tpl fld="6" item="2"/>
          <tpl hier="236" item="1"/>
          <tpl fld="4" item="4"/>
        </tpls>
      </m>
      <m>
        <tpls c="4">
          <tpl fld="7" item="732"/>
          <tpl fld="6" item="2"/>
          <tpl hier="236" item="1"/>
          <tpl fld="4" item="4"/>
        </tpls>
      </m>
      <m>
        <tpls c="4">
          <tpl fld="7" item="893"/>
          <tpl fld="6" item="2"/>
          <tpl hier="236" item="1"/>
          <tpl fld="1" item="0"/>
        </tpls>
      </m>
      <m>
        <tpls c="4">
          <tpl fld="7" item="749"/>
          <tpl fld="6" item="2"/>
          <tpl hier="236" item="1"/>
          <tpl fld="4" item="4"/>
        </tpls>
      </m>
      <m>
        <tpls c="4">
          <tpl fld="7" item="909"/>
          <tpl fld="6" item="2"/>
          <tpl hier="236" item="1"/>
          <tpl fld="4" item="1"/>
        </tpls>
      </m>
      <m>
        <tpls c="3">
          <tpl fld="7" item="1128"/>
          <tpl fld="6" item="3"/>
          <tpl hier="236" item="1"/>
        </tpls>
      </m>
      <m>
        <tpls c="4">
          <tpl fld="7" item="1204"/>
          <tpl fld="6" item="2"/>
          <tpl hier="236" item="1"/>
          <tpl fld="4" item="1"/>
        </tpls>
      </m>
      <m>
        <tpls c="4">
          <tpl fld="7" item="1005"/>
          <tpl fld="6" item="2"/>
          <tpl hier="236" item="1"/>
          <tpl fld="1" item="0"/>
        </tpls>
      </m>
      <m>
        <tpls c="4">
          <tpl fld="7" item="283"/>
          <tpl fld="6" item="2"/>
          <tpl hier="236" item="1"/>
          <tpl fld="1" item="0"/>
        </tpls>
      </m>
      <m>
        <tpls c="4">
          <tpl fld="7" item="483"/>
          <tpl fld="6" item="1"/>
          <tpl hier="236" item="1"/>
          <tpl fld="4" item="6"/>
        </tpls>
      </m>
      <m>
        <tpls c="4">
          <tpl fld="7" item="418"/>
          <tpl fld="6" item="2"/>
          <tpl hier="236" item="1"/>
          <tpl fld="4" item="4"/>
        </tpls>
      </m>
      <n v="6" in="1">
        <tpls c="4">
          <tpl fld="7" item="536"/>
          <tpl fld="6" item="1"/>
          <tpl hier="236" item="1"/>
          <tpl fld="1" item="0"/>
        </tpls>
      </n>
      <n v="1" in="3">
        <tpls c="3">
          <tpl fld="7" item="1237"/>
          <tpl fld="6" item="3"/>
          <tpl hier="236" item="1"/>
        </tpls>
      </n>
      <n v="1" in="1">
        <tpls c="4">
          <tpl fld="7" item="610"/>
          <tpl fld="6" item="1"/>
          <tpl hier="236" item="1"/>
          <tpl fld="4" item="1"/>
        </tpls>
      </n>
      <m>
        <tpls c="4">
          <tpl fld="7" item="778"/>
          <tpl fld="6" item="1"/>
          <tpl hier="236" item="1"/>
          <tpl fld="4" item="4"/>
        </tpls>
      </m>
      <m>
        <tpls c="4">
          <tpl fld="7" item="635"/>
          <tpl fld="6" item="2"/>
          <tpl hier="236" item="1"/>
          <tpl fld="4" item="4"/>
        </tpls>
      </m>
      <m>
        <tpls c="4">
          <tpl fld="7" item="616"/>
          <tpl fld="6" item="2"/>
          <tpl hier="236" item="1"/>
          <tpl fld="4" item="6"/>
        </tpls>
      </m>
      <m>
        <tpls c="4">
          <tpl fld="7" item="1276"/>
          <tpl fld="6" item="1"/>
          <tpl hier="236" item="1"/>
          <tpl fld="4" item="4"/>
        </tpls>
      </m>
      <n v="1.64" in="2">
        <tpls c="4">
          <tpl fld="7" item="356"/>
          <tpl fld="6" item="2"/>
          <tpl hier="236" item="1"/>
          <tpl fld="4" item="1"/>
        </tpls>
      </n>
      <m>
        <tpls c="3">
          <tpl fld="7" item="690"/>
          <tpl fld="6" item="3"/>
          <tpl hier="236" item="1"/>
        </tpls>
      </m>
      <m>
        <tpls c="4">
          <tpl fld="7" item="617"/>
          <tpl fld="6" item="2"/>
          <tpl hier="236" item="1"/>
          <tpl fld="4" item="5"/>
        </tpls>
      </m>
      <m>
        <tpls c="3">
          <tpl fld="7" item="1090"/>
          <tpl fld="6" item="3"/>
          <tpl hier="236" item="1"/>
        </tpls>
      </m>
      <n v="1" in="1">
        <tpls c="4">
          <tpl fld="7" item="626"/>
          <tpl fld="6" item="1"/>
          <tpl hier="236" item="1"/>
          <tpl fld="4" item="5"/>
        </tpls>
      </n>
      <n v="2" in="1">
        <tpls c="4">
          <tpl fld="7" item="571"/>
          <tpl fld="6" item="1"/>
          <tpl hier="236" item="1"/>
          <tpl fld="4" item="4"/>
        </tpls>
      </n>
      <m>
        <tpls c="4">
          <tpl fld="7" item="636"/>
          <tpl fld="6" item="1"/>
          <tpl hier="236" item="1"/>
          <tpl fld="4" item="6"/>
        </tpls>
      </m>
      <m>
        <tpls c="4">
          <tpl fld="7" item="720"/>
          <tpl fld="6" item="1"/>
          <tpl hier="236" item="1"/>
          <tpl fld="1" item="0"/>
        </tpls>
      </m>
      <n v="9" in="1">
        <tpls c="4">
          <tpl fld="7" item="538"/>
          <tpl fld="6" item="1"/>
          <tpl hier="236" item="1"/>
          <tpl fld="4" item="4"/>
        </tpls>
      </n>
      <m>
        <tpls c="4">
          <tpl fld="7" item="789"/>
          <tpl fld="6" item="2"/>
          <tpl hier="236" item="1"/>
          <tpl fld="1" item="0"/>
        </tpls>
      </m>
      <m>
        <tpls c="4">
          <tpl fld="7" item="641"/>
          <tpl fld="6" item="2"/>
          <tpl hier="236" item="1"/>
          <tpl fld="4" item="4"/>
        </tpls>
      </m>
      <n v="6" in="1">
        <tpls c="4">
          <tpl fld="7" item="726"/>
          <tpl fld="6" item="1"/>
          <tpl hier="236" item="1"/>
          <tpl fld="4" item="4"/>
        </tpls>
      </n>
      <m>
        <tpls c="4">
          <tpl fld="7" item="652"/>
          <tpl fld="6" item="1"/>
          <tpl hier="236" item="1"/>
          <tpl fld="4" item="6"/>
        </tpls>
      </m>
      <m>
        <tpls c="4">
          <tpl fld="7" item="1099"/>
          <tpl fld="6" item="1"/>
          <tpl hier="236" item="1"/>
          <tpl fld="1" item="0"/>
        </tpls>
      </m>
      <m>
        <tpls c="4">
          <tpl fld="7" item="825"/>
          <tpl fld="6" item="2"/>
          <tpl hier="236" item="1"/>
          <tpl fld="4" item="5"/>
        </tpls>
      </m>
      <m>
        <tpls c="4">
          <tpl fld="7" item="835"/>
          <tpl fld="6" item="1"/>
          <tpl hier="236" item="1"/>
          <tpl fld="4" item="6"/>
        </tpls>
      </m>
      <m>
        <tpls c="4">
          <tpl fld="7" item="1115"/>
          <tpl fld="6" item="2"/>
          <tpl hier="236" item="1"/>
          <tpl fld="4" item="4"/>
        </tpls>
      </m>
      <n v="3" in="1">
        <tpls c="4">
          <tpl fld="7" item="1022"/>
          <tpl fld="6" item="1"/>
          <tpl hier="236" item="1"/>
          <tpl fld="4" item="4"/>
        </tpls>
      </n>
      <m>
        <tpls c="4">
          <tpl fld="7" item="1034"/>
          <tpl fld="6" item="2"/>
          <tpl hier="236" item="1"/>
          <tpl fld="4" item="1"/>
        </tpls>
      </m>
      <m>
        <tpls c="4">
          <tpl fld="7" item="1066"/>
          <tpl fld="6" item="2"/>
          <tpl hier="236" item="1"/>
          <tpl fld="4" item="1"/>
        </tpls>
      </m>
      <m>
        <tpls c="4">
          <tpl fld="7" item="1110"/>
          <tpl fld="6" item="2"/>
          <tpl hier="236" item="1"/>
          <tpl fld="1" item="0"/>
        </tpls>
      </m>
      <m>
        <tpls c="4">
          <tpl fld="7" item="194"/>
          <tpl fld="6" item="2"/>
          <tpl hier="236" item="1"/>
          <tpl fld="1" item="0"/>
        </tpls>
      </m>
      <m>
        <tpls c="4">
          <tpl fld="7" item="29"/>
          <tpl fld="6" item="2"/>
          <tpl hier="236" item="1"/>
          <tpl fld="1" item="0"/>
        </tpls>
      </m>
      <m>
        <tpls c="4">
          <tpl fld="7" item="394"/>
          <tpl fld="6" item="2"/>
          <tpl hier="236" item="1"/>
          <tpl fld="4" item="5"/>
        </tpls>
      </m>
      <m>
        <tpls c="4">
          <tpl fld="7" item="627"/>
          <tpl fld="6" item="1"/>
          <tpl hier="236" item="1"/>
          <tpl fld="1" item="0"/>
        </tpls>
      </m>
      <n v="5" in="1">
        <tpls c="4">
          <tpl fld="7" item="992"/>
          <tpl fld="6" item="1"/>
          <tpl hier="236" item="1"/>
          <tpl fld="1" item="0"/>
        </tpls>
      </n>
      <m>
        <tpls c="4">
          <tpl fld="7" item="646"/>
          <tpl fld="6" item="2"/>
          <tpl hier="236" item="1"/>
          <tpl fld="4" item="4"/>
        </tpls>
      </m>
      <m>
        <tpls c="4">
          <tpl fld="7" item="891"/>
          <tpl fld="6" item="2"/>
          <tpl hier="236" item="1"/>
          <tpl fld="4" item="6"/>
        </tpls>
      </m>
      <m>
        <tpls c="4">
          <tpl fld="7" item="271"/>
          <tpl fld="6" item="1"/>
          <tpl hier="236" item="1"/>
          <tpl fld="4" item="5"/>
        </tpls>
      </m>
      <m>
        <tpls c="4">
          <tpl fld="7" item="315"/>
          <tpl fld="6" item="1"/>
          <tpl hier="236" item="1"/>
          <tpl fld="4" item="4"/>
        </tpls>
      </m>
      <n v="12" in="1">
        <tpls c="4">
          <tpl fld="7" item="613"/>
          <tpl fld="6" item="1"/>
          <tpl hier="236" item="1"/>
          <tpl fld="1" item="0"/>
        </tpls>
      </n>
      <m>
        <tpls c="4">
          <tpl fld="7" item="633"/>
          <tpl fld="6" item="2"/>
          <tpl hier="236" item="1"/>
          <tpl fld="4" item="6"/>
        </tpls>
      </m>
      <m>
        <tpls c="4">
          <tpl fld="7" item="714"/>
          <tpl fld="6" item="2"/>
          <tpl hier="236" item="1"/>
          <tpl fld="4" item="6"/>
        </tpls>
      </m>
      <m>
        <tpls c="3">
          <tpl fld="7" item="893"/>
          <tpl fld="6" item="3"/>
          <tpl hier="236" item="1"/>
        </tpls>
      </m>
      <m>
        <tpls c="4">
          <tpl fld="7" item="1025"/>
          <tpl fld="6" item="2"/>
          <tpl hier="236" item="1"/>
          <tpl fld="4" item="4"/>
        </tpls>
      </m>
      <m>
        <tpls c="4">
          <tpl fld="7" item="285"/>
          <tpl fld="6" item="2"/>
          <tpl hier="236" item="1"/>
          <tpl fld="1" item="0"/>
        </tpls>
      </m>
      <m>
        <tpls c="4">
          <tpl fld="7" item="560"/>
          <tpl fld="6" item="2"/>
          <tpl hier="236" item="1"/>
          <tpl fld="4" item="4"/>
        </tpls>
      </m>
      <n v="0.44000000000000006" in="2">
        <tpls c="4">
          <tpl fld="7" item="803"/>
          <tpl fld="6" item="2"/>
          <tpl hier="236" item="1"/>
          <tpl fld="1" item="0"/>
        </tpls>
      </n>
      <m>
        <tpls c="4">
          <tpl fld="7" item="994"/>
          <tpl fld="6" item="1"/>
          <tpl hier="236" item="1"/>
          <tpl fld="4" item="6"/>
        </tpls>
      </m>
      <m>
        <tpls c="4">
          <tpl fld="7" item="656"/>
          <tpl fld="6" item="2"/>
          <tpl hier="236" item="1"/>
          <tpl fld="4" item="4"/>
        </tpls>
      </m>
      <m>
        <tpls c="4">
          <tpl fld="7" item="1100"/>
          <tpl fld="6" item="2"/>
          <tpl hier="236" item="1"/>
          <tpl fld="4" item="6"/>
        </tpls>
      </m>
      <m>
        <tpls c="4">
          <tpl fld="7" item="831"/>
          <tpl fld="6" item="2"/>
          <tpl hier="236" item="1"/>
          <tpl fld="4" item="4"/>
        </tpls>
      </m>
      <n v="2" in="1">
        <tpls c="4">
          <tpl fld="7" item="844"/>
          <tpl fld="6" item="1"/>
          <tpl hier="236" item="1"/>
          <tpl fld="4" item="4"/>
        </tpls>
      </n>
      <m>
        <tpls c="4">
          <tpl fld="7" item="1019"/>
          <tpl fld="6" item="2"/>
          <tpl hier="236" item="1"/>
          <tpl fld="4" item="1"/>
        </tpls>
      </m>
      <m>
        <tpls c="3">
          <tpl fld="7" item="1223"/>
          <tpl fld="6" item="3"/>
          <tpl hier="236" item="1"/>
        </tpls>
      </m>
      <n v="6" in="1">
        <tpls c="4">
          <tpl fld="7" item="1159"/>
          <tpl fld="6" item="1"/>
          <tpl hier="236" item="1"/>
          <tpl fld="4" item="4"/>
        </tpls>
      </n>
      <m>
        <tpls c="4">
          <tpl fld="7" item="861"/>
          <tpl fld="6" item="2"/>
          <tpl hier="236" item="1"/>
          <tpl fld="1" item="0"/>
        </tpls>
      </m>
      <m>
        <tpls c="4">
          <tpl fld="7" item="359"/>
          <tpl fld="6" item="2"/>
          <tpl hier="236" item="1"/>
          <tpl fld="1" item="0"/>
        </tpls>
      </m>
      <m>
        <tpls c="4">
          <tpl fld="7" item="767"/>
          <tpl fld="6" item="1"/>
          <tpl hier="236" item="1"/>
          <tpl fld="4" item="6"/>
        </tpls>
      </m>
      <m>
        <tpls c="4">
          <tpl fld="7" item="627"/>
          <tpl fld="6" item="2"/>
          <tpl hier="236" item="1"/>
          <tpl fld="1" item="0"/>
        </tpls>
      </m>
      <m>
        <tpls c="3">
          <tpl fld="7" item="408"/>
          <tpl fld="6" item="3"/>
          <tpl hier="236" item="1"/>
        </tpls>
      </m>
      <m>
        <tpls c="4">
          <tpl fld="7" item="766"/>
          <tpl fld="6" item="1"/>
          <tpl hier="236" item="1"/>
          <tpl fld="4" item="1"/>
        </tpls>
      </m>
      <n v="1" in="3">
        <tpls c="3">
          <tpl fld="7" item="375"/>
          <tpl fld="6" item="3"/>
          <tpl hier="236" item="1"/>
        </tpls>
      </n>
      <m>
        <tpls c="4">
          <tpl fld="7" item="288"/>
          <tpl fld="6" item="1"/>
          <tpl hier="236" item="1"/>
          <tpl fld="4" item="4"/>
        </tpls>
      </m>
      <m>
        <tpls c="4">
          <tpl fld="7" item="533"/>
          <tpl fld="6" item="2"/>
          <tpl hier="236" item="1"/>
          <tpl fld="4" item="5"/>
        </tpls>
      </m>
      <m>
        <tpls c="4">
          <tpl fld="7" item="610"/>
          <tpl fld="6" item="1"/>
          <tpl hier="236" item="1"/>
          <tpl fld="1" item="0"/>
        </tpls>
      </m>
      <n v="13" in="1">
        <tpls c="4">
          <tpl fld="7" item="626"/>
          <tpl fld="6" item="1"/>
          <tpl hier="236" item="1"/>
          <tpl fld="4" item="6"/>
        </tpls>
      </n>
      <m>
        <tpls c="6">
          <tpl fld="3" item="0"/>
          <tpl fld="11" item="0"/>
          <tpl fld="6" item="1"/>
          <tpl hier="236" item="1"/>
          <tpl fld="4" item="3"/>
          <tpl fld="10" item="6"/>
        </tpls>
      </m>
      <m>
        <tpls c="4">
          <tpl fld="7" item="770"/>
          <tpl fld="6" item="1"/>
          <tpl hier="236" item="1"/>
          <tpl fld="4" item="1"/>
        </tpls>
      </m>
      <n v="1" in="1">
        <tpls c="4">
          <tpl fld="7" item="782"/>
          <tpl fld="6" item="1"/>
          <tpl hier="236" item="1"/>
          <tpl fld="1" item="0"/>
        </tpls>
      </n>
      <m>
        <tpls c="4">
          <tpl fld="7" item="684"/>
          <tpl fld="6" item="2"/>
          <tpl hier="236" item="1"/>
          <tpl fld="4" item="6"/>
        </tpls>
      </m>
      <n v="8" in="1">
        <tpls c="4">
          <tpl fld="7" item="713"/>
          <tpl fld="6" item="1"/>
          <tpl hier="236" item="1"/>
          <tpl fld="4" item="4"/>
        </tpls>
      </n>
      <n v="6" in="1">
        <tpls c="4">
          <tpl fld="7" item="981"/>
          <tpl fld="6" item="1"/>
          <tpl hier="236" item="1"/>
          <tpl fld="4" item="4"/>
        </tpls>
      </n>
      <m>
        <tpls c="4">
          <tpl fld="7" item="78"/>
          <tpl fld="6" item="2"/>
          <tpl hier="236" item="1"/>
          <tpl fld="4" item="1"/>
        </tpls>
      </m>
      <m>
        <tpls c="4">
          <tpl fld="7" item="388"/>
          <tpl fld="6" item="1"/>
          <tpl hier="236" item="1"/>
          <tpl fld="4" item="4"/>
        </tpls>
      </m>
      <n v="1" in="2">
        <tpls c="4">
          <tpl fld="7" item="439"/>
          <tpl fld="6" item="2"/>
          <tpl hier="236" item="1"/>
          <tpl fld="4" item="4"/>
        </tpls>
      </n>
      <m>
        <tpls c="4">
          <tpl fld="7" item="624"/>
          <tpl fld="6" item="2"/>
          <tpl hier="236" item="1"/>
          <tpl fld="4" item="4"/>
        </tpls>
      </m>
      <m>
        <tpls c="4">
          <tpl fld="7" item="436"/>
          <tpl fld="6" item="2"/>
          <tpl hier="236" item="1"/>
          <tpl fld="4" item="4"/>
        </tpls>
      </m>
      <n v="2" in="1">
        <tpls c="4">
          <tpl fld="7" item="884"/>
          <tpl fld="6" item="1"/>
          <tpl hier="236" item="1"/>
          <tpl fld="4" item="4"/>
        </tpls>
      </n>
      <m>
        <tpls c="4">
          <tpl fld="7" item="437"/>
          <tpl fld="6" item="2"/>
          <tpl hier="236" item="1"/>
          <tpl fld="4" item="4"/>
        </tpls>
      </m>
      <n v="2" in="1">
        <tpls c="4">
          <tpl fld="7" item="879"/>
          <tpl fld="6" item="1"/>
          <tpl hier="236" item="1"/>
          <tpl fld="4" item="1"/>
        </tpls>
      </n>
      <m>
        <tpls c="4">
          <tpl fld="7" item="560"/>
          <tpl fld="6" item="2"/>
          <tpl hier="236" item="1"/>
          <tpl fld="4" item="5"/>
        </tpls>
      </m>
      <m>
        <tpls c="4">
          <tpl fld="7" item="384"/>
          <tpl fld="6" item="2"/>
          <tpl hier="236" item="1"/>
          <tpl fld="4" item="1"/>
        </tpls>
      </m>
      <m>
        <tpls c="4">
          <tpl fld="7" item="628"/>
          <tpl fld="6" item="2"/>
          <tpl hier="236" item="1"/>
          <tpl fld="4" item="5"/>
        </tpls>
      </m>
      <n v="4" in="1">
        <tpls c="4">
          <tpl fld="7" item="617"/>
          <tpl fld="6" item="1"/>
          <tpl hier="236" item="1"/>
          <tpl fld="1" item="0"/>
        </tpls>
      </n>
      <m>
        <tpls c="4">
          <tpl fld="7" item="734"/>
          <tpl fld="6" item="1"/>
          <tpl hier="236" item="1"/>
          <tpl fld="4" item="1"/>
        </tpls>
      </m>
      <n v="1" in="1">
        <tpls c="4">
          <tpl fld="7" item="853"/>
          <tpl fld="6" item="1"/>
          <tpl hier="236" item="1"/>
          <tpl fld="4" item="6"/>
        </tpls>
      </n>
      <m>
        <tpls c="4">
          <tpl fld="7" item="448"/>
          <tpl fld="6" item="2"/>
          <tpl hier="236" item="1"/>
          <tpl fld="1" item="0"/>
        </tpls>
      </m>
      <n v="2" in="1">
        <tpls c="4">
          <tpl fld="7" item="389"/>
          <tpl fld="6" item="1"/>
          <tpl hier="236" item="1"/>
          <tpl fld="1" item="0"/>
        </tpls>
      </n>
      <n v="1" in="1">
        <tpls c="4">
          <tpl fld="7" item="884"/>
          <tpl fld="6" item="1"/>
          <tpl hier="236" item="1"/>
          <tpl fld="4" item="6"/>
        </tpls>
      </n>
      <m>
        <tpls c="3">
          <tpl fld="7" item="526"/>
          <tpl fld="6" item="3"/>
          <tpl hier="236" item="1"/>
        </tpls>
      </m>
      <m>
        <tpls c="4">
          <tpl fld="7" item="708"/>
          <tpl fld="6" item="1"/>
          <tpl hier="236" item="1"/>
          <tpl fld="4" item="5"/>
        </tpls>
      </m>
      <m>
        <tpls c="4">
          <tpl fld="7" item="719"/>
          <tpl fld="6" item="2"/>
          <tpl hier="236" item="1"/>
          <tpl fld="4" item="5"/>
        </tpls>
      </m>
      <m>
        <tpls c="4">
          <tpl fld="7" item="544"/>
          <tpl fld="6" item="1"/>
          <tpl hier="236" item="1"/>
          <tpl fld="4" item="4"/>
        </tpls>
      </m>
      <m>
        <tpls c="4">
          <tpl fld="7" item="636"/>
          <tpl fld="6" item="2"/>
          <tpl hier="236" item="1"/>
          <tpl fld="4" item="4"/>
        </tpls>
      </m>
      <n v="3" in="1">
        <tpls c="4">
          <tpl fld="7" item="645"/>
          <tpl fld="6" item="1"/>
          <tpl hier="236" item="1"/>
          <tpl fld="4" item="6"/>
        </tpls>
      </n>
      <m>
        <tpls c="4">
          <tpl fld="7" item="814"/>
          <tpl fld="6" item="2"/>
          <tpl hier="236" item="1"/>
          <tpl fld="4" item="5"/>
        </tpls>
      </m>
      <m>
        <tpls c="4">
          <tpl fld="7" item="740"/>
          <tpl fld="6" item="2"/>
          <tpl hier="236" item="1"/>
          <tpl fld="4" item="4"/>
        </tpls>
      </m>
      <m>
        <tpls c="4">
          <tpl fld="7" item="897"/>
          <tpl fld="6" item="2"/>
          <tpl hier="236" item="1"/>
          <tpl fld="4" item="1"/>
        </tpls>
      </m>
      <m>
        <tpls c="3">
          <tpl fld="7" item="1116"/>
          <tpl fld="6" item="3"/>
          <tpl hier="236" item="1"/>
        </tpls>
      </m>
      <m>
        <tpls c="4">
          <tpl fld="7" item="866"/>
          <tpl fld="6" item="1"/>
          <tpl hier="236" item="1"/>
          <tpl fld="4" item="6"/>
        </tpls>
      </m>
      <m>
        <tpls c="4">
          <tpl fld="7" item="1205"/>
          <tpl fld="6" item="2"/>
          <tpl hier="236" item="1"/>
          <tpl fld="4" item="1"/>
        </tpls>
      </m>
      <m>
        <tpls c="4">
          <tpl fld="7" item="1002"/>
          <tpl fld="6" item="2"/>
          <tpl hier="236" item="1"/>
          <tpl fld="1" item="0"/>
        </tpls>
      </m>
      <m>
        <tpls c="4">
          <tpl fld="7" item="272"/>
          <tpl fld="6" item="2"/>
          <tpl hier="236" item="1"/>
          <tpl fld="1" item="0"/>
        </tpls>
      </m>
      <n v="1" in="3">
        <tpls c="3">
          <tpl fld="7" item="503"/>
          <tpl fld="6" item="3"/>
          <tpl hier="236" item="1"/>
        </tpls>
      </n>
      <n v="6" in="1">
        <tpls c="4">
          <tpl fld="7" item="756"/>
          <tpl fld="6" item="1"/>
          <tpl hier="236" item="1"/>
          <tpl fld="4" item="4"/>
        </tpls>
      </n>
      <n v="13" in="1">
        <tpls c="4">
          <tpl fld="7" item="538"/>
          <tpl fld="6" item="1"/>
          <tpl hier="236" item="1"/>
          <tpl fld="1" item="0"/>
        </tpls>
      </n>
      <n v="0.27999999999999997" in="2">
        <tpls c="4">
          <tpl fld="7" item="512"/>
          <tpl fld="6" item="2"/>
          <tpl hier="236" item="1"/>
          <tpl fld="4" item="1"/>
        </tpls>
      </n>
      <m>
        <tpls c="4">
          <tpl fld="7" item="691"/>
          <tpl fld="6" item="1"/>
          <tpl hier="236" item="1"/>
          <tpl fld="1" item="0"/>
        </tpls>
      </m>
      <m>
        <tpls c="4">
          <tpl fld="7" item="552"/>
          <tpl fld="6" item="2"/>
          <tpl hier="236" item="1"/>
          <tpl fld="4" item="5"/>
        </tpls>
      </m>
      <m>
        <tpls c="3">
          <tpl fld="7" item="577"/>
          <tpl fld="6" item="3"/>
          <tpl hier="236" item="1"/>
        </tpls>
      </m>
      <m>
        <tpls c="4">
          <tpl fld="7" item="697"/>
          <tpl fld="6" item="1"/>
          <tpl hier="236" item="1"/>
          <tpl fld="4" item="5"/>
        </tpls>
      </m>
      <m>
        <tpls c="4">
          <tpl fld="7" item="887"/>
          <tpl fld="6" item="2"/>
          <tpl hier="236" item="1"/>
          <tpl fld="4" item="5"/>
        </tpls>
      </m>
      <n v="1" in="3">
        <tpls c="3">
          <tpl fld="7" item="502"/>
          <tpl fld="6" item="3"/>
          <tpl hier="236" item="1"/>
        </tpls>
      </n>
      <m>
        <tpls c="4">
          <tpl fld="7" item="1212"/>
          <tpl fld="6" item="2"/>
          <tpl hier="236" item="1"/>
          <tpl fld="4" item="5"/>
        </tpls>
      </m>
      <m>
        <tpls c="4">
          <tpl fld="7" item="552"/>
          <tpl fld="6" item="2"/>
          <tpl hier="236" item="1"/>
          <tpl fld="4" item="6"/>
        </tpls>
      </m>
      <m>
        <tpls c="4">
          <tpl fld="7" item="558"/>
          <tpl fld="6" item="2"/>
          <tpl hier="236" item="1"/>
          <tpl fld="4" item="6"/>
        </tpls>
      </m>
      <m>
        <tpls c="4">
          <tpl fld="7" item="706"/>
          <tpl fld="6" item="2"/>
          <tpl hier="236" item="1"/>
          <tpl fld="1" item="0"/>
        </tpls>
      </m>
      <m>
        <tpls c="4">
          <tpl fld="7" item="886"/>
          <tpl fld="6" item="1"/>
          <tpl hier="236" item="1"/>
          <tpl fld="4" item="5"/>
        </tpls>
      </m>
      <m>
        <tpls c="4">
          <tpl fld="7" item="577"/>
          <tpl fld="6" item="1"/>
          <tpl hier="236" item="1"/>
          <tpl fld="4" item="1"/>
        </tpls>
      </m>
      <n v="8" in="1">
        <tpls c="4">
          <tpl fld="7" item="583"/>
          <tpl fld="6" item="1"/>
          <tpl hier="236" item="1"/>
          <tpl fld="4" item="4"/>
        </tpls>
      </n>
      <n v="1" in="1">
        <tpls c="4">
          <tpl fld="7" item="1087"/>
          <tpl fld="6" item="1"/>
          <tpl hier="236" item="1"/>
          <tpl fld="4" item="5"/>
        </tpls>
      </n>
      <m>
        <tpls c="4">
          <tpl fld="7" item="629"/>
          <tpl fld="6" item="2"/>
          <tpl hier="236" item="1"/>
          <tpl fld="1" item="0"/>
        </tpls>
      </m>
      <n v="2" in="1">
        <tpls c="4">
          <tpl fld="7" item="584"/>
          <tpl fld="6" item="1"/>
          <tpl hier="236" item="1"/>
          <tpl fld="4" item="6"/>
        </tpls>
      </n>
      <n v="1" in="1">
        <tpls c="4">
          <tpl fld="7" item="808"/>
          <tpl fld="6" item="1"/>
          <tpl hier="236" item="1"/>
          <tpl fld="4" item="5"/>
        </tpls>
      </n>
      <m>
        <tpls c="4">
          <tpl fld="7" item="732"/>
          <tpl fld="6" item="1"/>
          <tpl hier="236" item="1"/>
          <tpl fld="4" item="1"/>
        </tpls>
      </m>
      <m>
        <tpls c="4">
          <tpl fld="7" item="738"/>
          <tpl fld="6" item="1"/>
          <tpl hier="236" item="1"/>
          <tpl fld="4" item="4"/>
        </tpls>
      </m>
      <m>
        <tpls c="4">
          <tpl fld="7" item="664"/>
          <tpl fld="6" item="1"/>
          <tpl hier="236" item="1"/>
          <tpl fld="4" item="5"/>
        </tpls>
      </m>
      <m>
        <tpls c="4">
          <tpl fld="7" item="1106"/>
          <tpl fld="6" item="2"/>
          <tpl hier="236" item="1"/>
          <tpl fld="4" item="4"/>
        </tpls>
      </m>
      <m>
        <tpls c="4">
          <tpl fld="7" item="1013"/>
          <tpl fld="6" item="1"/>
          <tpl hier="236" item="1"/>
          <tpl fld="4" item="4"/>
        </tpls>
      </m>
      <m>
        <tpls c="4">
          <tpl fld="7" item="1278"/>
          <tpl fld="6" item="2"/>
          <tpl hier="236" item="1"/>
          <tpl fld="4" item="1"/>
        </tpls>
      </m>
      <m>
        <tpls c="4">
          <tpl fld="7" item="1036"/>
          <tpl fld="6" item="2"/>
          <tpl hier="236" item="1"/>
          <tpl fld="4" item="1"/>
        </tpls>
      </m>
      <m>
        <tpls c="4">
          <tpl fld="7" item="1068"/>
          <tpl fld="6" item="2"/>
          <tpl hier="236" item="1"/>
          <tpl fld="4" item="1"/>
        </tpls>
      </m>
      <m>
        <tpls c="4">
          <tpl fld="7" item="1107"/>
          <tpl fld="6" item="2"/>
          <tpl hier="236" item="1"/>
          <tpl fld="1" item="0"/>
        </tpls>
      </m>
      <m>
        <tpls c="4">
          <tpl fld="7" item="418"/>
          <tpl fld="6" item="2"/>
          <tpl hier="236" item="1"/>
          <tpl fld="1" item="0"/>
        </tpls>
      </m>
      <m>
        <tpls c="4">
          <tpl fld="7" item="25"/>
          <tpl fld="6" item="2"/>
          <tpl hier="236" item="1"/>
          <tpl fld="1" item="0"/>
        </tpls>
      </m>
      <m>
        <tpls c="4">
          <tpl fld="7" item="984"/>
          <tpl fld="6" item="2"/>
          <tpl hier="236" item="1"/>
          <tpl fld="4" item="4"/>
        </tpls>
      </m>
      <m>
        <tpls c="4">
          <tpl fld="7" item="790"/>
          <tpl fld="6" item="1"/>
          <tpl hier="236" item="1"/>
          <tpl fld="1" item="0"/>
        </tpls>
      </m>
      <n v="2" in="1">
        <tpls c="4">
          <tpl fld="7" item="721"/>
          <tpl fld="6" item="1"/>
          <tpl hier="236" item="1"/>
          <tpl fld="4" item="5"/>
        </tpls>
      </n>
      <m>
        <tpls c="4">
          <tpl fld="7" item="726"/>
          <tpl fld="6" item="2"/>
          <tpl hier="236" item="1"/>
          <tpl fld="4" item="5"/>
        </tpls>
      </m>
      <m>
        <tpls c="4">
          <tpl fld="7" item="732"/>
          <tpl fld="6" item="2"/>
          <tpl hier="236" item="1"/>
          <tpl fld="4" item="1"/>
        </tpls>
      </m>
      <n v="1" in="1">
        <tpls c="4">
          <tpl fld="7" item="318"/>
          <tpl fld="6" item="1"/>
          <tpl hier="236" item="1"/>
          <tpl fld="4" item="4"/>
        </tpls>
      </n>
      <m>
        <tpls c="4">
          <tpl fld="7" item="461"/>
          <tpl fld="6" item="1"/>
          <tpl hier="236" item="1"/>
          <tpl fld="1" item="0"/>
        </tpls>
      </m>
      <n v="1" in="1">
        <tpls c="4">
          <tpl fld="7" item="776"/>
          <tpl fld="6" item="1"/>
          <tpl hier="236" item="1"/>
          <tpl fld="4" item="1"/>
        </tpls>
      </n>
      <m>
        <tpls c="4">
          <tpl fld="7" item="634"/>
          <tpl fld="6" item="1"/>
          <tpl hier="236" item="1"/>
          <tpl fld="4" item="5"/>
        </tpls>
      </m>
      <n v="2" in="1">
        <tpls c="4">
          <tpl fld="7" item="800"/>
          <tpl fld="6" item="1"/>
          <tpl hier="236" item="1"/>
          <tpl fld="4" item="4"/>
        </tpls>
      </n>
      <m>
        <tpls c="4">
          <tpl fld="7" item="741"/>
          <tpl fld="6" item="1"/>
          <tpl hier="236" item="1"/>
          <tpl fld="4" item="4"/>
        </tpls>
      </m>
      <m>
        <tpls c="4">
          <tpl fld="7" item="868"/>
          <tpl fld="6" item="1"/>
          <tpl hier="236" item="1"/>
          <tpl fld="4" item="6"/>
        </tpls>
      </m>
      <m>
        <tpls c="4">
          <tpl fld="7" item="481"/>
          <tpl fld="6" item="2"/>
          <tpl hier="236" item="1"/>
          <tpl fld="1" item="0"/>
        </tpls>
      </m>
      <m>
        <tpls c="4">
          <tpl fld="7" item="625"/>
          <tpl fld="6" item="2"/>
          <tpl hier="236" item="1"/>
          <tpl fld="4" item="1"/>
        </tpls>
      </m>
      <n v="6" in="1">
        <tpls c="4">
          <tpl fld="7" item="585"/>
          <tpl fld="6" item="1"/>
          <tpl hier="236" item="1"/>
          <tpl fld="4" item="6"/>
        </tpls>
      </n>
      <m>
        <tpls c="4">
          <tpl fld="7" item="729"/>
          <tpl fld="6" item="2"/>
          <tpl hier="236" item="1"/>
          <tpl fld="4" item="1"/>
        </tpls>
      </m>
      <m>
        <tpls c="4">
          <tpl fld="7" item="736"/>
          <tpl fld="6" item="2"/>
          <tpl hier="236" item="1"/>
          <tpl fld="4" item="5"/>
        </tpls>
      </m>
      <m>
        <tpls c="4">
          <tpl fld="7" item="742"/>
          <tpl fld="6" item="2"/>
          <tpl hier="236" item="1"/>
          <tpl fld="4" item="1"/>
        </tpls>
      </m>
      <m>
        <tpls c="4">
          <tpl fld="7" item="832"/>
          <tpl fld="6" item="1"/>
          <tpl hier="236" item="1"/>
          <tpl fld="4" item="4"/>
        </tpls>
      </m>
      <m>
        <tpls c="4">
          <tpl fld="7" item="1010"/>
          <tpl fld="6" item="2"/>
          <tpl hier="236" item="1"/>
          <tpl fld="4" item="1"/>
        </tpls>
      </m>
      <m>
        <tpls c="3">
          <tpl fld="7" item="1195"/>
          <tpl fld="6" item="3"/>
          <tpl hier="236" item="1"/>
        </tpls>
      </m>
      <n v="4" in="1">
        <tpls c="4">
          <tpl fld="7" item="1029"/>
          <tpl fld="6" item="1"/>
          <tpl hier="236" item="1"/>
          <tpl fld="4" item="6"/>
        </tpls>
      </n>
      <n v="2" in="1">
        <tpls c="4">
          <tpl fld="7" item="1161"/>
          <tpl fld="6" item="1"/>
          <tpl hier="236" item="1"/>
          <tpl fld="4" item="4"/>
        </tpls>
      </n>
      <m>
        <tpls c="4">
          <tpl fld="7" item="857"/>
          <tpl fld="6" item="2"/>
          <tpl hier="236" item="1"/>
          <tpl fld="1" item="0"/>
        </tpls>
      </m>
      <n v="11.708270270270269" in="2">
        <tpls c="4">
          <tpl fld="7" item="355"/>
          <tpl fld="6" item="2"/>
          <tpl hier="236" item="1"/>
          <tpl fld="1" item="0"/>
        </tpls>
      </n>
      <n v="0.8" in="2">
        <tpls c="4">
          <tpl fld="7" item="609"/>
          <tpl fld="6" item="2"/>
          <tpl hier="236" item="1"/>
          <tpl fld="4" item="1"/>
        </tpls>
      </n>
      <m>
        <tpls c="4">
          <tpl fld="7" item="790"/>
          <tpl fld="6" item="2"/>
          <tpl hier="236" item="1"/>
          <tpl fld="1" item="0"/>
        </tpls>
      </m>
      <n v="2672" in="1">
        <tpls c="6">
          <tpl fld="11" item="0"/>
          <tpl fld="2" item="1"/>
          <tpl fld="6" item="1"/>
          <tpl hier="236" item="1"/>
          <tpl fld="4" item="4"/>
          <tpl fld="10" item="7"/>
        </tpls>
      </n>
      <n v="0.4" in="2">
        <tpls c="4">
          <tpl fld="7" item="100"/>
          <tpl fld="6" item="2"/>
          <tpl hier="236" item="1"/>
          <tpl fld="4" item="1"/>
        </tpls>
      </n>
      <m>
        <tpls c="4">
          <tpl fld="7" item="387"/>
          <tpl fld="6" item="1"/>
          <tpl hier="236" item="1"/>
          <tpl fld="1" item="0"/>
        </tpls>
      </m>
      <m>
        <tpls c="3">
          <tpl fld="7" item="304"/>
          <tpl fld="6" item="3"/>
          <tpl hier="236" item="1"/>
        </tpls>
      </m>
      <n v="1.8451351351351351" in="2">
        <tpls c="4">
          <tpl fld="7" item="539"/>
          <tpl fld="6" item="2"/>
          <tpl hier="236" item="1"/>
          <tpl fld="4" item="1"/>
        </tpls>
      </n>
      <m>
        <tpls c="4">
          <tpl fld="7" item="509"/>
          <tpl fld="6" item="1"/>
          <tpl hier="236" item="1"/>
          <tpl fld="4" item="4"/>
        </tpls>
      </m>
      <m>
        <tpls c="4">
          <tpl fld="7" item="793"/>
          <tpl fld="6" item="2"/>
          <tpl hier="236" item="1"/>
          <tpl fld="4" item="5"/>
        </tpls>
      </m>
      <n v="12" in="1">
        <tpls c="4">
          <tpl fld="7" item="513"/>
          <tpl fld="6" item="1"/>
          <tpl hier="236" item="1"/>
          <tpl fld="4" item="4"/>
        </tpls>
      </n>
      <m>
        <tpls c="4">
          <tpl fld="7" item="610"/>
          <tpl fld="6" item="1"/>
          <tpl hier="236" item="1"/>
          <tpl fld="4" item="4"/>
        </tpls>
      </m>
      <m>
        <tpls c="4">
          <tpl fld="7" item="558"/>
          <tpl fld="6" item="2"/>
          <tpl hier="236" item="1"/>
          <tpl fld="4" item="5"/>
        </tpls>
      </m>
      <n v="62" in="1">
        <tpls c="4">
          <tpl fld="7" item="608"/>
          <tpl fld="6" item="1"/>
          <tpl hier="236" item="1"/>
          <tpl fld="1" item="0"/>
        </tpls>
      </n>
      <m>
        <tpls c="4">
          <tpl fld="7" item="575"/>
          <tpl fld="6" item="1"/>
          <tpl hier="236" item="1"/>
          <tpl fld="4" item="6"/>
        </tpls>
      </m>
      <n v="27" in="1">
        <tpls c="4">
          <tpl fld="7" item="982"/>
          <tpl fld="6" item="1"/>
          <tpl hier="236" item="1"/>
          <tpl fld="4" item="4"/>
        </tpls>
      </n>
      <m>
        <tpls c="4">
          <tpl fld="7" item="418"/>
          <tpl fld="6" item="2"/>
          <tpl hier="236" item="1"/>
          <tpl fld="4" item="1"/>
        </tpls>
      </m>
      <m>
        <tpls c="4">
          <tpl fld="7" item="460"/>
          <tpl fld="6" item="2"/>
          <tpl hier="236" item="1"/>
          <tpl fld="4" item="5"/>
        </tpls>
      </m>
      <n v="3" in="1">
        <tpls c="4">
          <tpl fld="7" item="452"/>
          <tpl fld="6" item="1"/>
          <tpl hier="236" item="1"/>
          <tpl fld="4" item="4"/>
        </tpls>
      </n>
      <m>
        <tpls c="3">
          <tpl fld="7" item="625"/>
          <tpl fld="6" item="3"/>
          <tpl hier="236" item="1"/>
        </tpls>
      </m>
      <n v="1" in="1">
        <tpls c="4">
          <tpl fld="7" item="449"/>
          <tpl fld="6" item="1"/>
          <tpl hier="236" item="1"/>
          <tpl fld="4" item="4"/>
        </tpls>
      </n>
      <n v="0.2" in="2">
        <tpls c="4">
          <tpl fld="7" item="988"/>
          <tpl fld="6" item="2"/>
          <tpl hier="236" item="1"/>
          <tpl fld="4" item="5"/>
        </tpls>
      </n>
      <n v="7" in="1">
        <tpls c="4">
          <tpl fld="7" item="450"/>
          <tpl fld="6" item="1"/>
          <tpl hier="236" item="1"/>
          <tpl fld="4" item="4"/>
        </tpls>
      </n>
      <m>
        <tpls c="4">
          <tpl fld="7" item="184"/>
          <tpl fld="6" item="1"/>
          <tpl hier="236" item="1"/>
          <tpl fld="4" item="4"/>
        </tpls>
      </m>
      <n v="1" in="1">
        <tpls c="4">
          <tpl fld="7" item="708"/>
          <tpl fld="6" item="1"/>
          <tpl hier="236" item="1"/>
          <tpl fld="4" item="4"/>
        </tpls>
      </n>
      <m>
        <tpls c="4">
          <tpl fld="7" item="393"/>
          <tpl fld="6" item="2"/>
          <tpl hier="236" item="1"/>
          <tpl fld="4" item="1"/>
        </tpls>
      </m>
      <m>
        <tpls c="4">
          <tpl fld="7" item="791"/>
          <tpl fld="6" item="2"/>
          <tpl hier="236" item="1"/>
          <tpl fld="4" item="5"/>
        </tpls>
      </m>
      <m>
        <tpls c="4">
          <tpl fld="7" item="701"/>
          <tpl fld="6" item="2"/>
          <tpl hier="236" item="1"/>
          <tpl fld="4" item="5"/>
        </tpls>
      </m>
      <n v="0" in="1">
        <tpls c="4">
          <tpl fld="7" item="892"/>
          <tpl fld="6" item="1"/>
          <tpl hier="236" item="1"/>
          <tpl fld="1" item="0"/>
        </tpls>
      </n>
      <m>
        <tpls c="3">
          <tpl fld="7" item="1272"/>
          <tpl fld="6" item="3"/>
          <tpl hier="236" item="1"/>
        </tpls>
      </m>
      <n v="2" in="2">
        <tpls c="4">
          <tpl fld="7" item="432"/>
          <tpl fld="6" item="2"/>
          <tpl hier="236" item="1"/>
          <tpl fld="1" item="0"/>
        </tpls>
      </n>
      <m>
        <tpls c="4">
          <tpl fld="7" item="305"/>
          <tpl fld="6" item="1"/>
          <tpl hier="236" item="1"/>
          <tpl fld="4" item="4"/>
        </tpls>
      </m>
      <n v="5" in="1">
        <tpls c="4">
          <tpl fld="7" item="567"/>
          <tpl fld="6" item="1"/>
          <tpl hier="236" item="1"/>
          <tpl fld="4" item="4"/>
        </tpls>
      </n>
      <m>
        <tpls c="4">
          <tpl fld="7" item="535"/>
          <tpl fld="6" item="1"/>
          <tpl hier="236" item="1"/>
          <tpl fld="4" item="4"/>
        </tpls>
      </m>
      <n v="1" in="1">
        <tpls c="4">
          <tpl fld="7" item="1092"/>
          <tpl fld="6" item="1"/>
          <tpl hier="236" item="1"/>
          <tpl fld="4" item="5"/>
        </tpls>
      </n>
      <n v="1" in="1">
        <tpls c="4">
          <tpl fld="7" item="888"/>
          <tpl fld="6" item="1"/>
          <tpl hier="236" item="1"/>
          <tpl fld="4" item="6"/>
        </tpls>
      </n>
      <n v="2" in="1">
        <tpls c="4">
          <tpl fld="7" item="985"/>
          <tpl fld="6" item="1"/>
          <tpl hier="236" item="1"/>
          <tpl fld="4" item="1"/>
        </tpls>
      </n>
      <n v="2" in="1">
        <tpls c="4">
          <tpl fld="7" item="718"/>
          <tpl fld="6" item="1"/>
          <tpl hier="236" item="1"/>
          <tpl fld="4" item="4"/>
        </tpls>
      </n>
      <n v="1" in="1">
        <tpls c="4">
          <tpl fld="7" item="725"/>
          <tpl fld="6" item="1"/>
          <tpl hier="236" item="1"/>
          <tpl fld="4" item="1"/>
        </tpls>
      </n>
      <n v="2" in="1">
        <tpls c="4">
          <tpl fld="7" item="653"/>
          <tpl fld="6" item="1"/>
          <tpl hier="236" item="1"/>
          <tpl fld="4" item="6"/>
        </tpls>
      </n>
      <m>
        <tpls c="4">
          <tpl fld="7" item="661"/>
          <tpl fld="6" item="1"/>
          <tpl hier="236" item="1"/>
          <tpl fld="4" item="6"/>
        </tpls>
      </m>
      <m>
        <tpls c="3">
          <tpl fld="7" item="1104"/>
          <tpl fld="6" item="3"/>
          <tpl hier="236" item="1"/>
        </tpls>
      </m>
      <n v="2" in="1">
        <tpls c="4">
          <tpl fld="7" item="850"/>
          <tpl fld="6" item="1"/>
          <tpl hier="236" item="1"/>
          <tpl fld="4" item="6"/>
        </tpls>
      </n>
      <n v="1" in="1">
        <tpls c="4">
          <tpl fld="7" item="1130"/>
          <tpl fld="6" item="1"/>
          <tpl hier="236" item="1"/>
          <tpl fld="4" item="4"/>
        </tpls>
      </n>
      <m>
        <tpls c="4">
          <tpl fld="7" item="1257"/>
          <tpl fld="6" item="2"/>
          <tpl hier="236" item="1"/>
          <tpl fld="4" item="1"/>
        </tpls>
      </m>
      <m>
        <tpls c="4">
          <tpl fld="7" item="1102"/>
          <tpl fld="6" item="2"/>
          <tpl hier="236" item="1"/>
          <tpl fld="1" item="0"/>
        </tpls>
      </m>
      <m>
        <tpls c="4">
          <tpl fld="7" item="411"/>
          <tpl fld="6" item="2"/>
          <tpl hier="236" item="1"/>
          <tpl fld="1" item="0"/>
        </tpls>
      </m>
      <m>
        <tpls c="4">
          <tpl fld="7" item="762"/>
          <tpl fld="6" item="1"/>
          <tpl hier="236" item="1"/>
          <tpl fld="4" item="6"/>
        </tpls>
      </m>
      <m>
        <tpls c="4">
          <tpl fld="7" item="408"/>
          <tpl fld="6" item="1"/>
          <tpl hier="236" item="1"/>
          <tpl fld="4" item="5"/>
        </tpls>
      </m>
      <n v="6.3599999999999994" in="2">
        <tpls c="6">
          <tpl fld="3" item="3"/>
          <tpl fld="11" item="0"/>
          <tpl fld="6" item="2"/>
          <tpl hier="236" item="1"/>
          <tpl fld="4" item="7"/>
          <tpl fld="10" item="8"/>
        </tpls>
      </n>
      <n v="21" in="1">
        <tpls c="4">
          <tpl fld="7" item="374"/>
          <tpl fld="6" item="1"/>
          <tpl hier="236" item="1"/>
          <tpl fld="4" item="4"/>
        </tpls>
      </n>
      <m>
        <tpls c="4">
          <tpl fld="7" item="692"/>
          <tpl fld="6" item="2"/>
          <tpl hier="236" item="1"/>
          <tpl fld="4" item="4"/>
        </tpls>
      </m>
      <m>
        <tpls c="4">
          <tpl fld="7" item="780"/>
          <tpl fld="6" item="2"/>
          <tpl hier="236" item="1"/>
          <tpl fld="4" item="6"/>
        </tpls>
      </m>
      <m>
        <tpls c="4">
          <tpl fld="7" item="717"/>
          <tpl fld="6" item="1"/>
          <tpl hier="236" item="1"/>
          <tpl fld="4" item="4"/>
        </tpls>
      </m>
      <n v="2" in="1">
        <tpls c="4">
          <tpl fld="7" item="698"/>
          <tpl fld="6" item="1"/>
          <tpl hier="236" item="1"/>
          <tpl fld="4" item="6"/>
        </tpls>
      </n>
      <m>
        <tpls c="4">
          <tpl fld="7" item="716"/>
          <tpl fld="6" item="1"/>
          <tpl hier="236" item="1"/>
          <tpl fld="4" item="1"/>
        </tpls>
      </m>
      <n v="1" in="3">
        <tpls c="3">
          <tpl fld="7" item="506"/>
          <tpl fld="6" item="3"/>
          <tpl hier="236" item="1"/>
        </tpls>
      </n>
      <m>
        <tpls c="4">
          <tpl fld="7" item="544"/>
          <tpl fld="6" item="2"/>
          <tpl hier="236" item="1"/>
          <tpl fld="4" item="5"/>
        </tpls>
      </m>
      <m>
        <tpls c="4">
          <tpl fld="7" item="1089"/>
          <tpl fld="6" item="2"/>
          <tpl hier="236" item="1"/>
          <tpl fld="4" item="5"/>
        </tpls>
      </m>
      <m>
        <tpls c="4">
          <tpl fld="7" item="702"/>
          <tpl fld="6" item="2"/>
          <tpl hier="236" item="1"/>
          <tpl fld="4" item="1"/>
        </tpls>
      </m>
      <n v="0.91999999999999993" in="2">
        <tpls c="4">
          <tpl fld="7" item="788"/>
          <tpl fld="6" item="2"/>
          <tpl hier="236" item="1"/>
          <tpl fld="4" item="4"/>
        </tpls>
      </n>
      <m>
        <tpls c="4">
          <tpl fld="7" item="632"/>
          <tpl fld="6" item="2"/>
          <tpl hier="236" item="1"/>
          <tpl fld="1" item="0"/>
        </tpls>
      </m>
      <m>
        <tpls c="3">
          <tpl fld="7" item="798"/>
          <tpl fld="6" item="3"/>
          <tpl hier="236" item="1"/>
        </tpls>
      </m>
      <m>
        <tpls c="4">
          <tpl fld="7" item="992"/>
          <tpl fld="6" item="1"/>
          <tpl hier="236" item="1"/>
          <tpl fld="4" item="5"/>
        </tpls>
      </m>
      <m>
        <tpls c="4">
          <tpl fld="7" item="773"/>
          <tpl fld="6" item="2"/>
          <tpl hier="236" item="1"/>
          <tpl fld="1" item="0"/>
        </tpls>
      </m>
      <m>
        <tpls c="4">
          <tpl fld="7" item="792"/>
          <tpl fld="6" item="2"/>
          <tpl hier="236" item="1"/>
          <tpl fld="1" item="0"/>
        </tpls>
      </m>
      <n v="18" in="1">
        <tpls c="4">
          <tpl fld="7" item="1095"/>
          <tpl fld="6" item="1"/>
          <tpl hier="236" item="1"/>
          <tpl fld="4" item="6"/>
        </tpls>
      </n>
      <m>
        <tpls c="4">
          <tpl fld="7" item="1240"/>
          <tpl fld="6" item="2"/>
          <tpl hier="236" item="1"/>
          <tpl fld="1" item="0"/>
        </tpls>
      </m>
      <m>
        <tpls c="3">
          <tpl fld="7" item="995"/>
          <tpl fld="6" item="3"/>
          <tpl hier="236" item="1"/>
        </tpls>
      </m>
      <m>
        <tpls c="4">
          <tpl fld="7" item="820"/>
          <tpl fld="6" item="1"/>
          <tpl hier="236" item="1"/>
          <tpl fld="4" item="5"/>
        </tpls>
      </m>
      <m>
        <tpls c="4">
          <tpl fld="7" item="826"/>
          <tpl fld="6" item="1"/>
          <tpl hier="236" item="1"/>
          <tpl fld="4" item="5"/>
        </tpls>
      </m>
      <m>
        <tpls c="4">
          <tpl fld="7" item="1004"/>
          <tpl fld="6" item="1"/>
          <tpl hier="236" item="1"/>
          <tpl fld="4" item="4"/>
        </tpls>
      </m>
      <m>
        <tpls c="4">
          <tpl fld="7" item="360"/>
          <tpl fld="6" item="2"/>
          <tpl hier="236" item="1"/>
          <tpl fld="4" item="4"/>
        </tpls>
      </m>
      <m>
        <tpls c="4">
          <tpl fld="7" item="450"/>
          <tpl fld="6" item="1"/>
          <tpl hier="236" item="1"/>
          <tpl fld="4" item="6"/>
        </tpls>
      </m>
      <m>
        <tpls c="3">
          <tpl fld="7" item="766"/>
          <tpl fld="6" item="3"/>
          <tpl hier="236" item="1"/>
        </tpls>
      </m>
      <n v="21" in="1">
        <tpls c="4">
          <tpl fld="7" item="539"/>
          <tpl fld="6" item="1"/>
          <tpl hier="236" item="1"/>
          <tpl fld="4" item="6"/>
        </tpls>
      </n>
      <m>
        <tpls c="4">
          <tpl fld="7" item="37"/>
          <tpl fld="6" item="2"/>
          <tpl hier="236" item="1"/>
          <tpl fld="4" item="1"/>
        </tpls>
      </m>
      <m>
        <tpls c="4">
          <tpl fld="7" item="459"/>
          <tpl fld="6" item="2"/>
          <tpl hier="236" item="1"/>
          <tpl fld="1" item="0"/>
        </tpls>
      </m>
      <m>
        <tpls c="4">
          <tpl fld="7" item="1088"/>
          <tpl fld="6" item="1"/>
          <tpl hier="236" item="1"/>
          <tpl fld="1" item="0"/>
        </tpls>
      </m>
      <m>
        <tpls c="4">
          <tpl fld="7" item="556"/>
          <tpl fld="6" item="1"/>
          <tpl hier="236" item="1"/>
          <tpl fld="4" item="5"/>
        </tpls>
      </m>
      <m>
        <tpls c="4">
          <tpl fld="7" item="1091"/>
          <tpl fld="6" item="1"/>
          <tpl hier="236" item="1"/>
          <tpl fld="1" item="0"/>
        </tpls>
      </m>
      <m>
        <tpls c="4">
          <tpl fld="7" item="572"/>
          <tpl fld="6" item="2"/>
          <tpl hier="236" item="1"/>
          <tpl fld="1" item="0"/>
        </tpls>
      </m>
      <m>
        <tpls c="4">
          <tpl fld="7" item="127"/>
          <tpl fld="6" item="1"/>
          <tpl hier="236" item="1"/>
          <tpl fld="4" item="4"/>
        </tpls>
      </m>
      <m>
        <tpls c="4">
          <tpl fld="7" item="387"/>
          <tpl fld="6" item="1"/>
          <tpl hier="236" item="1"/>
          <tpl fld="4" item="5"/>
        </tpls>
      </m>
      <m>
        <tpls c="3">
          <tpl fld="7" item="547"/>
          <tpl fld="6" item="3"/>
          <tpl hier="236" item="1"/>
        </tpls>
      </m>
      <m>
        <tpls c="4">
          <tpl fld="7" item="700"/>
          <tpl fld="6" item="2"/>
          <tpl hier="236" item="1"/>
          <tpl fld="4" item="1"/>
        </tpls>
      </m>
      <m>
        <tpls c="4">
          <tpl fld="7" item="786"/>
          <tpl fld="6" item="2"/>
          <tpl hier="236" item="1"/>
          <tpl fld="4" item="4"/>
        </tpls>
      </m>
      <m>
        <tpls c="4">
          <tpl fld="7" item="791"/>
          <tpl fld="6" item="1"/>
          <tpl hier="236" item="1"/>
          <tpl fld="4" item="1"/>
        </tpls>
      </m>
      <m>
        <tpls c="3">
          <tpl fld="7" item="796"/>
          <tpl fld="6" item="3"/>
          <tpl hier="236" item="1"/>
        </tpls>
      </m>
      <m>
        <tpls c="4">
          <tpl fld="7" item="29"/>
          <tpl fld="6" item="2"/>
          <tpl hier="236" item="1"/>
          <tpl fld="4" item="1"/>
        </tpls>
      </m>
      <n v="7.6" in="2">
        <tpls c="4">
          <tpl fld="7" item="376"/>
          <tpl fld="6" item="2"/>
          <tpl hier="236" item="1"/>
          <tpl fld="4" item="1"/>
        </tpls>
      </n>
      <m>
        <tpls c="4">
          <tpl fld="7" item="543"/>
          <tpl fld="6" item="2"/>
          <tpl hier="236" item="1"/>
          <tpl fld="4" item="4"/>
        </tpls>
      </m>
      <m>
        <tpls c="4">
          <tpl fld="7" item="550"/>
          <tpl fld="6" item="1"/>
          <tpl hier="236" item="1"/>
          <tpl fld="4" item="6"/>
        </tpls>
      </m>
      <m>
        <tpls c="6">
          <tpl fld="3" item="1"/>
          <tpl fld="11" item="0"/>
          <tpl fld="6" item="2"/>
          <tpl hier="236" item="1"/>
          <tpl fld="4" item="4"/>
          <tpl fld="10" item="1"/>
        </tpls>
      </m>
      <m>
        <tpls c="4">
          <tpl fld="7" item="31"/>
          <tpl fld="6" item="2"/>
          <tpl hier="236" item="1"/>
          <tpl fld="4" item="1"/>
        </tpls>
      </m>
      <n v="0.16" in="2">
        <tpls c="4">
          <tpl fld="7" item="319"/>
          <tpl fld="6" item="2"/>
          <tpl hier="236" item="1"/>
          <tpl fld="4" item="1"/>
        </tpls>
      </n>
      <m>
        <tpls c="4">
          <tpl fld="7" item="983"/>
          <tpl fld="6" item="2"/>
          <tpl hier="236" item="1"/>
          <tpl fld="1" item="0"/>
        </tpls>
      </m>
      <m>
        <tpls c="4">
          <tpl fld="7" item="393"/>
          <tpl fld="6" item="2"/>
          <tpl hier="236" item="1"/>
          <tpl fld="4" item="5"/>
        </tpls>
      </m>
      <n v="9" in="1">
        <tpls c="4">
          <tpl fld="7" item="1213"/>
          <tpl fld="6" item="1"/>
          <tpl hier="236" item="1"/>
          <tpl fld="4" item="6"/>
        </tpls>
      </n>
      <m>
        <tpls c="4">
          <tpl fld="7" item="533"/>
          <tpl fld="6" item="2"/>
          <tpl hier="236" item="1"/>
          <tpl fld="4" item="4"/>
        </tpls>
      </m>
      <n v="1" in="2">
        <tpls c="4">
          <tpl fld="7" item="564"/>
          <tpl fld="6" item="2"/>
          <tpl hier="236" item="1"/>
          <tpl fld="1" item="0"/>
        </tpls>
      </n>
      <m>
        <tpls c="4">
          <tpl fld="7" item="44"/>
          <tpl fld="6" item="2"/>
          <tpl hier="236" item="1"/>
          <tpl fld="4" item="1"/>
        </tpls>
      </m>
      <m>
        <tpls c="4">
          <tpl fld="7" item="391"/>
          <tpl fld="6" item="2"/>
          <tpl hier="236" item="1"/>
          <tpl fld="4" item="5"/>
        </tpls>
      </m>
      <m>
        <tpls c="4">
          <tpl fld="7" item="1238"/>
          <tpl fld="6" item="2"/>
          <tpl hier="236" item="1"/>
          <tpl fld="4" item="1"/>
        </tpls>
      </m>
      <m>
        <tpls c="4">
          <tpl fld="7" item="883"/>
          <tpl fld="6" item="1"/>
          <tpl hier="236" item="1"/>
          <tpl fld="4" item="1"/>
        </tpls>
      </m>
      <n v="7" in="1">
        <tpls c="4">
          <tpl fld="7" item="704"/>
          <tpl fld="6" item="1"/>
          <tpl hier="236" item="1"/>
          <tpl fld="4" item="4"/>
        </tpls>
      </n>
      <m>
        <tpls c="4">
          <tpl fld="7" item="709"/>
          <tpl fld="6" item="2"/>
          <tpl hier="236" item="1"/>
          <tpl fld="4" item="5"/>
        </tpls>
      </m>
      <m>
        <tpls c="4">
          <tpl fld="7" item="634"/>
          <tpl fld="6" item="2"/>
          <tpl hier="236" item="1"/>
          <tpl fld="4" item="5"/>
        </tpls>
      </m>
      <m>
        <tpls c="4">
          <tpl fld="7" item="800"/>
          <tpl fld="6" item="2"/>
          <tpl hier="236" item="1"/>
          <tpl fld="4" item="1"/>
        </tpls>
      </m>
      <m>
        <tpls c="4">
          <tpl fld="7" item="33"/>
          <tpl fld="6" item="2"/>
          <tpl hier="236" item="1"/>
          <tpl fld="4" item="1"/>
        </tpls>
      </m>
      <m>
        <tpls c="4">
          <tpl fld="7" item="556"/>
          <tpl fld="6" item="1"/>
          <tpl hier="236" item="1"/>
          <tpl fld="4" item="4"/>
        </tpls>
      </m>
      <m>
        <tpls c="4">
          <tpl fld="7" item="800"/>
          <tpl fld="6" item="1"/>
          <tpl hier="236" item="1"/>
          <tpl fld="4" item="1"/>
        </tpls>
      </m>
      <n v="1" in="1">
        <tpls c="4">
          <tpl fld="7" item="644"/>
          <tpl fld="6" item="1"/>
          <tpl hier="236" item="1"/>
          <tpl fld="1" item="0"/>
        </tpls>
      </n>
      <n v="0.56108108108108101" in="2">
        <tpls c="4">
          <tpl fld="7" item="811"/>
          <tpl fld="6" item="2"/>
          <tpl hier="236" item="1"/>
          <tpl fld="4" item="5"/>
        </tpls>
      </n>
      <m>
        <tpls c="4">
          <tpl fld="7" item="817"/>
          <tpl fld="6" item="2"/>
          <tpl hier="236" item="1"/>
          <tpl fld="4" item="1"/>
        </tpls>
      </m>
      <m>
        <tpls c="4">
          <tpl fld="7" item="741"/>
          <tpl fld="6" item="2"/>
          <tpl hier="236" item="1"/>
          <tpl fld="4" item="4"/>
        </tpls>
      </m>
      <m>
        <tpls c="4">
          <tpl fld="7" item="748"/>
          <tpl fld="6" item="2"/>
          <tpl hier="236" item="1"/>
          <tpl fld="4" item="4"/>
        </tpls>
      </m>
      <n v="1" in="1">
        <tpls c="4">
          <tpl fld="7" item="1218"/>
          <tpl fld="6" item="1"/>
          <tpl hier="236" item="1"/>
          <tpl fld="4" item="4"/>
        </tpls>
      </n>
      <m>
        <tpls c="4">
          <tpl fld="7" item="1018"/>
          <tpl fld="6" item="2"/>
          <tpl hier="236" item="1"/>
          <tpl fld="4" item="1"/>
        </tpls>
      </m>
      <m>
        <tpls c="3">
          <tpl fld="7" item="1197"/>
          <tpl fld="6" item="3"/>
          <tpl hier="236" item="1"/>
        </tpls>
      </m>
      <m>
        <tpls c="4">
          <tpl fld="7" item="1053"/>
          <tpl fld="6" item="2"/>
          <tpl hier="236" item="1"/>
          <tpl fld="4" item="1"/>
        </tpls>
      </m>
      <m>
        <tpls c="4">
          <tpl fld="7" item="923"/>
          <tpl fld="6" item="2"/>
          <tpl hier="236" item="1"/>
          <tpl fld="1" item="0"/>
        </tpls>
      </m>
      <m>
        <tpls c="4">
          <tpl fld="7" item="436"/>
          <tpl fld="6" item="2"/>
          <tpl hier="236" item="1"/>
          <tpl fld="1" item="0"/>
        </tpls>
      </m>
      <m>
        <tpls c="4">
          <tpl fld="7" item="876"/>
          <tpl fld="6" item="2"/>
          <tpl hier="236" item="1"/>
          <tpl fld="1" item="0"/>
        </tpls>
      </m>
      <m>
        <tpls c="6">
          <tpl fld="11" item="0"/>
          <tpl fld="2" item="3"/>
          <tpl fld="6" item="2"/>
          <tpl hier="236" item="1"/>
          <tpl fld="4" item="7"/>
          <tpl fld="10" item="4"/>
        </tpls>
      </m>
      <m>
        <tpls c="6">
          <tpl fld="11" item="0"/>
          <tpl fld="6" item="2"/>
          <tpl fld="8" item="1"/>
          <tpl hier="236" item="1"/>
          <tpl fld="4" item="7"/>
          <tpl fld="10" item="4"/>
        </tpls>
      </m>
      <m>
        <tpls c="4">
          <tpl fld="7" item="151"/>
          <tpl fld="6" item="2"/>
          <tpl hier="236" item="1"/>
          <tpl fld="4" item="1"/>
        </tpls>
      </m>
      <m>
        <tpls c="3">
          <tpl fld="7" item="320"/>
          <tpl fld="6" item="3"/>
          <tpl hier="236" item="1"/>
        </tpls>
      </m>
      <m>
        <tpls c="4">
          <tpl fld="7" item="392"/>
          <tpl fld="6" item="2"/>
          <tpl hier="236" item="1"/>
          <tpl fld="4" item="4"/>
        </tpls>
      </m>
      <m>
        <tpls c="4">
          <tpl fld="7" item="767"/>
          <tpl fld="6" item="2"/>
          <tpl hier="236" item="1"/>
          <tpl fld="4" item="6"/>
        </tpls>
      </m>
      <n v="0" in="1">
        <tpls c="4">
          <tpl fld="7" item="565"/>
          <tpl fld="6" item="1"/>
          <tpl hier="236" item="1"/>
          <tpl fld="4" item="4"/>
        </tpls>
      </n>
      <m>
        <tpls c="3">
          <tpl fld="7" item="464"/>
          <tpl fld="6" item="3"/>
          <tpl hier="236" item="1"/>
        </tpls>
      </m>
      <m>
        <tpls c="4">
          <tpl fld="7" item="1213"/>
          <tpl fld="6" item="2"/>
          <tpl hier="236" item="1"/>
          <tpl fld="4" item="4"/>
        </tpls>
      </m>
      <m>
        <tpls c="4">
          <tpl fld="7" item="46"/>
          <tpl fld="6" item="2"/>
          <tpl hier="236" item="1"/>
          <tpl fld="4" item="1"/>
        </tpls>
      </m>
      <m>
        <tpls c="4">
          <tpl fld="7" item="983"/>
          <tpl fld="6" item="1"/>
          <tpl hier="236" item="1"/>
          <tpl fld="4" item="6"/>
        </tpls>
      </m>
      <m>
        <tpls c="4">
          <tpl fld="7" item="1238"/>
          <tpl fld="6" item="2"/>
          <tpl hier="236" item="1"/>
          <tpl fld="4" item="5"/>
        </tpls>
      </m>
      <m>
        <tpls c="4">
          <tpl fld="7" item="620"/>
          <tpl fld="6" item="2"/>
          <tpl hier="236" item="1"/>
          <tpl fld="4" item="1"/>
        </tpls>
      </m>
      <m>
        <tpls c="4">
          <tpl fld="7" item="704"/>
          <tpl fld="6" item="2"/>
          <tpl hier="236" item="1"/>
          <tpl fld="4" item="4"/>
        </tpls>
      </m>
      <m>
        <tpls c="4">
          <tpl fld="7" item="568"/>
          <tpl fld="6" item="1"/>
          <tpl hier="236" item="1"/>
          <tpl fld="4" item="5"/>
        </tpls>
      </m>
      <m>
        <tpls c="3">
          <tpl fld="7" item="714"/>
          <tpl fld="6" item="3"/>
          <tpl hier="236" item="1"/>
        </tpls>
      </m>
      <n v="1071" in="1">
        <tpls c="5">
          <tpl fld="11" item="0"/>
          <tpl fld="6" item="1"/>
          <tpl hier="236" item="1"/>
          <tpl fld="4" item="6"/>
          <tpl fld="10" item="4"/>
        </tpls>
      </n>
      <n v="3" in="2">
        <tpls c="6">
          <tpl fld="3" item="0"/>
          <tpl fld="11" item="0"/>
          <tpl fld="6" item="2"/>
          <tpl hier="236" item="1"/>
          <tpl fld="4" item="3"/>
          <tpl fld="10" item="7"/>
        </tpls>
      </n>
      <m>
        <tpls c="4">
          <tpl fld="7" item="60"/>
          <tpl fld="6" item="2"/>
          <tpl hier="236" item="1"/>
          <tpl fld="4" item="1"/>
        </tpls>
      </m>
      <m>
        <tpls c="4">
          <tpl fld="7" item="339"/>
          <tpl fld="6" item="1"/>
          <tpl hier="236" item="1"/>
          <tpl fld="1" item="0"/>
        </tpls>
      </m>
      <m>
        <tpls c="4">
          <tpl fld="7" item="59"/>
          <tpl fld="6" item="2"/>
          <tpl hier="236" item="1"/>
          <tpl fld="4" item="1"/>
        </tpls>
      </m>
      <m>
        <tpls c="4">
          <tpl fld="7" item="487"/>
          <tpl fld="6" item="1"/>
          <tpl hier="236" item="1"/>
          <tpl fld="4" item="6"/>
        </tpls>
      </m>
      <n v="4" in="1">
        <tpls c="4">
          <tpl fld="7" item="1186"/>
          <tpl fld="6" item="1"/>
          <tpl hier="236" item="1"/>
          <tpl fld="4" item="4"/>
        </tpls>
      </n>
      <m>
        <tpls c="4">
          <tpl fld="7" item="281"/>
          <tpl fld="6" item="2"/>
          <tpl hier="236" item="1"/>
          <tpl fld="4" item="4"/>
        </tpls>
      </m>
      <m>
        <tpls c="4">
          <tpl fld="7" item="262"/>
          <tpl fld="6" item="1"/>
          <tpl hier="236" item="1"/>
          <tpl fld="4" item="4"/>
        </tpls>
      </m>
      <m>
        <tpls c="4">
          <tpl fld="7" item="136"/>
          <tpl fld="6" item="2"/>
          <tpl hier="236" item="1"/>
          <tpl fld="4" item="4"/>
        </tpls>
      </m>
      <m>
        <tpls c="4">
          <tpl fld="7" item="449"/>
          <tpl fld="6" item="2"/>
          <tpl hier="236" item="1"/>
          <tpl fld="4" item="1"/>
        </tpls>
      </m>
      <m>
        <tpls c="4">
          <tpl fld="7" item="39"/>
          <tpl fld="6" item="2"/>
          <tpl hier="236" item="1"/>
          <tpl fld="4" item="1"/>
        </tpls>
      </m>
      <n v="1.2" in="2">
        <tpls c="4">
          <tpl fld="7" item="763"/>
          <tpl fld="6" item="2"/>
          <tpl hier="236" item="1"/>
          <tpl fld="4" item="1"/>
        </tpls>
      </n>
      <m>
        <tpls c="4">
          <tpl fld="7" item="150"/>
          <tpl fld="6" item="1"/>
          <tpl hier="236" item="1"/>
          <tpl fld="1" item="0"/>
        </tpls>
      </m>
      <m>
        <tpls c="4">
          <tpl fld="7" item="292"/>
          <tpl fld="6" item="2"/>
          <tpl hier="236" item="1"/>
          <tpl fld="4" item="4"/>
        </tpls>
      </m>
      <m>
        <tpls c="4">
          <tpl fld="7" item="39"/>
          <tpl fld="6" item="2"/>
          <tpl hier="236" item="1"/>
          <tpl fld="4" item="4"/>
        </tpls>
      </m>
      <m>
        <tpls c="4">
          <tpl fld="7" item="192"/>
          <tpl fld="6" item="2"/>
          <tpl hier="236" item="1"/>
          <tpl fld="4" item="6"/>
        </tpls>
      </m>
      <m>
        <tpls c="4">
          <tpl fld="7" item="323"/>
          <tpl fld="6" item="1"/>
          <tpl hier="236" item="1"/>
          <tpl fld="4" item="4"/>
        </tpls>
      </m>
      <m>
        <tpls c="4">
          <tpl fld="7" item="464"/>
          <tpl fld="6" item="2"/>
          <tpl hier="236" item="1"/>
          <tpl fld="4" item="6"/>
        </tpls>
      </m>
      <n v="38" in="1">
        <tpls c="4">
          <tpl fld="7" item="107"/>
          <tpl fld="6" item="1"/>
          <tpl hier="236" item="1"/>
          <tpl fld="4" item="4"/>
        </tpls>
      </n>
      <m>
        <tpls c="4">
          <tpl fld="7" item="685"/>
          <tpl fld="6" item="2"/>
          <tpl hier="236" item="1"/>
          <tpl fld="4" item="1"/>
        </tpls>
      </m>
      <n v="1.6" in="2">
        <tpls c="6">
          <tpl fld="11" item="0"/>
          <tpl fld="6" item="2"/>
          <tpl fld="8" item="0"/>
          <tpl hier="236" item="1"/>
          <tpl fld="4" item="4"/>
          <tpl fld="10" item="1"/>
        </tpls>
      </n>
      <m>
        <tpls c="4">
          <tpl fld="7" item="153"/>
          <tpl fld="6" item="2"/>
          <tpl hier="236" item="1"/>
          <tpl fld="4" item="1"/>
        </tpls>
      </m>
      <m>
        <tpls c="4">
          <tpl fld="7" item="104"/>
          <tpl fld="6" item="1"/>
          <tpl hier="236" item="1"/>
          <tpl fld="4" item="6"/>
        </tpls>
      </m>
      <m>
        <tpls c="4">
          <tpl fld="7" item="392"/>
          <tpl fld="6" item="1"/>
          <tpl hier="236" item="1"/>
          <tpl fld="4" item="1"/>
        </tpls>
      </m>
      <m>
        <tpls c="4">
          <tpl fld="7" item="395"/>
          <tpl fld="6" item="2"/>
          <tpl hier="236" item="1"/>
          <tpl fld="4" item="1"/>
        </tpls>
      </m>
      <m>
        <tpls c="4">
          <tpl fld="7" item="565"/>
          <tpl fld="6" item="2"/>
          <tpl hier="236" item="1"/>
          <tpl fld="4" item="6"/>
        </tpls>
      </m>
      <m>
        <tpls c="4">
          <tpl fld="7" item="685"/>
          <tpl fld="6" item="2"/>
          <tpl hier="236" item="1"/>
          <tpl fld="4" item="6"/>
        </tpls>
      </m>
      <n v="3" in="1">
        <tpls c="4">
          <tpl fld="7" item="1213"/>
          <tpl fld="6" item="1"/>
          <tpl hier="236" item="1"/>
          <tpl fld="4" item="1"/>
        </tpls>
      </n>
      <m>
        <tpls c="4">
          <tpl fld="7" item="750"/>
          <tpl fld="6" item="1"/>
          <tpl hier="236" item="1"/>
          <tpl fld="4" item="4"/>
        </tpls>
      </m>
      <m>
        <tpls c="4">
          <tpl fld="7" item="163"/>
          <tpl fld="6" item="2"/>
          <tpl hier="236" item="1"/>
          <tpl fld="4" item="1"/>
        </tpls>
      </m>
      <n v="20" in="1">
        <tpls c="4">
          <tpl fld="7" item="213"/>
          <tpl fld="6" item="1"/>
          <tpl hier="236" item="1"/>
          <tpl fld="4" item="4"/>
        </tpls>
      </n>
      <m>
        <tpls c="4">
          <tpl fld="7" item="522"/>
          <tpl fld="6" item="2"/>
          <tpl hier="236" item="1"/>
          <tpl fld="4" item="1"/>
        </tpls>
      </m>
      <m>
        <tpls c="4">
          <tpl fld="7" item="533"/>
          <tpl fld="6" item="2"/>
          <tpl hier="236" item="1"/>
          <tpl fld="4" item="6"/>
        </tpls>
      </m>
      <m>
        <tpls c="3">
          <tpl fld="7" item="609"/>
          <tpl fld="6" item="3"/>
          <tpl hier="236" item="1"/>
        </tpls>
      </m>
      <m>
        <tpls c="4">
          <tpl fld="7" item="53"/>
          <tpl fld="6" item="2"/>
          <tpl hier="236" item="1"/>
          <tpl fld="4" item="1"/>
        </tpls>
      </m>
      <m>
        <tpls c="4">
          <tpl fld="7" item="535"/>
          <tpl fld="6" item="1"/>
          <tpl hier="236" item="1"/>
          <tpl fld="4" item="1"/>
        </tpls>
      </m>
      <m>
        <tpls c="4">
          <tpl fld="7" item="549"/>
          <tpl fld="6" item="1"/>
          <tpl hier="236" item="1"/>
          <tpl fld="4" item="5"/>
        </tpls>
      </m>
      <n v="1" in="1">
        <tpls c="4">
          <tpl fld="7" item="621"/>
          <tpl fld="6" item="1"/>
          <tpl hier="236" item="1"/>
          <tpl fld="4" item="4"/>
        </tpls>
      </n>
      <m>
        <tpls c="4">
          <tpl fld="7" item="627"/>
          <tpl fld="6" item="1"/>
          <tpl hier="236" item="1"/>
          <tpl fld="4" item="4"/>
        </tpls>
      </m>
      <m>
        <tpls c="4">
          <tpl fld="7" item="1093"/>
          <tpl fld="6" item="2"/>
          <tpl hier="236" item="1"/>
          <tpl fld="4" item="5"/>
        </tpls>
      </m>
      <m>
        <tpls c="4">
          <tpl fld="7" item="336"/>
          <tpl fld="6" item="2"/>
          <tpl hier="236" item="1"/>
          <tpl fld="4" item="1"/>
        </tpls>
      </m>
      <n v="1" in="1">
        <tpls c="4">
          <tpl fld="7" item="605"/>
          <tpl fld="6" item="1"/>
          <tpl hier="236" item="1"/>
          <tpl fld="4" item="6"/>
        </tpls>
      </n>
      <m>
        <tpls c="4">
          <tpl fld="7" item="615"/>
          <tpl fld="6" item="2"/>
          <tpl hier="236" item="1"/>
          <tpl fld="4" item="1"/>
        </tpls>
      </m>
      <m>
        <tpls c="4">
          <tpl fld="7" item="782"/>
          <tpl fld="6" item="2"/>
          <tpl hier="236" item="1"/>
          <tpl fld="4" item="6"/>
        </tpls>
      </m>
      <m>
        <tpls c="4">
          <tpl fld="7" item="788"/>
          <tpl fld="6" item="2"/>
          <tpl hier="236" item="1"/>
          <tpl fld="4" item="6"/>
        </tpls>
      </m>
      <m>
        <tpls c="4">
          <tpl fld="7" item="795"/>
          <tpl fld="6" item="1"/>
          <tpl hier="236" item="1"/>
          <tpl fld="4" item="5"/>
        </tpls>
      </m>
      <m>
        <tpls c="4">
          <tpl fld="7" item="85"/>
          <tpl fld="6" item="1"/>
          <tpl hier="236" item="1"/>
          <tpl fld="4" item="4"/>
        </tpls>
      </m>
      <m>
        <tpls c="4">
          <tpl fld="7" item="396"/>
          <tpl fld="6" item="2"/>
          <tpl hier="236" item="1"/>
          <tpl fld="4" item="6"/>
        </tpls>
      </m>
      <m>
        <tpls c="3">
          <tpl fld="7" item="486"/>
          <tpl fld="6" item="3"/>
          <tpl hier="236" item="1"/>
        </tpls>
      </m>
      <m>
        <tpls c="4">
          <tpl fld="7" item="759"/>
          <tpl fld="6" item="2"/>
          <tpl hier="236" item="1"/>
          <tpl fld="4" item="4"/>
        </tpls>
      </m>
      <m>
        <tpls c="4">
          <tpl fld="7" item="157"/>
          <tpl fld="6" item="2"/>
          <tpl hier="236" item="1"/>
          <tpl fld="4" item="1"/>
        </tpls>
      </m>
      <m>
        <tpls c="3">
          <tpl fld="7" item="533"/>
          <tpl fld="6" item="3"/>
          <tpl hier="236" item="1"/>
        </tpls>
      </m>
      <m>
        <tpls c="4">
          <tpl fld="7" item="28"/>
          <tpl fld="6" item="2"/>
          <tpl hier="236" item="1"/>
          <tpl fld="4" item="1"/>
        </tpls>
      </m>
      <m>
        <tpls c="4">
          <tpl fld="7" item="189"/>
          <tpl fld="6" item="1"/>
          <tpl hier="236" item="1"/>
          <tpl fld="4" item="4"/>
        </tpls>
      </m>
      <m>
        <tpls c="4">
          <tpl fld="7" item="352"/>
          <tpl fld="6" item="2"/>
          <tpl hier="236" item="1"/>
          <tpl fld="4" item="4"/>
        </tpls>
      </m>
      <n v="4" in="1">
        <tpls c="4">
          <tpl fld="7" item="365"/>
          <tpl fld="6" item="1"/>
          <tpl hier="236" item="1"/>
          <tpl fld="4" item="4"/>
        </tpls>
      </n>
      <n v="1" in="2">
        <tpls c="4">
          <tpl fld="7" item="519"/>
          <tpl fld="6" item="2"/>
          <tpl hier="236" item="1"/>
          <tpl fld="4" item="1"/>
        </tpls>
      </n>
      <m>
        <tpls c="4">
          <tpl fld="7" item="459"/>
          <tpl fld="6" item="1"/>
          <tpl hier="236" item="1"/>
          <tpl fld="4" item="5"/>
        </tpls>
      </m>
      <m>
        <tpls c="4">
          <tpl fld="7" item="394"/>
          <tpl fld="6" item="1"/>
          <tpl hier="236" item="1"/>
          <tpl fld="4" item="1"/>
        </tpls>
      </m>
      <n v="20" in="1">
        <tpls c="4">
          <tpl fld="7" item="689"/>
          <tpl fld="6" item="1"/>
          <tpl hier="236" item="1"/>
          <tpl fld="4" item="4"/>
        </tpls>
      </n>
      <n v="188" in="1">
        <tpls c="6">
          <tpl fld="3" item="0"/>
          <tpl fld="11" item="0"/>
          <tpl fld="6" item="1"/>
          <tpl hier="236" item="1"/>
          <tpl fld="4" item="4"/>
          <tpl fld="10" item="3"/>
        </tpls>
      </n>
      <n v="2" in="1">
        <tpls c="4">
          <tpl fld="7" item="878"/>
          <tpl fld="6" item="1"/>
          <tpl hier="236" item="1"/>
          <tpl fld="4" item="6"/>
        </tpls>
      </n>
      <m>
        <tpls c="4">
          <tpl fld="7" item="542"/>
          <tpl fld="6" item="2"/>
          <tpl hier="236" item="1"/>
          <tpl fld="4" item="4"/>
        </tpls>
      </m>
      <n v="3" in="1">
        <tpls c="4">
          <tpl fld="7" item="777"/>
          <tpl fld="6" item="1"/>
          <tpl hier="236" item="1"/>
          <tpl fld="4" item="6"/>
        </tpls>
      </n>
      <n v="2" in="1">
        <tpls c="4">
          <tpl fld="7" item="883"/>
          <tpl fld="6" item="1"/>
          <tpl hier="236" item="1"/>
          <tpl fld="1" item="0"/>
        </tpls>
      </n>
      <m>
        <tpls c="4">
          <tpl fld="7" item="561"/>
          <tpl fld="6" item="2"/>
          <tpl hier="236" item="1"/>
          <tpl fld="4" item="5"/>
        </tpls>
      </m>
      <m>
        <tpls c="4">
          <tpl fld="7" item="709"/>
          <tpl fld="6" item="2"/>
          <tpl hier="236" item="1"/>
          <tpl fld="4" item="6"/>
        </tpls>
      </m>
      <m>
        <tpls c="4">
          <tpl fld="7" item="634"/>
          <tpl fld="6" item="2"/>
          <tpl hier="236" item="1"/>
          <tpl fld="4" item="6"/>
        </tpls>
      </m>
      <m>
        <tpls c="4">
          <tpl fld="7" item="580"/>
          <tpl fld="6" item="2"/>
          <tpl hier="236" item="1"/>
          <tpl fld="1" item="0"/>
        </tpls>
      </m>
      <m>
        <tpls c="4">
          <tpl fld="7" item="599"/>
          <tpl fld="6" item="1"/>
          <tpl hier="236" item="1"/>
          <tpl fld="4" item="6"/>
        </tpls>
      </m>
      <n v="0.8" in="2">
        <tpls c="4">
          <tpl fld="7" item="689"/>
          <tpl fld="6" item="2"/>
          <tpl hier="236" item="1"/>
          <tpl fld="4" item="6"/>
        </tpls>
      </n>
      <m>
        <tpls c="4">
          <tpl fld="7" item="549"/>
          <tpl fld="6" item="2"/>
          <tpl hier="236" item="1"/>
          <tpl fld="1" item="0"/>
        </tpls>
      </m>
      <m>
        <tpls c="3">
          <tpl fld="7" item="555"/>
          <tpl fld="6" item="3"/>
          <tpl hier="236" item="1"/>
        </tpls>
      </m>
      <m>
        <tpls c="4">
          <tpl fld="7" item="624"/>
          <tpl fld="6" item="1"/>
          <tpl hier="236" item="1"/>
          <tpl fld="4" item="5"/>
        </tpls>
      </m>
      <n v="3" in="1">
        <tpls c="4">
          <tpl fld="7" item="989"/>
          <tpl fld="6" item="1"/>
          <tpl hier="236" item="1"/>
          <tpl fld="4" item="1"/>
        </tpls>
      </n>
      <m>
        <tpls c="4">
          <tpl fld="7" item="574"/>
          <tpl fld="6" item="1"/>
          <tpl hier="236" item="1"/>
          <tpl fld="4" item="6"/>
        </tpls>
      </m>
      <n v="3" in="1">
        <tpls c="4">
          <tpl fld="7" item="718"/>
          <tpl fld="6" item="1"/>
          <tpl hier="236" item="1"/>
          <tpl fld="1" item="0"/>
        </tpls>
      </n>
      <m>
        <tpls c="4">
          <tpl fld="7" item="679"/>
          <tpl fld="6" item="1"/>
          <tpl hier="236" item="1"/>
          <tpl fld="4" item="6"/>
        </tpls>
      </m>
      <n v="20" in="1">
        <tpls c="4">
          <tpl fld="7" item="771"/>
          <tpl fld="6" item="1"/>
          <tpl hier="236" item="1"/>
          <tpl fld="1" item="0"/>
        </tpls>
      </n>
      <m>
        <tpls c="4">
          <tpl fld="7" item="695"/>
          <tpl fld="6" item="2"/>
          <tpl hier="236" item="1"/>
          <tpl fld="4" item="4"/>
        </tpls>
      </m>
      <m>
        <tpls c="4">
          <tpl fld="7" item="76"/>
          <tpl fld="6" item="1"/>
          <tpl hier="236" item="1"/>
          <tpl fld="4" item="6"/>
        </tpls>
      </m>
      <n v="1" in="1">
        <tpls c="4">
          <tpl fld="7" item="685"/>
          <tpl fld="6" item="1"/>
          <tpl hier="236" item="1"/>
          <tpl fld="4" item="4"/>
        </tpls>
      </n>
      <m>
        <tpls c="4">
          <tpl fld="7" item="301"/>
          <tpl fld="6" item="2"/>
          <tpl hier="236" item="1"/>
          <tpl fld="4" item="4"/>
        </tpls>
      </m>
      <m>
        <tpls c="4">
          <tpl fld="7" item="530"/>
          <tpl fld="6" item="1"/>
          <tpl hier="236" item="1"/>
          <tpl fld="4" item="6"/>
        </tpls>
      </m>
      <n v="4" in="1">
        <tpls c="4">
          <tpl fld="7" item="982"/>
          <tpl fld="6" item="1"/>
          <tpl hier="236" item="1"/>
          <tpl fld="4" item="6"/>
        </tpls>
      </n>
      <m>
        <tpls c="4">
          <tpl fld="7" item="786"/>
          <tpl fld="6" item="2"/>
          <tpl hier="236" item="1"/>
          <tpl fld="4" item="6"/>
        </tpls>
      </m>
      <n v="1" in="1">
        <tpls c="4">
          <tpl fld="7" item="600"/>
          <tpl fld="6" item="1"/>
          <tpl hier="236" item="1"/>
          <tpl fld="4" item="6"/>
        </tpls>
      </n>
      <n v="5" in="1">
        <tpls c="4">
          <tpl fld="7" item="704"/>
          <tpl fld="6" item="1"/>
          <tpl hier="236" item="1"/>
          <tpl fld="4" item="6"/>
        </tpls>
      </n>
      <n v="653" in="1">
        <tpls c="6">
          <tpl fld="11" item="0"/>
          <tpl fld="2" item="1"/>
          <tpl fld="6" item="1"/>
          <tpl hier="236" item="1"/>
          <tpl fld="4" item="4"/>
          <tpl fld="10" item="6"/>
        </tpls>
      </n>
      <m>
        <tpls c="4">
          <tpl fld="7" item="387"/>
          <tpl fld="6" item="2"/>
          <tpl hier="236" item="1"/>
          <tpl fld="4" item="5"/>
        </tpls>
      </m>
      <m>
        <tpls c="4">
          <tpl fld="7" item="614"/>
          <tpl fld="6" item="1"/>
          <tpl hier="236" item="1"/>
          <tpl fld="4" item="5"/>
        </tpls>
      </m>
      <m>
        <tpls c="4">
          <tpl fld="7" item="699"/>
          <tpl fld="6" item="2"/>
          <tpl hier="236" item="1"/>
          <tpl fld="4" item="5"/>
        </tpls>
      </m>
      <m>
        <tpls c="4">
          <tpl fld="7" item="884"/>
          <tpl fld="6" item="2"/>
          <tpl hier="236" item="1"/>
          <tpl fld="4" item="1"/>
        </tpls>
      </m>
      <m>
        <tpls c="4">
          <tpl fld="7" item="790"/>
          <tpl fld="6" item="2"/>
          <tpl hier="236" item="1"/>
          <tpl fld="4" item="5"/>
        </tpls>
      </m>
      <m>
        <tpls c="4">
          <tpl fld="7" item="795"/>
          <tpl fld="6" item="2"/>
          <tpl hier="236" item="1"/>
          <tpl fld="1" item="0"/>
        </tpls>
      </m>
      <m>
        <tpls c="3">
          <tpl fld="7" item="638"/>
          <tpl fld="6" item="3"/>
          <tpl hier="236" item="1"/>
        </tpls>
      </m>
      <n v="1" in="1">
        <tpls c="4">
          <tpl fld="7" item="722"/>
          <tpl fld="6" item="1"/>
          <tpl hier="236" item="1"/>
          <tpl fld="4" item="5"/>
        </tpls>
      </n>
      <m>
        <tpls c="4">
          <tpl fld="7" item="553"/>
          <tpl fld="6" item="2"/>
          <tpl hier="236" item="1"/>
          <tpl fld="4" item="4"/>
        </tpls>
      </m>
      <m>
        <tpls c="4">
          <tpl fld="7" item="991"/>
          <tpl fld="6" item="1"/>
          <tpl hier="236" item="1"/>
          <tpl fld="4" item="1"/>
        </tpls>
      </m>
      <m>
        <tpls c="4">
          <tpl fld="7" item="805"/>
          <tpl fld="6" item="2"/>
          <tpl hier="236" item="1"/>
          <tpl fld="4" item="6"/>
        </tpls>
      </m>
      <m>
        <tpls c="4">
          <tpl fld="7" item="994"/>
          <tpl fld="6" item="2"/>
          <tpl hier="236" item="1"/>
          <tpl fld="1" item="0"/>
        </tpls>
      </m>
      <m>
        <tpls c="3">
          <tpl fld="7" item="1189"/>
          <tpl fld="6" item="3"/>
          <tpl hier="236" item="1"/>
        </tpls>
      </m>
      <m>
        <tpls c="4">
          <tpl fld="7" item="822"/>
          <tpl fld="6" item="1"/>
          <tpl hier="236" item="1"/>
          <tpl fld="4" item="5"/>
        </tpls>
      </m>
      <n v="1" in="1">
        <tpls c="4">
          <tpl fld="7" item="747"/>
          <tpl fld="6" item="1"/>
          <tpl hier="236" item="1"/>
          <tpl fld="4" item="5"/>
        </tpls>
      </n>
      <m>
        <tpls c="4">
          <tpl fld="7" item="841"/>
          <tpl fld="6" item="1"/>
          <tpl hier="236" item="1"/>
          <tpl fld="4" item="6"/>
        </tpls>
      </m>
      <m>
        <tpls c="4">
          <tpl fld="7" item="913"/>
          <tpl fld="6" item="2"/>
          <tpl hier="236" item="1"/>
          <tpl fld="4" item="4"/>
        </tpls>
      </m>
      <n v="4" in="1">
        <tpls c="4">
          <tpl fld="7" item="1286"/>
          <tpl fld="6" item="1"/>
          <tpl hier="236" item="1"/>
          <tpl fld="4" item="4"/>
        </tpls>
      </n>
      <m>
        <tpls c="4">
          <tpl fld="7" item="1049"/>
          <tpl fld="6" item="2"/>
          <tpl hier="236" item="1"/>
          <tpl fld="4" item="1"/>
        </tpls>
      </m>
      <m>
        <tpls c="4">
          <tpl fld="7" item="1081"/>
          <tpl fld="6" item="2"/>
          <tpl hier="236" item="1"/>
          <tpl fld="4" item="1"/>
        </tpls>
      </m>
      <n v="2.7772972972972969" in="2">
        <tpls c="4">
          <tpl fld="7" item="444"/>
          <tpl fld="6" item="2"/>
          <tpl hier="236" item="1"/>
          <tpl fld="1" item="0"/>
        </tpls>
      </n>
      <m>
        <tpls c="4">
          <tpl fld="7" item="260"/>
          <tpl fld="6" item="2"/>
          <tpl hier="236" item="1"/>
          <tpl fld="1" item="0"/>
        </tpls>
      </m>
      <m>
        <tpls c="4">
          <tpl fld="7" item="1029"/>
          <tpl fld="6" item="2"/>
          <tpl hier="236" item="1"/>
          <tpl fld="4" item="5"/>
        </tpls>
      </m>
      <m>
        <tpls c="4">
          <tpl fld="7" item="486"/>
          <tpl fld="6" item="2"/>
          <tpl hier="236" item="1"/>
          <tpl fld="4" item="1"/>
        </tpls>
      </m>
      <m>
        <tpls c="4">
          <tpl fld="7" item="536"/>
          <tpl fld="6" item="2"/>
          <tpl hier="236" item="1"/>
          <tpl fld="4" item="5"/>
        </tpls>
      </m>
      <m>
        <tpls c="4">
          <tpl fld="7" item="88"/>
          <tpl fld="6" item="1"/>
          <tpl hier="236" item="1"/>
          <tpl fld="4" item="6"/>
        </tpls>
      </m>
      <n v="3" in="1">
        <tpls c="4">
          <tpl fld="7" item="389"/>
          <tpl fld="6" item="1"/>
          <tpl hier="236" item="1"/>
          <tpl fld="4" item="1"/>
        </tpls>
      </n>
      <n v="1" in="3">
        <tpls c="3">
          <tpl fld="7" item="520"/>
          <tpl fld="6" item="3"/>
          <tpl hier="236" item="1"/>
        </tpls>
      </n>
      <m>
        <tpls c="4">
          <tpl fld="7" item="562"/>
          <tpl fld="6" item="2"/>
          <tpl hier="236" item="1"/>
          <tpl fld="4" item="1"/>
        </tpls>
      </m>
      <n v="1" in="3">
        <tpls c="3">
          <tpl fld="7" item="517"/>
          <tpl fld="6" item="3"/>
          <tpl hier="236" item="1"/>
        </tpls>
      </n>
      <m>
        <tpls c="4">
          <tpl fld="7" item="786"/>
          <tpl fld="6" item="1"/>
          <tpl hier="236" item="1"/>
          <tpl fld="4" item="1"/>
        </tpls>
      </m>
      <n v="0.98918918918918919" in="2">
        <tpls c="5">
          <tpl fld="3" item="0"/>
          <tpl fld="11" item="0"/>
          <tpl fld="6" item="2"/>
          <tpl hier="236" item="1"/>
          <tpl fld="4" item="2"/>
        </tpls>
      </n>
      <n v="2" in="1">
        <tpls c="4">
          <tpl fld="7" item="529"/>
          <tpl fld="6" item="1"/>
          <tpl hier="236" item="1"/>
          <tpl fld="4" item="1"/>
        </tpls>
      </n>
      <m>
        <tpls c="4">
          <tpl fld="7" item="614"/>
          <tpl fld="6" item="2"/>
          <tpl hier="236" item="1"/>
          <tpl fld="4" item="5"/>
        </tpls>
      </m>
      <m>
        <tpls c="3">
          <tpl fld="7" item="781"/>
          <tpl fld="6" item="3"/>
          <tpl hier="236" item="1"/>
        </tpls>
      </m>
      <n v="2" in="1">
        <tpls c="4">
          <tpl fld="7" item="884"/>
          <tpl fld="6" item="1"/>
          <tpl hier="236" item="1"/>
          <tpl fld="4" item="5"/>
        </tpls>
      </n>
      <n v="1" in="1">
        <tpls c="4">
          <tpl fld="7" item="567"/>
          <tpl fld="6" item="1"/>
          <tpl hier="236" item="1"/>
          <tpl fld="4" item="5"/>
        </tpls>
      </n>
      <m>
        <tpls c="4">
          <tpl fld="7" item="1093"/>
          <tpl fld="6" item="1"/>
          <tpl hier="236" item="1"/>
          <tpl fld="4" item="6"/>
        </tpls>
      </m>
      <m>
        <tpls c="4">
          <tpl fld="7" item="638"/>
          <tpl fld="6" item="1"/>
          <tpl hier="236" item="1"/>
          <tpl fld="1" item="0"/>
        </tpls>
      </m>
      <m>
        <tpls c="4">
          <tpl fld="7" item="722"/>
          <tpl fld="6" item="2"/>
          <tpl hier="236" item="1"/>
          <tpl fld="4" item="5"/>
        </tpls>
      </m>
      <m>
        <tpls c="4">
          <tpl fld="7" item="698"/>
          <tpl fld="6" item="2"/>
          <tpl hier="236" item="1"/>
          <tpl fld="4" item="5"/>
        </tpls>
      </m>
      <m>
        <tpls c="3">
          <tpl fld="7" item="637"/>
          <tpl fld="6" item="3"/>
          <tpl hier="236" item="1"/>
        </tpls>
      </m>
      <n v="35" in="1">
        <tpls c="4">
          <tpl fld="7" item="587"/>
          <tpl fld="6" item="1"/>
          <tpl hier="236" item="1"/>
          <tpl fld="4" item="4"/>
        </tpls>
      </n>
      <m>
        <tpls c="4">
          <tpl fld="7" item="649"/>
          <tpl fld="6" item="1"/>
          <tpl hier="236" item="1"/>
          <tpl fld="4" item="6"/>
        </tpls>
      </m>
      <n v="1" in="1">
        <tpls c="4">
          <tpl fld="7" item="1189"/>
          <tpl fld="6" item="1"/>
          <tpl hier="236" item="1"/>
          <tpl fld="1" item="0"/>
        </tpls>
      </n>
      <m>
        <tpls c="4">
          <tpl fld="7" item="822"/>
          <tpl fld="6" item="2"/>
          <tpl hier="236" item="1"/>
          <tpl fld="4" item="5"/>
        </tpls>
      </m>
      <m>
        <tpls c="4">
          <tpl fld="7" item="747"/>
          <tpl fld="6" item="2"/>
          <tpl hier="236" item="1"/>
          <tpl fld="4" item="5"/>
        </tpls>
      </m>
      <m>
        <tpls c="3">
          <tpl fld="7" item="1110"/>
          <tpl fld="6" item="3"/>
          <tpl hier="236" item="1"/>
        </tpls>
      </m>
      <m>
        <tpls c="4">
          <tpl fld="7" item="854"/>
          <tpl fld="6" item="1"/>
          <tpl hier="236" item="1"/>
          <tpl fld="4" item="6"/>
        </tpls>
      </m>
      <m>
        <tpls c="4">
          <tpl fld="7" item="1286"/>
          <tpl fld="6" item="2"/>
          <tpl hier="236" item="1"/>
          <tpl fld="4" item="4"/>
        </tpls>
      </m>
      <m>
        <tpls c="4">
          <tpl fld="7" item="1254"/>
          <tpl fld="6" item="2"/>
          <tpl hier="236" item="1"/>
          <tpl fld="4" item="1"/>
        </tpls>
      </m>
      <m>
        <tpls c="4">
          <tpl fld="7" item="1262"/>
          <tpl fld="6" item="2"/>
          <tpl hier="236" item="1"/>
          <tpl fld="4" item="1"/>
        </tpls>
      </m>
      <n v="1" in="2">
        <tpls c="4">
          <tpl fld="7" item="443"/>
          <tpl fld="6" item="2"/>
          <tpl hier="236" item="1"/>
          <tpl fld="1" item="0"/>
        </tpls>
      </n>
      <m>
        <tpls c="4">
          <tpl fld="7" item="55"/>
          <tpl fld="6" item="2"/>
          <tpl hier="236" item="1"/>
          <tpl fld="1" item="0"/>
        </tpls>
      </m>
      <m>
        <tpls c="4">
          <tpl fld="7" item="1131"/>
          <tpl fld="6" item="2"/>
          <tpl hier="236" item="1"/>
          <tpl fld="4" item="5"/>
        </tpls>
      </m>
      <m>
        <tpls c="4">
          <tpl fld="7" item="349"/>
          <tpl fld="6" item="1"/>
          <tpl hier="236" item="1"/>
          <tpl fld="4" item="6"/>
        </tpls>
      </m>
      <m>
        <tpls c="4">
          <tpl fld="7" item="668"/>
          <tpl fld="6" item="1"/>
          <tpl hier="236" item="1"/>
          <tpl fld="1" item="0"/>
        </tpls>
      </m>
      <m>
        <tpls c="4">
          <tpl fld="7" item="115"/>
          <tpl fld="6" item="1"/>
          <tpl hier="236" item="1"/>
          <tpl fld="1" item="0"/>
        </tpls>
      </m>
      <n v="2.72" in="2">
        <tpls c="4">
          <tpl fld="7" item="540"/>
          <tpl fld="6" item="2"/>
          <tpl hier="236" item="1"/>
          <tpl fld="4" item="1"/>
        </tpls>
      </n>
      <m>
        <tpls c="4">
          <tpl fld="7" item="118"/>
          <tpl fld="6" item="2"/>
          <tpl hier="236" item="1"/>
          <tpl fld="4" item="4"/>
        </tpls>
      </m>
      <n v="0" in="1">
        <tpls c="4">
          <tpl fld="7" item="61"/>
          <tpl fld="6" item="1"/>
          <tpl hier="236" item="1"/>
          <tpl fld="4" item="4"/>
        </tpls>
      </n>
      <m>
        <tpls c="4">
          <tpl fld="7" item="267"/>
          <tpl fld="6" item="1"/>
          <tpl hier="236" item="1"/>
          <tpl fld="4" item="5"/>
        </tpls>
      </m>
      <m>
        <tpls c="4">
          <tpl fld="7" item="485"/>
          <tpl fld="6" item="1"/>
          <tpl hier="236" item="1"/>
          <tpl fld="4" item="6"/>
        </tpls>
      </m>
      <m>
        <tpls c="4">
          <tpl fld="7" item="270"/>
          <tpl fld="6" item="1"/>
          <tpl hier="236" item="1"/>
          <tpl fld="4" item="5"/>
        </tpls>
      </m>
      <n v="12" in="1">
        <tpls c="4">
          <tpl fld="7" item="613"/>
          <tpl fld="6" item="1"/>
          <tpl hier="236" item="1"/>
          <tpl fld="4" item="4"/>
        </tpls>
      </n>
      <n v="1" in="2">
        <tpls c="4">
          <tpl fld="7" item="562"/>
          <tpl fld="6" item="2"/>
          <tpl hier="236" item="1"/>
          <tpl fld="4" item="5"/>
        </tpls>
      </n>
      <n v="11" in="1">
        <tpls c="4">
          <tpl fld="7" item="546"/>
          <tpl fld="6" item="1"/>
          <tpl hier="236" item="1"/>
          <tpl fld="4" item="4"/>
        </tpls>
      </n>
      <n v="23" in="1">
        <tpls c="5">
          <tpl fld="11" item="0"/>
          <tpl fld="2" item="4"/>
          <tpl fld="6" item="1"/>
          <tpl hier="236" item="1"/>
          <tpl fld="4" item="2"/>
        </tpls>
      </n>
      <n v="1" in="1">
        <tpls c="4">
          <tpl fld="7" item="769"/>
          <tpl fld="6" item="1"/>
          <tpl hier="236" item="1"/>
          <tpl fld="4" item="4"/>
        </tpls>
      </n>
      <n v="1" in="1">
        <tpls c="4">
          <tpl fld="7" item="492"/>
          <tpl fld="6" item="1"/>
          <tpl hier="236" item="1"/>
          <tpl fld="4" item="6"/>
        </tpls>
      </n>
      <m>
        <tpls c="4">
          <tpl fld="7" item="463"/>
          <tpl fld="6" item="1"/>
          <tpl hier="236" item="1"/>
          <tpl fld="4" item="5"/>
        </tpls>
      </m>
      <n v="1" in="1">
        <tpls c="4">
          <tpl fld="7" item="537"/>
          <tpl fld="6" item="1"/>
          <tpl hier="236" item="1"/>
          <tpl fld="4" item="4"/>
        </tpls>
      </n>
      <m>
        <tpls c="4">
          <tpl fld="7" item="707"/>
          <tpl fld="6" item="2"/>
          <tpl hier="236" item="1"/>
          <tpl fld="4" item="6"/>
        </tpls>
      </m>
      <n v="2" in="1">
        <tpls c="4">
          <tpl fld="7" item="465"/>
          <tpl fld="6" item="1"/>
          <tpl hier="236" item="1"/>
          <tpl fld="1" item="0"/>
        </tpls>
      </n>
      <m>
        <tpls c="4">
          <tpl fld="7" item="627"/>
          <tpl fld="6" item="1"/>
          <tpl hier="236" item="1"/>
          <tpl fld="4" item="1"/>
        </tpls>
      </m>
      <n v="0.8" in="2">
        <tpls c="4">
          <tpl fld="7" item="536"/>
          <tpl fld="6" item="2"/>
          <tpl hier="236" item="1"/>
          <tpl fld="4" item="4"/>
        </tpls>
      </n>
      <n v="1249" in="1">
        <tpls c="5">
          <tpl fld="11" item="0"/>
          <tpl fld="6" item="1"/>
          <tpl hier="236" item="1"/>
          <tpl fld="4" item="7"/>
          <tpl fld="10" item="7"/>
        </tpls>
      </n>
      <m>
        <tpls c="4">
          <tpl fld="7" item="579"/>
          <tpl fld="6" item="2"/>
          <tpl hier="236" item="1"/>
          <tpl fld="1" item="0"/>
        </tpls>
      </m>
      <m>
        <tpls c="4">
          <tpl fld="7" item="881"/>
          <tpl fld="6" item="1"/>
          <tpl hier="236" item="1"/>
          <tpl fld="4" item="6"/>
        </tpls>
      </m>
      <m>
        <tpls c="4">
          <tpl fld="7" item="712"/>
          <tpl fld="6" item="2"/>
          <tpl hier="236" item="1"/>
          <tpl fld="4" item="6"/>
        </tpls>
      </m>
      <m>
        <tpls c="4">
          <tpl fld="7" item="711"/>
          <tpl fld="6" item="2"/>
          <tpl hier="236" item="1"/>
          <tpl fld="4" item="6"/>
        </tpls>
      </m>
      <m>
        <tpls c="3">
          <tpl fld="7" item="1215"/>
          <tpl fld="6" item="3"/>
          <tpl hier="236" item="1"/>
        </tpls>
      </m>
      <m>
        <tpls c="4">
          <tpl fld="7" item="1196"/>
          <tpl fld="6" item="1"/>
          <tpl hier="236" item="1"/>
          <tpl fld="4" item="4"/>
        </tpls>
      </m>
      <m>
        <tpls c="4">
          <tpl fld="7" item="296"/>
          <tpl fld="6" item="2"/>
          <tpl hier="236" item="1"/>
          <tpl fld="1" item="0"/>
        </tpls>
      </m>
      <m>
        <tpls c="4">
          <tpl fld="7" item="326"/>
          <tpl fld="6" item="1"/>
          <tpl hier="236" item="1"/>
          <tpl fld="4" item="5"/>
        </tpls>
      </m>
      <m>
        <tpls c="4">
          <tpl fld="7" item="638"/>
          <tpl fld="6" item="2"/>
          <tpl hier="236" item="1"/>
          <tpl fld="4" item="4"/>
        </tpls>
      </m>
      <m>
        <tpls c="4">
          <tpl fld="7" item="881"/>
          <tpl fld="6" item="1"/>
          <tpl hier="236" item="1"/>
          <tpl fld="4" item="1"/>
        </tpls>
      </m>
      <m>
        <tpls c="4">
          <tpl fld="7" item="572"/>
          <tpl fld="6" item="1"/>
          <tpl hier="236" item="1"/>
          <tpl fld="4" item="4"/>
        </tpls>
      </m>
      <m>
        <tpls c="4">
          <tpl fld="7" item="802"/>
          <tpl fld="6" item="2"/>
          <tpl hier="236" item="1"/>
          <tpl fld="4" item="6"/>
        </tpls>
      </m>
      <m>
        <tpls c="3">
          <tpl fld="7" item="696"/>
          <tpl fld="6" item="3"/>
          <tpl hier="236" item="1"/>
        </tpls>
      </m>
      <m>
        <tpls c="3">
          <tpl fld="7" item="581"/>
          <tpl fld="6" item="3"/>
          <tpl hier="236" item="1"/>
        </tpls>
      </m>
      <m>
        <tpls c="4">
          <tpl fld="7" item="808"/>
          <tpl fld="6" item="2"/>
          <tpl hier="236" item="1"/>
          <tpl fld="4" item="1"/>
        </tpls>
      </m>
      <m>
        <tpls c="4">
          <tpl fld="7" item="654"/>
          <tpl fld="6" item="2"/>
          <tpl hier="236" item="1"/>
          <tpl fld="4" item="6"/>
        </tpls>
      </m>
      <m>
        <tpls c="3">
          <tpl fld="7" item="1100"/>
          <tpl fld="6" item="3"/>
          <tpl hier="236" item="1"/>
        </tpls>
      </m>
      <n v="2" in="1">
        <tpls c="4">
          <tpl fld="7" item="1106"/>
          <tpl fld="6" item="1"/>
          <tpl hier="236" item="1"/>
          <tpl fld="4" item="4"/>
        </tpls>
      </n>
      <m>
        <tpls c="4">
          <tpl fld="7" item="912"/>
          <tpl fld="6" item="2"/>
          <tpl hier="236" item="1"/>
          <tpl fld="4" item="1"/>
        </tpls>
      </m>
      <m>
        <tpls c="3">
          <tpl fld="7" item="1131"/>
          <tpl fld="6" item="3"/>
          <tpl hier="236" item="1"/>
        </tpls>
      </m>
      <m>
        <tpls c="4">
          <tpl fld="7" item="1207"/>
          <tpl fld="6" item="2"/>
          <tpl hier="236" item="1"/>
          <tpl fld="4" item="1"/>
        </tpls>
      </m>
      <n v="1" in="2">
        <tpls c="4">
          <tpl fld="7" item="451"/>
          <tpl fld="6" item="2"/>
          <tpl hier="236" item="1"/>
          <tpl fld="1" item="0"/>
        </tpls>
      </n>
      <m>
        <tpls c="4">
          <tpl fld="7" item="151"/>
          <tpl fld="6" item="2"/>
          <tpl hier="236" item="1"/>
          <tpl fld="1" item="0"/>
        </tpls>
      </m>
      <n v="7.9599999999999991" in="2">
        <tpls c="6">
          <tpl fld="11" item="0"/>
          <tpl fld="2" item="3"/>
          <tpl fld="6" item="2"/>
          <tpl hier="236" item="1"/>
          <tpl fld="4" item="4"/>
          <tpl fld="10" item="7"/>
        </tpls>
      </n>
      <m>
        <tpls c="3">
          <tpl fld="7" item="357"/>
          <tpl fld="6" item="3"/>
          <tpl hier="236" item="1"/>
        </tpls>
      </m>
      <m>
        <tpls c="4">
          <tpl fld="7" item="150"/>
          <tpl fld="6" item="1"/>
          <tpl hier="236" item="1"/>
          <tpl fld="4" item="5"/>
        </tpls>
      </m>
      <n v="0" in="1">
        <tpls c="4">
          <tpl fld="7" item="451"/>
          <tpl fld="6" item="1"/>
          <tpl hier="236" item="1"/>
          <tpl fld="4" item="6"/>
        </tpls>
      </n>
      <m>
        <tpls c="4">
          <tpl fld="7" item="49"/>
          <tpl fld="6" item="2"/>
          <tpl hier="236" item="1"/>
          <tpl fld="4" item="1"/>
        </tpls>
      </m>
      <m>
        <tpls c="4">
          <tpl fld="7" item="987"/>
          <tpl fld="6" item="1"/>
          <tpl hier="236" item="1"/>
          <tpl fld="4" item="6"/>
        </tpls>
      </m>
      <m>
        <tpls c="4">
          <tpl fld="7" item="41"/>
          <tpl fld="6" item="2"/>
          <tpl hier="236" item="1"/>
          <tpl fld="4" item="1"/>
        </tpls>
      </m>
      <m>
        <tpls c="4">
          <tpl fld="7" item="556"/>
          <tpl fld="6" item="2"/>
          <tpl hier="236" item="1"/>
          <tpl fld="1" item="0"/>
        </tpls>
      </m>
      <m>
        <tpls c="4">
          <tpl fld="7" item="637"/>
          <tpl fld="6" item="2"/>
          <tpl hier="236" item="1"/>
          <tpl fld="4" item="4"/>
        </tpls>
      </m>
      <n v="2" in="1">
        <tpls c="4">
          <tpl fld="7" item="680"/>
          <tpl fld="6" item="1"/>
          <tpl hier="236" item="1"/>
          <tpl fld="4" item="6"/>
        </tpls>
      </n>
      <m>
        <tpls c="3">
          <tpl fld="7" item="774"/>
          <tpl fld="6" item="3"/>
          <tpl hier="236" item="1"/>
        </tpls>
      </m>
      <n v="3" in="1">
        <tpls c="4">
          <tpl fld="7" item="698"/>
          <tpl fld="6" item="1"/>
          <tpl hier="236" item="1"/>
          <tpl fld="4" item="1"/>
        </tpls>
      </n>
      <m>
        <tpls c="4">
          <tpl fld="7" item="1187"/>
          <tpl fld="6" item="1"/>
          <tpl hier="236" item="1"/>
          <tpl fld="4" item="4"/>
        </tpls>
      </m>
      <m>
        <tpls c="4">
          <tpl fld="7" item="565"/>
          <tpl fld="6" item="2"/>
          <tpl hier="236" item="1"/>
          <tpl fld="4" item="5"/>
        </tpls>
      </m>
      <m>
        <tpls c="4">
          <tpl fld="7" item="794"/>
          <tpl fld="6" item="2"/>
          <tpl hier="236" item="1"/>
          <tpl fld="4" item="5"/>
        </tpls>
      </m>
      <m>
        <tpls c="4">
          <tpl fld="7" item="637"/>
          <tpl fld="6" item="2"/>
          <tpl hier="236" item="1"/>
          <tpl fld="4" item="1"/>
        </tpls>
      </m>
      <m>
        <tpls c="4">
          <tpl fld="7" item="584"/>
          <tpl fld="6" item="2"/>
          <tpl hier="236" item="1"/>
          <tpl fld="4" item="4"/>
        </tpls>
      </m>
      <n v="6" in="1">
        <tpls c="4">
          <tpl fld="7" item="548"/>
          <tpl fld="6" item="1"/>
          <tpl hier="236" item="1"/>
          <tpl fld="4" item="4"/>
        </tpls>
      </n>
      <m>
        <tpls c="4">
          <tpl fld="7" item="633"/>
          <tpl fld="6" item="2"/>
          <tpl hier="236" item="1"/>
          <tpl fld="4" item="4"/>
        </tpls>
      </m>
      <m>
        <tpls c="4">
          <tpl fld="7" item="804"/>
          <tpl fld="6" item="2"/>
          <tpl hier="236" item="1"/>
          <tpl fld="4" item="1"/>
        </tpls>
      </m>
      <m>
        <tpls c="4">
          <tpl fld="7" item="809"/>
          <tpl fld="6" item="2"/>
          <tpl hier="236" item="1"/>
          <tpl fld="4" item="5"/>
        </tpls>
      </m>
      <m>
        <tpls c="4">
          <tpl fld="7" item="815"/>
          <tpl fld="6" item="2"/>
          <tpl hier="236" item="1"/>
          <tpl fld="4" item="1"/>
        </tpls>
      </m>
      <m>
        <tpls c="4">
          <tpl fld="7" item="739"/>
          <tpl fld="6" item="2"/>
          <tpl hier="236" item="1"/>
          <tpl fld="4" item="4"/>
        </tpls>
      </m>
      <m>
        <tpls c="4">
          <tpl fld="7" item="827"/>
          <tpl fld="6" item="1"/>
          <tpl hier="236" item="1"/>
          <tpl fld="4" item="5"/>
        </tpls>
      </m>
      <m>
        <tpls c="3">
          <tpl fld="7" item="1005"/>
          <tpl fld="6" item="3"/>
          <tpl hier="236" item="1"/>
        </tpls>
      </m>
      <n v="6" in="1">
        <tpls c="4">
          <tpl fld="7" item="851"/>
          <tpl fld="6" item="1"/>
          <tpl hier="236" item="1"/>
          <tpl fld="4" item="6"/>
        </tpls>
      </n>
      <m>
        <tpls c="4">
          <tpl fld="7" item="1127"/>
          <tpl fld="6" item="2"/>
          <tpl hier="236" item="1"/>
          <tpl fld="4" item="4"/>
        </tpls>
      </m>
      <m>
        <tpls c="4">
          <tpl fld="7" item="1042"/>
          <tpl fld="6" item="2"/>
          <tpl hier="236" item="1"/>
          <tpl fld="4" item="1"/>
        </tpls>
      </m>
      <m>
        <tpls c="4">
          <tpl fld="7" item="1074"/>
          <tpl fld="6" item="2"/>
          <tpl hier="236" item="1"/>
          <tpl fld="4" item="1"/>
        </tpls>
      </m>
      <m>
        <tpls c="4">
          <tpl fld="7" item="304"/>
          <tpl fld="6" item="2"/>
          <tpl hier="236" item="1"/>
          <tpl fld="1" item="0"/>
        </tpls>
      </m>
      <m>
        <tpls c="4">
          <tpl fld="7" item="290"/>
          <tpl fld="6" item="2"/>
          <tpl hier="236" item="1"/>
          <tpl fld="1" item="0"/>
        </tpls>
      </m>
      <m>
        <tpls c="4">
          <tpl fld="7" item="234"/>
          <tpl fld="6" item="2"/>
          <tpl hier="236" item="1"/>
          <tpl fld="1" item="0"/>
        </tpls>
      </m>
      <m>
        <tpls c="4">
          <tpl fld="7" item="1088"/>
          <tpl fld="6" item="1"/>
          <tpl hier="236" item="1"/>
          <tpl fld="4" item="5"/>
        </tpls>
      </m>
      <m>
        <tpls c="4">
          <tpl fld="7" item="572"/>
          <tpl fld="6" item="2"/>
          <tpl hier="236" item="1"/>
          <tpl fld="4" item="5"/>
        </tpls>
      </m>
      <n v="11" in="1">
        <tpls c="4">
          <tpl fld="7" item="722"/>
          <tpl fld="6" item="1"/>
          <tpl hier="236" item="1"/>
          <tpl fld="4" item="6"/>
        </tpls>
      </n>
      <m>
        <tpls c="3">
          <tpl fld="7" item="809"/>
          <tpl fld="6" item="3"/>
          <tpl hier="236" item="1"/>
        </tpls>
      </m>
      <m>
        <tpls c="4">
          <tpl fld="7" item="733"/>
          <tpl fld="6" item="1"/>
          <tpl hier="236" item="1"/>
          <tpl fld="4" item="5"/>
        </tpls>
      </m>
      <n v="2" in="1">
        <tpls c="4">
          <tpl fld="7" item="455"/>
          <tpl fld="6" item="1"/>
          <tpl hier="236" item="1"/>
          <tpl fld="4" item="6"/>
        </tpls>
      </n>
      <m>
        <tpls c="3">
          <tpl fld="7" item="558"/>
          <tpl fld="6" item="3"/>
          <tpl hier="236" item="1"/>
        </tpls>
      </m>
      <m>
        <tpls c="4">
          <tpl fld="7" item="1270"/>
          <tpl fld="6" item="1"/>
          <tpl hier="236" item="1"/>
          <tpl fld="1" item="0"/>
        </tpls>
      </m>
      <m>
        <tpls c="4">
          <tpl fld="7" item="717"/>
          <tpl fld="6" item="2"/>
          <tpl hier="236" item="1"/>
          <tpl fld="1" item="0"/>
        </tpls>
      </m>
      <m>
        <tpls c="4">
          <tpl fld="7" item="586"/>
          <tpl fld="6" item="2"/>
          <tpl hier="236" item="1"/>
          <tpl fld="4" item="4"/>
        </tpls>
      </m>
      <m>
        <tpls c="4">
          <tpl fld="7" item="666"/>
          <tpl fld="6" item="2"/>
          <tpl hier="236" item="1"/>
          <tpl fld="4" item="5"/>
        </tpls>
      </m>
      <m>
        <tpls c="4">
          <tpl fld="7" item="1227"/>
          <tpl fld="6" item="2"/>
          <tpl hier="236" item="1"/>
          <tpl fld="4" item="1"/>
        </tpls>
      </m>
      <m>
        <tpls c="4">
          <tpl fld="7" item="123"/>
          <tpl fld="6" item="2"/>
          <tpl hier="236" item="1"/>
          <tpl fld="1" item="0"/>
        </tpls>
      </m>
      <n v="9" in="1">
        <tpls c="4">
          <tpl fld="7" item="710"/>
          <tpl fld="6" item="1"/>
          <tpl hier="236" item="1"/>
          <tpl fld="1" item="0"/>
        </tpls>
      </n>
      <n v="33" in="1">
        <tpls c="4">
          <tpl fld="7" item="805"/>
          <tpl fld="6" item="1"/>
          <tpl hier="236" item="1"/>
          <tpl fld="4" item="4"/>
        </tpls>
      </n>
      <m>
        <tpls c="4">
          <tpl fld="7" item="812"/>
          <tpl fld="6" item="2"/>
          <tpl hier="236" item="1"/>
          <tpl fld="1" item="0"/>
        </tpls>
      </m>
      <m>
        <tpls c="3">
          <tpl fld="7" item="819"/>
          <tpl fld="6" item="3"/>
          <tpl hier="236" item="1"/>
        </tpls>
      </m>
      <n v="1" in="1">
        <tpls c="4">
          <tpl fld="7" item="743"/>
          <tpl fld="6" item="1"/>
          <tpl hier="236" item="1"/>
          <tpl fld="4" item="5"/>
        </tpls>
      </n>
      <n v="2" in="1">
        <tpls c="4">
          <tpl fld="7" item="1002"/>
          <tpl fld="6" item="1"/>
          <tpl hier="236" item="1"/>
          <tpl fld="4" item="6"/>
        </tpls>
      </n>
      <m>
        <tpls c="4">
          <tpl fld="7" item="847"/>
          <tpl fld="6" item="2"/>
          <tpl hier="236" item="1"/>
          <tpl fld="4" item="4"/>
        </tpls>
      </m>
      <n v="1" in="1">
        <tpls c="4">
          <tpl fld="7" item="860"/>
          <tpl fld="6" item="1"/>
          <tpl hier="236" item="1"/>
          <tpl fld="4" item="4"/>
        </tpls>
      </n>
      <n v="27" in="1">
        <tpls c="4">
          <tpl fld="7" item="1224"/>
          <tpl fld="6" item="1"/>
          <tpl hier="236" item="1"/>
          <tpl fld="4" item="4"/>
        </tpls>
      </n>
      <n v="3" in="1">
        <tpls c="4">
          <tpl fld="7" item="1167"/>
          <tpl fld="6" item="1"/>
          <tpl hier="236" item="1"/>
          <tpl fld="4" item="4"/>
        </tpls>
      </n>
      <m>
        <tpls c="4">
          <tpl fld="7" item="845"/>
          <tpl fld="6" item="2"/>
          <tpl hier="236" item="1"/>
          <tpl fld="1" item="0"/>
        </tpls>
      </m>
      <m>
        <tpls c="4">
          <tpl fld="7" item="209"/>
          <tpl fld="6" item="2"/>
          <tpl hier="236" item="1"/>
          <tpl fld="1" item="0"/>
        </tpls>
      </m>
      <m>
        <tpls c="4">
          <tpl fld="7" item="1088"/>
          <tpl fld="6" item="2"/>
          <tpl hier="236" item="1"/>
          <tpl fld="4" item="5"/>
        </tpls>
      </m>
      <m>
        <tpls c="3">
          <tpl fld="7" item="794"/>
          <tpl fld="6" item="3"/>
          <tpl hier="236" item="1"/>
        </tpls>
      </m>
      <m>
        <tpls c="4">
          <tpl fld="7" item="337"/>
          <tpl fld="6" item="1"/>
          <tpl hier="236" item="1"/>
          <tpl fld="1" item="0"/>
        </tpls>
      </m>
      <m>
        <tpls c="4">
          <tpl fld="7" item="56"/>
          <tpl fld="6" item="2"/>
          <tpl hier="236" item="1"/>
          <tpl fld="4" item="6"/>
        </tpls>
      </m>
      <m>
        <tpls c="4">
          <tpl fld="7" item="133"/>
          <tpl fld="6" item="1"/>
          <tpl hier="236" item="1"/>
          <tpl fld="4" item="4"/>
        </tpls>
      </m>
      <m>
        <tpls c="4">
          <tpl fld="7" item="36"/>
          <tpl fld="6" item="1"/>
          <tpl hier="236" item="1"/>
          <tpl fld="4" item="4"/>
        </tpls>
      </m>
      <m>
        <tpls c="4">
          <tpl fld="7" item="320"/>
          <tpl fld="6" item="2"/>
          <tpl hier="236" item="1"/>
          <tpl fld="4" item="1"/>
        </tpls>
      </m>
      <m>
        <tpls c="3">
          <tpl fld="7" item="316"/>
          <tpl fld="6" item="3"/>
          <tpl hier="236" item="1"/>
        </tpls>
      </m>
      <m>
        <tpls c="4">
          <tpl fld="7" item="529"/>
          <tpl fld="6" item="2"/>
          <tpl hier="236" item="1"/>
          <tpl fld="4" item="4"/>
        </tpls>
      </m>
      <m>
        <tpls c="4">
          <tpl fld="7" item="101"/>
          <tpl fld="6" item="2"/>
          <tpl hier="236" item="1"/>
          <tpl fld="4" item="4"/>
        </tpls>
      </m>
      <m>
        <tpls c="4">
          <tpl fld="7" item="45"/>
          <tpl fld="6" item="2"/>
          <tpl hier="236" item="1"/>
          <tpl fld="4" item="1"/>
        </tpls>
      </m>
      <m>
        <tpls c="4">
          <tpl fld="7" item="564"/>
          <tpl fld="6" item="2"/>
          <tpl hier="236" item="1"/>
          <tpl fld="4" item="1"/>
        </tpls>
      </m>
      <m>
        <tpls c="4">
          <tpl fld="7" item="776"/>
          <tpl fld="6" item="2"/>
          <tpl hier="236" item="1"/>
          <tpl fld="4" item="6"/>
        </tpls>
      </m>
      <m>
        <tpls c="4">
          <tpl fld="7" item="484"/>
          <tpl fld="6" item="1"/>
          <tpl hier="236" item="1"/>
          <tpl fld="4" item="4"/>
        </tpls>
      </m>
      <m>
        <tpls c="3">
          <tpl fld="7" item="244"/>
          <tpl fld="6" item="3"/>
          <tpl hier="236" item="1"/>
        </tpls>
      </m>
      <n v="8" in="1">
        <tpls c="4">
          <tpl fld="7" item="1211"/>
          <tpl fld="6" item="1"/>
          <tpl hier="236" item="1"/>
          <tpl fld="4" item="6"/>
        </tpls>
      </n>
      <m>
        <tpls c="4">
          <tpl fld="7" item="535"/>
          <tpl fld="6" item="1"/>
          <tpl hier="236" item="1"/>
          <tpl fld="4" item="6"/>
        </tpls>
      </m>
      <n v="1" in="1">
        <tpls c="4">
          <tpl fld="7" item="689"/>
          <tpl fld="6" item="1"/>
          <tpl hier="236" item="1"/>
          <tpl fld="4" item="5"/>
        </tpls>
      </n>
      <m>
        <tpls c="4">
          <tpl fld="7" item="989"/>
          <tpl fld="6" item="2"/>
          <tpl hier="236" item="1"/>
          <tpl fld="4" item="6"/>
        </tpls>
      </m>
      <m>
        <tpls c="4">
          <tpl fld="7" item="984"/>
          <tpl fld="6" item="1"/>
          <tpl hier="236" item="1"/>
          <tpl fld="4" item="1"/>
        </tpls>
      </m>
      <m>
        <tpls c="4">
          <tpl fld="7" item="790"/>
          <tpl fld="6" item="1"/>
          <tpl hier="236" item="1"/>
          <tpl fld="4" item="1"/>
        </tpls>
      </m>
      <n v="2.12" in="2">
        <tpls c="4">
          <tpl fld="7" item="609"/>
          <tpl fld="6" item="2"/>
          <tpl hier="236" item="1"/>
          <tpl fld="4" item="6"/>
        </tpls>
      </n>
      <m>
        <tpls c="4">
          <tpl fld="7" item="180"/>
          <tpl fld="6" item="2"/>
          <tpl hier="236" item="1"/>
          <tpl fld="4" item="4"/>
        </tpls>
      </m>
      <n v="1" in="3">
        <tpls c="3">
          <tpl fld="7" item="501"/>
          <tpl fld="6" item="3"/>
          <tpl hier="236" item="1"/>
        </tpls>
      </n>
      <n v="1" in="1">
        <tpls c="4">
          <tpl fld="7" item="547"/>
          <tpl fld="6" item="1"/>
          <tpl hier="236" item="1"/>
          <tpl fld="4" item="6"/>
        </tpls>
      </n>
      <m>
        <tpls c="4">
          <tpl fld="7" item="713"/>
          <tpl fld="6" item="1"/>
          <tpl hier="236" item="1"/>
          <tpl fld="4" item="5"/>
        </tpls>
      </m>
      <m>
        <tpls c="4">
          <tpl fld="7" item="797"/>
          <tpl fld="6" item="2"/>
          <tpl hier="236" item="1"/>
          <tpl fld="1" item="0"/>
        </tpls>
      </m>
      <n v="3" in="1">
        <tpls c="4">
          <tpl fld="7" item="740"/>
          <tpl fld="6" item="1"/>
          <tpl hier="236" item="1"/>
          <tpl fld="4" item="4"/>
        </tpls>
      </n>
      <m>
        <tpls c="4">
          <tpl fld="7" item="922"/>
          <tpl fld="6" item="2"/>
          <tpl hier="236" item="1"/>
          <tpl fld="4" item="4"/>
        </tpls>
      </m>
      <m>
        <tpls c="4">
          <tpl fld="7" item="280"/>
          <tpl fld="6" item="2"/>
          <tpl hier="236" item="1"/>
          <tpl fld="1" item="0"/>
        </tpls>
      </m>
      <m>
        <tpls c="4">
          <tpl fld="7" item="980"/>
          <tpl fld="6" item="1"/>
          <tpl hier="236" item="1"/>
          <tpl fld="4" item="6"/>
        </tpls>
      </m>
      <m>
        <tpls c="4">
          <tpl fld="7" item="363"/>
          <tpl fld="6" item="2"/>
          <tpl hier="236" item="1"/>
          <tpl fld="4" item="1"/>
        </tpls>
      </m>
      <m>
        <tpls c="4">
          <tpl fld="7" item="1088"/>
          <tpl fld="6" item="1"/>
          <tpl hier="236" item="1"/>
          <tpl fld="4" item="4"/>
        </tpls>
      </m>
      <m>
        <tpls c="4">
          <tpl fld="7" item="713"/>
          <tpl fld="6" item="2"/>
          <tpl hier="236" item="1"/>
          <tpl fld="4" item="5"/>
        </tpls>
      </m>
      <m>
        <tpls c="4">
          <tpl fld="7" item="992"/>
          <tpl fld="6" item="2"/>
          <tpl hier="236" item="1"/>
          <tpl fld="4" item="1"/>
        </tpls>
      </m>
      <n v="1" in="1">
        <tpls c="4">
          <tpl fld="7" item="552"/>
          <tpl fld="6" item="1"/>
          <tpl hier="236" item="1"/>
          <tpl fld="4" item="4"/>
        </tpls>
      </n>
      <m>
        <tpls c="4">
          <tpl fld="7" item="582"/>
          <tpl fld="6" item="2"/>
          <tpl hier="236" item="1"/>
          <tpl fld="4" item="1"/>
        </tpls>
      </m>
      <m>
        <tpls c="4">
          <tpl fld="7" item="1240"/>
          <tpl fld="6" item="1"/>
          <tpl hier="236" item="1"/>
          <tpl fld="1" item="0"/>
        </tpls>
      </m>
      <m>
        <tpls c="4">
          <tpl fld="7" item="816"/>
          <tpl fld="6" item="2"/>
          <tpl hier="236" item="1"/>
          <tpl fld="4" item="1"/>
        </tpls>
      </m>
      <m>
        <tpls c="4">
          <tpl fld="7" item="824"/>
          <tpl fld="6" item="2"/>
          <tpl hier="236" item="1"/>
          <tpl fld="4" item="1"/>
        </tpls>
      </m>
      <m>
        <tpls c="4">
          <tpl fld="7" item="900"/>
          <tpl fld="6" item="2"/>
          <tpl hier="236" item="1"/>
          <tpl fld="4" item="1"/>
        </tpls>
      </m>
      <m>
        <tpls c="3">
          <tpl fld="7" item="1119"/>
          <tpl fld="6" item="3"/>
          <tpl hier="236" item="1"/>
        </tpls>
      </m>
      <n v="1.36" in="2">
        <tpls c="4">
          <tpl fld="7" item="1249"/>
          <tpl fld="6" item="2"/>
          <tpl hier="236" item="1"/>
          <tpl fld="4" item="4"/>
        </tpls>
      </n>
      <m>
        <tpls c="4">
          <tpl fld="7" item="1259"/>
          <tpl fld="6" item="2"/>
          <tpl hier="236" item="1"/>
          <tpl fld="4" item="1"/>
        </tpls>
      </m>
      <n v="0.52" in="2">
        <tpls c="4">
          <tpl fld="7" item="447"/>
          <tpl fld="6" item="2"/>
          <tpl hier="236" item="1"/>
          <tpl fld="1" item="0"/>
        </tpls>
      </n>
      <m>
        <tpls c="4">
          <tpl fld="7" item="42"/>
          <tpl fld="6" item="2"/>
          <tpl hier="236" item="1"/>
          <tpl fld="1" item="0"/>
        </tpls>
      </m>
      <n v="719" in="1">
        <tpls c="5">
          <tpl fld="11" item="0"/>
          <tpl fld="6" item="1"/>
          <tpl hier="236" item="1"/>
          <tpl fld="4" item="4"/>
          <tpl fld="10" item="4"/>
        </tpls>
      </n>
      <n v="1" in="1">
        <tpls c="4">
          <tpl fld="7" item="511"/>
          <tpl fld="6" item="1"/>
          <tpl hier="236" item="1"/>
          <tpl fld="4" item="6"/>
        </tpls>
      </n>
      <m>
        <tpls c="4">
          <tpl fld="7" item="269"/>
          <tpl fld="6" item="1"/>
          <tpl hier="236" item="1"/>
          <tpl fld="4" item="5"/>
        </tpls>
      </m>
      <m>
        <tpls c="3">
          <tpl fld="7" item="1263"/>
          <tpl fld="6" item="3"/>
          <tpl hier="236" item="1"/>
        </tpls>
      </m>
      <m>
        <tpls c="4">
          <tpl fld="7" item="314"/>
          <tpl fld="6" item="2"/>
          <tpl hier="236" item="1"/>
          <tpl fld="4" item="4"/>
        </tpls>
      </m>
      <m>
        <tpls c="4">
          <tpl fld="7" item="558"/>
          <tpl fld="6" item="2"/>
          <tpl hier="236" item="1"/>
          <tpl fld="4" item="1"/>
        </tpls>
      </m>
      <m>
        <tpls c="4">
          <tpl fld="7" item="302"/>
          <tpl fld="6" item="2"/>
          <tpl hier="236" item="1"/>
          <tpl fld="4" item="4"/>
        </tpls>
      </m>
      <n v="3" in="1">
        <tpls c="4">
          <tpl fld="7" item="783"/>
          <tpl fld="6" item="1"/>
          <tpl hier="236" item="1"/>
          <tpl fld="4" item="1"/>
        </tpls>
      </n>
      <m>
        <tpls c="4">
          <tpl fld="7" item="799"/>
          <tpl fld="6" item="1"/>
          <tpl hier="236" item="1"/>
          <tpl fld="1" item="0"/>
        </tpls>
      </m>
      <n v="2" in="1">
        <tpls c="4">
          <tpl fld="7" item="681"/>
          <tpl fld="6" item="1"/>
          <tpl hier="236" item="1"/>
          <tpl fld="4" item="6"/>
        </tpls>
      </n>
      <n v="14" in="1">
        <tpls c="4">
          <tpl fld="7" item="546"/>
          <tpl fld="6" item="1"/>
          <tpl hier="236" item="1"/>
          <tpl fld="1" item="0"/>
        </tpls>
      </n>
      <m>
        <tpls c="3">
          <tpl fld="7" item="1270"/>
          <tpl fld="6" item="3"/>
          <tpl hier="236" item="1"/>
        </tpls>
      </m>
      <m>
        <tpls c="4">
          <tpl fld="7" item="623"/>
          <tpl fld="6" item="1"/>
          <tpl hier="236" item="1"/>
          <tpl fld="4" item="5"/>
        </tpls>
      </m>
      <m>
        <tpls c="4">
          <tpl fld="7" item="789"/>
          <tpl fld="6" item="2"/>
          <tpl hier="236" item="1"/>
          <tpl fld="4" item="5"/>
        </tpls>
      </m>
      <n v="2" in="1">
        <tpls c="4">
          <tpl fld="7" item="633"/>
          <tpl fld="6" item="1"/>
          <tpl hier="236" item="1"/>
          <tpl fld="4" item="6"/>
        </tpls>
      </n>
      <m>
        <tpls c="4">
          <tpl fld="7" item="717"/>
          <tpl fld="6" item="1"/>
          <tpl hier="236" item="1"/>
          <tpl fld="1" item="0"/>
        </tpls>
      </m>
      <m>
        <tpls c="4">
          <tpl fld="7" item="803"/>
          <tpl fld="6" item="2"/>
          <tpl hier="236" item="1"/>
          <tpl fld="4" item="5"/>
        </tpls>
      </m>
      <m>
        <tpls c="4">
          <tpl fld="7" item="695"/>
          <tpl fld="6" item="2"/>
          <tpl hier="236" item="1"/>
          <tpl fld="4" item="5"/>
        </tpls>
      </m>
      <m>
        <tpls c="3">
          <tpl fld="7" item="634"/>
          <tpl fld="6" item="3"/>
          <tpl hier="236" item="1"/>
        </tpls>
      </m>
      <m>
        <tpls c="4">
          <tpl fld="7" item="586"/>
          <tpl fld="6" item="1"/>
          <tpl hier="236" item="1"/>
          <tpl fld="4" item="4"/>
        </tpls>
      </m>
      <m>
        <tpls c="4">
          <tpl fld="7" item="648"/>
          <tpl fld="6" item="1"/>
          <tpl hier="236" item="1"/>
          <tpl fld="4" item="6"/>
        </tpls>
      </m>
      <n v="3" in="1">
        <tpls c="4">
          <tpl fld="7" item="1098"/>
          <tpl fld="6" item="1"/>
          <tpl hier="236" item="1"/>
          <tpl fld="1" item="0"/>
        </tpls>
      </n>
      <m>
        <tpls c="4">
          <tpl fld="7" item="821"/>
          <tpl fld="6" item="2"/>
          <tpl hier="236" item="1"/>
          <tpl fld="4" item="5"/>
        </tpls>
      </m>
      <m>
        <tpls c="4">
          <tpl fld="7" item="666"/>
          <tpl fld="6" item="1"/>
          <tpl hier="236" item="1"/>
          <tpl fld="4" item="5"/>
        </tpls>
      </m>
      <n v="0" in="1">
        <tpls c="4">
          <tpl fld="7" item="839"/>
          <tpl fld="6" item="1"/>
          <tpl hier="236" item="1"/>
          <tpl fld="4" item="6"/>
        </tpls>
      </n>
      <m>
        <tpls c="4">
          <tpl fld="7" item="1118"/>
          <tpl fld="6" item="2"/>
          <tpl hier="236" item="1"/>
          <tpl fld="4" item="4"/>
        </tpls>
      </m>
      <n v="0" in="1">
        <tpls c="4">
          <tpl fld="7" item="1025"/>
          <tpl fld="6" item="1"/>
          <tpl hier="236" item="1"/>
          <tpl fld="4" item="4"/>
        </tpls>
      </n>
      <m>
        <tpls c="4">
          <tpl fld="7" item="1044"/>
          <tpl fld="6" item="2"/>
          <tpl hier="236" item="1"/>
          <tpl fld="4" item="1"/>
        </tpls>
      </m>
      <m>
        <tpls c="4">
          <tpl fld="7" item="1076"/>
          <tpl fld="6" item="2"/>
          <tpl hier="236" item="1"/>
          <tpl fld="4" item="1"/>
        </tpls>
      </m>
      <m>
        <tpls c="4">
          <tpl fld="7" item="454"/>
          <tpl fld="6" item="2"/>
          <tpl hier="236" item="1"/>
          <tpl fld="1" item="0"/>
        </tpls>
      </m>
      <m>
        <tpls c="4">
          <tpl fld="7" item="286"/>
          <tpl fld="6" item="2"/>
          <tpl hier="236" item="1"/>
          <tpl fld="1" item="0"/>
        </tpls>
      </m>
      <m>
        <tpls c="4">
          <tpl fld="7" item="111"/>
          <tpl fld="6" item="2"/>
          <tpl hier="236" item="1"/>
          <tpl fld="1" item="0"/>
        </tpls>
      </m>
      <n v="2" in="1">
        <tpls c="4">
          <tpl fld="7" item="615"/>
          <tpl fld="6" item="1"/>
          <tpl hier="236" item="1"/>
          <tpl fld="4" item="6"/>
        </tpls>
      </n>
      <m>
        <tpls c="4">
          <tpl fld="7" item="795"/>
          <tpl fld="6" item="2"/>
          <tpl hier="236" item="1"/>
          <tpl fld="4" item="6"/>
        </tpls>
      </m>
      <m>
        <tpls c="3">
          <tpl fld="7" item="1214"/>
          <tpl fld="6" item="3"/>
          <tpl hier="236" item="1"/>
        </tpls>
      </m>
      <m>
        <tpls c="4">
          <tpl fld="7" item="890"/>
          <tpl fld="6" item="2"/>
          <tpl hier="236" item="1"/>
          <tpl fld="4" item="6"/>
        </tpls>
      </m>
      <m>
        <tpls c="4">
          <tpl fld="7" item="815"/>
          <tpl fld="6" item="2"/>
          <tpl hier="236" item="1"/>
          <tpl fld="1" item="0"/>
        </tpls>
      </m>
      <m>
        <tpls c="4">
          <tpl fld="7" item="462"/>
          <tpl fld="6" item="1"/>
          <tpl hier="236" item="1"/>
          <tpl fld="4" item="5"/>
        </tpls>
      </m>
      <m>
        <tpls c="4">
          <tpl fld="7" item="706"/>
          <tpl fld="6" item="1"/>
          <tpl hier="236" item="1"/>
          <tpl fld="4" item="5"/>
        </tpls>
      </m>
      <m>
        <tpls c="4">
          <tpl fld="7" item="883"/>
          <tpl fld="6" item="2"/>
          <tpl hier="236" item="1"/>
          <tpl fld="4" item="4"/>
        </tpls>
      </m>
      <n v="1" in="1">
        <tpls c="4">
          <tpl fld="7" item="580"/>
          <tpl fld="6" item="1"/>
          <tpl hier="236" item="1"/>
          <tpl fld="4" item="1"/>
        </tpls>
      </n>
      <m>
        <tpls c="3">
          <tpl fld="7" item="644"/>
          <tpl fld="6" item="3"/>
          <tpl hier="236" item="1"/>
        </tpls>
      </m>
      <m>
        <tpls c="4">
          <tpl fld="7" item="748"/>
          <tpl fld="6" item="1"/>
          <tpl hier="236" item="1"/>
          <tpl fld="4" item="4"/>
        </tpls>
      </m>
      <m>
        <tpls c="4">
          <tpl fld="7" item="1229"/>
          <tpl fld="6" item="2"/>
          <tpl hier="236" item="1"/>
          <tpl fld="4" item="1"/>
        </tpls>
      </m>
      <m>
        <tpls c="4">
          <tpl fld="7" item="920"/>
          <tpl fld="6" item="2"/>
          <tpl hier="236" item="1"/>
          <tpl fld="4" item="5"/>
        </tpls>
      </m>
      <m>
        <tpls c="4">
          <tpl fld="7" item="886"/>
          <tpl fld="6" item="2"/>
          <tpl hier="236" item="1"/>
          <tpl fld="1" item="0"/>
        </tpls>
      </m>
      <m>
        <tpls c="4">
          <tpl fld="7" item="587"/>
          <tpl fld="6" item="2"/>
          <tpl hier="236" item="1"/>
          <tpl fld="4" item="5"/>
        </tpls>
      </m>
      <m>
        <tpls c="4">
          <tpl fld="7" item="731"/>
          <tpl fld="6" item="2"/>
          <tpl hier="236" item="1"/>
          <tpl fld="4" item="1"/>
        </tpls>
      </m>
      <m>
        <tpls c="4">
          <tpl fld="7" item="1099"/>
          <tpl fld="6" item="2"/>
          <tpl hier="236" item="1"/>
          <tpl fld="4" item="6"/>
        </tpls>
      </m>
      <n v="0.44000000000000006" in="2">
        <tpls c="4">
          <tpl fld="7" item="825"/>
          <tpl fld="6" item="2"/>
          <tpl hier="236" item="1"/>
          <tpl fld="1" item="0"/>
        </tpls>
      </n>
      <m>
        <tpls c="4">
          <tpl fld="7" item="835"/>
          <tpl fld="6" item="2"/>
          <tpl hier="236" item="1"/>
          <tpl fld="4" item="4"/>
        </tpls>
      </m>
      <n v="15" in="1">
        <tpls c="4">
          <tpl fld="7" item="848"/>
          <tpl fld="6" item="1"/>
          <tpl hier="236" item="1"/>
          <tpl fld="4" item="4"/>
        </tpls>
      </n>
      <m>
        <tpls c="4">
          <tpl fld="7" item="1022"/>
          <tpl fld="6" item="2"/>
          <tpl hier="236" item="1"/>
          <tpl fld="4" item="1"/>
        </tpls>
      </m>
      <m>
        <tpls c="4">
          <tpl fld="7" item="1137"/>
          <tpl fld="6" item="1"/>
          <tpl hier="236" item="1"/>
          <tpl fld="4" item="4"/>
        </tpls>
      </m>
      <n v="2" in="1">
        <tpls c="4">
          <tpl fld="7" item="1169"/>
          <tpl fld="6" item="1"/>
          <tpl hier="236" item="1"/>
          <tpl fld="4" item="4"/>
        </tpls>
      </n>
      <m>
        <tpls c="4">
          <tpl fld="7" item="841"/>
          <tpl fld="6" item="2"/>
          <tpl hier="236" item="1"/>
          <tpl fld="1" item="0"/>
        </tpls>
      </m>
      <m>
        <tpls c="4">
          <tpl fld="7" item="193"/>
          <tpl fld="6" item="2"/>
          <tpl hier="236" item="1"/>
          <tpl fld="1" item="0"/>
        </tpls>
      </m>
      <n v="0.52" in="2">
        <tpls c="4">
          <tpl fld="7" item="615"/>
          <tpl fld="6" item="2"/>
          <tpl hier="236" item="1"/>
          <tpl fld="4" item="6"/>
        </tpls>
      </n>
      <m>
        <tpls c="4">
          <tpl fld="7" item="1093"/>
          <tpl fld="6" item="1"/>
          <tpl hier="236" item="1"/>
          <tpl fld="4" item="4"/>
        </tpls>
      </m>
      <m>
        <tpls c="4">
          <tpl fld="7" item="1069"/>
          <tpl fld="6" item="1"/>
          <tpl hier="236" item="1"/>
          <tpl fld="4" item="5"/>
        </tpls>
      </m>
      <m>
        <tpls c="4">
          <tpl fld="7" item="82"/>
          <tpl fld="6" item="1"/>
          <tpl hier="236" item="1"/>
          <tpl fld="4" item="6"/>
        </tpls>
      </m>
      <m>
        <tpls c="4">
          <tpl fld="7" item="179"/>
          <tpl fld="6" item="2"/>
          <tpl hier="236" item="1"/>
          <tpl fld="4" item="4"/>
        </tpls>
      </m>
      <m>
        <tpls c="4">
          <tpl fld="7" item="154"/>
          <tpl fld="6" item="2"/>
          <tpl hier="236" item="1"/>
          <tpl fld="4" item="4"/>
        </tpls>
      </m>
      <n v="1" in="3">
        <tpls c="3">
          <tpl fld="7" item="431"/>
          <tpl fld="6" item="3"/>
          <tpl hier="236" item="1"/>
        </tpls>
      </n>
      <m>
        <tpls c="4">
          <tpl fld="7" item="428"/>
          <tpl fld="6" item="1"/>
          <tpl hier="236" item="1"/>
          <tpl fld="4" item="6"/>
        </tpls>
      </m>
      <n v="3" in="1">
        <tpls c="4">
          <tpl fld="7" item="692"/>
          <tpl fld="6" item="1"/>
          <tpl hier="236" item="1"/>
          <tpl fld="1" item="0"/>
        </tpls>
      </n>
      <n v="8" in="1">
        <tpls c="4">
          <tpl fld="7" item="429"/>
          <tpl fld="6" item="1"/>
          <tpl hier="236" item="1"/>
          <tpl fld="4" item="6"/>
        </tpls>
      </n>
      <m>
        <tpls c="4">
          <tpl fld="7" item="317"/>
          <tpl fld="6" item="1"/>
          <tpl hier="236" item="1"/>
          <tpl fld="4" item="4"/>
        </tpls>
      </m>
      <m>
        <tpls c="4">
          <tpl fld="7" item="790"/>
          <tpl fld="6" item="1"/>
          <tpl hier="236" item="1"/>
          <tpl fld="4" item="4"/>
        </tpls>
      </m>
      <m>
        <tpls c="4">
          <tpl fld="7" item="550"/>
          <tpl fld="6" item="2"/>
          <tpl hier="236" item="1"/>
          <tpl fld="1" item="0"/>
        </tpls>
      </m>
      <m>
        <tpls c="4">
          <tpl fld="7" item="152"/>
          <tpl fld="6" item="2"/>
          <tpl hier="236" item="1"/>
          <tpl fld="4" item="6"/>
        </tpls>
      </m>
      <m>
        <tpls c="3">
          <tpl fld="7" item="206"/>
          <tpl fld="6" item="3"/>
          <tpl hier="236" item="1"/>
        </tpls>
      </m>
      <m>
        <tpls c="3">
          <tpl fld="7" item="757"/>
          <tpl fld="6" item="3"/>
          <tpl hier="236" item="1"/>
        </tpls>
      </m>
      <m>
        <tpls c="4">
          <tpl fld="7" item="1086"/>
          <tpl fld="6" item="2"/>
          <tpl hier="236" item="1"/>
          <tpl fld="4" item="1"/>
        </tpls>
      </m>
      <m>
        <tpls c="4">
          <tpl fld="7" item="544"/>
          <tpl fld="6" item="1"/>
          <tpl hier="236" item="1"/>
          <tpl fld="1" item="0"/>
        </tpls>
      </m>
      <m>
        <tpls c="4">
          <tpl fld="7" item="710"/>
          <tpl fld="6" item="2"/>
          <tpl hier="236" item="1"/>
          <tpl fld="4" item="6"/>
        </tpls>
      </m>
      <m>
        <tpls c="4">
          <tpl fld="7" item="611"/>
          <tpl fld="6" item="2"/>
          <tpl hier="236" item="1"/>
          <tpl fld="4" item="4"/>
        </tpls>
      </m>
      <n v="4" in="1">
        <tpls c="4">
          <tpl fld="7" item="630"/>
          <tpl fld="6" item="1"/>
          <tpl hier="236" item="1"/>
          <tpl fld="4" item="1"/>
        </tpls>
      </n>
      <m>
        <tpls c="4">
          <tpl fld="7" item="691"/>
          <tpl fld="6" item="1"/>
          <tpl hier="236" item="1"/>
          <tpl fld="4" item="6"/>
        </tpls>
      </m>
      <n v="9" in="1">
        <tpls c="4">
          <tpl fld="7" item="214"/>
          <tpl fld="6" item="1"/>
          <tpl hier="236" item="1"/>
          <tpl fld="4" item="4"/>
        </tpls>
      </n>
      <m>
        <tpls c="4">
          <tpl fld="7" item="769"/>
          <tpl fld="6" item="2"/>
          <tpl hier="236" item="1"/>
          <tpl fld="4" item="6"/>
        </tpls>
      </m>
      <m>
        <tpls c="4">
          <tpl fld="7" item="549"/>
          <tpl fld="6" item="1"/>
          <tpl hier="236" item="1"/>
          <tpl fld="4" item="6"/>
        </tpls>
      </m>
      <m>
        <tpls c="4">
          <tpl fld="7" item="796"/>
          <tpl fld="6" item="1"/>
          <tpl hier="236" item="1"/>
          <tpl fld="4" item="6"/>
        </tpls>
      </m>
      <m>
        <tpls c="4">
          <tpl fld="7" item="639"/>
          <tpl fld="6" item="1"/>
          <tpl hier="236" item="1"/>
          <tpl fld="4" item="1"/>
        </tpls>
      </m>
      <m>
        <tpls c="4">
          <tpl fld="7" item="823"/>
          <tpl fld="6" item="2"/>
          <tpl hier="236" item="1"/>
          <tpl fld="4" item="5"/>
        </tpls>
      </m>
      <n v="1" in="1">
        <tpls c="4">
          <tpl fld="7" item="869"/>
          <tpl fld="6" item="1"/>
          <tpl hier="236" item="1"/>
          <tpl fld="4" item="6"/>
        </tpls>
      </n>
      <m>
        <tpls c="4">
          <tpl fld="7" item="155"/>
          <tpl fld="6" item="2"/>
          <tpl hier="236" item="1"/>
          <tpl fld="1" item="0"/>
        </tpls>
      </m>
      <n v="8.5167567567567559" in="2">
        <tpls c="4">
          <tpl fld="7" item="107"/>
          <tpl fld="6" item="2"/>
          <tpl hier="236" item="1"/>
          <tpl fld="4" item="1"/>
        </tpls>
      </n>
      <n v="70" in="1">
        <tpls c="4">
          <tpl fld="7" item="540"/>
          <tpl fld="6" item="1"/>
          <tpl hier="236" item="1"/>
          <tpl fld="1" item="0"/>
        </tpls>
      </n>
      <m>
        <tpls c="4">
          <tpl fld="7" item="549"/>
          <tpl fld="6" item="2"/>
          <tpl hier="236" item="1"/>
          <tpl fld="4" item="6"/>
        </tpls>
      </m>
      <m>
        <tpls c="4">
          <tpl fld="7" item="796"/>
          <tpl fld="6" item="2"/>
          <tpl hier="236" item="1"/>
          <tpl fld="4" item="6"/>
        </tpls>
      </m>
      <n v="3" in="1">
        <tpls c="4">
          <tpl fld="7" item="641"/>
          <tpl fld="6" item="1"/>
          <tpl hier="236" item="1"/>
          <tpl fld="1" item="0"/>
        </tpls>
      </n>
      <m>
        <tpls c="4">
          <tpl fld="7" item="781"/>
          <tpl fld="6" item="2"/>
          <tpl hier="236" item="1"/>
          <tpl fld="4" item="6"/>
        </tpls>
      </m>
      <m>
        <tpls c="4">
          <tpl fld="7" item="720"/>
          <tpl fld="6" item="1"/>
          <tpl hier="236" item="1"/>
          <tpl fld="4" item="4"/>
        </tpls>
      </m>
      <m>
        <tpls c="4">
          <tpl fld="7" item="727"/>
          <tpl fld="6" item="1"/>
          <tpl hier="236" item="1"/>
          <tpl fld="4" item="4"/>
        </tpls>
      </m>
      <m>
        <tpls c="4">
          <tpl fld="7" item="735"/>
          <tpl fld="6" item="1"/>
          <tpl hier="236" item="1"/>
          <tpl fld="4" item="4"/>
        </tpls>
      </m>
      <m>
        <tpls c="4">
          <tpl fld="7" item="1241"/>
          <tpl fld="6" item="1"/>
          <tpl hier="236" item="1"/>
          <tpl fld="1" item="0"/>
        </tpls>
      </m>
      <m>
        <tpls c="3">
          <tpl fld="7" item="1107"/>
          <tpl fld="6" item="3"/>
          <tpl hier="236" item="1"/>
        </tpls>
      </m>
      <m>
        <tpls c="4">
          <tpl fld="7" item="1246"/>
          <tpl fld="6" item="2"/>
          <tpl hier="236" item="1"/>
          <tpl fld="4" item="4"/>
        </tpls>
      </m>
      <m>
        <tpls c="4">
          <tpl fld="7" item="872"/>
          <tpl fld="6" item="2"/>
          <tpl hier="236" item="1"/>
          <tpl fld="4" item="1"/>
        </tpls>
      </m>
      <m>
        <tpls c="4">
          <tpl fld="7" item="1208"/>
          <tpl fld="6" item="2"/>
          <tpl hier="236" item="1"/>
          <tpl fld="4" item="1"/>
        </tpls>
      </m>
      <n v="1" in="2">
        <tpls c="4">
          <tpl fld="7" item="439"/>
          <tpl fld="6" item="2"/>
          <tpl hier="236" item="1"/>
          <tpl fld="1" item="0"/>
        </tpls>
      </n>
      <m>
        <tpls c="4">
          <tpl fld="7" item="38"/>
          <tpl fld="6" item="2"/>
          <tpl hier="236" item="1"/>
          <tpl fld="1" item="0"/>
        </tpls>
      </m>
      <m>
        <tpls c="4">
          <tpl fld="7" item="340"/>
          <tpl fld="6" item="2"/>
          <tpl hier="236" item="1"/>
          <tpl fld="4" item="1"/>
        </tpls>
      </m>
      <n v="0.8" in="2">
        <tpls c="4">
          <tpl fld="7" item="764"/>
          <tpl fld="6" item="2"/>
          <tpl hier="236" item="1"/>
          <tpl fld="4" item="4"/>
        </tpls>
      </n>
      <m>
        <tpls c="4">
          <tpl fld="7" item="66"/>
          <tpl fld="6" item="2"/>
          <tpl hier="236" item="1"/>
          <tpl fld="4" item="1"/>
        </tpls>
      </m>
      <m>
        <tpls c="4">
          <tpl fld="7" item="765"/>
          <tpl fld="6" item="2"/>
          <tpl hier="236" item="1"/>
          <tpl fld="1" item="0"/>
        </tpls>
      </m>
      <n v="11.52" in="2">
        <tpls c="4">
          <tpl fld="7" item="427"/>
          <tpl fld="6" item="2"/>
          <tpl hier="236" item="1"/>
          <tpl fld="4" item="4"/>
        </tpls>
      </n>
      <m>
        <tpls c="4">
          <tpl fld="7" item="1187"/>
          <tpl fld="6" item="2"/>
          <tpl hier="236" item="1"/>
          <tpl fld="1" item="0"/>
        </tpls>
      </m>
      <n v="27.339891891891881" in="2">
        <tpls c="4">
          <tpl fld="7" item="424"/>
          <tpl fld="6" item="2"/>
          <tpl hier="236" item="1"/>
          <tpl fld="4" item="4"/>
        </tpls>
      </n>
      <n v="2" in="1">
        <tpls c="4">
          <tpl fld="7" item="559"/>
          <tpl fld="6" item="1"/>
          <tpl hier="236" item="1"/>
          <tpl fld="1" item="0"/>
        </tpls>
      </n>
      <m>
        <tpls c="4">
          <tpl fld="7" item="1094"/>
          <tpl fld="6" item="2"/>
          <tpl hier="236" item="1"/>
          <tpl fld="4" item="4"/>
        </tpls>
      </m>
      <n v="0" in="1">
        <tpls c="4">
          <tpl fld="7" item="682"/>
          <tpl fld="6" item="1"/>
          <tpl hier="236" item="1"/>
          <tpl fld="4" item="6"/>
        </tpls>
      </n>
      <n v="1" in="1">
        <tpls c="4">
          <tpl fld="7" item="775"/>
          <tpl fld="6" item="1"/>
          <tpl hier="236" item="1"/>
          <tpl fld="4" item="5"/>
        </tpls>
      </n>
      <m>
        <tpls c="4">
          <tpl fld="7" item="554"/>
          <tpl fld="6" item="2"/>
          <tpl hier="236" item="1"/>
          <tpl fld="4" item="6"/>
        </tpls>
      </m>
      <m>
        <tpls c="4">
          <tpl fld="7" item="703"/>
          <tpl fld="6" item="2"/>
          <tpl hier="236" item="1"/>
          <tpl fld="1" item="0"/>
        </tpls>
      </m>
      <m>
        <tpls c="4">
          <tpl fld="7" item="566"/>
          <tpl fld="6" item="2"/>
          <tpl hier="236" item="1"/>
          <tpl fld="4" item="5"/>
        </tpls>
      </m>
      <n v="1" in="1">
        <tpls c="4">
          <tpl fld="7" item="573"/>
          <tpl fld="6" item="1"/>
          <tpl hier="236" item="1"/>
          <tpl fld="4" item="1"/>
        </tpls>
      </n>
      <m>
        <tpls c="4">
          <tpl fld="7" item="579"/>
          <tpl fld="6" item="1"/>
          <tpl hier="236" item="1"/>
          <tpl fld="4" item="4"/>
        </tpls>
      </m>
      <n v="6" in="1">
        <tpls c="4">
          <tpl fld="7" item="642"/>
          <tpl fld="6" item="1"/>
          <tpl hier="236" item="1"/>
          <tpl fld="4" item="6"/>
        </tpls>
      </n>
      <m>
        <tpls c="4">
          <tpl fld="7" item="778"/>
          <tpl fld="6" item="2"/>
          <tpl hier="236" item="1"/>
          <tpl fld="4" item="6"/>
        </tpls>
      </m>
      <n v="4" in="1">
        <tpls c="4">
          <tpl fld="7" item="715"/>
          <tpl fld="6" item="1"/>
          <tpl hier="236" item="1"/>
          <tpl fld="4" item="4"/>
        </tpls>
      </n>
      <m>
        <tpls c="4">
          <tpl fld="7" item="643"/>
          <tpl fld="6" item="1"/>
          <tpl hier="236" item="1"/>
          <tpl fld="4" item="5"/>
        </tpls>
      </m>
      <n v="1" in="1">
        <tpls c="4">
          <tpl fld="7" item="728"/>
          <tpl fld="6" item="1"/>
          <tpl hier="236" item="1"/>
          <tpl fld="4" item="1"/>
        </tpls>
      </n>
      <m>
        <tpls c="4">
          <tpl fld="7" item="734"/>
          <tpl fld="6" item="1"/>
          <tpl hier="236" item="1"/>
          <tpl fld="4" item="4"/>
        </tpls>
      </m>
      <m>
        <tpls c="4">
          <tpl fld="7" item="660"/>
          <tpl fld="6" item="1"/>
          <tpl hier="236" item="1"/>
          <tpl fld="4" item="6"/>
        </tpls>
      </m>
      <m>
        <tpls c="4">
          <tpl fld="7" item="828"/>
          <tpl fld="6" item="1"/>
          <tpl hier="236" item="1"/>
          <tpl fld="4" item="5"/>
        </tpls>
      </m>
      <m>
        <tpls c="4">
          <tpl fld="7" item="1109"/>
          <tpl fld="6" item="2"/>
          <tpl hier="236" item="1"/>
          <tpl fld="4" item="4"/>
        </tpls>
      </m>
      <n v="1" in="3">
        <tpls c="3">
          <tpl fld="7" item="760"/>
          <tpl fld="6" item="3"/>
          <tpl hier="236" item="1"/>
        </tpls>
      </n>
      <m>
        <tpls c="3">
          <tpl fld="7" item="764"/>
          <tpl fld="6" item="3"/>
          <tpl hier="236" item="1"/>
        </tpls>
      </m>
      <m>
        <tpls c="4">
          <tpl fld="7" item="392"/>
          <tpl fld="6" item="1"/>
          <tpl hier="236" item="1"/>
          <tpl fld="4" item="4"/>
        </tpls>
      </m>
      <n v="1" in="2">
        <tpls c="4">
          <tpl fld="7" item="1087"/>
          <tpl fld="6" item="2"/>
          <tpl hier="236" item="1"/>
          <tpl fld="1" item="0"/>
        </tpls>
      </n>
      <m>
        <tpls c="4">
          <tpl fld="7" item="190"/>
          <tpl fld="6" item="1"/>
          <tpl hier="236" item="1"/>
          <tpl fld="4" item="4"/>
        </tpls>
      </m>
      <m>
        <tpls c="3">
          <tpl fld="7" item="465"/>
          <tpl fld="6" item="3"/>
          <tpl hier="236" item="1"/>
        </tpls>
      </m>
      <m>
        <tpls c="3">
          <tpl fld="7" item="616"/>
          <tpl fld="6" item="3"/>
          <tpl hier="236" item="1"/>
        </tpls>
      </m>
      <n v="1" in="1">
        <tpls c="4">
          <tpl fld="7" item="783"/>
          <tpl fld="6" item="1"/>
          <tpl hier="236" item="1"/>
          <tpl fld="4" item="6"/>
        </tpls>
      </n>
      <m>
        <tpls c="4">
          <tpl fld="7" item="627"/>
          <tpl fld="6" item="2"/>
          <tpl hier="236" item="1"/>
          <tpl fld="4" item="6"/>
        </tpls>
      </m>
      <m>
        <tpls c="4">
          <tpl fld="7" item="575"/>
          <tpl fld="6" item="1"/>
          <tpl hier="236" item="1"/>
          <tpl fld="1" item="0"/>
        </tpls>
      </m>
      <m>
        <tpls c="4">
          <tpl fld="7" item="178"/>
          <tpl fld="6" item="1"/>
          <tpl hier="236" item="1"/>
          <tpl fld="4" item="4"/>
        </tpls>
      </m>
      <n v="0" in="1">
        <tpls c="4">
          <tpl fld="7" item="534"/>
          <tpl fld="6" item="1"/>
          <tpl hier="236" item="1"/>
          <tpl fld="4" item="1"/>
        </tpls>
      </n>
      <m>
        <tpls c="4">
          <tpl fld="7" item="882"/>
          <tpl fld="6" item="2"/>
          <tpl hier="236" item="1"/>
          <tpl fld="4" item="5"/>
        </tpls>
      </m>
      <m>
        <tpls c="4">
          <tpl fld="7" item="557"/>
          <tpl fld="6" item="2"/>
          <tpl hier="236" item="1"/>
          <tpl fld="1" item="0"/>
        </tpls>
      </m>
      <m>
        <tpls c="3">
          <tpl fld="7" item="563"/>
          <tpl fld="6" item="3"/>
          <tpl hier="236" item="1"/>
        </tpls>
      </m>
      <m>
        <tpls c="4">
          <tpl fld="7" item="631"/>
          <tpl fld="6" item="1"/>
          <tpl hier="236" item="1"/>
          <tpl fld="4" item="1"/>
        </tpls>
      </m>
      <n v="9" in="1">
        <tpls c="4">
          <tpl fld="7" item="797"/>
          <tpl fld="6" item="1"/>
          <tpl hier="236" item="1"/>
          <tpl fld="4" item="4"/>
        </tpls>
      </n>
      <m>
        <tpls c="4">
          <tpl fld="7" item="182"/>
          <tpl fld="6" item="1"/>
          <tpl hier="236" item="1"/>
          <tpl fld="4" item="4"/>
        </tpls>
      </m>
      <m>
        <tpls c="4">
          <tpl fld="7" item="879"/>
          <tpl fld="6" item="1"/>
          <tpl hier="236" item="1"/>
          <tpl fld="4" item="6"/>
        </tpls>
      </m>
      <m>
        <tpls c="3">
          <tpl fld="7" item="692"/>
          <tpl fld="6" item="3"/>
          <tpl hier="236" item="1"/>
        </tpls>
      </m>
      <m>
        <tpls c="4">
          <tpl fld="7" item="617"/>
          <tpl fld="6" item="2"/>
          <tpl hier="236" item="1"/>
          <tpl fld="4" item="1"/>
        </tpls>
      </m>
      <m>
        <tpls c="4">
          <tpl fld="7" item="480"/>
          <tpl fld="6" item="1"/>
          <tpl hier="236" item="1"/>
          <tpl fld="4" item="4"/>
        </tpls>
      </m>
      <m>
        <tpls c="4">
          <tpl fld="7" item="601"/>
          <tpl fld="6" item="2"/>
          <tpl hier="236" item="1"/>
          <tpl fld="4" item="1"/>
        </tpls>
      </m>
      <n v="1" in="3">
        <tpls c="3">
          <tpl fld="7" item="981"/>
          <tpl fld="6" item="3"/>
          <tpl hier="236" item="1"/>
        </tpls>
      </n>
      <m>
        <tpls c="3">
          <tpl fld="7" item="769"/>
          <tpl fld="6" item="3"/>
          <tpl hier="236" item="1"/>
        </tpls>
      </m>
      <m>
        <tpls c="4">
          <tpl fld="7" item="547"/>
          <tpl fld="6" item="1"/>
          <tpl hier="236" item="1"/>
          <tpl fld="4" item="5"/>
        </tpls>
      </m>
      <m>
        <tpls c="4">
          <tpl fld="7" item="712"/>
          <tpl fld="6" item="2"/>
          <tpl hier="236" item="1"/>
          <tpl fld="4" item="5"/>
        </tpls>
      </m>
      <m>
        <tpls c="4">
          <tpl fld="7" item="693"/>
          <tpl fld="6" item="2"/>
          <tpl hier="236" item="1"/>
          <tpl fld="1" item="0"/>
        </tpls>
      </m>
      <m>
        <tpls c="4">
          <tpl fld="7" item="632"/>
          <tpl fld="6" item="1"/>
          <tpl hier="236" item="1"/>
          <tpl fld="4" item="5"/>
        </tpls>
      </m>
      <m>
        <tpls c="4">
          <tpl fld="7" item="209"/>
          <tpl fld="6" item="1"/>
          <tpl hier="236" item="1"/>
          <tpl fld="4" item="4"/>
        </tpls>
      </m>
      <n v="54" in="1">
        <tpls c="4">
          <tpl fld="7" item="540"/>
          <tpl fld="6" item="1"/>
          <tpl hier="236" item="1"/>
          <tpl fld="4" item="4"/>
        </tpls>
      </n>
      <m>
        <tpls c="4">
          <tpl fld="7" item="696"/>
          <tpl fld="6" item="2"/>
          <tpl hier="236" item="1"/>
          <tpl fld="4" item="1"/>
        </tpls>
      </m>
      <n v="2" in="1">
        <tpls c="4">
          <tpl fld="7" item="621"/>
          <tpl fld="6" item="1"/>
          <tpl hier="236" item="1"/>
          <tpl fld="1" item="0"/>
        </tpls>
      </n>
      <m>
        <tpls c="4">
          <tpl fld="7" item="705"/>
          <tpl fld="6" item="2"/>
          <tpl hier="236" item="1"/>
          <tpl fld="4" item="5"/>
        </tpls>
      </m>
      <m>
        <tpls c="4">
          <tpl fld="7" item="1239"/>
          <tpl fld="6" item="2"/>
          <tpl hier="236" item="1"/>
          <tpl fld="4" item="5"/>
        </tpls>
      </m>
      <m>
        <tpls c="4">
          <tpl fld="7" item="715"/>
          <tpl fld="6" item="2"/>
          <tpl hier="236" item="1"/>
          <tpl fld="4" item="6"/>
        </tpls>
      </m>
      <m>
        <tpls c="4">
          <tpl fld="7" item="801"/>
          <tpl fld="6" item="2"/>
          <tpl hier="236" item="1"/>
          <tpl fld="1" item="0"/>
        </tpls>
      </m>
      <n v="0.72" in="2">
        <tpls c="4">
          <tpl fld="7" item="377"/>
          <tpl fld="6" item="2"/>
          <tpl hier="236" item="1"/>
          <tpl fld="4" item="1"/>
        </tpls>
      </n>
      <n v="35" in="1">
        <tpls c="4">
          <tpl fld="7" item="988"/>
          <tpl fld="6" item="1"/>
          <tpl hier="236" item="1"/>
          <tpl fld="4" item="6"/>
        </tpls>
      </n>
      <m>
        <tpls c="4">
          <tpl fld="7" item="640"/>
          <tpl fld="6" item="1"/>
          <tpl hier="236" item="1"/>
          <tpl fld="1" item="0"/>
        </tpls>
      </m>
      <m>
        <tpls c="4">
          <tpl fld="7" item="725"/>
          <tpl fld="6" item="2"/>
          <tpl hier="236" item="1"/>
          <tpl fld="4" item="4"/>
        </tpls>
      </m>
      <m>
        <tpls c="4">
          <tpl fld="7" item="651"/>
          <tpl fld="6" item="2"/>
          <tpl hier="236" item="1"/>
          <tpl fld="4" item="6"/>
        </tpls>
      </m>
      <m>
        <tpls c="4">
          <tpl fld="7" item="996"/>
          <tpl fld="6" item="2"/>
          <tpl hier="236" item="1"/>
          <tpl fld="1" item="0"/>
        </tpls>
      </m>
      <m>
        <tpls c="3">
          <tpl fld="7" item="1241"/>
          <tpl fld="6" item="3"/>
          <tpl hier="236" item="1"/>
        </tpls>
      </m>
      <m>
        <tpls c="4">
          <tpl fld="7" item="833"/>
          <tpl fld="6" item="1"/>
          <tpl hier="236" item="1"/>
          <tpl fld="4" item="6"/>
        </tpls>
      </m>
      <m>
        <tpls c="4">
          <tpl fld="7" item="907"/>
          <tpl fld="6" item="2"/>
          <tpl hier="236" item="1"/>
          <tpl fld="4" item="4"/>
        </tpls>
      </m>
      <n v="4" in="1">
        <tpls c="4">
          <tpl fld="7" item="1221"/>
          <tpl fld="6" item="1"/>
          <tpl hier="236" item="1"/>
          <tpl fld="4" item="4"/>
        </tpls>
      </n>
      <m>
        <tpls c="4">
          <tpl fld="7" item="1030"/>
          <tpl fld="6" item="2"/>
          <tpl hier="236" item="1"/>
          <tpl fld="4" item="1"/>
        </tpls>
      </m>
      <m>
        <tpls c="4">
          <tpl fld="7" item="1061"/>
          <tpl fld="6" item="2"/>
          <tpl hier="236" item="1"/>
          <tpl fld="4" item="1"/>
        </tpls>
      </m>
      <n v="2" in="2">
        <tpls c="4">
          <tpl fld="7" item="911"/>
          <tpl fld="6" item="2"/>
          <tpl hier="236" item="1"/>
          <tpl fld="1" item="0"/>
        </tpls>
      </n>
      <m>
        <tpls c="4">
          <tpl fld="7" item="105"/>
          <tpl fld="6" item="2"/>
          <tpl hier="236" item="1"/>
          <tpl fld="1" item="0"/>
        </tpls>
      </m>
      <m>
        <tpls c="4">
          <tpl fld="7" item="39"/>
          <tpl fld="6" item="2"/>
          <tpl hier="236" item="1"/>
          <tpl fld="1" item="0"/>
        </tpls>
      </m>
      <m>
        <tpls c="4">
          <tpl fld="7" item="442"/>
          <tpl fld="6" item="2"/>
          <tpl hier="236" item="1"/>
          <tpl fld="4" item="4"/>
        </tpls>
      </m>
      <m>
        <tpls c="4">
          <tpl fld="7" item="276"/>
          <tpl fld="6" item="2"/>
          <tpl hier="236" item="1"/>
          <tpl fld="4" item="1"/>
        </tpls>
      </m>
      <m>
        <tpls c="4">
          <tpl fld="7" item="521"/>
          <tpl fld="6" item="1"/>
          <tpl hier="236" item="1"/>
          <tpl fld="4" item="4"/>
        </tpls>
      </m>
      <n v="1" in="1">
        <tpls c="4">
          <tpl fld="7" item="431"/>
          <tpl fld="6" item="1"/>
          <tpl hier="236" item="1"/>
          <tpl fld="4" item="6"/>
        </tpls>
      </n>
      <m>
        <tpls c="4">
          <tpl fld="7" item="539"/>
          <tpl fld="6" item="2"/>
          <tpl hier="236" item="1"/>
          <tpl fld="4" item="6"/>
        </tpls>
      </m>
      <m>
        <tpls c="4">
          <tpl fld="7" item="1088"/>
          <tpl fld="6" item="2"/>
          <tpl hier="236" item="1"/>
          <tpl fld="1" item="0"/>
        </tpls>
      </m>
      <m>
        <tpls c="4">
          <tpl fld="7" item="794"/>
          <tpl fld="6" item="1"/>
          <tpl hier="236" item="1"/>
          <tpl fld="4" item="6"/>
        </tpls>
      </m>
      <n v="7" in="1">
        <tpls c="4">
          <tpl fld="7" item="547"/>
          <tpl fld="6" item="1"/>
          <tpl hier="236" item="1"/>
          <tpl fld="1" item="0"/>
        </tpls>
      </n>
      <m>
        <tpls c="4">
          <tpl fld="7" item="712"/>
          <tpl fld="6" item="2"/>
          <tpl hier="236" item="1"/>
          <tpl fld="1" item="0"/>
        </tpls>
      </m>
      <m>
        <tpls c="3">
          <tpl fld="7" item="210"/>
          <tpl fld="6" item="3"/>
          <tpl hier="236" item="1"/>
        </tpls>
      </m>
      <m>
        <tpls c="4">
          <tpl fld="7" item="770"/>
          <tpl fld="6" item="1"/>
          <tpl hier="236" item="1"/>
          <tpl fld="4" item="5"/>
        </tpls>
      </m>
      <n v="2" in="1">
        <tpls c="4">
          <tpl fld="7" item="696"/>
          <tpl fld="6" item="1"/>
          <tpl hier="236" item="1"/>
          <tpl fld="4" item="5"/>
        </tpls>
      </n>
      <m>
        <tpls c="4">
          <tpl fld="7" item="621"/>
          <tpl fld="6" item="2"/>
          <tpl hier="236" item="1"/>
          <tpl fld="1" item="0"/>
        </tpls>
      </m>
      <m>
        <tpls c="3">
          <tpl fld="7" item="787"/>
          <tpl fld="6" item="3"/>
          <tpl hier="236" item="1"/>
        </tpls>
      </m>
      <m>
        <tpls c="4">
          <tpl fld="7" item="570"/>
          <tpl fld="6" item="1"/>
          <tpl hier="236" item="1"/>
          <tpl fld="4" item="5"/>
        </tpls>
      </m>
      <m>
        <tpls c="4">
          <tpl fld="7" item="576"/>
          <tpl fld="6" item="1"/>
          <tpl hier="236" item="1"/>
          <tpl fld="4" item="4"/>
        </tpls>
      </m>
      <m>
        <tpls c="4">
          <tpl fld="7" item="1037"/>
          <tpl fld="6" item="1"/>
          <tpl hier="236" item="1"/>
          <tpl fld="4" item="6"/>
        </tpls>
      </m>
      <m>
        <tpls c="4">
          <tpl fld="7" item="117"/>
          <tpl fld="6" item="2"/>
          <tpl hier="236" item="1"/>
          <tpl fld="4" item="6"/>
        </tpls>
      </m>
      <m>
        <tpls c="4">
          <tpl fld="7" item="117"/>
          <tpl fld="6" item="1"/>
          <tpl hier="236" item="1"/>
          <tpl fld="1" item="0"/>
        </tpls>
      </m>
      <m>
        <tpls c="4">
          <tpl fld="7" item="397"/>
          <tpl fld="6" item="1"/>
          <tpl hier="236" item="1"/>
          <tpl fld="4" item="5"/>
        </tpls>
      </m>
      <m>
        <tpls c="4">
          <tpl fld="7" item="468"/>
          <tpl fld="6" item="1"/>
          <tpl hier="236" item="1"/>
          <tpl fld="4" item="5"/>
        </tpls>
      </m>
      <m>
        <tpls c="4">
          <tpl fld="7" item="477"/>
          <tpl fld="6" item="2"/>
          <tpl hier="236" item="1"/>
          <tpl fld="4" item="4"/>
        </tpls>
      </m>
      <m>
        <tpls c="4">
          <tpl fld="7" item="676"/>
          <tpl fld="6" item="2"/>
          <tpl hier="236" item="1"/>
          <tpl fld="4" item="1"/>
        </tpls>
      </m>
      <m>
        <tpls c="3">
          <tpl fld="7" item="303"/>
          <tpl fld="6" item="3"/>
          <tpl hier="236" item="1"/>
        </tpls>
      </m>
      <m>
        <tpls c="4">
          <tpl fld="7" item="164"/>
          <tpl fld="6" item="1"/>
          <tpl hier="236" item="1"/>
          <tpl fld="4" item="4"/>
        </tpls>
      </m>
      <m>
        <tpls c="4">
          <tpl fld="7" item="191"/>
          <tpl fld="6" item="1"/>
          <tpl hier="236" item="1"/>
          <tpl fld="4" item="4"/>
        </tpls>
      </m>
      <m>
        <tpls c="4">
          <tpl fld="7" item="604"/>
          <tpl fld="6" item="2"/>
          <tpl hier="236" item="1"/>
          <tpl fld="4" item="4"/>
        </tpls>
      </m>
      <m>
        <tpls c="3">
          <tpl fld="7" item="192"/>
          <tpl fld="6" item="3"/>
          <tpl hier="236" item="1"/>
        </tpls>
      </m>
      <m>
        <tpls c="4">
          <tpl fld="7" item="604"/>
          <tpl fld="6" item="2"/>
          <tpl hier="236" item="1"/>
          <tpl fld="4" item="5"/>
        </tpls>
      </m>
      <m>
        <tpls c="4">
          <tpl fld="7" item="195"/>
          <tpl fld="6" item="1"/>
          <tpl hier="236" item="1"/>
          <tpl fld="4" item="6"/>
        </tpls>
      </m>
      <m>
        <tpls c="4">
          <tpl fld="7" item="91"/>
          <tpl fld="6" item="2"/>
          <tpl hier="236" item="1"/>
          <tpl fld="4" item="1"/>
        </tpls>
      </m>
      <m>
        <tpls c="4">
          <tpl fld="7" item="156"/>
          <tpl fld="6" item="2"/>
          <tpl hier="236" item="1"/>
          <tpl fld="4" item="4"/>
        </tpls>
      </m>
      <n v="1" in="1">
        <tpls c="4">
          <tpl fld="7" item="313"/>
          <tpl fld="6" item="1"/>
          <tpl hier="236" item="1"/>
          <tpl fld="4" item="6"/>
        </tpls>
      </n>
      <n v="1" in="2">
        <tpls c="4">
          <tpl fld="7" item="434"/>
          <tpl fld="6" item="2"/>
          <tpl hier="236" item="1"/>
          <tpl fld="4" item="1"/>
        </tpls>
      </n>
      <m>
        <tpls c="4">
          <tpl fld="7" item="770"/>
          <tpl fld="6" item="2"/>
          <tpl hier="236" item="1"/>
          <tpl fld="1" item="0"/>
        </tpls>
      </m>
      <m>
        <tpls c="4">
          <tpl fld="7" item="1084"/>
          <tpl fld="6" item="2"/>
          <tpl hier="236" item="1"/>
          <tpl fld="4" item="1"/>
        </tpls>
      </m>
      <m>
        <tpls c="6">
          <tpl fld="3" item="0"/>
          <tpl fld="11" item="0"/>
          <tpl fld="6" item="2"/>
          <tpl hier="236" item="1"/>
          <tpl fld="4" item="7"/>
          <tpl fld="10" item="1"/>
        </tpls>
      </m>
      <m>
        <tpls c="4">
          <tpl fld="7" item="278"/>
          <tpl fld="6" item="2"/>
          <tpl hier="236" item="1"/>
          <tpl fld="4" item="1"/>
        </tpls>
      </m>
      <m>
        <tpls c="4">
          <tpl fld="7" item="602"/>
          <tpl fld="6" item="2"/>
          <tpl hier="236" item="1"/>
          <tpl fld="4" item="1"/>
        </tpls>
      </m>
      <n v="1" in="3">
        <tpls c="3">
          <tpl fld="7" item="597"/>
          <tpl fld="6" item="3"/>
          <tpl hier="236" item="1"/>
        </tpls>
      </n>
      <n v="18" in="1">
        <tpls c="4">
          <tpl fld="7" item="880"/>
          <tpl fld="6" item="1"/>
          <tpl hier="236" item="1"/>
          <tpl fld="4" item="4"/>
        </tpls>
      </n>
      <m>
        <tpls c="4">
          <tpl fld="7" item="614"/>
          <tpl fld="6" item="1"/>
          <tpl hier="236" item="1"/>
          <tpl fld="4" item="6"/>
        </tpls>
      </m>
      <m>
        <tpls c="4">
          <tpl fld="7" item="794"/>
          <tpl fld="6" item="2"/>
          <tpl hier="236" item="1"/>
          <tpl fld="4" item="6"/>
        </tpls>
      </m>
      <m>
        <tpls c="4">
          <tpl fld="7" item="547"/>
          <tpl fld="6" item="2"/>
          <tpl hier="236" item="1"/>
          <tpl fld="1" item="0"/>
        </tpls>
      </m>
      <n v="1" in="1">
        <tpls c="4">
          <tpl fld="7" item="572"/>
          <tpl fld="6" item="1"/>
          <tpl hier="236" item="1"/>
          <tpl fld="4" item="6"/>
        </tpls>
      </n>
      <m>
        <tpls c="4">
          <tpl fld="7" item="67"/>
          <tpl fld="6" item="1"/>
          <tpl hier="236" item="1"/>
          <tpl fld="4" item="4"/>
        </tpls>
      </m>
      <n v="0.44000000000000006" in="2">
        <tpls c="4">
          <tpl fld="7" item="603"/>
          <tpl fld="6" item="2"/>
          <tpl hier="236" item="1"/>
          <tpl fld="4" item="1"/>
        </tpls>
      </n>
      <n v="1" in="3">
        <tpls c="3">
          <tpl fld="7" item="677"/>
          <tpl fld="6" item="3"/>
          <tpl hier="236" item="1"/>
        </tpls>
      </n>
      <m>
        <tpls c="3">
          <tpl fld="7" item="683"/>
          <tpl fld="6" item="3"/>
          <tpl hier="236" item="1"/>
        </tpls>
      </m>
      <m>
        <tpls c="4">
          <tpl fld="7" item="685"/>
          <tpl fld="6" item="2"/>
          <tpl hier="236" item="1"/>
          <tpl fld="1" item="0"/>
        </tpls>
      </m>
      <m>
        <tpls c="4">
          <tpl fld="7" item="690"/>
          <tpl fld="6" item="1"/>
          <tpl hier="236" item="1"/>
          <tpl fld="4" item="5"/>
        </tpls>
      </m>
      <n v="12" in="1">
        <tpls c="4">
          <tpl fld="7" item="324"/>
          <tpl fld="6" item="1"/>
          <tpl hier="236" item="1"/>
          <tpl fld="4" item="6"/>
        </tpls>
      </n>
      <n v="15" in="1">
        <tpls c="4">
          <tpl fld="7" item="541"/>
          <tpl fld="6" item="1"/>
          <tpl hier="236" item="1"/>
          <tpl fld="4" item="1"/>
        </tpls>
      </n>
      <m>
        <tpls c="4">
          <tpl fld="7" item="778"/>
          <tpl fld="6" item="1"/>
          <tpl hier="236" item="1"/>
          <tpl fld="4" item="1"/>
        </tpls>
      </m>
      <n v="1" in="1">
        <tpls c="4">
          <tpl fld="7" item="784"/>
          <tpl fld="6" item="1"/>
          <tpl hier="236" item="1"/>
          <tpl fld="4" item="1"/>
        </tpls>
      </n>
      <n v="11" in="1">
        <tpls c="4">
          <tpl fld="7" item="989"/>
          <tpl fld="6" item="1"/>
          <tpl hier="236" item="1"/>
          <tpl fld="4" item="4"/>
        </tpls>
      </n>
      <m>
        <tpls c="4">
          <tpl fld="7" item="715"/>
          <tpl fld="6" item="2"/>
          <tpl hier="236" item="1"/>
          <tpl fld="4" item="1"/>
        </tpls>
      </m>
      <m>
        <tpls c="3">
          <tpl fld="7" item="105"/>
          <tpl fld="6" item="3"/>
          <tpl hier="236" item="1"/>
        </tpls>
      </m>
      <n v="3" in="1">
        <tpls c="4">
          <tpl fld="7" item="984"/>
          <tpl fld="6" item="1"/>
          <tpl hier="236" item="1"/>
          <tpl fld="4" item="4"/>
        </tpls>
      </n>
      <m>
        <tpls c="4">
          <tpl fld="7" item="696"/>
          <tpl fld="6" item="2"/>
          <tpl hier="236" item="1"/>
          <tpl fld="4" item="4"/>
        </tpls>
      </m>
      <m>
        <tpls c="4">
          <tpl fld="7" item="702"/>
          <tpl fld="6" item="2"/>
          <tpl hier="236" item="1"/>
          <tpl fld="4" item="4"/>
        </tpls>
      </m>
      <m>
        <tpls c="4">
          <tpl fld="7" item="790"/>
          <tpl fld="6" item="2"/>
          <tpl hier="236" item="1"/>
          <tpl fld="4" item="1"/>
        </tpls>
      </m>
      <m>
        <tpls c="4">
          <tpl fld="7" item="1276"/>
          <tpl fld="6" item="1"/>
          <tpl hier="236" item="1"/>
          <tpl fld="4" item="1"/>
        </tpls>
      </m>
      <m>
        <tpls c="4">
          <tpl fld="7" item="408"/>
          <tpl fld="6" item="1"/>
          <tpl hier="236" item="1"/>
          <tpl fld="4" item="6"/>
        </tpls>
      </m>
      <m>
        <tpls c="4">
          <tpl fld="7" item="143"/>
          <tpl fld="6" item="1"/>
          <tpl hier="236" item="1"/>
          <tpl fld="4" item="6"/>
        </tpls>
      </m>
      <m>
        <tpls c="4">
          <tpl fld="7" item="204"/>
          <tpl fld="6" item="2"/>
          <tpl hier="236" item="1"/>
          <tpl fld="4" item="1"/>
        </tpls>
      </m>
      <m>
        <tpls c="4">
          <tpl fld="7" item="523"/>
          <tpl fld="6" item="1"/>
          <tpl hier="236" item="1"/>
          <tpl fld="4" item="6"/>
        </tpls>
      </m>
      <m>
        <tpls c="4">
          <tpl fld="7" item="103"/>
          <tpl fld="6" item="1"/>
          <tpl hier="236" item="1"/>
          <tpl fld="4" item="4"/>
        </tpls>
      </m>
      <m>
        <tpls c="4">
          <tpl fld="7" item="1086"/>
          <tpl fld="6" item="1"/>
          <tpl hier="236" item="1"/>
          <tpl fld="4" item="4"/>
        </tpls>
      </m>
      <m>
        <tpls c="4">
          <tpl fld="7" item="152"/>
          <tpl fld="6" item="1"/>
          <tpl hier="236" item="1"/>
          <tpl fld="4" item="5"/>
        </tpls>
      </m>
      <m>
        <tpls c="4">
          <tpl fld="7" item="310"/>
          <tpl fld="6" item="1"/>
          <tpl hier="236" item="1"/>
          <tpl fld="4" item="4"/>
        </tpls>
      </m>
      <n v="4" in="1">
        <tpls c="4">
          <tpl fld="7" item="426"/>
          <tpl fld="6" item="1"/>
          <tpl hier="236" item="1"/>
          <tpl fld="4" item="6"/>
        </tpls>
      </n>
      <m>
        <tpls c="4">
          <tpl fld="7" item="368"/>
          <tpl fld="6" item="2"/>
          <tpl hier="236" item="1"/>
          <tpl fld="4" item="4"/>
        </tpls>
      </m>
      <n v="3" in="1">
        <tpls c="4">
          <tpl fld="7" item="381"/>
          <tpl fld="6" item="1"/>
          <tpl hier="236" item="1"/>
          <tpl fld="4" item="4"/>
        </tpls>
      </n>
      <m>
        <tpls c="4">
          <tpl fld="7" item="531"/>
          <tpl fld="6" item="1"/>
          <tpl hier="236" item="1"/>
          <tpl fld="4" item="6"/>
        </tpls>
      </m>
      <m>
        <tpls c="4">
          <tpl fld="7" item="606"/>
          <tpl fld="6" item="1"/>
          <tpl hier="236" item="1"/>
          <tpl fld="1" item="0"/>
        </tpls>
      </m>
      <m>
        <tpls c="4">
          <tpl fld="7" item="690"/>
          <tpl fld="6" item="2"/>
          <tpl hier="236" item="1"/>
          <tpl fld="4" item="5"/>
        </tpls>
      </m>
      <m>
        <tpls c="4">
          <tpl fld="7" item="55"/>
          <tpl fld="6" item="2"/>
          <tpl hier="236" item="1"/>
          <tpl fld="4" item="1"/>
        </tpls>
      </m>
      <m>
        <tpls c="4">
          <tpl fld="7" item="455"/>
          <tpl fld="6" item="2"/>
          <tpl hier="236" item="1"/>
          <tpl fld="4" item="4"/>
        </tpls>
      </m>
      <m>
        <tpls c="4">
          <tpl fld="7" item="881"/>
          <tpl fld="6" item="1"/>
          <tpl hier="236" item="1"/>
          <tpl fld="1" item="0"/>
        </tpls>
      </m>
      <m>
        <tpls c="4">
          <tpl fld="7" item="551"/>
          <tpl fld="6" item="2"/>
          <tpl hier="236" item="1"/>
          <tpl fld="4" item="1"/>
        </tpls>
      </m>
      <m>
        <tpls c="4">
          <tpl fld="7" item="621"/>
          <tpl fld="6" item="2"/>
          <tpl hier="236" item="1"/>
          <tpl fld="4" item="4"/>
        </tpls>
      </m>
      <m>
        <tpls c="4">
          <tpl fld="7" item="705"/>
          <tpl fld="6" item="2"/>
          <tpl hier="236" item="1"/>
          <tpl fld="4" item="6"/>
        </tpls>
      </m>
      <m>
        <tpls c="4">
          <tpl fld="7" item="1239"/>
          <tpl fld="6" item="2"/>
          <tpl hier="236" item="1"/>
          <tpl fld="4" item="6"/>
        </tpls>
      </m>
      <m>
        <tpls c="4">
          <tpl fld="7" item="715"/>
          <tpl fld="6" item="1"/>
          <tpl hier="236" item="1"/>
          <tpl fld="4" item="5"/>
        </tpls>
      </m>
      <m>
        <tpls c="4">
          <tpl fld="7" item="591"/>
          <tpl fld="6" item="2"/>
          <tpl hier="236" item="1"/>
          <tpl fld="4" item="1"/>
        </tpls>
      </m>
      <m>
        <tpls c="4">
          <tpl fld="7" item="452"/>
          <tpl fld="6" item="2"/>
          <tpl hier="236" item="1"/>
          <tpl fld="4" item="4"/>
        </tpls>
      </m>
      <m>
        <tpls c="4">
          <tpl fld="7" item="544"/>
          <tpl fld="6" item="1"/>
          <tpl hier="236" item="1"/>
          <tpl fld="4" item="1"/>
        </tpls>
      </m>
      <n v="1" in="1">
        <tpls c="4">
          <tpl fld="7" item="696"/>
          <tpl fld="6" item="1"/>
          <tpl hier="236" item="1"/>
          <tpl fld="4" item="1"/>
        </tpls>
      </n>
      <n v="1" in="1">
        <tpls c="4">
          <tpl fld="7" item="987"/>
          <tpl fld="6" item="1"/>
          <tpl hier="236" item="1"/>
          <tpl fld="4" item="4"/>
        </tpls>
      </n>
      <n v="3" in="1">
        <tpls c="4">
          <tpl fld="7" item="625"/>
          <tpl fld="6" item="1"/>
          <tpl hier="236" item="1"/>
          <tpl fld="4" item="6"/>
        </tpls>
      </n>
      <n v="1" in="1">
        <tpls c="4">
          <tpl fld="7" item="710"/>
          <tpl fld="6" item="1"/>
          <tpl hier="236" item="1"/>
          <tpl fld="4" item="1"/>
        </tpls>
      </n>
      <m>
        <tpls c="4">
          <tpl fld="7" item="635"/>
          <tpl fld="6" item="2"/>
          <tpl hier="236" item="1"/>
          <tpl fld="4" item="1"/>
        </tpls>
      </m>
      <m>
        <tpls c="4">
          <tpl fld="7" item="50"/>
          <tpl fld="6" item="2"/>
          <tpl hier="236" item="1"/>
          <tpl fld="4" item="1"/>
        </tpls>
      </m>
      <m>
        <tpls c="4">
          <tpl fld="7" item="453"/>
          <tpl fld="6" item="2"/>
          <tpl hier="236" item="1"/>
          <tpl fld="4" item="4"/>
        </tpls>
      </m>
      <n v="1" in="1">
        <tpls c="4">
          <tpl fld="7" item="773"/>
          <tpl fld="6" item="1"/>
          <tpl hier="236" item="1"/>
          <tpl fld="4" item="6"/>
        </tpls>
      </n>
      <m>
        <tpls c="3">
          <tpl fld="7" item="778"/>
          <tpl fld="6" item="3"/>
          <tpl hier="236" item="1"/>
        </tpls>
      </m>
      <m>
        <tpls c="4">
          <tpl fld="7" item="147"/>
          <tpl fld="6" item="1"/>
          <tpl hier="236" item="1"/>
          <tpl fld="4" item="6"/>
        </tpls>
      </m>
      <n v="6.3457837837837836" in="2">
        <tpls c="4">
          <tpl fld="7" item="107"/>
          <tpl fld="6" item="2"/>
          <tpl hier="236" item="1"/>
          <tpl fld="4" item="4"/>
        </tpls>
      </n>
      <n v="20.954594594594599" in="2">
        <tpls c="4">
          <tpl fld="7" item="353"/>
          <tpl fld="6" item="2"/>
          <tpl hier="236" item="1"/>
          <tpl fld="4" item="4"/>
        </tpls>
      </n>
      <n v="7" in="1">
        <tpls c="4">
          <tpl fld="7" item="767"/>
          <tpl fld="6" item="1"/>
          <tpl hier="236" item="1"/>
          <tpl fld="1" item="0"/>
        </tpls>
      </n>
      <n v="7" in="1">
        <tpls c="4">
          <tpl fld="7" item="543"/>
          <tpl fld="6" item="1"/>
          <tpl hier="236" item="1"/>
          <tpl fld="4" item="4"/>
        </tpls>
      </n>
      <n v="2" in="1">
        <tpls c="4">
          <tpl fld="7" item="1092"/>
          <tpl fld="6" item="1"/>
          <tpl hier="236" item="1"/>
          <tpl fld="4" item="4"/>
        </tpls>
      </n>
      <m>
        <tpls c="4">
          <tpl fld="7" item="610"/>
          <tpl fld="6" item="1"/>
          <tpl hier="236" item="1"/>
          <tpl fld="4" item="6"/>
        </tpls>
      </m>
      <m>
        <tpls c="4">
          <tpl fld="7" item="568"/>
          <tpl fld="6" item="2"/>
          <tpl hier="236" item="1"/>
          <tpl fld="4" item="1"/>
        </tpls>
      </m>
      <m>
        <tpls c="4">
          <tpl fld="7" item="71"/>
          <tpl fld="6" item="2"/>
          <tpl hier="236" item="1"/>
          <tpl fld="4" item="1"/>
        </tpls>
      </m>
      <m>
        <tpls c="4">
          <tpl fld="7" item="395"/>
          <tpl fld="6" item="2"/>
          <tpl hier="236" item="1"/>
          <tpl fld="4" item="5"/>
        </tpls>
      </m>
      <m>
        <tpls c="4">
          <tpl fld="7" item="777"/>
          <tpl fld="6" item="2"/>
          <tpl hier="236" item="1"/>
          <tpl fld="4" item="1"/>
        </tpls>
      </m>
      <m>
        <tpls c="4">
          <tpl fld="7" item="556"/>
          <tpl fld="6" item="2"/>
          <tpl hier="236" item="1"/>
          <tpl fld="4" item="6"/>
        </tpls>
      </m>
      <n v="0.52" in="2">
        <tpls c="4">
          <tpl fld="7" item="988"/>
          <tpl fld="6" item="2"/>
          <tpl hier="236" item="1"/>
          <tpl fld="1" item="0"/>
        </tpls>
      </n>
      <m>
        <tpls c="4">
          <tpl fld="7" item="630"/>
          <tpl fld="6" item="2"/>
          <tpl hier="236" item="1"/>
          <tpl fld="4" item="5"/>
        </tpls>
      </m>
      <m>
        <tpls c="4">
          <tpl fld="7" item="575"/>
          <tpl fld="6" item="1"/>
          <tpl hier="236" item="1"/>
          <tpl fld="4" item="1"/>
        </tpls>
      </m>
      <n v="3" in="1">
        <tpls c="4">
          <tpl fld="7" item="581"/>
          <tpl fld="6" item="1"/>
          <tpl hier="236" item="1"/>
          <tpl fld="4" item="4"/>
        </tpls>
      </n>
      <n v="7.4399999999999977" in="2">
        <tpls c="4">
          <tpl fld="7" item="1211"/>
          <tpl fld="6" item="2"/>
          <tpl hier="236" item="1"/>
          <tpl fld="4" item="4"/>
        </tpls>
      </n>
      <m>
        <tpls c="4">
          <tpl fld="7" item="784"/>
          <tpl fld="6" item="2"/>
          <tpl hier="236" item="1"/>
          <tpl fld="4" item="6"/>
        </tpls>
      </m>
      <m>
        <tpls c="4">
          <tpl fld="7" item="719"/>
          <tpl fld="6" item="2"/>
          <tpl hier="236" item="1"/>
          <tpl fld="4" item="6"/>
        </tpls>
      </m>
      <n v="1" in="1">
        <tpls c="4">
          <tpl fld="7" item="806"/>
          <tpl fld="6" item="1"/>
          <tpl hier="236" item="1"/>
          <tpl fld="4" item="5"/>
        </tpls>
      </n>
      <n v="3" in="1">
        <tpls c="4">
          <tpl fld="7" item="730"/>
          <tpl fld="6" item="1"/>
          <tpl hier="236" item="1"/>
          <tpl fld="4" item="1"/>
        </tpls>
      </n>
      <n v="1" in="1">
        <tpls c="4">
          <tpl fld="7" item="736"/>
          <tpl fld="6" item="1"/>
          <tpl hier="236" item="1"/>
          <tpl fld="4" item="4"/>
        </tpls>
      </n>
      <m>
        <tpls c="4">
          <tpl fld="7" item="662"/>
          <tpl fld="6" item="1"/>
          <tpl hier="236" item="1"/>
          <tpl fld="4" item="6"/>
        </tpls>
      </m>
      <m>
        <tpls c="4">
          <tpl fld="7" item="1000"/>
          <tpl fld="6" item="2"/>
          <tpl hier="236" item="1"/>
          <tpl fld="4" item="1"/>
        </tpls>
      </m>
      <m>
        <tpls c="3">
          <tpl fld="7" item="1244"/>
          <tpl fld="6" item="3"/>
          <tpl hier="236" item="1"/>
        </tpls>
      </m>
      <n v="3" in="1">
        <tpls c="4">
          <tpl fld="7" item="857"/>
          <tpl fld="6" item="1"/>
          <tpl hier="236" item="1"/>
          <tpl fld="4" item="6"/>
        </tpls>
      </n>
      <m>
        <tpls c="4">
          <tpl fld="7" item="925"/>
          <tpl fld="6" item="2"/>
          <tpl hier="236" item="1"/>
          <tpl fld="4" item="4"/>
        </tpls>
      </m>
      <m>
        <tpls c="4">
          <tpl fld="7" item="1057"/>
          <tpl fld="6" item="2"/>
          <tpl hier="236" item="1"/>
          <tpl fld="4" item="1"/>
        </tpls>
      </m>
      <m>
        <tpls c="4">
          <tpl fld="7" item="917"/>
          <tpl fld="6" item="2"/>
          <tpl hier="236" item="1"/>
          <tpl fld="1" item="0"/>
        </tpls>
      </m>
      <m>
        <tpls c="4">
          <tpl fld="7" item="428"/>
          <tpl fld="6" item="2"/>
          <tpl hier="236" item="1"/>
          <tpl fld="1" item="0"/>
        </tpls>
      </m>
      <m>
        <tpls c="4">
          <tpl fld="7" item="591"/>
          <tpl fld="6" item="2"/>
          <tpl hier="236" item="1"/>
          <tpl fld="1" item="0"/>
        </tpls>
      </m>
      <m>
        <tpls c="4">
          <tpl fld="7" item="350"/>
          <tpl fld="6" item="2"/>
          <tpl hier="236" item="1"/>
          <tpl fld="4" item="1"/>
        </tpls>
      </m>
      <m>
        <tpls c="4">
          <tpl fld="7" item="406"/>
          <tpl fld="6" item="1"/>
          <tpl hier="236" item="1"/>
          <tpl fld="4" item="4"/>
        </tpls>
      </m>
      <m>
        <tpls c="4">
          <tpl fld="7" item="354"/>
          <tpl fld="6" item="1"/>
          <tpl hier="236" item="1"/>
          <tpl fld="4" item="6"/>
        </tpls>
      </m>
      <n v="1" in="1">
        <tpls c="4">
          <tpl fld="7" item="354"/>
          <tpl fld="6" item="1"/>
          <tpl hier="236" item="1"/>
          <tpl fld="4" item="4"/>
        </tpls>
      </n>
      <n v="1" in="1">
        <tpls c="4">
          <tpl fld="7" item="395"/>
          <tpl fld="6" item="1"/>
          <tpl hier="236" item="1"/>
          <tpl fld="4" item="4"/>
        </tpls>
      </n>
      <m>
        <tpls c="4">
          <tpl fld="7" item="611"/>
          <tpl fld="6" item="2"/>
          <tpl hier="236" item="1"/>
          <tpl fld="1" item="0"/>
        </tpls>
      </m>
      <n v="5" in="1">
        <tpls c="4">
          <tpl fld="7" item="569"/>
          <tpl fld="6" item="1"/>
          <tpl hier="236" item="1"/>
          <tpl fld="4" item="4"/>
        </tpls>
      </n>
      <m>
        <tpls c="3">
          <tpl fld="7" item="543"/>
          <tpl fld="6" item="3"/>
          <tpl hier="236" item="1"/>
        </tpls>
      </m>
      <m>
        <tpls c="4">
          <tpl fld="7" item="1092"/>
          <tpl fld="6" item="2"/>
          <tpl hier="236" item="1"/>
          <tpl fld="4" item="1"/>
        </tpls>
      </m>
      <m>
        <tpls c="4">
          <tpl fld="7" item="185"/>
          <tpl fld="6" item="2"/>
          <tpl hier="236" item="1"/>
          <tpl fld="4" item="4"/>
        </tpls>
      </m>
      <m>
        <tpls c="4">
          <tpl fld="7" item="606"/>
          <tpl fld="6" item="1"/>
          <tpl hier="236" item="1"/>
          <tpl fld="4" item="6"/>
        </tpls>
      </m>
      <n v="2" in="1">
        <tpls c="4">
          <tpl fld="7" item="777"/>
          <tpl fld="6" item="1"/>
          <tpl hier="236" item="1"/>
          <tpl fld="4" item="5"/>
        </tpls>
      </n>
      <n v="1" in="1">
        <tpls c="4">
          <tpl fld="7" item="782"/>
          <tpl fld="6" item="1"/>
          <tpl hier="236" item="1"/>
          <tpl fld="4" item="4"/>
        </tpls>
      </n>
      <n v="11" in="1">
        <tpls c="4">
          <tpl fld="7" item="562"/>
          <tpl fld="6" item="1"/>
          <tpl hier="236" item="1"/>
          <tpl fld="4" item="6"/>
        </tpls>
      </n>
      <n v="2" in="1">
        <tpls c="4">
          <tpl fld="7" item="569"/>
          <tpl fld="6" item="1"/>
          <tpl hier="236" item="1"/>
          <tpl fld="4" item="5"/>
        </tpls>
      </n>
      <m>
        <tpls c="4">
          <tpl fld="7" item="1276"/>
          <tpl fld="6" item="2"/>
          <tpl hier="236" item="1"/>
          <tpl fld="4" item="1"/>
        </tpls>
      </m>
      <m>
        <tpls c="4">
          <tpl fld="7" item="581"/>
          <tpl fld="6" item="2"/>
          <tpl hier="236" item="1"/>
          <tpl fld="4" item="4"/>
        </tpls>
      </m>
      <n v="5" in="1">
        <tpls c="4">
          <tpl fld="7" item="757"/>
          <tpl fld="6" item="1"/>
          <tpl hier="236" item="1"/>
          <tpl fld="4" item="6"/>
        </tpls>
      </n>
      <m>
        <tpls c="4">
          <tpl fld="7" item="1187"/>
          <tpl fld="6" item="2"/>
          <tpl hier="236" item="1"/>
          <tpl fld="4" item="1"/>
        </tpls>
      </m>
      <m>
        <tpls c="4">
          <tpl fld="7" item="801"/>
          <tpl fld="6" item="2"/>
          <tpl hier="236" item="1"/>
          <tpl fld="4" item="1"/>
        </tpls>
      </m>
      <m>
        <tpls c="4">
          <tpl fld="7" item="806"/>
          <tpl fld="6" item="2"/>
          <tpl hier="236" item="1"/>
          <tpl fld="4" item="5"/>
        </tpls>
      </m>
      <m>
        <tpls c="4">
          <tpl fld="7" item="812"/>
          <tpl fld="6" item="2"/>
          <tpl hier="236" item="1"/>
          <tpl fld="4" item="1"/>
        </tpls>
      </m>
      <m>
        <tpls c="4">
          <tpl fld="7" item="736"/>
          <tpl fld="6" item="2"/>
          <tpl hier="236" item="1"/>
          <tpl fld="4" item="4"/>
        </tpls>
      </m>
      <m>
        <tpls c="4">
          <tpl fld="7" item="662"/>
          <tpl fld="6" item="2"/>
          <tpl hier="236" item="1"/>
          <tpl fld="4" item="6"/>
        </tpls>
      </m>
      <m>
        <tpls c="4">
          <tpl fld="7" item="1103"/>
          <tpl fld="6" item="1"/>
          <tpl hier="236" item="1"/>
          <tpl fld="4" item="4"/>
        </tpls>
      </m>
      <m>
        <tpls c="4">
          <tpl fld="7" item="906"/>
          <tpl fld="6" item="2"/>
          <tpl hier="236" item="1"/>
          <tpl fld="4" item="1"/>
        </tpls>
      </m>
      <m>
        <tpls c="3">
          <tpl fld="7" item="1122"/>
          <tpl fld="6" item="3"/>
          <tpl hier="236" item="1"/>
        </tpls>
      </m>
      <n v="3" in="1">
        <tpls c="4">
          <tpl fld="7" item="870"/>
          <tpl fld="6" item="1"/>
          <tpl hier="236" item="1"/>
          <tpl fld="4" item="6"/>
        </tpls>
      </n>
      <m>
        <tpls c="4">
          <tpl fld="7" item="1256"/>
          <tpl fld="6" item="2"/>
          <tpl hier="236" item="1"/>
          <tpl fld="4" item="1"/>
        </tpls>
      </m>
      <m>
        <tpls c="4">
          <tpl fld="7" item="1020"/>
          <tpl fld="6" item="2"/>
          <tpl hier="236" item="1"/>
          <tpl fld="1" item="0"/>
        </tpls>
      </m>
      <n v="11.919999999999998" in="2">
        <tpls c="4">
          <tpl fld="7" item="427"/>
          <tpl fld="6" item="2"/>
          <tpl hier="236" item="1"/>
          <tpl fld="1" item="0"/>
        </tpls>
      </n>
      <m>
        <tpls c="4">
          <tpl fld="7" item="1185"/>
          <tpl fld="6" item="2"/>
          <tpl hier="236" item="1"/>
          <tpl fld="1" item="0"/>
        </tpls>
      </m>
      <m>
        <tpls c="4">
          <tpl fld="7" item="351"/>
          <tpl fld="6" item="2"/>
          <tpl hier="236" item="1"/>
          <tpl fld="4" item="5"/>
        </tpls>
      </m>
      <n v="185" in="1">
        <tpls c="6">
          <tpl fld="11" item="0"/>
          <tpl fld="5" item="1"/>
          <tpl fld="6" item="1"/>
          <tpl hier="236" item="1"/>
          <tpl fld="4" item="1"/>
          <tpl fld="9" item="1"/>
        </tpls>
      </n>
      <m>
        <tpls c="4">
          <tpl fld="7" item="5"/>
          <tpl fld="6" item="2"/>
          <tpl hier="236" item="1"/>
          <tpl fld="4" item="1"/>
        </tpls>
      </m>
      <m>
        <tpls c="4">
          <tpl fld="7" item="25"/>
          <tpl fld="6" item="1"/>
          <tpl hier="236" item="1"/>
          <tpl fld="4" item="4"/>
        </tpls>
      </m>
      <m>
        <tpls c="4">
          <tpl fld="7" item="759"/>
          <tpl fld="6" item="2"/>
          <tpl hier="236" item="1"/>
          <tpl fld="4" item="1"/>
        </tpls>
      </m>
      <m>
        <tpls c="4">
          <tpl fld="7" item="176"/>
          <tpl fld="6" item="1"/>
          <tpl hier="236" item="1"/>
          <tpl fld="4" item="6"/>
        </tpls>
      </m>
      <m>
        <tpls c="4">
          <tpl fld="7" item="527"/>
          <tpl fld="6" item="2"/>
          <tpl hier="236" item="1"/>
          <tpl fld="4" item="4"/>
        </tpls>
      </m>
      <n v="2" in="1">
        <tpls c="4">
          <tpl fld="7" item="383"/>
          <tpl fld="6" item="1"/>
          <tpl hier="236" item="1"/>
          <tpl fld="4" item="4"/>
        </tpls>
      </n>
      <m>
        <tpls c="4">
          <tpl fld="7" item="701"/>
          <tpl fld="6" item="2"/>
          <tpl hier="236" item="1"/>
          <tpl fld="4" item="6"/>
        </tpls>
      </m>
      <n v="40" in="1">
        <tpls c="4">
          <tpl fld="7" item="376"/>
          <tpl fld="6" item="1"/>
          <tpl hier="236" item="1"/>
          <tpl fld="4" item="4"/>
        </tpls>
      </n>
      <n v="1" in="2">
        <tpls c="4">
          <tpl fld="7" item="451"/>
          <tpl fld="6" item="2"/>
          <tpl hier="236" item="1"/>
          <tpl fld="4" item="4"/>
        </tpls>
      </n>
      <m>
        <tpls c="4">
          <tpl fld="7" item="886"/>
          <tpl fld="6" item="2"/>
          <tpl hier="236" item="1"/>
          <tpl fld="4" item="6"/>
        </tpls>
      </m>
      <m>
        <tpls c="4">
          <tpl fld="7" item="554"/>
          <tpl fld="6" item="2"/>
          <tpl hier="236" item="1"/>
          <tpl fld="1" item="0"/>
        </tpls>
      </m>
      <m>
        <tpls c="4">
          <tpl fld="7" item="195"/>
          <tpl fld="6" item="1"/>
          <tpl hier="236" item="1"/>
          <tpl fld="4" item="4"/>
        </tpls>
      </m>
      <n v="19" in="1">
        <tpls c="4">
          <tpl fld="7" item="517"/>
          <tpl fld="6" item="1"/>
          <tpl hier="236" item="1"/>
          <tpl fld="4" item="4"/>
        </tpls>
      </n>
      <n v="13" in="1">
        <tpls c="4">
          <tpl fld="7" item="361"/>
          <tpl fld="6" item="1"/>
          <tpl hier="236" item="1"/>
          <tpl fld="4" item="4"/>
        </tpls>
      </n>
      <n v="13" in="1">
        <tpls c="4">
          <tpl fld="7" item="880"/>
          <tpl fld="6" item="1"/>
          <tpl hier="236" item="1"/>
          <tpl fld="4" item="1"/>
        </tpls>
      </n>
      <n v="11" in="1">
        <tpls c="4">
          <tpl fld="7" item="694"/>
          <tpl fld="6" item="1"/>
          <tpl hier="236" item="1"/>
          <tpl fld="4" item="4"/>
        </tpls>
      </n>
      <m>
        <tpls c="4">
          <tpl fld="7" item="990"/>
          <tpl fld="6" item="2"/>
          <tpl hier="236" item="1"/>
          <tpl fld="4" item="4"/>
        </tpls>
      </m>
      <m>
        <tpls c="4">
          <tpl fld="7" item="1088"/>
          <tpl fld="6" item="2"/>
          <tpl hier="236" item="1"/>
          <tpl fld="4" item="6"/>
        </tpls>
      </m>
      <n v="9" in="1">
        <tpls c="4">
          <tpl fld="7" item="794"/>
          <tpl fld="6" item="1"/>
          <tpl hier="236" item="1"/>
          <tpl fld="4" item="4"/>
        </tpls>
      </n>
      <m>
        <tpls c="4">
          <tpl fld="7" item="614"/>
          <tpl fld="6" item="2"/>
          <tpl hier="236" item="1"/>
          <tpl fld="4" item="1"/>
        </tpls>
      </m>
      <n v="1" in="3">
        <tpls c="3">
          <tpl fld="7" item="982"/>
          <tpl fld="6" item="3"/>
          <tpl hier="236" item="1"/>
        </tpls>
      </n>
      <m>
        <tpls c="3">
          <tpl fld="7" item="554"/>
          <tpl fld="6" item="3"/>
          <tpl hier="236" item="1"/>
        </tpls>
      </m>
      <m>
        <tpls c="4">
          <tpl fld="7" item="618"/>
          <tpl fld="6" item="1"/>
          <tpl hier="236" item="1"/>
          <tpl fld="1" item="0"/>
        </tpls>
      </m>
      <m>
        <tpls c="4">
          <tpl fld="7" item="798"/>
          <tpl fld="6" item="2"/>
          <tpl hier="236" item="1"/>
          <tpl fld="1" item="0"/>
        </tpls>
      </m>
      <m>
        <tpls c="3">
          <tpl fld="7" item="642"/>
          <tpl fld="6" item="3"/>
          <tpl hier="236" item="1"/>
        </tpls>
      </m>
      <m>
        <tpls c="4">
          <tpl fld="7" item="998"/>
          <tpl fld="6" item="1"/>
          <tpl hier="236" item="1"/>
          <tpl fld="4" item="5"/>
        </tpls>
      </m>
      <m>
        <tpls c="4">
          <tpl fld="7" item="1039"/>
          <tpl fld="6" item="2"/>
          <tpl hier="236" item="1"/>
          <tpl fld="4" item="1"/>
        </tpls>
      </m>
      <m>
        <tpls c="4">
          <tpl fld="7" item="398"/>
          <tpl fld="6" item="2"/>
          <tpl hier="236" item="1"/>
          <tpl fld="1" item="0"/>
        </tpls>
      </m>
      <m>
        <tpls c="4">
          <tpl fld="7" item="447"/>
          <tpl fld="6" item="1"/>
          <tpl hier="236" item="1"/>
          <tpl fld="4" item="6"/>
        </tpls>
      </m>
      <m>
        <tpls c="4">
          <tpl fld="7" item="619"/>
          <tpl fld="6" item="2"/>
          <tpl hier="236" item="1"/>
          <tpl fld="4" item="6"/>
        </tpls>
      </m>
      <m>
        <tpls c="4">
          <tpl fld="7" item="618"/>
          <tpl fld="6" item="2"/>
          <tpl hier="236" item="1"/>
          <tpl fld="1" item="0"/>
        </tpls>
      </m>
      <m>
        <tpls c="4">
          <tpl fld="7" item="797"/>
          <tpl fld="6" item="1"/>
          <tpl hier="236" item="1"/>
          <tpl fld="4" item="5"/>
        </tpls>
      </m>
      <m>
        <tpls c="4">
          <tpl fld="7" item="1095"/>
          <tpl fld="6" item="2"/>
          <tpl hier="236" item="1"/>
          <tpl fld="1" item="0"/>
        </tpls>
      </m>
      <m>
        <tpls c="4">
          <tpl fld="7" item="1090"/>
          <tpl fld="6" item="1"/>
          <tpl hier="236" item="1"/>
          <tpl fld="4" item="6"/>
        </tpls>
      </m>
      <m>
        <tpls c="4">
          <tpl fld="7" item="721"/>
          <tpl fld="6" item="2"/>
          <tpl hier="236" item="1"/>
          <tpl fld="4" item="5"/>
        </tpls>
      </m>
      <m>
        <tpls c="4">
          <tpl fld="7" item="728"/>
          <tpl fld="6" item="2"/>
          <tpl hier="236" item="1"/>
          <tpl fld="4" item="4"/>
        </tpls>
      </m>
      <m>
        <tpls c="4">
          <tpl fld="7" item="892"/>
          <tpl fld="6" item="2"/>
          <tpl hier="236" item="1"/>
          <tpl fld="1" item="0"/>
        </tpls>
      </m>
      <m>
        <tpls c="4">
          <tpl fld="7" item="894"/>
          <tpl fld="6" item="2"/>
          <tpl hier="236" item="1"/>
          <tpl fld="1" item="0"/>
        </tpls>
      </m>
      <m>
        <tpls c="4">
          <tpl fld="7" item="1109"/>
          <tpl fld="6" item="1"/>
          <tpl hier="236" item="1"/>
          <tpl fld="4" item="4"/>
        </tpls>
      </m>
      <m>
        <tpls c="4">
          <tpl fld="7" item="915"/>
          <tpl fld="6" item="2"/>
          <tpl hier="236" item="1"/>
          <tpl fld="4" item="1"/>
        </tpls>
      </m>
      <m>
        <tpls c="4">
          <tpl fld="7" item="1199"/>
          <tpl fld="6" item="2"/>
          <tpl hier="236" item="1"/>
          <tpl fld="4" item="1"/>
        </tpls>
      </m>
      <m>
        <tpls c="4">
          <tpl fld="7" item="1261"/>
          <tpl fld="6" item="2"/>
          <tpl hier="236" item="1"/>
          <tpl fld="4" item="1"/>
        </tpls>
      </m>
      <m>
        <tpls c="4">
          <tpl fld="7" item="431"/>
          <tpl fld="6" item="2"/>
          <tpl hier="236" item="1"/>
          <tpl fld="1" item="0"/>
        </tpls>
      </m>
      <m>
        <tpls c="4">
          <tpl fld="7" item="217"/>
          <tpl fld="6" item="2"/>
          <tpl hier="236" item="1"/>
          <tpl fld="1" item="0"/>
        </tpls>
      </m>
      <m>
        <tpls c="4">
          <tpl fld="7" item="284"/>
          <tpl fld="6" item="1"/>
          <tpl hier="236" item="1"/>
          <tpl fld="4" item="4"/>
        </tpls>
      </m>
      <m>
        <tpls c="4">
          <tpl fld="7" item="768"/>
          <tpl fld="6" item="2"/>
          <tpl hier="236" item="1"/>
          <tpl fld="4" item="6"/>
        </tpls>
      </m>
      <m>
        <tpls c="3">
          <tpl fld="7" item="199"/>
          <tpl fld="6" item="3"/>
          <tpl hier="236" item="1"/>
        </tpls>
      </m>
      <m>
        <tpls c="3">
          <tpl fld="7" item="684"/>
          <tpl fld="6" item="3"/>
          <tpl hier="236" item="1"/>
        </tpls>
      </m>
      <n v="2.68" in="2">
        <tpls c="4">
          <tpl fld="7" item="382"/>
          <tpl fld="6" item="2"/>
          <tpl hier="236" item="1"/>
          <tpl fld="4" item="1"/>
        </tpls>
      </n>
      <n v="18" in="1">
        <tpls c="4">
          <tpl fld="7" item="625"/>
          <tpl fld="6" item="1"/>
          <tpl hier="236" item="1"/>
          <tpl fld="1" item="0"/>
        </tpls>
      </n>
      <n v="1.8745945945945948" in="2">
        <tpls c="4">
          <tpl fld="7" item="379"/>
          <tpl fld="6" item="2"/>
          <tpl hier="236" item="1"/>
          <tpl fld="4" item="1"/>
        </tpls>
      </n>
      <m>
        <tpls c="3">
          <tpl fld="7" item="562"/>
          <tpl fld="6" item="3"/>
          <tpl hier="236" item="1"/>
        </tpls>
      </m>
      <m>
        <tpls c="4">
          <tpl fld="7" item="219"/>
          <tpl fld="6" item="2"/>
          <tpl hier="236" item="1"/>
          <tpl fld="4" item="1"/>
        </tpls>
      </m>
      <m>
        <tpls c="3">
          <tpl fld="7" item="459"/>
          <tpl fld="6" item="3"/>
          <tpl hier="236" item="1"/>
        </tpls>
      </m>
      <m>
        <tpls c="3">
          <tpl fld="7" item="694"/>
          <tpl fld="6" item="3"/>
          <tpl hier="236" item="1"/>
        </tpls>
      </m>
      <m>
        <tpls c="4">
          <tpl fld="7" item="781"/>
          <tpl fld="6" item="1"/>
          <tpl hier="236" item="1"/>
          <tpl fld="1" item="0"/>
        </tpls>
      </m>
      <m>
        <tpls c="4">
          <tpl fld="7" item="884"/>
          <tpl fld="6" item="2"/>
          <tpl hier="236" item="1"/>
          <tpl fld="4" item="5"/>
        </tpls>
      </m>
      <m>
        <tpls c="4">
          <tpl fld="7" item="567"/>
          <tpl fld="6" item="2"/>
          <tpl hier="236" item="1"/>
          <tpl fld="4" item="5"/>
        </tpls>
      </m>
      <m>
        <tpls c="4">
          <tpl fld="7" item="1093"/>
          <tpl fld="6" item="2"/>
          <tpl hier="236" item="1"/>
          <tpl fld="4" item="6"/>
        </tpls>
      </m>
      <m>
        <tpls c="4">
          <tpl fld="7" item="638"/>
          <tpl fld="6" item="2"/>
          <tpl hier="236" item="1"/>
          <tpl fld="1" item="0"/>
        </tpls>
      </m>
      <m>
        <tpls c="3">
          <tpl fld="7" item="804"/>
          <tpl fld="6" item="3"/>
          <tpl hier="236" item="1"/>
        </tpls>
      </m>
      <m>
        <tpls c="4">
          <tpl fld="7" item="1270"/>
          <tpl fld="6" item="1"/>
          <tpl hier="236" item="1"/>
          <tpl fld="4" item="6"/>
        </tpls>
      </m>
      <m>
        <tpls c="4">
          <tpl fld="7" item="717"/>
          <tpl fld="6" item="2"/>
          <tpl hier="236" item="1"/>
          <tpl fld="4" item="6"/>
        </tpls>
      </m>
      <m>
        <tpls c="4">
          <tpl fld="7" item="587"/>
          <tpl fld="6" item="2"/>
          <tpl hier="236" item="1"/>
          <tpl fld="4" item="4"/>
        </tpls>
      </m>
      <m>
        <tpls c="4">
          <tpl fld="7" item="649"/>
          <tpl fld="6" item="2"/>
          <tpl hier="236" item="1"/>
          <tpl fld="4" item="6"/>
        </tpls>
      </m>
      <m>
        <tpls c="4">
          <tpl fld="7" item="1189"/>
          <tpl fld="6" item="2"/>
          <tpl hier="236" item="1"/>
          <tpl fld="1" item="0"/>
        </tpls>
      </m>
      <m>
        <tpls c="3">
          <tpl fld="7" item="997"/>
          <tpl fld="6" item="3"/>
          <tpl hier="236" item="1"/>
        </tpls>
      </m>
      <m>
        <tpls c="4">
          <tpl fld="7" item="829"/>
          <tpl fld="6" item="1"/>
          <tpl hier="236" item="1"/>
          <tpl fld="4" item="5"/>
        </tpls>
      </m>
      <m>
        <tpls c="4">
          <tpl fld="7" item="1192"/>
          <tpl fld="6" item="2"/>
          <tpl hier="236" item="1"/>
          <tpl fld="4" item="1"/>
        </tpls>
      </m>
      <m>
        <tpls c="3">
          <tpl fld="7" item="1017"/>
          <tpl fld="6" item="3"/>
          <tpl hier="236" item="1"/>
        </tpls>
      </m>
      <m>
        <tpls c="4">
          <tpl fld="7" item="867"/>
          <tpl fld="6" item="1"/>
          <tpl hier="236" item="1"/>
          <tpl fld="4" item="6"/>
        </tpls>
      </m>
      <m>
        <tpls c="4">
          <tpl fld="7" item="1050"/>
          <tpl fld="6" item="2"/>
          <tpl hier="236" item="1"/>
          <tpl fld="4" item="1"/>
        </tpls>
      </m>
      <m>
        <tpls c="4">
          <tpl fld="7" item="1081"/>
          <tpl fld="6" item="2"/>
          <tpl hier="236" item="1"/>
          <tpl fld="1" item="0"/>
        </tpls>
      </m>
      <m>
        <tpls c="4">
          <tpl fld="7" item="442"/>
          <tpl fld="6" item="2"/>
          <tpl hier="236" item="1"/>
          <tpl fld="1" item="0"/>
        </tpls>
      </m>
      <m>
        <tpls c="4">
          <tpl fld="7" item="51"/>
          <tpl fld="6" item="2"/>
          <tpl hier="236" item="1"/>
          <tpl fld="1" item="0"/>
        </tpls>
      </m>
      <m>
        <tpls c="4">
          <tpl fld="7" item="1197"/>
          <tpl fld="6" item="2"/>
          <tpl hier="236" item="1"/>
          <tpl fld="4" item="5"/>
        </tpls>
      </m>
      <m>
        <tpls c="4">
          <tpl fld="7" item="553"/>
          <tpl fld="6" item="1"/>
          <tpl hier="236" item="1"/>
          <tpl fld="4" item="1"/>
        </tpls>
      </m>
      <m>
        <tpls c="4">
          <tpl fld="7" item="578"/>
          <tpl fld="6" item="2"/>
          <tpl hier="236" item="1"/>
          <tpl fld="4" item="1"/>
        </tpls>
      </m>
      <n v="6" in="1">
        <tpls c="4">
          <tpl fld="7" item="805"/>
          <tpl fld="6" item="1"/>
          <tpl hier="236" item="1"/>
          <tpl fld="4" item="1"/>
        </tpls>
      </n>
      <m>
        <tpls c="4">
          <tpl fld="7" item="649"/>
          <tpl fld="6" item="1"/>
          <tpl hier="236" item="1"/>
          <tpl fld="4" item="4"/>
        </tpls>
      </m>
      <m>
        <tpls c="4">
          <tpl fld="7" item="36"/>
          <tpl fld="6" item="1"/>
          <tpl hier="236" item="1"/>
          <tpl fld="4" item="6"/>
        </tpls>
      </m>
      <m>
        <tpls c="3">
          <tpl fld="7" item="319"/>
          <tpl fld="6" item="3"/>
          <tpl hier="236" item="1"/>
        </tpls>
      </m>
      <m>
        <tpls c="4">
          <tpl fld="7" item="799"/>
          <tpl fld="6" item="2"/>
          <tpl hier="236" item="1"/>
          <tpl fld="1" item="0"/>
        </tpls>
      </m>
      <m>
        <tpls c="4">
          <tpl fld="7" item="623"/>
          <tpl fld="6" item="2"/>
          <tpl hier="236" item="1"/>
          <tpl fld="4" item="5"/>
        </tpls>
      </m>
      <m>
        <tpls c="3">
          <tpl fld="7" item="1095"/>
          <tpl fld="6" item="3"/>
          <tpl hier="236" item="1"/>
        </tpls>
      </m>
      <m>
        <tpls c="4">
          <tpl fld="7" item="648"/>
          <tpl fld="6" item="2"/>
          <tpl hier="236" item="1"/>
          <tpl fld="4" item="6"/>
        </tpls>
      </m>
      <m>
        <tpls c="3">
          <tpl fld="7" item="902"/>
          <tpl fld="6" item="3"/>
          <tpl hier="236" item="1"/>
        </tpls>
      </m>
      <m>
        <tpls c="4">
          <tpl fld="7" item="1235"/>
          <tpl fld="6" item="2"/>
          <tpl hier="236" item="1"/>
          <tpl fld="4" item="1"/>
        </tpls>
      </m>
      <m>
        <tpls c="4">
          <tpl fld="7" item="544"/>
          <tpl fld="6" item="1"/>
          <tpl hier="236" item="1"/>
          <tpl fld="4" item="5"/>
        </tpls>
      </m>
      <m>
        <tpls c="3">
          <tpl fld="7" item="716"/>
          <tpl fld="6" item="3"/>
          <tpl hier="236" item="1"/>
        </tpls>
      </m>
      <m>
        <tpls c="4">
          <tpl fld="7" item="993"/>
          <tpl fld="6" item="2"/>
          <tpl hier="236" item="1"/>
          <tpl fld="4" item="6"/>
        </tpls>
      </m>
      <m>
        <tpls c="4">
          <tpl fld="7" item="814"/>
          <tpl fld="6" item="2"/>
          <tpl hier="236" item="1"/>
          <tpl fld="1" item="0"/>
        </tpls>
      </m>
      <n v="2" in="1">
        <tpls c="4">
          <tpl fld="7" item="659"/>
          <tpl fld="6" item="1"/>
          <tpl hier="236" item="1"/>
          <tpl fld="4" item="4"/>
        </tpls>
      </n>
      <n v="41" in="1">
        <tpls c="4">
          <tpl fld="7" item="665"/>
          <tpl fld="6" item="1"/>
          <tpl hier="236" item="1"/>
          <tpl fld="1" item="0"/>
        </tpls>
      </n>
      <m>
        <tpls c="3">
          <tpl fld="7" item="1217"/>
          <tpl fld="6" item="3"/>
          <tpl hier="236" item="1"/>
        </tpls>
      </m>
      <n v="0" in="1">
        <tpls c="4">
          <tpl fld="7" item="1014"/>
          <tpl fld="6" item="1"/>
          <tpl hier="236" item="1"/>
          <tpl fld="4" item="6"/>
        </tpls>
      </n>
      <m>
        <tpls c="4">
          <tpl fld="7" item="863"/>
          <tpl fld="6" item="2"/>
          <tpl hier="236" item="1"/>
          <tpl fld="4" item="4"/>
        </tpls>
      </m>
      <n v="7" in="1">
        <tpls c="4">
          <tpl fld="7" item="1143"/>
          <tpl fld="6" item="1"/>
          <tpl hier="236" item="1"/>
          <tpl fld="4" item="4"/>
        </tpls>
      </n>
      <n v="1" in="1">
        <tpls c="4">
          <tpl fld="7" item="1175"/>
          <tpl fld="6" item="1"/>
          <tpl hier="236" item="1"/>
          <tpl fld="4" item="4"/>
        </tpls>
      </n>
      <n v="0.16" in="2">
        <tpls c="4">
          <tpl fld="7" item="319"/>
          <tpl fld="6" item="2"/>
          <tpl hier="236" item="1"/>
          <tpl fld="1" item="0"/>
        </tpls>
      </n>
      <m>
        <tpls c="4">
          <tpl fld="7" item="344"/>
          <tpl fld="6" item="2"/>
          <tpl hier="236" item="1"/>
          <tpl fld="1" item="0"/>
        </tpls>
      </m>
      <m>
        <tpls c="4">
          <tpl fld="7" item="698"/>
          <tpl fld="6" item="2"/>
          <tpl hier="236" item="1"/>
          <tpl fld="4" item="1"/>
        </tpls>
      </m>
      <n v="4203" in="1">
        <tpls c="5">
          <tpl fld="11" item="0"/>
          <tpl fld="6" item="1"/>
          <tpl hier="236" item="1"/>
          <tpl fld="4" item="6"/>
          <tpl fld="10" item="8"/>
        </tpls>
      </n>
      <m>
        <tpls c="3">
          <tpl fld="7" item="158"/>
          <tpl fld="6" item="3"/>
          <tpl hier="236" item="1"/>
        </tpls>
      </m>
      <m>
        <tpls c="4">
          <tpl fld="7" item="151"/>
          <tpl fld="6" item="1"/>
          <tpl hier="236" item="1"/>
          <tpl fld="4" item="4"/>
        </tpls>
      </m>
      <n v="1" in="3">
        <tpls c="3">
          <tpl fld="7" item="446"/>
          <tpl fld="6" item="3"/>
          <tpl hier="236" item="1"/>
        </tpls>
      </n>
      <m>
        <tpls c="4">
          <tpl fld="7" item="81"/>
          <tpl fld="6" item="2"/>
          <tpl hier="236" item="1"/>
          <tpl fld="4" item="4"/>
        </tpls>
      </m>
      <m>
        <tpls c="4">
          <tpl fld="7" item="392"/>
          <tpl fld="6" item="1"/>
          <tpl hier="236" item="1"/>
          <tpl fld="4" item="6"/>
        </tpls>
      </m>
      <m>
        <tpls c="4">
          <tpl fld="7" item="766"/>
          <tpl fld="6" item="2"/>
          <tpl hier="236" item="1"/>
          <tpl fld="1" item="0"/>
        </tpls>
      </m>
      <m>
        <tpls c="4">
          <tpl fld="7" item="563"/>
          <tpl fld="6" item="2"/>
          <tpl hier="236" item="1"/>
          <tpl fld="1" item="0"/>
        </tpls>
      </m>
      <m>
        <tpls c="4">
          <tpl fld="7" item="380"/>
          <tpl fld="6" item="1"/>
          <tpl hier="236" item="1"/>
          <tpl fld="4" item="4"/>
        </tpls>
      </m>
      <m>
        <tpls c="4">
          <tpl fld="7" item="391"/>
          <tpl fld="6" item="2"/>
          <tpl hier="236" item="1"/>
          <tpl fld="4" item="1"/>
        </tpls>
      </m>
      <m>
        <tpls c="4">
          <tpl fld="7" item="795"/>
          <tpl fld="6" item="2"/>
          <tpl hier="236" item="1"/>
          <tpl fld="4" item="4"/>
        </tpls>
      </m>
      <m>
        <tpls c="3">
          <tpl fld="7" item="556"/>
          <tpl fld="6" item="3"/>
          <tpl hier="236" item="1"/>
        </tpls>
      </m>
      <m>
        <tpls c="6">
          <tpl fld="3" item="0"/>
          <tpl fld="11" item="0"/>
          <tpl fld="6" item="2"/>
          <tpl hier="236" item="1"/>
          <tpl fld="4" item="4"/>
          <tpl fld="10" item="1"/>
        </tpls>
      </m>
      <m>
        <tpls c="4">
          <tpl fld="7" item="461"/>
          <tpl fld="6" item="2"/>
          <tpl hier="236" item="1"/>
          <tpl fld="4" item="4"/>
        </tpls>
      </m>
      <m>
        <tpls c="4">
          <tpl fld="7" item="364"/>
          <tpl fld="6" item="2"/>
          <tpl hier="236" item="1"/>
          <tpl fld="4" item="4"/>
        </tpls>
      </m>
      <n v="70" in="1">
        <tpls c="4">
          <tpl fld="7" item="609"/>
          <tpl fld="6" item="1"/>
          <tpl hier="236" item="1"/>
          <tpl fld="1" item="0"/>
        </tpls>
      </n>
      <m>
        <tpls c="4">
          <tpl fld="7" item="549"/>
          <tpl fld="6" item="2"/>
          <tpl hier="236" item="1"/>
          <tpl fld="4" item="5"/>
        </tpls>
      </m>
      <m>
        <tpls c="3">
          <tpl fld="7" item="574"/>
          <tpl fld="6" item="3"/>
          <tpl hier="236" item="1"/>
        </tpls>
      </m>
      <n v="1" in="1">
        <tpls c="4">
          <tpl fld="7" item="615"/>
          <tpl fld="6" item="1"/>
          <tpl hier="236" item="1"/>
          <tpl fld="4" item="5"/>
        </tpls>
      </n>
      <m>
        <tpls c="4">
          <tpl fld="7" item="795"/>
          <tpl fld="6" item="2"/>
          <tpl hier="236" item="1"/>
          <tpl fld="4" item="5"/>
        </tpls>
      </m>
      <n v="0.52" in="2">
        <tpls c="4">
          <tpl fld="7" item="615"/>
          <tpl fld="6" item="2"/>
          <tpl hier="236" item="1"/>
          <tpl fld="1" item="0"/>
        </tpls>
      </n>
      <n v="1" in="1">
        <tpls c="4">
          <tpl fld="7" item="458"/>
          <tpl fld="6" item="1"/>
          <tpl hier="236" item="1"/>
          <tpl fld="4" item="5"/>
        </tpls>
      </n>
      <m>
        <tpls c="4">
          <tpl fld="7" item="703"/>
          <tpl fld="6" item="1"/>
          <tpl hier="236" item="1"/>
          <tpl fld="4" item="5"/>
        </tpls>
      </m>
      <m>
        <tpls c="4">
          <tpl fld="7" item="619"/>
          <tpl fld="6" item="2"/>
          <tpl hier="236" item="1"/>
          <tpl fld="4" item="4"/>
        </tpls>
      </m>
      <m>
        <tpls c="4">
          <tpl fld="7" item="579"/>
          <tpl fld="6" item="1"/>
          <tpl hier="236" item="1"/>
          <tpl fld="4" item="1"/>
        </tpls>
      </m>
      <m>
        <tpls c="3">
          <tpl fld="7" item="723"/>
          <tpl fld="6" item="3"/>
          <tpl hier="236" item="1"/>
        </tpls>
      </m>
      <m>
        <tpls c="4">
          <tpl fld="7" item="1264"/>
          <tpl fld="6" item="1"/>
          <tpl hier="236" item="1"/>
          <tpl fld="4" item="5"/>
        </tpls>
      </m>
      <m>
        <tpls c="4">
          <tpl fld="7" item="1047"/>
          <tpl fld="6" item="2"/>
          <tpl hier="236" item="1"/>
          <tpl fld="4" item="1"/>
        </tpls>
      </m>
      <m>
        <tpls c="4">
          <tpl fld="7" item="978"/>
          <tpl fld="6" item="2"/>
          <tpl hier="236" item="1"/>
          <tpl fld="4" item="5"/>
        </tpls>
      </m>
      <m>
        <tpls c="4">
          <tpl fld="7" item="879"/>
          <tpl fld="6" item="2"/>
          <tpl hier="236" item="1"/>
          <tpl fld="1" item="0"/>
        </tpls>
      </m>
      <m>
        <tpls c="4">
          <tpl fld="7" item="560"/>
          <tpl fld="6" item="2"/>
          <tpl hier="236" item="1"/>
          <tpl fld="1" item="0"/>
        </tpls>
      </m>
      <m>
        <tpls c="4">
          <tpl fld="7" item="619"/>
          <tpl fld="6" item="1"/>
          <tpl hier="236" item="1"/>
          <tpl fld="4" item="1"/>
        </tpls>
      </m>
      <m>
        <tpls c="4">
          <tpl fld="7" item="577"/>
          <tpl fld="6" item="2"/>
          <tpl hier="236" item="1"/>
          <tpl fld="4" item="4"/>
        </tpls>
      </m>
      <n v="0.52" in="2">
        <tpls c="4">
          <tpl fld="7" item="585"/>
          <tpl fld="6" item="2"/>
          <tpl hier="236" item="1"/>
          <tpl fld="4" item="4"/>
        </tpls>
      </n>
      <m>
        <tpls c="4">
          <tpl fld="7" item="884"/>
          <tpl fld="6" item="2"/>
          <tpl hier="236" item="1"/>
          <tpl fld="1" item="0"/>
        </tpls>
      </m>
      <n v="0" in="1">
        <tpls c="4">
          <tpl fld="7" item="803"/>
          <tpl fld="6" item="1"/>
          <tpl hier="236" item="1"/>
          <tpl fld="4" item="1"/>
        </tpls>
      </n>
      <m>
        <tpls c="4">
          <tpl fld="7" item="810"/>
          <tpl fld="6" item="2"/>
          <tpl hier="236" item="1"/>
          <tpl fld="4" item="5"/>
        </tpls>
      </m>
      <m>
        <tpls c="4">
          <tpl fld="7" item="818"/>
          <tpl fld="6" item="2"/>
          <tpl hier="236" item="1"/>
          <tpl fld="4" item="5"/>
        </tpls>
      </m>
      <m>
        <tpls c="4">
          <tpl fld="7" item="744"/>
          <tpl fld="6" item="2"/>
          <tpl hier="236" item="1"/>
          <tpl fld="4" item="5"/>
        </tpls>
      </m>
      <m>
        <tpls c="4">
          <tpl fld="7" item="903"/>
          <tpl fld="6" item="2"/>
          <tpl hier="236" item="1"/>
          <tpl fld="4" item="1"/>
        </tpls>
      </m>
      <m>
        <tpls c="4">
          <tpl fld="7" item="858"/>
          <tpl fld="6" item="1"/>
          <tpl hier="236" item="1"/>
          <tpl fld="4" item="6"/>
        </tpls>
      </m>
      <m>
        <tpls c="4">
          <tpl fld="7" item="1251"/>
          <tpl fld="6" item="2"/>
          <tpl hier="236" item="1"/>
          <tpl fld="4" item="1"/>
        </tpls>
      </m>
      <m>
        <tpls c="4">
          <tpl fld="7" item="1210"/>
          <tpl fld="6" item="2"/>
          <tpl hier="236" item="1"/>
          <tpl fld="4" item="1"/>
        </tpls>
      </m>
      <n v="0.64" in="2">
        <tpls c="4">
          <tpl fld="7" item="423"/>
          <tpl fld="6" item="2"/>
          <tpl hier="236" item="1"/>
          <tpl fld="1" item="0"/>
        </tpls>
      </n>
      <m>
        <tpls c="4">
          <tpl fld="7" item="223"/>
          <tpl fld="6" item="2"/>
          <tpl hier="236" item="1"/>
          <tpl fld="1" item="0"/>
        </tpls>
      </m>
      <m>
        <tpls c="4">
          <tpl fld="7" item="192"/>
          <tpl fld="6" item="2"/>
          <tpl hier="236" item="1"/>
          <tpl fld="4" item="4"/>
        </tpls>
      </m>
      <m>
        <tpls c="4">
          <tpl fld="7" item="1212"/>
          <tpl fld="6" item="2"/>
          <tpl hier="236" item="1"/>
          <tpl fld="1" item="0"/>
        </tpls>
      </m>
      <m>
        <tpls c="4">
          <tpl fld="7" item="491"/>
          <tpl fld="6" item="1"/>
          <tpl hier="236" item="1"/>
          <tpl fld="4" item="6"/>
        </tpls>
      </m>
      <n v="1" in="1">
        <tpls c="4">
          <tpl fld="7" item="391"/>
          <tpl fld="6" item="1"/>
          <tpl hier="236" item="1"/>
          <tpl fld="4" item="4"/>
        </tpls>
      </n>
      <m>
        <tpls c="3">
          <tpl fld="7" item="461"/>
          <tpl fld="6" item="3"/>
          <tpl hier="236" item="1"/>
        </tpls>
      </m>
      <m>
        <tpls c="4">
          <tpl fld="7" item="706"/>
          <tpl fld="6" item="2"/>
          <tpl hier="236" item="1"/>
          <tpl fld="4" item="4"/>
        </tpls>
      </m>
      <m>
        <tpls c="4">
          <tpl fld="7" item="530"/>
          <tpl fld="6" item="1"/>
          <tpl hier="236" item="1"/>
          <tpl fld="4" item="1"/>
        </tpls>
      </m>
      <n v="30" in="1">
        <tpls c="4">
          <tpl fld="7" item="626"/>
          <tpl fld="6" item="1"/>
          <tpl hier="236" item="1"/>
          <tpl fld="4" item="4"/>
        </tpls>
      </n>
      <m>
        <tpls c="4">
          <tpl fld="7" item="143"/>
          <tpl fld="6" item="2"/>
          <tpl hier="236" item="1"/>
          <tpl fld="4" item="4"/>
        </tpls>
      </m>
      <m>
        <tpls c="4">
          <tpl fld="7" item="390"/>
          <tpl fld="6" item="1"/>
          <tpl hier="236" item="1"/>
          <tpl fld="4" item="5"/>
        </tpls>
      </m>
      <m>
        <tpls c="4">
          <tpl fld="7" item="776"/>
          <tpl fld="6" item="2"/>
          <tpl hier="236" item="1"/>
          <tpl fld="4" item="4"/>
        </tpls>
      </m>
      <n v="1" in="1">
        <tpls c="4">
          <tpl fld="7" item="883"/>
          <tpl fld="6" item="1"/>
          <tpl hier="236" item="1"/>
          <tpl fld="4" item="4"/>
        </tpls>
      </n>
      <n v="10" in="1">
        <tpls c="4">
          <tpl fld="7" item="561"/>
          <tpl fld="6" item="1"/>
          <tpl hier="236" item="1"/>
          <tpl fld="4" item="6"/>
        </tpls>
      </n>
      <m>
        <tpls c="4">
          <tpl fld="7" item="629"/>
          <tpl fld="6" item="2"/>
          <tpl hier="236" item="1"/>
          <tpl fld="4" item="5"/>
        </tpls>
      </m>
      <m>
        <tpls c="4">
          <tpl fld="7" item="634"/>
          <tpl fld="6" item="2"/>
          <tpl hier="236" item="1"/>
          <tpl fld="4" item="1"/>
        </tpls>
      </m>
      <m>
        <tpls c="4">
          <tpl fld="7" item="580"/>
          <tpl fld="6" item="2"/>
          <tpl hier="236" item="1"/>
          <tpl fld="4" item="4"/>
        </tpls>
      </m>
      <m>
        <tpls c="4">
          <tpl fld="7" item="1214"/>
          <tpl fld="6" item="2"/>
          <tpl hier="236" item="1"/>
          <tpl fld="4" item="6"/>
        </tpls>
      </m>
      <m>
        <tpls c="4">
          <tpl fld="7" item="883"/>
          <tpl fld="6" item="2"/>
          <tpl hier="236" item="1"/>
          <tpl fld="4" item="1"/>
        </tpls>
      </m>
      <m>
        <tpls c="4">
          <tpl fld="7" item="580"/>
          <tpl fld="6" item="1"/>
          <tpl hier="236" item="1"/>
          <tpl fld="4" item="6"/>
        </tpls>
      </m>
      <m>
        <tpls c="4">
          <tpl fld="7" item="889"/>
          <tpl fld="6" item="2"/>
          <tpl hier="236" item="1"/>
          <tpl fld="4" item="5"/>
        </tpls>
      </m>
      <m>
        <tpls c="4">
          <tpl fld="7" item="811"/>
          <tpl fld="6" item="2"/>
          <tpl hier="236" item="1"/>
          <tpl fld="4" item="1"/>
        </tpls>
      </m>
      <m>
        <tpls c="4">
          <tpl fld="7" item="735"/>
          <tpl fld="6" item="2"/>
          <tpl hier="236" item="1"/>
          <tpl fld="4" item="4"/>
        </tpls>
      </m>
      <m>
        <tpls c="4">
          <tpl fld="7" item="661"/>
          <tpl fld="6" item="2"/>
          <tpl hier="236" item="1"/>
          <tpl fld="4" item="6"/>
        </tpls>
      </m>
      <m>
        <tpls c="4">
          <tpl fld="7" item="999"/>
          <tpl fld="6" item="1"/>
          <tpl hier="236" item="1"/>
          <tpl fld="4" item="6"/>
        </tpls>
      </m>
      <m>
        <tpls c="3">
          <tpl fld="7" item="1008"/>
          <tpl fld="6" item="3"/>
          <tpl hier="236" item="1"/>
        </tpls>
      </m>
      <n v="1" in="1">
        <tpls c="4">
          <tpl fld="7" item="855"/>
          <tpl fld="6" item="1"/>
          <tpl hier="236" item="1"/>
          <tpl fld="4" item="6"/>
        </tpls>
      </n>
      <m>
        <tpls c="4">
          <tpl fld="7" item="1130"/>
          <tpl fld="6" item="2"/>
          <tpl hier="236" item="1"/>
          <tpl fld="4" item="4"/>
        </tpls>
      </m>
      <m>
        <tpls c="4">
          <tpl fld="7" item="1052"/>
          <tpl fld="6" item="2"/>
          <tpl hier="236" item="1"/>
          <tpl fld="4" item="1"/>
        </tpls>
      </m>
      <m>
        <tpls c="4">
          <tpl fld="7" item="1131"/>
          <tpl fld="6" item="2"/>
          <tpl hier="236" item="1"/>
          <tpl fld="1" item="0"/>
        </tpls>
      </m>
      <m>
        <tpls c="4">
          <tpl fld="7" item="438"/>
          <tpl fld="6" item="2"/>
          <tpl hier="236" item="1"/>
          <tpl fld="1" item="0"/>
        </tpls>
      </m>
      <m>
        <tpls c="4">
          <tpl fld="7" item="340"/>
          <tpl fld="6" item="2"/>
          <tpl hier="236" item="1"/>
          <tpl fld="1" item="0"/>
        </tpls>
      </m>
      <m>
        <tpls c="4">
          <tpl fld="7" item="1222"/>
          <tpl fld="6" item="2"/>
          <tpl hier="236" item="1"/>
          <tpl fld="4" item="5"/>
        </tpls>
      </m>
      <m>
        <tpls c="4">
          <tpl fld="7" item="699"/>
          <tpl fld="6" item="1"/>
          <tpl hier="236" item="1"/>
          <tpl fld="1" item="0"/>
        </tpls>
      </m>
      <m>
        <tpls c="4">
          <tpl fld="7" item="1094"/>
          <tpl fld="6" item="2"/>
          <tpl hier="236" item="1"/>
          <tpl fld="1" item="0"/>
        </tpls>
      </m>
      <m>
        <tpls c="3">
          <tpl fld="7" item="889"/>
          <tpl fld="6" item="3"/>
          <tpl hier="236" item="1"/>
        </tpls>
      </m>
      <m>
        <tpls c="4">
          <tpl fld="7" item="729"/>
          <tpl fld="6" item="1"/>
          <tpl hier="236" item="1"/>
          <tpl fld="4" item="5"/>
        </tpls>
      </m>
      <n v="5" in="1">
        <tpls c="6">
          <tpl fld="11" item="0"/>
          <tpl fld="2" item="1"/>
          <tpl fld="6" item="1"/>
          <tpl hier="236" item="1"/>
          <tpl fld="4" item="7"/>
          <tpl fld="10" item="1"/>
        </tpls>
      </n>
      <n v="2" in="1">
        <tpls c="4">
          <tpl fld="7" item="533"/>
          <tpl fld="6" item="1"/>
          <tpl hier="236" item="1"/>
          <tpl fld="4" item="4"/>
        </tpls>
      </n>
      <m>
        <tpls c="4">
          <tpl fld="7" item="405"/>
          <tpl fld="6" item="1"/>
          <tpl hier="236" item="1"/>
          <tpl fld="4" item="6"/>
        </tpls>
      </m>
      <m>
        <tpls c="4">
          <tpl fld="7" item="561"/>
          <tpl fld="6" item="2"/>
          <tpl hier="236" item="1"/>
          <tpl fld="4" item="6"/>
        </tpls>
      </m>
      <m>
        <tpls c="4">
          <tpl fld="7" item="112"/>
          <tpl fld="6" item="1"/>
          <tpl hier="236" item="1"/>
          <tpl fld="1" item="0"/>
        </tpls>
      </m>
      <n v="2" in="1">
        <tpls c="4">
          <tpl fld="7" item="811"/>
          <tpl fld="6" item="1"/>
          <tpl hier="236" item="1"/>
          <tpl fld="4" item="5"/>
        </tpls>
      </n>
      <m>
        <tpls c="4">
          <tpl fld="7" item="1111"/>
          <tpl fld="6" item="2"/>
          <tpl hier="236" item="1"/>
          <tpl fld="4" item="1"/>
        </tpls>
      </m>
      <m>
        <tpls c="4">
          <tpl fld="7" item="1197"/>
          <tpl fld="6" item="2"/>
          <tpl hier="236" item="1"/>
          <tpl fld="1" item="0"/>
        </tpls>
      </m>
      <m>
        <tpls c="3">
          <tpl fld="7" item="693"/>
          <tpl fld="6" item="3"/>
          <tpl hier="236" item="1"/>
        </tpls>
      </m>
      <m>
        <tpls c="4">
          <tpl fld="7" item="579"/>
          <tpl fld="6" item="1"/>
          <tpl hier="236" item="1"/>
          <tpl fld="4" item="5"/>
        </tpls>
      </m>
      <m>
        <tpls c="4">
          <tpl fld="7" item="725"/>
          <tpl fld="6" item="2"/>
          <tpl hier="236" item="1"/>
          <tpl fld="4" item="5"/>
        </tpls>
      </m>
      <m>
        <tpls c="4">
          <tpl fld="7" item="653"/>
          <tpl fld="6" item="1"/>
          <tpl hier="236" item="1"/>
          <tpl fld="4" item="1"/>
        </tpls>
      </m>
      <m>
        <tpls c="4">
          <tpl fld="7" item="739"/>
          <tpl fld="6" item="1"/>
          <tpl hier="236" item="1"/>
          <tpl fld="4" item="5"/>
        </tpls>
      </m>
      <n v="38" in="1">
        <tpls c="4">
          <tpl fld="7" item="827"/>
          <tpl fld="6" item="1"/>
          <tpl hier="236" item="1"/>
          <tpl fld="1" item="0"/>
        </tpls>
      </n>
      <m>
        <tpls c="4">
          <tpl fld="7" item="1005"/>
          <tpl fld="6" item="1"/>
          <tpl hier="236" item="1"/>
          <tpl fld="4" item="6"/>
        </tpls>
      </m>
      <n v="0.64" in="2">
        <tpls c="4">
          <tpl fld="7" item="851"/>
          <tpl fld="6" item="2"/>
          <tpl hier="236" item="1"/>
          <tpl fld="4" item="4"/>
        </tpls>
      </n>
      <m>
        <tpls c="4">
          <tpl fld="7" item="864"/>
          <tpl fld="6" item="1"/>
          <tpl hier="236" item="1"/>
          <tpl fld="4" item="4"/>
        </tpls>
      </m>
      <m>
        <tpls c="4">
          <tpl fld="7" item="1145"/>
          <tpl fld="6" item="1"/>
          <tpl hier="236" item="1"/>
          <tpl fld="4" item="4"/>
        </tpls>
      </m>
      <n v="17" in="1">
        <tpls c="4">
          <tpl fld="7" item="1177"/>
          <tpl fld="6" item="1"/>
          <tpl hier="236" item="1"/>
          <tpl fld="4" item="4"/>
        </tpls>
      </n>
      <m>
        <tpls c="4">
          <tpl fld="7" item="303"/>
          <tpl fld="6" item="2"/>
          <tpl hier="236" item="1"/>
          <tpl fld="1" item="0"/>
        </tpls>
      </m>
      <m>
        <tpls c="4">
          <tpl fld="7" item="343"/>
          <tpl fld="6" item="2"/>
          <tpl hier="236" item="1"/>
          <tpl fld="1" item="0"/>
        </tpls>
      </m>
      <m>
        <tpls c="4">
          <tpl fld="7" item="699"/>
          <tpl fld="6" item="2"/>
          <tpl hier="236" item="1"/>
          <tpl fld="1" item="0"/>
        </tpls>
      </m>
      <n v="6388" in="1">
        <tpls c="6">
          <tpl fld="11" item="0"/>
          <tpl fld="6" item="1"/>
          <tpl fld="8" item="1"/>
          <tpl hier="236" item="1"/>
          <tpl fld="4" item="4"/>
          <tpl fld="10" item="8"/>
        </tpls>
      </n>
      <n v="0" in="1">
        <tpls c="6">
          <tpl fld="11" item="0"/>
          <tpl fld="5" item="3"/>
          <tpl fld="6" item="1"/>
          <tpl hier="236" item="1"/>
          <tpl fld="4" item="7"/>
          <tpl fld="10" item="1"/>
        </tpls>
      </n>
      <m>
        <tpls c="4">
          <tpl fld="7" item="270"/>
          <tpl fld="6" item="1"/>
          <tpl hier="236" item="1"/>
          <tpl fld="4" item="4"/>
        </tpls>
      </m>
      <n v="10" in="1">
        <tpls c="4">
          <tpl fld="7" item="458"/>
          <tpl fld="6" item="1"/>
          <tpl hier="236" item="1"/>
          <tpl fld="4" item="4"/>
        </tpls>
      </n>
      <m>
        <tpls c="4">
          <tpl fld="7" item="348"/>
          <tpl fld="6" item="2"/>
          <tpl hier="236" item="1"/>
          <tpl fld="4" item="4"/>
        </tpls>
      </m>
      <n v="51" in="1">
        <tpls c="4">
          <tpl fld="7" item="539"/>
          <tpl fld="6" item="1"/>
          <tpl hier="236" item="1"/>
          <tpl fld="1" item="0"/>
        </tpls>
      </n>
      <m>
        <tpls c="3">
          <tpl fld="7" item="1186"/>
          <tpl fld="6" item="3"/>
          <tpl hier="236" item="1"/>
        </tpls>
      </m>
      <m>
        <tpls c="4">
          <tpl fld="7" item="711"/>
          <tpl fld="6" item="1"/>
          <tpl hier="236" item="1"/>
          <tpl fld="4" item="5"/>
        </tpls>
      </m>
      <n v="8" in="1">
        <tpls c="4">
          <tpl fld="7" item="384"/>
          <tpl fld="6" item="1"/>
          <tpl hier="236" item="1"/>
          <tpl fld="4" item="4"/>
        </tpls>
      </n>
      <m>
        <tpls c="4">
          <tpl fld="7" item="770"/>
          <tpl fld="6" item="2"/>
          <tpl hier="236" item="1"/>
          <tpl fld="4" item="5"/>
        </tpls>
      </m>
      <m>
        <tpls c="4">
          <tpl fld="7" item="1276"/>
          <tpl fld="6" item="2"/>
          <tpl hier="236" item="1"/>
          <tpl fld="4" item="6"/>
        </tpls>
      </m>
      <m>
        <tpls c="4">
          <tpl fld="7" item="1090"/>
          <tpl fld="6" item="1"/>
          <tpl hier="236" item="1"/>
          <tpl fld="4" item="5"/>
        </tpls>
      </m>
      <m>
        <tpls c="4">
          <tpl fld="7" item="32"/>
          <tpl fld="6" item="2"/>
          <tpl hier="236" item="1"/>
          <tpl fld="4" item="4"/>
        </tpls>
      </m>
      <m>
        <tpls c="3">
          <tpl fld="7" item="536"/>
          <tpl fld="6" item="3"/>
          <tpl hier="236" item="1"/>
        </tpls>
      </m>
      <n v="3" in="1">
        <tpls c="4">
          <tpl fld="7" item="438"/>
          <tpl fld="6" item="1"/>
          <tpl hier="236" item="1"/>
          <tpl fld="4" item="6"/>
        </tpls>
      </n>
      <m>
        <tpls c="4">
          <tpl fld="7" item="610"/>
          <tpl fld="6" item="2"/>
          <tpl hier="236" item="1"/>
          <tpl fld="4" item="4"/>
        </tpls>
      </m>
      <m>
        <tpls c="4">
          <tpl fld="7" item="696"/>
          <tpl fld="6" item="2"/>
          <tpl hier="236" item="1"/>
          <tpl fld="4" item="6"/>
        </tpls>
      </m>
      <m>
        <tpls c="4">
          <tpl fld="7" item="635"/>
          <tpl fld="6" item="1"/>
          <tpl hier="236" item="1"/>
          <tpl fld="4" item="4"/>
        </tpls>
      </m>
      <m>
        <tpls c="4">
          <tpl fld="7" item="616"/>
          <tpl fld="6" item="1"/>
          <tpl hier="236" item="1"/>
          <tpl fld="4" item="6"/>
        </tpls>
      </m>
      <m>
        <tpls c="4">
          <tpl fld="7" item="575"/>
          <tpl fld="6" item="2"/>
          <tpl hier="236" item="1"/>
          <tpl fld="4" item="6"/>
        </tpls>
      </m>
      <n v="1" in="1">
        <tpls c="4">
          <tpl fld="7" item="616"/>
          <tpl fld="6" item="1"/>
          <tpl hier="236" item="1"/>
          <tpl fld="4" item="1"/>
        </tpls>
      </n>
      <n v="1" in="1">
        <tpls c="4">
          <tpl fld="7" item="393"/>
          <tpl fld="6" item="1"/>
          <tpl hier="236" item="1"/>
          <tpl fld="4" item="1"/>
        </tpls>
      </n>
      <m>
        <tpls c="4">
          <tpl fld="7" item="566"/>
          <tpl fld="6" item="2"/>
          <tpl hier="236" item="1"/>
          <tpl fld="4" item="1"/>
        </tpls>
      </m>
      <m>
        <tpls c="3">
          <tpl fld="7" item="700"/>
          <tpl fld="6" item="3"/>
          <tpl hier="236" item="1"/>
        </tpls>
      </m>
      <n v="1" in="1">
        <tpls c="4">
          <tpl fld="7" item="1188"/>
          <tpl fld="6" item="1"/>
          <tpl hier="236" item="1"/>
          <tpl fld="1" item="0"/>
        </tpls>
      </n>
      <n v="27" in="1">
        <tpls c="4">
          <tpl fld="7" item="588"/>
          <tpl fld="6" item="1"/>
          <tpl hier="236" item="1"/>
          <tpl fld="4" item="4"/>
        </tpls>
      </n>
      <n v="2" in="1">
        <tpls c="4">
          <tpl fld="7" item="749"/>
          <tpl fld="6" item="1"/>
          <tpl hier="236" item="1"/>
          <tpl fld="4" item="4"/>
        </tpls>
      </n>
      <m>
        <tpls c="4">
          <tpl fld="7" item="1055"/>
          <tpl fld="6" item="2"/>
          <tpl hier="236" item="1"/>
          <tpl fld="4" item="1"/>
        </tpls>
      </m>
      <m>
        <tpls c="4">
          <tpl fld="7" item="409"/>
          <tpl fld="6" item="2"/>
          <tpl hier="236" item="1"/>
          <tpl fld="4" item="1"/>
        </tpls>
      </m>
      <m>
        <tpls c="3">
          <tpl fld="7" item="685"/>
          <tpl fld="6" item="3"/>
          <tpl hier="236" item="1"/>
        </tpls>
      </m>
      <m>
        <tpls c="4">
          <tpl fld="7" item="708"/>
          <tpl fld="6" item="2"/>
          <tpl hier="236" item="1"/>
          <tpl fld="4" item="1"/>
        </tpls>
      </m>
      <n v="2" in="1">
        <tpls c="4">
          <tpl fld="7" item="700"/>
          <tpl fld="6" item="1"/>
          <tpl hier="236" item="1"/>
          <tpl fld="1" item="0"/>
        </tpls>
      </n>
      <m>
        <tpls c="4">
          <tpl fld="7" item="991"/>
          <tpl fld="6" item="1"/>
          <tpl hier="236" item="1"/>
          <tpl fld="4" item="6"/>
        </tpls>
      </m>
      <m>
        <tpls c="4">
          <tpl fld="7" item="1214"/>
          <tpl fld="6" item="1"/>
          <tpl hier="236" item="1"/>
          <tpl fld="4" item="6"/>
        </tpls>
      </m>
      <n v="5" in="1">
        <tpls c="4">
          <tpl fld="7" item="562"/>
          <tpl fld="6" item="1"/>
          <tpl hier="236" item="1"/>
          <tpl fld="4" item="1"/>
        </tpls>
      </n>
      <n v="7" in="1">
        <tpls c="4">
          <tpl fld="7" item="642"/>
          <tpl fld="6" item="1"/>
          <tpl hier="236" item="1"/>
          <tpl fld="4" item="1"/>
        </tpls>
      </n>
      <n v="3" in="1">
        <tpls c="4">
          <tpl fld="7" item="729"/>
          <tpl fld="6" item="1"/>
          <tpl hier="236" item="1"/>
          <tpl fld="4" item="1"/>
        </tpls>
      </n>
      <m>
        <tpls c="4">
          <tpl fld="7" item="657"/>
          <tpl fld="6" item="1"/>
          <tpl hier="236" item="1"/>
          <tpl fld="4" item="6"/>
        </tpls>
      </m>
      <m>
        <tpls c="4">
          <tpl fld="7" item="998"/>
          <tpl fld="6" item="2"/>
          <tpl hier="236" item="1"/>
          <tpl fld="4" item="5"/>
        </tpls>
      </m>
      <m>
        <tpls c="4">
          <tpl fld="7" item="842"/>
          <tpl fld="6" item="1"/>
          <tpl hier="236" item="1"/>
          <tpl fld="4" item="6"/>
        </tpls>
      </m>
      <m>
        <tpls c="4">
          <tpl fld="7" item="1221"/>
          <tpl fld="6" item="2"/>
          <tpl hier="236" item="1"/>
          <tpl fld="4" item="4"/>
        </tpls>
      </m>
      <m>
        <tpls c="4">
          <tpl fld="7" item="1200"/>
          <tpl fld="6" item="2"/>
          <tpl hier="236" item="1"/>
          <tpl fld="4" item="1"/>
        </tpls>
      </m>
      <m>
        <tpls c="4">
          <tpl fld="7" item="1029"/>
          <tpl fld="6" item="2"/>
          <tpl hier="236" item="1"/>
          <tpl fld="1" item="0"/>
        </tpls>
      </m>
      <m>
        <tpls c="4">
          <tpl fld="7" item="101"/>
          <tpl fld="6" item="2"/>
          <tpl hier="236" item="1"/>
          <tpl fld="1" item="0"/>
        </tpls>
      </m>
      <m>
        <tpls c="4">
          <tpl fld="7" item="7"/>
          <tpl fld="6" item="2"/>
          <tpl hier="236" item="1"/>
          <tpl fld="1" item="0"/>
        </tpls>
      </m>
      <m>
        <tpls c="4">
          <tpl fld="7" item="112"/>
          <tpl fld="6" item="2"/>
          <tpl hier="236" item="1"/>
          <tpl fld="4" item="1"/>
        </tpls>
      </m>
      <m>
        <tpls c="4">
          <tpl fld="7" item="159"/>
          <tpl fld="6" item="2"/>
          <tpl hier="236" item="1"/>
          <tpl fld="4" item="1"/>
        </tpls>
      </m>
      <m>
        <tpls c="3">
          <tpl fld="7" item="321"/>
          <tpl fld="6" item="3"/>
          <tpl hier="236" item="1"/>
        </tpls>
      </m>
      <m>
        <tpls c="4">
          <tpl fld="7" item="463"/>
          <tpl fld="6" item="2"/>
          <tpl hier="236" item="1"/>
          <tpl fld="4" item="5"/>
        </tpls>
      </m>
      <m>
        <tpls c="4">
          <tpl fld="7" item="686"/>
          <tpl fld="6" item="1"/>
          <tpl hier="236" item="1"/>
          <tpl fld="4" item="5"/>
        </tpls>
      </m>
      <n v="14" in="1">
        <tpls c="4">
          <tpl fld="7" item="789"/>
          <tpl fld="6" item="1"/>
          <tpl hier="236" item="1"/>
          <tpl fld="4" item="4"/>
        </tpls>
      </n>
      <n v="6" in="1">
        <tpls c="4">
          <tpl fld="7" item="536"/>
          <tpl fld="6" item="1"/>
          <tpl hier="236" item="1"/>
          <tpl fld="4" item="4"/>
        </tpls>
      </n>
      <m>
        <tpls c="4">
          <tpl fld="7" item="565"/>
          <tpl fld="6" item="2"/>
          <tpl hier="236" item="1"/>
          <tpl fld="4" item="1"/>
        </tpls>
      </m>
      <m>
        <tpls c="4">
          <tpl fld="7" item="48"/>
          <tpl fld="6" item="2"/>
          <tpl hier="236" item="1"/>
          <tpl fld="4" item="1"/>
        </tpls>
      </m>
      <m>
        <tpls c="3">
          <tpl fld="7" item="463"/>
          <tpl fld="6" item="3"/>
          <tpl hier="236" item="1"/>
        </tpls>
      </m>
      <m>
        <tpls c="3">
          <tpl fld="7" item="615"/>
          <tpl fld="6" item="3"/>
          <tpl hier="236" item="1"/>
        </tpls>
      </m>
      <m>
        <tpls c="4">
          <tpl fld="7" item="620"/>
          <tpl fld="6" item="1"/>
          <tpl hier="236" item="1"/>
          <tpl fld="4" item="5"/>
        </tpls>
      </m>
      <n v="4" in="1">
        <tpls c="4">
          <tpl fld="7" item="704"/>
          <tpl fld="6" item="1"/>
          <tpl hier="236" item="1"/>
          <tpl fld="4" item="1"/>
        </tpls>
      </n>
      <m>
        <tpls c="4">
          <tpl fld="7" item="568"/>
          <tpl fld="6" item="2"/>
          <tpl hier="236" item="1"/>
          <tpl fld="4" item="5"/>
        </tpls>
      </m>
      <n v="6" in="1">
        <tpls c="4">
          <tpl fld="7" item="714"/>
          <tpl fld="6" item="1"/>
          <tpl hier="236" item="1"/>
          <tpl fld="1" item="0"/>
        </tpls>
      </n>
      <m>
        <tpls c="4">
          <tpl fld="7" item="800"/>
          <tpl fld="6" item="2"/>
          <tpl hier="236" item="1"/>
          <tpl fld="4" item="5"/>
        </tpls>
      </m>
      <m>
        <tpls c="4">
          <tpl fld="7" item="479"/>
          <tpl fld="6" item="2"/>
          <tpl hier="236" item="1"/>
          <tpl fld="4" item="1"/>
        </tpls>
      </m>
      <m>
        <tpls c="4">
          <tpl fld="7" item="987"/>
          <tpl fld="6" item="2"/>
          <tpl hier="236" item="1"/>
          <tpl fld="1" item="0"/>
        </tpls>
      </m>
      <m>
        <tpls c="4">
          <tpl fld="7" item="1188"/>
          <tpl fld="6" item="1"/>
          <tpl hier="236" item="1"/>
          <tpl fld="4" item="1"/>
        </tpls>
      </m>
      <m>
        <tpls c="4">
          <tpl fld="7" item="724"/>
          <tpl fld="6" item="1"/>
          <tpl hier="236" item="1"/>
          <tpl fld="4" item="6"/>
        </tpls>
      </m>
      <n v="9" in="1">
        <tpls c="4">
          <tpl fld="7" item="1097"/>
          <tpl fld="6" item="1"/>
          <tpl hier="236" item="1"/>
          <tpl fld="1" item="0"/>
        </tpls>
      </n>
      <m>
        <tpls c="4">
          <tpl fld="7" item="817"/>
          <tpl fld="6" item="2"/>
          <tpl hier="236" item="1"/>
          <tpl fld="4" item="5"/>
        </tpls>
      </m>
      <m>
        <tpls c="4">
          <tpl fld="7" item="823"/>
          <tpl fld="6" item="2"/>
          <tpl hier="236" item="1"/>
          <tpl fld="4" item="1"/>
        </tpls>
      </m>
      <m>
        <tpls c="3">
          <tpl fld="7" item="1102"/>
          <tpl fld="6" item="3"/>
          <tpl hier="236" item="1"/>
        </tpls>
      </m>
      <n v="0" in="1">
        <tpls c="4">
          <tpl fld="7" item="843"/>
          <tpl fld="6" item="1"/>
          <tpl hier="236" item="1"/>
          <tpl fld="4" item="6"/>
        </tpls>
      </n>
      <m>
        <tpls c="4">
          <tpl fld="7" item="511"/>
          <tpl fld="6" item="2"/>
          <tpl hier="236" item="1"/>
          <tpl fld="4" item="1"/>
        </tpls>
      </m>
      <m>
        <tpls c="4">
          <tpl fld="7" item="527"/>
          <tpl fld="6" item="2"/>
          <tpl hier="236" item="1"/>
          <tpl fld="4" item="1"/>
        </tpls>
      </m>
      <m>
        <tpls c="4">
          <tpl fld="7" item="536"/>
          <tpl fld="6" item="2"/>
          <tpl hier="236" item="1"/>
          <tpl fld="4" item="6"/>
        </tpls>
      </m>
      <n v="4" in="1">
        <tpls c="4">
          <tpl fld="7" item="1212"/>
          <tpl fld="6" item="1"/>
          <tpl hier="236" item="1"/>
          <tpl fld="4" item="1"/>
        </tpls>
      </n>
      <n v="0.64" in="2">
        <tpls c="4">
          <tpl fld="7" item="423"/>
          <tpl fld="6" item="2"/>
          <tpl hier="236" item="1"/>
          <tpl fld="4" item="4"/>
        </tpls>
      </n>
      <m>
        <tpls c="3">
          <tpl fld="7" item="611"/>
          <tpl fld="6" item="3"/>
          <tpl hier="236" item="1"/>
        </tpls>
      </m>
      <n v="4" in="1">
        <tpls c="4">
          <tpl fld="7" item="697"/>
          <tpl fld="6" item="1"/>
          <tpl hier="236" item="1"/>
          <tpl fld="4" item="4"/>
        </tpls>
      </n>
      <m>
        <tpls c="4">
          <tpl fld="7" item="559"/>
          <tpl fld="6" item="2"/>
          <tpl hier="236" item="1"/>
          <tpl fld="4" item="1"/>
        </tpls>
      </m>
      <m>
        <tpls c="4">
          <tpl fld="7" item="630"/>
          <tpl fld="6" item="2"/>
          <tpl hier="236" item="1"/>
          <tpl fld="4" item="6"/>
        </tpls>
      </m>
      <m>
        <tpls c="4">
          <tpl fld="7" item="887"/>
          <tpl fld="6" item="2"/>
          <tpl hier="236" item="1"/>
          <tpl fld="4" item="4"/>
        </tpls>
      </m>
      <n v="2.399189189189189" in="2">
        <tpls c="4">
          <tpl fld="7" item="351"/>
          <tpl fld="6" item="2"/>
          <tpl hier="236" item="1"/>
          <tpl fld="4" item="4"/>
        </tpls>
      </n>
      <n v="1" in="1">
        <tpls c="4">
          <tpl fld="7" item="772"/>
          <tpl fld="6" item="1"/>
          <tpl hier="236" item="1"/>
          <tpl fld="4" item="5"/>
        </tpls>
      </n>
      <m>
        <tpls c="4">
          <tpl fld="7" item="986"/>
          <tpl fld="6" item="2"/>
          <tpl hier="236" item="1"/>
          <tpl fld="4" item="6"/>
        </tpls>
      </m>
      <m>
        <tpls c="4">
          <tpl fld="7" item="702"/>
          <tpl fld="6" item="1"/>
          <tpl hier="236" item="1"/>
          <tpl fld="4" item="1"/>
        </tpls>
      </m>
      <n v="21" in="1">
        <tpls c="4">
          <tpl fld="7" item="1213"/>
          <tpl fld="6" item="1"/>
          <tpl hier="236" item="1"/>
          <tpl fld="4" item="4"/>
        </tpls>
      </n>
      <n v="1" in="1">
        <tpls c="4">
          <tpl fld="7" item="712"/>
          <tpl fld="6" item="1"/>
          <tpl hier="236" item="1"/>
          <tpl fld="1" item="0"/>
        </tpls>
      </n>
      <m>
        <tpls c="4">
          <tpl fld="7" item="798"/>
          <tpl fld="6" item="2"/>
          <tpl hier="236" item="1"/>
          <tpl fld="4" item="5"/>
        </tpls>
      </m>
      <n v="1.08" in="2">
        <tpls c="4">
          <tpl fld="7" item="422"/>
          <tpl fld="6" item="2"/>
          <tpl hier="236" item="1"/>
          <tpl fld="4" item="4"/>
        </tpls>
      </n>
      <n v="1" in="1">
        <tpls c="4">
          <tpl fld="7" item="464"/>
          <tpl fld="6" item="1"/>
          <tpl hier="236" item="1"/>
          <tpl fld="1" item="0"/>
        </tpls>
      </n>
      <m>
        <tpls c="4">
          <tpl fld="7" item="547"/>
          <tpl fld="6" item="2"/>
          <tpl hier="236" item="1"/>
          <tpl fld="4" item="6"/>
        </tpls>
      </m>
      <m>
        <tpls c="3">
          <tpl fld="7" item="969"/>
          <tpl fld="6" item="3"/>
          <tpl hier="236" item="1"/>
        </tpls>
      </m>
      <m>
        <tpls c="4">
          <tpl fld="7" item="30"/>
          <tpl fld="6" item="2"/>
          <tpl hier="236" item="1"/>
          <tpl fld="4" item="1"/>
        </tpls>
      </m>
      <m>
        <tpls c="3">
          <tpl fld="7" item="539"/>
          <tpl fld="6" item="3"/>
          <tpl hier="236" item="1"/>
        </tpls>
      </m>
      <n v="2" in="1">
        <tpls c="4">
          <tpl fld="7" item="443"/>
          <tpl fld="6" item="1"/>
          <tpl hier="236" item="1"/>
          <tpl fld="4" item="6"/>
        </tpls>
      </n>
      <m>
        <tpls c="4">
          <tpl fld="7" item="881"/>
          <tpl fld="6" item="1"/>
          <tpl hier="236" item="1"/>
          <tpl fld="4" item="5"/>
        </tpls>
      </m>
      <n v="1" in="1">
        <tpls c="4">
          <tpl fld="7" item="618"/>
          <tpl fld="6" item="1"/>
          <tpl hier="236" item="1"/>
          <tpl fld="4" item="1"/>
        </tpls>
      </n>
      <m>
        <tpls c="4">
          <tpl fld="7" item="991"/>
          <tpl fld="6" item="2"/>
          <tpl hier="236" item="1"/>
          <tpl fld="4" item="1"/>
        </tpls>
      </m>
      <m>
        <tpls c="4">
          <tpl fld="7" item="1089"/>
          <tpl fld="6" item="2"/>
          <tpl hier="236" item="1"/>
          <tpl fld="4" item="4"/>
        </tpls>
      </m>
      <m>
        <tpls c="4">
          <tpl fld="7" item="577"/>
          <tpl fld="6" item="2"/>
          <tpl hier="236" item="1"/>
          <tpl fld="4" item="6"/>
        </tpls>
      </m>
      <m>
        <tpls c="4">
          <tpl fld="7" item="433"/>
          <tpl fld="6" item="2"/>
          <tpl hier="236" item="1"/>
          <tpl fld="4" item="4"/>
        </tpls>
      </m>
      <m>
        <tpls c="4">
          <tpl fld="7" item="691"/>
          <tpl fld="6" item="2"/>
          <tpl hier="236" item="1"/>
          <tpl fld="4" item="5"/>
        </tpls>
      </m>
      <m>
        <tpls c="4">
          <tpl fld="7" item="779"/>
          <tpl fld="6" item="1"/>
          <tpl hier="236" item="1"/>
          <tpl fld="4" item="1"/>
        </tpls>
      </m>
      <m>
        <tpls c="4">
          <tpl fld="7" item="622"/>
          <tpl fld="6" item="2"/>
          <tpl hier="236" item="1"/>
          <tpl fld="4" item="4"/>
        </tpls>
      </m>
      <m>
        <tpls c="4">
          <tpl fld="7" item="564"/>
          <tpl fld="6" item="2"/>
          <tpl hier="236" item="1"/>
          <tpl fld="4" item="6"/>
        </tpls>
      </m>
      <m>
        <tpls c="3">
          <tpl fld="7" item="632"/>
          <tpl fld="6" item="3"/>
          <tpl hier="236" item="1"/>
        </tpls>
      </m>
      <m>
        <tpls c="4">
          <tpl fld="7" item="716"/>
          <tpl fld="6" item="1"/>
          <tpl hier="236" item="1"/>
          <tpl fld="4" item="5"/>
        </tpls>
      </m>
      <m>
        <tpls c="4">
          <tpl fld="7" item="583"/>
          <tpl fld="6" item="1"/>
          <tpl hier="236" item="1"/>
          <tpl fld="4" item="1"/>
        </tpls>
      </m>
      <n v="5" in="1">
        <tpls c="4">
          <tpl fld="7" item="1212"/>
          <tpl fld="6" item="1"/>
          <tpl hier="236" item="1"/>
          <tpl fld="4" item="6"/>
        </tpls>
      </n>
      <m>
        <tpls c="4">
          <tpl fld="7" item="1092"/>
          <tpl fld="6" item="2"/>
          <tpl hier="236" item="1"/>
          <tpl fld="1" item="0"/>
        </tpls>
      </m>
      <n v="14" in="1">
        <tpls c="4">
          <tpl fld="7" item="803"/>
          <tpl fld="6" item="1"/>
          <tpl hier="236" item="1"/>
          <tpl fld="4" item="6"/>
        </tpls>
      </n>
      <m>
        <tpls c="3">
          <tpl fld="7" item="1240"/>
          <tpl fld="6" item="3"/>
          <tpl hier="236" item="1"/>
        </tpls>
      </m>
      <m>
        <tpls c="4">
          <tpl fld="7" item="814"/>
          <tpl fld="6" item="1"/>
          <tpl hier="236" item="1"/>
          <tpl fld="4" item="5"/>
        </tpls>
      </m>
      <m>
        <tpls c="4">
          <tpl fld="7" item="738"/>
          <tpl fld="6" item="1"/>
          <tpl hier="236" item="1"/>
          <tpl fld="4" item="1"/>
        </tpls>
      </m>
      <m>
        <tpls c="4">
          <tpl fld="7" item="744"/>
          <tpl fld="6" item="1"/>
          <tpl hier="236" item="1"/>
          <tpl fld="4" item="5"/>
        </tpls>
      </m>
      <m>
        <tpls c="3">
          <tpl fld="7" item="1191"/>
          <tpl fld="6" item="3"/>
          <tpl hier="236" item="1"/>
        </tpls>
      </m>
      <n v="2" in="1">
        <tpls c="4">
          <tpl fld="7" item="849"/>
          <tpl fld="6" item="1"/>
          <tpl hier="236" item="1"/>
          <tpl fld="4" item="6"/>
        </tpls>
      </n>
      <m>
        <tpls c="4">
          <tpl fld="7" item="919"/>
          <tpl fld="6" item="2"/>
          <tpl hier="236" item="1"/>
          <tpl fld="4" item="4"/>
        </tpls>
      </m>
      <m>
        <tpls c="4">
          <tpl fld="7" item="1037"/>
          <tpl fld="6" item="2"/>
          <tpl hier="236" item="1"/>
          <tpl fld="4" item="1"/>
        </tpls>
      </m>
      <m>
        <tpls c="4">
          <tpl fld="7" item="1069"/>
          <tpl fld="6" item="2"/>
          <tpl hier="236" item="1"/>
          <tpl fld="4" item="1"/>
        </tpls>
      </m>
      <n v="1" in="2">
        <tpls c="4">
          <tpl fld="7" item="899"/>
          <tpl fld="6" item="2"/>
          <tpl hier="236" item="1"/>
          <tpl fld="1" item="0"/>
        </tpls>
      </n>
      <m>
        <tpls c="4">
          <tpl fld="7" item="300"/>
          <tpl fld="6" item="2"/>
          <tpl hier="236" item="1"/>
          <tpl fld="1" item="0"/>
        </tpls>
      </m>
      <m>
        <tpls c="4">
          <tpl fld="7" item="21"/>
          <tpl fld="6" item="2"/>
          <tpl hier="236" item="1"/>
          <tpl fld="1" item="0"/>
        </tpls>
      </m>
      <m>
        <tpls c="3">
          <tpl fld="7" item="1073"/>
          <tpl fld="6" item="3"/>
          <tpl hier="236" item="1"/>
        </tpls>
      </m>
      <m>
        <tpls c="4">
          <tpl fld="7" item="406"/>
          <tpl fld="6" item="1"/>
          <tpl hier="236" item="1"/>
          <tpl fld="4" item="5"/>
        </tpls>
      </m>
      <n v="2" in="2">
        <tpls c="4">
          <tpl fld="7" item="608"/>
          <tpl fld="6" item="2"/>
          <tpl hier="236" item="1"/>
          <tpl fld="4" item="4"/>
        </tpls>
      </n>
      <m>
        <tpls c="4">
          <tpl fld="7" item="373"/>
          <tpl fld="6" item="2"/>
          <tpl hier="236" item="1"/>
          <tpl fld="4" item="4"/>
        </tpls>
      </m>
      <n v="0.84000000000000008" in="2">
        <tpls c="4">
          <tpl fld="7" item="612"/>
          <tpl fld="6" item="2"/>
          <tpl hier="236" item="1"/>
          <tpl fld="1" item="0"/>
        </tpls>
      </n>
      <m>
        <tpls c="3">
          <tpl fld="7" item="698"/>
          <tpl fld="6" item="3"/>
          <tpl hier="236" item="1"/>
        </tpls>
      </m>
      <m>
        <tpls c="4">
          <tpl fld="7" item="578"/>
          <tpl fld="6" item="1"/>
          <tpl hier="236" item="1"/>
          <tpl fld="1" item="0"/>
        </tpls>
      </m>
      <m>
        <tpls c="4">
          <tpl fld="7" item="618"/>
          <tpl fld="6" item="2"/>
          <tpl hier="236" item="1"/>
          <tpl fld="4" item="5"/>
        </tpls>
      </m>
      <m>
        <tpls c="4">
          <tpl fld="7" item="716"/>
          <tpl fld="6" item="1"/>
          <tpl hier="236" item="1"/>
          <tpl fld="4" item="4"/>
        </tpls>
      </m>
      <m>
        <tpls c="4">
          <tpl fld="7" item="364"/>
          <tpl fld="6" item="2"/>
          <tpl hier="236" item="1"/>
          <tpl fld="4" item="1"/>
        </tpls>
      </m>
      <m>
        <tpls c="4">
          <tpl fld="7" item="544"/>
          <tpl fld="6" item="2"/>
          <tpl hier="236" item="1"/>
          <tpl fld="4" item="4"/>
        </tpls>
      </m>
      <m>
        <tpls c="4">
          <tpl fld="7" item="1089"/>
          <tpl fld="6" item="2"/>
          <tpl hier="236" item="1"/>
          <tpl fld="4" item="1"/>
        </tpls>
      </m>
      <m>
        <tpls c="4">
          <tpl fld="7" item="622"/>
          <tpl fld="6" item="1"/>
          <tpl hier="236" item="1"/>
          <tpl fld="4" item="1"/>
        </tpls>
      </m>
      <n v="25" in="1">
        <tpls c="4">
          <tpl fld="7" item="788"/>
          <tpl fld="6" item="1"/>
          <tpl hier="236" item="1"/>
          <tpl fld="4" item="4"/>
        </tpls>
      </n>
      <n v="6" in="1">
        <tpls c="4">
          <tpl fld="7" item="632"/>
          <tpl fld="6" item="1"/>
          <tpl hier="236" item="1"/>
          <tpl fld="1" item="0"/>
        </tpls>
      </n>
      <m>
        <tpls c="4">
          <tpl fld="7" item="716"/>
          <tpl fld="6" item="2"/>
          <tpl hier="236" item="1"/>
          <tpl fld="4" item="5"/>
        </tpls>
      </m>
      <m>
        <tpls c="3">
          <tpl fld="7" item="1236"/>
          <tpl fld="6" item="3"/>
          <tpl hier="236" item="1"/>
        </tpls>
      </m>
      <n v="7" in="2">
        <tpls c="6">
          <tpl fld="11" item="0"/>
          <tpl fld="5" item="1"/>
          <tpl fld="6" item="2"/>
          <tpl hier="236" item="1"/>
          <tpl fld="4" item="1"/>
          <tpl fld="9" item="0"/>
        </tpls>
      </n>
      <m>
        <tpls c="6">
          <tpl fld="3" item="4"/>
          <tpl fld="11" item="0"/>
          <tpl fld="6" item="2"/>
          <tpl hier="236" item="1"/>
          <tpl fld="4" item="3"/>
          <tpl fld="10" item="8"/>
        </tpls>
      </m>
      <n v="278" in="1">
        <tpls c="5">
          <tpl fld="11" item="0"/>
          <tpl fld="5" item="4"/>
          <tpl fld="6" item="1"/>
          <tpl hier="236" item="1"/>
          <tpl fld="4" item="5"/>
        </tpls>
      </n>
      <m>
        <tpls c="4">
          <tpl fld="7" item="672"/>
          <tpl fld="6" item="2"/>
          <tpl hier="236" item="1"/>
          <tpl fld="4" item="1"/>
        </tpls>
      </m>
      <m>
        <tpls c="4">
          <tpl fld="7" item="307"/>
          <tpl fld="6" item="1"/>
          <tpl hier="236" item="1"/>
          <tpl fld="4" item="6"/>
        </tpls>
      </m>
      <n v="11.70637837837838" in="2">
        <tpls c="6">
          <tpl fld="3" item="0"/>
          <tpl fld="11" item="0"/>
          <tpl fld="6" item="2"/>
          <tpl hier="236" item="1"/>
          <tpl fld="4" item="3"/>
          <tpl fld="10" item="2"/>
        </tpls>
      </n>
      <m>
        <tpls c="6">
          <tpl fld="3" item="2"/>
          <tpl fld="11" item="0"/>
          <tpl fld="6" item="2"/>
          <tpl hier="236" item="1"/>
          <tpl fld="4" item="7"/>
          <tpl fld="10" item="3"/>
        </tpls>
      </m>
      <m>
        <tpls c="4">
          <tpl fld="7" item="76"/>
          <tpl fld="6" item="2"/>
          <tpl hier="236" item="1"/>
          <tpl fld="4" item="4"/>
        </tpls>
      </m>
      <n v="17.048000000000002" in="2">
        <tpls c="4">
          <tpl fld="7" item="595"/>
          <tpl fld="6" item="2"/>
          <tpl hier="236" item="1"/>
          <tpl fld="4" item="4"/>
        </tpls>
      </n>
      <m>
        <tpls c="4">
          <tpl fld="7" item="465"/>
          <tpl fld="6" item="2"/>
          <tpl hier="236" item="1"/>
          <tpl fld="4" item="6"/>
        </tpls>
      </m>
      <n v="18.2172972972973" in="2">
        <tpls c="4">
          <tpl fld="7" item="494"/>
          <tpl fld="6" item="2"/>
          <tpl hier="236" item="1"/>
          <tpl fld="4" item="4"/>
        </tpls>
      </n>
      <m>
        <tpls c="3">
          <tpl fld="7" item="1058"/>
          <tpl fld="6" item="3"/>
          <tpl hier="236" item="1"/>
        </tpls>
      </m>
      <m>
        <tpls c="4">
          <tpl fld="7" item="153"/>
          <tpl fld="6" item="2"/>
          <tpl hier="236" item="1"/>
          <tpl fld="4" item="6"/>
        </tpls>
      </m>
      <n v="8.3305405405405413" in="2">
        <tpls c="6">
          <tpl fld="3" item="1"/>
          <tpl fld="11" item="0"/>
          <tpl fld="6" item="2"/>
          <tpl hier="236" item="1"/>
          <tpl fld="4" item="6"/>
          <tpl fld="10" item="2"/>
        </tpls>
      </n>
      <m>
        <tpls c="4">
          <tpl fld="7" item="164"/>
          <tpl fld="6" item="2"/>
          <tpl hier="236" item="1"/>
          <tpl fld="4" item="4"/>
        </tpls>
      </m>
      <m>
        <tpls c="4">
          <tpl fld="7" item="137"/>
          <tpl fld="6" item="1"/>
          <tpl hier="236" item="1"/>
          <tpl fld="4" item="4"/>
        </tpls>
      </m>
      <n v="1" in="3">
        <tpls c="3">
          <tpl fld="7" item="376"/>
          <tpl fld="6" item="3"/>
          <tpl hier="236" item="1"/>
        </tpls>
      </n>
      <m>
        <tpls c="4">
          <tpl fld="7" item="138"/>
          <tpl fld="6" item="1"/>
          <tpl hier="236" item="1"/>
          <tpl fld="4" item="4"/>
        </tpls>
      </m>
      <n v="1" in="3">
        <tpls c="3">
          <tpl fld="7" item="447"/>
          <tpl fld="6" item="3"/>
          <tpl hier="236" item="1"/>
        </tpls>
      </n>
      <n v="30.639999999999997" in="2">
        <tpls c="6">
          <tpl fld="11" item="0"/>
          <tpl fld="2" item="1"/>
          <tpl fld="6" item="2"/>
          <tpl hier="236" item="1"/>
          <tpl fld="4" item="1"/>
          <tpl fld="9" item="2"/>
        </tpls>
      </n>
      <m>
        <tpls c="4">
          <tpl fld="7" item="477"/>
          <tpl fld="6" item="1"/>
          <tpl hier="236" item="1"/>
          <tpl fld="4" item="5"/>
        </tpls>
      </m>
      <n v="18" in="1">
        <tpls c="4">
          <tpl fld="7" item="608"/>
          <tpl fld="6" item="1"/>
          <tpl hier="236" item="1"/>
          <tpl fld="4" item="1"/>
        </tpls>
      </n>
      <n v="7" in="1">
        <tpls c="4">
          <tpl fld="7" item="444"/>
          <tpl fld="6" item="1"/>
          <tpl hier="236" item="1"/>
          <tpl fld="4" item="6"/>
        </tpls>
      </n>
      <m>
        <tpls c="4">
          <tpl fld="7" item="545"/>
          <tpl fld="6" item="1"/>
          <tpl hier="236" item="1"/>
          <tpl fld="4" item="6"/>
        </tpls>
      </m>
      <n v="9" in="1">
        <tpls c="4">
          <tpl fld="7" item="698"/>
          <tpl fld="6" item="1"/>
          <tpl hier="236" item="1"/>
          <tpl fld="1" item="0"/>
        </tpls>
      </n>
      <m>
        <tpls c="4">
          <tpl fld="7" item="578"/>
          <tpl fld="6" item="2"/>
          <tpl hier="236" item="1"/>
          <tpl fld="1" item="0"/>
        </tpls>
      </m>
      <m>
        <tpls c="3">
          <tpl fld="7" item="553"/>
          <tpl fld="6" item="3"/>
          <tpl hier="236" item="1"/>
        </tpls>
      </m>
      <n v="330" in="1">
        <tpls c="6">
          <tpl fld="11" item="0"/>
          <tpl fld="6" item="1"/>
          <tpl fld="8" item="0"/>
          <tpl hier="236" item="1"/>
          <tpl fld="4" item="7"/>
          <tpl fld="10" item="7"/>
        </tpls>
      </n>
      <m>
        <tpls c="4">
          <tpl fld="7" item="409"/>
          <tpl fld="6" item="1"/>
          <tpl hier="236" item="1"/>
          <tpl fld="4" item="5"/>
        </tpls>
      </m>
      <n v="423" in="1">
        <tpls c="6">
          <tpl fld="11" item="0"/>
          <tpl fld="2" item="1"/>
          <tpl fld="6" item="1"/>
          <tpl hier="236" item="1"/>
          <tpl fld="4" item="3"/>
          <tpl fld="10" item="4"/>
        </tpls>
      </n>
      <m>
        <tpls c="4">
          <tpl fld="7" item="514"/>
          <tpl fld="6" item="2"/>
          <tpl hier="236" item="1"/>
          <tpl fld="4" item="1"/>
        </tpls>
      </m>
      <m>
        <tpls c="4">
          <tpl fld="7" item="529"/>
          <tpl fld="6" item="2"/>
          <tpl hier="236" item="1"/>
          <tpl fld="4" item="6"/>
        </tpls>
      </m>
      <m>
        <tpls c="3">
          <tpl fld="7" item="606"/>
          <tpl fld="6" item="3"/>
          <tpl hier="236" item="1"/>
        </tpls>
      </m>
      <m>
        <tpls c="3">
          <tpl fld="7" item="612"/>
          <tpl fld="6" item="3"/>
          <tpl hier="236" item="1"/>
        </tpls>
      </m>
      <n v="1" in="1">
        <tpls c="4">
          <tpl fld="7" item="1237"/>
          <tpl fld="6" item="1"/>
          <tpl hier="236" item="1"/>
          <tpl fld="4" item="6"/>
        </tpls>
      </n>
      <m>
        <tpls c="4">
          <tpl fld="7" item="881"/>
          <tpl fld="6" item="1"/>
          <tpl hier="236" item="1"/>
          <tpl fld="4" item="4"/>
        </tpls>
      </m>
      <m>
        <tpls c="4">
          <tpl fld="7" item="553"/>
          <tpl fld="6" item="1"/>
          <tpl hier="236" item="1"/>
          <tpl fld="4" item="5"/>
        </tpls>
      </m>
      <n v="5" in="1">
        <tpls c="4">
          <tpl fld="7" item="624"/>
          <tpl fld="6" item="1"/>
          <tpl hier="236" item="1"/>
          <tpl fld="4" item="4"/>
        </tpls>
      </n>
      <n v="13" in="1">
        <tpls c="4">
          <tpl fld="7" item="1239"/>
          <tpl fld="6" item="1"/>
          <tpl hier="236" item="1"/>
          <tpl fld="4" item="4"/>
        </tpls>
      </n>
      <m>
        <tpls c="4">
          <tpl fld="7" item="991"/>
          <tpl fld="6" item="2"/>
          <tpl hier="236" item="1"/>
          <tpl fld="4" item="5"/>
        </tpls>
      </m>
      <n v="2" in="1">
        <tpls c="4">
          <tpl fld="7" item="598"/>
          <tpl fld="6" item="1"/>
          <tpl hier="236" item="1"/>
          <tpl fld="4" item="6"/>
        </tpls>
      </n>
      <m>
        <tpls c="3">
          <tpl fld="7" item="544"/>
          <tpl fld="6" item="3"/>
          <tpl hier="236" item="1"/>
        </tpls>
      </m>
      <m>
        <tpls c="4">
          <tpl fld="7" item="618"/>
          <tpl fld="6" item="2"/>
          <tpl hier="236" item="1"/>
          <tpl fld="4" item="1"/>
        </tpls>
      </m>
      <m>
        <tpls c="4">
          <tpl fld="7" item="785"/>
          <tpl fld="6" item="2"/>
          <tpl hier="236" item="1"/>
          <tpl fld="4" item="6"/>
        </tpls>
      </m>
      <m>
        <tpls c="4">
          <tpl fld="7" item="710"/>
          <tpl fld="6" item="2"/>
          <tpl hier="236" item="1"/>
          <tpl fld="4" item="1"/>
        </tpls>
      </m>
      <n v="452" in="1">
        <tpls c="6">
          <tpl fld="3" item="2"/>
          <tpl fld="11" item="0"/>
          <tpl fld="6" item="1"/>
          <tpl hier="236" item="1"/>
          <tpl fld="4" item="6"/>
          <tpl fld="10" item="8"/>
        </tpls>
      </n>
      <m>
        <tpls c="4">
          <tpl fld="7" item="287"/>
          <tpl fld="6" item="2"/>
          <tpl hier="236" item="1"/>
          <tpl fld="4" item="4"/>
        </tpls>
      </m>
      <m>
        <tpls c="4">
          <tpl fld="7" item="48"/>
          <tpl fld="6" item="1"/>
          <tpl hier="236" item="1"/>
          <tpl fld="4" item="4"/>
        </tpls>
      </m>
      <m>
        <tpls c="4">
          <tpl fld="7" item="478"/>
          <tpl fld="6" item="1"/>
          <tpl hier="236" item="1"/>
          <tpl fld="4" item="5"/>
        </tpls>
      </m>
      <m>
        <tpls c="4">
          <tpl fld="7" item="983"/>
          <tpl fld="6" item="1"/>
          <tpl hier="236" item="1"/>
          <tpl fld="4" item="1"/>
        </tpls>
      </m>
      <n v="0.44000000000000006" in="2">
        <tpls c="4">
          <tpl fld="7" item="504"/>
          <tpl fld="6" item="2"/>
          <tpl hier="236" item="1"/>
          <tpl fld="4" item="4"/>
        </tpls>
      </n>
      <m>
        <tpls c="4">
          <tpl fld="7" item="687"/>
          <tpl fld="6" item="1"/>
          <tpl hier="236" item="1"/>
          <tpl fld="4" item="4"/>
        </tpls>
      </m>
      <m>
        <tpls c="4">
          <tpl fld="7" item="162"/>
          <tpl fld="6" item="1"/>
          <tpl hier="236" item="1"/>
          <tpl fld="4" item="5"/>
        </tpls>
      </m>
      <m>
        <tpls c="4">
          <tpl fld="7" item="209"/>
          <tpl fld="6" item="2"/>
          <tpl hier="236" item="1"/>
          <tpl fld="4" item="4"/>
        </tpls>
      </m>
      <n v="1" in="3">
        <tpls c="3">
          <tpl fld="7" item="758"/>
          <tpl fld="6" item="3"/>
          <tpl hier="236" item="1"/>
        </tpls>
      </n>
      <m>
        <tpls c="4">
          <tpl fld="7" item="442"/>
          <tpl fld="6" item="1"/>
          <tpl hier="236" item="1"/>
          <tpl fld="4" item="6"/>
        </tpls>
      </m>
      <m>
        <tpls c="4">
          <tpl fld="7" item="384"/>
          <tpl fld="6" item="2"/>
          <tpl hier="236" item="1"/>
          <tpl fld="4" item="4"/>
        </tpls>
      </m>
      <m>
        <tpls c="4">
          <tpl fld="7" item="462"/>
          <tpl fld="6" item="2"/>
          <tpl hier="236" item="1"/>
          <tpl fld="4" item="1"/>
        </tpls>
      </m>
      <n v="1" in="2">
        <tpls c="4">
          <tpl fld="7" item="607"/>
          <tpl fld="6" item="2"/>
          <tpl hier="236" item="1"/>
          <tpl fld="4" item="4"/>
        </tpls>
      </n>
      <m>
        <tpls c="4">
          <tpl fld="7" item="544"/>
          <tpl fld="6" item="2"/>
          <tpl hier="236" item="1"/>
          <tpl fld="4" item="6"/>
        </tpls>
      </m>
      <m>
        <tpls c="4">
          <tpl fld="7" item="318"/>
          <tpl fld="6" item="2"/>
          <tpl hier="236" item="1"/>
          <tpl fld="4" item="1"/>
        </tpls>
      </m>
      <n v="1" in="1">
        <tpls c="4">
          <tpl fld="7" item="462"/>
          <tpl fld="6" item="1"/>
          <tpl hier="236" item="1"/>
          <tpl fld="1" item="0"/>
        </tpls>
      </n>
      <m>
        <tpls c="4">
          <tpl fld="7" item="693"/>
          <tpl fld="6" item="1"/>
          <tpl hier="236" item="1"/>
          <tpl fld="4" item="6"/>
        </tpls>
      </m>
      <m>
        <tpls c="4">
          <tpl fld="7" item="779"/>
          <tpl fld="6" item="2"/>
          <tpl hier="236" item="1"/>
          <tpl fld="1" item="0"/>
        </tpls>
      </m>
      <m>
        <tpls c="3">
          <tpl fld="7" item="622"/>
          <tpl fld="6" item="3"/>
          <tpl hier="236" item="1"/>
        </tpls>
      </m>
      <n v="1" in="1">
        <tpls c="4">
          <tpl fld="7" item="564"/>
          <tpl fld="6" item="1"/>
          <tpl hier="236" item="1"/>
          <tpl fld="4" item="5"/>
        </tpls>
      </n>
      <n v="4" in="1">
        <tpls c="4">
          <tpl fld="7" item="632"/>
          <tpl fld="6" item="1"/>
          <tpl hier="236" item="1"/>
          <tpl fld="4" item="4"/>
        </tpls>
      </n>
      <m>
        <tpls c="4">
          <tpl fld="7" item="716"/>
          <tpl fld="6" item="1"/>
          <tpl hier="236" item="1"/>
          <tpl fld="4" item="6"/>
        </tpls>
      </m>
      <m>
        <tpls c="4">
          <tpl fld="7" item="594"/>
          <tpl fld="6" item="2"/>
          <tpl hier="236" item="1"/>
          <tpl fld="4" item="1"/>
        </tpls>
      </m>
      <m>
        <tpls c="4">
          <tpl fld="7" item="390"/>
          <tpl fld="6" item="2"/>
          <tpl hier="236" item="1"/>
          <tpl fld="4" item="1"/>
        </tpls>
      </m>
      <n v="2" in="1">
        <tpls c="4">
          <tpl fld="7" item="546"/>
          <tpl fld="6" item="1"/>
          <tpl hier="236" item="1"/>
          <tpl fld="4" item="5"/>
        </tpls>
      </n>
      <n v="3" in="1">
        <tpls c="4">
          <tpl fld="7" item="552"/>
          <tpl fld="6" item="1"/>
          <tpl hier="236" item="1"/>
          <tpl fld="1" item="0"/>
        </tpls>
      </n>
      <m>
        <tpls c="4">
          <tpl fld="7" item="1090"/>
          <tpl fld="6" item="2"/>
          <tpl hier="236" item="1"/>
          <tpl fld="4" item="5"/>
        </tpls>
      </m>
      <n v="1.7600000000000002" in="2">
        <tpls c="4">
          <tpl fld="7" item="706"/>
          <tpl fld="6" item="2"/>
          <tpl hier="236" item="1"/>
          <tpl fld="4" item="1"/>
        </tpls>
      </n>
      <m>
        <tpls c="4">
          <tpl fld="7" item="571"/>
          <tpl fld="6" item="2"/>
          <tpl hier="236" item="1"/>
          <tpl fld="4" item="6"/>
        </tpls>
      </m>
      <m>
        <tpls c="4">
          <tpl fld="7" item="636"/>
          <tpl fld="6" item="2"/>
          <tpl hier="236" item="1"/>
          <tpl fld="1" item="0"/>
        </tpls>
      </m>
      <m>
        <tpls c="4">
          <tpl fld="7" item="99"/>
          <tpl fld="6" item="1"/>
          <tpl hier="236" item="1"/>
          <tpl fld="4" item="6"/>
        </tpls>
      </m>
      <m>
        <tpls c="4">
          <tpl fld="7" item="461"/>
          <tpl fld="6" item="2"/>
          <tpl hier="236" item="1"/>
          <tpl fld="1" item="0"/>
        </tpls>
      </m>
      <m>
        <tpls c="4">
          <tpl fld="7" item="613"/>
          <tpl fld="6" item="2"/>
          <tpl hier="236" item="1"/>
          <tpl fld="4" item="1"/>
        </tpls>
      </m>
      <n v="1" in="1">
        <tpls c="4">
          <tpl fld="7" item="779"/>
          <tpl fld="6" item="1"/>
          <tpl hier="236" item="1"/>
          <tpl fld="4" item="4"/>
        </tpls>
      </n>
      <n v="-1" in="1">
        <tpls c="4">
          <tpl fld="7" item="192"/>
          <tpl fld="6" item="1"/>
          <tpl hier="236" item="1"/>
          <tpl fld="4" item="4"/>
        </tpls>
      </n>
      <m>
        <tpls c="4">
          <tpl fld="7" item="685"/>
          <tpl fld="6" item="1"/>
          <tpl hier="236" item="1"/>
          <tpl fld="4" item="5"/>
        </tpls>
      </m>
      <n v="4" in="1">
        <tpls c="4">
          <tpl fld="7" item="366"/>
          <tpl fld="6" item="1"/>
          <tpl hier="236" item="1"/>
          <tpl fld="4" item="4"/>
        </tpls>
      </n>
      <m>
        <tpls c="4">
          <tpl fld="7" item="771"/>
          <tpl fld="6" item="2"/>
          <tpl hier="236" item="1"/>
          <tpl fld="4" item="5"/>
        </tpls>
      </m>
      <m>
        <tpls c="4">
          <tpl fld="7" item="550"/>
          <tpl fld="6" item="2"/>
          <tpl hier="236" item="1"/>
          <tpl fld="4" item="1"/>
        </tpls>
      </m>
      <n v="1" in="1">
        <tpls c="4">
          <tpl fld="7" item="796"/>
          <tpl fld="6" item="1"/>
          <tpl hier="236" item="1"/>
          <tpl fld="4" item="5"/>
        </tpls>
      </n>
      <n v="5" in="1">
        <tpls c="4">
          <tpl fld="7" item="777"/>
          <tpl fld="6" item="1"/>
          <tpl hier="236" item="1"/>
          <tpl fld="4" item="1"/>
        </tpls>
      </n>
      <m>
        <tpls c="4">
          <tpl fld="7" item="714"/>
          <tpl fld="6" item="2"/>
          <tpl hier="236" item="1"/>
          <tpl fld="4" item="1"/>
        </tpls>
      </m>
      <n v="11.887837837837838" in="2">
        <tpls c="4">
          <tpl fld="7" item="425"/>
          <tpl fld="6" item="2"/>
          <tpl hier="236" item="1"/>
          <tpl fld="4" item="4"/>
        </tpls>
      </n>
      <m>
        <tpls c="4">
          <tpl fld="7" item="542"/>
          <tpl fld="6" item="1"/>
          <tpl hier="236" item="1"/>
          <tpl fld="4" item="4"/>
        </tpls>
      </m>
      <n v="2" in="1">
        <tpls c="4">
          <tpl fld="7" item="986"/>
          <tpl fld="6" item="1"/>
          <tpl hier="236" item="1"/>
          <tpl fld="4" item="1"/>
        </tpls>
      </n>
      <m>
        <tpls c="4">
          <tpl fld="7" item="783"/>
          <tpl fld="6" item="1"/>
          <tpl hier="236" item="1"/>
          <tpl fld="4" item="5"/>
        </tpls>
      </m>
      <m>
        <tpls c="4">
          <tpl fld="7" item="1091"/>
          <tpl fld="6" item="1"/>
          <tpl hier="236" item="1"/>
          <tpl fld="4" item="1"/>
        </tpls>
      </m>
      <m>
        <tpls c="4">
          <tpl fld="7" item="793"/>
          <tpl fld="6" item="1"/>
          <tpl hier="236" item="1"/>
          <tpl fld="4" item="6"/>
        </tpls>
      </m>
      <n v="4" in="1">
        <tpls c="4">
          <tpl fld="7" item="887"/>
          <tpl fld="6" item="1"/>
          <tpl hier="236" item="1"/>
          <tpl fld="1" item="0"/>
        </tpls>
      </n>
      <m>
        <tpls c="4">
          <tpl fld="7" item="640"/>
          <tpl fld="6" item="2"/>
          <tpl hier="236" item="1"/>
          <tpl fld="4" item="5"/>
        </tpls>
      </m>
      <m>
        <tpls c="4">
          <tpl fld="7" item="535"/>
          <tpl fld="6" item="2"/>
          <tpl hier="236" item="1"/>
          <tpl fld="4" item="4"/>
        </tpls>
      </m>
      <m>
        <tpls c="4">
          <tpl fld="7" item="1213"/>
          <tpl fld="6" item="2"/>
          <tpl hier="236" item="1"/>
          <tpl fld="1" item="0"/>
        </tpls>
      </m>
      <n v="1" in="2">
        <tpls c="4">
          <tpl fld="7" item="992"/>
          <tpl fld="6" item="2"/>
          <tpl hier="236" item="1"/>
          <tpl fld="4" item="4"/>
        </tpls>
      </n>
      <n v="4" in="1">
        <tpls c="4">
          <tpl fld="7" item="646"/>
          <tpl fld="6" item="1"/>
          <tpl hier="236" item="1"/>
          <tpl fld="4" item="6"/>
        </tpls>
      </n>
      <n v="4" in="1">
        <tpls c="4">
          <tpl fld="7" item="891"/>
          <tpl fld="6" item="1"/>
          <tpl hier="236" item="1"/>
          <tpl fld="1" item="0"/>
        </tpls>
      </n>
      <m>
        <tpls c="4">
          <tpl fld="7" item="819"/>
          <tpl fld="6" item="2"/>
          <tpl hier="236" item="1"/>
          <tpl fld="4" item="5"/>
        </tpls>
      </m>
      <n v="1" in="2">
        <tpls c="4">
          <tpl fld="7" item="825"/>
          <tpl fld="6" item="2"/>
          <tpl hier="236" item="1"/>
          <tpl fld="4" item="1"/>
        </tpls>
      </n>
      <m>
        <tpls c="4">
          <tpl fld="7" item="1271"/>
          <tpl fld="6" item="1"/>
          <tpl hier="236" item="1"/>
          <tpl fld="4" item="4"/>
        </tpls>
      </m>
      <m>
        <tpls c="4">
          <tpl fld="7" item="1012"/>
          <tpl fld="6" item="2"/>
          <tpl hier="236" item="1"/>
          <tpl fld="4" item="1"/>
        </tpls>
      </m>
      <m>
        <tpls c="3">
          <tpl fld="7" item="1247"/>
          <tpl fld="6" item="3"/>
          <tpl hier="236" item="1"/>
        </tpls>
      </m>
      <n v="0.4" in="2">
        <tpls c="4">
          <tpl fld="7" item="1033"/>
          <tpl fld="6" item="2"/>
          <tpl hier="236" item="1"/>
          <tpl fld="4" item="1"/>
        </tpls>
      </n>
      <m>
        <tpls c="4">
          <tpl fld="7" item="1065"/>
          <tpl fld="6" item="2"/>
          <tpl hier="236" item="1"/>
          <tpl fld="4" item="1"/>
        </tpls>
      </m>
      <m>
        <tpls c="4">
          <tpl fld="7" item="905"/>
          <tpl fld="6" item="2"/>
          <tpl hier="236" item="1"/>
          <tpl fld="1" item="0"/>
        </tpls>
      </m>
      <m>
        <tpls c="4">
          <tpl fld="7" item="202"/>
          <tpl fld="6" item="2"/>
          <tpl hier="236" item="1"/>
          <tpl fld="1" item="0"/>
        </tpls>
      </m>
      <m>
        <tpls c="4">
          <tpl fld="7" item="31"/>
          <tpl fld="6" item="2"/>
          <tpl hier="236" item="1"/>
          <tpl fld="1" item="0"/>
        </tpls>
      </m>
      <m>
        <tpls c="3">
          <tpl fld="7" item="462"/>
          <tpl fld="6" item="3"/>
          <tpl hier="236" item="1"/>
        </tpls>
      </m>
      <m>
        <tpls c="4">
          <tpl fld="7" item="755"/>
          <tpl fld="6" item="1"/>
          <tpl hier="236" item="1"/>
          <tpl fld="4" item="4"/>
        </tpls>
      </m>
      <m>
        <tpls c="4">
          <tpl fld="7" item="465"/>
          <tpl fld="6" item="1"/>
          <tpl hier="236" item="1"/>
          <tpl fld="4" item="1"/>
        </tpls>
      </m>
      <m>
        <tpls c="4">
          <tpl fld="7" item="508"/>
          <tpl fld="6" item="2"/>
          <tpl hier="236" item="1"/>
          <tpl fld="4" item="1"/>
        </tpls>
      </m>
      <m>
        <tpls c="4">
          <tpl fld="7" item="542"/>
          <tpl fld="6" item="1"/>
          <tpl hier="236" item="1"/>
          <tpl fld="4" item="6"/>
        </tpls>
      </m>
      <n v="4" in="1">
        <tpls c="4">
          <tpl fld="7" item="616"/>
          <tpl fld="6" item="1"/>
          <tpl hier="236" item="1"/>
          <tpl fld="1" item="0"/>
        </tpls>
      </n>
      <m>
        <tpls c="4">
          <tpl fld="7" item="575"/>
          <tpl fld="6" item="2"/>
          <tpl hier="236" item="1"/>
          <tpl fld="1" item="0"/>
        </tpls>
      </m>
      <m>
        <tpls c="3">
          <tpl fld="7" item="550"/>
          <tpl fld="6" item="3"/>
          <tpl hier="236" item="1"/>
        </tpls>
      </m>
      <n v="6" in="1">
        <tpls c="4">
          <tpl fld="7" item="796"/>
          <tpl fld="6" item="1"/>
          <tpl hier="236" item="1"/>
          <tpl fld="1" item="0"/>
        </tpls>
      </n>
      <n v="34" in="1">
        <tpls c="4">
          <tpl fld="7" item="426"/>
          <tpl fld="6" item="1"/>
          <tpl hier="236" item="1"/>
          <tpl fld="4" item="4"/>
        </tpls>
      </n>
      <n v="1" in="1">
        <tpls c="4">
          <tpl fld="7" item="542"/>
          <tpl fld="6" item="1"/>
          <tpl hier="236" item="1"/>
          <tpl fld="4" item="1"/>
        </tpls>
      </n>
      <n v="1" in="1">
        <tpls c="4">
          <tpl fld="7" item="617"/>
          <tpl fld="6" item="1"/>
          <tpl hier="236" item="1"/>
          <tpl fld="4" item="5"/>
        </tpls>
      </n>
      <m>
        <tpls c="4">
          <tpl fld="7" item="783"/>
          <tpl fld="6" item="2"/>
          <tpl hier="236" item="1"/>
          <tpl fld="4" item="5"/>
        </tpls>
      </m>
      <n v="0.6" in="2">
        <tpls c="4">
          <tpl fld="7" item="626"/>
          <tpl fld="6" item="2"/>
          <tpl hier="236" item="1"/>
          <tpl fld="4" item="1"/>
        </tpls>
      </n>
      <m>
        <tpls c="4">
          <tpl fld="7" item="793"/>
          <tpl fld="6" item="2"/>
          <tpl hier="236" item="1"/>
          <tpl fld="4" item="6"/>
        </tpls>
      </m>
      <m>
        <tpls c="4">
          <tpl fld="7" item="887"/>
          <tpl fld="6" item="2"/>
          <tpl hier="236" item="1"/>
          <tpl fld="1" item="0"/>
        </tpls>
      </m>
      <m>
        <tpls c="3">
          <tpl fld="7" item="720"/>
          <tpl fld="6" item="3"/>
          <tpl hier="236" item="1"/>
        </tpls>
      </m>
      <m>
        <tpls c="3">
          <tpl fld="7" item="1086"/>
          <tpl fld="6" item="3"/>
          <tpl hier="236" item="1"/>
        </tpls>
      </m>
      <m>
        <tpls c="4">
          <tpl fld="7" item="565"/>
          <tpl fld="6" item="2"/>
          <tpl hier="236" item="1"/>
          <tpl fld="1" item="0"/>
        </tpls>
      </m>
      <n v="1" in="2">
        <tpls c="4">
          <tpl fld="7" item="992"/>
          <tpl fld="6" item="2"/>
          <tpl hier="236" item="1"/>
          <tpl fld="1" item="0"/>
        </tpls>
      </n>
      <m>
        <tpls c="4">
          <tpl fld="7" item="646"/>
          <tpl fld="6" item="2"/>
          <tpl hier="236" item="1"/>
          <tpl fld="4" item="6"/>
        </tpls>
      </m>
      <m>
        <tpls c="4">
          <tpl fld="7" item="891"/>
          <tpl fld="6" item="2"/>
          <tpl hier="236" item="1"/>
          <tpl fld="1" item="0"/>
        </tpls>
      </m>
      <m>
        <tpls c="3">
          <tpl fld="7" item="1099"/>
          <tpl fld="6" item="3"/>
          <tpl hier="236" item="1"/>
        </tpls>
      </m>
      <m>
        <tpls c="4">
          <tpl fld="7" item="825"/>
          <tpl fld="6" item="1"/>
          <tpl hier="236" item="1"/>
          <tpl fld="4" item="5"/>
        </tpls>
      </m>
      <m>
        <tpls c="4">
          <tpl fld="7" item="1271"/>
          <tpl fld="6" item="2"/>
          <tpl hier="236" item="1"/>
          <tpl fld="4" item="4"/>
        </tpls>
      </m>
      <n v="10" in="1">
        <tpls c="4">
          <tpl fld="7" item="1115"/>
          <tpl fld="6" item="1"/>
          <tpl hier="236" item="1"/>
          <tpl fld="4" item="4"/>
        </tpls>
      </n>
      <m>
        <tpls c="4">
          <tpl fld="7" item="918"/>
          <tpl fld="6" item="2"/>
          <tpl hier="236" item="1"/>
          <tpl fld="4" item="1"/>
        </tpls>
      </m>
      <m>
        <tpls c="4">
          <tpl fld="7" item="1250"/>
          <tpl fld="6" item="2"/>
          <tpl hier="236" item="1"/>
          <tpl fld="4" item="1"/>
        </tpls>
      </m>
      <m>
        <tpls c="4">
          <tpl fld="7" item="1258"/>
          <tpl fld="6" item="2"/>
          <tpl hier="236" item="1"/>
          <tpl fld="4" item="1"/>
        </tpls>
      </m>
      <m>
        <tpls c="4">
          <tpl fld="7" item="1008"/>
          <tpl fld="6" item="2"/>
          <tpl hier="236" item="1"/>
          <tpl fld="1" item="0"/>
        </tpls>
      </m>
      <m>
        <tpls c="4">
          <tpl fld="7" item="198"/>
          <tpl fld="6" item="2"/>
          <tpl hier="236" item="1"/>
          <tpl fld="1" item="0"/>
        </tpls>
      </m>
      <m>
        <tpls c="4">
          <tpl fld="7" item="30"/>
          <tpl fld="6" item="2"/>
          <tpl hier="236" item="1"/>
          <tpl fld="1" item="0"/>
        </tpls>
      </m>
      <n v="0" in="1">
        <tpls c="4">
          <tpl fld="7" item="534"/>
          <tpl fld="6" item="1"/>
          <tpl hier="236" item="1"/>
          <tpl fld="4" item="4"/>
        </tpls>
      </n>
      <n v="0.8" in="2">
        <tpls c="6">
          <tpl fld="11" item="0"/>
          <tpl fld="2" item="0"/>
          <tpl fld="6" item="2"/>
          <tpl hier="236" item="1"/>
          <tpl fld="4" item="7"/>
          <tpl fld="10" item="7"/>
        </tpls>
      </n>
      <n v="14.8" in="2">
        <tpls c="6">
          <tpl fld="11" item="0"/>
          <tpl fld="6" item="2"/>
          <tpl fld="8" item="1"/>
          <tpl hier="236" item="1"/>
          <tpl fld="4" item="3"/>
          <tpl fld="10" item="7"/>
        </tpls>
      </n>
      <m>
        <tpls c="4">
          <tpl fld="7" item="488"/>
          <tpl fld="6" item="2"/>
          <tpl hier="236" item="1"/>
          <tpl fld="4" item="4"/>
        </tpls>
      </m>
      <m>
        <tpls c="6">
          <tpl fld="11" item="0"/>
          <tpl fld="5" item="0"/>
          <tpl fld="6" item="2"/>
          <tpl hier="236" item="1"/>
          <tpl fld="4" item="6"/>
          <tpl fld="10" item="1"/>
        </tpls>
      </m>
      <m>
        <tpls c="4">
          <tpl fld="7" item="410"/>
          <tpl fld="6" item="1"/>
          <tpl hier="236" item="1"/>
          <tpl fld="4" item="4"/>
        </tpls>
      </m>
      <n v="428" in="1">
        <tpls c="5">
          <tpl fld="3" item="1"/>
          <tpl fld="11" item="0"/>
          <tpl fld="6" item="1"/>
          <tpl hier="236" item="1"/>
          <tpl fld="4" item="5"/>
        </tpls>
      </n>
      <m>
        <tpls c="3">
          <tpl fld="7" item="196"/>
          <tpl fld="6" item="3"/>
          <tpl hier="236" item="1"/>
        </tpls>
      </m>
      <m>
        <tpls c="4">
          <tpl fld="7" item="246"/>
          <tpl fld="6" item="1"/>
          <tpl hier="236" item="1"/>
          <tpl fld="4" item="4"/>
        </tpls>
      </m>
      <m>
        <tpls c="4">
          <tpl fld="7" item="460"/>
          <tpl fld="6" item="1"/>
          <tpl hier="236" item="1"/>
          <tpl fld="4" item="5"/>
        </tpls>
      </m>
      <m>
        <tpls c="4">
          <tpl fld="7" item="613"/>
          <tpl fld="6" item="2"/>
          <tpl hier="236" item="1"/>
          <tpl fld="4" item="5"/>
        </tpls>
      </m>
      <m>
        <tpls c="4">
          <tpl fld="7" item="1094"/>
          <tpl fld="6" item="2"/>
          <tpl hier="236" item="1"/>
          <tpl fld="4" item="6"/>
        </tpls>
      </m>
      <n v="3" in="1">
        <tpls c="4">
          <tpl fld="7" item="988"/>
          <tpl fld="6" item="1"/>
          <tpl hier="236" item="1"/>
          <tpl fld="4" item="5"/>
        </tpls>
      </n>
      <m>
        <tpls c="4">
          <tpl fld="7" item="56"/>
          <tpl fld="6" item="1"/>
          <tpl hier="236" item="1"/>
          <tpl fld="4" item="4"/>
        </tpls>
      </m>
      <m>
        <tpls c="6">
          <tpl fld="11" item="0"/>
          <tpl fld="6" item="2"/>
          <tpl fld="8" item="0"/>
          <tpl hier="236" item="1"/>
          <tpl fld="4" item="7"/>
          <tpl fld="10" item="4"/>
        </tpls>
      </m>
      <n v="1.6" in="2">
        <tpls c="4">
          <tpl fld="7" item="515"/>
          <tpl fld="6" item="2"/>
          <tpl hier="236" item="1"/>
          <tpl fld="4" item="1"/>
        </tpls>
      </n>
      <n v="3" in="1">
        <tpls c="4">
          <tpl fld="7" item="692"/>
          <tpl fld="6" item="1"/>
          <tpl hier="236" item="1"/>
          <tpl fld="4" item="4"/>
        </tpls>
      </n>
      <n v="2" in="1">
        <tpls c="4">
          <tpl fld="7" item="780"/>
          <tpl fld="6" item="1"/>
          <tpl hier="236" item="1"/>
          <tpl fld="4" item="6"/>
        </tpls>
      </n>
      <m>
        <tpls c="4">
          <tpl fld="7" item="637"/>
          <tpl fld="6" item="2"/>
          <tpl hier="236" item="1"/>
          <tpl fld="4" item="6"/>
        </tpls>
      </m>
      <m>
        <tpls c="4">
          <tpl fld="7" item="553"/>
          <tpl fld="6" item="2"/>
          <tpl hier="236" item="1"/>
          <tpl fld="1" item="0"/>
        </tpls>
      </m>
      <m>
        <tpls c="4">
          <tpl fld="7" item="578"/>
          <tpl fld="6" item="1"/>
          <tpl hier="236" item="1"/>
          <tpl fld="4" item="6"/>
        </tpls>
      </m>
      <n v="24.24" in="2">
        <tpls c="6">
          <tpl fld="11" item="0"/>
          <tpl fld="6" item="2"/>
          <tpl fld="8" item="0"/>
          <tpl hier="236" item="1"/>
          <tpl fld="4" item="1"/>
          <tpl fld="9" item="2"/>
        </tpls>
      </n>
      <n v="3" in="1">
        <tpls c="4">
          <tpl fld="7" item="546"/>
          <tpl fld="6" item="1"/>
          <tpl hier="236" item="1"/>
          <tpl fld="4" item="6"/>
        </tpls>
      </n>
      <m>
        <tpls c="4">
          <tpl fld="7" item="798"/>
          <tpl fld="6" item="1"/>
          <tpl hier="236" item="1"/>
          <tpl fld="4" item="5"/>
        </tpls>
      </m>
      <m>
        <tpls c="4">
          <tpl fld="7" item="702"/>
          <tpl fld="6" item="2"/>
          <tpl hier="236" item="1"/>
          <tpl fld="4" item="5"/>
        </tpls>
      </m>
      <m>
        <tpls c="3">
          <tpl fld="7" item="641"/>
          <tpl fld="6" item="3"/>
          <tpl hier="236" item="1"/>
        </tpls>
      </m>
      <m>
        <tpls c="4">
          <tpl fld="7" item="647"/>
          <tpl fld="6" item="2"/>
          <tpl hier="236" item="1"/>
          <tpl fld="4" item="6"/>
        </tpls>
      </m>
      <m>
        <tpls c="4">
          <tpl fld="7" item="837"/>
          <tpl fld="6" item="1"/>
          <tpl hier="236" item="1"/>
          <tpl fld="4" item="6"/>
        </tpls>
      </m>
      <m>
        <tpls c="4">
          <tpl fld="7" item="1071"/>
          <tpl fld="6" item="2"/>
          <tpl hier="236" item="1"/>
          <tpl fld="4" item="1"/>
        </tpls>
      </m>
      <m>
        <tpls c="4">
          <tpl fld="7" item="114"/>
          <tpl fld="6" item="2"/>
          <tpl hier="236" item="1"/>
          <tpl fld="4" item="6"/>
        </tpls>
      </m>
      <n v="4" in="1">
        <tpls c="4">
          <tpl fld="7" item="613"/>
          <tpl fld="6" item="1"/>
          <tpl hier="236" item="1"/>
          <tpl fld="4" item="1"/>
        </tpls>
      </n>
      <m>
        <tpls c="3">
          <tpl fld="7" item="991"/>
          <tpl fld="6" item="3"/>
          <tpl hier="236" item="1"/>
        </tpls>
      </m>
      <m>
        <tpls c="3">
          <tpl fld="7" item="784"/>
          <tpl fld="6" item="3"/>
          <tpl hier="236" item="1"/>
        </tpls>
      </m>
      <m>
        <tpls c="4">
          <tpl fld="7" item="799"/>
          <tpl fld="6" item="2"/>
          <tpl hier="236" item="1"/>
          <tpl fld="4" item="6"/>
        </tpls>
      </m>
      <m>
        <tpls c="4">
          <tpl fld="7" item="307"/>
          <tpl fld="6" item="1"/>
          <tpl hier="236" item="1"/>
          <tpl fld="4" item="4"/>
        </tpls>
      </m>
      <m>
        <tpls c="4">
          <tpl fld="7" item="567"/>
          <tpl fld="6" item="2"/>
          <tpl hier="236" item="1"/>
          <tpl fld="1" item="0"/>
        </tpls>
      </m>
      <m>
        <tpls c="4">
          <tpl fld="7" item="643"/>
          <tpl fld="6" item="2"/>
          <tpl hier="236" item="1"/>
          <tpl fld="4" item="1"/>
        </tpls>
      </m>
      <m>
        <tpls c="4">
          <tpl fld="7" item="650"/>
          <tpl fld="6" item="2"/>
          <tpl hier="236" item="1"/>
          <tpl fld="4" item="6"/>
        </tpls>
      </m>
      <m>
        <tpls c="4">
          <tpl fld="7" item="658"/>
          <tpl fld="6" item="2"/>
          <tpl hier="236" item="1"/>
          <tpl fld="4" item="6"/>
        </tpls>
      </m>
      <m>
        <tpls c="4">
          <tpl fld="7" item="746"/>
          <tpl fld="6" item="2"/>
          <tpl hier="236" item="1"/>
          <tpl fld="4" item="5"/>
        </tpls>
      </m>
      <m>
        <tpls c="4">
          <tpl fld="7" item="1112"/>
          <tpl fld="6" item="1"/>
          <tpl hier="236" item="1"/>
          <tpl fld="4" item="4"/>
        </tpls>
      </m>
      <m>
        <tpls c="3">
          <tpl fld="7" item="1125"/>
          <tpl fld="6" item="3"/>
          <tpl hier="236" item="1"/>
        </tpls>
      </m>
      <m>
        <tpls c="4">
          <tpl fld="7" item="1253"/>
          <tpl fld="6" item="2"/>
          <tpl hier="236" item="1"/>
          <tpl fld="4" item="1"/>
        </tpls>
      </m>
      <m>
        <tpls c="4">
          <tpl fld="7" item="1023"/>
          <tpl fld="6" item="2"/>
          <tpl hier="236" item="1"/>
          <tpl fld="1" item="0"/>
        </tpls>
      </m>
      <m>
        <tpls c="4">
          <tpl fld="7" item="419"/>
          <tpl fld="6" item="2"/>
          <tpl hier="236" item="1"/>
          <tpl fld="1" item="0"/>
        </tpls>
      </m>
      <m>
        <tpls c="4">
          <tpl fld="7" item="119"/>
          <tpl fld="6" item="2"/>
          <tpl hier="236" item="1"/>
          <tpl fld="1" item="0"/>
        </tpls>
      </m>
      <m>
        <tpls c="4">
          <tpl fld="7" item="477"/>
          <tpl fld="6" item="1"/>
          <tpl hier="236" item="1"/>
          <tpl fld="4" item="4"/>
        </tpls>
      </m>
      <m>
        <tpls c="3">
          <tpl fld="7" item="428"/>
          <tpl fld="6" item="3"/>
          <tpl hier="236" item="1"/>
        </tpls>
      </m>
      <n v="17.980540540540538" in="2">
        <tpls c="4">
          <tpl fld="7" item="496"/>
          <tpl fld="6" item="2"/>
          <tpl hier="236" item="1"/>
          <tpl fld="4" item="1"/>
        </tpls>
      </n>
      <m>
        <tpls c="4">
          <tpl fld="7" item="1086"/>
          <tpl fld="6" item="1"/>
          <tpl hier="236" item="1"/>
          <tpl fld="4" item="5"/>
        </tpls>
      </m>
      <m>
        <tpls c="4">
          <tpl fld="7" item="773"/>
          <tpl fld="6" item="2"/>
          <tpl hier="236" item="1"/>
          <tpl fld="4" item="1"/>
        </tpls>
      </m>
      <n v="8" in="1">
        <tpls c="4">
          <tpl fld="7" item="792"/>
          <tpl fld="6" item="1"/>
          <tpl hier="236" item="1"/>
          <tpl fld="4" item="4"/>
        </tpls>
      </n>
      <m>
        <tpls c="4">
          <tpl fld="7" item="691"/>
          <tpl fld="6" item="2"/>
          <tpl hier="236" item="1"/>
          <tpl fld="4" item="1"/>
        </tpls>
      </m>
      <m>
        <tpls c="4">
          <tpl fld="7" item="569"/>
          <tpl fld="6" item="2"/>
          <tpl hier="236" item="1"/>
          <tpl fld="4" item="1"/>
        </tpls>
      </m>
      <m>
        <tpls c="4">
          <tpl fld="7" item="486"/>
          <tpl fld="6" item="1"/>
          <tpl hier="236" item="1"/>
          <tpl fld="4" item="6"/>
        </tpls>
      </m>
      <n v="1" in="1">
        <tpls c="4">
          <tpl fld="7" item="537"/>
          <tpl fld="6" item="1"/>
          <tpl hier="236" item="1"/>
          <tpl fld="4" item="1"/>
        </tpls>
      </n>
      <m>
        <tpls c="3">
          <tpl fld="7" item="882"/>
          <tpl fld="6" item="3"/>
          <tpl hier="236" item="1"/>
        </tpls>
      </m>
      <m>
        <tpls c="4">
          <tpl fld="7" item="782"/>
          <tpl fld="6" item="2"/>
          <tpl hier="236" item="1"/>
          <tpl fld="4" item="4"/>
        </tpls>
      </m>
      <m>
        <tpls c="4">
          <tpl fld="7" item="562"/>
          <tpl fld="6" item="2"/>
          <tpl hier="236" item="1"/>
          <tpl fld="4" item="6"/>
        </tpls>
      </m>
      <m>
        <tpls c="4">
          <tpl fld="7" item="569"/>
          <tpl fld="6" item="2"/>
          <tpl hier="236" item="1"/>
          <tpl fld="4" item="5"/>
        </tpls>
      </m>
      <m>
        <tpls c="4">
          <tpl fld="7" item="1276"/>
          <tpl fld="6" item="1"/>
          <tpl hier="236" item="1"/>
          <tpl fld="4" item="5"/>
        </tpls>
      </m>
      <n v="0" in="1">
        <tpls c="4">
          <tpl fld="7" item="581"/>
          <tpl fld="6" item="1"/>
          <tpl hier="236" item="1"/>
          <tpl fld="4" item="1"/>
        </tpls>
      </n>
      <m>
        <tpls c="3">
          <tpl fld="7" item="499"/>
          <tpl fld="6" item="3"/>
          <tpl hier="236" item="1"/>
        </tpls>
      </m>
      <m>
        <tpls c="4">
          <tpl fld="7" item="623"/>
          <tpl fld="6" item="1"/>
          <tpl hier="236" item="1"/>
          <tpl fld="1" item="0"/>
        </tpls>
      </m>
      <m>
        <tpls c="4">
          <tpl fld="7" item="801"/>
          <tpl fld="6" item="2"/>
          <tpl hier="236" item="1"/>
          <tpl fld="4" item="6"/>
        </tpls>
      </m>
      <m>
        <tpls c="3">
          <tpl fld="7" item="993"/>
          <tpl fld="6" item="3"/>
          <tpl hier="236" item="1"/>
        </tpls>
      </m>
      <m>
        <tpls c="4">
          <tpl fld="7" item="812"/>
          <tpl fld="6" item="1"/>
          <tpl hier="236" item="1"/>
          <tpl fld="4" item="5"/>
        </tpls>
      </m>
      <m>
        <tpls c="4">
          <tpl fld="7" item="736"/>
          <tpl fld="6" item="1"/>
          <tpl hier="236" item="1"/>
          <tpl fld="4" item="1"/>
        </tpls>
      </m>
      <n v="4" in="1">
        <tpls c="4">
          <tpl fld="7" item="742"/>
          <tpl fld="6" item="1"/>
          <tpl hier="236" item="1"/>
          <tpl fld="4" item="4"/>
        </tpls>
      </n>
      <m>
        <tpls c="4">
          <tpl fld="7" item="1103"/>
          <tpl fld="6" item="2"/>
          <tpl hier="236" item="1"/>
          <tpl fld="4" item="4"/>
        </tpls>
      </m>
      <m>
        <tpls c="4">
          <tpl fld="7" item="1010"/>
          <tpl fld="6" item="1"/>
          <tpl hier="236" item="1"/>
          <tpl fld="4" item="4"/>
        </tpls>
      </m>
      <m>
        <tpls c="4">
          <tpl fld="7" item="1195"/>
          <tpl fld="6" item="2"/>
          <tpl hier="236" item="1"/>
          <tpl fld="4" item="1"/>
        </tpls>
      </m>
      <m>
        <tpls c="3">
          <tpl fld="7" item="1029"/>
          <tpl fld="6" item="3"/>
          <tpl hier="236" item="1"/>
        </tpls>
      </m>
      <m>
        <tpls c="4">
          <tpl fld="7" item="1058"/>
          <tpl fld="6" item="2"/>
          <tpl hier="236" item="1"/>
          <tpl fld="4" item="1"/>
        </tpls>
      </m>
      <m>
        <tpls c="4">
          <tpl fld="7" item="1122"/>
          <tpl fld="6" item="2"/>
          <tpl hier="236" item="1"/>
          <tpl fld="1" item="0"/>
        </tpls>
      </m>
      <n v="20.68" in="2">
        <tpls c="4">
          <tpl fld="7" item="426"/>
          <tpl fld="6" item="2"/>
          <tpl hier="236" item="1"/>
          <tpl fld="1" item="0"/>
        </tpls>
      </n>
      <m>
        <tpls c="4">
          <tpl fld="7" item="220"/>
          <tpl fld="6" item="2"/>
          <tpl hier="236" item="1"/>
          <tpl fld="1" item="0"/>
        </tpls>
      </m>
      <n v="3" in="1">
        <tpls c="4">
          <tpl fld="7" item="423"/>
          <tpl fld="6" item="1"/>
          <tpl hier="236" item="1"/>
          <tpl fld="4" item="4"/>
        </tpls>
      </n>
      <n v="2" in="1">
        <tpls c="4">
          <tpl fld="7" item="559"/>
          <tpl fld="6" item="1"/>
          <tpl hier="236" item="1"/>
          <tpl fld="4" item="4"/>
        </tpls>
      </n>
      <m>
        <tpls c="4">
          <tpl fld="7" item="719"/>
          <tpl fld="6" item="1"/>
          <tpl hier="236" item="1"/>
          <tpl fld="4" item="1"/>
        </tpls>
      </m>
      <n v="29" in="1">
        <tpls c="4">
          <tpl fld="7" item="806"/>
          <tpl fld="6" item="1"/>
          <tpl hier="236" item="1"/>
          <tpl fld="1" item="0"/>
        </tpls>
      </n>
      <m>
        <tpls c="4">
          <tpl fld="7" item="730"/>
          <tpl fld="6" item="2"/>
          <tpl hier="236" item="1"/>
          <tpl fld="4" item="5"/>
        </tpls>
      </m>
      <n v="1" in="3">
        <tpls c="3">
          <tpl fld="7" item="373"/>
          <tpl fld="6" item="3"/>
          <tpl hier="236" item="1"/>
        </tpls>
      </n>
      <n v="6" in="1">
        <tpls c="4">
          <tpl fld="7" item="622"/>
          <tpl fld="6" item="1"/>
          <tpl hier="236" item="1"/>
          <tpl fld="1" item="0"/>
        </tpls>
      </n>
      <m>
        <tpls c="4">
          <tpl fld="7" item="449"/>
          <tpl fld="6" item="2"/>
          <tpl hier="236" item="1"/>
          <tpl fld="4" item="4"/>
        </tpls>
      </m>
      <n v="2" in="1">
        <tpls c="4">
          <tpl fld="7" item="885"/>
          <tpl fld="6" item="1"/>
          <tpl hier="236" item="1"/>
          <tpl fld="4" item="5"/>
        </tpls>
      </n>
      <m>
        <tpls c="4">
          <tpl fld="7" item="882"/>
          <tpl fld="6" item="1"/>
          <tpl hier="236" item="1"/>
          <tpl fld="4" item="6"/>
        </tpls>
      </m>
      <m>
        <tpls c="4">
          <tpl fld="7" item="1098"/>
          <tpl fld="6" item="2"/>
          <tpl hier="236" item="1"/>
          <tpl fld="1" item="0"/>
        </tpls>
      </m>
      <n v="3" in="1">
        <tpls c="4">
          <tpl fld="7" item="852"/>
          <tpl fld="6" item="1"/>
          <tpl hier="236" item="1"/>
          <tpl fld="4" item="6"/>
        </tpls>
      </n>
      <m>
        <tpls c="4">
          <tpl fld="7" item="453"/>
          <tpl fld="6" item="2"/>
          <tpl hier="236" item="1"/>
          <tpl fld="1" item="0"/>
        </tpls>
      </m>
      <n v="0.6" in="2">
        <tpls c="4">
          <tpl fld="7" item="779"/>
          <tpl fld="6" item="2"/>
          <tpl hier="236" item="1"/>
          <tpl fld="4" item="5"/>
        </tpls>
      </n>
      <m>
        <tpls c="3">
          <tpl fld="7" item="888"/>
          <tpl fld="6" item="3"/>
          <tpl hier="236" item="1"/>
        </tpls>
      </m>
      <m>
        <tpls c="4">
          <tpl fld="7" item="1240"/>
          <tpl fld="6" item="2"/>
          <tpl hier="236" item="1"/>
          <tpl fld="4" item="6"/>
        </tpls>
      </m>
      <n v="4" in="1">
        <tpls c="4">
          <tpl fld="7" item="816"/>
          <tpl fld="6" item="1"/>
          <tpl hier="236" item="1"/>
          <tpl fld="1" item="0"/>
        </tpls>
      </n>
      <m>
        <tpls c="4">
          <tpl fld="7" item="740"/>
          <tpl fld="6" item="2"/>
          <tpl hier="236" item="1"/>
          <tpl fld="4" item="5"/>
        </tpls>
      </m>
      <n v="50" in="1">
        <tpls c="4">
          <tpl fld="7" item="667"/>
          <tpl fld="6" item="1"/>
          <tpl hier="236" item="1"/>
          <tpl fld="1" item="0"/>
        </tpls>
      </n>
      <m>
        <tpls c="4">
          <tpl fld="7" item="1007"/>
          <tpl fld="6" item="2"/>
          <tpl hier="236" item="1"/>
          <tpl fld="4" item="1"/>
        </tpls>
      </m>
      <m>
        <tpls c="3">
          <tpl fld="7" item="1220"/>
          <tpl fld="6" item="3"/>
          <tpl hier="236" item="1"/>
        </tpls>
      </m>
      <m>
        <tpls c="4">
          <tpl fld="7" item="1026"/>
          <tpl fld="6" item="1"/>
          <tpl hier="236" item="1"/>
          <tpl fld="4" item="6"/>
        </tpls>
      </m>
      <m>
        <tpls c="4">
          <tpl fld="7" item="1151"/>
          <tpl fld="6" item="1"/>
          <tpl hier="236" item="1"/>
          <tpl fld="4" item="4"/>
        </tpls>
      </m>
      <n v="2" in="1">
        <tpls c="4">
          <tpl fld="7" item="1183"/>
          <tpl fld="6" item="1"/>
          <tpl hier="236" item="1"/>
          <tpl fld="4" item="4"/>
        </tpls>
      </n>
      <n v="2.8" in="2">
        <tpls c="4">
          <tpl fld="7" item="375"/>
          <tpl fld="6" item="2"/>
          <tpl hier="236" item="1"/>
          <tpl fld="1" item="0"/>
        </tpls>
      </n>
      <n v="16.252432432432435" in="2">
        <tpls c="4">
          <tpl fld="7" item="353"/>
          <tpl fld="6" item="2"/>
          <tpl hier="236" item="1"/>
          <tpl fld="4" item="1"/>
        </tpls>
      </n>
      <m>
        <tpls c="4">
          <tpl fld="7" item="559"/>
          <tpl fld="6" item="2"/>
          <tpl hier="236" item="1"/>
          <tpl fld="4" item="4"/>
        </tpls>
      </m>
      <m>
        <tpls c="4">
          <tpl fld="7" item="669"/>
          <tpl fld="6" item="2"/>
          <tpl hier="236" item="1"/>
          <tpl fld="4" item="1"/>
        </tpls>
      </m>
      <m>
        <tpls c="4">
          <tpl fld="7" item="284"/>
          <tpl fld="6" item="2"/>
          <tpl hier="236" item="1"/>
          <tpl fld="4" item="4"/>
        </tpls>
      </m>
      <m>
        <tpls c="6">
          <tpl fld="3" item="2"/>
          <tpl fld="11" item="0"/>
          <tpl fld="6" item="2"/>
          <tpl hier="236" item="1"/>
          <tpl fld="4" item="7"/>
          <tpl fld="10" item="2"/>
        </tpls>
      </m>
      <m>
        <tpls c="4">
          <tpl fld="7" item="332"/>
          <tpl fld="6" item="2"/>
          <tpl hier="236" item="1"/>
          <tpl fld="4" item="4"/>
        </tpls>
      </m>
      <m>
        <tpls c="4">
          <tpl fld="7" item="211"/>
          <tpl fld="6" item="2"/>
          <tpl hier="236" item="1"/>
          <tpl fld="4" item="4"/>
        </tpls>
      </m>
      <m>
        <tpls c="4">
          <tpl fld="7" item="203"/>
          <tpl fld="6" item="1"/>
          <tpl hier="236" item="1"/>
          <tpl fld="4" item="4"/>
        </tpls>
      </m>
      <m>
        <tpls c="4">
          <tpl fld="7" item="389"/>
          <tpl fld="6" item="2"/>
          <tpl hier="236" item="1"/>
          <tpl fld="4" item="5"/>
        </tpls>
      </m>
      <n v="5.9616216216216218" in="2">
        <tpls c="6">
          <tpl fld="11" item="0"/>
          <tpl fld="5" item="1"/>
          <tpl fld="6" item="2"/>
          <tpl hier="236" item="1"/>
          <tpl fld="4" item="6"/>
          <tpl fld="10" item="5"/>
        </tpls>
      </n>
      <n v="0" in="1">
        <tpls c="4">
          <tpl fld="7" item="391"/>
          <tpl fld="6" item="1"/>
          <tpl hier="236" item="1"/>
          <tpl fld="4" item="1"/>
        </tpls>
      </n>
      <n v="1" in="1">
        <tpls c="4">
          <tpl fld="7" item="615"/>
          <tpl fld="6" item="1"/>
          <tpl hier="236" item="1"/>
          <tpl fld="4" item="4"/>
        </tpls>
      </n>
      <m>
        <tpls c="4">
          <tpl fld="7" item="404"/>
          <tpl fld="6" item="1"/>
          <tpl hier="236" item="1"/>
          <tpl fld="4" item="6"/>
        </tpls>
      </m>
      <n v="8" in="1">
        <tpls c="4">
          <tpl fld="7" item="626"/>
          <tpl fld="6" item="1"/>
          <tpl hier="236" item="1"/>
          <tpl fld="4" item="1"/>
        </tpls>
      </n>
      <m>
        <tpls c="4">
          <tpl fld="7" item="185"/>
          <tpl fld="6" item="1"/>
          <tpl hier="236" item="1"/>
          <tpl fld="4" item="6"/>
        </tpls>
      </m>
      <m>
        <tpls c="4">
          <tpl fld="7" item="122"/>
          <tpl fld="6" item="2"/>
          <tpl hier="236" item="1"/>
          <tpl fld="4" item="1"/>
        </tpls>
      </m>
      <n v="33" in="1">
        <tpls c="4">
          <tpl fld="7" item="377"/>
          <tpl fld="6" item="1"/>
          <tpl hier="236" item="1"/>
          <tpl fld="4" item="4"/>
        </tpls>
      </n>
      <m>
        <tpls c="4">
          <tpl fld="7" item="693"/>
          <tpl fld="6" item="2"/>
          <tpl hier="236" item="1"/>
          <tpl fld="4" item="5"/>
        </tpls>
      </m>
      <m>
        <tpls c="4">
          <tpl fld="7" item="555"/>
          <tpl fld="6" item="2"/>
          <tpl hier="236" item="1"/>
          <tpl fld="4" item="1"/>
        </tpls>
      </m>
      <m>
        <tpls c="4">
          <tpl fld="7" item="718"/>
          <tpl fld="6" item="1"/>
          <tpl hier="236" item="1"/>
          <tpl fld="4" item="5"/>
        </tpls>
      </m>
      <m>
        <tpls c="4">
          <tpl fld="7" item="699"/>
          <tpl fld="6" item="1"/>
          <tpl hier="236" item="1"/>
          <tpl fld="4" item="1"/>
        </tpls>
      </m>
      <m>
        <tpls c="4">
          <tpl fld="7" item="638"/>
          <tpl fld="6" item="2"/>
          <tpl hier="236" item="1"/>
          <tpl fld="4" item="1"/>
        </tpls>
      </m>
      <m>
        <tpls c="4">
          <tpl fld="7" item="480"/>
          <tpl fld="6" item="1"/>
          <tpl hier="236" item="1"/>
          <tpl fld="4" item="6"/>
        </tpls>
      </m>
      <n v="1" in="3">
        <tpls c="3">
          <tpl fld="7" item="504"/>
          <tpl fld="6" item="3"/>
          <tpl hier="236" item="1"/>
        </tpls>
      </n>
      <m>
        <tpls c="4">
          <tpl fld="7" item="638"/>
          <tpl fld="6" item="1"/>
          <tpl hier="236" item="1"/>
          <tpl fld="4" item="5"/>
        </tpls>
      </m>
      <m>
        <tpls c="4">
          <tpl fld="7" item="560"/>
          <tpl fld="6" item="2"/>
          <tpl hier="236" item="1"/>
          <tpl fld="4" item="6"/>
        </tpls>
      </m>
      <n v="24" in="1">
        <tpls c="4">
          <tpl fld="7" item="585"/>
          <tpl fld="6" item="1"/>
          <tpl hier="236" item="1"/>
          <tpl fld="4" item="4"/>
        </tpls>
      </n>
      <n v="2" in="1">
        <tpls c="4">
          <tpl fld="7" item="810"/>
          <tpl fld="6" item="1"/>
          <tpl hier="236" item="1"/>
          <tpl fld="4" item="5"/>
        </tpls>
      </n>
      <m>
        <tpls c="3">
          <tpl fld="7" item="1277"/>
          <tpl fld="6" item="3"/>
          <tpl hier="236" item="1"/>
        </tpls>
      </m>
      <m>
        <tpls c="4">
          <tpl fld="7" item="1079"/>
          <tpl fld="6" item="2"/>
          <tpl hier="236" item="1"/>
          <tpl fld="4" item="1"/>
        </tpls>
      </m>
      <m>
        <tpls c="4">
          <tpl fld="7" item="279"/>
          <tpl fld="6" item="1"/>
          <tpl hier="236" item="1"/>
          <tpl fld="4" item="4"/>
        </tpls>
      </m>
      <m>
        <tpls c="4">
          <tpl fld="7" item="366"/>
          <tpl fld="6" item="2"/>
          <tpl hier="236" item="1"/>
          <tpl fld="4" item="1"/>
        </tpls>
      </m>
      <m>
        <tpls c="4">
          <tpl fld="7" item="638"/>
          <tpl fld="6" item="2"/>
          <tpl hier="236" item="1"/>
          <tpl fld="4" item="5"/>
        </tpls>
      </m>
      <n v="5" in="1">
        <tpls c="4">
          <tpl fld="7" item="785"/>
          <tpl fld="6" item="1"/>
          <tpl hier="236" item="1"/>
          <tpl fld="4" item="4"/>
        </tpls>
      </n>
      <m>
        <tpls c="4">
          <tpl fld="7" item="1094"/>
          <tpl fld="6" item="2"/>
          <tpl hier="236" item="1"/>
          <tpl fld="4" item="1"/>
        </tpls>
      </m>
      <m>
        <tpls c="4">
          <tpl fld="7" item="438"/>
          <tpl fld="6" item="2"/>
          <tpl hier="236" item="1"/>
          <tpl fld="4" item="4"/>
        </tpls>
      </m>
      <n v="1" in="2">
        <tpls c="4">
          <tpl fld="7" item="569"/>
          <tpl fld="6" item="2"/>
          <tpl hier="236" item="1"/>
          <tpl fld="1" item="0"/>
        </tpls>
      </n>
      <n v="23" in="1">
        <tpls c="4">
          <tpl fld="7" item="723"/>
          <tpl fld="6" item="1"/>
          <tpl hier="236" item="1"/>
          <tpl fld="1" item="0"/>
        </tpls>
      </n>
      <n v="1" in="1">
        <tpls c="4">
          <tpl fld="7" item="1282"/>
          <tpl fld="6" item="1"/>
          <tpl hier="236" item="1"/>
          <tpl fld="1" item="0"/>
        </tpls>
      </n>
      <m>
        <tpls c="4">
          <tpl fld="7" item="820"/>
          <tpl fld="6" item="2"/>
          <tpl hier="236" item="1"/>
          <tpl fld="4" item="1"/>
        </tpls>
      </m>
      <m>
        <tpls c="4">
          <tpl fld="7" item="1264"/>
          <tpl fld="6" item="2"/>
          <tpl hier="236" item="1"/>
          <tpl fld="4" item="5"/>
        </tpls>
      </m>
      <m>
        <tpls c="3">
          <tpl fld="7" item="1113"/>
          <tpl fld="6" item="3"/>
          <tpl hier="236" item="1"/>
        </tpls>
      </m>
      <m>
        <tpls c="4">
          <tpl fld="7" item="862"/>
          <tpl fld="6" item="1"/>
          <tpl hier="236" item="1"/>
          <tpl fld="4" item="6"/>
        </tpls>
      </m>
      <m>
        <tpls c="4">
          <tpl fld="7" item="1202"/>
          <tpl fld="6" item="2"/>
          <tpl hier="236" item="1"/>
          <tpl fld="4" item="1"/>
        </tpls>
      </m>
      <m>
        <tpls c="4">
          <tpl fld="7" item="1017"/>
          <tpl fld="6" item="2"/>
          <tpl hier="236" item="1"/>
          <tpl fld="1" item="0"/>
        </tpls>
      </m>
      <m>
        <tpls c="4">
          <tpl fld="7" item="299"/>
          <tpl fld="6" item="2"/>
          <tpl hier="236" item="1"/>
          <tpl fld="1" item="0"/>
        </tpls>
      </m>
      <m>
        <tpls c="4">
          <tpl fld="7" item="1210"/>
          <tpl fld="6" item="2"/>
          <tpl hier="236" item="1"/>
          <tpl fld="4" item="5"/>
        </tpls>
      </m>
      <m>
        <tpls c="4">
          <tpl fld="7" item="479"/>
          <tpl fld="6" item="1"/>
          <tpl hier="236" item="1"/>
          <tpl fld="4" item="4"/>
        </tpls>
      </m>
      <n v="1" in="1">
        <tpls c="4">
          <tpl fld="7" item="370"/>
          <tpl fld="6" item="1"/>
          <tpl hier="236" item="1"/>
          <tpl fld="4" item="6"/>
        </tpls>
      </n>
      <n v="2" in="1">
        <tpls c="4">
          <tpl fld="7" item="358"/>
          <tpl fld="6" item="1"/>
          <tpl hier="236" item="1"/>
          <tpl fld="4" item="4"/>
        </tpls>
      </n>
      <n v="4" in="1">
        <tpls c="4">
          <tpl fld="7" item="538"/>
          <tpl fld="6" item="1"/>
          <tpl hier="236" item="1"/>
          <tpl fld="4" item="6"/>
        </tpls>
      </n>
      <m>
        <tpls c="4">
          <tpl fld="7" item="546"/>
          <tpl fld="6" item="2"/>
          <tpl hier="236" item="1"/>
          <tpl fld="4" item="5"/>
        </tpls>
      </m>
      <m>
        <tpls c="4">
          <tpl fld="7" item="571"/>
          <tpl fld="6" item="2"/>
          <tpl hier="236" item="1"/>
          <tpl fld="1" item="0"/>
        </tpls>
      </m>
      <n v="2" in="1">
        <tpls c="4">
          <tpl fld="7" item="985"/>
          <tpl fld="6" item="1"/>
          <tpl hier="236" item="1"/>
          <tpl fld="4" item="4"/>
        </tpls>
      </n>
      <n v="9" in="1">
        <tpls c="4">
          <tpl fld="7" item="793"/>
          <tpl fld="6" item="1"/>
          <tpl hier="236" item="1"/>
          <tpl fld="1" item="0"/>
        </tpls>
      </n>
      <m>
        <tpls c="3">
          <tpl fld="7" item="204"/>
          <tpl fld="6" item="3"/>
          <tpl hier="236" item="1"/>
        </tpls>
      </m>
      <m>
        <tpls c="4">
          <tpl fld="7" item="880"/>
          <tpl fld="6" item="1"/>
          <tpl hier="236" item="1"/>
          <tpl fld="4" item="5"/>
        </tpls>
      </m>
      <n v="4" in="1">
        <tpls c="4">
          <tpl fld="7" item="616"/>
          <tpl fld="6" item="1"/>
          <tpl hier="236" item="1"/>
          <tpl fld="4" item="4"/>
        </tpls>
      </n>
      <m>
        <tpls c="4">
          <tpl fld="7" item="987"/>
          <tpl fld="6" item="2"/>
          <tpl hier="236" item="1"/>
          <tpl fld="4" item="5"/>
        </tpls>
      </m>
      <m>
        <tpls c="4">
          <tpl fld="7" item="705"/>
          <tpl fld="6" item="2"/>
          <tpl hier="236" item="1"/>
          <tpl fld="4" item="1"/>
        </tpls>
      </m>
      <m>
        <tpls c="4">
          <tpl fld="7" item="792"/>
          <tpl fld="6" item="2"/>
          <tpl hier="236" item="1"/>
          <tpl fld="4" item="5"/>
        </tpls>
      </m>
      <m>
        <tpls c="4">
          <tpl fld="7" item="635"/>
          <tpl fld="6" item="2"/>
          <tpl hier="236" item="1"/>
          <tpl fld="1" item="0"/>
        </tpls>
      </m>
      <m>
        <tpls c="3">
          <tpl fld="7" item="801"/>
          <tpl fld="6" item="3"/>
          <tpl hier="236" item="1"/>
        </tpls>
      </m>
      <m>
        <tpls c="4">
          <tpl fld="7" item="761"/>
          <tpl fld="6" item="1"/>
          <tpl hier="236" item="1"/>
          <tpl fld="4" item="6"/>
        </tpls>
      </m>
      <m>
        <tpls c="4">
          <tpl fld="7" item="561"/>
          <tpl fld="6" item="2"/>
          <tpl hier="236" item="1"/>
          <tpl fld="4" item="4"/>
        </tpls>
      </m>
      <n v="1" in="1">
        <tpls c="4">
          <tpl fld="7" item="582"/>
          <tpl fld="6" item="1"/>
          <tpl hier="236" item="1"/>
          <tpl fld="1" item="0"/>
        </tpls>
      </n>
      <m>
        <tpls c="4">
          <tpl fld="7" item="645"/>
          <tpl fld="6" item="2"/>
          <tpl hier="236" item="1"/>
          <tpl fld="4" item="6"/>
        </tpls>
      </m>
      <m>
        <tpls c="4">
          <tpl fld="7" item="1282"/>
          <tpl fld="6" item="2"/>
          <tpl hier="236" item="1"/>
          <tpl fld="1" item="0"/>
        </tpls>
      </m>
      <m>
        <tpls c="3">
          <tpl fld="7" item="996"/>
          <tpl fld="6" item="3"/>
          <tpl hier="236" item="1"/>
        </tpls>
      </m>
      <m>
        <tpls c="4">
          <tpl fld="7" item="824"/>
          <tpl fld="6" item="1"/>
          <tpl hier="236" item="1"/>
          <tpl fld="4" item="5"/>
        </tpls>
      </m>
      <n v="7" in="1">
        <tpls c="4">
          <tpl fld="7" item="1001"/>
          <tpl fld="6" item="1"/>
          <tpl hier="236" item="1"/>
          <tpl fld="4" item="4"/>
        </tpls>
      </n>
      <m>
        <tpls c="4">
          <tpl fld="7" item="1284"/>
          <tpl fld="6" item="2"/>
          <tpl hier="236" item="1"/>
          <tpl fld="4" item="1"/>
        </tpls>
      </m>
      <m>
        <tpls c="3">
          <tpl fld="7" item="1020"/>
          <tpl fld="6" item="3"/>
          <tpl hier="236" item="1"/>
        </tpls>
      </m>
      <n v="13" in="1">
        <tpls c="4">
          <tpl fld="7" item="871"/>
          <tpl fld="6" item="1"/>
          <tpl hier="236" item="1"/>
          <tpl fld="4" item="6"/>
        </tpls>
      </n>
      <m>
        <tpls c="4">
          <tpl fld="7" item="1060"/>
          <tpl fld="6" item="2"/>
          <tpl hier="236" item="1"/>
          <tpl fld="4" item="1"/>
        </tpls>
      </m>
      <m>
        <tpls c="4">
          <tpl fld="7" item="1119"/>
          <tpl fld="6" item="2"/>
          <tpl hier="236" item="1"/>
          <tpl fld="1" item="0"/>
        </tpls>
      </m>
      <n v="10.199999999999998" in="2">
        <tpls c="4">
          <tpl fld="7" item="1211"/>
          <tpl fld="6" item="2"/>
          <tpl hier="236" item="1"/>
          <tpl fld="1" item="0"/>
        </tpls>
      </n>
      <m>
        <tpls c="4">
          <tpl fld="7" item="41"/>
          <tpl fld="6" item="2"/>
          <tpl hier="236" item="1"/>
          <tpl fld="1" item="0"/>
        </tpls>
      </m>
      <m>
        <tpls c="4">
          <tpl fld="7" item="365"/>
          <tpl fld="6" item="2"/>
          <tpl hier="236" item="1"/>
          <tpl fld="4" item="1"/>
        </tpls>
      </m>
      <m>
        <tpls c="4">
          <tpl fld="7" item="785"/>
          <tpl fld="6" item="2"/>
          <tpl hier="236" item="1"/>
          <tpl fld="4" item="5"/>
        </tpls>
      </m>
      <n v="1" in="1">
        <tpls c="4">
          <tpl fld="7" item="888"/>
          <tpl fld="6" item="1"/>
          <tpl hier="236" item="1"/>
          <tpl fld="4" item="1"/>
        </tpls>
      </n>
      <n v="20" in="1">
        <tpls c="4">
          <tpl fld="7" item="645"/>
          <tpl fld="6" item="1"/>
          <tpl hier="236" item="1"/>
          <tpl fld="4" item="4"/>
        </tpls>
      </n>
      <n v="1" in="1">
        <tpls c="4">
          <tpl fld="7" item="1282"/>
          <tpl fld="6" item="1"/>
          <tpl hier="236" item="1"/>
          <tpl fld="4" item="6"/>
        </tpls>
      </n>
      <m>
        <tpls c="4">
          <tpl fld="7" item="108"/>
          <tpl fld="6" item="1"/>
          <tpl hier="236" item="1"/>
          <tpl fld="1" item="0"/>
        </tpls>
      </m>
      <m>
        <tpls c="4">
          <tpl fld="7" item="564"/>
          <tpl fld="6" item="2"/>
          <tpl hier="236" item="1"/>
          <tpl fld="4" item="5"/>
        </tpls>
      </m>
      <m>
        <tpls c="4">
          <tpl fld="7" item="532"/>
          <tpl fld="6" item="2"/>
          <tpl hier="236" item="1"/>
          <tpl fld="4" item="4"/>
        </tpls>
      </m>
      <m>
        <tpls c="4">
          <tpl fld="7" item="709"/>
          <tpl fld="6" item="1"/>
          <tpl hier="236" item="1"/>
          <tpl fld="4" item="5"/>
        </tpls>
      </m>
      <m>
        <tpls c="4">
          <tpl fld="7" item="620"/>
          <tpl fld="6" item="1"/>
          <tpl hier="236" item="1"/>
          <tpl fld="1" item="0"/>
        </tpls>
      </m>
      <m>
        <tpls c="4">
          <tpl fld="7" item="735"/>
          <tpl fld="6" item="1"/>
          <tpl hier="236" item="1"/>
          <tpl fld="4" item="1"/>
        </tpls>
      </m>
      <m>
        <tpls c="3">
          <tpl fld="7" item="914"/>
          <tpl fld="6" item="3"/>
          <tpl hier="236" item="1"/>
        </tpls>
      </m>
      <m>
        <tpls c="4">
          <tpl fld="7" item="437"/>
          <tpl fld="6" item="2"/>
          <tpl hier="236" item="1"/>
          <tpl fld="1" item="0"/>
        </tpls>
      </m>
      <m>
        <tpls c="4">
          <tpl fld="7" item="619"/>
          <tpl fld="6" item="2"/>
          <tpl hier="236" item="1"/>
          <tpl fld="4" item="1"/>
        </tpls>
      </m>
      <m>
        <tpls c="4">
          <tpl fld="7" item="720"/>
          <tpl fld="6" item="2"/>
          <tpl hier="236" item="1"/>
          <tpl fld="4" item="1"/>
        </tpls>
      </m>
      <m>
        <tpls c="4">
          <tpl fld="7" item="727"/>
          <tpl fld="6" item="1"/>
          <tpl hier="236" item="1"/>
          <tpl fld="4" item="5"/>
        </tpls>
      </m>
      <n v="1" in="1">
        <tpls c="4">
          <tpl fld="7" item="655"/>
          <tpl fld="6" item="1"/>
          <tpl hier="236" item="1"/>
          <tpl fld="4" item="4"/>
        </tpls>
      </n>
      <m>
        <tpls c="4">
          <tpl fld="7" item="997"/>
          <tpl fld="6" item="1"/>
          <tpl hier="236" item="1"/>
          <tpl fld="4" item="6"/>
        </tpls>
      </m>
      <n v="28" in="1">
        <tpls c="4">
          <tpl fld="7" item="829"/>
          <tpl fld="6" item="1"/>
          <tpl hier="236" item="1"/>
          <tpl fld="1" item="0"/>
        </tpls>
      </n>
      <m>
        <tpls c="3">
          <tpl fld="7" item="1192"/>
          <tpl fld="6" item="3"/>
          <tpl hier="236" item="1"/>
        </tpls>
      </m>
      <m>
        <tpls c="4">
          <tpl fld="7" item="1017"/>
          <tpl fld="6" item="1"/>
          <tpl hier="236" item="1"/>
          <tpl fld="4" item="6"/>
        </tpls>
      </m>
      <m>
        <tpls c="4">
          <tpl fld="7" item="867"/>
          <tpl fld="6" item="2"/>
          <tpl hier="236" item="1"/>
          <tpl fld="4" item="4"/>
        </tpls>
      </m>
      <n v="1" in="1">
        <tpls c="4">
          <tpl fld="7" item="1153"/>
          <tpl fld="6" item="1"/>
          <tpl hier="236" item="1"/>
          <tpl fld="4" item="4"/>
        </tpls>
      </n>
      <m>
        <tpls c="4">
          <tpl fld="7" item="977"/>
          <tpl fld="6" item="2"/>
          <tpl hier="236" item="1"/>
          <tpl fld="1" item="0"/>
        </tpls>
      </m>
      <m>
        <tpls c="4">
          <tpl fld="7" item="371"/>
          <tpl fld="6" item="2"/>
          <tpl hier="236" item="1"/>
          <tpl fld="1" item="0"/>
        </tpls>
      </m>
      <n v="1" in="3">
        <tpls c="3">
          <tpl fld="7" item="507"/>
          <tpl fld="6" item="3"/>
          <tpl hier="236" item="1"/>
        </tpls>
      </n>
      <m>
        <tpls c="3">
          <tpl fld="7" item="884"/>
          <tpl fld="6" item="3"/>
          <tpl hier="236" item="1"/>
        </tpls>
      </m>
      <n v="197" in="1">
        <tpls c="6">
          <tpl fld="11" item="0"/>
          <tpl fld="6" item="1"/>
          <tpl fld="8" item="1"/>
          <tpl hier="236" item="1"/>
          <tpl fld="4" item="7"/>
          <tpl fld="10" item="0"/>
        </tpls>
      </n>
      <m>
        <tpls c="4">
          <tpl fld="7" item="33"/>
          <tpl fld="6" item="2"/>
          <tpl hier="236" item="1"/>
          <tpl fld="4" item="4"/>
        </tpls>
      </m>
      <m>
        <tpls c="4">
          <tpl fld="7" item="178"/>
          <tpl fld="6" item="2"/>
          <tpl hier="236" item="1"/>
          <tpl fld="4" item="4"/>
        </tpls>
      </m>
      <m>
        <tpls c="4">
          <tpl fld="7" item="291"/>
          <tpl fld="6" item="1"/>
          <tpl hier="236" item="1"/>
          <tpl fld="4" item="6"/>
        </tpls>
      </m>
      <n v="1" in="3">
        <tpls c="3">
          <tpl fld="7" item="360"/>
          <tpl fld="6" item="3"/>
          <tpl hier="236" item="1"/>
        </tpls>
      </n>
      <m>
        <tpls c="4">
          <tpl fld="7" item="51"/>
          <tpl fld="6" item="1"/>
          <tpl hier="236" item="1"/>
          <tpl fld="4" item="4"/>
        </tpls>
      </m>
      <m>
        <tpls c="4">
          <tpl fld="7" item="985"/>
          <tpl fld="6" item="2"/>
          <tpl hier="236" item="1"/>
          <tpl fld="4" item="4"/>
        </tpls>
      </m>
      <m>
        <tpls c="4">
          <tpl fld="7" item="338"/>
          <tpl fld="6" item="1"/>
          <tpl hier="236" item="1"/>
          <tpl fld="4" item="4"/>
        </tpls>
      </m>
      <m>
        <tpls c="4">
          <tpl fld="7" item="464"/>
          <tpl fld="6" item="1"/>
          <tpl hier="236" item="1"/>
          <tpl fld="4" item="5"/>
        </tpls>
      </m>
      <m>
        <tpls c="4">
          <tpl fld="7" item="696"/>
          <tpl fld="6" item="1"/>
          <tpl hier="236" item="1"/>
          <tpl fld="4" item="6"/>
        </tpls>
      </m>
      <m>
        <tpls c="3">
          <tpl fld="7" item="200"/>
          <tpl fld="6" item="3"/>
          <tpl hier="236" item="1"/>
        </tpls>
      </m>
      <m>
        <tpls c="4">
          <tpl fld="7" item="628"/>
          <tpl fld="6" item="2"/>
          <tpl hier="236" item="1"/>
          <tpl fld="4" item="1"/>
        </tpls>
      </m>
      <m>
        <tpls c="3">
          <tpl fld="7" item="93"/>
          <tpl fld="6" item="3"/>
          <tpl hier="236" item="1"/>
        </tpls>
      </m>
      <m>
        <tpls c="3">
          <tpl fld="7" item="257"/>
          <tpl fld="6" item="3"/>
          <tpl hier="236" item="1"/>
        </tpls>
      </m>
      <m>
        <tpls c="4">
          <tpl fld="7" item="380"/>
          <tpl fld="6" item="2"/>
          <tpl hier="236" item="1"/>
          <tpl fld="4" item="4"/>
        </tpls>
      </m>
      <m>
        <tpls c="4">
          <tpl fld="7" item="47"/>
          <tpl fld="6" item="2"/>
          <tpl hier="236" item="1"/>
          <tpl fld="4" item="1"/>
        </tpls>
      </m>
      <m>
        <tpls c="4">
          <tpl fld="7" item="782"/>
          <tpl fld="6" item="2"/>
          <tpl hier="236" item="1"/>
          <tpl fld="1" item="0"/>
        </tpls>
      </m>
      <m>
        <tpls c="3">
          <tpl fld="7" item="254"/>
          <tpl fld="6" item="3"/>
          <tpl hier="236" item="1"/>
        </tpls>
      </m>
      <m>
        <tpls c="4">
          <tpl fld="7" item="556"/>
          <tpl fld="6" item="1"/>
          <tpl hier="236" item="1"/>
          <tpl fld="1" item="0"/>
        </tpls>
      </m>
      <m>
        <tpls c="3">
          <tpl fld="7" item="258"/>
          <tpl fld="6" item="3"/>
          <tpl hier="236" item="1"/>
        </tpls>
      </m>
      <m>
        <tpls c="4">
          <tpl fld="7" item="402"/>
          <tpl fld="6" item="1"/>
          <tpl hier="236" item="1"/>
          <tpl fld="4" item="4"/>
        </tpls>
      </m>
      <n v="2.7600000000000002" in="2">
        <tpls c="4">
          <tpl fld="7" item="540"/>
          <tpl fld="6" item="2"/>
          <tpl hier="236" item="1"/>
          <tpl fld="4" item="4"/>
        </tpls>
      </n>
      <m>
        <tpls c="4">
          <tpl fld="7" item="54"/>
          <tpl fld="6" item="2"/>
          <tpl hier="236" item="1"/>
          <tpl fld="4" item="1"/>
        </tpls>
      </m>
      <m>
        <tpls c="4">
          <tpl fld="7" item="786"/>
          <tpl fld="6" item="1"/>
          <tpl hier="236" item="1"/>
          <tpl fld="4" item="5"/>
        </tpls>
      </m>
      <m>
        <tpls c="4">
          <tpl fld="7" item="186"/>
          <tpl fld="6" item="1"/>
          <tpl hier="236" item="1"/>
          <tpl fld="4" item="4"/>
        </tpls>
      </m>
      <m>
        <tpls c="4">
          <tpl fld="7" item="650"/>
          <tpl fld="6" item="1"/>
          <tpl hier="236" item="1"/>
          <tpl fld="4" item="6"/>
        </tpls>
      </m>
      <m>
        <tpls c="4">
          <tpl fld="7" item="1009"/>
          <tpl fld="6" item="2"/>
          <tpl hier="236" item="1"/>
          <tpl fld="4" item="1"/>
        </tpls>
      </m>
      <m>
        <tpls c="4">
          <tpl fld="7" item="920"/>
          <tpl fld="6" item="2"/>
          <tpl hier="236" item="1"/>
          <tpl fld="1" item="0"/>
        </tpls>
      </m>
      <m>
        <tpls c="4">
          <tpl fld="7" item="246"/>
          <tpl fld="6" item="2"/>
          <tpl hier="236" item="1"/>
          <tpl fld="4" item="1"/>
        </tpls>
      </m>
      <n v="26" in="1">
        <tpls c="4">
          <tpl fld="7" item="609"/>
          <tpl fld="6" item="1"/>
          <tpl hier="236" item="1"/>
          <tpl fld="4" item="6"/>
        </tpls>
      </n>
      <m>
        <tpls c="4">
          <tpl fld="7" item="56"/>
          <tpl fld="6" item="2"/>
          <tpl hier="236" item="1"/>
          <tpl fld="4" item="1"/>
        </tpls>
      </m>
      <m>
        <tpls c="4">
          <tpl fld="7" item="786"/>
          <tpl fld="6" item="2"/>
          <tpl hier="236" item="1"/>
          <tpl fld="4" item="5"/>
        </tpls>
      </m>
      <m>
        <tpls c="4">
          <tpl fld="7" item="580"/>
          <tpl fld="6" item="1"/>
          <tpl hier="236" item="1"/>
          <tpl fld="4" item="4"/>
        </tpls>
      </m>
      <n v="2" in="1">
        <tpls c="4">
          <tpl fld="7" item="451"/>
          <tpl fld="6" item="1"/>
          <tpl hier="236" item="1"/>
          <tpl fld="4" item="4"/>
        </tpls>
      </n>
      <m>
        <tpls c="4">
          <tpl fld="7" item="571"/>
          <tpl fld="6" item="2"/>
          <tpl hier="236" item="1"/>
          <tpl fld="4" item="1"/>
        </tpls>
      </m>
      <m>
        <tpls c="4">
          <tpl fld="7" item="889"/>
          <tpl fld="6" item="1"/>
          <tpl hier="236" item="1"/>
          <tpl fld="4" item="5"/>
        </tpls>
      </m>
      <n v="2" in="1">
        <tpls c="4">
          <tpl fld="7" item="731"/>
          <tpl fld="6" item="1"/>
          <tpl hier="236" item="1"/>
          <tpl fld="4" item="4"/>
        </tpls>
      </n>
      <m>
        <tpls c="4">
          <tpl fld="7" item="1215"/>
          <tpl fld="6" item="1"/>
          <tpl hier="236" item="1"/>
          <tpl fld="1" item="0"/>
        </tpls>
      </m>
      <m>
        <tpls c="4">
          <tpl fld="7" item="895"/>
          <tpl fld="6" item="2"/>
          <tpl hier="236" item="1"/>
          <tpl fld="1" item="0"/>
        </tpls>
      </m>
      <n v="1" in="1">
        <tpls c="4">
          <tpl fld="7" item="846"/>
          <tpl fld="6" item="1"/>
          <tpl hier="236" item="1"/>
          <tpl fld="4" item="6"/>
        </tpls>
      </n>
      <m>
        <tpls c="4">
          <tpl fld="7" item="1196"/>
          <tpl fld="6" item="2"/>
          <tpl hier="236" item="1"/>
          <tpl fld="4" item="4"/>
        </tpls>
      </m>
      <m>
        <tpls c="4">
          <tpl fld="7" item="1203"/>
          <tpl fld="6" item="2"/>
          <tpl hier="236" item="1"/>
          <tpl fld="4" item="1"/>
        </tpls>
      </m>
      <n v="0.6" in="2">
        <tpls c="4">
          <tpl fld="7" item="1014"/>
          <tpl fld="6" item="2"/>
          <tpl hier="236" item="1"/>
          <tpl fld="1" item="0"/>
        </tpls>
      </n>
      <m>
        <tpls c="4">
          <tpl fld="7" item="295"/>
          <tpl fld="6" item="2"/>
          <tpl hier="236" item="1"/>
          <tpl fld="1" item="0"/>
        </tpls>
      </m>
      <m>
        <tpls c="4">
          <tpl fld="7" item="1128"/>
          <tpl fld="6" item="2"/>
          <tpl hier="236" item="1"/>
          <tpl fld="4" item="5"/>
        </tpls>
      </m>
      <m>
        <tpls c="4">
          <tpl fld="7" item="173"/>
          <tpl fld="6" item="1"/>
          <tpl hier="236" item="1"/>
          <tpl fld="4" item="6"/>
        </tpls>
      </m>
      <m>
        <tpls c="4">
          <tpl fld="7" item="524"/>
          <tpl fld="6" item="2"/>
          <tpl hier="236" item="1"/>
          <tpl fld="4" item="4"/>
        </tpls>
      </m>
      <n v="0.6" in="2">
        <tpls c="4">
          <tpl fld="7" item="361"/>
          <tpl fld="6" item="2"/>
          <tpl hier="236" item="1"/>
          <tpl fld="4" item="4"/>
        </tpls>
      </n>
      <n v="0.48" in="2">
        <tpls c="4">
          <tpl fld="7" item="608"/>
          <tpl fld="6" item="2"/>
          <tpl hier="236" item="1"/>
          <tpl fld="4" item="1"/>
        </tpls>
      </n>
      <m>
        <tpls c="4">
          <tpl fld="7" item="694"/>
          <tpl fld="6" item="2"/>
          <tpl hier="236" item="1"/>
          <tpl fld="4" item="4"/>
        </tpls>
      </m>
      <m>
        <tpls c="4">
          <tpl fld="7" item="990"/>
          <tpl fld="6" item="1"/>
          <tpl hier="236" item="1"/>
          <tpl fld="4" item="1"/>
        </tpls>
      </m>
      <m>
        <tpls c="4">
          <tpl fld="7" item="614"/>
          <tpl fld="6" item="1"/>
          <tpl hier="236" item="1"/>
          <tpl fld="4" item="4"/>
        </tpls>
      </m>
      <m>
        <tpls c="4">
          <tpl fld="7" item="794"/>
          <tpl fld="6" item="2"/>
          <tpl hier="236" item="1"/>
          <tpl fld="4" item="4"/>
        </tpls>
      </m>
      <n v="0.6" in="2">
        <tpls c="4">
          <tpl fld="7" item="212"/>
          <tpl fld="6" item="2"/>
          <tpl hier="236" item="1"/>
          <tpl fld="4" item="4"/>
        </tpls>
      </n>
      <m>
        <tpls c="3">
          <tpl fld="7" item="984"/>
          <tpl fld="6" item="3"/>
          <tpl hier="236" item="1"/>
        </tpls>
      </m>
      <m>
        <tpls c="4">
          <tpl fld="7" item="696"/>
          <tpl fld="6" item="2"/>
          <tpl hier="236" item="1"/>
          <tpl fld="4" item="5"/>
        </tpls>
      </m>
      <m>
        <tpls c="4">
          <tpl fld="7" item="557"/>
          <tpl fld="6" item="1"/>
          <tpl hier="236" item="1"/>
          <tpl fld="4" item="6"/>
        </tpls>
      </m>
      <n v="52" in="1">
        <tpls c="4">
          <tpl fld="7" item="787"/>
          <tpl fld="6" item="1"/>
          <tpl hier="236" item="1"/>
          <tpl fld="1" item="0"/>
        </tpls>
      </n>
      <m>
        <tpls c="4">
          <tpl fld="7" item="570"/>
          <tpl fld="6" item="2"/>
          <tpl hier="236" item="1"/>
          <tpl fld="4" item="5"/>
        </tpls>
      </m>
      <m>
        <tpls c="4">
          <tpl fld="7" item="576"/>
          <tpl fld="6" item="2"/>
          <tpl hier="236" item="1"/>
          <tpl fld="4" item="4"/>
        </tpls>
      </m>
      <m>
        <tpls c="4">
          <tpl fld="7" item="888"/>
          <tpl fld="6" item="2"/>
          <tpl hier="236" item="1"/>
          <tpl fld="4" item="6"/>
        </tpls>
      </m>
      <m>
        <tpls c="4">
          <tpl fld="7" item="454"/>
          <tpl fld="6" item="2"/>
          <tpl hier="236" item="1"/>
          <tpl fld="4" item="4"/>
        </tpls>
      </m>
      <m>
        <tpls c="3">
          <tpl fld="7" item="705"/>
          <tpl fld="6" item="3"/>
          <tpl hier="236" item="1"/>
        </tpls>
      </m>
      <m>
        <tpls c="4">
          <tpl fld="7" item="720"/>
          <tpl fld="6" item="1"/>
          <tpl hier="236" item="1"/>
          <tpl fld="4" item="5"/>
        </tpls>
      </m>
      <m>
        <tpls c="4">
          <tpl fld="7" item="807"/>
          <tpl fld="6" item="2"/>
          <tpl hier="236" item="1"/>
          <tpl fld="4" item="1"/>
        </tpls>
      </m>
      <m>
        <tpls c="4">
          <tpl fld="7" item="731"/>
          <tpl fld="6" item="2"/>
          <tpl hier="236" item="1"/>
          <tpl fld="4" item="4"/>
        </tpls>
      </m>
      <m>
        <tpls c="4">
          <tpl fld="7" item="657"/>
          <tpl fld="6" item="2"/>
          <tpl hier="236" item="1"/>
          <tpl fld="4" item="6"/>
        </tpls>
      </m>
      <m>
        <tpls c="4">
          <tpl fld="7" item="1241"/>
          <tpl fld="6" item="2"/>
          <tpl hier="236" item="1"/>
          <tpl fld="1" item="0"/>
        </tpls>
      </m>
      <m>
        <tpls c="4">
          <tpl fld="7" item="1242"/>
          <tpl fld="6" item="2"/>
          <tpl hier="236" item="1"/>
          <tpl fld="4" item="1"/>
        </tpls>
      </m>
      <m>
        <tpls c="3">
          <tpl fld="7" item="1011"/>
          <tpl fld="6" item="3"/>
          <tpl hier="236" item="1"/>
        </tpls>
      </m>
      <n v="1" in="1">
        <tpls c="4">
          <tpl fld="7" item="859"/>
          <tpl fld="6" item="1"/>
          <tpl hier="236" item="1"/>
          <tpl fld="4" item="6"/>
        </tpls>
      </n>
      <m>
        <tpls c="4">
          <tpl fld="7" item="927"/>
          <tpl fld="6" item="2"/>
          <tpl hier="236" item="1"/>
          <tpl fld="4" item="1"/>
        </tpls>
      </m>
      <m>
        <tpls c="4">
          <tpl fld="7" item="1062"/>
          <tpl fld="6" item="2"/>
          <tpl hier="236" item="1"/>
          <tpl fld="4" item="1"/>
        </tpls>
      </m>
      <m>
        <tpls c="4">
          <tpl fld="7" item="1116"/>
          <tpl fld="6" item="2"/>
          <tpl hier="236" item="1"/>
          <tpl fld="1" item="0"/>
        </tpls>
      </m>
      <m>
        <tpls c="4">
          <tpl fld="7" item="97"/>
          <tpl fld="6" item="2"/>
          <tpl hier="236" item="1"/>
          <tpl fld="1" item="0"/>
        </tpls>
      </m>
      <m>
        <tpls c="4">
          <tpl fld="7" item="37"/>
          <tpl fld="6" item="2"/>
          <tpl hier="236" item="1"/>
          <tpl fld="1" item="0"/>
        </tpls>
      </m>
      <n v="1" in="3">
        <tpls c="3">
          <tpl fld="7" item="519"/>
          <tpl fld="6" item="3"/>
          <tpl hier="236" item="1"/>
        </tpls>
      </n>
      <m>
        <tpls c="4">
          <tpl fld="7" item="988"/>
          <tpl fld="6" item="2"/>
          <tpl hier="236" item="1"/>
          <tpl fld="4" item="6"/>
        </tpls>
      </m>
      <m>
        <tpls c="4">
          <tpl fld="7" item="640"/>
          <tpl fld="6" item="2"/>
          <tpl hier="236" item="1"/>
          <tpl fld="4" item="6"/>
        </tpls>
      </m>
      <m>
        <tpls c="4">
          <tpl fld="7" item="725"/>
          <tpl fld="6" item="1"/>
          <tpl hier="236" item="1"/>
          <tpl fld="4" item="5"/>
        </tpls>
      </m>
      <n v="2" in="1">
        <tpls c="4">
          <tpl fld="7" item="651"/>
          <tpl fld="6" item="1"/>
          <tpl hier="236" item="1"/>
          <tpl fld="4" item="1"/>
        </tpls>
      </n>
      <n v="1" in="3">
        <tpls c="3">
          <tpl fld="7" item="444"/>
          <tpl fld="6" item="3"/>
          <tpl hier="236" item="1"/>
        </tpls>
      </n>
      <m>
        <tpls c="4">
          <tpl fld="7" item="632"/>
          <tpl fld="6" item="2"/>
          <tpl hier="236" item="1"/>
          <tpl fld="4" item="4"/>
        </tpls>
      </m>
      <n v="3" in="2">
        <tpls c="4">
          <tpl fld="7" item="608"/>
          <tpl fld="6" item="2"/>
          <tpl hier="236" item="1"/>
          <tpl fld="1" item="0"/>
        </tpls>
      </n>
      <n v="0" in="1">
        <tpls c="4">
          <tpl fld="7" item="1239"/>
          <tpl fld="6" item="1"/>
          <tpl hier="236" item="1"/>
          <tpl fld="4" item="5"/>
        </tpls>
      </n>
      <m>
        <tpls c="4">
          <tpl fld="7" item="704"/>
          <tpl fld="6" item="2"/>
          <tpl hier="236" item="1"/>
          <tpl fld="4" item="5"/>
        </tpls>
      </m>
      <n v="2" in="1">
        <tpls c="4">
          <tpl fld="7" item="996"/>
          <tpl fld="6" item="1"/>
          <tpl hier="236" item="1"/>
          <tpl fld="1" item="0"/>
        </tpls>
      </n>
      <m>
        <tpls c="4">
          <tpl fld="7" item="1123"/>
          <tpl fld="6" item="2"/>
          <tpl hier="236" item="1"/>
          <tpl fld="4" item="1"/>
        </tpls>
      </m>
      <n v="1.08" in="2">
        <tpls c="4">
          <tpl fld="7" item="422"/>
          <tpl fld="6" item="2"/>
          <tpl hier="236" item="1"/>
          <tpl fld="1" item="0"/>
        </tpls>
      </n>
      <m>
        <tpls c="4">
          <tpl fld="7" item="782"/>
          <tpl fld="6" item="2"/>
          <tpl hier="236" item="1"/>
          <tpl fld="4" item="5"/>
        </tpls>
      </m>
      <n v="10" in="1">
        <tpls c="4">
          <tpl fld="7" item="583"/>
          <tpl fld="6" item="1"/>
          <tpl hier="236" item="1"/>
          <tpl fld="1" item="0"/>
        </tpls>
      </n>
      <n v="0" in="1">
        <tpls c="4">
          <tpl fld="7" item="890"/>
          <tpl fld="6" item="1"/>
          <tpl hier="236" item="1"/>
          <tpl fld="4" item="6"/>
        </tpls>
      </n>
      <n v="0.32" in="2">
        <tpls c="4">
          <tpl fld="7" item="1245"/>
          <tpl fld="6" item="2"/>
          <tpl hier="236" item="1"/>
          <tpl fld="4" item="1"/>
        </tpls>
      </n>
      <m>
        <tpls c="4">
          <tpl fld="7" item="1248"/>
          <tpl fld="6" item="2"/>
          <tpl hier="236" item="1"/>
          <tpl fld="4" item="1"/>
        </tpls>
      </m>
      <m>
        <tpls c="4">
          <tpl fld="7" item="1054"/>
          <tpl fld="6" item="2"/>
          <tpl hier="236" item="1"/>
          <tpl fld="4" item="1"/>
        </tpls>
      </m>
      <m>
        <tpls c="4">
          <tpl fld="7" item="1104"/>
          <tpl fld="6" item="2"/>
          <tpl hier="236" item="1"/>
          <tpl fld="1" item="0"/>
        </tpls>
      </m>
      <m>
        <tpls c="4">
          <tpl fld="7" item="282"/>
          <tpl fld="6" item="2"/>
          <tpl hier="236" item="1"/>
          <tpl fld="1" item="0"/>
        </tpls>
      </m>
      <m>
        <tpls c="4">
          <tpl fld="7" item="144"/>
          <tpl fld="6" item="1"/>
          <tpl hier="236" item="1"/>
          <tpl fld="4" item="4"/>
        </tpls>
      </m>
      <n v="17" in="1">
        <tpls c="4">
          <tpl fld="7" item="630"/>
          <tpl fld="6" item="1"/>
          <tpl hier="236" item="1"/>
          <tpl fld="1" item="0"/>
        </tpls>
      </n>
      <m>
        <tpls c="4">
          <tpl fld="7" item="586"/>
          <tpl fld="6" item="2"/>
          <tpl hier="236" item="1"/>
          <tpl fld="4" item="5"/>
        </tpls>
      </m>
      <n v="1.52" in="2">
        <tpls c="4">
          <tpl fld="7" item="811"/>
          <tpl fld="6" item="2"/>
          <tpl hier="236" item="1"/>
          <tpl fld="1" item="0"/>
        </tpls>
      </n>
      <n v="1.4037837837837837" in="2">
        <tpls c="4">
          <tpl fld="7" item="500"/>
          <tpl fld="6" item="2"/>
          <tpl hier="236" item="1"/>
          <tpl fld="4" item="1"/>
        </tpls>
      </n>
      <n v="7" in="1">
        <tpls c="4">
          <tpl fld="7" item="886"/>
          <tpl fld="6" item="1"/>
          <tpl hier="236" item="1"/>
          <tpl fld="4" item="4"/>
        </tpls>
      </n>
      <n v="2" in="1">
        <tpls c="4">
          <tpl fld="7" item="705"/>
          <tpl fld="6" item="1"/>
          <tpl hier="236" item="1"/>
          <tpl fld="4" item="5"/>
        </tpls>
      </n>
      <m>
        <tpls c="4">
          <tpl fld="7" item="640"/>
          <tpl fld="6" item="1"/>
          <tpl hier="236" item="1"/>
          <tpl fld="4" item="4"/>
        </tpls>
      </m>
      <n v="1" in="2">
        <tpls c="4">
          <tpl fld="7" item="1001"/>
          <tpl fld="6" item="2"/>
          <tpl hier="236" item="1"/>
          <tpl fld="4" item="4"/>
        </tpls>
      </n>
      <m>
        <tpls c="4">
          <tpl fld="7" item="1194"/>
          <tpl fld="6" item="2"/>
          <tpl hier="236" item="1"/>
          <tpl fld="1" item="0"/>
        </tpls>
      </m>
      <n v="1" in="2">
        <tpls c="4">
          <tpl fld="7" item="564"/>
          <tpl fld="6" item="2"/>
          <tpl hier="236" item="1"/>
          <tpl fld="4" item="4"/>
        </tpls>
      </n>
      <m>
        <tpls c="4">
          <tpl fld="7" item="724"/>
          <tpl fld="6" item="1"/>
          <tpl hier="236" item="1"/>
          <tpl fld="4" item="4"/>
        </tpls>
      </m>
      <n v="2" in="1">
        <tpls c="4">
          <tpl fld="7" item="815"/>
          <tpl fld="6" item="1"/>
          <tpl hier="236" item="1"/>
          <tpl fld="1" item="0"/>
        </tpls>
      </n>
      <m>
        <tpls c="4">
          <tpl fld="7" item="821"/>
          <tpl fld="6" item="2"/>
          <tpl hier="236" item="1"/>
          <tpl fld="1" item="0"/>
        </tpls>
      </m>
      <n v="50" in="1">
        <tpls c="4">
          <tpl fld="7" item="666"/>
          <tpl fld="6" item="1"/>
          <tpl hier="236" item="1"/>
          <tpl fld="1" item="0"/>
        </tpls>
      </n>
      <m>
        <tpls c="4">
          <tpl fld="7" item="839"/>
          <tpl fld="6" item="2"/>
          <tpl hier="236" item="1"/>
          <tpl fld="4" item="4"/>
        </tpls>
      </m>
      <n v="23" in="1">
        <tpls c="4">
          <tpl fld="7" item="852"/>
          <tpl fld="6" item="1"/>
          <tpl hier="236" item="1"/>
          <tpl fld="4" item="4"/>
        </tpls>
      </n>
      <m>
        <tpls c="4">
          <tpl fld="7" item="1025"/>
          <tpl fld="6" item="2"/>
          <tpl hier="236" item="1"/>
          <tpl fld="4" item="1"/>
        </tpls>
      </m>
      <n v="2" in="1">
        <tpls c="4">
          <tpl fld="7" item="1147"/>
          <tpl fld="6" item="1"/>
          <tpl hier="236" item="1"/>
          <tpl fld="4" item="4"/>
        </tpls>
      </n>
      <m>
        <tpls c="4">
          <tpl fld="7" item="1179"/>
          <tpl fld="6" item="1"/>
          <tpl hier="236" item="1"/>
          <tpl fld="4" item="4"/>
        </tpls>
      </m>
      <m>
        <tpls c="4">
          <tpl fld="7" item="383"/>
          <tpl fld="6" item="2"/>
          <tpl hier="236" item="1"/>
          <tpl fld="1" item="0"/>
        </tpls>
      </m>
      <m>
        <tpls c="4">
          <tpl fld="7" item="147"/>
          <tpl fld="6" item="2"/>
          <tpl hier="236" item="1"/>
          <tpl fld="4" item="4"/>
        </tpls>
      </m>
      <m>
        <tpls c="4">
          <tpl fld="7" item="556"/>
          <tpl fld="6" item="1"/>
          <tpl hier="236" item="1"/>
          <tpl fld="4" item="1"/>
        </tpls>
      </m>
      <n v="1" in="1">
        <tpls c="4">
          <tpl fld="7" item="1188"/>
          <tpl fld="6" item="1"/>
          <tpl hier="236" item="1"/>
          <tpl fld="4" item="4"/>
        </tpls>
      </n>
      <m>
        <tpls c="4">
          <tpl fld="7" item="644"/>
          <tpl fld="6" item="1"/>
          <tpl hier="236" item="1"/>
          <tpl fld="4" item="1"/>
        </tpls>
      </m>
      <n v="9" in="1">
        <tpls c="4">
          <tpl fld="7" item="1097"/>
          <tpl fld="6" item="1"/>
          <tpl hier="236" item="1"/>
          <tpl fld="4" item="4"/>
        </tpls>
      </n>
      <m>
        <tpls c="4">
          <tpl fld="7" item="817"/>
          <tpl fld="6" item="1"/>
          <tpl hier="236" item="1"/>
          <tpl fld="4" item="6"/>
        </tpls>
      </m>
      <m>
        <tpls c="4">
          <tpl fld="7" item="741"/>
          <tpl fld="6" item="1"/>
          <tpl hier="236" item="1"/>
          <tpl fld="1" item="0"/>
        </tpls>
      </m>
      <m>
        <tpls c="4">
          <tpl fld="7" item="830"/>
          <tpl fld="6" item="2"/>
          <tpl hier="236" item="1"/>
          <tpl fld="4" item="1"/>
        </tpls>
      </m>
      <m>
        <tpls c="3">
          <tpl fld="7" item="1218"/>
          <tpl fld="6" item="3"/>
          <tpl hier="236" item="1"/>
        </tpls>
      </m>
      <n v="3" in="1">
        <tpls c="4">
          <tpl fld="7" item="1018"/>
          <tpl fld="6" item="1"/>
          <tpl hier="236" item="1"/>
          <tpl fld="4" item="6"/>
        </tpls>
      </n>
      <m>
        <tpls c="4">
          <tpl fld="7" item="1197"/>
          <tpl fld="6" item="2"/>
          <tpl hier="236" item="1"/>
          <tpl fld="4" item="4"/>
        </tpls>
      </m>
      <m>
        <tpls c="4">
          <tpl fld="7" item="1156"/>
          <tpl fld="6" item="2"/>
          <tpl hier="236" item="1"/>
          <tpl fld="4" item="1"/>
        </tpls>
      </m>
      <m>
        <tpls c="4">
          <tpl fld="7" item="1286"/>
          <tpl fld="6" item="2"/>
          <tpl hier="236" item="1"/>
          <tpl fld="1" item="0"/>
        </tpls>
      </m>
      <n v="1.0399999999999998" in="2">
        <tpls c="4">
          <tpl fld="7" item="506"/>
          <tpl fld="6" item="2"/>
          <tpl hier="236" item="1"/>
          <tpl fld="1" item="0"/>
        </tpls>
      </n>
      <m>
        <tpls c="4">
          <tpl fld="7" item="59"/>
          <tpl fld="6" item="2"/>
          <tpl hier="236" item="1"/>
          <tpl fld="1" item="0"/>
        </tpls>
      </m>
      <m>
        <tpls c="4">
          <tpl fld="7" item="919"/>
          <tpl fld="6" item="2"/>
          <tpl hier="236" item="1"/>
          <tpl fld="4" item="5"/>
        </tpls>
      </m>
      <n v="1" in="1">
        <tpls c="4">
          <tpl fld="7" item="760"/>
          <tpl fld="6" item="1"/>
          <tpl hier="236" item="1"/>
          <tpl fld="4" item="6"/>
        </tpls>
      </n>
      <m>
        <tpls c="4">
          <tpl fld="7" item="1282"/>
          <tpl fld="6" item="1"/>
          <tpl hier="236" item="1"/>
          <tpl fld="4" item="5"/>
        </tpls>
      </m>
      <m>
        <tpls c="4">
          <tpl fld="7" item="1113"/>
          <tpl fld="6" item="2"/>
          <tpl hier="236" item="1"/>
          <tpl fld="4" item="1"/>
        </tpls>
      </m>
      <m>
        <tpls c="4">
          <tpl fld="7" item="1120"/>
          <tpl fld="6" item="2"/>
          <tpl hier="236" item="1"/>
          <tpl fld="1" item="0"/>
        </tpls>
      </m>
      <m>
        <tpls c="4">
          <tpl fld="7" item="866"/>
          <tpl fld="6" item="2"/>
          <tpl hier="236" item="1"/>
          <tpl fld="4" item="5"/>
        </tpls>
      </m>
      <m>
        <tpls c="4">
          <tpl fld="7" item="204"/>
          <tpl fld="6" item="2"/>
          <tpl hier="236" item="1"/>
          <tpl fld="4" item="5"/>
        </tpls>
      </m>
      <m>
        <tpls c="4">
          <tpl fld="7" item="37"/>
          <tpl fld="6" item="2"/>
          <tpl hier="236" item="1"/>
          <tpl fld="4" item="5"/>
        </tpls>
      </m>
      <m>
        <tpls c="4">
          <tpl fld="7" item="1111"/>
          <tpl fld="6" item="2"/>
          <tpl hier="236" item="1"/>
          <tpl fld="4" item="6"/>
        </tpls>
      </m>
      <m>
        <tpls c="4">
          <tpl fld="7" item="199"/>
          <tpl fld="6" item="2"/>
          <tpl hier="236" item="1"/>
          <tpl fld="4" item="6"/>
        </tpls>
      </m>
      <m>
        <tpls c="4">
          <tpl fld="7" item="227"/>
          <tpl fld="6" item="2"/>
          <tpl hier="236" item="1"/>
          <tpl fld="4" item="6"/>
        </tpls>
      </m>
      <m>
        <tpls c="4">
          <tpl fld="7" item="365"/>
          <tpl fld="6" item="1"/>
          <tpl hier="236" item="1"/>
          <tpl fld="4" item="5"/>
        </tpls>
      </m>
      <m>
        <tpls c="4">
          <tpl fld="7" item="270"/>
          <tpl fld="6" item="1"/>
          <tpl hier="236" item="1"/>
          <tpl fld="4" item="6"/>
        </tpls>
      </m>
      <m>
        <tpls c="4">
          <tpl fld="7" item="264"/>
          <tpl fld="6" item="1"/>
          <tpl hier="236" item="1"/>
          <tpl fld="4" item="5"/>
        </tpls>
      </m>
      <m>
        <tpls c="4">
          <tpl fld="7" item="544"/>
          <tpl fld="6" item="2"/>
          <tpl hier="236" item="1"/>
          <tpl fld="4" item="1"/>
        </tpls>
      </m>
      <m>
        <tpls c="4">
          <tpl fld="7" item="1186"/>
          <tpl fld="6" item="2"/>
          <tpl hier="236" item="1"/>
          <tpl fld="4" item="5"/>
        </tpls>
      </m>
      <m>
        <tpls c="4">
          <tpl fld="7" item="636"/>
          <tpl fld="6" item="2"/>
          <tpl hier="236" item="1"/>
          <tpl fld="4" item="5"/>
        </tpls>
      </m>
      <m>
        <tpls c="4">
          <tpl fld="7" item="770"/>
          <tpl fld="6" item="1"/>
          <tpl hier="236" item="1"/>
          <tpl fld="4" item="4"/>
        </tpls>
      </m>
      <m>
        <tpls c="4">
          <tpl fld="7" item="807"/>
          <tpl fld="6" item="2"/>
          <tpl hier="236" item="1"/>
          <tpl fld="4" item="5"/>
        </tpls>
      </m>
      <m>
        <tpls c="4">
          <tpl fld="7" item="984"/>
          <tpl fld="6" item="1"/>
          <tpl hier="236" item="1"/>
          <tpl fld="4" item="5"/>
        </tpls>
      </m>
      <m>
        <tpls c="4">
          <tpl fld="7" item="477"/>
          <tpl fld="6" item="2"/>
          <tpl hier="236" item="1"/>
          <tpl fld="4" item="1"/>
        </tpls>
      </m>
      <m>
        <tpls c="4">
          <tpl fld="7" item="737"/>
          <tpl fld="6" item="1"/>
          <tpl hier="236" item="1"/>
          <tpl fld="4" item="1"/>
        </tpls>
      </m>
      <m>
        <tpls c="4">
          <tpl fld="7" item="1201"/>
          <tpl fld="6" item="2"/>
          <tpl hier="236" item="1"/>
          <tpl fld="4" item="1"/>
        </tpls>
      </m>
      <m>
        <tpls c="4">
          <tpl fld="7" item="33"/>
          <tpl fld="6" item="1"/>
          <tpl hier="236" item="1"/>
          <tpl fld="4" item="4"/>
        </tpls>
      </m>
      <m>
        <tpls c="3">
          <tpl fld="7" item="771"/>
          <tpl fld="6" item="3"/>
          <tpl hier="236" item="1"/>
        </tpls>
      </m>
      <m>
        <tpls c="4">
          <tpl fld="7" item="482"/>
          <tpl fld="6" item="1"/>
          <tpl hier="236" item="1"/>
          <tpl fld="4" item="6"/>
        </tpls>
      </m>
      <m>
        <tpls c="3">
          <tpl fld="7" item="988"/>
          <tpl fld="6" item="3"/>
          <tpl hier="236" item="1"/>
        </tpls>
      </m>
      <m>
        <tpls c="4">
          <tpl fld="7" item="208"/>
          <tpl fld="6" item="2"/>
          <tpl hier="236" item="1"/>
          <tpl fld="4" item="4"/>
        </tpls>
      </m>
      <n v="7" in="1">
        <tpls c="4">
          <tpl fld="7" item="730"/>
          <tpl fld="6" item="1"/>
          <tpl hier="236" item="1"/>
          <tpl fld="4" item="4"/>
        </tpls>
      </n>
      <m>
        <tpls c="4">
          <tpl fld="7" item="1112"/>
          <tpl fld="6" item="2"/>
          <tpl hier="236" item="1"/>
          <tpl fld="4" item="4"/>
        </tpls>
      </m>
      <m>
        <tpls c="4">
          <tpl fld="7" item="1125"/>
          <tpl fld="6" item="2"/>
          <tpl hier="236" item="1"/>
          <tpl fld="1" item="0"/>
        </tpls>
      </m>
      <m>
        <tpls c="3">
          <tpl fld="7" item="783"/>
          <tpl fld="6" item="3"/>
          <tpl hier="236" item="1"/>
        </tpls>
      </m>
      <n v="1224" in="1">
        <tpls c="4">
          <tpl fld="11" item="0"/>
          <tpl fld="6" item="1"/>
          <tpl hier="236" item="1"/>
          <tpl fld="4" item="0"/>
        </tpls>
      </n>
      <n v="0.8" in="2">
        <tpls c="4">
          <tpl fld="7" item="690"/>
          <tpl fld="6" item="2"/>
          <tpl hier="236" item="1"/>
          <tpl fld="4" item="4"/>
        </tpls>
      </n>
      <n v="7" in="1">
        <tpls c="4">
          <tpl fld="7" item="696"/>
          <tpl fld="6" item="1"/>
          <tpl hier="236" item="1"/>
          <tpl fld="1" item="0"/>
        </tpls>
      </n>
      <m>
        <tpls c="4">
          <tpl fld="7" item="660"/>
          <tpl fld="6" item="2"/>
          <tpl hier="236" item="1"/>
          <tpl fld="4" item="4"/>
        </tpls>
      </m>
      <m>
        <tpls c="3">
          <tpl fld="7" item="1248"/>
          <tpl fld="6" item="3"/>
          <tpl hier="236" item="1"/>
        </tpls>
      </m>
      <m>
        <tpls c="4">
          <tpl fld="7" item="192"/>
          <tpl fld="6" item="2"/>
          <tpl hier="236" item="1"/>
          <tpl fld="4" item="1"/>
        </tpls>
      </m>
      <n v="3" in="1">
        <tpls c="4">
          <tpl fld="7" item="642"/>
          <tpl fld="6" item="1"/>
          <tpl hier="236" item="1"/>
          <tpl fld="4" item="5"/>
        </tpls>
      </n>
      <m>
        <tpls c="4">
          <tpl fld="7" item="649"/>
          <tpl fld="6" item="2"/>
          <tpl hier="236" item="1"/>
          <tpl fld="4" item="1"/>
        </tpls>
      </m>
      <m>
        <tpls c="4">
          <tpl fld="7" item="818"/>
          <tpl fld="6" item="2"/>
          <tpl hier="236" item="1"/>
          <tpl fld="4" item="6"/>
        </tpls>
      </m>
      <n v="0.64" in="2">
        <tpls c="4">
          <tpl fld="7" item="998"/>
          <tpl fld="6" item="2"/>
          <tpl hier="236" item="1"/>
          <tpl fld="4" item="6"/>
        </tpls>
      </n>
      <n v="1" in="1">
        <tpls c="4">
          <tpl fld="7" item="1110"/>
          <tpl fld="6" item="1"/>
          <tpl hier="236" item="1"/>
          <tpl fld="4" item="4"/>
        </tpls>
      </n>
      <m>
        <tpls c="4">
          <tpl fld="7" item="858"/>
          <tpl fld="6" item="2"/>
          <tpl hier="236" item="1"/>
          <tpl fld="4" item="1"/>
        </tpls>
      </m>
      <m>
        <tpls c="4">
          <tpl fld="7" item="1142"/>
          <tpl fld="6" item="2"/>
          <tpl hier="236" item="1"/>
          <tpl fld="4" item="1"/>
        </tpls>
      </m>
      <m>
        <tpls c="4">
          <tpl fld="7" item="1184"/>
          <tpl fld="6" item="2"/>
          <tpl hier="236" item="1"/>
          <tpl fld="4" item="1"/>
        </tpls>
      </m>
      <n v="21.7372972972973" in="2">
        <tpls c="4">
          <tpl fld="7" item="494"/>
          <tpl fld="6" item="2"/>
          <tpl hier="236" item="1"/>
          <tpl fld="1" item="0"/>
        </tpls>
      </n>
      <m>
        <tpls c="4">
          <tpl fld="7" item="9"/>
          <tpl fld="6" item="2"/>
          <tpl hier="236" item="1"/>
          <tpl fld="1" item="0"/>
        </tpls>
      </m>
      <m>
        <tpls c="4">
          <tpl fld="7" item="509"/>
          <tpl fld="6" item="2"/>
          <tpl hier="236" item="1"/>
          <tpl fld="4" item="5"/>
        </tpls>
      </m>
      <m>
        <tpls c="4">
          <tpl fld="7" item="655"/>
          <tpl fld="6" item="2"/>
          <tpl hier="236" item="1"/>
          <tpl fld="1" item="0"/>
        </tpls>
      </m>
      <n v="0" in="1">
        <tpls c="4">
          <tpl fld="7" item="1199"/>
          <tpl fld="6" item="1"/>
          <tpl hier="236" item="1"/>
          <tpl fld="4" item="4"/>
        </tpls>
      </n>
      <m>
        <tpls c="4">
          <tpl fld="7" item="118"/>
          <tpl fld="6" item="2"/>
          <tpl hier="236" item="1"/>
          <tpl fld="1" item="0"/>
        </tpls>
      </m>
      <m>
        <tpls c="4">
          <tpl fld="7" item="306"/>
          <tpl fld="6" item="2"/>
          <tpl hier="236" item="1"/>
          <tpl fld="4" item="5"/>
        </tpls>
      </m>
      <m>
        <tpls c="4">
          <tpl fld="7" item="1132"/>
          <tpl fld="6" item="2"/>
          <tpl hier="236" item="1"/>
          <tpl fld="4" item="6"/>
        </tpls>
      </m>
      <m>
        <tpls c="4">
          <tpl fld="7" item="207"/>
          <tpl fld="6" item="2"/>
          <tpl hier="236" item="1"/>
          <tpl fld="4" item="6"/>
        </tpls>
      </m>
      <m>
        <tpls c="4">
          <tpl fld="7" item="1124"/>
          <tpl fld="6" item="1"/>
          <tpl hier="236" item="1"/>
          <tpl fld="4" item="5"/>
        </tpls>
      </m>
      <m>
        <tpls c="4">
          <tpl fld="7" item="193"/>
          <tpl fld="6" item="1"/>
          <tpl hier="236" item="1"/>
          <tpl fld="4" item="5"/>
        </tpls>
      </m>
      <n v="1" in="1">
        <tpls c="4">
          <tpl fld="7" item="1074"/>
          <tpl fld="6" item="1"/>
          <tpl hier="236" item="1"/>
          <tpl fld="4" item="1"/>
        </tpls>
      </n>
      <n v="2" in="1">
        <tpls c="4">
          <tpl fld="7" item="1018"/>
          <tpl fld="6" item="1"/>
          <tpl hier="236" item="1"/>
          <tpl fld="4" item="1"/>
        </tpls>
      </n>
      <n v="1" in="1">
        <tpls c="4">
          <tpl fld="7" item="495"/>
          <tpl fld="6" item="1"/>
          <tpl hier="236" item="1"/>
          <tpl fld="4" item="1"/>
        </tpls>
      </n>
      <m>
        <tpls c="4">
          <tpl fld="7" item="238"/>
          <tpl fld="6" item="1"/>
          <tpl hier="236" item="1"/>
          <tpl fld="4" item="1"/>
        </tpls>
      </m>
      <n v="2" in="1">
        <tpls c="4">
          <tpl fld="7" item="849"/>
          <tpl fld="6" item="1"/>
          <tpl hier="236" item="1"/>
          <tpl fld="1" item="0"/>
        </tpls>
      </n>
      <m>
        <tpls c="4">
          <tpl fld="7" item="1095"/>
          <tpl fld="6" item="2"/>
          <tpl hier="236" item="1"/>
          <tpl fld="4" item="1"/>
        </tpls>
      </m>
      <m>
        <tpls c="4">
          <tpl fld="7" item="826"/>
          <tpl fld="6" item="2"/>
          <tpl hier="236" item="1"/>
          <tpl fld="4" item="1"/>
        </tpls>
      </m>
      <m>
        <tpls c="4">
          <tpl fld="7" item="1038"/>
          <tpl fld="6" item="1"/>
          <tpl hier="236" item="1"/>
          <tpl fld="4" item="4"/>
        </tpls>
      </m>
      <m>
        <tpls c="4">
          <tpl fld="7" item="479"/>
          <tpl fld="6" item="2"/>
          <tpl hier="236" item="1"/>
          <tpl fld="1" item="0"/>
        </tpls>
      </m>
      <n v="4" in="1">
        <tpls c="4">
          <tpl fld="7" item="362"/>
          <tpl fld="6" item="1"/>
          <tpl hier="236" item="1"/>
          <tpl fld="4" item="4"/>
        </tpls>
      </n>
      <m>
        <tpls c="4">
          <tpl fld="7" item="694"/>
          <tpl fld="6" item="1"/>
          <tpl hier="236" item="1"/>
          <tpl fld="4" item="5"/>
        </tpls>
      </m>
      <m>
        <tpls c="4">
          <tpl fld="7" item="778"/>
          <tpl fld="6" item="1"/>
          <tpl hier="236" item="1"/>
          <tpl fld="1" item="0"/>
        </tpls>
      </m>
      <m>
        <tpls c="4">
          <tpl fld="7" item="576"/>
          <tpl fld="6" item="1"/>
          <tpl hier="236" item="1"/>
          <tpl fld="4" item="1"/>
        </tpls>
      </m>
      <n v="6" in="1">
        <tpls c="4">
          <tpl fld="7" item="802"/>
          <tpl fld="6" item="1"/>
          <tpl hier="236" item="1"/>
          <tpl fld="4" item="4"/>
        </tpls>
      </n>
      <n v="3" in="1">
        <tpls c="4">
          <tpl fld="7" item="663"/>
          <tpl fld="6" item="1"/>
          <tpl hier="236" item="1"/>
          <tpl fld="4" item="6"/>
        </tpls>
      </n>
      <n v="1" in="2">
        <tpls c="4">
          <tpl fld="7" item="873"/>
          <tpl fld="6" item="2"/>
          <tpl hier="236" item="1"/>
          <tpl fld="4" item="1"/>
        </tpls>
      </n>
      <m>
        <tpls c="4">
          <tpl fld="7" item="36"/>
          <tpl fld="6" item="2"/>
          <tpl hier="236" item="1"/>
          <tpl fld="1" item="0"/>
        </tpls>
      </m>
      <m>
        <tpls c="4">
          <tpl fld="7" item="788"/>
          <tpl fld="6" item="2"/>
          <tpl hier="236" item="1"/>
          <tpl fld="4" item="5"/>
        </tpls>
      </m>
      <m>
        <tpls c="4">
          <tpl fld="7" item="1214"/>
          <tpl fld="6" item="1"/>
          <tpl hier="236" item="1"/>
          <tpl fld="4" item="1"/>
        </tpls>
      </m>
      <m>
        <tpls c="4">
          <tpl fld="7" item="1097"/>
          <tpl fld="6" item="2"/>
          <tpl hier="236" item="1"/>
          <tpl fld="4" item="6"/>
        </tpls>
      </m>
      <m>
        <tpls c="4">
          <tpl fld="7" item="996"/>
          <tpl fld="6" item="2"/>
          <tpl hier="236" item="1"/>
          <tpl fld="4" item="6"/>
        </tpls>
      </m>
      <m>
        <tpls c="4">
          <tpl fld="7" item="824"/>
          <tpl fld="6" item="2"/>
          <tpl hier="236" item="1"/>
          <tpl fld="1" item="0"/>
        </tpls>
      </m>
      <m>
        <tpls c="4">
          <tpl fld="7" item="833"/>
          <tpl fld="6" item="1"/>
          <tpl hier="236" item="1"/>
          <tpl fld="4" item="4"/>
        </tpls>
      </m>
      <m>
        <tpls c="4">
          <tpl fld="7" item="907"/>
          <tpl fld="6" item="2"/>
          <tpl hier="236" item="1"/>
          <tpl fld="4" item="1"/>
        </tpls>
      </m>
      <m>
        <tpls c="3">
          <tpl fld="7" item="1123"/>
          <tpl fld="6" item="3"/>
          <tpl hier="236" item="1"/>
        </tpls>
      </m>
      <n v="6" in="1">
        <tpls c="4">
          <tpl fld="7" item="926"/>
          <tpl fld="6" item="1"/>
          <tpl hier="236" item="1"/>
          <tpl fld="4" item="6"/>
        </tpls>
      </n>
      <n v="7" in="1">
        <tpls c="4">
          <tpl fld="7" item="957"/>
          <tpl fld="6" item="1"/>
          <tpl hier="236" item="1"/>
          <tpl fld="4" item="4"/>
        </tpls>
      </n>
      <m>
        <tpls c="4">
          <tpl fld="7" item="852"/>
          <tpl fld="6" item="2"/>
          <tpl hier="236" item="1"/>
          <tpl fld="1" item="0"/>
        </tpls>
      </m>
      <n v="2" in="2">
        <tpls c="4">
          <tpl fld="7" item="214"/>
          <tpl fld="6" item="2"/>
          <tpl hier="236" item="1"/>
          <tpl fld="1" item="0"/>
        </tpls>
      </n>
      <m>
        <tpls c="4">
          <tpl fld="7" item="544"/>
          <tpl fld="6" item="2"/>
          <tpl hier="236" item="1"/>
          <tpl fld="1" item="0"/>
        </tpls>
      </m>
      <m>
        <tpls c="4">
          <tpl fld="7" item="710"/>
          <tpl fld="6" item="2"/>
          <tpl hier="236" item="1"/>
          <tpl fld="1" item="0"/>
        </tpls>
      </m>
      <n v="21" in="1">
        <tpls c="4">
          <tpl fld="7" item="1095"/>
          <tpl fld="6" item="1"/>
          <tpl hier="236" item="1"/>
          <tpl fld="4" item="4"/>
        </tpls>
      </n>
      <m>
        <tpls c="4">
          <tpl fld="7" item="1240"/>
          <tpl fld="6" item="1"/>
          <tpl hier="236" item="1"/>
          <tpl fld="4" item="1"/>
        </tpls>
      </m>
      <n v="8" in="1">
        <tpls c="4">
          <tpl fld="7" item="995"/>
          <tpl fld="6" item="1"/>
          <tpl hier="236" item="1"/>
          <tpl fld="4" item="4"/>
        </tpls>
      </n>
      <m>
        <tpls c="4">
          <tpl fld="7" item="820"/>
          <tpl fld="6" item="1"/>
          <tpl hier="236" item="1"/>
          <tpl fld="4" item="6"/>
        </tpls>
      </m>
      <m>
        <tpls c="4">
          <tpl fld="7" item="826"/>
          <tpl fld="6" item="1"/>
          <tpl hier="236" item="1"/>
          <tpl fld="4" item="4"/>
        </tpls>
      </m>
      <m>
        <tpls c="4">
          <tpl fld="7" item="900"/>
          <tpl fld="6" item="1"/>
          <tpl hier="236" item="1"/>
          <tpl fld="4" item="6"/>
        </tpls>
      </m>
      <m>
        <tpls c="4">
          <tpl fld="7" item="1116"/>
          <tpl fld="6" item="2"/>
          <tpl hier="236" item="1"/>
          <tpl fld="4" item="4"/>
        </tpls>
      </m>
      <n v="1" in="1">
        <tpls c="4">
          <tpl fld="7" item="1023"/>
          <tpl fld="6" item="1"/>
          <tpl hier="236" item="1"/>
          <tpl fld="4" item="4"/>
        </tpls>
      </n>
      <m>
        <tpls c="4">
          <tpl fld="7" item="934"/>
          <tpl fld="6" item="2"/>
          <tpl hier="236" item="1"/>
          <tpl fld="4" item="1"/>
        </tpls>
      </m>
      <m>
        <tpls c="4">
          <tpl fld="7" item="966"/>
          <tpl fld="6" item="2"/>
          <tpl hier="236" item="1"/>
          <tpl fld="4" item="1"/>
        </tpls>
      </m>
      <m>
        <tpls c="4">
          <tpl fld="7" item="898"/>
          <tpl fld="6" item="2"/>
          <tpl hier="236" item="1"/>
          <tpl fld="1" item="0"/>
        </tpls>
      </m>
      <m>
        <tpls c="4">
          <tpl fld="7" item="190"/>
          <tpl fld="6" item="2"/>
          <tpl hier="236" item="1"/>
          <tpl fld="1" item="0"/>
        </tpls>
      </m>
      <m>
        <tpls c="4">
          <tpl fld="7" item="589"/>
          <tpl fld="6" item="2"/>
          <tpl hier="236" item="1"/>
          <tpl fld="1" item="0"/>
        </tpls>
      </m>
      <m>
        <tpls c="4">
          <tpl fld="7" item="102"/>
          <tpl fld="6" item="2"/>
          <tpl hier="236" item="1"/>
          <tpl fld="4" item="5"/>
        </tpls>
      </m>
      <m>
        <tpls c="4">
          <tpl fld="7" item="640"/>
          <tpl fld="6" item="2"/>
          <tpl hier="236" item="1"/>
          <tpl fld="1" item="0"/>
        </tpls>
      </m>
      <m>
        <tpls c="4">
          <tpl fld="7" item="1241"/>
          <tpl fld="6" item="1"/>
          <tpl hier="236" item="1"/>
          <tpl fld="4" item="5"/>
        </tpls>
      </m>
      <n v="18" in="1">
        <tpls c="4">
          <tpl fld="7" item="872"/>
          <tpl fld="6" item="1"/>
          <tpl hier="236" item="1"/>
          <tpl fld="4" item="4"/>
        </tpls>
      </n>
      <m>
        <tpls c="4">
          <tpl fld="7" item="169"/>
          <tpl fld="6" item="2"/>
          <tpl hier="236" item="1"/>
          <tpl fld="1" item="0"/>
        </tpls>
      </m>
      <m>
        <tpls c="4">
          <tpl fld="7" item="383"/>
          <tpl fld="6" item="2"/>
          <tpl hier="236" item="1"/>
          <tpl fld="4" item="5"/>
        </tpls>
      </m>
      <m>
        <tpls c="4">
          <tpl fld="7" item="281"/>
          <tpl fld="6" item="2"/>
          <tpl hier="236" item="1"/>
          <tpl fld="4" item="5"/>
        </tpls>
      </m>
      <m>
        <tpls c="4">
          <tpl fld="7" item="219"/>
          <tpl fld="6" item="2"/>
          <tpl hier="236" item="1"/>
          <tpl fld="4" item="5"/>
        </tpls>
      </m>
      <m>
        <tpls c="4">
          <tpl fld="7" item="437"/>
          <tpl fld="6" item="2"/>
          <tpl hier="236" item="1"/>
          <tpl fld="4" item="6"/>
        </tpls>
      </m>
      <m>
        <tpls c="4">
          <tpl fld="7" item="275"/>
          <tpl fld="6" item="2"/>
          <tpl hier="236" item="1"/>
          <tpl fld="4" item="6"/>
        </tpls>
      </m>
      <m>
        <tpls c="4">
          <tpl fld="7" item="1243"/>
          <tpl fld="6" item="1"/>
          <tpl hier="236" item="1"/>
          <tpl fld="4" item="5"/>
        </tpls>
      </m>
      <m>
        <tpls c="4">
          <tpl fld="7" item="196"/>
          <tpl fld="6" item="1"/>
          <tpl hier="236" item="1"/>
          <tpl fld="4" item="5"/>
        </tpls>
      </m>
      <m>
        <tpls c="4">
          <tpl fld="7" item="974"/>
          <tpl fld="6" item="1"/>
          <tpl hier="236" item="1"/>
          <tpl fld="4" item="1"/>
        </tpls>
      </m>
      <n v="1" in="1">
        <tpls c="4">
          <tpl fld="7" item="1123"/>
          <tpl fld="6" item="1"/>
          <tpl hier="236" item="1"/>
          <tpl fld="4" item="1"/>
        </tpls>
      </n>
      <n v="5" in="1">
        <tpls c="4">
          <tpl fld="7" item="498"/>
          <tpl fld="6" item="1"/>
          <tpl hier="236" item="1"/>
          <tpl fld="4" item="1"/>
        </tpls>
      </n>
      <m>
        <tpls c="4">
          <tpl fld="7" item="48"/>
          <tpl fld="6" item="1"/>
          <tpl hier="236" item="1"/>
          <tpl fld="4" item="1"/>
        </tpls>
      </m>
      <n v="26" in="1">
        <tpls c="4">
          <tpl fld="7" item="852"/>
          <tpl fld="6" item="1"/>
          <tpl hier="236" item="1"/>
          <tpl fld="1" item="0"/>
        </tpls>
      </n>
      <n v="2" in="1">
        <tpls c="4">
          <tpl fld="7" item="583"/>
          <tpl fld="6" item="1"/>
          <tpl hier="236" item="1"/>
          <tpl fld="4" item="6"/>
        </tpls>
      </n>
      <n v="6" in="1">
        <tpls c="4">
          <tpl fld="7" item="743"/>
          <tpl fld="6" item="1"/>
          <tpl hier="236" item="1"/>
          <tpl fld="4" item="6"/>
        </tpls>
      </n>
      <n v="20" in="1">
        <tpls c="4">
          <tpl fld="7" item="1135"/>
          <tpl fld="6" item="1"/>
          <tpl hier="236" item="1"/>
          <tpl fld="4" item="4"/>
        </tpls>
      </n>
      <m>
        <tpls c="4">
          <tpl fld="7" item="275"/>
          <tpl fld="6" item="2"/>
          <tpl hier="236" item="1"/>
          <tpl fld="1" item="0"/>
        </tpls>
      </m>
      <m>
        <tpls c="4">
          <tpl fld="7" item="459"/>
          <tpl fld="6" item="2"/>
          <tpl hier="236" item="1"/>
          <tpl fld="4" item="5"/>
        </tpls>
      </m>
      <m>
        <tpls c="4">
          <tpl fld="7" item="624"/>
          <tpl fld="6" item="2"/>
          <tpl hier="236" item="1"/>
          <tpl fld="4" item="5"/>
        </tpls>
      </m>
      <m>
        <tpls c="4">
          <tpl fld="7" item="699"/>
          <tpl fld="6" item="1"/>
          <tpl hier="236" item="1"/>
          <tpl fld="4" item="5"/>
        </tpls>
      </m>
      <m>
        <tpls c="4">
          <tpl fld="7" item="1094"/>
          <tpl fld="6" item="2"/>
          <tpl hier="236" item="1"/>
          <tpl fld="4" item="5"/>
        </tpls>
      </m>
      <n v="12" in="1">
        <tpls c="4">
          <tpl fld="7" item="805"/>
          <tpl fld="6" item="1"/>
          <tpl hier="236" item="1"/>
          <tpl fld="4" item="6"/>
        </tpls>
      </n>
      <m>
        <tpls c="4">
          <tpl fld="7" item="667"/>
          <tpl fld="6" item="2"/>
          <tpl hier="236" item="1"/>
          <tpl fld="4" item="5"/>
        </tpls>
      </m>
      <m>
        <tpls c="4">
          <tpl fld="7" item="1228"/>
          <tpl fld="6" item="2"/>
          <tpl hier="236" item="1"/>
          <tpl fld="4" item="1"/>
        </tpls>
      </m>
      <m>
        <tpls c="4">
          <tpl fld="7" item="1235"/>
          <tpl fld="6" item="2"/>
          <tpl hier="236" item="1"/>
          <tpl fld="4" item="5"/>
        </tpls>
      </m>
      <m>
        <tpls c="4">
          <tpl fld="7" item="631"/>
          <tpl fld="6" item="1"/>
          <tpl hier="236" item="1"/>
          <tpl fld="1" item="0"/>
        </tpls>
      </m>
      <m>
        <tpls c="4">
          <tpl fld="7" item="587"/>
          <tpl fld="6" item="2"/>
          <tpl hier="236" item="1"/>
          <tpl fld="4" item="1"/>
        </tpls>
      </m>
      <n v="5" in="1">
        <tpls c="4">
          <tpl fld="7" item="651"/>
          <tpl fld="6" item="1"/>
          <tpl hier="236" item="1"/>
          <tpl fld="4" item="4"/>
        </tpls>
      </n>
      <m>
        <tpls c="4">
          <tpl fld="7" item="819"/>
          <tpl fld="6" item="2"/>
          <tpl hier="236" item="1"/>
          <tpl fld="1" item="0"/>
        </tpls>
      </m>
      <m>
        <tpls c="3">
          <tpl fld="7" item="825"/>
          <tpl fld="6" item="3"/>
          <tpl hier="236" item="1"/>
        </tpls>
      </m>
      <m>
        <tpls c="4">
          <tpl fld="7" item="1271"/>
          <tpl fld="6" item="2"/>
          <tpl hier="236" item="1"/>
          <tpl fld="4" item="1"/>
        </tpls>
      </m>
      <m>
        <tpls c="3">
          <tpl fld="7" item="1012"/>
          <tpl fld="6" item="3"/>
          <tpl hier="236" item="1"/>
        </tpls>
      </m>
      <n v="1" in="1">
        <tpls c="4">
          <tpl fld="7" item="1247"/>
          <tpl fld="6" item="1"/>
          <tpl hier="236" item="1"/>
          <tpl fld="4" item="6"/>
        </tpls>
      </n>
      <n v="1" in="1">
        <tpls c="4">
          <tpl fld="7" item="1136"/>
          <tpl fld="6" item="1"/>
          <tpl hier="236" item="1"/>
          <tpl fld="4" item="4"/>
        </tpls>
      </n>
      <n v="1" in="1">
        <tpls c="4">
          <tpl fld="7" item="1168"/>
          <tpl fld="6" item="1"/>
          <tpl hier="236" item="1"/>
          <tpl fld="4" item="4"/>
        </tpls>
      </n>
      <m>
        <tpls c="4">
          <tpl fld="7" item="843"/>
          <tpl fld="6" item="2"/>
          <tpl hier="236" item="1"/>
          <tpl fld="1" item="0"/>
        </tpls>
      </m>
      <m>
        <tpls c="4">
          <tpl fld="7" item="201"/>
          <tpl fld="6" item="2"/>
          <tpl hier="236" item="1"/>
          <tpl fld="1" item="0"/>
        </tpls>
      </m>
      <n v="3" in="1">
        <tpls c="4">
          <tpl fld="7" item="548"/>
          <tpl fld="6" item="1"/>
          <tpl hier="236" item="1"/>
          <tpl fld="4" item="1"/>
        </tpls>
      </n>
      <m>
        <tpls c="4">
          <tpl fld="7" item="573"/>
          <tpl fld="6" item="2"/>
          <tpl hier="236" item="1"/>
          <tpl fld="4" item="1"/>
        </tpls>
      </m>
      <m>
        <tpls c="4">
          <tpl fld="7" item="804"/>
          <tpl fld="6" item="2"/>
          <tpl hier="236" item="1"/>
          <tpl fld="4" item="4"/>
        </tpls>
      </m>
      <n v="9" in="1">
        <tpls c="4">
          <tpl fld="7" item="890"/>
          <tpl fld="6" item="1"/>
          <tpl hier="236" item="1"/>
          <tpl fld="4" item="4"/>
        </tpls>
      </n>
      <m>
        <tpls c="4">
          <tpl fld="7" item="815"/>
          <tpl fld="6" item="1"/>
          <tpl hier="236" item="1"/>
          <tpl fld="4" item="6"/>
        </tpls>
      </m>
      <m>
        <tpls c="4">
          <tpl fld="7" item="739"/>
          <tpl fld="6" item="1"/>
          <tpl hier="236" item="1"/>
          <tpl fld="1" item="0"/>
        </tpls>
      </m>
      <m>
        <tpls c="4">
          <tpl fld="7" item="827"/>
          <tpl fld="6" item="2"/>
          <tpl hier="236" item="1"/>
          <tpl fld="4" item="6"/>
        </tpls>
      </m>
      <m>
        <tpls c="4">
          <tpl fld="7" item="1005"/>
          <tpl fld="6" item="2"/>
          <tpl hier="236" item="1"/>
          <tpl fld="4" item="4"/>
        </tpls>
      </m>
      <n v="24" in="1">
        <tpls c="4">
          <tpl fld="7" item="911"/>
          <tpl fld="6" item="1"/>
          <tpl hier="236" item="1"/>
          <tpl fld="4" item="4"/>
        </tpls>
      </n>
      <m>
        <tpls c="4">
          <tpl fld="7" item="864"/>
          <tpl fld="6" item="2"/>
          <tpl hier="236" item="1"/>
          <tpl fld="4" item="1"/>
        </tpls>
      </m>
      <m>
        <tpls c="4">
          <tpl fld="7" item="1145"/>
          <tpl fld="6" item="2"/>
          <tpl hier="236" item="1"/>
          <tpl fld="4" item="1"/>
        </tpls>
      </m>
      <m>
        <tpls c="4">
          <tpl fld="7" item="1177"/>
          <tpl fld="6" item="2"/>
          <tpl hier="236" item="1"/>
          <tpl fld="4" item="1"/>
        </tpls>
      </m>
      <m>
        <tpls c="4">
          <tpl fld="7" item="302"/>
          <tpl fld="6" item="2"/>
          <tpl hier="236" item="1"/>
          <tpl fld="1" item="0"/>
        </tpls>
      </m>
      <m>
        <tpls c="4">
          <tpl fld="7" item="181"/>
          <tpl fld="6" item="2"/>
          <tpl hier="236" item="1"/>
          <tpl fld="1" item="0"/>
        </tpls>
      </m>
      <m>
        <tpls c="4">
          <tpl fld="7" item="125"/>
          <tpl fld="6" item="2"/>
          <tpl hier="236" item="1"/>
          <tpl fld="1" item="0"/>
        </tpls>
      </m>
      <m>
        <tpls c="4">
          <tpl fld="7" item="523"/>
          <tpl fld="6" item="2"/>
          <tpl hier="236" item="1"/>
          <tpl fld="4" item="5"/>
        </tpls>
      </m>
      <m>
        <tpls c="4">
          <tpl fld="7" item="723"/>
          <tpl fld="6" item="1"/>
          <tpl hier="236" item="1"/>
          <tpl fld="4" item="5"/>
        </tpls>
      </m>
      <n v="13" in="1">
        <tpls c="4">
          <tpl fld="7" item="1264"/>
          <tpl fld="6" item="1"/>
          <tpl hier="236" item="1"/>
          <tpl fld="4" item="1"/>
        </tpls>
      </n>
      <n v="1" in="1">
        <tpls c="4">
          <tpl fld="7" item="1202"/>
          <tpl fld="6" item="1"/>
          <tpl hier="236" item="1"/>
          <tpl fld="4" item="4"/>
        </tpls>
      </n>
      <m>
        <tpls c="4">
          <tpl fld="7" item="255"/>
          <tpl fld="6" item="2"/>
          <tpl hier="236" item="1"/>
          <tpl fld="1" item="0"/>
        </tpls>
      </m>
      <m>
        <tpls c="4">
          <tpl fld="7" item="371"/>
          <tpl fld="6" item="2"/>
          <tpl hier="236" item="1"/>
          <tpl fld="4" item="5"/>
        </tpls>
      </m>
      <m>
        <tpls c="4">
          <tpl fld="7" item="151"/>
          <tpl fld="6" item="2"/>
          <tpl hier="236" item="1"/>
          <tpl fld="4" item="5"/>
        </tpls>
      </m>
      <m>
        <tpls c="4">
          <tpl fld="7" item="921"/>
          <tpl fld="6" item="2"/>
          <tpl hier="236" item="1"/>
          <tpl fld="4" item="6"/>
        </tpls>
      </m>
      <m>
        <tpls c="4">
          <tpl fld="7" item="428"/>
          <tpl fld="6" item="2"/>
          <tpl hier="236" item="1"/>
          <tpl fld="4" item="6"/>
        </tpls>
      </m>
      <m>
        <tpls c="4">
          <tpl fld="7" item="670"/>
          <tpl fld="6" item="2"/>
          <tpl hier="236" item="1"/>
          <tpl fld="4" item="6"/>
        </tpls>
      </m>
      <m>
        <tpls c="4">
          <tpl fld="7" item="748"/>
          <tpl fld="6" item="1"/>
          <tpl hier="236" item="1"/>
          <tpl fld="4" item="5"/>
        </tpls>
      </m>
      <m>
        <tpls c="4">
          <tpl fld="7" item="79"/>
          <tpl fld="6" item="1"/>
          <tpl hier="236" item="1"/>
          <tpl fld="4" item="5"/>
        </tpls>
      </m>
      <n v="0" in="1">
        <tpls c="4">
          <tpl fld="7" item="1068"/>
          <tpl fld="6" item="1"/>
          <tpl hier="236" item="1"/>
          <tpl fld="4" item="1"/>
        </tpls>
      </n>
      <n v="7" in="1">
        <tpls c="4">
          <tpl fld="7" item="1245"/>
          <tpl fld="6" item="1"/>
          <tpl hier="236" item="1"/>
          <tpl fld="4" item="1"/>
        </tpls>
      </n>
      <m>
        <tpls c="4">
          <tpl fld="7" item="674"/>
          <tpl fld="6" item="1"/>
          <tpl hier="236" item="1"/>
          <tpl fld="4" item="1"/>
        </tpls>
      </m>
      <m>
        <tpls c="4">
          <tpl fld="7" item="38"/>
          <tpl fld="6" item="1"/>
          <tpl hier="236" item="1"/>
          <tpl fld="4" item="1"/>
        </tpls>
      </m>
      <n v="0" in="1">
        <tpls c="4">
          <tpl fld="7" item="843"/>
          <tpl fld="6" item="1"/>
          <tpl hier="236" item="1"/>
          <tpl fld="1" item="0"/>
        </tpls>
      </n>
      <n v="8" in="1">
        <tpls c="4">
          <tpl fld="7" item="587"/>
          <tpl fld="6" item="1"/>
          <tpl hier="236" item="1"/>
          <tpl fld="4" item="6"/>
        </tpls>
      </n>
      <m>
        <tpls c="4">
          <tpl fld="7" item="829"/>
          <tpl fld="6" item="2"/>
          <tpl hier="236" item="1"/>
          <tpl fld="4" item="1"/>
        </tpls>
      </m>
      <m>
        <tpls c="4">
          <tpl fld="7" item="1050"/>
          <tpl fld="6" item="1"/>
          <tpl hier="236" item="1"/>
          <tpl fld="4" item="4"/>
        </tpls>
      </m>
      <m>
        <tpls c="4">
          <tpl fld="7" item="144"/>
          <tpl fld="6" item="2"/>
          <tpl hier="236" item="1"/>
          <tpl fld="1" item="0"/>
        </tpls>
      </m>
      <m>
        <tpls c="4">
          <tpl fld="7" item="440"/>
          <tpl fld="6" item="2"/>
          <tpl hier="236" item="1"/>
          <tpl fld="4" item="5"/>
        </tpls>
      </m>
      <m>
        <tpls c="4">
          <tpl fld="7" item="170"/>
          <tpl fld="6" item="2"/>
          <tpl hier="236" item="1"/>
          <tpl fld="4" item="5"/>
        </tpls>
      </m>
      <m>
        <tpls c="4">
          <tpl fld="7" item="920"/>
          <tpl fld="6" item="2"/>
          <tpl hier="236" item="1"/>
          <tpl fld="4" item="6"/>
        </tpls>
      </m>
      <n v="2.2378378378378376" in="2">
        <tpls c="4">
          <tpl fld="7" item="356"/>
          <tpl fld="6" item="2"/>
          <tpl hier="236" item="1"/>
          <tpl fld="4" item="6"/>
        </tpls>
      </n>
      <m>
        <tpls c="4">
          <tpl fld="7" item="403"/>
          <tpl fld="6" item="2"/>
          <tpl hier="236" item="1"/>
          <tpl fld="4" item="6"/>
        </tpls>
      </m>
      <m>
        <tpls c="4">
          <tpl fld="7" item="527"/>
          <tpl fld="6" item="1"/>
          <tpl hier="236" item="1"/>
          <tpl fld="4" item="5"/>
        </tpls>
      </m>
      <m>
        <tpls c="4">
          <tpl fld="7" item="294"/>
          <tpl fld="6" item="1"/>
          <tpl hier="236" item="1"/>
          <tpl fld="4" item="5"/>
        </tpls>
      </m>
      <n v="1" in="1">
        <tpls c="4">
          <tpl fld="7" item="963"/>
          <tpl fld="6" item="1"/>
          <tpl hier="236" item="1"/>
          <tpl fld="4" item="1"/>
        </tpls>
      </n>
      <m>
        <tpls c="4">
          <tpl fld="7" item="1276"/>
          <tpl fld="6" item="2"/>
          <tpl hier="236" item="1"/>
          <tpl fld="4" item="5"/>
        </tpls>
      </m>
      <m>
        <tpls c="4">
          <tpl fld="7" item="224"/>
          <tpl fld="6" item="2"/>
          <tpl hier="236" item="1"/>
          <tpl fld="1" item="0"/>
        </tpls>
      </m>
      <m>
        <tpls c="4">
          <tpl fld="7" item="818"/>
          <tpl fld="6" item="2"/>
          <tpl hier="236" item="1"/>
          <tpl fld="1" item="0"/>
        </tpls>
      </m>
      <m>
        <tpls c="4">
          <tpl fld="7" item="858"/>
          <tpl fld="6" item="2"/>
          <tpl hier="236" item="1"/>
          <tpl fld="4" item="4"/>
        </tpls>
      </m>
      <m>
        <tpls c="4">
          <tpl fld="7" item="352"/>
          <tpl fld="6" item="2"/>
          <tpl hier="236" item="1"/>
          <tpl fld="1" item="0"/>
        </tpls>
      </m>
      <m>
        <tpls c="4">
          <tpl fld="7" item="1240"/>
          <tpl fld="6" item="1"/>
          <tpl hier="236" item="1"/>
          <tpl fld="4" item="4"/>
        </tpls>
      </m>
      <n v="6" in="1">
        <tpls c="4">
          <tpl fld="7" item="1191"/>
          <tpl fld="6" item="1"/>
          <tpl hier="236" item="1"/>
          <tpl fld="4" item="4"/>
        </tpls>
      </n>
      <m>
        <tpls c="4">
          <tpl fld="7" item="965"/>
          <tpl fld="6" item="2"/>
          <tpl hier="236" item="1"/>
          <tpl fld="4" item="1"/>
        </tpls>
      </m>
      <m>
        <tpls c="4">
          <tpl fld="7" item="749"/>
          <tpl fld="6" item="2"/>
          <tpl hier="236" item="1"/>
          <tpl fld="4" item="5"/>
        </tpls>
      </m>
      <m>
        <tpls c="4">
          <tpl fld="7" item="50"/>
          <tpl fld="6" item="2"/>
          <tpl hier="236" item="1"/>
          <tpl fld="1" item="0"/>
        </tpls>
      </m>
      <m>
        <tpls c="4">
          <tpl fld="7" item="439"/>
          <tpl fld="6" item="2"/>
          <tpl hier="236" item="1"/>
          <tpl fld="4" item="6"/>
        </tpls>
      </m>
      <m>
        <tpls c="4">
          <tpl fld="7" item="118"/>
          <tpl fld="6" item="1"/>
          <tpl hier="236" item="1"/>
          <tpl fld="4" item="5"/>
        </tpls>
      </m>
      <m>
        <tpls c="4">
          <tpl fld="7" item="854"/>
          <tpl fld="6" item="1"/>
          <tpl hier="236" item="1"/>
          <tpl fld="1" item="0"/>
        </tpls>
      </m>
      <m>
        <tpls c="4">
          <tpl fld="7" item="279"/>
          <tpl fld="6" item="2"/>
          <tpl hier="236" item="1"/>
          <tpl fld="1" item="0"/>
        </tpls>
      </m>
      <m>
        <tpls c="4">
          <tpl fld="7" item="199"/>
          <tpl fld="6" item="2"/>
          <tpl hier="236" item="1"/>
          <tpl fld="4" item="5"/>
        </tpls>
      </m>
      <m>
        <tpls c="4">
          <tpl fld="7" item="127"/>
          <tpl fld="6" item="2"/>
          <tpl hier="236" item="1"/>
          <tpl fld="4" item="5"/>
        </tpls>
      </m>
      <n v="3.807027027027027" in="2">
        <tpls c="4">
          <tpl fld="7" item="355"/>
          <tpl fld="6" item="2"/>
          <tpl hier="236" item="1"/>
          <tpl fld="4" item="6"/>
        </tpls>
      </n>
      <m>
        <tpls c="4">
          <tpl fld="7" item="1132"/>
          <tpl fld="6" item="1"/>
          <tpl hier="236" item="1"/>
          <tpl fld="4" item="5"/>
        </tpls>
      </m>
      <m>
        <tpls c="4">
          <tpl fld="7" item="99"/>
          <tpl fld="6" item="1"/>
          <tpl hier="236" item="1"/>
          <tpl fld="4" item="5"/>
        </tpls>
      </m>
      <m>
        <tpls c="4">
          <tpl fld="7" item="962"/>
          <tpl fld="6" item="1"/>
          <tpl hier="236" item="1"/>
          <tpl fld="4" item="1"/>
        </tpls>
      </m>
      <n v="1" in="1">
        <tpls c="4">
          <tpl fld="7" item="1011"/>
          <tpl fld="6" item="1"/>
          <tpl hier="236" item="1"/>
          <tpl fld="4" item="1"/>
        </tpls>
      </n>
      <m>
        <tpls c="4">
          <tpl fld="7" item="417"/>
          <tpl fld="6" item="1"/>
          <tpl hier="236" item="1"/>
          <tpl fld="4" item="1"/>
        </tpls>
      </m>
      <m>
        <tpls c="4">
          <tpl fld="7" item="251"/>
          <tpl fld="6" item="1"/>
          <tpl hier="236" item="1"/>
          <tpl fld="4" item="1"/>
        </tpls>
      </m>
      <n v="0.52" in="2">
        <tpls c="4">
          <tpl fld="7" item="645"/>
          <tpl fld="6" item="2"/>
          <tpl hier="236" item="1"/>
          <tpl fld="1" item="0"/>
        </tpls>
      </n>
      <n v="1" in="1">
        <tpls c="4">
          <tpl fld="7" item="1001"/>
          <tpl fld="6" item="1"/>
          <tpl hier="236" item="1"/>
          <tpl fld="4" item="6"/>
        </tpls>
      </n>
      <m>
        <tpls c="4">
          <tpl fld="7" item="1231"/>
          <tpl fld="6" item="1"/>
          <tpl hier="236" item="1"/>
          <tpl fld="4" item="4"/>
        </tpls>
      </m>
      <m>
        <tpls c="4">
          <tpl fld="7" item="134"/>
          <tpl fld="6" item="2"/>
          <tpl hier="236" item="1"/>
          <tpl fld="1" item="0"/>
        </tpls>
      </m>
      <m>
        <tpls c="4">
          <tpl fld="7" item="759"/>
          <tpl fld="6" item="2"/>
          <tpl hier="236" item="1"/>
          <tpl fld="4" item="5"/>
        </tpls>
      </m>
      <m>
        <tpls c="4">
          <tpl fld="7" item="338"/>
          <tpl fld="6" item="2"/>
          <tpl hier="236" item="1"/>
          <tpl fld="4" item="5"/>
        </tpls>
      </m>
      <m>
        <tpls c="4">
          <tpl fld="7" item="858"/>
          <tpl fld="6" item="2"/>
          <tpl hier="236" item="1"/>
          <tpl fld="4" item="6"/>
        </tpls>
      </m>
      <n v="1.8800000000000001" in="2">
        <tpls c="4">
          <tpl fld="7" item="107"/>
          <tpl fld="6" item="2"/>
          <tpl hier="236" item="1"/>
          <tpl fld="4" item="6"/>
        </tpls>
      </n>
      <m>
        <tpls c="4">
          <tpl fld="7" item="134"/>
          <tpl fld="6" item="2"/>
          <tpl hier="236" item="1"/>
          <tpl fld="4" item="6"/>
        </tpls>
      </m>
      <n v="1" in="1">
        <tpls c="4">
          <tpl fld="7" item="602"/>
          <tpl fld="6" item="1"/>
          <tpl hier="236" item="1"/>
          <tpl fld="4" item="5"/>
        </tpls>
      </n>
      <m>
        <tpls c="3">
          <tpl fld="7" item="143"/>
          <tpl fld="6" item="3"/>
          <tpl hier="236" item="1"/>
        </tpls>
      </m>
      <n v="74" in="1">
        <tpls c="6">
          <tpl fld="11" item="0"/>
          <tpl fld="2" item="2"/>
          <tpl fld="6" item="1"/>
          <tpl hier="236" item="1"/>
          <tpl fld="4" item="3"/>
          <tpl fld="10" item="1"/>
        </tpls>
      </n>
      <m>
        <tpls c="4">
          <tpl fld="7" item="630"/>
          <tpl fld="6" item="2"/>
          <tpl hier="236" item="1"/>
          <tpl fld="4" item="1"/>
        </tpls>
      </m>
      <m>
        <tpls c="4">
          <tpl fld="7" item="311"/>
          <tpl fld="6" item="1"/>
          <tpl hier="236" item="1"/>
          <tpl fld="4" item="4"/>
        </tpls>
      </m>
      <m>
        <tpls c="4">
          <tpl fld="7" item="303"/>
          <tpl fld="6" item="1"/>
          <tpl hier="236" item="1"/>
          <tpl fld="4" item="4"/>
        </tpls>
      </m>
      <m>
        <tpls c="4">
          <tpl fld="7" item="563"/>
          <tpl fld="6" item="1"/>
          <tpl hier="236" item="1"/>
          <tpl fld="4" item="6"/>
        </tpls>
      </m>
      <m>
        <tpls c="4">
          <tpl fld="7" item="908"/>
          <tpl fld="6" item="2"/>
          <tpl hier="236" item="1"/>
          <tpl fld="1" item="0"/>
        </tpls>
      </m>
      <m>
        <tpls c="4">
          <tpl fld="7" item="563"/>
          <tpl fld="6" item="2"/>
          <tpl hier="236" item="1"/>
          <tpl fld="4" item="6"/>
        </tpls>
      </m>
      <m>
        <tpls c="4">
          <tpl fld="7" item="644"/>
          <tpl fld="6" item="2"/>
          <tpl hier="236" item="1"/>
          <tpl fld="1" item="0"/>
        </tpls>
      </m>
      <m>
        <tpls c="4">
          <tpl fld="7" item="1193"/>
          <tpl fld="6" item="2"/>
          <tpl hier="236" item="1"/>
          <tpl fld="4" item="4"/>
        </tpls>
      </m>
      <m>
        <tpls c="4">
          <tpl fld="7" item="287"/>
          <tpl fld="6" item="2"/>
          <tpl hier="236" item="1"/>
          <tpl fld="1" item="0"/>
        </tpls>
      </m>
      <m>
        <tpls c="4">
          <tpl fld="7" item="435"/>
          <tpl fld="6" item="1"/>
          <tpl hier="236" item="1"/>
          <tpl fld="4" item="6"/>
        </tpls>
      </m>
      <m>
        <tpls c="4">
          <tpl fld="7" item="615"/>
          <tpl fld="6" item="2"/>
          <tpl hier="236" item="1"/>
          <tpl fld="4" item="5"/>
        </tpls>
      </m>
      <n v="2" in="1">
        <tpls c="4">
          <tpl fld="7" item="986"/>
          <tpl fld="6" item="1"/>
          <tpl hier="236" item="1"/>
          <tpl fld="4" item="4"/>
        </tpls>
      </n>
      <m>
        <tpls c="4">
          <tpl fld="7" item="797"/>
          <tpl fld="6" item="2"/>
          <tpl hier="236" item="1"/>
          <tpl fld="4" item="5"/>
        </tpls>
      </m>
      <m>
        <tpls c="4">
          <tpl fld="7" item="583"/>
          <tpl fld="6" item="1"/>
          <tpl hier="236" item="1"/>
          <tpl fld="4" item="5"/>
        </tpls>
      </m>
      <m>
        <tpls c="4">
          <tpl fld="7" item="743"/>
          <tpl fld="6" item="2"/>
          <tpl hier="236" item="1"/>
          <tpl fld="4" item="4"/>
        </tpls>
      </m>
      <m>
        <tpls c="4">
          <tpl fld="7" item="1135"/>
          <tpl fld="6" item="2"/>
          <tpl hier="236" item="1"/>
          <tpl fld="4" item="1"/>
        </tpls>
      </m>
      <m>
        <tpls c="4">
          <tpl fld="7" item="33"/>
          <tpl fld="6" item="2"/>
          <tpl hier="236" item="1"/>
          <tpl fld="1" item="0"/>
        </tpls>
      </m>
      <m>
        <tpls c="4">
          <tpl fld="7" item="807"/>
          <tpl fld="6" item="2"/>
          <tpl hier="236" item="1"/>
          <tpl fld="1" item="0"/>
        </tpls>
      </m>
      <n v="1" in="1">
        <tpls c="4">
          <tpl fld="7" item="611"/>
          <tpl fld="6" item="1"/>
          <tpl hier="236" item="1"/>
          <tpl fld="1" item="0"/>
        </tpls>
      </n>
      <n v="3" in="1">
        <tpls c="4">
          <tpl fld="7" item="919"/>
          <tpl fld="6" item="1"/>
          <tpl hier="236" item="1"/>
          <tpl fld="4" item="4"/>
        </tpls>
      </n>
      <n v="3" in="1">
        <tpls c="4">
          <tpl fld="7" item="728"/>
          <tpl fld="6" item="1"/>
          <tpl hier="236" item="1"/>
          <tpl fld="4" item="5"/>
        </tpls>
      </n>
      <m>
        <tpls c="4">
          <tpl fld="7" item="843"/>
          <tpl fld="6" item="2"/>
          <tpl hier="236" item="1"/>
          <tpl fld="4" item="4"/>
        </tpls>
      </m>
      <m>
        <tpls c="4">
          <tpl fld="7" item="865"/>
          <tpl fld="6" item="2"/>
          <tpl hier="236" item="1"/>
          <tpl fld="1" item="0"/>
        </tpls>
      </m>
      <m>
        <tpls c="4">
          <tpl fld="7" item="638"/>
          <tpl fld="6" item="1"/>
          <tpl hier="236" item="1"/>
          <tpl fld="4" item="6"/>
        </tpls>
      </m>
      <m>
        <tpls c="4">
          <tpl fld="7" item="1096"/>
          <tpl fld="6" item="1"/>
          <tpl hier="236" item="1"/>
          <tpl fld="4" item="4"/>
        </tpls>
      </m>
      <n v="3" in="1">
        <tpls c="4">
          <tpl fld="7" item="733"/>
          <tpl fld="6" item="1"/>
          <tpl hier="236" item="1"/>
          <tpl fld="1" item="0"/>
        </tpls>
      </n>
      <m>
        <tpls c="4">
          <tpl fld="7" item="661"/>
          <tpl fld="6" item="2"/>
          <tpl hier="236" item="1"/>
          <tpl fld="4" item="1"/>
        </tpls>
      </m>
      <m>
        <tpls c="4">
          <tpl fld="7" item="834"/>
          <tpl fld="6" item="2"/>
          <tpl hier="236" item="1"/>
          <tpl fld="4" item="1"/>
        </tpls>
      </m>
      <m>
        <tpls c="3">
          <tpl fld="7" item="1265"/>
          <tpl fld="6" item="3"/>
          <tpl hier="236" item="1"/>
        </tpls>
      </m>
      <m>
        <tpls c="4">
          <tpl fld="7" item="1027"/>
          <tpl fld="6" item="1"/>
          <tpl hier="236" item="1"/>
          <tpl fld="4" item="6"/>
        </tpls>
      </m>
      <m>
        <tpls c="4">
          <tpl fld="7" item="1166"/>
          <tpl fld="6" item="2"/>
          <tpl hier="236" item="1"/>
          <tpl fld="4" item="1"/>
        </tpls>
      </m>
      <m>
        <tpls c="4">
          <tpl fld="7" item="310"/>
          <tpl fld="6" item="2"/>
          <tpl hier="236" item="1"/>
          <tpl fld="1" item="0"/>
        </tpls>
      </m>
      <m>
        <tpls c="4">
          <tpl fld="7" item="63"/>
          <tpl fld="6" item="2"/>
          <tpl hier="236" item="1"/>
          <tpl fld="1" item="0"/>
        </tpls>
      </m>
      <m>
        <tpls c="4">
          <tpl fld="7" item="904"/>
          <tpl fld="6" item="2"/>
          <tpl hier="236" item="1"/>
          <tpl fld="4" item="5"/>
        </tpls>
      </m>
      <m>
        <tpls c="4">
          <tpl fld="7" item="1214"/>
          <tpl fld="6" item="1"/>
          <tpl hier="236" item="1"/>
          <tpl fld="4" item="5"/>
        </tpls>
      </m>
      <m>
        <tpls c="3">
          <tpl fld="7" item="842"/>
          <tpl fld="6" item="3"/>
          <tpl hier="236" item="1"/>
        </tpls>
      </m>
      <m>
        <tpls c="4">
          <tpl fld="7" item="594"/>
          <tpl fld="6" item="2"/>
          <tpl hier="236" item="1"/>
          <tpl fld="1" item="0"/>
        </tpls>
      </m>
      <m>
        <tpls c="4">
          <tpl fld="7" item="680"/>
          <tpl fld="6" item="2"/>
          <tpl hier="236" item="1"/>
          <tpl fld="4" item="5"/>
        </tpls>
      </m>
      <m>
        <tpls c="4">
          <tpl fld="7" item="41"/>
          <tpl fld="6" item="2"/>
          <tpl hier="236" item="1"/>
          <tpl fld="4" item="5"/>
        </tpls>
      </m>
      <m>
        <tpls c="4">
          <tpl fld="7" item="450"/>
          <tpl fld="6" item="2"/>
          <tpl hier="236" item="1"/>
          <tpl fld="4" item="6"/>
        </tpls>
      </m>
      <m>
        <tpls c="4">
          <tpl fld="7" item="135"/>
          <tpl fld="6" item="2"/>
          <tpl hier="236" item="1"/>
          <tpl fld="4" item="6"/>
        </tpls>
      </m>
      <m>
        <tpls c="4">
          <tpl fld="7" item="369"/>
          <tpl fld="6" item="1"/>
          <tpl hier="236" item="1"/>
          <tpl fld="4" item="5"/>
        </tpls>
      </m>
      <m>
        <tpls c="4">
          <tpl fld="7" item="37"/>
          <tpl fld="6" item="1"/>
          <tpl hier="236" item="1"/>
          <tpl fld="4" item="5"/>
        </tpls>
      </m>
      <m>
        <tpls c="4">
          <tpl fld="7" item="1038"/>
          <tpl fld="6" item="1"/>
          <tpl hier="236" item="1"/>
          <tpl fld="4" item="1"/>
        </tpls>
      </m>
      <n v="1" in="1">
        <tpls c="4">
          <tpl fld="7" item="523"/>
          <tpl fld="6" item="1"/>
          <tpl hier="236" item="1"/>
          <tpl fld="4" item="1"/>
        </tpls>
      </n>
      <n v="0" in="1">
        <tpls c="4">
          <tpl fld="7" item="285"/>
          <tpl fld="6" item="1"/>
          <tpl hier="236" item="1"/>
          <tpl fld="4" item="1"/>
        </tpls>
      </n>
      <m>
        <tpls c="4">
          <tpl fld="7" item="122"/>
          <tpl fld="6" item="1"/>
          <tpl hier="236" item="1"/>
          <tpl fld="4" item="1"/>
        </tpls>
      </m>
      <m>
        <tpls c="4">
          <tpl fld="7" item="778"/>
          <tpl fld="6" item="1"/>
          <tpl hier="236" item="1"/>
          <tpl fld="4" item="6"/>
        </tpls>
      </m>
      <m>
        <tpls c="4">
          <tpl fld="7" item="654"/>
          <tpl fld="6" item="2"/>
          <tpl hier="236" item="1"/>
          <tpl fld="1" item="0"/>
        </tpls>
      </m>
      <m>
        <tpls c="4">
          <tpl fld="7" item="912"/>
          <tpl fld="6" item="2"/>
          <tpl hier="236" item="1"/>
          <tpl fld="4" item="4"/>
        </tpls>
      </m>
      <n v="0.36" in="2">
        <tpls c="4">
          <tpl fld="7" item="1085"/>
          <tpl fld="6" item="2"/>
          <tpl hier="236" item="1"/>
          <tpl fld="1" item="0"/>
        </tpls>
      </n>
      <m>
        <tpls c="4">
          <tpl fld="7" item="481"/>
          <tpl fld="6" item="1"/>
          <tpl hier="236" item="1"/>
          <tpl fld="4" item="4"/>
        </tpls>
      </m>
      <m>
        <tpls c="4">
          <tpl fld="7" item="554"/>
          <tpl fld="6" item="2"/>
          <tpl hier="236" item="1"/>
          <tpl fld="4" item="1"/>
        </tpls>
      </m>
      <m>
        <tpls c="4">
          <tpl fld="7" item="678"/>
          <tpl fld="6" item="1"/>
          <tpl hier="236" item="1"/>
          <tpl fld="4" item="6"/>
        </tpls>
      </m>
      <n v="5" in="1">
        <tpls c="4">
          <tpl fld="7" item="788"/>
          <tpl fld="6" item="1"/>
          <tpl hier="236" item="1"/>
          <tpl fld="4" item="1"/>
        </tpls>
      </n>
      <m>
        <tpls c="4">
          <tpl fld="7" item="612"/>
          <tpl fld="6" item="2"/>
          <tpl hier="236" item="1"/>
          <tpl fld="4" item="5"/>
        </tpls>
      </m>
      <n v="8" in="1">
        <tpls c="4">
          <tpl fld="7" item="995"/>
          <tpl fld="6" item="1"/>
          <tpl hier="236" item="1"/>
          <tpl fld="1" item="0"/>
        </tpls>
      </n>
      <n v="27" in="1">
        <tpls c="4">
          <tpl fld="7" item="910"/>
          <tpl fld="6" item="1"/>
          <tpl hier="236" item="1"/>
          <tpl fld="4" item="4"/>
        </tpls>
      </n>
      <m>
        <tpls c="4">
          <tpl fld="7" item="1216"/>
          <tpl fld="6" item="2"/>
          <tpl hier="236" item="1"/>
          <tpl fld="1" item="0"/>
        </tpls>
      </m>
      <m>
        <tpls c="4">
          <tpl fld="7" item="551"/>
          <tpl fld="6" item="1"/>
          <tpl hier="236" item="1"/>
          <tpl fld="4" item="4"/>
        </tpls>
      </m>
      <m>
        <tpls c="4">
          <tpl fld="7" item="719"/>
          <tpl fld="6" item="1"/>
          <tpl hier="236" item="1"/>
          <tpl fld="4" item="6"/>
        </tpls>
      </m>
      <m>
        <tpls c="3">
          <tpl fld="7" item="808"/>
          <tpl fld="6" item="3"/>
          <tpl hier="236" item="1"/>
        </tpls>
      </m>
      <m>
        <tpls c="4">
          <tpl fld="7" item="734"/>
          <tpl fld="6" item="2"/>
          <tpl hier="236" item="1"/>
          <tpl fld="4" item="1"/>
        </tpls>
      </m>
      <m>
        <tpls c="4">
          <tpl fld="7" item="660"/>
          <tpl fld="6" item="1"/>
          <tpl hier="236" item="1"/>
          <tpl fld="4" item="1"/>
        </tpls>
      </m>
      <m>
        <tpls c="4">
          <tpl fld="7" item="828"/>
          <tpl fld="6" item="2"/>
          <tpl hier="236" item="1"/>
          <tpl fld="1" item="0"/>
        </tpls>
      </m>
      <m>
        <tpls c="4">
          <tpl fld="7" item="840"/>
          <tpl fld="6" item="2"/>
          <tpl hier="236" item="1"/>
          <tpl fld="4" item="4"/>
        </tpls>
      </m>
      <n v="3" in="1">
        <tpls c="4">
          <tpl fld="7" item="853"/>
          <tpl fld="6" item="1"/>
          <tpl hier="236" item="1"/>
          <tpl fld="4" item="4"/>
        </tpls>
      </n>
      <m>
        <tpls c="4">
          <tpl fld="7" item="922"/>
          <tpl fld="6" item="2"/>
          <tpl hier="236" item="1"/>
          <tpl fld="4" item="1"/>
        </tpls>
      </m>
      <m>
        <tpls c="4">
          <tpl fld="7" item="943"/>
          <tpl fld="6" item="1"/>
          <tpl hier="236" item="1"/>
          <tpl fld="4" item="4"/>
        </tpls>
      </m>
      <n v="6" in="1">
        <tpls c="4">
          <tpl fld="7" item="975"/>
          <tpl fld="6" item="1"/>
          <tpl hier="236" item="1"/>
          <tpl fld="4" item="4"/>
        </tpls>
      </n>
      <m>
        <tpls c="4">
          <tpl fld="7" item="378"/>
          <tpl fld="6" item="2"/>
          <tpl hier="236" item="1"/>
          <tpl fld="1" item="0"/>
        </tpls>
      </m>
      <m>
        <tpls c="4">
          <tpl fld="7" item="97"/>
          <tpl fld="6" item="1"/>
          <tpl hier="236" item="1"/>
          <tpl fld="4" item="6"/>
        </tpls>
      </m>
      <m>
        <tpls c="4">
          <tpl fld="7" item="558"/>
          <tpl fld="6" item="1"/>
          <tpl hier="236" item="1"/>
          <tpl fld="4" item="4"/>
        </tpls>
      </m>
      <m>
        <tpls c="4">
          <tpl fld="7" item="581"/>
          <tpl fld="6" item="1"/>
          <tpl hier="236" item="1"/>
          <tpl fld="4" item="5"/>
        </tpls>
      </m>
      <n v="29" in="1">
        <tpls c="4">
          <tpl fld="7" item="588"/>
          <tpl fld="6" item="1"/>
          <tpl hier="236" item="1"/>
          <tpl fld="1" item="0"/>
        </tpls>
      </n>
      <m>
        <tpls c="4">
          <tpl fld="7" item="650"/>
          <tpl fld="6" item="2"/>
          <tpl hier="236" item="1"/>
          <tpl fld="4" item="5"/>
        </tpls>
      </m>
      <m>
        <tpls c="4">
          <tpl fld="7" item="656"/>
          <tpl fld="6" item="2"/>
          <tpl hier="236" item="1"/>
          <tpl fld="4" item="1"/>
        </tpls>
      </m>
      <m>
        <tpls c="4">
          <tpl fld="7" item="1100"/>
          <tpl fld="6" item="2"/>
          <tpl hier="236" item="1"/>
          <tpl fld="4" item="4"/>
        </tpls>
      </m>
      <m>
        <tpls c="4">
          <tpl fld="7" item="831"/>
          <tpl fld="6" item="2"/>
          <tpl hier="236" item="1"/>
          <tpl fld="4" item="1"/>
        </tpls>
      </m>
      <m>
        <tpls c="3">
          <tpl fld="7" item="1112"/>
          <tpl fld="6" item="3"/>
          <tpl hier="236" item="1"/>
        </tpls>
      </m>
      <n v="1" in="1">
        <tpls c="4">
          <tpl fld="7" item="915"/>
          <tpl fld="6" item="1"/>
          <tpl hier="236" item="1"/>
          <tpl fld="4" item="6"/>
        </tpls>
      </n>
      <m>
        <tpls c="4">
          <tpl fld="7" item="1131"/>
          <tpl fld="6" item="2"/>
          <tpl hier="236" item="1"/>
          <tpl fld="4" item="4"/>
        </tpls>
      </m>
      <m>
        <tpls c="4">
          <tpl fld="7" item="952"/>
          <tpl fld="6" item="2"/>
          <tpl hier="236" item="1"/>
          <tpl fld="4" item="1"/>
        </tpls>
      </m>
      <m>
        <tpls c="4">
          <tpl fld="7" item="919"/>
          <tpl fld="6" item="2"/>
          <tpl hier="236" item="1"/>
          <tpl fld="1" item="0"/>
        </tpls>
      </m>
      <n v="1.08" in="2">
        <tpls c="4">
          <tpl fld="7" item="501"/>
          <tpl fld="6" item="2"/>
          <tpl hier="236" item="1"/>
          <tpl fld="1" item="0"/>
        </tpls>
      </n>
      <m>
        <tpls c="4">
          <tpl fld="7" item="339"/>
          <tpl fld="6" item="2"/>
          <tpl hier="236" item="1"/>
          <tpl fld="1" item="0"/>
        </tpls>
      </m>
      <m>
        <tpls c="4">
          <tpl fld="7" item="1019"/>
          <tpl fld="6" item="2"/>
          <tpl hier="236" item="1"/>
          <tpl fld="4" item="5"/>
        </tpls>
      </m>
      <m>
        <tpls c="4">
          <tpl fld="7" item="691"/>
          <tpl fld="6" item="1"/>
          <tpl hier="236" item="1"/>
          <tpl fld="4" item="5"/>
        </tpls>
      </m>
      <m>
        <tpls c="4">
          <tpl fld="7" item="814"/>
          <tpl fld="6" item="1"/>
          <tpl hier="236" item="1"/>
          <tpl fld="4" item="1"/>
        </tpls>
      </m>
      <m>
        <tpls c="4">
          <tpl fld="7" item="1116"/>
          <tpl fld="6" item="2"/>
          <tpl hier="236" item="1"/>
          <tpl fld="4" item="1"/>
        </tpls>
      </m>
      <m>
        <tpls c="4">
          <tpl fld="7" item="1105"/>
          <tpl fld="6" item="2"/>
          <tpl hier="236" item="1"/>
          <tpl fld="1" item="0"/>
        </tpls>
      </m>
      <m>
        <tpls c="4">
          <tpl fld="7" item="1020"/>
          <tpl fld="6" item="2"/>
          <tpl hier="236" item="1"/>
          <tpl fld="4" item="5"/>
        </tpls>
      </m>
      <m>
        <tpls c="4">
          <tpl fld="7" item="490"/>
          <tpl fld="6" item="2"/>
          <tpl hier="236" item="1"/>
          <tpl fld="4" item="5"/>
        </tpls>
      </m>
      <m>
        <tpls c="4">
          <tpl fld="7" item="32"/>
          <tpl fld="6" item="2"/>
          <tpl hier="236" item="1"/>
          <tpl fld="4" item="5"/>
        </tpls>
      </m>
      <m>
        <tpls c="4">
          <tpl fld="7" item="1217"/>
          <tpl fld="6" item="2"/>
          <tpl hier="236" item="1"/>
          <tpl fld="4" item="6"/>
        </tpls>
      </m>
      <m>
        <tpls c="4">
          <tpl fld="7" item="194"/>
          <tpl fld="6" item="2"/>
          <tpl hier="236" item="1"/>
          <tpl fld="4" item="6"/>
        </tpls>
      </m>
      <m>
        <tpls c="4">
          <tpl fld="7" item="1286"/>
          <tpl fld="6" item="1"/>
          <tpl hier="236" item="1"/>
          <tpl fld="4" item="5"/>
        </tpls>
      </m>
      <m>
        <tpls c="4">
          <tpl fld="7" item="360"/>
          <tpl fld="6" item="1"/>
          <tpl hier="236" item="1"/>
          <tpl fld="4" item="5"/>
        </tpls>
      </m>
      <m>
        <tpls c="4">
          <tpl fld="7" item="249"/>
          <tpl fld="6" item="1"/>
          <tpl hier="236" item="1"/>
          <tpl fld="4" item="5"/>
        </tpls>
      </m>
      <m>
        <tpls c="4">
          <tpl fld="7" item="1041"/>
          <tpl fld="6" item="1"/>
          <tpl hier="236" item="1"/>
          <tpl fld="4" item="1"/>
        </tpls>
      </m>
      <n v="7" in="1">
        <tpls c="4">
          <tpl fld="7" item="526"/>
          <tpl fld="6" item="1"/>
          <tpl hier="236" item="1"/>
          <tpl fld="4" item="1"/>
        </tpls>
      </n>
      <m>
        <tpls c="4">
          <tpl fld="7" item="288"/>
          <tpl fld="6" item="1"/>
          <tpl hier="236" item="1"/>
          <tpl fld="4" item="1"/>
        </tpls>
      </m>
      <m>
        <tpls c="4">
          <tpl fld="7" item="225"/>
          <tpl fld="6" item="1"/>
          <tpl hier="236" item="1"/>
          <tpl fld="4" item="1"/>
        </tpls>
      </m>
      <m>
        <tpls c="3">
          <tpl fld="7" item="613"/>
          <tpl fld="6" item="3"/>
          <tpl hier="236" item="1"/>
        </tpls>
      </m>
      <n v="5" in="1">
        <tpls c="4">
          <tpl fld="7" item="653"/>
          <tpl fld="6" item="1"/>
          <tpl hier="236" item="1"/>
          <tpl fld="1" item="0"/>
        </tpls>
      </n>
      <m>
        <tpls c="4">
          <tpl fld="7" item="1014"/>
          <tpl fld="6" item="2"/>
          <tpl hier="236" item="1"/>
          <tpl fld="4" item="1"/>
        </tpls>
      </m>
      <m>
        <tpls c="4">
          <tpl fld="7" item="321"/>
          <tpl fld="6" item="2"/>
          <tpl hier="236" item="1"/>
          <tpl fld="1" item="0"/>
        </tpls>
      </m>
      <m>
        <tpls c="4">
          <tpl fld="7" item="104"/>
          <tpl fld="6" item="2"/>
          <tpl hier="236" item="1"/>
          <tpl fld="4" item="1"/>
        </tpls>
      </m>
      <n v="7" in="1">
        <tpls c="4">
          <tpl fld="7" item="568"/>
          <tpl fld="6" item="1"/>
          <tpl hier="236" item="1"/>
          <tpl fld="4" item="4"/>
        </tpls>
      </n>
      <m>
        <tpls c="4">
          <tpl fld="7" item="465"/>
          <tpl fld="6" item="2"/>
          <tpl hier="236" item="1"/>
          <tpl fld="1" item="0"/>
        </tpls>
      </m>
      <n v="3" in="1">
        <tpls c="4">
          <tpl fld="7" item="630"/>
          <tpl fld="6" item="1"/>
          <tpl hier="236" item="1"/>
          <tpl fld="4" item="5"/>
        </tpls>
      </n>
      <m>
        <tpls c="3">
          <tpl fld="7" item="702"/>
          <tpl fld="6" item="3"/>
          <tpl hier="236" item="1"/>
        </tpls>
      </m>
      <m>
        <tpls c="4">
          <tpl fld="7" item="656"/>
          <tpl fld="6" item="2"/>
          <tpl hier="236" item="1"/>
          <tpl fld="4" item="6"/>
        </tpls>
      </m>
      <m>
        <tpls c="4">
          <tpl fld="7" item="1019"/>
          <tpl fld="6" item="2"/>
          <tpl hier="236" item="1"/>
          <tpl fld="4" item="4"/>
        </tpls>
      </m>
      <n v="0.4" in="2">
        <tpls c="4">
          <tpl fld="7" item="429"/>
          <tpl fld="6" item="2"/>
          <tpl hier="236" item="1"/>
          <tpl fld="1" item="0"/>
        </tpls>
      </n>
      <m>
        <tpls c="4">
          <tpl fld="7" item="883"/>
          <tpl fld="6" item="1"/>
          <tpl hier="236" item="1"/>
          <tpl fld="4" item="5"/>
        </tpls>
      </m>
      <m>
        <tpls c="4">
          <tpl fld="7" item="802"/>
          <tpl fld="6" item="2"/>
          <tpl hier="236" item="1"/>
          <tpl fld="4" item="1"/>
        </tpls>
      </m>
      <m>
        <tpls c="4">
          <tpl fld="7" item="809"/>
          <tpl fld="6" item="1"/>
          <tpl hier="236" item="1"/>
          <tpl fld="1" item="0"/>
        </tpls>
      </m>
      <m>
        <tpls c="4">
          <tpl fld="7" item="655"/>
          <tpl fld="6" item="1"/>
          <tpl hier="236" item="1"/>
          <tpl fld="4" item="1"/>
        </tpls>
      </m>
      <m>
        <tpls c="4">
          <tpl fld="7" item="661"/>
          <tpl fld="6" item="1"/>
          <tpl hier="236" item="1"/>
          <tpl fld="4" item="4"/>
        </tpls>
      </m>
      <m>
        <tpls c="4">
          <tpl fld="7" item="895"/>
          <tpl fld="6" item="2"/>
          <tpl hier="236" item="1"/>
          <tpl fld="4" item="6"/>
        </tpls>
      </m>
      <m>
        <tpls c="4">
          <tpl fld="7" item="842"/>
          <tpl fld="6" item="1"/>
          <tpl hier="236" item="1"/>
          <tpl fld="4" item="4"/>
        </tpls>
      </m>
      <m>
        <tpls c="4">
          <tpl fld="7" item="1246"/>
          <tpl fld="6" item="2"/>
          <tpl hier="236" item="1"/>
          <tpl fld="4" item="1"/>
        </tpls>
      </m>
      <m>
        <tpls c="3">
          <tpl fld="7" item="1027"/>
          <tpl fld="6" item="3"/>
          <tpl hier="236" item="1"/>
        </tpls>
      </m>
      <n v="17" in="1">
        <tpls c="4">
          <tpl fld="7" item="1154"/>
          <tpl fld="6" item="1"/>
          <tpl hier="236" item="1"/>
          <tpl fld="4" item="4"/>
        </tpls>
      </n>
      <m>
        <tpls c="4">
          <tpl fld="7" item="871"/>
          <tpl fld="6" item="2"/>
          <tpl hier="236" item="1"/>
          <tpl fld="1" item="0"/>
        </tpls>
      </m>
      <m>
        <tpls c="4">
          <tpl fld="7" item="369"/>
          <tpl fld="6" item="2"/>
          <tpl hier="236" item="1"/>
          <tpl fld="1" item="0"/>
        </tpls>
      </m>
      <n v="4" in="1">
        <tpls c="4">
          <tpl fld="7" item="443"/>
          <tpl fld="6" item="1"/>
          <tpl hier="236" item="1"/>
          <tpl fld="4" item="4"/>
        </tpls>
      </n>
      <m>
        <tpls c="4">
          <tpl fld="7" item="704"/>
          <tpl fld="6" item="2"/>
          <tpl hier="236" item="1"/>
          <tpl fld="4" item="1"/>
        </tpls>
      </m>
      <m>
        <tpls c="4">
          <tpl fld="7" item="582"/>
          <tpl fld="6" item="2"/>
          <tpl hier="236" item="1"/>
          <tpl fld="4" item="5"/>
        </tpls>
      </m>
      <m>
        <tpls c="4">
          <tpl fld="7" item="645"/>
          <tpl fld="6" item="2"/>
          <tpl hier="236" item="1"/>
          <tpl fld="4" item="5"/>
        </tpls>
      </m>
      <m>
        <tpls c="4">
          <tpl fld="7" item="651"/>
          <tpl fld="6" item="2"/>
          <tpl hier="236" item="1"/>
          <tpl fld="4" item="1"/>
        </tpls>
      </m>
      <m>
        <tpls c="4">
          <tpl fld="7" item="996"/>
          <tpl fld="6" item="2"/>
          <tpl hier="236" item="1"/>
          <tpl fld="4" item="4"/>
        </tpls>
      </m>
      <m>
        <tpls c="4">
          <tpl fld="7" item="824"/>
          <tpl fld="6" item="2"/>
          <tpl hier="236" item="1"/>
          <tpl fld="4" item="6"/>
        </tpls>
      </m>
      <m>
        <tpls c="3">
          <tpl fld="7" item="1001"/>
          <tpl fld="6" item="3"/>
          <tpl hier="236" item="1"/>
        </tpls>
      </m>
      <m>
        <tpls c="4">
          <tpl fld="7" item="1284"/>
          <tpl fld="6" item="1"/>
          <tpl hier="236" item="1"/>
          <tpl fld="4" item="6"/>
        </tpls>
      </m>
      <m>
        <tpls c="4">
          <tpl fld="7" item="1020"/>
          <tpl fld="6" item="2"/>
          <tpl hier="236" item="1"/>
          <tpl fld="4" item="4"/>
        </tpls>
      </m>
      <n v="13" in="1">
        <tpls c="4">
          <tpl fld="7" item="926"/>
          <tpl fld="6" item="1"/>
          <tpl hier="236" item="1"/>
          <tpl fld="4" item="4"/>
        </tpls>
      </n>
      <m>
        <tpls c="4">
          <tpl fld="7" item="1163"/>
          <tpl fld="6" item="2"/>
          <tpl hier="236" item="1"/>
          <tpl fld="4" item="1"/>
        </tpls>
      </m>
      <m>
        <tpls c="4">
          <tpl fld="7" item="1016"/>
          <tpl fld="6" item="2"/>
          <tpl hier="236" item="1"/>
          <tpl fld="1" item="0"/>
        </tpls>
      </m>
      <n v="8.2257837837837844" in="2">
        <tpls c="4">
          <tpl fld="7" item="107"/>
          <tpl fld="6" item="2"/>
          <tpl hier="236" item="1"/>
          <tpl fld="1" item="0"/>
        </tpls>
      </n>
      <m>
        <tpls c="4">
          <tpl fld="7" item="476"/>
          <tpl fld="6" item="2"/>
          <tpl hier="236" item="1"/>
          <tpl fld="1" item="0"/>
        </tpls>
      </m>
      <m>
        <tpls c="4">
          <tpl fld="7" item="1115"/>
          <tpl fld="6" item="2"/>
          <tpl hier="236" item="1"/>
          <tpl fld="4" item="5"/>
        </tpls>
      </m>
      <m>
        <tpls c="4">
          <tpl fld="7" item="783"/>
          <tpl fld="6" item="2"/>
          <tpl hier="236" item="1"/>
          <tpl fld="1" item="0"/>
        </tpls>
      </m>
      <m>
        <tpls c="4">
          <tpl fld="7" item="892"/>
          <tpl fld="6" item="2"/>
          <tpl hier="236" item="1"/>
          <tpl fld="4" item="5"/>
        </tpls>
      </m>
      <n v="11" in="1">
        <tpls c="4">
          <tpl fld="7" item="915"/>
          <tpl fld="6" item="1"/>
          <tpl hier="236" item="1"/>
          <tpl fld="4" item="4"/>
        </tpls>
      </n>
      <m>
        <tpls c="4">
          <tpl fld="7" item="597"/>
          <tpl fld="6" item="2"/>
          <tpl hier="236" item="1"/>
          <tpl fld="1" item="0"/>
        </tpls>
      </m>
      <m>
        <tpls c="4">
          <tpl fld="7" item="1011"/>
          <tpl fld="6" item="2"/>
          <tpl hier="236" item="1"/>
          <tpl fld="4" item="5"/>
        </tpls>
      </m>
      <m>
        <tpls c="4">
          <tpl fld="7" item="300"/>
          <tpl fld="6" item="2"/>
          <tpl hier="236" item="1"/>
          <tpl fld="4" item="5"/>
        </tpls>
      </m>
      <m>
        <tpls c="4">
          <tpl fld="7" item="7"/>
          <tpl fld="6" item="2"/>
          <tpl hier="236" item="1"/>
          <tpl fld="4" item="5"/>
        </tpls>
      </m>
      <m>
        <tpls c="4">
          <tpl fld="7" item="456"/>
          <tpl fld="6" item="2"/>
          <tpl hier="236" item="1"/>
          <tpl fld="4" item="6"/>
        </tpls>
      </m>
      <m>
        <tpls c="4">
          <tpl fld="7" item="77"/>
          <tpl fld="6" item="2"/>
          <tpl hier="236" item="1"/>
          <tpl fld="4" item="6"/>
        </tpls>
      </m>
      <m>
        <tpls c="4">
          <tpl fld="7" item="916"/>
          <tpl fld="6" item="1"/>
          <tpl hier="236" item="1"/>
          <tpl fld="4" item="5"/>
        </tpls>
      </m>
      <n v="14" in="1">
        <tpls c="4">
          <tpl fld="7" item="215"/>
          <tpl fld="6" item="1"/>
          <tpl hier="236" item="1"/>
          <tpl fld="4" item="5"/>
        </tpls>
      </n>
      <m>
        <tpls c="4">
          <tpl fld="7" item="136"/>
          <tpl fld="6" item="1"/>
          <tpl hier="236" item="1"/>
          <tpl fld="4" item="5"/>
        </tpls>
      </m>
      <n v="3" in="1">
        <tpls c="4">
          <tpl fld="7" item="1135"/>
          <tpl fld="6" item="1"/>
          <tpl hier="236" item="1"/>
          <tpl fld="4" item="1"/>
        </tpls>
      </n>
      <n v="16" in="1">
        <tpls c="4">
          <tpl fld="7" item="517"/>
          <tpl fld="6" item="1"/>
          <tpl hier="236" item="1"/>
          <tpl fld="4" item="1"/>
        </tpls>
      </n>
      <m>
        <tpls c="4">
          <tpl fld="7" item="163"/>
          <tpl fld="6" item="1"/>
          <tpl hier="236" item="1"/>
          <tpl fld="4" item="1"/>
        </tpls>
      </m>
      <n v="25" in="1">
        <tpls c="4">
          <tpl fld="7" item="871"/>
          <tpl fld="6" item="1"/>
          <tpl hier="236" item="1"/>
          <tpl fld="1" item="0"/>
        </tpls>
      </n>
      <m>
        <tpls c="3">
          <tpl fld="7" item="623"/>
          <tpl fld="6" item="3"/>
          <tpl hier="236" item="1"/>
        </tpls>
      </m>
      <m>
        <tpls c="4">
          <tpl fld="7" item="736"/>
          <tpl fld="6" item="2"/>
          <tpl hier="236" item="1"/>
          <tpl fld="4" item="6"/>
        </tpls>
      </m>
      <n v="1" in="1">
        <tpls c="4">
          <tpl fld="7" item="1195"/>
          <tpl fld="6" item="1"/>
          <tpl hier="236" item="1"/>
          <tpl fld="4" item="4"/>
        </tpls>
      </n>
      <m>
        <tpls c="4">
          <tpl fld="7" item="877"/>
          <tpl fld="6" item="2"/>
          <tpl hier="236" item="1"/>
          <tpl fld="1" item="0"/>
        </tpls>
      </m>
      <m>
        <tpls c="4">
          <tpl fld="7" item="906"/>
          <tpl fld="6" item="2"/>
          <tpl hier="236" item="1"/>
          <tpl fld="4" item="5"/>
        </tpls>
      </m>
      <m>
        <tpls c="4">
          <tpl fld="7" item="416"/>
          <tpl fld="6" item="2"/>
          <tpl hier="236" item="1"/>
          <tpl fld="4" item="5"/>
        </tpls>
      </m>
      <m>
        <tpls c="4">
          <tpl fld="7" item="0"/>
          <tpl fld="6" item="2"/>
          <tpl hier="236" item="1"/>
          <tpl fld="4" item="5"/>
        </tpls>
      </m>
      <m>
        <tpls c="4">
          <tpl fld="7" item="384"/>
          <tpl fld="6" item="2"/>
          <tpl hier="236" item="1"/>
          <tpl fld="4" item="6"/>
        </tpls>
      </m>
      <m>
        <tpls c="4">
          <tpl fld="7" item="292"/>
          <tpl fld="6" item="2"/>
          <tpl hier="236" item="1"/>
          <tpl fld="4" item="6"/>
        </tpls>
      </m>
      <n v="1" in="1">
        <tpls c="4">
          <tpl fld="7" item="915"/>
          <tpl fld="6" item="1"/>
          <tpl hier="236" item="1"/>
          <tpl fld="4" item="5"/>
        </tpls>
      </n>
      <m>
        <tpls c="4">
          <tpl fld="7" item="106"/>
          <tpl fld="6" item="1"/>
          <tpl hier="236" item="1"/>
          <tpl fld="4" item="5"/>
        </tpls>
      </m>
      <m>
        <tpls c="4">
          <tpl fld="7" item="134"/>
          <tpl fld="6" item="1"/>
          <tpl hier="236" item="1"/>
          <tpl fld="4" item="5"/>
        </tpls>
      </m>
      <m>
        <tpls c="4">
          <tpl fld="7" item="792"/>
          <tpl fld="6" item="2"/>
          <tpl hier="236" item="1"/>
          <tpl fld="4" item="1"/>
        </tpls>
      </m>
      <m>
        <tpls c="4">
          <tpl fld="7" item="832"/>
          <tpl fld="6" item="1"/>
          <tpl hier="236" item="1"/>
          <tpl fld="4" item="6"/>
        </tpls>
      </m>
      <n v="1" in="1">
        <tpls c="4">
          <tpl fld="7" item="644"/>
          <tpl fld="6" item="1"/>
          <tpl hier="236" item="1"/>
          <tpl fld="4" item="6"/>
        </tpls>
      </n>
      <n v="1" in="2">
        <tpls c="4">
          <tpl fld="7" item="1106"/>
          <tpl fld="6" item="2"/>
          <tpl hier="236" item="1"/>
          <tpl fld="4" item="1"/>
        </tpls>
      </n>
      <n v="2" in="1">
        <tpls c="4">
          <tpl fld="7" item="964"/>
          <tpl fld="6" item="1"/>
          <tpl hier="236" item="1"/>
          <tpl fld="4" item="4"/>
        </tpls>
      </n>
      <m>
        <tpls c="4">
          <tpl fld="7" item="796"/>
          <tpl fld="6" item="2"/>
          <tpl hier="236" item="1"/>
          <tpl fld="4" item="4"/>
        </tpls>
      </m>
      <m>
        <tpls c="4">
          <tpl fld="7" item="893"/>
          <tpl fld="6" item="2"/>
          <tpl hier="236" item="1"/>
          <tpl fld="4" item="4"/>
        </tpls>
      </m>
      <m>
        <tpls c="4">
          <tpl fld="7" item="865"/>
          <tpl fld="6" item="2"/>
          <tpl hier="236" item="1"/>
          <tpl fld="4" item="1"/>
        </tpls>
      </m>
      <m>
        <tpls c="4">
          <tpl fld="7" item="176"/>
          <tpl fld="6" item="2"/>
          <tpl hier="236" item="1"/>
          <tpl fld="1" item="0"/>
        </tpls>
      </m>
      <m>
        <tpls c="4">
          <tpl fld="7" item="1000"/>
          <tpl fld="6" item="2"/>
          <tpl hier="236" item="1"/>
          <tpl fld="4" item="4"/>
        </tpls>
      </m>
      <m>
        <tpls c="4">
          <tpl fld="7" item="410"/>
          <tpl fld="6" item="2"/>
          <tpl hier="236" item="1"/>
          <tpl fld="4" item="5"/>
        </tpls>
      </m>
      <m>
        <tpls c="4">
          <tpl fld="7" item="382"/>
          <tpl fld="6" item="1"/>
          <tpl hier="236" item="1"/>
          <tpl fld="4" item="5"/>
        </tpls>
      </m>
      <m>
        <tpls c="4">
          <tpl fld="7" item="317"/>
          <tpl fld="6" item="1"/>
          <tpl hier="236" item="1"/>
          <tpl fld="4" item="1"/>
        </tpls>
      </m>
      <m>
        <tpls c="4">
          <tpl fld="7" item="897"/>
          <tpl fld="6" item="2"/>
          <tpl hier="236" item="1"/>
          <tpl fld="4" item="4"/>
        </tpls>
      </m>
      <m>
        <tpls c="4">
          <tpl fld="7" item="96"/>
          <tpl fld="6" item="2"/>
          <tpl hier="236" item="1"/>
          <tpl fld="4" item="5"/>
        </tpls>
      </m>
      <m>
        <tpls c="4">
          <tpl fld="7" item="408"/>
          <tpl fld="6" item="2"/>
          <tpl hier="236" item="1"/>
          <tpl fld="4" item="5"/>
        </tpls>
      </m>
      <m>
        <tpls c="4">
          <tpl fld="7" item="1191"/>
          <tpl fld="6" item="2"/>
          <tpl hier="236" item="1"/>
          <tpl fld="4" item="6"/>
        </tpls>
      </m>
      <m>
        <tpls c="4">
          <tpl fld="7" item="411"/>
          <tpl fld="6" item="2"/>
          <tpl hier="236" item="1"/>
          <tpl fld="4" item="6"/>
        </tpls>
      </m>
      <m>
        <tpls c="4">
          <tpl fld="7" item="521"/>
          <tpl fld="6" item="1"/>
          <tpl hier="236" item="1"/>
          <tpl fld="4" item="5"/>
        </tpls>
      </m>
      <m>
        <tpls c="4">
          <tpl fld="7" item="244"/>
          <tpl fld="6" item="1"/>
          <tpl hier="236" item="1"/>
          <tpl fld="4" item="5"/>
        </tpls>
      </m>
      <m>
        <tpls c="4">
          <tpl fld="7" item="926"/>
          <tpl fld="6" item="1"/>
          <tpl hier="236" item="1"/>
          <tpl fld="4" item="1"/>
        </tpls>
      </m>
      <n v="5" in="1">
        <tpls c="4">
          <tpl fld="7" item="600"/>
          <tpl fld="6" item="1"/>
          <tpl hier="236" item="1"/>
          <tpl fld="4" item="1"/>
        </tpls>
      </n>
      <m>
        <tpls c="4">
          <tpl fld="7" item="150"/>
          <tpl fld="6" item="1"/>
          <tpl hier="236" item="1"/>
          <tpl fld="4" item="1"/>
        </tpls>
      </m>
      <n v="9" in="1">
        <tpls c="4">
          <tpl fld="7" item="568"/>
          <tpl fld="6" item="1"/>
          <tpl hier="236" item="1"/>
          <tpl fld="1" item="0"/>
        </tpls>
      </n>
      <m>
        <tpls c="4">
          <tpl fld="7" item="738"/>
          <tpl fld="6" item="1"/>
          <tpl hier="236" item="1"/>
          <tpl fld="4" item="6"/>
        </tpls>
      </m>
      <m>
        <tpls c="4">
          <tpl fld="7" item="1278"/>
          <tpl fld="6" item="2"/>
          <tpl hier="236" item="1"/>
          <tpl fld="4" item="4"/>
        </tpls>
      </m>
      <m>
        <tpls c="4">
          <tpl fld="7" item="755"/>
          <tpl fld="6" item="2"/>
          <tpl hier="236" item="1"/>
          <tpl fld="1" item="0"/>
        </tpls>
      </m>
      <m>
        <tpls c="4">
          <tpl fld="7" item="1217"/>
          <tpl fld="6" item="2"/>
          <tpl hier="236" item="1"/>
          <tpl fld="4" item="5"/>
        </tpls>
      </m>
      <m>
        <tpls c="4">
          <tpl fld="7" item="185"/>
          <tpl fld="6" item="2"/>
          <tpl hier="236" item="1"/>
          <tpl fld="4" item="5"/>
        </tpls>
      </m>
      <m>
        <tpls c="4">
          <tpl fld="7" item="108"/>
          <tpl fld="6" item="2"/>
          <tpl hier="236" item="1"/>
          <tpl fld="4" item="5"/>
        </tpls>
      </m>
      <n v="0.12" in="2">
        <tpls c="4">
          <tpl fld="7" item="520"/>
          <tpl fld="6" item="2"/>
          <tpl hier="236" item="1"/>
          <tpl fld="4" item="6"/>
        </tpls>
      </n>
      <m>
        <tpls c="4">
          <tpl fld="7" item="413"/>
          <tpl fld="6" item="2"/>
          <tpl hier="236" item="1"/>
          <tpl fld="4" item="6"/>
        </tpls>
      </m>
      <n v="2" in="1">
        <tpls c="4">
          <tpl fld="7" item="911"/>
          <tpl fld="6" item="1"/>
          <tpl hier="236" item="1"/>
          <tpl fld="4" item="5"/>
        </tpls>
      </n>
      <n v="13" in="1">
        <tpls c="4">
          <tpl fld="7" item="106"/>
          <tpl fld="6" item="1"/>
          <tpl hier="236" item="1"/>
          <tpl fld="4" item="4"/>
        </tpls>
      </n>
      <m>
        <tpls c="4">
          <tpl fld="7" item="617"/>
          <tpl fld="6" item="2"/>
          <tpl hier="236" item="1"/>
          <tpl fld="4" item="4"/>
        </tpls>
      </m>
      <m>
        <tpls c="3">
          <tpl fld="7" item="552"/>
          <tpl fld="6" item="3"/>
          <tpl hier="236" item="1"/>
        </tpls>
      </m>
      <m>
        <tpls c="4">
          <tpl fld="7" item="1186"/>
          <tpl fld="6" item="2"/>
          <tpl hier="236" item="1"/>
          <tpl fld="1" item="0"/>
        </tpls>
      </m>
      <m>
        <tpls c="3">
          <tpl fld="7" item="793"/>
          <tpl fld="6" item="3"/>
          <tpl hier="236" item="1"/>
        </tpls>
      </m>
      <m>
        <tpls c="4">
          <tpl fld="7" item="778"/>
          <tpl fld="6" item="2"/>
          <tpl hier="236" item="1"/>
          <tpl fld="1" item="0"/>
        </tpls>
      </m>
      <m>
        <tpls c="4">
          <tpl fld="7" item="1198"/>
          <tpl fld="6" item="2"/>
          <tpl hier="236" item="1"/>
          <tpl fld="4" item="1"/>
        </tpls>
      </m>
      <m>
        <tpls c="4">
          <tpl fld="7" item="551"/>
          <tpl fld="6" item="1"/>
          <tpl hier="236" item="1"/>
          <tpl fld="4" item="6"/>
        </tpls>
      </m>
      <m>
        <tpls c="4">
          <tpl fld="7" item="802"/>
          <tpl fld="6" item="2"/>
          <tpl hier="236" item="1"/>
          <tpl fld="1" item="0"/>
        </tpls>
      </m>
      <m>
        <tpls c="4">
          <tpl fld="7" item="1243"/>
          <tpl fld="6" item="2"/>
          <tpl hier="236" item="1"/>
          <tpl fld="4" item="4"/>
        </tpls>
      </m>
      <m>
        <tpls c="4">
          <tpl fld="7" item="435"/>
          <tpl fld="6" item="2"/>
          <tpl hier="236" item="1"/>
          <tpl fld="1" item="0"/>
        </tpls>
      </m>
      <m>
        <tpls c="3">
          <tpl fld="7" item="295"/>
          <tpl fld="6" item="3"/>
          <tpl hier="236" item="1"/>
        </tpls>
      </m>
      <n v="10" in="1">
        <tpls c="4">
          <tpl fld="7" item="437"/>
          <tpl fld="6" item="1"/>
          <tpl hier="236" item="1"/>
          <tpl fld="4" item="4"/>
        </tpls>
      </n>
      <m>
        <tpls c="4">
          <tpl fld="7" item="1088"/>
          <tpl fld="6" item="2"/>
          <tpl hier="236" item="1"/>
          <tpl fld="4" item="4"/>
        </tpls>
      </m>
      <m>
        <tpls c="3">
          <tpl fld="7" item="795"/>
          <tpl fld="6" item="3"/>
          <tpl hier="236" item="1"/>
        </tpls>
      </m>
      <m>
        <tpls c="4">
          <tpl fld="7" item="577"/>
          <tpl fld="6" item="2"/>
          <tpl hier="236" item="1"/>
          <tpl fld="4" item="5"/>
        </tpls>
      </m>
      <m>
        <tpls c="4">
          <tpl fld="7" item="740"/>
          <tpl fld="6" item="1"/>
          <tpl hier="236" item="1"/>
          <tpl fld="4" item="1"/>
        </tpls>
      </m>
      <m>
        <tpls c="3">
          <tpl fld="7" item="1026"/>
          <tpl fld="6" item="3"/>
          <tpl hier="236" item="1"/>
        </tpls>
      </m>
      <m>
        <tpls c="4">
          <tpl fld="7" item="268"/>
          <tpl fld="6" item="2"/>
          <tpl hier="236" item="1"/>
          <tpl fld="1" item="0"/>
        </tpls>
      </m>
      <n v="8" in="1">
        <tpls c="4">
          <tpl fld="7" item="723"/>
          <tpl fld="6" item="1"/>
          <tpl hier="236" item="1"/>
          <tpl fld="4" item="6"/>
        </tpls>
      </n>
      <m>
        <tpls c="4">
          <tpl fld="7" item="577"/>
          <tpl fld="6" item="1"/>
          <tpl hier="236" item="1"/>
          <tpl fld="4" item="6"/>
        </tpls>
      </m>
      <m>
        <tpls c="4">
          <tpl fld="7" item="836"/>
          <tpl fld="6" item="1"/>
          <tpl hier="236" item="1"/>
          <tpl fld="4" item="6"/>
        </tpls>
      </m>
      <m>
        <tpls c="4">
          <tpl fld="7" item="588"/>
          <tpl fld="6" item="2"/>
          <tpl hier="236" item="1"/>
          <tpl fld="4" item="5"/>
        </tpls>
      </m>
      <m>
        <tpls c="4">
          <tpl fld="7" item="1004"/>
          <tpl fld="6" item="2"/>
          <tpl hier="236" item="1"/>
          <tpl fld="4" item="1"/>
        </tpls>
      </m>
      <n v="1" in="1">
        <tpls c="4">
          <tpl fld="7" item="1173"/>
          <tpl fld="6" item="1"/>
          <tpl hier="236" item="1"/>
          <tpl fld="4" item="4"/>
        </tpls>
      </n>
      <m>
        <tpls c="4">
          <tpl fld="7" item="887"/>
          <tpl fld="6" item="2"/>
          <tpl hier="236" item="1"/>
          <tpl fld="4" item="6"/>
        </tpls>
      </m>
      <m>
        <tpls c="4">
          <tpl fld="7" item="806"/>
          <tpl fld="6" item="2"/>
          <tpl hier="236" item="1"/>
          <tpl fld="4" item="6"/>
        </tpls>
      </m>
      <m>
        <tpls c="3">
          <tpl fld="7" item="732"/>
          <tpl fld="6" item="3"/>
          <tpl hier="236" item="1"/>
        </tpls>
      </m>
      <m>
        <tpls c="3">
          <tpl fld="7" item="740"/>
          <tpl fld="6" item="3"/>
          <tpl hier="236" item="1"/>
        </tpls>
      </m>
      <m>
        <tpls c="4">
          <tpl fld="7" item="1000"/>
          <tpl fld="6" item="1"/>
          <tpl hier="236" item="1"/>
          <tpl fld="4" item="6"/>
        </tpls>
      </m>
      <m>
        <tpls c="4">
          <tpl fld="7" item="1219"/>
          <tpl fld="6" item="2"/>
          <tpl hier="236" item="1"/>
          <tpl fld="4" item="4"/>
        </tpls>
      </m>
      <m>
        <tpls c="4">
          <tpl fld="7" item="866"/>
          <tpl fld="6" item="2"/>
          <tpl hier="236" item="1"/>
          <tpl fld="4" item="1"/>
        </tpls>
      </m>
      <m>
        <tpls c="4">
          <tpl fld="7" item="1160"/>
          <tpl fld="6" item="2"/>
          <tpl hier="236" item="1"/>
          <tpl fld="4" item="1"/>
        </tpls>
      </m>
      <m>
        <tpls c="4">
          <tpl fld="7" item="1243"/>
          <tpl fld="6" item="2"/>
          <tpl hier="236" item="1"/>
          <tpl fld="1" item="0"/>
        </tpls>
      </m>
      <m>
        <tpls c="4">
          <tpl fld="7" item="274"/>
          <tpl fld="6" item="2"/>
          <tpl hier="236" item="1"/>
          <tpl fld="1" item="0"/>
        </tpls>
      </m>
      <m>
        <tpls c="4">
          <tpl fld="7" item="913"/>
          <tpl fld="6" item="2"/>
          <tpl hier="236" item="1"/>
          <tpl fld="4" item="5"/>
        </tpls>
      </m>
      <m>
        <tpls c="4">
          <tpl fld="7" item="638"/>
          <tpl fld="6" item="2"/>
          <tpl hier="236" item="1"/>
          <tpl fld="4" item="6"/>
        </tpls>
      </m>
      <m>
        <tpls c="4">
          <tpl fld="7" item="1003"/>
          <tpl fld="6" item="2"/>
          <tpl hier="236" item="1"/>
          <tpl fld="4" item="4"/>
        </tpls>
      </m>
      <m>
        <tpls c="4">
          <tpl fld="7" item="603"/>
          <tpl fld="6" item="2"/>
          <tpl hier="236" item="1"/>
          <tpl fld="1" item="0"/>
        </tpls>
      </m>
      <m>
        <tpls c="4">
          <tpl fld="7" item="97"/>
          <tpl fld="6" item="2"/>
          <tpl hier="236" item="1"/>
          <tpl fld="4" item="5"/>
        </tpls>
      </m>
      <m>
        <tpls c="4">
          <tpl fld="7" item="272"/>
          <tpl fld="6" item="2"/>
          <tpl hier="236" item="1"/>
          <tpl fld="4" item="5"/>
        </tpls>
      </m>
      <m>
        <tpls c="4">
          <tpl fld="7" item="1105"/>
          <tpl fld="6" item="2"/>
          <tpl hier="236" item="1"/>
          <tpl fld="4" item="6"/>
        </tpls>
      </m>
      <m>
        <tpls c="4">
          <tpl fld="7" item="171"/>
          <tpl fld="6" item="2"/>
          <tpl hier="236" item="1"/>
          <tpl fld="4" item="6"/>
        </tpls>
      </m>
      <n v="2" in="1">
        <tpls c="4">
          <tpl fld="7" item="377"/>
          <tpl fld="6" item="1"/>
          <tpl hier="236" item="1"/>
          <tpl fld="4" item="5"/>
        </tpls>
      </n>
      <m>
        <tpls c="4">
          <tpl fld="7" item="58"/>
          <tpl fld="6" item="1"/>
          <tpl hier="236" item="1"/>
          <tpl fld="4" item="5"/>
        </tpls>
      </m>
      <n v="14" in="1">
        <tpls c="4">
          <tpl fld="7" item="1016"/>
          <tpl fld="6" item="1"/>
          <tpl hier="236" item="1"/>
          <tpl fld="4" item="4"/>
        </tpls>
      </n>
      <n v="2" in="1">
        <tpls c="4">
          <tpl fld="7" item="1028"/>
          <tpl fld="6" item="1"/>
          <tpl hier="236" item="1"/>
          <tpl fld="4" item="4"/>
        </tpls>
      </n>
      <m>
        <tpls c="4">
          <tpl fld="7" item="1070"/>
          <tpl fld="6" item="2"/>
          <tpl hier="236" item="1"/>
          <tpl fld="4" item="1"/>
        </tpls>
      </m>
      <n v="0.6" in="2">
        <tpls c="4">
          <tpl fld="7" item="450"/>
          <tpl fld="6" item="2"/>
          <tpl hier="236" item="1"/>
          <tpl fld="1" item="0"/>
        </tpls>
      </n>
      <m>
        <tpls c="4">
          <tpl fld="7" item="163"/>
          <tpl fld="6" item="2"/>
          <tpl hier="236" item="1"/>
          <tpl fld="1" item="0"/>
        </tpls>
      </m>
      <n v="1" in="1">
        <tpls c="4">
          <tpl fld="7" item="611"/>
          <tpl fld="6" item="1"/>
          <tpl hier="236" item="1"/>
          <tpl fld="4" item="4"/>
        </tpls>
      </n>
      <n v="1" in="1">
        <tpls c="4">
          <tpl fld="7" item="575"/>
          <tpl fld="6" item="1"/>
          <tpl hier="236" item="1"/>
          <tpl fld="4" item="5"/>
        </tpls>
      </n>
      <m>
        <tpls c="4">
          <tpl fld="7" item="644"/>
          <tpl fld="6" item="2"/>
          <tpl hier="236" item="1"/>
          <tpl fld="4" item="6"/>
        </tpls>
      </m>
      <m>
        <tpls c="4">
          <tpl fld="7" item="814"/>
          <tpl fld="6" item="1"/>
          <tpl hier="236" item="1"/>
          <tpl fld="1" item="0"/>
        </tpls>
      </m>
      <n v="5" in="1">
        <tpls c="4">
          <tpl fld="7" item="607"/>
          <tpl fld="6" item="1"/>
          <tpl hier="236" item="1"/>
          <tpl fld="4" item="1"/>
        </tpls>
      </n>
      <m>
        <tpls c="4">
          <tpl fld="7" item="100"/>
          <tpl fld="6" item="2"/>
          <tpl hier="236" item="1"/>
          <tpl fld="4" item="4"/>
        </tpls>
      </m>
      <m>
        <tpls c="4">
          <tpl fld="7" item="715"/>
          <tpl fld="6" item="1"/>
          <tpl hier="236" item="1"/>
          <tpl fld="4" item="6"/>
        </tpls>
      </m>
      <n v="20" in="1">
        <tpls c="4">
          <tpl fld="7" item="725"/>
          <tpl fld="6" item="1"/>
          <tpl hier="236" item="1"/>
          <tpl fld="4" item="4"/>
        </tpls>
      </n>
      <n v="4" in="1">
        <tpls c="4">
          <tpl fld="7" item="907"/>
          <tpl fld="6" item="1"/>
          <tpl hier="236" item="1"/>
          <tpl fld="4" item="4"/>
        </tpls>
      </n>
      <m>
        <tpls c="4">
          <tpl fld="7" item="40"/>
          <tpl fld="6" item="2"/>
          <tpl hier="236" item="1"/>
          <tpl fld="1" item="0"/>
        </tpls>
      </m>
      <m>
        <tpls c="3">
          <tpl fld="7" item="713"/>
          <tpl fld="6" item="3"/>
          <tpl hier="236" item="1"/>
        </tpls>
      </m>
      <m>
        <tpls c="4">
          <tpl fld="7" item="1096"/>
          <tpl fld="6" item="2"/>
          <tpl hier="236" item="1"/>
          <tpl fld="4" item="6"/>
        </tpls>
      </m>
      <m>
        <tpls c="4">
          <tpl fld="7" item="735"/>
          <tpl fld="6" item="1"/>
          <tpl hier="236" item="1"/>
          <tpl fld="4" item="5"/>
        </tpls>
      </m>
      <m>
        <tpls c="4">
          <tpl fld="7" item="661"/>
          <tpl fld="6" item="1"/>
          <tpl hier="236" item="1"/>
          <tpl fld="4" item="1"/>
        </tpls>
      </m>
      <m>
        <tpls c="4">
          <tpl fld="7" item="999"/>
          <tpl fld="6" item="2"/>
          <tpl hier="236" item="1"/>
          <tpl fld="4" item="6"/>
        </tpls>
      </m>
      <n v="1" in="1">
        <tpls c="4">
          <tpl fld="7" item="1008"/>
          <tpl fld="6" item="1"/>
          <tpl hier="236" item="1"/>
          <tpl fld="4" item="6"/>
        </tpls>
      </n>
      <m>
        <tpls c="4">
          <tpl fld="7" item="855"/>
          <tpl fld="6" item="2"/>
          <tpl hier="236" item="1"/>
          <tpl fld="4" item="4"/>
        </tpls>
      </m>
      <m>
        <tpls c="4">
          <tpl fld="7" item="868"/>
          <tpl fld="6" item="1"/>
          <tpl hier="236" item="1"/>
          <tpl fld="4" item="4"/>
        </tpls>
      </m>
      <n v="34" in="1">
        <tpls c="4">
          <tpl fld="7" item="1155"/>
          <tpl fld="6" item="1"/>
          <tpl hier="236" item="1"/>
          <tpl fld="4" item="4"/>
        </tpls>
      </n>
      <n v="0.6" in="2">
        <tpls c="4">
          <tpl fld="7" item="869"/>
          <tpl fld="6" item="2"/>
          <tpl hier="236" item="1"/>
          <tpl fld="1" item="0"/>
        </tpls>
      </n>
      <n v="0.87567567567567572" in="2">
        <tpls c="4">
          <tpl fld="7" item="367"/>
          <tpl fld="6" item="2"/>
          <tpl hier="236" item="1"/>
          <tpl fld="1" item="0"/>
        </tpls>
      </n>
      <n v="3" in="1">
        <tpls c="4">
          <tpl fld="7" item="763"/>
          <tpl fld="6" item="1"/>
          <tpl hier="236" item="1"/>
          <tpl fld="4" item="6"/>
        </tpls>
      </n>
      <n v="26" in="1">
        <tpls c="4">
          <tpl fld="7" item="562"/>
          <tpl fld="6" item="1"/>
          <tpl hier="236" item="1"/>
          <tpl fld="4" item="4"/>
        </tpls>
      </n>
      <m>
        <tpls c="4">
          <tpl fld="7" item="640"/>
          <tpl fld="6" item="1"/>
          <tpl hier="236" item="1"/>
          <tpl fld="4" item="1"/>
        </tpls>
      </m>
      <n v="23" in="1">
        <tpls c="4">
          <tpl fld="7" item="725"/>
          <tpl fld="6" item="1"/>
          <tpl hier="236" item="1"/>
          <tpl fld="1" item="0"/>
        </tpls>
      </n>
      <m>
        <tpls c="4">
          <tpl fld="7" item="651"/>
          <tpl fld="6" item="2"/>
          <tpl hier="236" item="1"/>
          <tpl fld="4" item="5"/>
        </tpls>
      </m>
      <m>
        <tpls c="4">
          <tpl fld="7" item="657"/>
          <tpl fld="6" item="2"/>
          <tpl hier="236" item="1"/>
          <tpl fld="4" item="1"/>
        </tpls>
      </m>
      <m>
        <tpls c="4">
          <tpl fld="7" item="1241"/>
          <tpl fld="6" item="2"/>
          <tpl hier="236" item="1"/>
          <tpl fld="4" item="4"/>
        </tpls>
      </m>
      <n v="1" in="1">
        <tpls c="4">
          <tpl fld="7" item="1104"/>
          <tpl fld="6" item="1"/>
          <tpl hier="236" item="1"/>
          <tpl fld="4" item="4"/>
        </tpls>
      </n>
      <m>
        <tpls c="4">
          <tpl fld="7" item="846"/>
          <tpl fld="6" item="2"/>
          <tpl hier="236" item="1"/>
          <tpl fld="4" item="1"/>
        </tpls>
      </m>
      <m>
        <tpls c="3">
          <tpl fld="7" item="1221"/>
          <tpl fld="6" item="3"/>
          <tpl hier="236" item="1"/>
        </tpls>
      </m>
      <m>
        <tpls c="4">
          <tpl fld="7" item="1133"/>
          <tpl fld="6" item="2"/>
          <tpl hier="236" item="1"/>
          <tpl fld="4" item="1"/>
        </tpls>
      </m>
      <m>
        <tpls c="4">
          <tpl fld="7" item="1164"/>
          <tpl fld="6" item="2"/>
          <tpl hier="236" item="1"/>
          <tpl fld="4" item="1"/>
        </tpls>
      </m>
      <m>
        <tpls c="4">
          <tpl fld="7" item="1265"/>
          <tpl fld="6" item="2"/>
          <tpl hier="236" item="1"/>
          <tpl fld="1" item="0"/>
        </tpls>
      </m>
      <m>
        <tpls c="4">
          <tpl fld="7" item="103"/>
          <tpl fld="6" item="2"/>
          <tpl hier="236" item="1"/>
          <tpl fld="1" item="0"/>
        </tpls>
      </m>
      <m>
        <tpls c="4">
          <tpl fld="7" item="405"/>
          <tpl fld="6" item="2"/>
          <tpl hier="236" item="1"/>
          <tpl fld="1" item="0"/>
        </tpls>
      </m>
      <m>
        <tpls c="4">
          <tpl fld="7" item="907"/>
          <tpl fld="6" item="2"/>
          <tpl hier="236" item="1"/>
          <tpl fld="4" item="5"/>
        </tpls>
      </m>
      <n v="3" in="1">
        <tpls c="4">
          <tpl fld="7" item="884"/>
          <tpl fld="6" item="1"/>
          <tpl hier="236" item="1"/>
          <tpl fld="1" item="0"/>
        </tpls>
      </n>
      <m>
        <tpls c="4">
          <tpl fld="7" item="818"/>
          <tpl fld="6" item="1"/>
          <tpl hier="236" item="1"/>
          <tpl fld="4" item="1"/>
        </tpls>
      </m>
      <m>
        <tpls c="3">
          <tpl fld="7" item="858"/>
          <tpl fld="6" item="3"/>
          <tpl hier="236" item="1"/>
        </tpls>
      </m>
      <n v="18.288" in="2">
        <tpls c="4">
          <tpl fld="7" item="595"/>
          <tpl fld="6" item="2"/>
          <tpl hier="236" item="1"/>
          <tpl fld="1" item="0"/>
        </tpls>
      </n>
      <m>
        <tpls c="4">
          <tpl fld="7" item="1009"/>
          <tpl fld="6" item="2"/>
          <tpl hier="236" item="1"/>
          <tpl fld="4" item="5"/>
        </tpls>
      </m>
      <m>
        <tpls c="4">
          <tpl fld="7" item="298"/>
          <tpl fld="6" item="2"/>
          <tpl hier="236" item="1"/>
          <tpl fld="4" item="5"/>
        </tpls>
      </m>
      <m>
        <tpls c="4">
          <tpl fld="7" item="122"/>
          <tpl fld="6" item="2"/>
          <tpl hier="236" item="1"/>
          <tpl fld="4" item="5"/>
        </tpls>
      </m>
      <m>
        <tpls c="4">
          <tpl fld="7" item="454"/>
          <tpl fld="6" item="2"/>
          <tpl hier="236" item="1"/>
          <tpl fld="4" item="6"/>
        </tpls>
      </m>
      <m>
        <tpls c="4">
          <tpl fld="7" item="75"/>
          <tpl fld="6" item="2"/>
          <tpl hier="236" item="1"/>
          <tpl fld="4" item="6"/>
        </tpls>
      </m>
      <m>
        <tpls c="4">
          <tpl fld="7" item="1121"/>
          <tpl fld="6" item="1"/>
          <tpl hier="236" item="1"/>
          <tpl fld="4" item="5"/>
        </tpls>
      </m>
      <m>
        <tpls c="4">
          <tpl fld="7" item="213"/>
          <tpl fld="6" item="1"/>
          <tpl hier="236" item="1"/>
          <tpl fld="4" item="5"/>
        </tpls>
      </m>
      <m>
        <tpls c="4">
          <tpl fld="7" item="179"/>
          <tpl fld="6" item="1"/>
          <tpl hier="236" item="1"/>
          <tpl fld="4" item="6"/>
        </tpls>
      </m>
      <m>
        <tpls c="4">
          <tpl fld="7" item="611"/>
          <tpl fld="6" item="1"/>
          <tpl hier="236" item="1"/>
          <tpl fld="4" item="5"/>
        </tpls>
      </m>
      <m>
        <tpls c="4">
          <tpl fld="7" item="577"/>
          <tpl fld="6" item="2"/>
          <tpl hier="236" item="1"/>
          <tpl fld="1" item="0"/>
        </tpls>
      </m>
      <n v="1" in="3">
        <tpls c="3">
          <tpl fld="7" item="761"/>
          <tpl fld="6" item="3"/>
          <tpl hier="236" item="1"/>
        </tpls>
      </n>
      <m>
        <tpls c="4">
          <tpl fld="7" item="697"/>
          <tpl fld="6" item="2"/>
          <tpl hier="236" item="1"/>
          <tpl fld="4" item="1"/>
        </tpls>
      </m>
      <n v="1" in="1">
        <tpls c="4">
          <tpl fld="7" item="573"/>
          <tpl fld="6" item="1"/>
          <tpl hier="236" item="1"/>
          <tpl fld="4" item="6"/>
        </tpls>
      </n>
      <m>
        <tpls c="4">
          <tpl fld="7" item="898"/>
          <tpl fld="6" item="2"/>
          <tpl hier="236" item="1"/>
          <tpl fld="4" item="4"/>
        </tpls>
      </m>
      <n v="1" in="1">
        <tpls c="4">
          <tpl fld="7" item="713"/>
          <tpl fld="6" item="1"/>
          <tpl hier="236" item="1"/>
          <tpl fld="4" item="1"/>
        </tpls>
      </n>
      <n v="43" in="1">
        <tpls c="4">
          <tpl fld="7" item="626"/>
          <tpl fld="6" item="1"/>
          <tpl hier="236" item="1"/>
          <tpl fld="1" item="0"/>
        </tpls>
      </n>
      <m>
        <tpls c="4">
          <tpl fld="7" item="1101"/>
          <tpl fld="6" item="2"/>
          <tpl hier="236" item="1"/>
          <tpl fld="4" item="5"/>
        </tpls>
      </m>
      <m>
        <tpls c="4">
          <tpl fld="7" item="1026"/>
          <tpl fld="6" item="2"/>
          <tpl hier="236" item="1"/>
          <tpl fld="1" item="0"/>
        </tpls>
      </m>
      <m>
        <tpls c="4">
          <tpl fld="7" item="316"/>
          <tpl fld="6" item="2"/>
          <tpl hier="236" item="1"/>
          <tpl fld="4" item="1"/>
        </tpls>
      </m>
      <n v="0" in="1">
        <tpls c="4">
          <tpl fld="7" item="629"/>
          <tpl fld="6" item="1"/>
          <tpl hier="236" item="1"/>
          <tpl fld="4" item="4"/>
        </tpls>
      </n>
      <m>
        <tpls c="4">
          <tpl fld="7" item="394"/>
          <tpl fld="6" item="1"/>
          <tpl hier="236" item="1"/>
          <tpl fld="4" item="5"/>
        </tpls>
      </m>
      <m>
        <tpls c="4">
          <tpl fld="7" item="1092"/>
          <tpl fld="6" item="2"/>
          <tpl hier="236" item="1"/>
          <tpl fld="4" item="5"/>
        </tpls>
      </m>
      <m>
        <tpls c="4">
          <tpl fld="7" item="558"/>
          <tpl fld="6" item="1"/>
          <tpl hier="236" item="1"/>
          <tpl fld="4" item="1"/>
        </tpls>
      </m>
      <m>
        <tpls c="4">
          <tpl fld="7" item="656"/>
          <tpl fld="6" item="1"/>
          <tpl hier="236" item="1"/>
          <tpl fld="4" item="6"/>
        </tpls>
      </m>
      <n v="4" in="1">
        <tpls c="4">
          <tpl fld="7" item="1019"/>
          <tpl fld="6" item="1"/>
          <tpl hier="236" item="1"/>
          <tpl fld="4" item="4"/>
        </tpls>
      </n>
      <n v="0.6" in="2">
        <tpls c="4">
          <tpl fld="7" item="430"/>
          <tpl fld="6" item="2"/>
          <tpl hier="236" item="1"/>
          <tpl fld="1" item="0"/>
        </tpls>
      </n>
      <m>
        <tpls c="4">
          <tpl fld="7" item="639"/>
          <tpl fld="6" item="2"/>
          <tpl hier="236" item="1"/>
          <tpl fld="4" item="5"/>
        </tpls>
      </m>
      <m>
        <tpls c="4">
          <tpl fld="7" item="1089"/>
          <tpl fld="6" item="1"/>
          <tpl hier="236" item="1"/>
          <tpl fld="4" item="6"/>
        </tpls>
      </m>
      <m>
        <tpls c="4">
          <tpl fld="7" item="814"/>
          <tpl fld="6" item="2"/>
          <tpl hier="236" item="1"/>
          <tpl fld="4" item="1"/>
        </tpls>
      </m>
      <m>
        <tpls c="4">
          <tpl fld="7" item="581"/>
          <tpl fld="6" item="2"/>
          <tpl hier="236" item="1"/>
          <tpl fld="4" item="5"/>
        </tpls>
      </m>
      <m>
        <tpls c="4">
          <tpl fld="7" item="828"/>
          <tpl fld="6" item="1"/>
          <tpl hier="236" item="1"/>
          <tpl fld="1" item="0"/>
        </tpls>
      </m>
      <m>
        <tpls c="4">
          <tpl fld="7" item="1149"/>
          <tpl fld="6" item="1"/>
          <tpl hier="236" item="1"/>
          <tpl fld="4" item="4"/>
        </tpls>
      </m>
      <n v="3" in="1">
        <tpls c="4">
          <tpl fld="7" item="783"/>
          <tpl fld="6" item="1"/>
          <tpl hier="236" item="1"/>
          <tpl fld="1" item="0"/>
        </tpls>
      </n>
      <m>
        <tpls c="4">
          <tpl fld="7" item="805"/>
          <tpl fld="6" item="2"/>
          <tpl hier="236" item="1"/>
          <tpl fld="4" item="5"/>
        </tpls>
      </m>
      <m>
        <tpls c="4">
          <tpl fld="7" item="1282"/>
          <tpl fld="6" item="2"/>
          <tpl hier="236" item="1"/>
          <tpl fld="4" item="4"/>
        </tpls>
      </m>
      <m>
        <tpls c="4">
          <tpl fld="7" item="1215"/>
          <tpl fld="6" item="2"/>
          <tpl hier="236" item="1"/>
          <tpl fld="4" item="4"/>
        </tpls>
      </m>
      <m>
        <tpls c="4">
          <tpl fld="7" item="747"/>
          <tpl fld="6" item="2"/>
          <tpl hier="236" item="1"/>
          <tpl fld="4" item="6"/>
        </tpls>
      </m>
      <m>
        <tpls c="4">
          <tpl fld="7" item="1113"/>
          <tpl fld="6" item="1"/>
          <tpl hier="236" item="1"/>
          <tpl fld="4" item="4"/>
        </tpls>
      </m>
      <m>
        <tpls c="3">
          <tpl fld="7" item="1196"/>
          <tpl fld="6" item="3"/>
          <tpl hier="236" item="1"/>
        </tpls>
      </m>
      <m>
        <tpls c="4">
          <tpl fld="7" item="1152"/>
          <tpl fld="6" item="2"/>
          <tpl hier="236" item="1"/>
          <tpl fld="4" item="1"/>
        </tpls>
      </m>
      <m>
        <tpls c="4">
          <tpl fld="7" item="1246"/>
          <tpl fld="6" item="2"/>
          <tpl hier="236" item="1"/>
          <tpl fld="1" item="0"/>
        </tpls>
      </m>
      <m>
        <tpls c="4">
          <tpl fld="7" item="187"/>
          <tpl fld="6" item="2"/>
          <tpl hier="236" item="1"/>
          <tpl fld="1" item="0"/>
        </tpls>
      </m>
      <m>
        <tpls c="4">
          <tpl fld="7" item="925"/>
          <tpl fld="6" item="2"/>
          <tpl hier="236" item="1"/>
          <tpl fld="4" item="5"/>
        </tpls>
      </m>
      <m>
        <tpls c="4">
          <tpl fld="7" item="781"/>
          <tpl fld="6" item="1"/>
          <tpl hier="236" item="1"/>
          <tpl fld="4" item="6"/>
        </tpls>
      </m>
      <m>
        <tpls c="4">
          <tpl fld="7" item="894"/>
          <tpl fld="6" item="2"/>
          <tpl hier="236" item="1"/>
          <tpl fld="4" item="5"/>
        </tpls>
      </m>
      <n v="37" in="1">
        <tpls c="4">
          <tpl fld="7" item="1209"/>
          <tpl fld="6" item="1"/>
          <tpl hier="236" item="1"/>
          <tpl fld="4" item="4"/>
        </tpls>
      </n>
      <m>
        <tpls c="4">
          <tpl fld="7" item="849"/>
          <tpl fld="6" item="2"/>
          <tpl hier="236" item="1"/>
          <tpl fld="4" item="5"/>
        </tpls>
      </m>
      <m>
        <tpls c="4">
          <tpl fld="7" item="51"/>
          <tpl fld="6" item="2"/>
          <tpl hier="236" item="1"/>
          <tpl fld="4" item="5"/>
        </tpls>
      </m>
      <m>
        <tpls c="4">
          <tpl fld="7" item="1117"/>
          <tpl fld="6" item="2"/>
          <tpl hier="236" item="1"/>
          <tpl fld="4" item="6"/>
        </tpls>
      </m>
      <m>
        <tpls c="4">
          <tpl fld="7" item="79"/>
          <tpl fld="6" item="2"/>
          <tpl hier="236" item="1"/>
          <tpl fld="4" item="6"/>
        </tpls>
      </m>
      <n v="2" in="1">
        <tpls c="4">
          <tpl fld="7" item="1106"/>
          <tpl fld="6" item="1"/>
          <tpl hier="236" item="1"/>
          <tpl fld="4" item="5"/>
        </tpls>
      </n>
      <m>
        <tpls c="4">
          <tpl fld="7" item="69"/>
          <tpl fld="6" item="1"/>
          <tpl hier="236" item="1"/>
          <tpl fld="4" item="5"/>
        </tpls>
      </m>
      <m>
        <tpls c="4">
          <tpl fld="7" item="1058"/>
          <tpl fld="6" item="1"/>
          <tpl hier="236" item="1"/>
          <tpl fld="4" item="1"/>
        </tpls>
      </m>
      <m>
        <tpls c="4">
          <tpl fld="7" item="1006"/>
          <tpl fld="6" item="1"/>
          <tpl hier="236" item="1"/>
          <tpl fld="4" item="1"/>
        </tpls>
      </m>
      <n v="1" in="1">
        <tpls c="4">
          <tpl fld="7" item="102"/>
          <tpl fld="6" item="1"/>
          <tpl hier="236" item="1"/>
          <tpl fld="4" item="1"/>
        </tpls>
      </n>
      <m>
        <tpls c="4">
          <tpl fld="7" item="28"/>
          <tpl fld="6" item="1"/>
          <tpl hier="236" item="1"/>
          <tpl fld="4" item="1"/>
        </tpls>
      </m>
      <m>
        <tpls c="4">
          <tpl fld="7" item="833"/>
          <tpl fld="6" item="1"/>
          <tpl hier="236" item="1"/>
          <tpl fld="1" item="0"/>
        </tpls>
      </m>
      <m>
        <tpls c="4">
          <tpl fld="7" item="1240"/>
          <tpl fld="6" item="2"/>
          <tpl hier="236" item="1"/>
          <tpl fld="4" item="5"/>
        </tpls>
      </m>
      <m>
        <tpls c="4">
          <tpl fld="7" item="900"/>
          <tpl fld="6" item="2"/>
          <tpl hier="236" item="1"/>
          <tpl fld="4" item="4"/>
        </tpls>
      </m>
      <m>
        <tpls c="4">
          <tpl fld="7" item="1070"/>
          <tpl fld="6" item="1"/>
          <tpl hier="236" item="1"/>
          <tpl fld="4" item="4"/>
        </tpls>
      </m>
      <m>
        <tpls c="4">
          <tpl fld="7" item="0"/>
          <tpl fld="6" item="2"/>
          <tpl hier="236" item="1"/>
          <tpl fld="1" item="0"/>
        </tpls>
      </m>
      <n v="58" in="1">
        <tpls c="4">
          <tpl fld="7" item="688"/>
          <tpl fld="6" item="1"/>
          <tpl hier="236" item="1"/>
          <tpl fld="1" item="0"/>
        </tpls>
      </n>
      <m>
        <tpls c="4">
          <tpl fld="7" item="990"/>
          <tpl fld="6" item="2"/>
          <tpl hier="236" item="1"/>
          <tpl fld="4" item="5"/>
        </tpls>
      </m>
      <m>
        <tpls c="4">
          <tpl fld="7" item="557"/>
          <tpl fld="6" item="2"/>
          <tpl hier="236" item="1"/>
          <tpl fld="4" item="6"/>
        </tpls>
      </m>
      <m>
        <tpls c="4">
          <tpl fld="7" item="582"/>
          <tpl fld="6" item="1"/>
          <tpl hier="236" item="1"/>
          <tpl fld="4" item="4"/>
        </tpls>
      </m>
      <m>
        <tpls c="4">
          <tpl fld="7" item="807"/>
          <tpl fld="6" item="1"/>
          <tpl hier="236" item="1"/>
          <tpl fld="4" item="5"/>
        </tpls>
      </m>
      <n v="5" in="1">
        <tpls c="4">
          <tpl fld="7" item="898"/>
          <tpl fld="6" item="1"/>
          <tpl hier="236" item="1"/>
          <tpl fld="4" item="4"/>
        </tpls>
      </n>
      <m>
        <tpls c="4">
          <tpl fld="7" item="1268"/>
          <tpl fld="6" item="2"/>
          <tpl hier="236" item="1"/>
          <tpl fld="4" item="1"/>
        </tpls>
      </m>
      <n v="0.91999999999999993" in="2">
        <tpls c="4">
          <tpl fld="7" item="381"/>
          <tpl fld="6" item="2"/>
          <tpl hier="236" item="1"/>
          <tpl fld="4" item="1"/>
        </tpls>
      </n>
      <m>
        <tpls c="4">
          <tpl fld="7" item="574"/>
          <tpl fld="6" item="2"/>
          <tpl hier="236" item="1"/>
          <tpl fld="4" item="1"/>
        </tpls>
      </m>
      <m>
        <tpls c="4">
          <tpl fld="7" item="724"/>
          <tpl fld="6" item="2"/>
          <tpl hier="236" item="1"/>
          <tpl fld="4" item="4"/>
        </tpls>
      </m>
      <n v="2" in="1">
        <tpls c="4">
          <tpl fld="7" item="891"/>
          <tpl fld="6" item="1"/>
          <tpl hier="236" item="1"/>
          <tpl fld="4" item="6"/>
        </tpls>
      </n>
      <m>
        <tpls c="4">
          <tpl fld="7" item="738"/>
          <tpl fld="6" item="1"/>
          <tpl hier="236" item="1"/>
          <tpl fld="4" item="5"/>
        </tpls>
      </m>
      <m>
        <tpls c="4">
          <tpl fld="7" item="664"/>
          <tpl fld="6" item="2"/>
          <tpl hier="236" item="1"/>
          <tpl fld="1" item="0"/>
        </tpls>
      </m>
      <n v="1" in="2">
        <tpls c="4">
          <tpl fld="7" item="836"/>
          <tpl fld="6" item="2"/>
          <tpl hier="236" item="1"/>
          <tpl fld="4" item="4"/>
        </tpls>
      </n>
      <n v="0" in="1">
        <tpls c="4">
          <tpl fld="7" item="849"/>
          <tpl fld="6" item="1"/>
          <tpl hier="236" item="1"/>
          <tpl fld="4" item="4"/>
        </tpls>
      </n>
      <m>
        <tpls c="4">
          <tpl fld="7" item="919"/>
          <tpl fld="6" item="2"/>
          <tpl hier="236" item="1"/>
          <tpl fld="4" item="1"/>
        </tpls>
      </m>
      <n v="8" in="1">
        <tpls c="4">
          <tpl fld="7" item="933"/>
          <tpl fld="6" item="1"/>
          <tpl hier="236" item="1"/>
          <tpl fld="4" item="4"/>
        </tpls>
      </n>
      <n v="1" in="1">
        <tpls c="4">
          <tpl fld="7" item="965"/>
          <tpl fld="6" item="1"/>
          <tpl hier="236" item="1"/>
          <tpl fld="4" item="4"/>
        </tpls>
      </n>
      <n v="1" in="2">
        <tpls c="4">
          <tpl fld="7" item="836"/>
          <tpl fld="6" item="2"/>
          <tpl hier="236" item="1"/>
          <tpl fld="1" item="0"/>
        </tpls>
      </n>
      <m>
        <tpls c="4">
          <tpl fld="7" item="346"/>
          <tpl fld="6" item="2"/>
          <tpl hier="236" item="1"/>
          <tpl fld="1" item="0"/>
        </tpls>
      </m>
      <m>
        <tpls c="4">
          <tpl fld="7" item="696"/>
          <tpl fld="6" item="2"/>
          <tpl hier="236" item="1"/>
          <tpl fld="1" item="0"/>
        </tpls>
      </m>
      <m>
        <tpls c="4">
          <tpl fld="7" item="635"/>
          <tpl fld="6" item="1"/>
          <tpl hier="236" item="1"/>
          <tpl fld="4" item="6"/>
        </tpls>
      </m>
      <n v="17" in="1">
        <tpls c="4">
          <tpl fld="7" item="643"/>
          <tpl fld="6" item="1"/>
          <tpl hier="236" item="1"/>
          <tpl fld="4" item="6"/>
        </tpls>
      </n>
      <n v="3" in="1">
        <tpls c="4">
          <tpl fld="7" item="728"/>
          <tpl fld="6" item="1"/>
          <tpl hier="236" item="1"/>
          <tpl fld="1" item="0"/>
        </tpls>
      </n>
      <m>
        <tpls c="4">
          <tpl fld="7" item="654"/>
          <tpl fld="6" item="2"/>
          <tpl hier="236" item="1"/>
          <tpl fld="4" item="5"/>
        </tpls>
      </m>
      <m>
        <tpls c="4">
          <tpl fld="7" item="660"/>
          <tpl fld="6" item="2"/>
          <tpl hier="236" item="1"/>
          <tpl fld="4" item="1"/>
        </tpls>
      </m>
      <m>
        <tpls c="4">
          <tpl fld="7" item="828"/>
          <tpl fld="6" item="1"/>
          <tpl hier="236" item="1"/>
          <tpl fld="4" item="4"/>
        </tpls>
      </m>
      <m>
        <tpls c="3">
          <tpl fld="7" item="1109"/>
          <tpl fld="6" item="3"/>
          <tpl hier="236" item="1"/>
        </tpls>
      </m>
      <m>
        <tpls c="4">
          <tpl fld="7" item="912"/>
          <tpl fld="6" item="1"/>
          <tpl hier="236" item="1"/>
          <tpl fld="4" item="6"/>
        </tpls>
      </m>
      <m>
        <tpls c="4">
          <tpl fld="7" item="1128"/>
          <tpl fld="6" item="2"/>
          <tpl hier="236" item="1"/>
          <tpl fld="4" item="4"/>
        </tpls>
      </m>
      <m>
        <tpls c="4">
          <tpl fld="7" item="942"/>
          <tpl fld="6" item="2"/>
          <tpl hier="236" item="1"/>
          <tpl fld="4" item="1"/>
        </tpls>
      </m>
      <m>
        <tpls c="4">
          <tpl fld="7" item="974"/>
          <tpl fld="6" item="2"/>
          <tpl hier="236" item="1"/>
          <tpl fld="4" item="1"/>
        </tpls>
      </m>
      <m>
        <tpls c="4">
          <tpl fld="7" item="521"/>
          <tpl fld="6" item="2"/>
          <tpl hier="236" item="1"/>
          <tpl fld="1" item="0"/>
        </tpls>
      </m>
      <m>
        <tpls c="4">
          <tpl fld="7" item="174"/>
          <tpl fld="6" item="2"/>
          <tpl hier="236" item="1"/>
          <tpl fld="1" item="0"/>
        </tpls>
      </m>
      <m>
        <tpls c="4">
          <tpl fld="7" item="327"/>
          <tpl fld="6" item="2"/>
          <tpl hier="236" item="1"/>
          <tpl fld="1" item="0"/>
        </tpls>
      </m>
      <m>
        <tpls c="4">
          <tpl fld="7" item="516"/>
          <tpl fld="6" item="2"/>
          <tpl hier="236" item="1"/>
          <tpl fld="4" item="5"/>
        </tpls>
      </m>
      <m>
        <tpls c="4">
          <tpl fld="7" item="725"/>
          <tpl fld="6" item="2"/>
          <tpl hier="236" item="1"/>
          <tpl fld="4" item="6"/>
        </tpls>
      </m>
      <m>
        <tpls c="4">
          <tpl fld="7" item="1104"/>
          <tpl fld="6" item="2"/>
          <tpl hier="236" item="1"/>
          <tpl fld="4" item="1"/>
        </tpls>
      </m>
      <n v="3" in="1">
        <tpls c="4">
          <tpl fld="7" item="1257"/>
          <tpl fld="6" item="1"/>
          <tpl hier="236" item="1"/>
          <tpl fld="4" item="4"/>
        </tpls>
      </n>
      <m>
        <tpls c="4">
          <tpl fld="7" item="472"/>
          <tpl fld="6" item="2"/>
          <tpl hier="236" item="1"/>
          <tpl fld="1" item="0"/>
        </tpls>
      </m>
      <m>
        <tpls c="4">
          <tpl fld="7" item="362"/>
          <tpl fld="6" item="2"/>
          <tpl hier="236" item="1"/>
          <tpl fld="4" item="5"/>
        </tpls>
      </m>
      <m>
        <tpls c="4">
          <tpl fld="7" item="671"/>
          <tpl fld="6" item="2"/>
          <tpl hier="236" item="1"/>
          <tpl fld="4" item="5"/>
        </tpls>
      </m>
      <m>
        <tpls c="4">
          <tpl fld="7" item="1195"/>
          <tpl fld="6" item="2"/>
          <tpl hier="236" item="1"/>
          <tpl fld="4" item="6"/>
        </tpls>
      </m>
      <m>
        <tpls c="4">
          <tpl fld="7" item="422"/>
          <tpl fld="6" item="2"/>
          <tpl hier="236" item="1"/>
          <tpl fld="4" item="6"/>
        </tpls>
      </m>
      <m>
        <tpls c="4">
          <tpl fld="7" item="26"/>
          <tpl fld="6" item="2"/>
          <tpl hier="236" item="1"/>
          <tpl fld="4" item="6"/>
        </tpls>
      </m>
      <m>
        <tpls c="4">
          <tpl fld="7" item="380"/>
          <tpl fld="6" item="1"/>
          <tpl hier="236" item="1"/>
          <tpl fld="4" item="5"/>
        </tpls>
      </m>
      <m>
        <tpls c="4">
          <tpl fld="7" item="72"/>
          <tpl fld="6" item="1"/>
          <tpl hier="236" item="1"/>
          <tpl fld="4" item="5"/>
        </tpls>
      </m>
      <m>
        <tpls c="4">
          <tpl fld="7" item="1061"/>
          <tpl fld="6" item="1"/>
          <tpl hier="236" item="1"/>
          <tpl fld="4" item="1"/>
        </tpls>
      </m>
      <m>
        <tpls c="4">
          <tpl fld="7" item="1111"/>
          <tpl fld="6" item="1"/>
          <tpl hier="236" item="1"/>
          <tpl fld="4" item="1"/>
        </tpls>
      </m>
      <m>
        <tpls c="4">
          <tpl fld="7" item="309"/>
          <tpl fld="6" item="1"/>
          <tpl hier="236" item="1"/>
          <tpl fld="4" item="1"/>
        </tpls>
      </m>
      <m>
        <tpls c="4">
          <tpl fld="7" item="31"/>
          <tpl fld="6" item="1"/>
          <tpl hier="236" item="1"/>
          <tpl fld="4" item="1"/>
        </tpls>
      </m>
      <n v="5" in="1">
        <tpls c="4">
          <tpl fld="7" item="836"/>
          <tpl fld="6" item="1"/>
          <tpl hier="236" item="1"/>
          <tpl fld="1" item="0"/>
        </tpls>
      </n>
      <n v="1" in="1">
        <tpls c="4">
          <tpl fld="7" item="1096"/>
          <tpl fld="6" item="1"/>
          <tpl hier="236" item="1"/>
          <tpl fld="4" item="5"/>
        </tpls>
      </n>
      <m>
        <tpls c="4">
          <tpl fld="7" item="1002"/>
          <tpl fld="6" item="2"/>
          <tpl hier="236" item="1"/>
          <tpl fld="4" item="1"/>
        </tpls>
      </m>
      <m>
        <tpls c="4">
          <tpl fld="7" item="1064"/>
          <tpl fld="6" item="1"/>
          <tpl hier="236" item="1"/>
          <tpl fld="4" item="4"/>
        </tpls>
      </m>
      <m>
        <tpls c="4">
          <tpl fld="7" item="288"/>
          <tpl fld="6" item="2"/>
          <tpl hier="236" item="1"/>
          <tpl fld="4" item="4"/>
        </tpls>
      </m>
      <m>
        <tpls c="4">
          <tpl fld="7" item="443"/>
          <tpl fld="6" item="2"/>
          <tpl hier="236" item="1"/>
          <tpl fld="4" item="4"/>
        </tpls>
      </m>
      <m>
        <tpls c="4">
          <tpl fld="7" item="718"/>
          <tpl fld="6" item="2"/>
          <tpl hier="236" item="1"/>
          <tpl fld="1" item="0"/>
        </tpls>
      </m>
      <n v="1" in="1">
        <tpls c="4">
          <tpl fld="7" item="785"/>
          <tpl fld="6" item="1"/>
          <tpl hier="236" item="1"/>
          <tpl fld="4" item="1"/>
        </tpls>
      </n>
      <m>
        <tpls c="4">
          <tpl fld="7" item="722"/>
          <tpl fld="6" item="2"/>
          <tpl hier="236" item="1"/>
          <tpl fld="4" item="1"/>
        </tpls>
      </m>
      <m>
        <tpls c="4">
          <tpl fld="7" item="994"/>
          <tpl fld="6" item="1"/>
          <tpl hier="236" item="1"/>
          <tpl fld="1" item="0"/>
        </tpls>
      </m>
      <m>
        <tpls c="4">
          <tpl fld="7" item="1007"/>
          <tpl fld="6" item="2"/>
          <tpl hier="236" item="1"/>
          <tpl fld="4" item="4"/>
        </tpls>
      </m>
      <m>
        <tpls c="4">
          <tpl fld="7" item="1236"/>
          <tpl fld="6" item="2"/>
          <tpl hier="236" item="1"/>
          <tpl fld="4" item="1"/>
        </tpls>
      </m>
      <m>
        <tpls c="4">
          <tpl fld="7" item="545"/>
          <tpl fld="6" item="2"/>
          <tpl hier="236" item="1"/>
          <tpl fld="4" item="4"/>
        </tpls>
      </m>
      <n v="1" in="1">
        <tpls c="4">
          <tpl fld="7" item="637"/>
          <tpl fld="6" item="1"/>
          <tpl hier="236" item="1"/>
          <tpl fld="1" item="0"/>
        </tpls>
      </n>
      <n v="0" in="1">
        <tpls c="4">
          <tpl fld="7" item="645"/>
          <tpl fld="6" item="1"/>
          <tpl hier="236" item="1"/>
          <tpl fld="4" item="1"/>
        </tpls>
      </n>
      <m>
        <tpls c="4">
          <tpl fld="7" item="995"/>
          <tpl fld="6" item="2"/>
          <tpl hier="236" item="1"/>
          <tpl fld="4" item="6"/>
        </tpls>
      </m>
      <m>
        <tpls c="4">
          <tpl fld="7" item="659"/>
          <tpl fld="6" item="1"/>
          <tpl hier="236" item="1"/>
          <tpl fld="4" item="1"/>
        </tpls>
      </m>
      <n v="28" in="1">
        <tpls c="4">
          <tpl fld="7" item="745"/>
          <tpl fld="6" item="1"/>
          <tpl hier="236" item="1"/>
          <tpl fld="1" item="0"/>
        </tpls>
      </n>
      <m>
        <tpls c="4">
          <tpl fld="7" item="838"/>
          <tpl fld="6" item="1"/>
          <tpl hier="236" item="1"/>
          <tpl fld="4" item="4"/>
        </tpls>
      </m>
      <m>
        <tpls c="4">
          <tpl fld="7" item="1265"/>
          <tpl fld="6" item="2"/>
          <tpl hier="236" item="1"/>
          <tpl fld="4" item="1"/>
        </tpls>
      </m>
      <m>
        <tpls c="3">
          <tpl fld="7" item="1024"/>
          <tpl fld="6" item="3"/>
          <tpl hier="236" item="1"/>
        </tpls>
      </m>
      <m>
        <tpls c="4">
          <tpl fld="7" item="1144"/>
          <tpl fld="6" item="1"/>
          <tpl hier="236" item="1"/>
          <tpl fld="4" item="4"/>
        </tpls>
      </m>
      <n v="1" in="1">
        <tpls c="4">
          <tpl fld="7" item="1176"/>
          <tpl fld="6" item="1"/>
          <tpl hier="236" item="1"/>
          <tpl fld="4" item="4"/>
        </tpls>
      </n>
      <m>
        <tpls c="4">
          <tpl fld="7" item="311"/>
          <tpl fld="6" item="2"/>
          <tpl hier="236" item="1"/>
          <tpl fld="1" item="0"/>
        </tpls>
      </m>
      <m>
        <tpls c="4">
          <tpl fld="7" item="980"/>
          <tpl fld="6" item="2"/>
          <tpl hier="236" item="1"/>
          <tpl fld="1" item="0"/>
        </tpls>
      </m>
      <m>
        <tpls c="4">
          <tpl fld="7" item="554"/>
          <tpl fld="6" item="1"/>
          <tpl hier="236" item="1"/>
          <tpl fld="4" item="4"/>
        </tpls>
      </m>
      <m>
        <tpls c="4">
          <tpl fld="7" item="799"/>
          <tpl fld="6" item="2"/>
          <tpl hier="236" item="1"/>
          <tpl fld="4" item="4"/>
        </tpls>
      </m>
      <n v="43" in="1">
        <tpls c="4">
          <tpl fld="7" item="587"/>
          <tpl fld="6" item="1"/>
          <tpl hier="236" item="1"/>
          <tpl fld="1" item="0"/>
        </tpls>
      </n>
      <m>
        <tpls c="4">
          <tpl fld="7" item="649"/>
          <tpl fld="6" item="2"/>
          <tpl hier="236" item="1"/>
          <tpl fld="4" item="5"/>
        </tpls>
      </m>
      <m>
        <tpls c="4">
          <tpl fld="7" item="655"/>
          <tpl fld="6" item="2"/>
          <tpl hier="236" item="1"/>
          <tpl fld="4" item="1"/>
        </tpls>
      </m>
      <m>
        <tpls c="4">
          <tpl fld="7" item="997"/>
          <tpl fld="6" item="2"/>
          <tpl hier="236" item="1"/>
          <tpl fld="4" item="4"/>
        </tpls>
      </m>
      <m>
        <tpls c="4">
          <tpl fld="7" item="829"/>
          <tpl fld="6" item="2"/>
          <tpl hier="236" item="1"/>
          <tpl fld="4" item="6"/>
        </tpls>
      </m>
      <m>
        <tpls c="4">
          <tpl fld="7" item="1192"/>
          <tpl fld="6" item="1"/>
          <tpl hier="236" item="1"/>
          <tpl fld="4" item="6"/>
        </tpls>
      </m>
      <m>
        <tpls c="4">
          <tpl fld="7" item="1017"/>
          <tpl fld="6" item="2"/>
          <tpl hier="236" item="1"/>
          <tpl fld="4" item="4"/>
        </tpls>
      </m>
      <n v="1" in="1">
        <tpls c="4">
          <tpl fld="7" item="923"/>
          <tpl fld="6" item="1"/>
          <tpl hier="236" item="1"/>
          <tpl fld="4" item="4"/>
        </tpls>
      </n>
      <m>
        <tpls c="4">
          <tpl fld="7" item="1153"/>
          <tpl fld="6" item="2"/>
          <tpl hier="236" item="1"/>
          <tpl fld="4" item="1"/>
        </tpls>
      </m>
      <m>
        <tpls c="4">
          <tpl fld="7" item="1183"/>
          <tpl fld="6" item="2"/>
          <tpl hier="236" item="1"/>
          <tpl fld="1" item="0"/>
        </tpls>
      </m>
      <m>
        <tpls c="4">
          <tpl fld="7" item="512"/>
          <tpl fld="6" item="2"/>
          <tpl hier="236" item="1"/>
          <tpl fld="1" item="0"/>
        </tpls>
      </m>
      <m>
        <tpls c="4">
          <tpl fld="7" item="49"/>
          <tpl fld="6" item="2"/>
          <tpl hier="236" item="1"/>
          <tpl fld="1" item="0"/>
        </tpls>
      </m>
      <m>
        <tpls c="4">
          <tpl fld="7" item="1130"/>
          <tpl fld="6" item="2"/>
          <tpl hier="236" item="1"/>
          <tpl fld="4" item="5"/>
        </tpls>
      </m>
      <m>
        <tpls c="4">
          <tpl fld="7" item="507"/>
          <tpl fld="6" item="2"/>
          <tpl hier="236" item="1"/>
          <tpl fld="4" item="5"/>
        </tpls>
      </m>
      <n v="1" in="1">
        <tpls c="4">
          <tpl fld="7" item="810"/>
          <tpl fld="6" item="1"/>
          <tpl hier="236" item="1"/>
          <tpl fld="4" item="1"/>
        </tpls>
      </n>
      <n v="2" in="1">
        <tpls c="4">
          <tpl fld="7" item="903"/>
          <tpl fld="6" item="1"/>
          <tpl hier="236" item="1"/>
          <tpl fld="4" item="4"/>
        </tpls>
      </n>
      <n v="1" in="1">
        <tpls c="4">
          <tpl fld="7" item="1210"/>
          <tpl fld="6" item="1"/>
          <tpl hier="236" item="1"/>
          <tpl fld="4" item="4"/>
        </tpls>
      </n>
      <m>
        <tpls c="4">
          <tpl fld="7" item="229"/>
          <tpl fld="6" item="2"/>
          <tpl hier="236" item="1"/>
          <tpl fld="1" item="0"/>
        </tpls>
      </m>
      <n v="2.76" in="2">
        <tpls c="4">
          <tpl fld="7" item="353"/>
          <tpl fld="6" item="2"/>
          <tpl hier="236" item="1"/>
          <tpl fld="4" item="5"/>
        </tpls>
      </n>
      <m>
        <tpls c="4">
          <tpl fld="7" item="331"/>
          <tpl fld="6" item="2"/>
          <tpl hier="236" item="1"/>
          <tpl fld="4" item="5"/>
        </tpls>
      </m>
      <m>
        <tpls c="4">
          <tpl fld="7" item="909"/>
          <tpl fld="6" item="2"/>
          <tpl hier="236" item="1"/>
          <tpl fld="4" item="6"/>
        </tpls>
      </m>
      <m>
        <tpls c="4">
          <tpl fld="7" item="205"/>
          <tpl fld="6" item="2"/>
          <tpl hier="236" item="1"/>
          <tpl fld="4" item="6"/>
        </tpls>
      </m>
      <m>
        <tpls c="4">
          <tpl fld="7" item="17"/>
          <tpl fld="6" item="2"/>
          <tpl hier="236" item="1"/>
          <tpl fld="4" item="6"/>
        </tpls>
      </m>
      <m>
        <tpls c="4">
          <tpl fld="7" item="371"/>
          <tpl fld="6" item="1"/>
          <tpl hier="236" item="1"/>
          <tpl fld="4" item="5"/>
        </tpls>
      </m>
      <m>
        <tpls c="4">
          <tpl fld="7" item="279"/>
          <tpl fld="6" item="1"/>
          <tpl hier="236" item="1"/>
          <tpl fld="4" item="5"/>
        </tpls>
      </m>
      <m>
        <tpls c="4">
          <tpl fld="7" item="1052"/>
          <tpl fld="6" item="1"/>
          <tpl hier="236" item="1"/>
          <tpl fld="4" item="1"/>
        </tpls>
      </m>
      <n v="5" in="1">
        <tpls c="4">
          <tpl fld="7" item="1242"/>
          <tpl fld="6" item="1"/>
          <tpl hier="236" item="1"/>
          <tpl fld="4" item="1"/>
        </tpls>
      </n>
      <m>
        <tpls c="4">
          <tpl fld="7" item="299"/>
          <tpl fld="6" item="1"/>
          <tpl hier="236" item="1"/>
          <tpl fld="4" item="1"/>
        </tpls>
      </m>
      <m>
        <tpls c="4">
          <tpl fld="7" item="113"/>
          <tpl fld="6" item="1"/>
          <tpl hier="236" item="1"/>
          <tpl fld="4" item="1"/>
        </tpls>
      </m>
      <n v="8" in="1">
        <tpls c="4">
          <tpl fld="7" item="384"/>
          <tpl fld="6" item="1"/>
          <tpl hier="236" item="1"/>
          <tpl fld="1" item="0"/>
        </tpls>
      </n>
      <m>
        <tpls c="4">
          <tpl fld="7" item="649"/>
          <tpl fld="6" item="1"/>
          <tpl hier="236" item="1"/>
          <tpl fld="1" item="0"/>
        </tpls>
      </m>
      <n v="4" in="1">
        <tpls c="4">
          <tpl fld="7" item="1192"/>
          <tpl fld="6" item="1"/>
          <tpl hier="236" item="1"/>
          <tpl fld="4" item="4"/>
        </tpls>
      </n>
      <m>
        <tpls c="4">
          <tpl fld="7" item="1262"/>
          <tpl fld="6" item="2"/>
          <tpl hier="236" item="1"/>
          <tpl fld="1" item="0"/>
        </tpls>
      </m>
      <m>
        <tpls c="4">
          <tpl fld="7" item="467"/>
          <tpl fld="6" item="2"/>
          <tpl hier="236" item="1"/>
          <tpl fld="1" item="0"/>
        </tpls>
      </m>
      <n v="0.76" in="2">
        <tpls c="4">
          <tpl fld="7" item="493"/>
          <tpl fld="6" item="2"/>
          <tpl hier="236" item="1"/>
          <tpl fld="4" item="5"/>
        </tpls>
      </n>
      <m>
        <tpls c="4">
          <tpl fld="7" item="258"/>
          <tpl fld="6" item="2"/>
          <tpl hier="236" item="1"/>
          <tpl fld="4" item="5"/>
        </tpls>
      </m>
      <m>
        <tpls c="4">
          <tpl fld="7" item="908"/>
          <tpl fld="6" item="2"/>
          <tpl hier="236" item="1"/>
          <tpl fld="4" item="6"/>
        </tpls>
      </m>
      <m>
        <tpls c="4">
          <tpl fld="7" item="96"/>
          <tpl fld="6" item="2"/>
          <tpl hier="236" item="1"/>
          <tpl fld="4" item="6"/>
        </tpls>
      </m>
      <m>
        <tpls c="4">
          <tpl fld="7" item="232"/>
          <tpl fld="6" item="2"/>
          <tpl hier="236" item="1"/>
          <tpl fld="4" item="6"/>
        </tpls>
      </m>
      <m>
        <tpls c="4">
          <tpl fld="7" item="511"/>
          <tpl fld="6" item="1"/>
          <tpl hier="236" item="1"/>
          <tpl fld="4" item="5"/>
        </tpls>
      </m>
      <m>
        <tpls c="4">
          <tpl fld="7" item="334"/>
          <tpl fld="6" item="1"/>
          <tpl hier="236" item="1"/>
          <tpl fld="4" item="5"/>
        </tpls>
      </m>
      <m>
        <tpls c="3">
          <tpl fld="7" item="877"/>
          <tpl fld="6" item="3"/>
          <tpl hier="236" item="1"/>
        </tpls>
      </m>
      <m>
        <tpls c="4">
          <tpl fld="7" item="888"/>
          <tpl fld="6" item="2"/>
          <tpl hier="236" item="1"/>
          <tpl fld="4" item="1"/>
        </tpls>
      </m>
      <n v="0.80540540540540539" in="2">
        <tpls c="4">
          <tpl fld="7" item="626"/>
          <tpl fld="6" item="2"/>
          <tpl hier="236" item="1"/>
          <tpl fld="1" item="0"/>
        </tpls>
      </n>
      <m>
        <tpls c="3">
          <tpl fld="7" item="824"/>
          <tpl fld="6" item="3"/>
          <tpl hier="236" item="1"/>
        </tpls>
      </m>
      <n v="12" in="1">
        <tpls c="4">
          <tpl fld="7" item="871"/>
          <tpl fld="6" item="1"/>
          <tpl hier="236" item="1"/>
          <tpl fld="4" item="4"/>
        </tpls>
      </n>
      <m>
        <tpls c="4">
          <tpl fld="7" item="772"/>
          <tpl fld="6" item="2"/>
          <tpl hier="236" item="1"/>
          <tpl fld="4" item="5"/>
        </tpls>
      </m>
      <m>
        <tpls c="4">
          <tpl fld="7" item="814"/>
          <tpl fld="6" item="1"/>
          <tpl hier="236" item="1"/>
          <tpl fld="4" item="6"/>
        </tpls>
      </m>
      <m>
        <tpls c="4">
          <tpl fld="7" item="849"/>
          <tpl fld="6" item="2"/>
          <tpl hier="236" item="1"/>
          <tpl fld="4" item="1"/>
        </tpls>
      </m>
      <m>
        <tpls c="4">
          <tpl fld="7" item="1106"/>
          <tpl fld="6" item="2"/>
          <tpl hier="236" item="1"/>
          <tpl fld="1" item="0"/>
        </tpls>
      </m>
      <m>
        <tpls c="4">
          <tpl fld="7" item="801"/>
          <tpl fld="6" item="1"/>
          <tpl hier="236" item="1"/>
          <tpl fld="4" item="4"/>
        </tpls>
      </m>
      <m>
        <tpls c="4">
          <tpl fld="7" item="683"/>
          <tpl fld="6" item="2"/>
          <tpl hier="236" item="1"/>
          <tpl fld="4" item="5"/>
        </tpls>
      </m>
      <m>
        <tpls c="4">
          <tpl fld="7" item="277"/>
          <tpl fld="6" item="2"/>
          <tpl hier="236" item="1"/>
          <tpl fld="4" item="6"/>
        </tpls>
      </m>
      <n v="2" in="1">
        <tpls c="4">
          <tpl fld="7" item="918"/>
          <tpl fld="6" item="1"/>
          <tpl hier="236" item="1"/>
          <tpl fld="4" item="1"/>
        </tpls>
      </n>
      <m>
        <tpls c="4">
          <tpl fld="7" item="582"/>
          <tpl fld="6" item="1"/>
          <tpl hier="236" item="1"/>
          <tpl fld="4" item="5"/>
        </tpls>
      </m>
      <m>
        <tpls c="4">
          <tpl fld="7" item="1024"/>
          <tpl fld="6" item="2"/>
          <tpl hier="236" item="1"/>
          <tpl fld="4" item="5"/>
        </tpls>
      </m>
      <m>
        <tpls c="4">
          <tpl fld="7" item="980"/>
          <tpl fld="6" item="2"/>
          <tpl hier="236" item="1"/>
          <tpl fld="4" item="5"/>
        </tpls>
      </m>
      <m>
        <tpls c="4">
          <tpl fld="7" item="1023"/>
          <tpl fld="6" item="2"/>
          <tpl hier="236" item="1"/>
          <tpl fld="4" item="6"/>
        </tpls>
      </m>
      <m>
        <tpls c="4">
          <tpl fld="7" item="90"/>
          <tpl fld="6" item="2"/>
          <tpl hier="236" item="1"/>
          <tpl fld="4" item="6"/>
        </tpls>
      </m>
      <m>
        <tpls c="4">
          <tpl fld="7" item="1245"/>
          <tpl fld="6" item="1"/>
          <tpl hier="236" item="1"/>
          <tpl fld="4" item="5"/>
        </tpls>
      </m>
      <m>
        <tpls c="4">
          <tpl fld="7" item="293"/>
          <tpl fld="6" item="1"/>
          <tpl hier="236" item="1"/>
          <tpl fld="4" item="5"/>
        </tpls>
      </m>
      <m>
        <tpls c="4">
          <tpl fld="7" item="945"/>
          <tpl fld="6" item="1"/>
          <tpl hier="236" item="1"/>
          <tpl fld="4" item="1"/>
        </tpls>
      </m>
      <n v="3" in="1">
        <tpls c="4">
          <tpl fld="7" item="1102"/>
          <tpl fld="6" item="1"/>
          <tpl hier="236" item="1"/>
          <tpl fld="4" item="1"/>
        </tpls>
      </n>
      <m>
        <tpls c="4">
          <tpl fld="7" item="593"/>
          <tpl fld="6" item="1"/>
          <tpl hier="236" item="1"/>
          <tpl fld="4" item="1"/>
        </tpls>
      </m>
      <n v="0.6" in="2">
        <tpls c="4">
          <tpl fld="7" item="373"/>
          <tpl fld="6" item="2"/>
          <tpl hier="236" item="1"/>
          <tpl fld="4" item="1"/>
        </tpls>
      </n>
      <m>
        <tpls c="3">
          <tpl fld="7" item="651"/>
          <tpl fld="6" item="3"/>
          <tpl hier="236" item="1"/>
        </tpls>
      </m>
      <m>
        <tpls c="4">
          <tpl fld="7" item="1284"/>
          <tpl fld="6" item="2"/>
          <tpl hier="236" item="1"/>
          <tpl fld="4" item="4"/>
        </tpls>
      </m>
      <m>
        <tpls c="4">
          <tpl fld="7" item="912"/>
          <tpl fld="6" item="2"/>
          <tpl hier="236" item="1"/>
          <tpl fld="1" item="0"/>
        </tpls>
      </m>
      <m>
        <tpls c="4">
          <tpl fld="7" item="865"/>
          <tpl fld="6" item="2"/>
          <tpl hier="236" item="1"/>
          <tpl fld="4" item="5"/>
        </tpls>
      </m>
      <m>
        <tpls c="4">
          <tpl fld="7" item="202"/>
          <tpl fld="6" item="2"/>
          <tpl hier="236" item="1"/>
          <tpl fld="4" item="5"/>
        </tpls>
      </m>
      <m>
        <tpls c="4">
          <tpl fld="7" item="475"/>
          <tpl fld="6" item="2"/>
          <tpl hier="236" item="1"/>
          <tpl fld="4" item="5"/>
        </tpls>
      </m>
      <m>
        <tpls c="4">
          <tpl fld="7" item="842"/>
          <tpl fld="6" item="2"/>
          <tpl hier="236" item="1"/>
          <tpl fld="4" item="6"/>
        </tpls>
      </m>
      <m>
        <tpls c="4">
          <tpl fld="7" item="307"/>
          <tpl fld="6" item="2"/>
          <tpl hier="236" item="1"/>
          <tpl fld="4" item="6"/>
        </tpls>
      </m>
      <m>
        <tpls c="4">
          <tpl fld="7" item="977"/>
          <tpl fld="6" item="1"/>
          <tpl hier="236" item="1"/>
          <tpl fld="4" item="5"/>
        </tpls>
      </m>
      <n v="12" in="1">
        <tpls c="4">
          <tpl fld="7" item="1031"/>
          <tpl fld="6" item="1"/>
          <tpl hier="236" item="1"/>
          <tpl fld="4" item="6"/>
        </tpls>
      </n>
      <n v="0" in="1">
        <tpls c="4">
          <tpl fld="7" item="514"/>
          <tpl fld="6" item="1"/>
          <tpl hier="236" item="1"/>
          <tpl fld="4" item="6"/>
        </tpls>
      </n>
      <n v="5" in="1">
        <tpls c="4">
          <tpl fld="7" item="395"/>
          <tpl fld="6" item="1"/>
          <tpl hier="236" item="1"/>
          <tpl fld="4" item="1"/>
        </tpls>
      </n>
      <m>
        <tpls c="4">
          <tpl fld="7" item="243"/>
          <tpl fld="6" item="1"/>
          <tpl hier="236" item="1"/>
          <tpl fld="4" item="6"/>
        </tpls>
      </m>
      <m>
        <tpls c="4">
          <tpl fld="7" item="1090"/>
          <tpl fld="6" item="1"/>
          <tpl hier="236" item="1"/>
          <tpl fld="4" item="1"/>
        </tpls>
      </m>
      <m>
        <tpls c="4">
          <tpl fld="7" item="288"/>
          <tpl fld="6" item="2"/>
          <tpl hier="236" item="1"/>
          <tpl fld="4" item="1"/>
        </tpls>
      </m>
      <m>
        <tpls c="4">
          <tpl fld="7" item="388"/>
          <tpl fld="6" item="2"/>
          <tpl hier="236" item="1"/>
          <tpl fld="4" item="1"/>
        </tpls>
      </m>
      <m>
        <tpls c="4">
          <tpl fld="7" item="75"/>
          <tpl fld="6" item="1"/>
          <tpl hier="236" item="1"/>
          <tpl fld="4" item="4"/>
        </tpls>
      </m>
      <m>
        <tpls c="4">
          <tpl fld="7" item="800"/>
          <tpl fld="6" item="1"/>
          <tpl hier="236" item="1"/>
          <tpl fld="4" item="5"/>
        </tpls>
      </m>
      <n v="1" in="1">
        <tpls c="4">
          <tpl fld="7" item="813"/>
          <tpl fld="6" item="1"/>
          <tpl hier="236" item="1"/>
          <tpl fld="4" item="5"/>
        </tpls>
      </n>
      <m>
        <tpls c="4">
          <tpl fld="7" item="921"/>
          <tpl fld="6" item="2"/>
          <tpl hier="236" item="1"/>
          <tpl fld="4" item="1"/>
        </tpls>
      </m>
      <m>
        <tpls c="4">
          <tpl fld="7" item="119"/>
          <tpl fld="6" item="2"/>
          <tpl hier="236" item="1"/>
          <tpl fld="4" item="1"/>
        </tpls>
      </m>
      <n v="2.6799999999999997" in="2">
        <tpls c="4">
          <tpl fld="7" item="609"/>
          <tpl fld="6" item="2"/>
          <tpl hier="236" item="1"/>
          <tpl fld="1" item="0"/>
        </tpls>
      </n>
      <m>
        <tpls c="3">
          <tpl fld="7" item="1093"/>
          <tpl fld="6" item="3"/>
          <tpl hier="236" item="1"/>
        </tpls>
      </m>
      <m>
        <tpls c="4">
          <tpl fld="7" item="701"/>
          <tpl fld="6" item="1"/>
          <tpl hier="236" item="1"/>
          <tpl fld="4" item="1"/>
        </tpls>
      </m>
      <m>
        <tpls c="4">
          <tpl fld="7" item="640"/>
          <tpl fld="6" item="2"/>
          <tpl hier="236" item="1"/>
          <tpl fld="4" item="1"/>
        </tpls>
      </m>
      <m>
        <tpls c="4">
          <tpl fld="7" item="1096"/>
          <tpl fld="6" item="1"/>
          <tpl hier="236" item="1"/>
          <tpl fld="1" item="0"/>
        </tpls>
      </m>
      <m>
        <tpls c="3">
          <tpl fld="7" item="1002"/>
          <tpl fld="6" item="3"/>
          <tpl hier="236" item="1"/>
        </tpls>
      </m>
      <m>
        <tpls c="4">
          <tpl fld="7" item="1064"/>
          <tpl fld="6" item="2"/>
          <tpl hier="236" item="1"/>
          <tpl fld="4" item="1"/>
        </tpls>
      </m>
      <n v="6" in="1">
        <tpls c="4">
          <tpl fld="7" item="459"/>
          <tpl fld="6" item="1"/>
          <tpl hier="236" item="1"/>
          <tpl fld="1" item="0"/>
        </tpls>
      </n>
      <m>
        <tpls c="3">
          <tpl fld="7" item="813"/>
          <tpl fld="6" item="3"/>
          <tpl hier="236" item="1"/>
        </tpls>
      </m>
      <m>
        <tpls c="4">
          <tpl fld="7" item="886"/>
          <tpl fld="6" item="2"/>
          <tpl hier="236" item="1"/>
          <tpl fld="4" item="5"/>
        </tpls>
      </m>
      <m>
        <tpls c="4">
          <tpl fld="7" item="417"/>
          <tpl fld="6" item="2"/>
          <tpl hier="236" item="1"/>
          <tpl fld="1" item="0"/>
        </tpls>
      </m>
      <m>
        <tpls c="4">
          <tpl fld="7" item="817"/>
          <tpl fld="6" item="2"/>
          <tpl hier="236" item="1"/>
          <tpl fld="1" item="0"/>
        </tpls>
      </m>
      <m>
        <tpls c="4">
          <tpl fld="7" item="856"/>
          <tpl fld="6" item="1"/>
          <tpl hier="236" item="1"/>
          <tpl fld="4" item="4"/>
        </tpls>
      </m>
      <n v="1.4" in="2">
        <tpls c="4">
          <tpl fld="7" item="363"/>
          <tpl fld="6" item="2"/>
          <tpl hier="236" item="1"/>
          <tpl fld="1" item="0"/>
        </tpls>
      </n>
      <n v="2" in="1">
        <tpls c="4">
          <tpl fld="7" item="802"/>
          <tpl fld="6" item="1"/>
          <tpl hier="236" item="1"/>
          <tpl fld="4" item="1"/>
        </tpls>
      </n>
      <m>
        <tpls c="4">
          <tpl fld="7" item="809"/>
          <tpl fld="6" item="1"/>
          <tpl hier="236" item="1"/>
          <tpl fld="4" item="6"/>
        </tpls>
      </m>
      <m>
        <tpls c="4">
          <tpl fld="7" item="655"/>
          <tpl fld="6" item="2"/>
          <tpl hier="236" item="1"/>
          <tpl fld="4" item="5"/>
        </tpls>
      </m>
      <m>
        <tpls c="4">
          <tpl fld="7" item="663"/>
          <tpl fld="6" item="2"/>
          <tpl hier="236" item="1"/>
          <tpl fld="4" item="5"/>
        </tpls>
      </m>
      <m>
        <tpls c="4">
          <tpl fld="7" item="838"/>
          <tpl fld="6" item="2"/>
          <tpl hier="236" item="1"/>
          <tpl fld="4" item="1"/>
        </tpls>
      </m>
      <m>
        <tpls c="3">
          <tpl fld="7" item="1246"/>
          <tpl fld="6" item="3"/>
          <tpl hier="236" item="1"/>
        </tpls>
      </m>
      <m>
        <tpls c="4">
          <tpl fld="7" item="928"/>
          <tpl fld="6" item="2"/>
          <tpl hier="236" item="1"/>
          <tpl fld="4" item="1"/>
        </tpls>
      </m>
      <m>
        <tpls c="4">
          <tpl fld="7" item="1176"/>
          <tpl fld="6" item="2"/>
          <tpl hier="236" item="1"/>
          <tpl fld="4" item="1"/>
        </tpls>
      </m>
      <n v="1" in="2">
        <tpls c="4">
          <tpl fld="7" item="510"/>
          <tpl fld="6" item="2"/>
          <tpl hier="236" item="1"/>
          <tpl fld="1" item="0"/>
        </tpls>
      </n>
      <m>
        <tpls c="4">
          <tpl fld="7" item="404"/>
          <tpl fld="6" item="2"/>
          <tpl hier="236" item="1"/>
          <tpl fld="1" item="0"/>
        </tpls>
      </m>
      <m>
        <tpls c="4">
          <tpl fld="7" item="525"/>
          <tpl fld="6" item="2"/>
          <tpl hier="236" item="1"/>
          <tpl fld="4" item="5"/>
        </tpls>
      </m>
      <m>
        <tpls c="4">
          <tpl fld="7" item="729"/>
          <tpl fld="6" item="2"/>
          <tpl hier="236" item="1"/>
          <tpl fld="4" item="6"/>
        </tpls>
      </m>
      <m>
        <tpls c="4">
          <tpl fld="7" item="1125"/>
          <tpl fld="6" item="2"/>
          <tpl hier="236" item="1"/>
          <tpl fld="4" item="1"/>
        </tpls>
      </m>
      <m>
        <tpls c="4">
          <tpl fld="7" item="132"/>
          <tpl fld="6" item="2"/>
          <tpl hier="236" item="1"/>
          <tpl fld="1" item="0"/>
        </tpls>
      </m>
      <n v="3.2" in="2">
        <tpls c="4">
          <tpl fld="7" item="215"/>
          <tpl fld="6" item="2"/>
          <tpl hier="236" item="1"/>
          <tpl fld="4" item="5"/>
        </tpls>
      </n>
      <m>
        <tpls c="4">
          <tpl fld="7" item="110"/>
          <tpl fld="6" item="2"/>
          <tpl hier="236" item="1"/>
          <tpl fld="4" item="5"/>
        </tpls>
      </m>
      <m>
        <tpls c="4">
          <tpl fld="7" item="430"/>
          <tpl fld="6" item="2"/>
          <tpl hier="236" item="1"/>
          <tpl fld="4" item="6"/>
        </tpls>
      </m>
      <m>
        <tpls c="4">
          <tpl fld="7" item="231"/>
          <tpl fld="6" item="2"/>
          <tpl hier="236" item="1"/>
          <tpl fld="4" item="6"/>
        </tpls>
      </m>
      <m>
        <tpls c="4">
          <tpl fld="7" item="209"/>
          <tpl fld="6" item="1"/>
          <tpl hier="236" item="1"/>
          <tpl fld="4" item="5"/>
        </tpls>
      </m>
      <m>
        <tpls c="4">
          <tpl fld="7" item="125"/>
          <tpl fld="6" item="1"/>
          <tpl hier="236" item="1"/>
          <tpl fld="4" item="5"/>
        </tpls>
      </m>
      <m>
        <tpls c="4">
          <tpl fld="7" item="1027"/>
          <tpl fld="6" item="1"/>
          <tpl hier="236" item="1"/>
          <tpl fld="4" item="1"/>
        </tpls>
      </m>
      <m>
        <tpls c="4">
          <tpl fld="7" item="507"/>
          <tpl fld="6" item="1"/>
          <tpl hier="236" item="1"/>
          <tpl fld="4" item="1"/>
        </tpls>
      </m>
      <m>
        <tpls c="4">
          <tpl fld="7" item="277"/>
          <tpl fld="6" item="1"/>
          <tpl hier="236" item="1"/>
          <tpl fld="4" item="1"/>
        </tpls>
      </m>
      <m>
        <tpls c="4">
          <tpl fld="7" item="861"/>
          <tpl fld="6" item="1"/>
          <tpl hier="236" item="1"/>
          <tpl fld="1" item="0"/>
        </tpls>
      </m>
      <m>
        <tpls c="4">
          <tpl fld="7" item="635"/>
          <tpl fld="6" item="2"/>
          <tpl hier="236" item="1"/>
          <tpl fld="4" item="6"/>
        </tpls>
      </m>
      <m>
        <tpls c="3">
          <tpl fld="7" item="660"/>
          <tpl fld="6" item="3"/>
          <tpl hier="236" item="1"/>
        </tpls>
      </m>
      <m>
        <tpls c="4">
          <tpl fld="7" item="1248"/>
          <tpl fld="6" item="1"/>
          <tpl hier="236" item="1"/>
          <tpl fld="4" item="4"/>
        </tpls>
      </m>
      <m>
        <tpls c="4">
          <tpl fld="7" item="69"/>
          <tpl fld="6" item="2"/>
          <tpl hier="236" item="1"/>
          <tpl fld="1" item="0"/>
        </tpls>
      </m>
      <n v="1.6800000000000002" in="2">
        <tpls c="6">
          <tpl fld="3" item="0"/>
          <tpl fld="11" item="0"/>
          <tpl fld="6" item="2"/>
          <tpl hier="236" item="1"/>
          <tpl fld="4" item="3"/>
          <tpl fld="10" item="4"/>
        </tpls>
      </n>
      <m>
        <tpls c="4">
          <tpl fld="7" item="799"/>
          <tpl fld="6" item="1"/>
          <tpl hier="236" item="1"/>
          <tpl fld="4" item="5"/>
        </tpls>
      </m>
      <m>
        <tpls c="4">
          <tpl fld="7" item="773"/>
          <tpl fld="6" item="2"/>
          <tpl hier="236" item="1"/>
          <tpl fld="4" item="5"/>
        </tpls>
      </m>
      <m>
        <tpls c="4">
          <tpl fld="7" item="712"/>
          <tpl fld="6" item="1"/>
          <tpl hier="236" item="1"/>
          <tpl fld="4" item="6"/>
        </tpls>
      </m>
      <m>
        <tpls c="4">
          <tpl fld="7" item="570"/>
          <tpl fld="6" item="2"/>
          <tpl hier="236" item="1"/>
          <tpl fld="1" item="0"/>
        </tpls>
      </m>
      <m>
        <tpls c="4">
          <tpl fld="7" item="820"/>
          <tpl fld="6" item="2"/>
          <tpl hier="236" item="1"/>
          <tpl fld="4" item="5"/>
        </tpls>
      </m>
      <m>
        <tpls c="4">
          <tpl fld="7" item="1126"/>
          <tpl fld="6" item="2"/>
          <tpl hier="236" item="1"/>
          <tpl fld="4" item="1"/>
        </tpls>
      </m>
      <m>
        <tpls c="4">
          <tpl fld="7" item="297"/>
          <tpl fld="6" item="2"/>
          <tpl hier="236" item="1"/>
          <tpl fld="1" item="0"/>
        </tpls>
      </m>
      <n v="1" in="1">
        <tpls c="4">
          <tpl fld="7" item="702"/>
          <tpl fld="6" item="1"/>
          <tpl hier="236" item="1"/>
          <tpl fld="1" item="0"/>
        </tpls>
      </n>
      <m>
        <tpls c="4">
          <tpl fld="7" item="721"/>
          <tpl fld="6" item="2"/>
          <tpl hier="236" item="1"/>
          <tpl fld="1" item="0"/>
        </tpls>
      </m>
      <m>
        <tpls c="4">
          <tpl fld="7" item="728"/>
          <tpl fld="6" item="2"/>
          <tpl hier="236" item="1"/>
          <tpl fld="4" item="5"/>
        </tpls>
      </m>
      <m>
        <tpls c="4">
          <tpl fld="7" item="892"/>
          <tpl fld="6" item="1"/>
          <tpl hier="236" item="1"/>
          <tpl fld="4" item="6"/>
        </tpls>
      </m>
      <n v="5" in="1">
        <tpls c="4">
          <tpl fld="7" item="823"/>
          <tpl fld="6" item="1"/>
          <tpl hier="236" item="1"/>
          <tpl fld="1" item="0"/>
        </tpls>
      </n>
      <m>
        <tpls c="3">
          <tpl fld="7" item="1190"/>
          <tpl fld="6" item="3"/>
          <tpl hier="236" item="1"/>
        </tpls>
      </m>
      <m>
        <tpls c="4">
          <tpl fld="7" item="905"/>
          <tpl fld="6" item="1"/>
          <tpl hier="236" item="1"/>
          <tpl fld="4" item="6"/>
        </tpls>
      </m>
      <m>
        <tpls c="4">
          <tpl fld="7" item="856"/>
          <tpl fld="6" item="2"/>
          <tpl hier="236" item="1"/>
          <tpl fld="4" item="4"/>
        </tpls>
      </m>
      <n v="3" in="1">
        <tpls c="4">
          <tpl fld="7" item="869"/>
          <tpl fld="6" item="1"/>
          <tpl hier="236" item="1"/>
          <tpl fld="4" item="4"/>
        </tpls>
      </n>
      <n v="25" in="1">
        <tpls c="4">
          <tpl fld="7" item="951"/>
          <tpl fld="6" item="1"/>
          <tpl hier="236" item="1"/>
          <tpl fld="4" item="4"/>
        </tpls>
      </n>
      <m>
        <tpls c="4">
          <tpl fld="7" item="864"/>
          <tpl fld="6" item="2"/>
          <tpl hier="236" item="1"/>
          <tpl fld="1" item="0"/>
        </tpls>
      </m>
      <n v="1" in="2">
        <tpls c="4">
          <tpl fld="7" item="362"/>
          <tpl fld="6" item="2"/>
          <tpl hier="236" item="1"/>
          <tpl fld="1" item="0"/>
        </tpls>
      </n>
      <m>
        <tpls c="4">
          <tpl fld="7" item="390"/>
          <tpl fld="6" item="2"/>
          <tpl hier="236" item="1"/>
          <tpl fld="4" item="5"/>
        </tpls>
      </m>
      <n v="13" in="1">
        <tpls c="4">
          <tpl fld="7" item="706"/>
          <tpl fld="6" item="1"/>
          <tpl hier="236" item="1"/>
          <tpl fld="4" item="6"/>
        </tpls>
      </n>
      <m>
        <tpls c="3">
          <tpl fld="7" item="583"/>
          <tpl fld="6" item="3"/>
          <tpl hier="236" item="1"/>
        </tpls>
      </m>
      <m>
        <tpls c="4">
          <tpl fld="7" item="1096"/>
          <tpl fld="6" item="2"/>
          <tpl hier="236" item="1"/>
          <tpl fld="4" item="4"/>
        </tpls>
      </m>
      <m>
        <tpls c="4">
          <tpl fld="7" item="813"/>
          <tpl fld="6" item="2"/>
          <tpl hier="236" item="1"/>
          <tpl fld="4" item="6"/>
        </tpls>
      </m>
      <m>
        <tpls c="4">
          <tpl fld="7" item="737"/>
          <tpl fld="6" item="2"/>
          <tpl hier="236" item="1"/>
          <tpl fld="1" item="0"/>
        </tpls>
      </m>
      <m>
        <tpls c="3">
          <tpl fld="7" item="743"/>
          <tpl fld="6" item="3"/>
          <tpl hier="236" item="1"/>
        </tpls>
      </m>
      <n v="8" in="1">
        <tpls c="4">
          <tpl fld="7" item="1002"/>
          <tpl fld="6" item="1"/>
          <tpl hier="236" item="1"/>
          <tpl fld="4" item="4"/>
        </tpls>
      </n>
      <m>
        <tpls c="4">
          <tpl fld="7" item="847"/>
          <tpl fld="6" item="2"/>
          <tpl hier="236" item="1"/>
          <tpl fld="4" item="1"/>
        </tpls>
      </m>
      <m>
        <tpls c="3">
          <tpl fld="7" item="1124"/>
          <tpl fld="6" item="3"/>
          <tpl hier="236" item="1"/>
        </tpls>
      </m>
      <m>
        <tpls c="4">
          <tpl fld="7" item="1032"/>
          <tpl fld="6" item="2"/>
          <tpl hier="236" item="1"/>
          <tpl fld="4" item="1"/>
        </tpls>
      </m>
      <m>
        <tpls c="4">
          <tpl fld="7" item="960"/>
          <tpl fld="6" item="2"/>
          <tpl hier="236" item="1"/>
          <tpl fld="4" item="1"/>
        </tpls>
      </m>
      <m>
        <tpls c="4">
          <tpl fld="7" item="907"/>
          <tpl fld="6" item="2"/>
          <tpl hier="236" item="1"/>
          <tpl fld="1" item="0"/>
        </tpls>
      </m>
      <n v="0.6" in="2">
        <tpls c="4">
          <tpl fld="7" item="212"/>
          <tpl fld="6" item="2"/>
          <tpl hier="236" item="1"/>
          <tpl fld="1" item="0"/>
        </tpls>
      </n>
      <m>
        <tpls c="4">
          <tpl fld="7" item="333"/>
          <tpl fld="6" item="2"/>
          <tpl hier="236" item="1"/>
          <tpl fld="1" item="0"/>
        </tpls>
      </m>
      <m>
        <tpls c="4">
          <tpl fld="7" item="1007"/>
          <tpl fld="6" item="2"/>
          <tpl hier="236" item="1"/>
          <tpl fld="4" item="5"/>
        </tpls>
      </m>
      <n v="5" in="1">
        <tpls c="4">
          <tpl fld="7" item="569"/>
          <tpl fld="6" item="1"/>
          <tpl hier="236" item="1"/>
          <tpl fld="1" item="0"/>
        </tpls>
      </n>
      <m>
        <tpls c="4">
          <tpl fld="7" item="820"/>
          <tpl fld="6" item="1"/>
          <tpl hier="236" item="1"/>
          <tpl fld="4" item="4"/>
        </tpls>
      </m>
      <m>
        <tpls c="3">
          <tpl fld="7" item="862"/>
          <tpl fld="6" item="3"/>
          <tpl hier="236" item="1"/>
        </tpls>
      </m>
      <m>
        <tpls c="4">
          <tpl fld="7" item="83"/>
          <tpl fld="6" item="2"/>
          <tpl hier="236" item="1"/>
          <tpl fld="1" item="0"/>
        </tpls>
      </m>
      <m>
        <tpls c="4">
          <tpl fld="7" item="837"/>
          <tpl fld="6" item="2"/>
          <tpl hier="236" item="1"/>
          <tpl fld="4" item="5"/>
        </tpls>
      </m>
      <m>
        <tpls c="4">
          <tpl fld="7" item="293"/>
          <tpl fld="6" item="2"/>
          <tpl hier="236" item="1"/>
          <tpl fld="4" item="5"/>
        </tpls>
      </m>
      <m>
        <tpls c="4">
          <tpl fld="7" item="471"/>
          <tpl fld="6" item="2"/>
          <tpl hier="236" item="1"/>
          <tpl fld="4" item="5"/>
        </tpls>
      </m>
      <m>
        <tpls c="4">
          <tpl fld="7" item="449"/>
          <tpl fld="6" item="2"/>
          <tpl hier="236" item="1"/>
          <tpl fld="4" item="6"/>
        </tpls>
      </m>
      <m>
        <tpls c="4">
          <tpl fld="7" item="70"/>
          <tpl fld="6" item="2"/>
          <tpl hier="236" item="1"/>
          <tpl fld="4" item="6"/>
        </tpls>
      </m>
      <m>
        <tpls c="4">
          <tpl fld="7" item="1265"/>
          <tpl fld="6" item="1"/>
          <tpl hier="236" item="1"/>
          <tpl fld="4" item="5"/>
        </tpls>
      </m>
      <m>
        <tpls c="4">
          <tpl fld="7" item="208"/>
          <tpl fld="6" item="1"/>
          <tpl hier="236" item="1"/>
          <tpl fld="4" item="5"/>
        </tpls>
      </m>
      <m>
        <tpls c="4">
          <tpl fld="7" item="128"/>
          <tpl fld="6" item="1"/>
          <tpl hier="236" item="1"/>
          <tpl fld="4" item="5"/>
        </tpls>
      </m>
      <m>
        <tpls c="4">
          <tpl fld="7" item="1132"/>
          <tpl fld="6" item="1"/>
          <tpl hier="236" item="1"/>
          <tpl fld="4" item="1"/>
        </tpls>
      </m>
      <m>
        <tpls c="4">
          <tpl fld="7" item="510"/>
          <tpl fld="6" item="1"/>
          <tpl hier="236" item="1"/>
          <tpl fld="4" item="1"/>
        </tpls>
      </m>
      <m>
        <tpls c="4">
          <tpl fld="7" item="477"/>
          <tpl fld="6" item="1"/>
          <tpl hier="236" item="1"/>
          <tpl fld="4" item="1"/>
        </tpls>
      </m>
      <m>
        <tpls c="4">
          <tpl fld="7" item="864"/>
          <tpl fld="6" item="1"/>
          <tpl hier="236" item="1"/>
          <tpl fld="1" item="0"/>
        </tpls>
      </m>
      <m>
        <tpls c="3">
          <tpl fld="7" item="886"/>
          <tpl fld="6" item="3"/>
          <tpl hier="236" item="1"/>
        </tpls>
      </m>
      <m>
        <tpls c="4">
          <tpl fld="7" item="1215"/>
          <tpl fld="6" item="2"/>
          <tpl hier="236" item="1"/>
          <tpl fld="4" item="5"/>
        </tpls>
      </m>
      <m>
        <tpls c="3">
          <tpl fld="7" item="863"/>
          <tpl fld="6" item="3"/>
          <tpl hier="236" item="1"/>
        </tpls>
      </m>
      <m>
        <tpls c="4">
          <tpl fld="7" item="78"/>
          <tpl fld="6" item="2"/>
          <tpl hier="236" item="1"/>
          <tpl fld="1" item="0"/>
        </tpls>
      </m>
      <n v="4" in="1">
        <tpls c="4">
          <tpl fld="7" item="423"/>
          <tpl fld="6" item="1"/>
          <tpl hier="236" item="1"/>
          <tpl fld="4" item="6"/>
        </tpls>
      </n>
      <n v="0.52" in="2">
        <tpls c="4">
          <tpl fld="7" item="771"/>
          <tpl fld="6" item="2"/>
          <tpl hier="236" item="1"/>
          <tpl fld="4" item="4"/>
        </tpls>
      </n>
      <m>
        <tpls c="4">
          <tpl fld="7" item="695"/>
          <tpl fld="6" item="1"/>
          <tpl hier="236" item="1"/>
          <tpl fld="4" item="1"/>
        </tpls>
      </m>
      <m>
        <tpls c="4">
          <tpl fld="7" item="575"/>
          <tpl fld="6" item="2"/>
          <tpl hier="236" item="1"/>
          <tpl fld="4" item="4"/>
        </tpls>
      </m>
      <m>
        <tpls c="3">
          <tpl fld="7" item="719"/>
          <tpl fld="6" item="3"/>
          <tpl hier="236" item="1"/>
        </tpls>
      </m>
      <m>
        <tpls c="4">
          <tpl fld="7" item="1100"/>
          <tpl fld="6" item="2"/>
          <tpl hier="236" item="1"/>
          <tpl fld="1" item="0"/>
        </tpls>
      </m>
      <m>
        <tpls c="4">
          <tpl fld="7" item="925"/>
          <tpl fld="6" item="1"/>
          <tpl hier="236" item="1"/>
          <tpl fld="4" item="4"/>
        </tpls>
      </m>
      <m>
        <tpls c="4">
          <tpl fld="7" item="671"/>
          <tpl fld="6" item="2"/>
          <tpl hier="236" item="1"/>
          <tpl fld="1" item="0"/>
        </tpls>
      </m>
      <m>
        <tpls c="4">
          <tpl fld="7" item="563"/>
          <tpl fld="6" item="1"/>
          <tpl hier="236" item="1"/>
          <tpl fld="4" item="4"/>
        </tpls>
      </m>
      <n v="11" in="1">
        <tpls c="4">
          <tpl fld="7" item="722"/>
          <tpl fld="6" item="1"/>
          <tpl hier="236" item="1"/>
          <tpl fld="4" item="1"/>
        </tpls>
      </n>
      <m>
        <tpls c="3">
          <tpl fld="7" item="811"/>
          <tpl fld="6" item="3"/>
          <tpl hier="236" item="1"/>
        </tpls>
      </m>
      <n v="1" in="1">
        <tpls c="4">
          <tpl fld="7" item="818"/>
          <tpl fld="6" item="1"/>
          <tpl hier="236" item="1"/>
          <tpl fld="1" item="0"/>
        </tpls>
      </n>
      <m>
        <tpls c="4">
          <tpl fld="7" item="742"/>
          <tpl fld="6" item="2"/>
          <tpl hier="236" item="1"/>
          <tpl fld="4" item="5"/>
        </tpls>
      </m>
      <n v="3" in="1">
        <tpls c="4">
          <tpl fld="7" item="1216"/>
          <tpl fld="6" item="1"/>
          <tpl hier="236" item="1"/>
          <tpl fld="4" item="6"/>
        </tpls>
      </n>
      <m>
        <tpls c="4">
          <tpl fld="7" item="845"/>
          <tpl fld="6" item="2"/>
          <tpl hier="236" item="1"/>
          <tpl fld="4" item="4"/>
        </tpls>
      </m>
      <n v="3" in="1">
        <tpls c="4">
          <tpl fld="7" item="858"/>
          <tpl fld="6" item="1"/>
          <tpl hier="236" item="1"/>
          <tpl fld="4" item="4"/>
        </tpls>
      </n>
      <m>
        <tpls c="4">
          <tpl fld="7" item="1249"/>
          <tpl fld="6" item="2"/>
          <tpl hier="236" item="1"/>
          <tpl fld="4" item="1"/>
        </tpls>
      </m>
      <n v="15" in="1">
        <tpls c="4">
          <tpl fld="7" item="1162"/>
          <tpl fld="6" item="1"/>
          <tpl hier="236" item="1"/>
          <tpl fld="4" item="4"/>
        </tpls>
      </n>
      <m>
        <tpls c="4">
          <tpl fld="7" item="855"/>
          <tpl fld="6" item="2"/>
          <tpl hier="236" item="1"/>
          <tpl fld="1" item="0"/>
        </tpls>
      </m>
      <n v="26.154594594594602" in="2">
        <tpls c="4">
          <tpl fld="7" item="353"/>
          <tpl fld="6" item="2"/>
          <tpl hier="236" item="1"/>
          <tpl fld="1" item="0"/>
        </tpls>
      </n>
      <m>
        <tpls c="4">
          <tpl fld="7" item="542"/>
          <tpl fld="6" item="2"/>
          <tpl hier="236" item="1"/>
          <tpl fld="1" item="0"/>
        </tpls>
      </m>
      <m>
        <tpls c="4">
          <tpl fld="7" item="709"/>
          <tpl fld="6" item="2"/>
          <tpl hier="236" item="1"/>
          <tpl fld="1" item="0"/>
        </tpls>
      </m>
      <n v="14" in="1">
        <tpls c="4">
          <tpl fld="7" item="584"/>
          <tpl fld="6" item="1"/>
          <tpl hier="236" item="1"/>
          <tpl fld="1" item="0"/>
        </tpls>
      </n>
      <m>
        <tpls c="4">
          <tpl fld="7" item="808"/>
          <tpl fld="6" item="2"/>
          <tpl hier="236" item="1"/>
          <tpl fld="4" item="6"/>
        </tpls>
      </m>
      <m>
        <tpls c="4">
          <tpl fld="7" item="732"/>
          <tpl fld="6" item="2"/>
          <tpl hier="236" item="1"/>
          <tpl fld="1" item="0"/>
        </tpls>
      </m>
      <m>
        <tpls c="3">
          <tpl fld="7" item="738"/>
          <tpl fld="6" item="3"/>
          <tpl hier="236" item="1"/>
        </tpls>
      </m>
      <m>
        <tpls c="4">
          <tpl fld="7" item="664"/>
          <tpl fld="6" item="2"/>
          <tpl hier="236" item="1"/>
          <tpl fld="4" item="6"/>
        </tpls>
      </m>
      <m>
        <tpls c="4">
          <tpl fld="7" item="836"/>
          <tpl fld="6" item="2"/>
          <tpl hier="236" item="1"/>
          <tpl fld="4" item="1"/>
        </tpls>
      </m>
      <m>
        <tpls c="3">
          <tpl fld="7" item="1013"/>
          <tpl fld="6" item="3"/>
          <tpl hier="236" item="1"/>
        </tpls>
      </m>
      <m>
        <tpls c="4">
          <tpl fld="7" item="1278"/>
          <tpl fld="6" item="1"/>
          <tpl hier="236" item="1"/>
          <tpl fld="4" item="6"/>
        </tpls>
      </m>
      <m>
        <tpls c="4">
          <tpl fld="7" item="1139"/>
          <tpl fld="6" item="2"/>
          <tpl hier="236" item="1"/>
          <tpl fld="4" item="1"/>
        </tpls>
      </m>
      <m>
        <tpls c="4">
          <tpl fld="7" item="1171"/>
          <tpl fld="6" item="2"/>
          <tpl hier="236" item="1"/>
          <tpl fld="4" item="1"/>
        </tpls>
      </m>
      <m>
        <tpls c="4">
          <tpl fld="7" item="1004"/>
          <tpl fld="6" item="2"/>
          <tpl hier="236" item="1"/>
          <tpl fld="1" item="0"/>
        </tpls>
      </m>
      <m>
        <tpls c="4">
          <tpl fld="7" item="488"/>
          <tpl fld="6" item="2"/>
          <tpl hier="236" item="1"/>
          <tpl fld="1" item="0"/>
        </tpls>
      </m>
      <m>
        <tpls c="4">
          <tpl fld="7" item="24"/>
          <tpl fld="6" item="2"/>
          <tpl hier="236" item="1"/>
          <tpl fld="1" item="0"/>
        </tpls>
      </m>
      <m>
        <tpls c="4">
          <tpl fld="7" item="1103"/>
          <tpl fld="6" item="2"/>
          <tpl hier="236" item="1"/>
          <tpl fld="4" item="5"/>
        </tpls>
      </m>
      <m>
        <tpls c="4">
          <tpl fld="7" item="581"/>
          <tpl fld="6" item="2"/>
          <tpl hier="236" item="1"/>
          <tpl fld="4" item="1"/>
        </tpls>
      </m>
      <n v="1" in="2">
        <tpls c="4">
          <tpl fld="7" item="1100"/>
          <tpl fld="6" item="2"/>
          <tpl hier="236" item="1"/>
          <tpl fld="4" item="1"/>
        </tpls>
      </n>
      <m>
        <tpls c="4">
          <tpl fld="7" item="1131"/>
          <tpl fld="6" item="2"/>
          <tpl hier="236" item="1"/>
          <tpl fld="4" item="1"/>
        </tpls>
      </m>
      <m>
        <tpls c="4">
          <tpl fld="7" item="259"/>
          <tpl fld="6" item="2"/>
          <tpl hier="236" item="1"/>
          <tpl fld="1" item="0"/>
        </tpls>
      </m>
      <m>
        <tpls c="4">
          <tpl fld="7" item="87"/>
          <tpl fld="6" item="2"/>
          <tpl hier="236" item="1"/>
          <tpl fld="4" item="5"/>
        </tpls>
      </m>
      <m>
        <tpls c="4">
          <tpl fld="7" item="284"/>
          <tpl fld="6" item="2"/>
          <tpl hier="236" item="1"/>
          <tpl fld="4" item="5"/>
        </tpls>
      </m>
      <m>
        <tpls c="4">
          <tpl fld="7" item="469"/>
          <tpl fld="6" item="2"/>
          <tpl hier="236" item="1"/>
          <tpl fld="4" item="5"/>
        </tpls>
      </m>
      <m>
        <tpls c="4">
          <tpl fld="7" item="440"/>
          <tpl fld="6" item="2"/>
          <tpl hier="236" item="1"/>
          <tpl fld="4" item="6"/>
        </tpls>
      </m>
      <m>
        <tpls c="4">
          <tpl fld="7" item="278"/>
          <tpl fld="6" item="2"/>
          <tpl hier="236" item="1"/>
          <tpl fld="4" item="6"/>
        </tpls>
      </m>
      <m>
        <tpls c="4">
          <tpl fld="7" item="904"/>
          <tpl fld="6" item="1"/>
          <tpl hier="236" item="1"/>
          <tpl fld="4" item="5"/>
        </tpls>
      </m>
      <m>
        <tpls c="4">
          <tpl fld="7" item="199"/>
          <tpl fld="6" item="1"/>
          <tpl hier="236" item="1"/>
          <tpl fld="4" item="5"/>
        </tpls>
      </m>
      <m>
        <tpls c="4">
          <tpl fld="7" item="119"/>
          <tpl fld="6" item="1"/>
          <tpl hier="236" item="1"/>
          <tpl fld="4" item="5"/>
        </tpls>
      </m>
      <m>
        <tpls c="4">
          <tpl fld="7" item="1278"/>
          <tpl fld="6" item="1"/>
          <tpl hier="236" item="1"/>
          <tpl fld="4" item="1"/>
        </tpls>
      </m>
      <n v="12" in="1">
        <tpls c="4">
          <tpl fld="7" item="501"/>
          <tpl fld="6" item="1"/>
          <tpl hier="236" item="1"/>
          <tpl fld="4" item="1"/>
        </tpls>
      </n>
      <m>
        <tpls c="4">
          <tpl fld="7" item="261"/>
          <tpl fld="6" item="1"/>
          <tpl hier="236" item="1"/>
          <tpl fld="4" item="1"/>
        </tpls>
      </m>
      <n v="3" in="1">
        <tpls c="4">
          <tpl fld="7" item="855"/>
          <tpl fld="6" item="1"/>
          <tpl hier="236" item="1"/>
          <tpl fld="1" item="0"/>
        </tpls>
      </n>
      <m>
        <tpls c="4">
          <tpl fld="7" item="801"/>
          <tpl fld="6" item="1"/>
          <tpl hier="236" item="1"/>
          <tpl fld="4" item="5"/>
        </tpls>
      </m>
      <n v="0.8" in="2">
        <tpls c="4">
          <tpl fld="7" item="662"/>
          <tpl fld="6" item="2"/>
          <tpl hier="236" item="1"/>
          <tpl fld="1" item="0"/>
        </tpls>
      </n>
      <m>
        <tpls c="4">
          <tpl fld="7" item="1029"/>
          <tpl fld="6" item="2"/>
          <tpl hier="236" item="1"/>
          <tpl fld="4" item="1"/>
        </tpls>
      </m>
      <m>
        <tpls c="4">
          <tpl fld="7" item="48"/>
          <tpl fld="6" item="2"/>
          <tpl hier="236" item="1"/>
          <tpl fld="1" item="0"/>
        </tpls>
      </m>
      <m>
        <tpls c="4">
          <tpl fld="7" item="456"/>
          <tpl fld="6" item="2"/>
          <tpl hier="236" item="1"/>
          <tpl fld="4" item="5"/>
        </tpls>
      </m>
      <m>
        <tpls c="4">
          <tpl fld="7" item="412"/>
          <tpl fld="6" item="2"/>
          <tpl hier="236" item="1"/>
          <tpl fld="4" item="5"/>
        </tpls>
      </m>
      <m>
        <tpls c="4">
          <tpl fld="7" item="226"/>
          <tpl fld="6" item="2"/>
          <tpl hier="236" item="1"/>
          <tpl fld="4" item="5"/>
        </tpls>
      </m>
      <m>
        <tpls c="4">
          <tpl fld="7" item="368"/>
          <tpl fld="6" item="2"/>
          <tpl hier="236" item="1"/>
          <tpl fld="4" item="6"/>
        </tpls>
      </m>
      <m>
        <tpls c="4">
          <tpl fld="7" item="481"/>
          <tpl fld="6" item="2"/>
          <tpl hier="236" item="1"/>
          <tpl fld="4" item="6"/>
        </tpls>
      </m>
      <m>
        <tpls c="4">
          <tpl fld="7" item="903"/>
          <tpl fld="6" item="1"/>
          <tpl hier="236" item="1"/>
          <tpl fld="4" item="5"/>
        </tpls>
      </m>
      <m>
        <tpls c="4">
          <tpl fld="7" item="90"/>
          <tpl fld="6" item="1"/>
          <tpl hier="236" item="1"/>
          <tpl fld="4" item="5"/>
        </tpls>
      </m>
      <n v="4" in="1">
        <tpls c="4">
          <tpl fld="7" item="978"/>
          <tpl fld="6" item="1"/>
          <tpl hier="236" item="1"/>
          <tpl fld="4" item="1"/>
        </tpls>
      </n>
      <m>
        <tpls c="4">
          <tpl fld="7" item="782"/>
          <tpl fld="6" item="1"/>
          <tpl hier="236" item="1"/>
          <tpl fld="4" item="1"/>
        </tpls>
      </m>
      <m>
        <tpls c="4">
          <tpl fld="7" item="1283"/>
          <tpl fld="6" item="2"/>
          <tpl hier="236" item="1"/>
          <tpl fld="4" item="1"/>
        </tpls>
      </m>
      <n v="6" in="1">
        <tpls c="4">
          <tpl fld="7" item="813"/>
          <tpl fld="6" item="1"/>
          <tpl hier="236" item="1"/>
          <tpl fld="1" item="0"/>
        </tpls>
      </n>
      <m>
        <tpls c="3">
          <tpl fld="7" item="909"/>
          <tpl fld="6" item="3"/>
          <tpl hier="236" item="1"/>
        </tpls>
      </m>
      <m>
        <tpls c="4">
          <tpl fld="7" item="838"/>
          <tpl fld="6" item="2"/>
          <tpl hier="236" item="1"/>
          <tpl fld="1" item="0"/>
        </tpls>
      </m>
      <n v="0" in="1">
        <tpls c="4">
          <tpl fld="7" item="586"/>
          <tpl fld="6" item="1"/>
          <tpl hier="236" item="1"/>
          <tpl fld="1" item="0"/>
        </tpls>
      </n>
      <n v="1" in="1">
        <tpls c="4">
          <tpl fld="7" item="746"/>
          <tpl fld="6" item="1"/>
          <tpl hier="236" item="1"/>
          <tpl fld="4" item="4"/>
        </tpls>
      </n>
      <m>
        <tpls c="4">
          <tpl fld="7" item="941"/>
          <tpl fld="6" item="2"/>
          <tpl hier="236" item="1"/>
          <tpl fld="4" item="1"/>
        </tpls>
      </m>
      <m>
        <tpls c="4">
          <tpl fld="7" item="122"/>
          <tpl fld="6" item="2"/>
          <tpl hier="236" item="1"/>
          <tpl fld="1" item="0"/>
        </tpls>
      </m>
      <m>
        <tpls c="4">
          <tpl fld="7" item="1256"/>
          <tpl fld="6" item="1"/>
          <tpl hier="236" item="1"/>
          <tpl fld="4" item="4"/>
        </tpls>
      </m>
      <m>
        <tpls c="4">
          <tpl fld="7" item="1021"/>
          <tpl fld="6" item="2"/>
          <tpl hier="236" item="1"/>
          <tpl fld="4" item="6"/>
        </tpls>
      </m>
      <m>
        <tpls c="4">
          <tpl fld="7" item="74"/>
          <tpl fld="6" item="1"/>
          <tpl hier="236" item="1"/>
          <tpl fld="4" item="5"/>
        </tpls>
      </m>
      <m>
        <tpls c="4">
          <tpl fld="7" item="33"/>
          <tpl fld="6" item="1"/>
          <tpl hier="236" item="1"/>
          <tpl fld="4" item="1"/>
        </tpls>
      </m>
      <n v="4" in="1">
        <tpls c="4">
          <tpl fld="7" item="1060"/>
          <tpl fld="6" item="1"/>
          <tpl hier="236" item="1"/>
          <tpl fld="4" item="4"/>
        </tpls>
      </n>
      <n v="1" in="2">
        <tpls c="4">
          <tpl fld="7" item="503"/>
          <tpl fld="6" item="2"/>
          <tpl hier="236" item="1"/>
          <tpl fld="4" item="5"/>
        </tpls>
      </n>
      <m>
        <tpls c="4">
          <tpl fld="7" item="247"/>
          <tpl fld="6" item="2"/>
          <tpl hier="236" item="1"/>
          <tpl fld="4" item="5"/>
        </tpls>
      </m>
      <m>
        <tpls c="4">
          <tpl fld="7" item="371"/>
          <tpl fld="6" item="2"/>
          <tpl hier="236" item="1"/>
          <tpl fld="4" item="6"/>
        </tpls>
      </m>
      <m>
        <tpls c="4">
          <tpl fld="7" item="242"/>
          <tpl fld="6" item="2"/>
          <tpl hier="236" item="1"/>
          <tpl fld="4" item="6"/>
        </tpls>
      </m>
      <m>
        <tpls c="4">
          <tpl fld="7" item="500"/>
          <tpl fld="6" item="1"/>
          <tpl hier="236" item="1"/>
          <tpl fld="4" item="5"/>
        </tpls>
      </m>
      <m>
        <tpls c="4">
          <tpl fld="7" item="13"/>
          <tpl fld="6" item="1"/>
          <tpl hier="236" item="1"/>
          <tpl fld="4" item="5"/>
        </tpls>
      </m>
      <n v="-1" in="1">
        <tpls c="4">
          <tpl fld="7" item="1020"/>
          <tpl fld="6" item="1"/>
          <tpl hier="236" item="1"/>
          <tpl fld="4" item="1"/>
        </tpls>
      </n>
      <n v="4" in="1">
        <tpls c="4">
          <tpl fld="7" item="596"/>
          <tpl fld="6" item="1"/>
          <tpl hier="236" item="1"/>
          <tpl fld="4" item="1"/>
        </tpls>
      </n>
      <m>
        <tpls c="4">
          <tpl fld="7" item="47"/>
          <tpl fld="6" item="1"/>
          <tpl hier="236" item="1"/>
          <tpl fld="4" item="1"/>
        </tpls>
      </m>
      <m>
        <tpls c="4">
          <tpl fld="7" item="584"/>
          <tpl fld="6" item="2"/>
          <tpl hier="236" item="1"/>
          <tpl fld="4" item="6"/>
        </tpls>
      </m>
      <m>
        <tpls c="4">
          <tpl fld="7" item="664"/>
          <tpl fld="6" item="1"/>
          <tpl hier="236" item="1"/>
          <tpl fld="4" item="1"/>
        </tpls>
      </m>
      <n v="6" in="1">
        <tpls c="4">
          <tpl fld="7" item="1225"/>
          <tpl fld="6" item="1"/>
          <tpl hier="236" item="1"/>
          <tpl fld="4" item="4"/>
        </tpls>
      </n>
      <m>
        <tpls c="4">
          <tpl fld="7" item="150"/>
          <tpl fld="6" item="2"/>
          <tpl hier="236" item="1"/>
          <tpl fld="1" item="0"/>
        </tpls>
      </m>
      <m>
        <tpls c="4">
          <tpl fld="7" item="449"/>
          <tpl fld="6" item="2"/>
          <tpl hier="236" item="1"/>
          <tpl fld="4" item="5"/>
        </tpls>
      </m>
      <m>
        <tpls c="4">
          <tpl fld="7" item="49"/>
          <tpl fld="6" item="2"/>
          <tpl hier="236" item="1"/>
          <tpl fld="4" item="5"/>
        </tpls>
      </m>
      <m>
        <tpls c="4">
          <tpl fld="7" item="870"/>
          <tpl fld="6" item="2"/>
          <tpl hier="236" item="1"/>
          <tpl fld="4" item="6"/>
        </tpls>
      </m>
      <m>
        <tpls c="4">
          <tpl fld="7" item="504"/>
          <tpl fld="6" item="2"/>
          <tpl hier="236" item="1"/>
          <tpl fld="4" item="6"/>
        </tpls>
      </m>
      <m>
        <tpls c="4">
          <tpl fld="7" item="149"/>
          <tpl fld="6" item="2"/>
          <tpl hier="236" item="1"/>
          <tpl fld="4" item="6"/>
        </tpls>
      </m>
      <n v="1" in="1">
        <tpls c="4">
          <tpl fld="7" item="899"/>
          <tpl fld="6" item="1"/>
          <tpl hier="236" item="1"/>
          <tpl fld="4" item="5"/>
        </tpls>
      </n>
      <m>
        <tpls c="4">
          <tpl fld="7" item="162"/>
          <tpl fld="6" item="2"/>
          <tpl hier="236" item="1"/>
          <tpl fld="4" item="4"/>
        </tpls>
      </m>
      <m>
        <tpls c="4">
          <tpl fld="7" item="371"/>
          <tpl fld="6" item="2"/>
          <tpl hier="236" item="1"/>
          <tpl fld="4" item="4"/>
        </tpls>
      </m>
      <m>
        <tpls c="4">
          <tpl fld="7" item="412"/>
          <tpl fld="6" item="2"/>
          <tpl hier="236" item="1"/>
          <tpl fld="4" item="1"/>
        </tpls>
      </m>
      <m>
        <tpls c="4">
          <tpl fld="7" item="546"/>
          <tpl fld="6" item="2"/>
          <tpl hier="236" item="1"/>
          <tpl fld="4" item="4"/>
        </tpls>
      </m>
      <m>
        <tpls c="4">
          <tpl fld="7" item="985"/>
          <tpl fld="6" item="2"/>
          <tpl hier="236" item="1"/>
          <tpl fld="4" item="1"/>
        </tpls>
      </m>
      <m>
        <tpls c="4">
          <tpl fld="7" item="797"/>
          <tpl fld="6" item="2"/>
          <tpl hier="236" item="1"/>
          <tpl fld="4" item="1"/>
        </tpls>
      </m>
      <m>
        <tpls c="4">
          <tpl fld="7" item="35"/>
          <tpl fld="6" item="2"/>
          <tpl hier="236" item="1"/>
          <tpl fld="1" item="0"/>
        </tpls>
      </m>
      <m>
        <tpls c="4">
          <tpl fld="7" item="635"/>
          <tpl fld="6" item="1"/>
          <tpl hier="236" item="1"/>
          <tpl fld="1" item="0"/>
        </tpls>
      </m>
      <m>
        <tpls c="4">
          <tpl fld="7" item="890"/>
          <tpl fld="6" item="2"/>
          <tpl hier="236" item="1"/>
          <tpl fld="1" item="0"/>
        </tpls>
      </m>
      <n v="0" in="1">
        <tpls c="4">
          <tpl fld="7" item="1121"/>
          <tpl fld="6" item="1"/>
          <tpl hier="236" item="1"/>
          <tpl fld="4" item="4"/>
        </tpls>
      </n>
      <m>
        <tpls c="4">
          <tpl fld="7" item="34"/>
          <tpl fld="6" item="2"/>
          <tpl hier="236" item="1"/>
          <tpl fld="1" item="0"/>
        </tpls>
      </m>
      <m>
        <tpls c="4">
          <tpl fld="7" item="388"/>
          <tpl fld="6" item="2"/>
          <tpl hier="236" item="1"/>
          <tpl fld="4" item="4"/>
        </tpls>
      </m>
      <m>
        <tpls c="4">
          <tpl fld="7" item="884"/>
          <tpl fld="6" item="2"/>
          <tpl hier="236" item="1"/>
          <tpl fld="4" item="4"/>
        </tpls>
      </m>
      <m>
        <tpls c="4">
          <tpl fld="7" item="699"/>
          <tpl fld="6" item="2"/>
          <tpl hier="236" item="1"/>
          <tpl fld="4" item="1"/>
        </tpls>
      </m>
      <m>
        <tpls c="4">
          <tpl fld="7" item="1094"/>
          <tpl fld="6" item="1"/>
          <tpl hier="236" item="1"/>
          <tpl fld="4" item="5"/>
        </tpls>
      </m>
      <n v="0.8" in="2">
        <tpls c="4">
          <tpl fld="7" item="723"/>
          <tpl fld="6" item="2"/>
          <tpl hier="236" item="1"/>
          <tpl fld="1" item="0"/>
        </tpls>
      </n>
      <m>
        <tpls c="4">
          <tpl fld="7" item="667"/>
          <tpl fld="6" item="1"/>
          <tpl hier="236" item="1"/>
          <tpl fld="4" item="5"/>
        </tpls>
      </m>
      <m>
        <tpls c="4">
          <tpl fld="7" item="1048"/>
          <tpl fld="6" item="2"/>
          <tpl hier="236" item="1"/>
          <tpl fld="4" item="1"/>
        </tpls>
      </m>
      <m>
        <tpls c="4">
          <tpl fld="7" item="1078"/>
          <tpl fld="6" item="2"/>
          <tpl hier="236" item="1"/>
          <tpl fld="4" item="5"/>
        </tpls>
      </m>
      <n v="4" in="1">
        <tpls c="4">
          <tpl fld="7" item="810"/>
          <tpl fld="6" item="1"/>
          <tpl hier="236" item="1"/>
          <tpl fld="1" item="0"/>
        </tpls>
      </n>
      <n v="4" in="1">
        <tpls c="4">
          <tpl fld="7" item="622"/>
          <tpl fld="6" item="1"/>
          <tpl hier="236" item="1"/>
          <tpl fld="4" item="4"/>
        </tpls>
      </n>
      <m>
        <tpls c="4">
          <tpl fld="7" item="1233"/>
          <tpl fld="6" item="2"/>
          <tpl hier="236" item="1"/>
          <tpl fld="4" item="1"/>
        </tpls>
      </m>
      <n v="3" in="1">
        <tpls c="4">
          <tpl fld="7" item="652"/>
          <tpl fld="6" item="1"/>
          <tpl hier="236" item="1"/>
          <tpl fld="4" item="1"/>
        </tpls>
      </n>
      <m>
        <tpls c="3">
          <tpl fld="7" item="1245"/>
          <tpl fld="6" item="3"/>
          <tpl hier="236" item="1"/>
        </tpls>
      </m>
      <m>
        <tpls c="4">
          <tpl fld="7" item="833"/>
          <tpl fld="6" item="2"/>
          <tpl hier="236" item="1"/>
          <tpl fld="1" item="0"/>
        </tpls>
      </m>
      <m>
        <tpls c="4">
          <tpl fld="7" item="719"/>
          <tpl fld="6" item="2"/>
          <tpl hier="236" item="1"/>
          <tpl fld="1" item="0"/>
        </tpls>
      </m>
      <n v="1" in="2">
        <tpls c="4">
          <tpl fld="7" item="726"/>
          <tpl fld="6" item="2"/>
          <tpl hier="236" item="1"/>
          <tpl fld="1" item="0"/>
        </tpls>
      </n>
      <m>
        <tpls c="4">
          <tpl fld="7" item="1121"/>
          <tpl fld="6" item="2"/>
          <tpl hier="236" item="1"/>
          <tpl fld="4" item="4"/>
        </tpls>
      </m>
      <m>
        <tpls c="4">
          <tpl fld="7" item="1038"/>
          <tpl fld="6" item="2"/>
          <tpl hier="236" item="1"/>
          <tpl fld="4" item="1"/>
        </tpls>
      </m>
      <m>
        <tpls c="4">
          <tpl fld="7" item="1078"/>
          <tpl fld="6" item="2"/>
          <tpl hier="236" item="1"/>
          <tpl fld="4" item="1"/>
        </tpls>
      </m>
      <n v="1" in="2">
        <tpls c="4">
          <tpl fld="7" item="434"/>
          <tpl fld="6" item="2"/>
          <tpl hier="236" item="1"/>
          <tpl fld="1" item="0"/>
        </tpls>
      </n>
      <m>
        <tpls c="4">
          <tpl fld="7" item="399"/>
          <tpl fld="6" item="2"/>
          <tpl hier="236" item="1"/>
          <tpl fld="1" item="0"/>
        </tpls>
      </m>
      <m>
        <tpls c="4">
          <tpl fld="7" item="616"/>
          <tpl fld="6" item="2"/>
          <tpl hier="236" item="1"/>
          <tpl fld="4" item="1"/>
        </tpls>
      </m>
      <m>
        <tpls c="4">
          <tpl fld="7" item="800"/>
          <tpl fld="6" item="2"/>
          <tpl hier="236" item="1"/>
          <tpl fld="1" item="0"/>
        </tpls>
      </m>
      <m>
        <tpls c="4">
          <tpl fld="7" item="1240"/>
          <tpl fld="6" item="1"/>
          <tpl hier="236" item="1"/>
          <tpl fld="4" item="6"/>
        </tpls>
      </m>
      <m>
        <tpls c="4">
          <tpl fld="7" item="654"/>
          <tpl fld="6" item="2"/>
          <tpl hier="236" item="1"/>
          <tpl fld="4" item="4"/>
        </tpls>
      </m>
      <n v="1" in="1">
        <tpls c="4">
          <tpl fld="7" item="693"/>
          <tpl fld="6" item="1"/>
          <tpl hier="236" item="1"/>
          <tpl fld="4" item="1"/>
        </tpls>
      </n>
      <m>
        <tpls c="4">
          <tpl fld="7" item="616"/>
          <tpl fld="6" item="2"/>
          <tpl hier="236" item="1"/>
          <tpl fld="4" item="4"/>
        </tpls>
      </m>
      <m>
        <tpls c="4">
          <tpl fld="7" item="801"/>
          <tpl fld="6" item="1"/>
          <tpl hier="236" item="1"/>
          <tpl fld="1" item="0"/>
        </tpls>
      </m>
      <n v="0" in="1">
        <tpls c="4">
          <tpl fld="7" item="651"/>
          <tpl fld="6" item="1"/>
          <tpl hier="236" item="1"/>
          <tpl fld="4" item="6"/>
        </tpls>
      </n>
      <m>
        <tpls c="4">
          <tpl fld="7" item="926"/>
          <tpl fld="6" item="2"/>
          <tpl hier="236" item="1"/>
          <tpl fld="4" item="1"/>
        </tpls>
      </m>
      <n v="4" in="1">
        <tpls c="4">
          <tpl fld="7" item="439"/>
          <tpl fld="6" item="1"/>
          <tpl hier="236" item="1"/>
          <tpl fld="4" item="4"/>
        </tpls>
      </n>
      <m>
        <tpls c="4">
          <tpl fld="7" item="1188"/>
          <tpl fld="6" item="2"/>
          <tpl hier="236" item="1"/>
          <tpl fld="4" item="4"/>
        </tpls>
      </m>
      <m>
        <tpls c="4">
          <tpl fld="7" item="1097"/>
          <tpl fld="6" item="1"/>
          <tpl hier="236" item="1"/>
          <tpl fld="4" item="6"/>
        </tpls>
      </m>
      <m>
        <tpls c="4">
          <tpl fld="7" item="996"/>
          <tpl fld="6" item="1"/>
          <tpl hier="236" item="1"/>
          <tpl fld="4" item="6"/>
        </tpls>
      </m>
      <n v="2" in="1">
        <tpls c="4">
          <tpl fld="7" item="824"/>
          <tpl fld="6" item="1"/>
          <tpl hier="236" item="1"/>
          <tpl fld="1" item="0"/>
        </tpls>
      </n>
      <m>
        <tpls c="4">
          <tpl fld="7" item="1001"/>
          <tpl fld="6" item="2"/>
          <tpl hier="236" item="1"/>
          <tpl fld="4" item="1"/>
        </tpls>
      </m>
      <m>
        <tpls c="3">
          <tpl fld="7" item="1284"/>
          <tpl fld="6" item="3"/>
          <tpl hier="236" item="1"/>
        </tpls>
      </m>
      <m>
        <tpls c="4">
          <tpl fld="7" item="1020"/>
          <tpl fld="6" item="1"/>
          <tpl hier="236" item="1"/>
          <tpl fld="4" item="6"/>
        </tpls>
      </m>
      <m>
        <tpls c="4">
          <tpl fld="7" item="871"/>
          <tpl fld="6" item="2"/>
          <tpl hier="236" item="1"/>
          <tpl fld="4" item="4"/>
        </tpls>
      </m>
      <m>
        <tpls c="4">
          <tpl fld="7" item="1163"/>
          <tpl fld="6" item="1"/>
          <tpl hier="236" item="1"/>
          <tpl fld="4" item="4"/>
        </tpls>
      </m>
      <n v="1" in="2">
        <tpls c="4">
          <tpl fld="7" item="853"/>
          <tpl fld="6" item="2"/>
          <tpl hier="236" item="1"/>
          <tpl fld="1" item="0"/>
        </tpls>
      </n>
      <n v="13.229729729729732" in="2">
        <tpls c="4">
          <tpl fld="7" item="215"/>
          <tpl fld="6" item="2"/>
          <tpl hier="236" item="1"/>
          <tpl fld="1" item="0"/>
        </tpls>
      </n>
      <n v="1" in="1">
        <tpls c="4">
          <tpl fld="7" item="611"/>
          <tpl fld="6" item="1"/>
          <tpl hier="236" item="1"/>
          <tpl fld="4" item="1"/>
        </tpls>
      </n>
      <m>
        <tpls c="4">
          <tpl fld="7" item="630"/>
          <tpl fld="6" item="2"/>
          <tpl hier="236" item="1"/>
          <tpl fld="1" item="0"/>
        </tpls>
      </m>
      <n v="24" in="1">
        <tpls c="4">
          <tpl fld="7" item="803"/>
          <tpl fld="6" item="1"/>
          <tpl hier="236" item="1"/>
          <tpl fld="1" item="0"/>
        </tpls>
      </n>
      <m>
        <tpls c="4">
          <tpl fld="7" item="1240"/>
          <tpl fld="6" item="2"/>
          <tpl hier="236" item="1"/>
          <tpl fld="4" item="4"/>
        </tpls>
      </m>
      <m>
        <tpls c="4">
          <tpl fld="7" item="814"/>
          <tpl fld="6" item="2"/>
          <tpl hier="236" item="1"/>
          <tpl fld="4" item="6"/>
        </tpls>
      </m>
      <m>
        <tpls c="4">
          <tpl fld="7" item="738"/>
          <tpl fld="6" item="2"/>
          <tpl hier="236" item="1"/>
          <tpl fld="1" item="0"/>
        </tpls>
      </m>
      <m>
        <tpls c="4">
          <tpl fld="7" item="744"/>
          <tpl fld="6" item="2"/>
          <tpl hier="236" item="1"/>
          <tpl fld="4" item="6"/>
        </tpls>
      </m>
      <m>
        <tpls c="4">
          <tpl fld="7" item="1191"/>
          <tpl fld="6" item="2"/>
          <tpl hier="236" item="1"/>
          <tpl fld="4" item="4"/>
        </tpls>
      </m>
      <n v="40" in="1">
        <tpls c="4">
          <tpl fld="7" item="1116"/>
          <tpl fld="6" item="1"/>
          <tpl hier="236" item="1"/>
          <tpl fld="4" item="4"/>
        </tpls>
      </n>
      <m>
        <tpls c="4">
          <tpl fld="7" item="862"/>
          <tpl fld="6" item="2"/>
          <tpl hier="236" item="1"/>
          <tpl fld="4" item="1"/>
        </tpls>
      </m>
      <m>
        <tpls c="4">
          <tpl fld="7" item="1140"/>
          <tpl fld="6" item="2"/>
          <tpl hier="236" item="1"/>
          <tpl fld="4" item="1"/>
        </tpls>
      </m>
      <m>
        <tpls c="4">
          <tpl fld="7" item="1172"/>
          <tpl fld="6" item="2"/>
          <tpl hier="236" item="1"/>
          <tpl fld="4" item="1"/>
        </tpls>
      </m>
      <m>
        <tpls c="4">
          <tpl fld="7" item="1271"/>
          <tpl fld="6" item="2"/>
          <tpl hier="236" item="1"/>
          <tpl fld="1" item="0"/>
        </tpls>
      </m>
      <m>
        <tpls c="4">
          <tpl fld="7" item="191"/>
          <tpl fld="6" item="2"/>
          <tpl hier="236" item="1"/>
          <tpl fld="1" item="0"/>
        </tpls>
      </m>
      <m>
        <tpls c="4">
          <tpl fld="7" item="222"/>
          <tpl fld="6" item="2"/>
          <tpl hier="236" item="1"/>
          <tpl fld="1" item="0"/>
        </tpls>
      </m>
      <m>
        <tpls c="4">
          <tpl fld="7" item="748"/>
          <tpl fld="6" item="2"/>
          <tpl hier="236" item="1"/>
          <tpl fld="4" item="5"/>
        </tpls>
      </m>
      <m>
        <tpls c="4">
          <tpl fld="7" item="888"/>
          <tpl fld="6" item="2"/>
          <tpl hier="236" item="1"/>
          <tpl fld="1" item="0"/>
        </tpls>
      </m>
      <m>
        <tpls c="4">
          <tpl fld="7" item="824"/>
          <tpl fld="6" item="1"/>
          <tpl hier="236" item="1"/>
          <tpl fld="4" item="4"/>
        </tpls>
      </m>
      <n v="17" in="1">
        <tpls c="4">
          <tpl fld="7" item="1249"/>
          <tpl fld="6" item="1"/>
          <tpl hier="236" item="1"/>
          <tpl fld="4" item="6"/>
        </tpls>
      </n>
      <m>
        <tpls c="4">
          <tpl fld="7" item="171"/>
          <tpl fld="6" item="2"/>
          <tpl hier="236" item="1"/>
          <tpl fld="1" item="0"/>
        </tpls>
      </m>
      <m>
        <tpls c="4">
          <tpl fld="7" item="455"/>
          <tpl fld="6" item="2"/>
          <tpl hier="236" item="1"/>
          <tpl fld="4" item="5"/>
        </tpls>
      </m>
      <m>
        <tpls c="4">
          <tpl fld="7" item="282"/>
          <tpl fld="6" item="2"/>
          <tpl hier="236" item="1"/>
          <tpl fld="4" item="5"/>
        </tpls>
      </m>
      <m>
        <tpls c="4">
          <tpl fld="7" item="223"/>
          <tpl fld="6" item="2"/>
          <tpl hier="236" item="1"/>
          <tpl fld="4" item="5"/>
        </tpls>
      </m>
      <m>
        <tpls c="4">
          <tpl fld="7" item="438"/>
          <tpl fld="6" item="2"/>
          <tpl hier="236" item="1"/>
          <tpl fld="4" item="6"/>
        </tpls>
      </m>
      <m>
        <tpls c="4">
          <tpl fld="7" item="276"/>
          <tpl fld="6" item="2"/>
          <tpl hier="236" item="1"/>
          <tpl fld="4" item="6"/>
        </tpls>
      </m>
      <m>
        <tpls c="4">
          <tpl fld="7" item="1109"/>
          <tpl fld="6" item="1"/>
          <tpl hier="236" item="1"/>
          <tpl fld="4" item="5"/>
        </tpls>
      </m>
      <m>
        <tpls c="4">
          <tpl fld="7" item="197"/>
          <tpl fld="6" item="1"/>
          <tpl hier="236" item="1"/>
          <tpl fld="4" item="5"/>
        </tpls>
      </m>
      <n v="1" in="1">
        <tpls c="4">
          <tpl fld="7" item="393"/>
          <tpl fld="6" item="1"/>
          <tpl hier="236" item="1"/>
          <tpl fld="4" item="6"/>
        </tpls>
      </n>
      <n v="2" in="1">
        <tpls c="4">
          <tpl fld="7" item="797"/>
          <tpl fld="6" item="1"/>
          <tpl hier="236" item="1"/>
          <tpl fld="4" item="1"/>
        </tpls>
      </n>
      <m>
        <tpls c="3">
          <tpl fld="7" item="560"/>
          <tpl fld="6" item="3"/>
          <tpl hier="236" item="1"/>
        </tpls>
      </m>
      <m>
        <tpls c="3">
          <tpl fld="7" item="691"/>
          <tpl fld="6" item="3"/>
          <tpl hier="236" item="1"/>
        </tpls>
      </m>
      <m>
        <tpls c="4">
          <tpl fld="7" item="887"/>
          <tpl fld="6" item="1"/>
          <tpl hier="236" item="1"/>
          <tpl fld="4" item="5"/>
        </tpls>
      </m>
      <n v="1" in="1">
        <tpls c="4">
          <tpl fld="7" item="701"/>
          <tpl fld="6" item="1"/>
          <tpl hier="236" item="1"/>
          <tpl fld="4" item="4"/>
        </tpls>
      </n>
      <m>
        <tpls c="4">
          <tpl fld="7" item="1063"/>
          <tpl fld="6" item="2"/>
          <tpl hier="236" item="1"/>
          <tpl fld="4" item="1"/>
        </tpls>
      </m>
      <m>
        <tpls c="4">
          <tpl fld="7" item="701"/>
          <tpl fld="6" item="2"/>
          <tpl hier="236" item="1"/>
          <tpl fld="4" item="4"/>
        </tpls>
      </m>
      <m>
        <tpls c="4">
          <tpl fld="7" item="1214"/>
          <tpl fld="6" item="1"/>
          <tpl hier="236" item="1"/>
          <tpl fld="1" item="0"/>
        </tpls>
      </m>
      <m>
        <tpls c="4">
          <tpl fld="7" item="1218"/>
          <tpl fld="6" item="2"/>
          <tpl hier="236" item="1"/>
          <tpl fld="4" item="4"/>
        </tpls>
      </m>
      <m>
        <tpls c="4">
          <tpl fld="7" item="85"/>
          <tpl fld="6" item="2"/>
          <tpl hier="236" item="1"/>
          <tpl fld="1" item="0"/>
        </tpls>
      </m>
      <m>
        <tpls c="3">
          <tpl fld="7" item="324"/>
          <tpl fld="6" item="3"/>
          <tpl hier="236" item="1"/>
        </tpls>
      </m>
      <n v="2" in="1">
        <tpls c="4">
          <tpl fld="7" item="609"/>
          <tpl fld="6" item="1"/>
          <tpl hier="236" item="1"/>
          <tpl fld="4" item="5"/>
        </tpls>
      </n>
      <m>
        <tpls c="4">
          <tpl fld="7" item="695"/>
          <tpl fld="6" item="1"/>
          <tpl hier="236" item="1"/>
          <tpl fld="4" item="4"/>
        </tpls>
      </m>
      <m>
        <tpls c="4">
          <tpl fld="7" item="575"/>
          <tpl fld="6" item="1"/>
          <tpl hier="236" item="1"/>
          <tpl fld="4" item="4"/>
        </tpls>
      </m>
      <m>
        <tpls c="4">
          <tpl fld="7" item="581"/>
          <tpl fld="6" item="2"/>
          <tpl hier="236" item="1"/>
          <tpl fld="4" item="6"/>
        </tpls>
      </m>
      <n v="6" in="1">
        <tpls c="4">
          <tpl fld="7" item="1100"/>
          <tpl fld="6" item="1"/>
          <tpl hier="236" item="1"/>
          <tpl fld="1" item="0"/>
        </tpls>
      </n>
      <m>
        <tpls c="4">
          <tpl fld="7" item="1223"/>
          <tpl fld="6" item="2"/>
          <tpl hier="236" item="1"/>
          <tpl fld="4" item="1"/>
        </tpls>
      </m>
      <m>
        <tpls c="4">
          <tpl fld="7" item="753"/>
          <tpl fld="6" item="2"/>
          <tpl hier="236" item="1"/>
          <tpl fld="1" item="0"/>
        </tpls>
      </m>
      <m>
        <tpls c="4">
          <tpl fld="7" item="588"/>
          <tpl fld="6" item="2"/>
          <tpl hier="236" item="1"/>
          <tpl fld="4" item="1"/>
        </tpls>
      </m>
      <n v="2" in="1">
        <tpls c="4">
          <tpl fld="7" item="677"/>
          <tpl fld="6" item="1"/>
          <tpl hier="236" item="1"/>
          <tpl fld="4" item="6"/>
        </tpls>
      </n>
      <m>
        <tpls c="4">
          <tpl fld="7" item="1013"/>
          <tpl fld="6" item="2"/>
          <tpl hier="236" item="1"/>
          <tpl fld="4" item="4"/>
        </tpls>
      </m>
      <m>
        <tpls c="4">
          <tpl fld="7" item="726"/>
          <tpl fld="6" item="1"/>
          <tpl hier="236" item="1"/>
          <tpl fld="4" item="5"/>
        </tpls>
      </m>
      <m>
        <tpls c="4">
          <tpl fld="7" item="840"/>
          <tpl fld="6" item="1"/>
          <tpl hier="236" item="1"/>
          <tpl fld="4" item="4"/>
        </tpls>
      </m>
      <n v="12" in="1">
        <tpls c="4">
          <tpl fld="7" item="1181"/>
          <tpl fld="6" item="1"/>
          <tpl hier="236" item="1"/>
          <tpl fld="4" item="4"/>
        </tpls>
      </n>
      <m>
        <tpls c="4">
          <tpl fld="7" item="578"/>
          <tpl fld="6" item="1"/>
          <tpl hier="236" item="1"/>
          <tpl fld="4" item="5"/>
        </tpls>
      </m>
      <m>
        <tpls c="4">
          <tpl fld="7" item="645"/>
          <tpl fld="6" item="2"/>
          <tpl hier="236" item="1"/>
          <tpl fld="4" item="1"/>
        </tpls>
      </m>
      <m>
        <tpls c="4">
          <tpl fld="7" item="653"/>
          <tpl fld="6" item="2"/>
          <tpl hier="236" item="1"/>
          <tpl fld="4" item="1"/>
        </tpls>
      </m>
      <m>
        <tpls c="4">
          <tpl fld="7" item="822"/>
          <tpl fld="6" item="2"/>
          <tpl hier="236" item="1"/>
          <tpl fld="4" item="6"/>
        </tpls>
      </m>
      <m>
        <tpls c="4">
          <tpl fld="7" item="1216"/>
          <tpl fld="6" item="2"/>
          <tpl hier="236" item="1"/>
          <tpl fld="4" item="4"/>
        </tpls>
      </m>
      <m>
        <tpls c="4">
          <tpl fld="7" item="850"/>
          <tpl fld="6" item="2"/>
          <tpl hier="236" item="1"/>
          <tpl fld="4" item="1"/>
        </tpls>
      </m>
      <m>
        <tpls c="3">
          <tpl fld="7" item="1286"/>
          <tpl fld="6" item="3"/>
          <tpl hier="236" item="1"/>
        </tpls>
      </m>
      <m>
        <tpls c="4">
          <tpl fld="7" item="1162"/>
          <tpl fld="6" item="2"/>
          <tpl hier="236" item="1"/>
          <tpl fld="4" item="1"/>
        </tpls>
      </m>
      <m>
        <tpls c="4">
          <tpl fld="7" item="749"/>
          <tpl fld="6" item="2"/>
          <tpl hier="236" item="1"/>
          <tpl fld="1" item="0"/>
        </tpls>
      </m>
      <m>
        <tpls c="4">
          <tpl fld="7" item="57"/>
          <tpl fld="6" item="2"/>
          <tpl hier="236" item="1"/>
          <tpl fld="1" item="0"/>
        </tpls>
      </m>
      <m>
        <tpls c="4">
          <tpl fld="7" item="910"/>
          <tpl fld="6" item="2"/>
          <tpl hier="236" item="1"/>
          <tpl fld="4" item="5"/>
        </tpls>
      </m>
      <m>
        <tpls c="4">
          <tpl fld="7" item="721"/>
          <tpl fld="6" item="1"/>
          <tpl hier="236" item="1"/>
          <tpl fld="4" item="1"/>
        </tpls>
      </m>
      <n v="1" in="1">
        <tpls c="4">
          <tpl fld="7" item="1243"/>
          <tpl fld="6" item="1"/>
          <tpl hier="236" item="1"/>
          <tpl fld="4" item="6"/>
        </tpls>
      </n>
      <m>
        <tpls c="4">
          <tpl fld="7" item="599"/>
          <tpl fld="6" item="2"/>
          <tpl hier="236" item="1"/>
          <tpl fld="1" item="0"/>
        </tpls>
      </m>
      <m>
        <tpls c="4">
          <tpl fld="7" item="379"/>
          <tpl fld="6" item="2"/>
          <tpl hier="236" item="1"/>
          <tpl fld="4" item="5"/>
        </tpls>
      </m>
      <m>
        <tpls c="4">
          <tpl fld="7" item="22"/>
          <tpl fld="6" item="2"/>
          <tpl hier="236" item="1"/>
          <tpl fld="4" item="5"/>
        </tpls>
      </m>
      <m>
        <tpls c="4">
          <tpl fld="7" item="1190"/>
          <tpl fld="6" item="2"/>
          <tpl hier="236" item="1"/>
          <tpl fld="4" item="6"/>
        </tpls>
      </m>
      <m>
        <tpls c="4">
          <tpl fld="7" item="34"/>
          <tpl fld="6" item="2"/>
          <tpl hier="236" item="1"/>
          <tpl fld="4" item="6"/>
        </tpls>
      </m>
      <m>
        <tpls c="4">
          <tpl fld="7" item="373"/>
          <tpl fld="6" item="1"/>
          <tpl hier="236" item="1"/>
          <tpl fld="4" item="5"/>
        </tpls>
      </m>
      <m>
        <tpls c="4">
          <tpl fld="7" item="253"/>
          <tpl fld="6" item="1"/>
          <tpl hier="236" item="1"/>
          <tpl fld="4" item="5"/>
        </tpls>
      </m>
      <m>
        <tpls c="4">
          <tpl fld="7" item="1042"/>
          <tpl fld="6" item="1"/>
          <tpl hier="236" item="1"/>
          <tpl fld="4" item="1"/>
        </tpls>
      </m>
      <n v="7" in="1">
        <tpls c="4">
          <tpl fld="7" item="527"/>
          <tpl fld="6" item="1"/>
          <tpl hier="236" item="1"/>
          <tpl fld="4" item="1"/>
        </tpls>
      </n>
      <m>
        <tpls c="4">
          <tpl fld="7" item="289"/>
          <tpl fld="6" item="1"/>
          <tpl hier="236" item="1"/>
          <tpl fld="4" item="1"/>
        </tpls>
      </m>
      <m>
        <tpls c="4">
          <tpl fld="7" item="16"/>
          <tpl fld="6" item="1"/>
          <tpl hier="236" item="1"/>
          <tpl fld="4" item="1"/>
        </tpls>
      </m>
      <m>
        <tpls c="4">
          <tpl fld="7" item="773"/>
          <tpl fld="6" item="1"/>
          <tpl hier="236" item="1"/>
          <tpl fld="4" item="5"/>
        </tpls>
      </m>
      <m>
        <tpls c="4">
          <tpl fld="7" item="995"/>
          <tpl fld="6" item="2"/>
          <tpl hier="236" item="1"/>
          <tpl fld="4" item="1"/>
        </tpls>
      </m>
      <n v="32" in="1">
        <tpls c="4">
          <tpl fld="7" item="1245"/>
          <tpl fld="6" item="1"/>
          <tpl hier="236" item="1"/>
          <tpl fld="4" item="4"/>
        </tpls>
      </n>
      <m>
        <tpls c="4">
          <tpl fld="7" item="1242"/>
          <tpl fld="6" item="2"/>
          <tpl hier="236" item="1"/>
          <tpl fld="1" item="0"/>
        </tpls>
      </m>
      <m>
        <tpls c="3">
          <tpl fld="7" item="483"/>
          <tpl fld="6" item="3"/>
          <tpl hier="236" item="1"/>
        </tpls>
      </m>
      <m>
        <tpls c="4">
          <tpl fld="7" item="548"/>
          <tpl fld="6" item="2"/>
          <tpl hier="236" item="1"/>
          <tpl fld="4" item="5"/>
        </tpls>
      </m>
      <n v="0.96" in="2">
        <tpls c="4">
          <tpl fld="7" item="213"/>
          <tpl fld="6" item="2"/>
          <tpl hier="236" item="1"/>
          <tpl fld="4" item="1"/>
        </tpls>
      </n>
      <n v="0.771891891891892" in="2">
        <tpls c="4">
          <tpl fld="7" item="787"/>
          <tpl fld="6" item="2"/>
          <tpl hier="236" item="1"/>
          <tpl fld="1" item="0"/>
        </tpls>
      </n>
      <n v="3" in="1">
        <tpls c="4">
          <tpl fld="7" item="765"/>
          <tpl fld="6" item="1"/>
          <tpl hier="236" item="1"/>
          <tpl fld="1" item="0"/>
        </tpls>
      </n>
      <n v="1" in="1">
        <tpls c="4">
          <tpl fld="7" item="731"/>
          <tpl fld="6" item="1"/>
          <tpl hier="236" item="1"/>
          <tpl fld="4" item="1"/>
        </tpls>
      </n>
      <m>
        <tpls c="4">
          <tpl fld="7" item="1114"/>
          <tpl fld="6" item="2"/>
          <tpl hier="236" item="1"/>
          <tpl fld="4" item="1"/>
        </tpls>
      </m>
      <n v="1" in="2">
        <tpls c="4">
          <tpl fld="7" item="1219"/>
          <tpl fld="6" item="2"/>
          <tpl hier="236" item="1"/>
          <tpl fld="1" item="0"/>
        </tpls>
      </n>
      <m>
        <tpls c="4">
          <tpl fld="7" item="549"/>
          <tpl fld="6" item="1"/>
          <tpl hier="236" item="1"/>
          <tpl fld="4" item="1"/>
        </tpls>
      </m>
      <m>
        <tpls c="4">
          <tpl fld="7" item="1188"/>
          <tpl fld="6" item="2"/>
          <tpl hier="236" item="1"/>
          <tpl fld="4" item="5"/>
        </tpls>
      </m>
      <n v="2" in="1">
        <tpls c="4">
          <tpl fld="7" item="646"/>
          <tpl fld="6" item="1"/>
          <tpl hier="236" item="1"/>
          <tpl fld="4" item="4"/>
        </tpls>
      </n>
      <m>
        <tpls c="4">
          <tpl fld="7" item="1098"/>
          <tpl fld="6" item="1"/>
          <tpl hier="236" item="1"/>
          <tpl fld="4" item="6"/>
        </tpls>
      </m>
      <n v="1" in="1">
        <tpls c="4">
          <tpl fld="7" item="893"/>
          <tpl fld="6" item="1"/>
          <tpl hier="236" item="1"/>
          <tpl fld="4" item="6"/>
        </tpls>
      </n>
      <m>
        <tpls c="4">
          <tpl fld="7" item="666"/>
          <tpl fld="6" item="2"/>
          <tpl hier="236" item="1"/>
          <tpl fld="1" item="0"/>
        </tpls>
      </m>
      <m>
        <tpls c="4">
          <tpl fld="7" item="902"/>
          <tpl fld="6" item="1"/>
          <tpl hier="236" item="1"/>
          <tpl fld="4" item="6"/>
        </tpls>
      </m>
      <m>
        <tpls c="4">
          <tpl fld="7" item="852"/>
          <tpl fld="6" item="2"/>
          <tpl hier="236" item="1"/>
          <tpl fld="4" item="4"/>
        </tpls>
      </m>
      <n v="1" in="1">
        <tpls c="4">
          <tpl fld="7" item="865"/>
          <tpl fld="6" item="1"/>
          <tpl hier="236" item="1"/>
          <tpl fld="4" item="4"/>
        </tpls>
      </n>
      <n v="0" in="1">
        <tpls c="4">
          <tpl fld="7" item="941"/>
          <tpl fld="6" item="1"/>
          <tpl hier="236" item="1"/>
          <tpl fld="4" item="4"/>
        </tpls>
      </n>
      <n v="50" in="1">
        <tpls c="4">
          <tpl fld="7" item="973"/>
          <tpl fld="6" item="1"/>
          <tpl hier="236" item="1"/>
          <tpl fld="4" item="4"/>
        </tpls>
      </n>
      <m>
        <tpls c="4">
          <tpl fld="7" item="382"/>
          <tpl fld="6" item="2"/>
          <tpl hier="236" item="1"/>
          <tpl fld="1" item="0"/>
        </tpls>
      </m>
      <m>
        <tpls c="4">
          <tpl fld="7" item="478"/>
          <tpl fld="6" item="2"/>
          <tpl hier="236" item="1"/>
          <tpl fld="4" item="1"/>
        </tpls>
      </m>
      <m>
        <tpls c="3">
          <tpl fld="7" item="987"/>
          <tpl fld="6" item="3"/>
          <tpl hier="236" item="1"/>
        </tpls>
      </m>
      <m>
        <tpls c="4">
          <tpl fld="7" item="1188"/>
          <tpl fld="6" item="1"/>
          <tpl hier="236" item="1"/>
          <tpl fld="4" item="5"/>
        </tpls>
      </m>
      <m>
        <tpls c="4">
          <tpl fld="7" item="724"/>
          <tpl fld="6" item="2"/>
          <tpl hier="236" item="1"/>
          <tpl fld="4" item="1"/>
        </tpls>
      </m>
      <m>
        <tpls c="4">
          <tpl fld="7" item="1097"/>
          <tpl fld="6" item="2"/>
          <tpl hier="236" item="1"/>
          <tpl fld="4" item="4"/>
        </tpls>
      </m>
      <m>
        <tpls c="4">
          <tpl fld="7" item="817"/>
          <tpl fld="6" item="2"/>
          <tpl hier="236" item="1"/>
          <tpl fld="4" item="6"/>
        </tpls>
      </m>
      <m>
        <tpls c="4">
          <tpl fld="7" item="741"/>
          <tpl fld="6" item="2"/>
          <tpl hier="236" item="1"/>
          <tpl fld="1" item="0"/>
        </tpls>
      </m>
      <n v="4" in="1">
        <tpls c="4">
          <tpl fld="7" item="1102"/>
          <tpl fld="6" item="1"/>
          <tpl hier="236" item="1"/>
          <tpl fld="4" item="4"/>
        </tpls>
      </n>
      <m>
        <tpls c="4">
          <tpl fld="7" item="843"/>
          <tpl fld="6" item="2"/>
          <tpl hier="236" item="1"/>
          <tpl fld="4" item="1"/>
        </tpls>
      </m>
      <m>
        <tpls c="3">
          <tpl fld="7" item="1121"/>
          <tpl fld="6" item="3"/>
          <tpl hier="236" item="1"/>
        </tpls>
      </m>
      <m>
        <tpls c="4">
          <tpl fld="7" item="924"/>
          <tpl fld="6" item="1"/>
          <tpl hier="236" item="1"/>
          <tpl fld="4" item="6"/>
        </tpls>
      </m>
      <m>
        <tpls c="4">
          <tpl fld="7" item="950"/>
          <tpl fld="6" item="2"/>
          <tpl hier="236" item="1"/>
          <tpl fld="4" item="1"/>
        </tpls>
      </m>
      <m>
        <tpls c="4">
          <tpl fld="7" item="922"/>
          <tpl fld="6" item="2"/>
          <tpl hier="236" item="1"/>
          <tpl fld="1" item="0"/>
        </tpls>
      </m>
      <n v="1" in="2">
        <tpls c="4">
          <tpl fld="7" item="505"/>
          <tpl fld="6" item="2"/>
          <tpl hier="236" item="1"/>
          <tpl fld="1" item="0"/>
        </tpls>
      </n>
      <m>
        <tpls c="4">
          <tpl fld="7" item="165"/>
          <tpl fld="6" item="2"/>
          <tpl hier="236" item="1"/>
          <tpl fld="1" item="0"/>
        </tpls>
      </m>
      <m>
        <tpls c="4">
          <tpl fld="7" item="1022"/>
          <tpl fld="6" item="2"/>
          <tpl hier="236" item="1"/>
          <tpl fld="4" item="5"/>
        </tpls>
      </m>
      <n v="0.6" in="2">
        <tpls c="4">
          <tpl fld="7" item="450"/>
          <tpl fld="6" item="2"/>
          <tpl hier="236" item="1"/>
          <tpl fld="4" item="4"/>
        </tpls>
      </n>
      <m>
        <tpls c="4">
          <tpl fld="7" item="651"/>
          <tpl fld="6" item="2"/>
          <tpl hier="236" item="1"/>
          <tpl fld="1" item="0"/>
        </tpls>
      </m>
      <m>
        <tpls c="3">
          <tpl fld="7" item="846"/>
          <tpl fld="6" item="3"/>
          <tpl hier="236" item="1"/>
        </tpls>
      </m>
      <m>
        <tpls c="4">
          <tpl fld="7" item="1117"/>
          <tpl fld="6" item="2"/>
          <tpl hier="236" item="1"/>
          <tpl fld="1" item="0"/>
        </tpls>
      </m>
      <m>
        <tpls c="4">
          <tpl fld="7" item="864"/>
          <tpl fld="6" item="2"/>
          <tpl hier="236" item="1"/>
          <tpl fld="4" item="5"/>
        </tpls>
      </m>
      <m>
        <tpls c="4">
          <tpl fld="7" item="200"/>
          <tpl fld="6" item="2"/>
          <tpl hier="236" item="1"/>
          <tpl fld="4" item="5"/>
        </tpls>
      </m>
      <m>
        <tpls c="4">
          <tpl fld="7" item="36"/>
          <tpl fld="6" item="2"/>
          <tpl hier="236" item="1"/>
          <tpl fld="4" item="5"/>
        </tpls>
      </m>
      <m>
        <tpls c="4">
          <tpl fld="7" item="1192"/>
          <tpl fld="6" item="2"/>
          <tpl hier="236" item="1"/>
          <tpl fld="4" item="6"/>
        </tpls>
      </m>
      <m>
        <tpls c="4">
          <tpl fld="7" item="198"/>
          <tpl fld="6" item="2"/>
          <tpl hier="236" item="1"/>
          <tpl fld="4" item="6"/>
        </tpls>
      </m>
      <m>
        <tpls c="4">
          <tpl fld="7" item="1249"/>
          <tpl fld="6" item="1"/>
          <tpl hier="236" item="1"/>
          <tpl fld="4" item="5"/>
        </tpls>
      </m>
      <m>
        <tpls c="4">
          <tpl fld="7" item="364"/>
          <tpl fld="6" item="1"/>
          <tpl hier="236" item="1"/>
          <tpl fld="4" item="5"/>
        </tpls>
      </m>
      <m>
        <tpls c="4">
          <tpl fld="7" item="752"/>
          <tpl fld="6" item="1"/>
          <tpl hier="236" item="1"/>
          <tpl fld="4" item="5"/>
        </tpls>
      </m>
      <m>
        <tpls c="4">
          <tpl fld="7" item="1045"/>
          <tpl fld="6" item="1"/>
          <tpl hier="236" item="1"/>
          <tpl fld="4" item="1"/>
        </tpls>
      </m>
      <m>
        <tpls c="4">
          <tpl fld="7" item="202"/>
          <tpl fld="6" item="1"/>
          <tpl hier="236" item="1"/>
          <tpl fld="4" item="1"/>
        </tpls>
      </m>
      <m>
        <tpls c="4">
          <tpl fld="7" item="292"/>
          <tpl fld="6" item="1"/>
          <tpl hier="236" item="1"/>
          <tpl fld="4" item="1"/>
        </tpls>
      </m>
      <m>
        <tpls c="4">
          <tpl fld="7" item="19"/>
          <tpl fld="6" item="1"/>
          <tpl hier="236" item="1"/>
          <tpl fld="4" item="1"/>
        </tpls>
      </m>
      <m>
        <tpls c="4">
          <tpl fld="7" item="766"/>
          <tpl fld="6" item="1"/>
          <tpl hier="236" item="1"/>
          <tpl fld="4" item="6"/>
        </tpls>
      </m>
      <n v="2" in="1">
        <tpls c="4">
          <tpl fld="7" item="813"/>
          <tpl fld="6" item="1"/>
          <tpl hier="236" item="1"/>
          <tpl fld="4" item="1"/>
        </tpls>
      </n>
      <m>
        <tpls c="3">
          <tpl fld="7" item="847"/>
          <tpl fld="6" item="3"/>
          <tpl hier="236" item="1"/>
        </tpls>
      </m>
      <m>
        <tpls c="4">
          <tpl fld="7" item="1284"/>
          <tpl fld="6" item="2"/>
          <tpl hier="236" item="1"/>
          <tpl fld="1" item="0"/>
        </tpls>
      </m>
      <m>
        <tpls c="3">
          <tpl fld="7" item="392"/>
          <tpl fld="6" item="3"/>
          <tpl hier="236" item="1"/>
        </tpls>
      </m>
      <m>
        <tpls c="3">
          <tpl fld="7" item="704"/>
          <tpl fld="6" item="3"/>
          <tpl hier="236" item="1"/>
        </tpls>
      </m>
      <m>
        <tpls c="4">
          <tpl fld="7" item="528"/>
          <tpl fld="6" item="2"/>
          <tpl hier="236" item="1"/>
          <tpl fld="4" item="4"/>
        </tpls>
      </m>
      <m>
        <tpls c="4">
          <tpl fld="7" item="790"/>
          <tpl fld="6" item="1"/>
          <tpl hier="236" item="1"/>
          <tpl fld="4" item="5"/>
        </tpls>
      </m>
      <m>
        <tpls c="4">
          <tpl fld="7" item="1089"/>
          <tpl fld="6" item="2"/>
          <tpl hier="236" item="1"/>
          <tpl fld="1" item="0"/>
        </tpls>
      </m>
      <m>
        <tpls c="4">
          <tpl fld="7" item="816"/>
          <tpl fld="6" item="2"/>
          <tpl hier="236" item="1"/>
          <tpl fld="4" item="5"/>
        </tpls>
      </m>
      <n v="1" in="1">
        <tpls c="4">
          <tpl fld="7" item="913"/>
          <tpl fld="6" item="1"/>
          <tpl hier="236" item="1"/>
          <tpl fld="4" item="4"/>
        </tpls>
      </n>
      <m>
        <tpls c="4">
          <tpl fld="7" item="445"/>
          <tpl fld="6" item="2"/>
          <tpl hier="236" item="1"/>
          <tpl fld="1" item="0"/>
        </tpls>
      </m>
      <m>
        <tpls c="3">
          <tpl fld="7" item="780"/>
          <tpl fld="6" item="3"/>
          <tpl hier="236" item="1"/>
        </tpls>
      </m>
      <m>
        <tpls c="4">
          <tpl fld="7" item="582"/>
          <tpl fld="6" item="2"/>
          <tpl hier="236" item="1"/>
          <tpl fld="4" item="6"/>
        </tpls>
      </m>
      <m>
        <tpls c="4">
          <tpl fld="7" item="647"/>
          <tpl fld="6" item="2"/>
          <tpl hier="236" item="1"/>
          <tpl fld="4" item="4"/>
        </tpls>
      </m>
      <m>
        <tpls c="4">
          <tpl fld="7" item="1189"/>
          <tpl fld="6" item="1"/>
          <tpl hier="236" item="1"/>
          <tpl fld="4" item="6"/>
        </tpls>
      </m>
      <n v="4" in="1">
        <tpls c="4">
          <tpl fld="7" item="822"/>
          <tpl fld="6" item="1"/>
          <tpl hier="236" item="1"/>
          <tpl fld="1" item="0"/>
        </tpls>
      </n>
      <n v="32" in="1">
        <tpls c="4">
          <tpl fld="7" item="747"/>
          <tpl fld="6" item="1"/>
          <tpl hier="236" item="1"/>
          <tpl fld="1" item="0"/>
        </tpls>
      </n>
      <m>
        <tpls c="4">
          <tpl fld="7" item="841"/>
          <tpl fld="6" item="2"/>
          <tpl hier="236" item="1"/>
          <tpl fld="4" item="4"/>
        </tpls>
      </m>
      <m>
        <tpls c="4">
          <tpl fld="7" item="854"/>
          <tpl fld="6" item="1"/>
          <tpl hier="236" item="1"/>
          <tpl fld="4" item="4"/>
        </tpls>
      </m>
      <m>
        <tpls c="4">
          <tpl fld="7" item="1286"/>
          <tpl fld="6" item="2"/>
          <tpl hier="236" item="1"/>
          <tpl fld="4" item="1"/>
        </tpls>
      </m>
      <m>
        <tpls c="4">
          <tpl fld="7" item="1152"/>
          <tpl fld="6" item="1"/>
          <tpl hier="236" item="1"/>
          <tpl fld="4" item="4"/>
        </tpls>
      </m>
      <m>
        <tpls c="4">
          <tpl fld="7" item="1184"/>
          <tpl fld="6" item="1"/>
          <tpl hier="236" item="1"/>
          <tpl fld="4" item="4"/>
        </tpls>
      </m>
      <m>
        <tpls c="4">
          <tpl fld="7" item="373"/>
          <tpl fld="6" item="2"/>
          <tpl hier="236" item="1"/>
          <tpl fld="1" item="0"/>
        </tpls>
      </m>
      <n v="0.6" in="2">
        <tpls c="4">
          <tpl fld="7" item="430"/>
          <tpl fld="6" item="2"/>
          <tpl hier="236" item="1"/>
          <tpl fld="4" item="4"/>
        </tpls>
      </n>
      <n v="2" in="1">
        <tpls c="4">
          <tpl fld="7" item="703"/>
          <tpl fld="6" item="1"/>
          <tpl hier="236" item="1"/>
          <tpl fld="4" item="6"/>
        </tpls>
      </n>
      <m>
        <tpls c="4">
          <tpl fld="7" item="801"/>
          <tpl fld="6" item="2"/>
          <tpl hier="236" item="1"/>
          <tpl fld="4" item="5"/>
        </tpls>
      </m>
      <n v="2" in="2">
        <tpls c="4">
          <tpl fld="7" item="993"/>
          <tpl fld="6" item="2"/>
          <tpl hier="236" item="1"/>
          <tpl fld="4" item="4"/>
        </tpls>
      </n>
      <m>
        <tpls c="4">
          <tpl fld="7" item="812"/>
          <tpl fld="6" item="2"/>
          <tpl hier="236" item="1"/>
          <tpl fld="4" item="6"/>
        </tpls>
      </m>
      <m>
        <tpls c="4">
          <tpl fld="7" item="736"/>
          <tpl fld="6" item="2"/>
          <tpl hier="236" item="1"/>
          <tpl fld="1" item="0"/>
        </tpls>
      </m>
      <m>
        <tpls c="3">
          <tpl fld="7" item="742"/>
          <tpl fld="6" item="3"/>
          <tpl hier="236" item="1"/>
        </tpls>
      </m>
      <m>
        <tpls c="4">
          <tpl fld="7" item="832"/>
          <tpl fld="6" item="2"/>
          <tpl hier="236" item="1"/>
          <tpl fld="4" item="1"/>
        </tpls>
      </m>
      <m>
        <tpls c="3">
          <tpl fld="7" item="1010"/>
          <tpl fld="6" item="3"/>
          <tpl hier="236" item="1"/>
        </tpls>
      </m>
      <m>
        <tpls c="4">
          <tpl fld="7" item="1195"/>
          <tpl fld="6" item="1"/>
          <tpl hier="236" item="1"/>
          <tpl fld="4" item="6"/>
        </tpls>
      </m>
      <m>
        <tpls c="4">
          <tpl fld="7" item="1029"/>
          <tpl fld="6" item="2"/>
          <tpl hier="236" item="1"/>
          <tpl fld="4" item="4"/>
        </tpls>
      </m>
      <m>
        <tpls c="4">
          <tpl fld="7" item="1161"/>
          <tpl fld="6" item="2"/>
          <tpl hier="236" item="1"/>
          <tpl fld="4" item="1"/>
        </tpls>
      </m>
      <m>
        <tpls c="4">
          <tpl fld="7" item="1019"/>
          <tpl fld="6" item="2"/>
          <tpl hier="236" item="1"/>
          <tpl fld="1" item="0"/>
        </tpls>
      </m>
      <n v="16.320270270270271" in="2">
        <tpls c="4">
          <tpl fld="7" item="496"/>
          <tpl fld="6" item="2"/>
          <tpl hier="236" item="1"/>
          <tpl fld="1" item="0"/>
        </tpls>
      </n>
      <m>
        <tpls c="4">
          <tpl fld="7" item="131"/>
          <tpl fld="6" item="2"/>
          <tpl hier="236" item="1"/>
          <tpl fld="1" item="0"/>
        </tpls>
      </m>
      <m>
        <tpls c="4">
          <tpl fld="7" item="1118"/>
          <tpl fld="6" item="2"/>
          <tpl hier="236" item="1"/>
          <tpl fld="4" item="5"/>
        </tpls>
      </m>
      <m>
        <tpls c="4">
          <tpl fld="7" item="697"/>
          <tpl fld="6" item="2"/>
          <tpl hier="236" item="1"/>
          <tpl fld="4" item="6"/>
        </tpls>
      </m>
      <n v="3" in="1">
        <tpls c="4">
          <tpl fld="7" item="816"/>
          <tpl fld="6" item="1"/>
          <tpl hier="236" item="1"/>
          <tpl fld="4" item="4"/>
        </tpls>
      </n>
      <m>
        <tpls c="4">
          <tpl fld="7" item="1119"/>
          <tpl fld="6" item="2"/>
          <tpl hier="236" item="1"/>
          <tpl fld="4" item="1"/>
        </tpls>
      </m>
      <m>
        <tpls c="4">
          <tpl fld="7" item="601"/>
          <tpl fld="6" item="2"/>
          <tpl hier="236" item="1"/>
          <tpl fld="1" item="0"/>
        </tpls>
      </m>
      <m>
        <tpls c="4">
          <tpl fld="7" item="1015"/>
          <tpl fld="6" item="2"/>
          <tpl hier="236" item="1"/>
          <tpl fld="4" item="5"/>
        </tpls>
      </m>
      <m>
        <tpls c="4">
          <tpl fld="7" item="314"/>
          <tpl fld="6" item="2"/>
          <tpl hier="236" item="1"/>
          <tpl fld="4" item="5"/>
        </tpls>
      </m>
      <m>
        <tpls c="4">
          <tpl fld="7" item="27"/>
          <tpl fld="6" item="2"/>
          <tpl hier="236" item="1"/>
          <tpl fld="4" item="5"/>
        </tpls>
      </m>
      <m>
        <tpls c="4">
          <tpl fld="7" item="897"/>
          <tpl fld="6" item="2"/>
          <tpl hier="236" item="1"/>
          <tpl fld="4" item="6"/>
        </tpls>
      </m>
      <m>
        <tpls c="4">
          <tpl fld="7" item="81"/>
          <tpl fld="6" item="2"/>
          <tpl hier="236" item="1"/>
          <tpl fld="4" item="6"/>
        </tpls>
      </m>
      <m>
        <tpls c="4">
          <tpl fld="7" item="919"/>
          <tpl fld="6" item="1"/>
          <tpl hier="236" item="1"/>
          <tpl fld="4" item="5"/>
        </tpls>
      </m>
      <n v="4" in="1">
        <tpls c="4">
          <tpl fld="7" item="355"/>
          <tpl fld="6" item="1"/>
          <tpl hier="236" item="1"/>
          <tpl fld="4" item="5"/>
        </tpls>
      </n>
      <m>
        <tpls c="4">
          <tpl fld="7" item="29"/>
          <tpl fld="6" item="1"/>
          <tpl hier="236" item="1"/>
          <tpl fld="4" item="5"/>
        </tpls>
      </m>
      <n v="1" in="1">
        <tpls c="4">
          <tpl fld="7" item="1036"/>
          <tpl fld="6" item="1"/>
          <tpl hier="236" item="1"/>
          <tpl fld="4" item="1"/>
        </tpls>
      </n>
      <m>
        <tpls c="4">
          <tpl fld="7" item="521"/>
          <tpl fld="6" item="1"/>
          <tpl hier="236" item="1"/>
          <tpl fld="4" item="1"/>
        </tpls>
      </m>
      <m>
        <tpls c="4">
          <tpl fld="7" item="283"/>
          <tpl fld="6" item="1"/>
          <tpl hier="236" item="1"/>
          <tpl fld="4" item="1"/>
        </tpls>
      </m>
      <m>
        <tpls c="4">
          <tpl fld="7" item="118"/>
          <tpl fld="6" item="1"/>
          <tpl hier="236" item="1"/>
          <tpl fld="4" item="1"/>
        </tpls>
      </m>
      <m>
        <tpls c="4">
          <tpl fld="7" item="780"/>
          <tpl fld="6" item="2"/>
          <tpl hier="236" item="1"/>
          <tpl fld="1" item="0"/>
        </tpls>
      </m>
      <m>
        <tpls c="4">
          <tpl fld="7" item="1189"/>
          <tpl fld="6" item="2"/>
          <tpl hier="236" item="1"/>
          <tpl fld="4" item="5"/>
        </tpls>
      </m>
      <m>
        <tpls c="4">
          <tpl fld="7" item="1017"/>
          <tpl fld="6" item="2"/>
          <tpl hier="236" item="1"/>
          <tpl fld="4" item="1"/>
        </tpls>
      </m>
      <n v="2.1810810810810812" in="2">
        <tpls c="4">
          <tpl fld="7" item="878"/>
          <tpl fld="6" item="2"/>
          <tpl hier="236" item="1"/>
          <tpl fld="1" item="0"/>
        </tpls>
      </n>
      <m>
        <tpls c="4">
          <tpl fld="7" item="850"/>
          <tpl fld="6" item="2"/>
          <tpl hier="236" item="1"/>
          <tpl fld="4" item="5"/>
        </tpls>
      </m>
      <m>
        <tpls c="4">
          <tpl fld="7" item="309"/>
          <tpl fld="6" item="2"/>
          <tpl hier="236" item="1"/>
          <tpl fld="4" item="5"/>
        </tpls>
      </m>
      <m>
        <tpls c="4">
          <tpl fld="7" item="402"/>
          <tpl fld="6" item="2"/>
          <tpl hier="236" item="1"/>
          <tpl fld="4" item="5"/>
        </tpls>
      </m>
      <m>
        <tpls c="4">
          <tpl fld="7" item="896"/>
          <tpl fld="6" item="2"/>
          <tpl hier="236" item="1"/>
          <tpl fld="4" item="6"/>
        </tpls>
      </m>
      <m>
        <tpls c="4">
          <tpl fld="7" item="296"/>
          <tpl fld="6" item="2"/>
          <tpl hier="236" item="1"/>
          <tpl fld="4" item="6"/>
        </tpls>
      </m>
      <n v="1" in="1">
        <tpls c="4">
          <tpl fld="7" item="918"/>
          <tpl fld="6" item="1"/>
          <tpl hier="236" item="1"/>
          <tpl fld="4" item="5"/>
        </tpls>
      </n>
      <m>
        <tpls c="4">
          <tpl fld="7" item="495"/>
          <tpl fld="6" item="1"/>
          <tpl hier="236" item="1"/>
          <tpl fld="4" item="5"/>
        </tpls>
      </m>
      <m>
        <tpls c="4">
          <tpl fld="7" item="147"/>
          <tpl fld="6" item="1"/>
          <tpl hier="236" item="1"/>
          <tpl fld="4" item="5"/>
        </tpls>
      </m>
      <m>
        <tpls c="3">
          <tpl fld="7" item="773"/>
          <tpl fld="6" item="3"/>
          <tpl hier="236" item="1"/>
        </tpls>
      </m>
      <m>
        <tpls c="4">
          <tpl fld="7" item="742"/>
          <tpl fld="6" item="2"/>
          <tpl hier="236" item="1"/>
          <tpl fld="4" item="4"/>
        </tpls>
      </m>
      <n v="14" in="1">
        <tpls c="4">
          <tpl fld="7" item="804"/>
          <tpl fld="6" item="1"/>
          <tpl hier="236" item="1"/>
          <tpl fld="4" item="6"/>
        </tpls>
      </n>
      <m>
        <tpls c="3">
          <tpl fld="7" item="897"/>
          <tpl fld="6" item="3"/>
          <tpl hier="236" item="1"/>
        </tpls>
      </m>
      <n v="5" in="1">
        <tpls c="4">
          <tpl fld="7" item="956"/>
          <tpl fld="6" item="1"/>
          <tpl hier="236" item="1"/>
          <tpl fld="4" item="4"/>
        </tpls>
      </n>
      <m>
        <tpls c="4">
          <tpl fld="7" item="791"/>
          <tpl fld="6" item="2"/>
          <tpl hier="236" item="1"/>
          <tpl fld="1" item="0"/>
        </tpls>
      </m>
      <m>
        <tpls c="4">
          <tpl fld="7" item="738"/>
          <tpl fld="6" item="1"/>
          <tpl hier="236" item="1"/>
          <tpl fld="1" item="0"/>
        </tpls>
      </m>
      <m>
        <tpls c="3">
          <tpl fld="7" item="919"/>
          <tpl fld="6" item="3"/>
          <tpl hier="236" item="1"/>
        </tpls>
      </m>
      <m>
        <tpls c="4">
          <tpl fld="7" item="487"/>
          <tpl fld="6" item="2"/>
          <tpl hier="236" item="1"/>
          <tpl fld="1" item="0"/>
        </tpls>
      </m>
      <n v="1" in="1">
        <tpls c="4">
          <tpl fld="7" item="662"/>
          <tpl fld="6" item="1"/>
          <tpl hier="236" item="1"/>
          <tpl fld="1" item="0"/>
        </tpls>
      </n>
      <m>
        <tpls c="4">
          <tpl fld="7" item="283"/>
          <tpl fld="6" item="2"/>
          <tpl hier="236" item="1"/>
          <tpl fld="4" item="5"/>
        </tpls>
      </m>
      <m>
        <tpls c="4">
          <tpl fld="7" item="1007"/>
          <tpl fld="6" item="1"/>
          <tpl hier="236" item="1"/>
          <tpl fld="4" item="5"/>
        </tpls>
      </m>
      <n v="2" in="1">
        <tpls c="4">
          <tpl fld="7" item="500"/>
          <tpl fld="6" item="1"/>
          <tpl hier="236" item="1"/>
          <tpl fld="4" item="1"/>
        </tpls>
      </n>
      <m>
        <tpls c="4">
          <tpl fld="7" item="824"/>
          <tpl fld="6" item="2"/>
          <tpl hier="236" item="1"/>
          <tpl fld="4" item="4"/>
        </tpls>
      </m>
      <m>
        <tpls c="4">
          <tpl fld="7" item="899"/>
          <tpl fld="6" item="2"/>
          <tpl hier="236" item="1"/>
          <tpl fld="4" item="5"/>
        </tpls>
      </m>
      <m>
        <tpls c="4">
          <tpl fld="7" item="169"/>
          <tpl fld="6" item="2"/>
          <tpl hier="236" item="1"/>
          <tpl fld="4" item="5"/>
        </tpls>
      </m>
      <m>
        <tpls c="4">
          <tpl fld="7" item="1110"/>
          <tpl fld="6" item="2"/>
          <tpl hier="236" item="1"/>
          <tpl fld="4" item="6"/>
        </tpls>
      </m>
      <m>
        <tpls c="4">
          <tpl fld="7" item="285"/>
          <tpl fld="6" item="2"/>
          <tpl hier="236" item="1"/>
          <tpl fld="4" item="6"/>
        </tpls>
      </m>
      <n v="1" in="1">
        <tpls c="4">
          <tpl fld="7" item="526"/>
          <tpl fld="6" item="1"/>
          <tpl hier="236" item="1"/>
          <tpl fld="4" item="5"/>
        </tpls>
      </n>
      <m>
        <tpls c="4">
          <tpl fld="7" item="670"/>
          <tpl fld="6" item="1"/>
          <tpl hier="236" item="1"/>
          <tpl fld="4" item="5"/>
        </tpls>
      </m>
      <n v="1" in="1">
        <tpls c="4">
          <tpl fld="7" item="929"/>
          <tpl fld="6" item="1"/>
          <tpl hier="236" item="1"/>
          <tpl fld="4" item="1"/>
        </tpls>
      </n>
      <n v="1" in="1">
        <tpls c="4">
          <tpl fld="7" item="601"/>
          <tpl fld="6" item="1"/>
          <tpl hier="236" item="1"/>
          <tpl fld="4" item="1"/>
        </tpls>
      </n>
      <m>
        <tpls c="4">
          <tpl fld="7" item="171"/>
          <tpl fld="6" item="1"/>
          <tpl hier="236" item="1"/>
          <tpl fld="4" item="1"/>
        </tpls>
      </m>
      <n v="1" in="1">
        <tpls c="4">
          <tpl fld="7" item="704"/>
          <tpl fld="6" item="1"/>
          <tpl hier="236" item="1"/>
          <tpl fld="4" item="5"/>
        </tpls>
      </n>
      <m>
        <tpls c="4">
          <tpl fld="7" item="996"/>
          <tpl fld="6" item="1"/>
          <tpl hier="236" item="1"/>
          <tpl fld="4" item="5"/>
        </tpls>
      </m>
      <n v="1" in="1">
        <tpls c="4">
          <tpl fld="7" item="1123"/>
          <tpl fld="6" item="1"/>
          <tpl hier="236" item="1"/>
          <tpl fld="4" item="4"/>
        </tpls>
      </n>
      <n v="1.2" in="2">
        <tpls c="4">
          <tpl fld="7" item="323"/>
          <tpl fld="6" item="2"/>
          <tpl hier="236" item="1"/>
          <tpl fld="1" item="0"/>
        </tpls>
      </n>
      <m>
        <tpls c="4">
          <tpl fld="7" item="843"/>
          <tpl fld="6" item="2"/>
          <tpl hier="236" item="1"/>
          <tpl fld="4" item="5"/>
        </tpls>
      </m>
      <m>
        <tpls c="4">
          <tpl fld="7" item="189"/>
          <tpl fld="6" item="2"/>
          <tpl hier="236" item="1"/>
          <tpl fld="4" item="5"/>
        </tpls>
      </m>
      <m>
        <tpls c="4">
          <tpl fld="7" item="121"/>
          <tpl fld="6" item="2"/>
          <tpl hier="236" item="1"/>
          <tpl fld="4" item="5"/>
        </tpls>
      </m>
      <n v="1" in="2">
        <tpls c="4">
          <tpl fld="7" item="524"/>
          <tpl fld="6" item="2"/>
          <tpl hier="236" item="1"/>
          <tpl fld="4" item="6"/>
        </tpls>
      </n>
      <m>
        <tpls c="4">
          <tpl fld="7" item="414"/>
          <tpl fld="6" item="2"/>
          <tpl hier="236" item="1"/>
          <tpl fld="4" item="6"/>
        </tpls>
      </m>
      <m>
        <tpls c="4">
          <tpl fld="7" item="914"/>
          <tpl fld="6" item="1"/>
          <tpl hier="236" item="1"/>
          <tpl fld="4" item="5"/>
        </tpls>
      </m>
      <m>
        <tpls c="4">
          <tpl fld="7" item="186"/>
          <tpl fld="6" item="1"/>
          <tpl hier="236" item="1"/>
          <tpl fld="4" item="6"/>
        </tpls>
      </m>
      <m>
        <tpls c="3">
          <tpl fld="7" item="101"/>
          <tpl fld="6" item="3"/>
          <tpl hier="236" item="1"/>
        </tpls>
      </m>
      <n v="2" in="1">
        <tpls c="4">
          <tpl fld="7" item="779"/>
          <tpl fld="6" item="1"/>
          <tpl hier="236" item="1"/>
          <tpl fld="1" item="0"/>
        </tpls>
      </n>
      <m>
        <tpls c="4">
          <tpl fld="7" item="160"/>
          <tpl fld="6" item="1"/>
          <tpl hier="236" item="1"/>
          <tpl fld="4" item="5"/>
        </tpls>
      </m>
      <m>
        <tpls c="4">
          <tpl fld="7" item="83"/>
          <tpl fld="6" item="2"/>
          <tpl hier="236" item="1"/>
          <tpl fld="4" item="1"/>
        </tpls>
      </m>
      <n v="3" in="1">
        <tpls c="4">
          <tpl fld="7" item="1238"/>
          <tpl fld="6" item="1"/>
          <tpl hier="236" item="1"/>
          <tpl fld="4" item="6"/>
        </tpls>
      </n>
      <m>
        <tpls c="4">
          <tpl fld="7" item="813"/>
          <tpl fld="6" item="2"/>
          <tpl hier="236" item="1"/>
          <tpl fld="4" item="1"/>
        </tpls>
      </m>
      <n v="5" in="1">
        <tpls c="4">
          <tpl fld="7" item="615"/>
          <tpl fld="6" item="1"/>
          <tpl hier="236" item="1"/>
          <tpl fld="4" item="1"/>
        </tpls>
      </n>
      <m>
        <tpls c="4">
          <tpl fld="7" item="460"/>
          <tpl fld="6" item="2"/>
          <tpl hier="236" item="1"/>
          <tpl fld="1" item="0"/>
        </tpls>
      </m>
      <m>
        <tpls c="4">
          <tpl fld="7" item="821"/>
          <tpl fld="6" item="1"/>
          <tpl hier="236" item="1"/>
          <tpl fld="4" item="5"/>
        </tpls>
      </m>
      <m>
        <tpls c="4">
          <tpl fld="7" item="1255"/>
          <tpl fld="6" item="2"/>
          <tpl hier="236" item="1"/>
          <tpl fld="4" item="1"/>
        </tpls>
      </m>
      <m>
        <tpls c="4">
          <tpl fld="7" item="78"/>
          <tpl fld="6" item="2"/>
          <tpl hier="236" item="1"/>
          <tpl fld="4" item="4"/>
        </tpls>
      </m>
      <m>
        <tpls c="3">
          <tpl fld="7" item="695"/>
          <tpl fld="6" item="3"/>
          <tpl hier="236" item="1"/>
        </tpls>
      </m>
      <m>
        <tpls c="4">
          <tpl fld="7" item="352"/>
          <tpl fld="6" item="2"/>
          <tpl hier="236" item="1"/>
          <tpl fld="4" item="1"/>
        </tpls>
      </m>
      <m>
        <tpls c="4">
          <tpl fld="7" item="1091"/>
          <tpl fld="6" item="1"/>
          <tpl hier="236" item="1"/>
          <tpl fld="4" item="4"/>
        </tpls>
      </m>
      <n v="1" in="1">
        <tpls c="4">
          <tpl fld="7" item="532"/>
          <tpl fld="6" item="1"/>
          <tpl hier="236" item="1"/>
          <tpl fld="4" item="1"/>
        </tpls>
      </n>
      <m>
        <tpls c="4">
          <tpl fld="7" item="813"/>
          <tpl fld="6" item="2"/>
          <tpl hier="236" item="1"/>
          <tpl fld="4" item="5"/>
        </tpls>
      </m>
      <m>
        <tpls c="4">
          <tpl fld="7" item="847"/>
          <tpl fld="6" item="1"/>
          <tpl hier="236" item="1"/>
          <tpl fld="4" item="6"/>
        </tpls>
      </m>
      <m>
        <tpls c="4">
          <tpl fld="7" item="1113"/>
          <tpl fld="6" item="2"/>
          <tpl hier="236" item="1"/>
          <tpl fld="1" item="0"/>
        </tpls>
      </m>
      <m>
        <tpls c="4">
          <tpl fld="7" item="1091"/>
          <tpl fld="6" item="1"/>
          <tpl hier="236" item="1"/>
          <tpl fld="4" item="5"/>
        </tpls>
      </m>
      <m>
        <tpls c="4">
          <tpl fld="7" item="687"/>
          <tpl fld="6" item="2"/>
          <tpl hier="236" item="1"/>
          <tpl fld="4" item="4"/>
        </tpls>
      </m>
      <m>
        <tpls c="4">
          <tpl fld="7" item="568"/>
          <tpl fld="6" item="2"/>
          <tpl hier="236" item="1"/>
          <tpl fld="1" item="0"/>
        </tpls>
      </m>
      <m>
        <tpls c="4">
          <tpl fld="7" item="622"/>
          <tpl fld="6" item="2"/>
          <tpl hier="236" item="1"/>
          <tpl fld="4" item="1"/>
        </tpls>
      </m>
      <m>
        <tpls c="3">
          <tpl fld="7" item="823"/>
          <tpl fld="6" item="3"/>
          <tpl hier="236" item="1"/>
        </tpls>
      </m>
      <m>
        <tpls c="4">
          <tpl fld="7" item="1028"/>
          <tpl fld="6" item="2"/>
          <tpl hier="236" item="1"/>
          <tpl fld="4" item="1"/>
        </tpls>
      </m>
      <m>
        <tpls c="4">
          <tpl fld="7" item="530"/>
          <tpl fld="6" item="1"/>
          <tpl hier="236" item="1"/>
          <tpl fld="4" item="4"/>
        </tpls>
      </m>
      <m>
        <tpls c="4">
          <tpl fld="7" item="722"/>
          <tpl fld="6" item="2"/>
          <tpl hier="236" item="1"/>
          <tpl fld="4" item="4"/>
        </tpls>
      </m>
      <n v="6" in="1">
        <tpls c="4">
          <tpl fld="7" item="729"/>
          <tpl fld="6" item="1"/>
          <tpl hier="236" item="1"/>
          <tpl fld="1" item="0"/>
        </tpls>
      </n>
      <m>
        <tpls c="4">
          <tpl fld="7" item="737"/>
          <tpl fld="6" item="1"/>
          <tpl hier="236" item="1"/>
          <tpl fld="1" item="0"/>
        </tpls>
      </m>
      <m>
        <tpls c="4">
          <tpl fld="7" item="745"/>
          <tpl fld="6" item="2"/>
          <tpl hier="236" item="1"/>
          <tpl fld="4" item="6"/>
        </tpls>
      </m>
      <m>
        <tpls c="4">
          <tpl fld="7" item="842"/>
          <tpl fld="6" item="2"/>
          <tpl hier="236" item="1"/>
          <tpl fld="4" item="1"/>
        </tpls>
      </m>
      <m>
        <tpls c="4">
          <tpl fld="7" item="1021"/>
          <tpl fld="6" item="1"/>
          <tpl hier="236" item="1"/>
          <tpl fld="4" item="6"/>
        </tpls>
      </m>
      <m>
        <tpls c="4">
          <tpl fld="7" item="1144"/>
          <tpl fld="6" item="2"/>
          <tpl hier="236" item="1"/>
          <tpl fld="4" item="1"/>
        </tpls>
      </m>
      <n v="1.7600000000000002" in="2">
        <tpls c="4">
          <tpl fld="7" item="1249"/>
          <tpl fld="6" item="2"/>
          <tpl hier="236" item="1"/>
          <tpl fld="1" item="0"/>
        </tpls>
      </n>
      <m>
        <tpls c="4">
          <tpl fld="7" item="87"/>
          <tpl fld="6" item="2"/>
          <tpl hier="236" item="1"/>
          <tpl fld="1" item="0"/>
        </tpls>
      </m>
      <m>
        <tpls c="4">
          <tpl fld="7" item="127"/>
          <tpl fld="6" item="2"/>
          <tpl hier="236" item="1"/>
          <tpl fld="1" item="0"/>
        </tpls>
      </m>
      <m>
        <tpls c="4">
          <tpl fld="7" item="505"/>
          <tpl fld="6" item="2"/>
          <tpl hier="236" item="1"/>
          <tpl fld="4" item="5"/>
        </tpls>
      </m>
      <n v="1" in="1">
        <tpls c="4">
          <tpl fld="7" item="658"/>
          <tpl fld="6" item="1"/>
          <tpl hier="236" item="1"/>
          <tpl fld="1" item="0"/>
        </tpls>
      </n>
      <n v="4" in="1">
        <tpls c="4">
          <tpl fld="7" item="1201"/>
          <tpl fld="6" item="1"/>
          <tpl hier="236" item="1"/>
          <tpl fld="4" item="4"/>
        </tpls>
      </n>
      <m>
        <tpls c="4">
          <tpl fld="7" item="1184"/>
          <tpl fld="6" item="2"/>
          <tpl hier="236" item="1"/>
          <tpl fld="4" item="5"/>
        </tpls>
      </m>
      <m>
        <tpls c="4">
          <tpl fld="7" item="294"/>
          <tpl fld="6" item="2"/>
          <tpl hier="236" item="1"/>
          <tpl fld="4" item="5"/>
        </tpls>
      </m>
      <m>
        <tpls c="4">
          <tpl fld="7" item="1129"/>
          <tpl fld="6" item="2"/>
          <tpl hier="236" item="1"/>
          <tpl fld="4" item="6"/>
        </tpls>
      </m>
      <m>
        <tpls c="4">
          <tpl fld="7" item="203"/>
          <tpl fld="6" item="2"/>
          <tpl hier="236" item="1"/>
          <tpl fld="4" item="6"/>
        </tpls>
      </m>
      <n v="1" in="1">
        <tpls c="4">
          <tpl fld="7" item="1118"/>
          <tpl fld="6" item="1"/>
          <tpl hier="236" item="1"/>
          <tpl fld="4" item="5"/>
        </tpls>
      </n>
      <m>
        <tpls c="4">
          <tpl fld="7" item="81"/>
          <tpl fld="6" item="1"/>
          <tpl hier="236" item="1"/>
          <tpl fld="4" item="5"/>
        </tpls>
      </m>
      <m>
        <tpls c="4">
          <tpl fld="7" item="1070"/>
          <tpl fld="6" item="1"/>
          <tpl hier="236" item="1"/>
          <tpl fld="4" item="1"/>
        </tpls>
      </m>
      <n v="5" in="1">
        <tpls c="4">
          <tpl fld="7" item="1015"/>
          <tpl fld="6" item="1"/>
          <tpl hier="236" item="1"/>
          <tpl fld="4" item="1"/>
        </tpls>
      </n>
      <n v="5" in="1">
        <tpls c="4">
          <tpl fld="7" item="106"/>
          <tpl fld="6" item="1"/>
          <tpl hier="236" item="1"/>
          <tpl fld="4" item="1"/>
        </tpls>
      </n>
      <m>
        <tpls c="4">
          <tpl fld="7" item="40"/>
          <tpl fld="6" item="1"/>
          <tpl hier="236" item="1"/>
          <tpl fld="4" item="1"/>
        </tpls>
      </m>
      <n v="1" in="1">
        <tpls c="4">
          <tpl fld="7" item="845"/>
          <tpl fld="6" item="1"/>
          <tpl hier="236" item="1"/>
          <tpl fld="1" item="0"/>
        </tpls>
      </n>
      <n v="0.52" in="2">
        <tpls c="4">
          <tpl fld="7" item="643"/>
          <tpl fld="6" item="2"/>
          <tpl hier="236" item="1"/>
          <tpl fld="4" item="4"/>
        </tpls>
      </n>
      <m>
        <tpls c="4">
          <tpl fld="7" item="828"/>
          <tpl fld="6" item="2"/>
          <tpl hier="236" item="1"/>
          <tpl fld="4" item="1"/>
        </tpls>
      </m>
      <m>
        <tpls c="4">
          <tpl fld="7" item="1046"/>
          <tpl fld="6" item="1"/>
          <tpl hier="236" item="1"/>
          <tpl fld="4" item="4"/>
        </tpls>
      </m>
      <m>
        <tpls c="4">
          <tpl fld="7" item="148"/>
          <tpl fld="6" item="2"/>
          <tpl hier="236" item="1"/>
          <tpl fld="1" item="0"/>
        </tpls>
      </m>
      <m>
        <tpls c="4">
          <tpl fld="7" item="516"/>
          <tpl fld="6" item="2"/>
          <tpl hier="236" item="1"/>
          <tpl fld="4" item="1"/>
        </tpls>
      </m>
      <m>
        <tpls c="4">
          <tpl fld="7" item="780"/>
          <tpl fld="6" item="1"/>
          <tpl hier="236" item="1"/>
          <tpl fld="4" item="1"/>
        </tpls>
      </m>
      <m>
        <tpls c="3">
          <tpl fld="7" item="618"/>
          <tpl fld="6" item="3"/>
          <tpl hier="236" item="1"/>
        </tpls>
      </m>
      <n v="2" in="1">
        <tpls c="4">
          <tpl fld="7" item="798"/>
          <tpl fld="6" item="1"/>
          <tpl hier="236" item="1"/>
          <tpl fld="1" item="0"/>
        </tpls>
      </n>
      <n v="8" in="1">
        <tpls c="4">
          <tpl fld="7" item="1095"/>
          <tpl fld="6" item="1"/>
          <tpl hier="236" item="1"/>
          <tpl fld="4" item="1"/>
        </tpls>
      </n>
      <m>
        <tpls c="4">
          <tpl fld="7" item="826"/>
          <tpl fld="6" item="2"/>
          <tpl hier="236" item="1"/>
          <tpl fld="4" item="5"/>
        </tpls>
      </m>
      <m>
        <tpls c="4">
          <tpl fld="7" item="1279"/>
          <tpl fld="6" item="2"/>
          <tpl hier="236" item="1"/>
          <tpl fld="4" item="1"/>
        </tpls>
      </m>
      <m>
        <tpls c="4">
          <tpl fld="7" item="469"/>
          <tpl fld="6" item="2"/>
          <tpl hier="236" item="1"/>
          <tpl fld="1" item="0"/>
        </tpls>
      </m>
      <n v="13" in="1">
        <tpls c="4">
          <tpl fld="7" item="989"/>
          <tpl fld="6" item="1"/>
          <tpl hier="236" item="1"/>
          <tpl fld="1" item="0"/>
        </tpls>
      </n>
      <n v="58" in="1">
        <tpls c="4">
          <tpl fld="7" item="643"/>
          <tpl fld="6" item="1"/>
          <tpl hier="236" item="1"/>
          <tpl fld="1" item="0"/>
        </tpls>
      </n>
      <n v="0" in="1">
        <tpls c="4">
          <tpl fld="7" item="730"/>
          <tpl fld="6" item="1"/>
          <tpl hier="236" item="1"/>
          <tpl fld="4" item="5"/>
        </tpls>
      </n>
      <m>
        <tpls c="4">
          <tpl fld="7" item="737"/>
          <tpl fld="6" item="2"/>
          <tpl hier="236" item="1"/>
          <tpl fld="4" item="1"/>
        </tpls>
      </m>
      <m>
        <tpls c="4">
          <tpl fld="7" item="663"/>
          <tpl fld="6" item="2"/>
          <tpl hier="236" item="1"/>
          <tpl fld="4" item="4"/>
        </tpls>
      </m>
      <m>
        <tpls c="4">
          <tpl fld="7" item="898"/>
          <tpl fld="6" item="2"/>
          <tpl hier="236" item="1"/>
          <tpl fld="4" item="1"/>
        </tpls>
      </m>
      <m>
        <tpls c="3">
          <tpl fld="7" item="1114"/>
          <tpl fld="6" item="3"/>
          <tpl hier="236" item="1"/>
        </tpls>
      </m>
      <m>
        <tpls c="4">
          <tpl fld="7" item="917"/>
          <tpl fld="6" item="1"/>
          <tpl hier="236" item="1"/>
          <tpl fld="4" item="6"/>
        </tpls>
      </m>
      <n v="3" in="1">
        <tpls c="4">
          <tpl fld="7" item="1134"/>
          <tpl fld="6" item="1"/>
          <tpl hier="236" item="1"/>
          <tpl fld="4" item="4"/>
        </tpls>
      </n>
      <n v="4" in="1">
        <tpls c="4">
          <tpl fld="7" item="959"/>
          <tpl fld="6" item="1"/>
          <tpl hier="236" item="1"/>
          <tpl fld="4" item="4"/>
        </tpls>
      </n>
      <n v="0.52" in="2">
        <tpls c="4">
          <tpl fld="7" item="848"/>
          <tpl fld="6" item="2"/>
          <tpl hier="236" item="1"/>
          <tpl fld="1" item="0"/>
        </tpls>
      </n>
      <m>
        <tpls c="4">
          <tpl fld="7" item="92"/>
          <tpl fld="6" item="2"/>
          <tpl hier="236" item="1"/>
          <tpl fld="1" item="0"/>
        </tpls>
      </m>
      <n v="7" in="1">
        <tpls c="4">
          <tpl fld="7" item="546"/>
          <tpl fld="6" item="1"/>
          <tpl hier="236" item="1"/>
          <tpl fld="4" item="1"/>
        </tpls>
      </n>
      <m>
        <tpls c="4">
          <tpl fld="7" item="571"/>
          <tpl fld="6" item="2"/>
          <tpl hier="236" item="1"/>
          <tpl fld="4" item="5"/>
        </tpls>
      </m>
      <n v="1" in="2">
        <tpls c="4">
          <tpl fld="7" item="642"/>
          <tpl fld="6" item="2"/>
          <tpl hier="236" item="1"/>
          <tpl fld="1" item="0"/>
        </tpls>
      </n>
      <m>
        <tpls c="3">
          <tpl fld="7" item="727"/>
          <tpl fld="6" item="3"/>
          <tpl hier="236" item="1"/>
        </tpls>
      </m>
      <n v="1" in="1">
        <tpls c="4">
          <tpl fld="7" item="653"/>
          <tpl fld="6" item="1"/>
          <tpl hier="236" item="1"/>
          <tpl fld="4" item="5"/>
        </tpls>
      </n>
      <m>
        <tpls c="4">
          <tpl fld="7" item="1215"/>
          <tpl fld="6" item="1"/>
          <tpl hier="236" item="1"/>
          <tpl fld="4" item="1"/>
        </tpls>
      </m>
      <n v="27" in="1">
        <tpls c="4">
          <tpl fld="7" item="665"/>
          <tpl fld="6" item="1"/>
          <tpl hier="236" item="1"/>
          <tpl fld="4" item="4"/>
        </tpls>
      </n>
      <m>
        <tpls c="4">
          <tpl fld="7" item="1107"/>
          <tpl fld="6" item="2"/>
          <tpl hier="236" item="1"/>
          <tpl fld="4" item="4"/>
        </tpls>
      </m>
      <n v="29" in="1">
        <tpls c="4">
          <tpl fld="7" item="1014"/>
          <tpl fld="6" item="1"/>
          <tpl hier="236" item="1"/>
          <tpl fld="4" item="4"/>
        </tpls>
      </n>
      <m>
        <tpls c="4">
          <tpl fld="7" item="863"/>
          <tpl fld="6" item="2"/>
          <tpl hier="236" item="1"/>
          <tpl fld="4" item="1"/>
        </tpls>
      </m>
      <m>
        <tpls c="4">
          <tpl fld="7" item="936"/>
          <tpl fld="6" item="2"/>
          <tpl hier="236" item="1"/>
          <tpl fld="4" item="1"/>
        </tpls>
      </m>
      <m>
        <tpls c="4">
          <tpl fld="7" item="968"/>
          <tpl fld="6" item="2"/>
          <tpl hier="236" item="1"/>
          <tpl fld="4" item="1"/>
        </tpls>
      </m>
      <m>
        <tpls c="4">
          <tpl fld="7" item="748"/>
          <tpl fld="6" item="2"/>
          <tpl hier="236" item="1"/>
          <tpl fld="1" item="0"/>
        </tpls>
      </m>
      <m>
        <tpls c="4">
          <tpl fld="7" item="186"/>
          <tpl fld="6" item="2"/>
          <tpl hier="236" item="1"/>
          <tpl fld="1" item="0"/>
        </tpls>
      </m>
      <m>
        <tpls c="4">
          <tpl fld="7" item="5"/>
          <tpl fld="6" item="2"/>
          <tpl hier="236" item="1"/>
          <tpl fld="1" item="0"/>
        </tpls>
      </m>
      <m>
        <tpls c="4">
          <tpl fld="7" item="86"/>
          <tpl fld="6" item="2"/>
          <tpl hier="236" item="1"/>
          <tpl fld="4" item="5"/>
        </tpls>
      </m>
      <m>
        <tpls c="4">
          <tpl fld="7" item="803"/>
          <tpl fld="6" item="2"/>
          <tpl hier="236" item="1"/>
          <tpl fld="4" item="6"/>
        </tpls>
      </m>
      <n v="7" in="1">
        <tpls c="4">
          <tpl fld="7" item="744"/>
          <tpl fld="6" item="1"/>
          <tpl hier="236" item="1"/>
          <tpl fld="4" item="1"/>
        </tpls>
      </n>
      <n v="7" in="1">
        <tpls c="4">
          <tpl fld="7" item="1251"/>
          <tpl fld="6" item="1"/>
          <tpl hier="236" item="1"/>
          <tpl fld="4" item="4"/>
        </tpls>
      </n>
      <m>
        <tpls c="4">
          <tpl fld="7" item="409"/>
          <tpl fld="6" item="2"/>
          <tpl hier="236" item="1"/>
          <tpl fld="1" item="0"/>
        </tpls>
      </m>
      <n v="1.9600000000000002" in="2">
        <tpls c="4">
          <tpl fld="7" item="681"/>
          <tpl fld="6" item="2"/>
          <tpl hier="236" item="1"/>
          <tpl fld="4" item="5"/>
        </tpls>
      </n>
      <m>
        <tpls c="4">
          <tpl fld="7" item="47"/>
          <tpl fld="6" item="2"/>
          <tpl hier="236" item="1"/>
          <tpl fld="4" item="5"/>
        </tpls>
      </m>
      <m>
        <tpls c="4">
          <tpl fld="7" item="1223"/>
          <tpl fld="6" item="2"/>
          <tpl hier="236" item="1"/>
          <tpl fld="4" item="6"/>
        </tpls>
      </m>
      <m>
        <tpls c="4">
          <tpl fld="7" item="433"/>
          <tpl fld="6" item="2"/>
          <tpl hier="236" item="1"/>
          <tpl fld="4" item="6"/>
        </tpls>
      </m>
      <m>
        <tpls c="4">
          <tpl fld="7" item="147"/>
          <tpl fld="6" item="2"/>
          <tpl hier="236" item="1"/>
          <tpl fld="4" item="6"/>
        </tpls>
      </m>
      <m>
        <tpls c="4">
          <tpl fld="7" item="1271"/>
          <tpl fld="6" item="1"/>
          <tpl hier="236" item="1"/>
          <tpl fld="4" item="5"/>
        </tpls>
      </m>
      <n v="0" in="1">
        <tpls c="4">
          <tpl fld="7" item="84"/>
          <tpl fld="6" item="1"/>
          <tpl hier="236" item="1"/>
          <tpl fld="4" item="5"/>
        </tpls>
      </n>
      <n v="1" in="1">
        <tpls c="4">
          <tpl fld="7" item="1073"/>
          <tpl fld="6" item="1"/>
          <tpl hier="236" item="1"/>
          <tpl fld="4" item="1"/>
        </tpls>
      </n>
      <n v="2" in="1">
        <tpls c="4">
          <tpl fld="7" item="1120"/>
          <tpl fld="6" item="1"/>
          <tpl hier="236" item="1"/>
          <tpl fld="4" item="1"/>
        </tpls>
      </n>
      <n v="41" in="1">
        <tpls c="4">
          <tpl fld="7" item="494"/>
          <tpl fld="6" item="1"/>
          <tpl hier="236" item="1"/>
          <tpl fld="4" item="1"/>
        </tpls>
      </n>
      <m>
        <tpls c="4">
          <tpl fld="7" item="114"/>
          <tpl fld="6" item="1"/>
          <tpl hier="236" item="1"/>
          <tpl fld="4" item="1"/>
        </tpls>
      </m>
      <n v="25" in="1">
        <tpls c="4">
          <tpl fld="7" item="848"/>
          <tpl fld="6" item="1"/>
          <tpl hier="236" item="1"/>
          <tpl fld="1" item="0"/>
        </tpls>
      </n>
      <m>
        <tpls c="4">
          <tpl fld="7" item="585"/>
          <tpl fld="6" item="2"/>
          <tpl hier="236" item="1"/>
          <tpl fld="4" item="1"/>
        </tpls>
      </m>
      <n v="1.52" in="2">
        <tpls c="4">
          <tpl fld="7" item="665"/>
          <tpl fld="6" item="2"/>
          <tpl hier="236" item="1"/>
          <tpl fld="4" item="1"/>
        </tpls>
      </n>
      <n v="5" in="1">
        <tpls c="4">
          <tpl fld="7" item="1040"/>
          <tpl fld="6" item="1"/>
          <tpl hier="236" item="1"/>
          <tpl fld="4" item="4"/>
        </tpls>
      </n>
      <m>
        <tpls c="4">
          <tpl fld="7" item="477"/>
          <tpl fld="6" item="2"/>
          <tpl hier="236" item="1"/>
          <tpl fld="1" item="0"/>
        </tpls>
      </m>
      <m>
        <tpls c="4">
          <tpl fld="7" item="465"/>
          <tpl fld="6" item="2"/>
          <tpl hier="236" item="1"/>
          <tpl fld="4" item="1"/>
        </tpls>
      </m>
      <m>
        <tpls c="4">
          <tpl fld="7" item="629"/>
          <tpl fld="6" item="2"/>
          <tpl hier="236" item="1"/>
          <tpl fld="4" item="1"/>
        </tpls>
      </m>
      <m>
        <tpls c="4">
          <tpl fld="7" item="556"/>
          <tpl fld="6" item="1"/>
          <tpl hier="236" item="1"/>
          <tpl fld="4" item="6"/>
        </tpls>
      </m>
      <m>
        <tpls c="4">
          <tpl fld="7" item="639"/>
          <tpl fld="6" item="2"/>
          <tpl hier="236" item="1"/>
          <tpl fld="4" item="6"/>
        </tpls>
      </m>
      <m>
        <tpls c="4">
          <tpl fld="7" item="806"/>
          <tpl fld="6" item="2"/>
          <tpl hier="236" item="1"/>
          <tpl fld="4" item="1"/>
        </tpls>
      </m>
      <m>
        <tpls c="3">
          <tpl fld="7" item="896"/>
          <tpl fld="6" item="3"/>
          <tpl hier="236" item="1"/>
        </tpls>
      </m>
      <m>
        <tpls c="4">
          <tpl fld="7" item="1230"/>
          <tpl fld="6" item="2"/>
          <tpl hier="236" item="1"/>
          <tpl fld="4" item="1"/>
        </tpls>
      </m>
      <m>
        <tpls c="4">
          <tpl fld="7" item="310"/>
          <tpl fld="6" item="2"/>
          <tpl hier="236" item="1"/>
          <tpl fld="4" item="4"/>
        </tpls>
      </m>
      <n v="1" in="1">
        <tpls c="4">
          <tpl fld="7" item="990"/>
          <tpl fld="6" item="1"/>
          <tpl hier="236" item="1"/>
          <tpl fld="4" item="6"/>
        </tpls>
      </n>
      <m>
        <tpls c="4">
          <tpl fld="7" item="889"/>
          <tpl fld="6" item="2"/>
          <tpl hier="236" item="1"/>
          <tpl fld="1" item="0"/>
        </tpls>
      </m>
      <m>
        <tpls c="4">
          <tpl fld="7" item="731"/>
          <tpl fld="6" item="2"/>
          <tpl hier="236" item="1"/>
          <tpl fld="4" item="5"/>
        </tpls>
      </m>
      <m>
        <tpls c="4">
          <tpl fld="7" item="658"/>
          <tpl fld="6" item="2"/>
          <tpl hier="236" item="1"/>
          <tpl fld="4" item="4"/>
        </tpls>
      </m>
      <m>
        <tpls c="4">
          <tpl fld="7" item="894"/>
          <tpl fld="6" item="2"/>
          <tpl hier="236" item="1"/>
          <tpl fld="4" item="6"/>
        </tpls>
      </m>
      <m>
        <tpls c="3">
          <tpl fld="7" item="1003"/>
          <tpl fld="6" item="3"/>
          <tpl hier="236" item="1"/>
        </tpls>
      </m>
      <n v="3" in="1">
        <tpls c="4">
          <tpl fld="7" item="1219"/>
          <tpl fld="6" item="1"/>
          <tpl hier="236" item="1"/>
          <tpl fld="4" item="6"/>
        </tpls>
      </n>
      <m>
        <tpls c="4">
          <tpl fld="7" item="861"/>
          <tpl fld="6" item="2"/>
          <tpl hier="236" item="1"/>
          <tpl fld="4" item="4"/>
        </tpls>
      </m>
      <m>
        <tpls c="4">
          <tpl fld="7" item="1138"/>
          <tpl fld="6" item="1"/>
          <tpl hier="236" item="1"/>
          <tpl fld="4" item="4"/>
        </tpls>
      </m>
      <n v="1" in="1">
        <tpls c="4">
          <tpl fld="7" item="1170"/>
          <tpl fld="6" item="1"/>
          <tpl hier="236" item="1"/>
          <tpl fld="4" item="4"/>
        </tpls>
      </n>
      <m>
        <tpls c="4">
          <tpl fld="7" item="839"/>
          <tpl fld="6" item="2"/>
          <tpl hier="236" item="1"/>
          <tpl fld="1" item="0"/>
        </tpls>
      </m>
      <m>
        <tpls c="4">
          <tpl fld="7" item="349"/>
          <tpl fld="6" item="2"/>
          <tpl hier="236" item="1"/>
          <tpl fld="1" item="0"/>
        </tpls>
      </m>
      <n v="9" in="1">
        <tpls c="4">
          <tpl fld="7" item="777"/>
          <tpl fld="6" item="1"/>
          <tpl hier="236" item="1"/>
          <tpl fld="1" item="0"/>
        </tpls>
      </n>
      <m>
        <tpls c="4">
          <tpl fld="7" item="634"/>
          <tpl fld="6" item="2"/>
          <tpl hier="236" item="1"/>
          <tpl fld="1" item="0"/>
        </tpls>
      </m>
      <m>
        <tpls c="3">
          <tpl fld="7" item="586"/>
          <tpl fld="6" item="3"/>
          <tpl hier="236" item="1"/>
        </tpls>
      </m>
      <n v="0" in="1">
        <tpls c="4">
          <tpl fld="7" item="648"/>
          <tpl fld="6" item="1"/>
          <tpl hier="236" item="1"/>
          <tpl fld="4" item="5"/>
        </tpls>
      </n>
      <n v="2" in="1">
        <tpls c="4">
          <tpl fld="7" item="1098"/>
          <tpl fld="6" item="1"/>
          <tpl hier="236" item="1"/>
          <tpl fld="4" item="1"/>
        </tpls>
      </n>
      <n v="1" in="1">
        <tpls c="4">
          <tpl fld="7" item="893"/>
          <tpl fld="6" item="1"/>
          <tpl hier="236" item="1"/>
          <tpl fld="4" item="4"/>
        </tpls>
      </n>
      <m>
        <tpls c="4">
          <tpl fld="7" item="666"/>
          <tpl fld="6" item="2"/>
          <tpl hier="236" item="1"/>
          <tpl fld="4" item="6"/>
        </tpls>
      </m>
      <m>
        <tpls c="4">
          <tpl fld="7" item="902"/>
          <tpl fld="6" item="1"/>
          <tpl hier="236" item="1"/>
          <tpl fld="4" item="4"/>
        </tpls>
      </m>
      <m>
        <tpls c="4">
          <tpl fld="7" item="852"/>
          <tpl fld="6" item="2"/>
          <tpl hier="236" item="1"/>
          <tpl fld="4" item="1"/>
        </tpls>
      </m>
      <m>
        <tpls c="3">
          <tpl fld="7" item="1025"/>
          <tpl fld="6" item="3"/>
          <tpl hier="236" item="1"/>
        </tpls>
      </m>
      <m>
        <tpls c="4">
          <tpl fld="7" item="1147"/>
          <tpl fld="6" item="2"/>
          <tpl hier="236" item="1"/>
          <tpl fld="4" item="1"/>
        </tpls>
      </m>
      <m>
        <tpls c="4">
          <tpl fld="7" item="1179"/>
          <tpl fld="6" item="2"/>
          <tpl hier="236" item="1"/>
          <tpl fld="4" item="1"/>
        </tpls>
      </m>
      <n v="1" in="2">
        <tpls c="4">
          <tpl fld="7" item="524"/>
          <tpl fld="6" item="2"/>
          <tpl hier="236" item="1"/>
          <tpl fld="1" item="0"/>
        </tpls>
      </n>
      <m>
        <tpls c="4">
          <tpl fld="7" item="177"/>
          <tpl fld="6" item="2"/>
          <tpl hier="236" item="1"/>
          <tpl fld="1" item="0"/>
        </tpls>
      </m>
      <m>
        <tpls c="4">
          <tpl fld="7" item="109"/>
          <tpl fld="6" item="2"/>
          <tpl hier="236" item="1"/>
          <tpl fld="1" item="0"/>
        </tpls>
      </m>
      <n v="0.2" in="2">
        <tpls c="4">
          <tpl fld="7" item="519"/>
          <tpl fld="6" item="2"/>
          <tpl hier="236" item="1"/>
          <tpl fld="4" item="5"/>
        </tpls>
      </n>
      <n v="2" in="1">
        <tpls c="4">
          <tpl fld="7" item="588"/>
          <tpl fld="6" item="1"/>
          <tpl hier="236" item="1"/>
          <tpl fld="4" item="6"/>
        </tpls>
      </n>
      <n v="0" in="1">
        <tpls c="4">
          <tpl fld="7" item="749"/>
          <tpl fld="6" item="1"/>
          <tpl hier="236" item="1"/>
          <tpl fld="4" item="6"/>
        </tpls>
      </n>
      <m>
        <tpls c="4">
          <tpl fld="7" item="1204"/>
          <tpl fld="6" item="1"/>
          <tpl hier="236" item="1"/>
          <tpl fld="4" item="4"/>
        </tpls>
      </m>
      <m>
        <tpls c="4">
          <tpl fld="7" item="247"/>
          <tpl fld="6" item="2"/>
          <tpl hier="236" item="1"/>
          <tpl fld="1" item="0"/>
        </tpls>
      </m>
      <m>
        <tpls c="4">
          <tpl fld="7" item="678"/>
          <tpl fld="6" item="2"/>
          <tpl hier="236" item="1"/>
          <tpl fld="4" item="5"/>
        </tpls>
      </m>
      <m>
        <tpls c="4">
          <tpl fld="7" item="876"/>
          <tpl fld="6" item="2"/>
          <tpl hier="236" item="1"/>
          <tpl fld="4" item="5"/>
        </tpls>
      </m>
      <m>
        <tpls c="4">
          <tpl fld="7" item="918"/>
          <tpl fld="6" item="2"/>
          <tpl hier="236" item="1"/>
          <tpl fld="4" item="6"/>
        </tpls>
      </m>
      <n v="5.4594594594594597" in="2">
        <tpls c="4">
          <tpl fld="7" item="424"/>
          <tpl fld="6" item="2"/>
          <tpl hier="236" item="1"/>
          <tpl fld="4" item="6"/>
        </tpls>
      </n>
      <m>
        <tpls c="4">
          <tpl fld="7" item="251"/>
          <tpl fld="6" item="2"/>
          <tpl hier="236" item="1"/>
          <tpl fld="4" item="6"/>
        </tpls>
      </m>
      <m>
        <tpls c="4">
          <tpl fld="7" item="383"/>
          <tpl fld="6" item="1"/>
          <tpl hier="236" item="1"/>
          <tpl fld="4" item="5"/>
        </tpls>
      </m>
      <m>
        <tpls c="4">
          <tpl fld="7" item="75"/>
          <tpl fld="6" item="1"/>
          <tpl hier="236" item="1"/>
          <tpl fld="4" item="5"/>
        </tpls>
      </m>
      <m>
        <tpls c="4">
          <tpl fld="7" item="1064"/>
          <tpl fld="6" item="1"/>
          <tpl hier="236" item="1"/>
          <tpl fld="4" item="1"/>
        </tpls>
      </m>
      <m>
        <tpls c="4">
          <tpl fld="7" item="1284"/>
          <tpl fld="6" item="1"/>
          <tpl hier="236" item="1"/>
          <tpl fld="4" item="1"/>
        </tpls>
      </m>
      <m>
        <tpls c="4">
          <tpl fld="7" item="321"/>
          <tpl fld="6" item="1"/>
          <tpl hier="236" item="1"/>
          <tpl fld="4" item="1"/>
        </tpls>
      </m>
      <m>
        <tpls c="4">
          <tpl fld="7" item="34"/>
          <tpl fld="6" item="1"/>
          <tpl hier="236" item="1"/>
          <tpl fld="4" item="1"/>
        </tpls>
      </m>
      <n v="0" in="1">
        <tpls c="4">
          <tpl fld="7" item="839"/>
          <tpl fld="6" item="1"/>
          <tpl hier="236" item="1"/>
          <tpl fld="1" item="0"/>
        </tpls>
      </n>
      <m>
        <tpls c="4">
          <tpl fld="7" item="993"/>
          <tpl fld="6" item="2"/>
          <tpl hier="236" item="1"/>
          <tpl fld="4" item="1"/>
        </tpls>
      </m>
      <m>
        <tpls c="4">
          <tpl fld="7" item="1103"/>
          <tpl fld="6" item="1"/>
          <tpl hier="236" item="1"/>
          <tpl fld="4" item="6"/>
        </tpls>
      </m>
      <n v="3" in="1">
        <tpls c="4">
          <tpl fld="7" item="1058"/>
          <tpl fld="6" item="1"/>
          <tpl hier="236" item="1"/>
          <tpl fld="4" item="4"/>
        </tpls>
      </n>
      <m>
        <tpls c="4">
          <tpl fld="7" item="136"/>
          <tpl fld="6" item="2"/>
          <tpl hier="236" item="1"/>
          <tpl fld="1" item="0"/>
        </tpls>
      </m>
      <m>
        <tpls c="4">
          <tpl fld="7" item="364"/>
          <tpl fld="6" item="2"/>
          <tpl hier="236" item="1"/>
          <tpl fld="4" item="5"/>
        </tpls>
      </m>
      <m>
        <tpls c="4">
          <tpl fld="7" item="166"/>
          <tpl fld="6" item="2"/>
          <tpl hier="236" item="1"/>
          <tpl fld="4" item="5"/>
        </tpls>
      </m>
      <m>
        <tpls c="4">
          <tpl fld="7" item="917"/>
          <tpl fld="6" item="2"/>
          <tpl hier="236" item="1"/>
          <tpl fld="4" item="6"/>
        </tpls>
      </m>
      <m>
        <tpls c="4">
          <tpl fld="7" item="352"/>
          <tpl fld="6" item="2"/>
          <tpl hier="236" item="1"/>
          <tpl fld="4" item="6"/>
        </tpls>
      </m>
      <m>
        <tpls c="4">
          <tpl fld="7" item="246"/>
          <tpl fld="6" item="2"/>
          <tpl hier="236" item="1"/>
          <tpl fld="4" item="6"/>
        </tpls>
      </m>
      <m>
        <tpls c="4">
          <tpl fld="7" item="523"/>
          <tpl fld="6" item="1"/>
          <tpl hier="236" item="1"/>
          <tpl fld="4" item="5"/>
        </tpls>
      </m>
      <m>
        <tpls c="4">
          <tpl fld="7" item="290"/>
          <tpl fld="6" item="1"/>
          <tpl hier="236" item="1"/>
          <tpl fld="4" item="5"/>
        </tpls>
      </m>
      <m>
        <tpls c="4">
          <tpl fld="7" item="959"/>
          <tpl fld="6" item="1"/>
          <tpl hier="236" item="1"/>
          <tpl fld="4" item="1"/>
        </tpls>
      </m>
      <m>
        <tpls c="4">
          <tpl fld="7" item="719"/>
          <tpl fld="6" item="2"/>
          <tpl hier="236" item="1"/>
          <tpl fld="4" item="1"/>
        </tpls>
      </m>
      <n v="20.68" in="2">
        <tpls c="4">
          <tpl fld="7" item="426"/>
          <tpl fld="6" item="2"/>
          <tpl hier="236" item="1"/>
          <tpl fld="4" item="4"/>
        </tpls>
      </n>
      <n v="2" in="1">
        <tpls c="4">
          <tpl fld="7" item="658"/>
          <tpl fld="6" item="1"/>
          <tpl hier="236" item="1"/>
          <tpl fld="4" item="1"/>
        </tpls>
      </n>
      <m>
        <tpls c="4">
          <tpl fld="7" item="1125"/>
          <tpl fld="6" item="1"/>
          <tpl hier="236" item="1"/>
          <tpl fld="4" item="6"/>
        </tpls>
      </m>
      <m>
        <tpls c="4">
          <tpl fld="7" item="348"/>
          <tpl fld="6" item="2"/>
          <tpl hier="236" item="1"/>
          <tpl fld="1" item="0"/>
        </tpls>
      </m>
      <m>
        <tpls c="4">
          <tpl fld="7" item="648"/>
          <tpl fld="6" item="2"/>
          <tpl hier="236" item="1"/>
          <tpl fld="4" item="5"/>
        </tpls>
      </m>
      <m>
        <tpls c="4">
          <tpl fld="7" item="902"/>
          <tpl fld="6" item="2"/>
          <tpl hier="236" item="1"/>
          <tpl fld="4" item="4"/>
        </tpls>
      </m>
      <m>
        <tpls c="4">
          <tpl fld="7" item="973"/>
          <tpl fld="6" item="2"/>
          <tpl hier="236" item="1"/>
          <tpl fld="4" item="1"/>
        </tpls>
      </m>
      <m>
        <tpls c="4">
          <tpl fld="7" item="518"/>
          <tpl fld="6" item="2"/>
          <tpl hier="236" item="1"/>
          <tpl fld="4" item="5"/>
        </tpls>
      </m>
      <m>
        <tpls c="4">
          <tpl fld="7" item="245"/>
          <tpl fld="6" item="2"/>
          <tpl hier="236" item="1"/>
          <tpl fld="1" item="0"/>
        </tpls>
      </m>
      <m>
        <tpls c="4">
          <tpl fld="7" item="423"/>
          <tpl fld="6" item="2"/>
          <tpl hier="236" item="1"/>
          <tpl fld="4" item="6"/>
        </tpls>
      </m>
      <m>
        <tpls c="4">
          <tpl fld="7" item="1063"/>
          <tpl fld="6" item="1"/>
          <tpl hier="236" item="1"/>
          <tpl fld="4" item="1"/>
        </tpls>
      </m>
      <m>
        <tpls c="4">
          <tpl fld="7" item="838"/>
          <tpl fld="6" item="1"/>
          <tpl hier="236" item="1"/>
          <tpl fld="1" item="0"/>
        </tpls>
      </m>
      <m>
        <tpls c="4">
          <tpl fld="7" item="138"/>
          <tpl fld="6" item="2"/>
          <tpl hier="236" item="1"/>
          <tpl fld="1" item="0"/>
        </tpls>
      </m>
      <m>
        <tpls c="4">
          <tpl fld="7" item="1083"/>
          <tpl fld="6" item="2"/>
          <tpl hier="236" item="1"/>
          <tpl fld="4" item="5"/>
        </tpls>
      </m>
      <m>
        <tpls c="4">
          <tpl fld="7" item="325"/>
          <tpl fld="6" item="2"/>
          <tpl hier="236" item="1"/>
          <tpl fld="4" item="5"/>
        </tpls>
      </m>
      <m>
        <tpls c="4">
          <tpl fld="7" item="214"/>
          <tpl fld="6" item="2"/>
          <tpl hier="236" item="1"/>
          <tpl fld="4" item="6"/>
        </tpls>
      </m>
      <m>
        <tpls c="4">
          <tpl fld="7" item="1248"/>
          <tpl fld="6" item="1"/>
          <tpl hier="236" item="1"/>
          <tpl fld="4" item="5"/>
        </tpls>
      </m>
      <m>
        <tpls c="4">
          <tpl fld="7" item="93"/>
          <tpl fld="6" item="1"/>
          <tpl hier="236" item="1"/>
          <tpl fld="4" item="5"/>
        </tpls>
      </m>
      <n v="0" in="1">
        <tpls c="4">
          <tpl fld="7" item="957"/>
          <tpl fld="6" item="1"/>
          <tpl hier="236" item="1"/>
          <tpl fld="4" item="1"/>
        </tpls>
      </n>
      <m>
        <tpls c="4">
          <tpl fld="7" item="1008"/>
          <tpl fld="6" item="1"/>
          <tpl hier="236" item="1"/>
          <tpl fld="4" item="1"/>
        </tpls>
      </m>
      <n v="2" in="1">
        <tpls c="4">
          <tpl fld="7" item="308"/>
          <tpl fld="6" item="1"/>
          <tpl hier="236" item="1"/>
          <tpl fld="4" item="1"/>
        </tpls>
      </n>
      <m>
        <tpls c="4">
          <tpl fld="7" item="247"/>
          <tpl fld="6" item="1"/>
          <tpl hier="236" item="1"/>
          <tpl fld="4" item="1"/>
        </tpls>
      </m>
      <n v="1" in="1">
        <tpls c="4">
          <tpl fld="7" item="808"/>
          <tpl fld="6" item="1"/>
          <tpl hier="236" item="1"/>
          <tpl fld="4" item="1"/>
        </tpls>
      </n>
      <m>
        <tpls c="3">
          <tpl fld="7" item="836"/>
          <tpl fld="6" item="3"/>
          <tpl hier="236" item="1"/>
        </tpls>
      </m>
      <m>
        <tpls c="4">
          <tpl fld="7" item="1233"/>
          <tpl fld="6" item="1"/>
          <tpl hier="236" item="1"/>
          <tpl fld="4" item="4"/>
        </tpls>
      </m>
      <m>
        <tpls c="4">
          <tpl fld="7" item="6"/>
          <tpl fld="6" item="2"/>
          <tpl hier="236" item="1"/>
          <tpl fld="1" item="0"/>
        </tpls>
      </m>
      <m>
        <tpls c="4">
          <tpl fld="7" item="758"/>
          <tpl fld="6" item="2"/>
          <tpl hier="236" item="1"/>
          <tpl fld="4" item="5"/>
        </tpls>
      </m>
      <m>
        <tpls c="4">
          <tpl fld="7" item="270"/>
          <tpl fld="6" item="2"/>
          <tpl hier="236" item="1"/>
          <tpl fld="4" item="5"/>
        </tpls>
      </m>
      <m>
        <tpls c="4">
          <tpl fld="7" item="854"/>
          <tpl fld="6" item="2"/>
          <tpl hier="236" item="1"/>
          <tpl fld="4" item="6"/>
        </tpls>
      </m>
      <m>
        <tpls c="4">
          <tpl fld="7" item="319"/>
          <tpl fld="6" item="2"/>
          <tpl hier="236" item="1"/>
          <tpl fld="4" item="6"/>
        </tpls>
      </m>
      <m>
        <tpls c="4">
          <tpl fld="7" item="401"/>
          <tpl fld="6" item="2"/>
          <tpl hier="236" item="1"/>
          <tpl fld="4" item="6"/>
        </tpls>
      </m>
      <n v="779" in="1">
        <tpls c="6">
          <tpl fld="3" item="4"/>
          <tpl fld="11" item="0"/>
          <tpl fld="6" item="1"/>
          <tpl hier="236" item="1"/>
          <tpl fld="4" item="6"/>
          <tpl fld="10" item="0"/>
        </tpls>
      </n>
      <n v="1" in="1">
        <tpls c="4">
          <tpl fld="7" item="373"/>
          <tpl fld="6" item="1"/>
          <tpl hier="236" item="1"/>
          <tpl fld="4" item="6"/>
        </tpls>
      </n>
      <m>
        <tpls c="4">
          <tpl fld="7" item="435"/>
          <tpl fld="6" item="2"/>
          <tpl hier="236" item="1"/>
          <tpl fld="4" item="4"/>
        </tpls>
      </m>
      <n v="4" in="1">
        <tpls c="4">
          <tpl fld="7" item="501"/>
          <tpl fld="6" item="1"/>
          <tpl hier="236" item="1"/>
          <tpl fld="4" item="4"/>
        </tpls>
      </n>
      <n v="3" in="1">
        <tpls c="4">
          <tpl fld="7" item="571"/>
          <tpl fld="6" item="1"/>
          <tpl hier="236" item="1"/>
          <tpl fld="1" item="0"/>
        </tpls>
      </n>
      <m>
        <tpls c="4">
          <tpl fld="7" item="504"/>
          <tpl fld="6" item="2"/>
          <tpl hier="236" item="1"/>
          <tpl fld="4" item="1"/>
        </tpls>
      </m>
      <m>
        <tpls c="4">
          <tpl fld="7" item="802"/>
          <tpl fld="6" item="1"/>
          <tpl hier="236" item="1"/>
          <tpl fld="4" item="5"/>
        </tpls>
      </m>
      <n v="1" in="3">
        <tpls c="3">
          <tpl fld="7" item="1084"/>
          <tpl fld="6" item="3"/>
          <tpl hier="236" item="1"/>
        </tpls>
      </n>
      <n v="1" in="1">
        <tpls c="4">
          <tpl fld="7" item="803"/>
          <tpl fld="6" item="1"/>
          <tpl hier="236" item="1"/>
          <tpl fld="4" item="5"/>
        </tpls>
      </n>
      <m>
        <tpls c="4">
          <tpl fld="7" item="817"/>
          <tpl fld="6" item="1"/>
          <tpl hier="236" item="1"/>
          <tpl fld="4" item="5"/>
        </tpls>
      </m>
      <m>
        <tpls c="4">
          <tpl fld="7" item="874"/>
          <tpl fld="6" item="2"/>
          <tpl hier="236" item="1"/>
          <tpl fld="4" item="1"/>
        </tpls>
      </m>
      <m>
        <tpls c="4">
          <tpl fld="7" item="51"/>
          <tpl fld="6" item="2"/>
          <tpl hier="236" item="1"/>
          <tpl fld="4" item="6"/>
        </tpls>
      </m>
      <m>
        <tpls c="4">
          <tpl fld="7" item="440"/>
          <tpl fld="6" item="1"/>
          <tpl hier="236" item="1"/>
          <tpl fld="4" item="4"/>
        </tpls>
      </m>
      <m>
        <tpls c="3">
          <tpl fld="7" item="718"/>
          <tpl fld="6" item="3"/>
          <tpl hier="236" item="1"/>
        </tpls>
      </m>
      <m>
        <tpls c="4">
          <tpl fld="7" item="785"/>
          <tpl fld="6" item="2"/>
          <tpl hier="236" item="1"/>
          <tpl fld="4" item="4"/>
        </tpls>
      </m>
      <n v="5" in="1">
        <tpls c="4">
          <tpl fld="7" item="585"/>
          <tpl fld="6" item="1"/>
          <tpl hier="236" item="1"/>
          <tpl fld="4" item="1"/>
        </tpls>
      </n>
      <m>
        <tpls c="3">
          <tpl fld="7" item="994"/>
          <tpl fld="6" item="3"/>
          <tpl hier="236" item="1"/>
        </tpls>
      </m>
      <n v="1" in="1">
        <tpls c="4">
          <tpl fld="7" item="1007"/>
          <tpl fld="6" item="1"/>
          <tpl hier="236" item="1"/>
          <tpl fld="4" item="4"/>
        </tpls>
      </n>
      <m>
        <tpls c="4">
          <tpl fld="7" item="1080"/>
          <tpl fld="6" item="2"/>
          <tpl hier="236" item="1"/>
          <tpl fld="4" item="1"/>
        </tpls>
      </m>
      <m>
        <tpls c="4">
          <tpl fld="7" item="617"/>
          <tpl fld="6" item="2"/>
          <tpl hier="236" item="1"/>
          <tpl fld="1" item="0"/>
        </tpls>
      </m>
      <m>
        <tpls c="4">
          <tpl fld="7" item="734"/>
          <tpl fld="6" item="2"/>
          <tpl hier="236" item="1"/>
          <tpl fld="4" item="5"/>
        </tpls>
      </m>
      <m>
        <tpls c="4">
          <tpl fld="7" item="583"/>
          <tpl fld="6" item="2"/>
          <tpl hier="236" item="1"/>
          <tpl fld="4" item="4"/>
        </tpls>
      </m>
      <n v="23" in="1">
        <tpls c="4">
          <tpl fld="7" item="688"/>
          <tpl fld="6" item="1"/>
          <tpl hier="236" item="1"/>
          <tpl fld="4" item="6"/>
        </tpls>
      </n>
      <m>
        <tpls c="4">
          <tpl fld="7" item="820"/>
          <tpl fld="6" item="1"/>
          <tpl hier="236" item="1"/>
          <tpl fld="1" item="0"/>
        </tpls>
      </m>
      <n v="2" in="1">
        <tpls c="4">
          <tpl fld="7" item="1023"/>
          <tpl fld="6" item="1"/>
          <tpl hier="236" item="1"/>
          <tpl fld="4" item="6"/>
        </tpls>
      </n>
      <m>
        <tpls c="4">
          <tpl fld="7" item="345"/>
          <tpl fld="6" item="2"/>
          <tpl hier="236" item="1"/>
          <tpl fld="1" item="0"/>
        </tpls>
      </m>
      <n v="6" in="1">
        <tpls c="4">
          <tpl fld="7" item="721"/>
          <tpl fld="6" item="1"/>
          <tpl hier="236" item="1"/>
          <tpl fld="1" item="0"/>
        </tpls>
      </n>
      <m>
        <tpls c="4">
          <tpl fld="7" item="810"/>
          <tpl fld="6" item="2"/>
          <tpl hier="236" item="1"/>
          <tpl fld="4" item="6"/>
        </tpls>
      </m>
      <m>
        <tpls c="3">
          <tpl fld="7" item="736"/>
          <tpl fld="6" item="3"/>
          <tpl hier="236" item="1"/>
        </tpls>
      </m>
      <n v="1" in="1">
        <tpls c="4">
          <tpl fld="7" item="894"/>
          <tpl fld="6" item="1"/>
          <tpl hier="236" item="1"/>
          <tpl fld="4" item="1"/>
        </tpls>
      </n>
      <m>
        <tpls c="4">
          <tpl fld="7" item="1277"/>
          <tpl fld="6" item="2"/>
          <tpl hier="236" item="1"/>
          <tpl fld="4" item="4"/>
        </tpls>
      </m>
      <n v="9" in="1">
        <tpls c="4">
          <tpl fld="7" item="1122"/>
          <tpl fld="6" item="1"/>
          <tpl hier="236" item="1"/>
          <tpl fld="4" item="4"/>
        </tpls>
      </n>
      <m>
        <tpls c="4">
          <tpl fld="7" item="1138"/>
          <tpl fld="6" item="2"/>
          <tpl hier="236" item="1"/>
          <tpl fld="4" item="1"/>
        </tpls>
      </m>
      <m>
        <tpls c="4">
          <tpl fld="7" item="1182"/>
          <tpl fld="6" item="2"/>
          <tpl hier="236" item="1"/>
          <tpl fld="4" item="1"/>
        </tpls>
      </m>
      <n v="3.6399999999999997" in="2">
        <tpls c="4">
          <tpl fld="7" item="498"/>
          <tpl fld="6" item="2"/>
          <tpl hier="236" item="1"/>
          <tpl fld="1" item="0"/>
        </tpls>
      </n>
      <m>
        <tpls c="4">
          <tpl fld="7" item="225"/>
          <tpl fld="6" item="2"/>
          <tpl hier="236" item="1"/>
          <tpl fld="1" item="0"/>
        </tpls>
      </m>
      <m>
        <tpls c="4">
          <tpl fld="7" item="513"/>
          <tpl fld="6" item="2"/>
          <tpl hier="236" item="1"/>
          <tpl fld="4" item="5"/>
        </tpls>
      </m>
      <n v="1" in="2">
        <tpls c="4">
          <tpl fld="7" item="1098"/>
          <tpl fld="6" item="2"/>
          <tpl hier="236" item="1"/>
          <tpl fld="4" item="1"/>
        </tpls>
      </n>
      <m>
        <tpls c="4">
          <tpl fld="7" item="1027"/>
          <tpl fld="6" item="2"/>
          <tpl hier="236" item="1"/>
          <tpl fld="4" item="4"/>
        </tpls>
      </m>
      <m>
        <tpls c="4">
          <tpl fld="7" item="10"/>
          <tpl fld="6" item="2"/>
          <tpl hier="236" item="1"/>
          <tpl fld="1" item="0"/>
        </tpls>
      </m>
      <m>
        <tpls c="4">
          <tpl fld="7" item="487"/>
          <tpl fld="6" item="2"/>
          <tpl hier="236" item="1"/>
          <tpl fld="4" item="5"/>
        </tpls>
      </m>
      <m>
        <tpls c="4">
          <tpl fld="7" item="396"/>
          <tpl fld="6" item="2"/>
          <tpl hier="236" item="1"/>
          <tpl fld="4" item="5"/>
        </tpls>
      </m>
      <m>
        <tpls c="4">
          <tpl fld="7" item="211"/>
          <tpl fld="6" item="2"/>
          <tpl hier="236" item="1"/>
          <tpl fld="4" item="6"/>
        </tpls>
      </m>
      <m>
        <tpls c="4">
          <tpl fld="7" item="1127"/>
          <tpl fld="6" item="1"/>
          <tpl hier="236" item="1"/>
          <tpl fld="4" item="5"/>
        </tpls>
      </m>
      <m>
        <tpls c="4">
          <tpl fld="7" item="201"/>
          <tpl fld="6" item="1"/>
          <tpl hier="236" item="1"/>
          <tpl fld="4" item="5"/>
        </tpls>
      </m>
      <m>
        <tpls c="4">
          <tpl fld="7" item="976"/>
          <tpl fld="6" item="1"/>
          <tpl hier="236" item="1"/>
          <tpl fld="4" item="1"/>
        </tpls>
      </m>
      <m>
        <tpls c="3">
          <tpl fld="7" item="1023"/>
          <tpl fld="6" item="3"/>
          <tpl hier="236" item="1"/>
        </tpls>
      </m>
      <m>
        <tpls c="4">
          <tpl fld="7" item="1046"/>
          <tpl fld="6" item="2"/>
          <tpl hier="236" item="1"/>
          <tpl fld="4" item="1"/>
        </tpls>
      </m>
      <m>
        <tpls c="4">
          <tpl fld="7" item="1128"/>
          <tpl fld="6" item="2"/>
          <tpl hier="236" item="1"/>
          <tpl fld="1" item="0"/>
        </tpls>
      </m>
      <m>
        <tpls c="4">
          <tpl fld="7" item="298"/>
          <tpl fld="6" item="2"/>
          <tpl hier="236" item="1"/>
          <tpl fld="1" item="0"/>
        </tpls>
      </m>
      <m>
        <tpls c="4">
          <tpl fld="7" item="750"/>
          <tpl fld="6" item="2"/>
          <tpl hier="236" item="1"/>
          <tpl fld="1" item="0"/>
        </tpls>
      </m>
      <m>
        <tpls c="4">
          <tpl fld="7" item="556"/>
          <tpl fld="6" item="2"/>
          <tpl hier="236" item="1"/>
          <tpl fld="4" item="4"/>
        </tpls>
      </m>
      <n v="0.44000000000000006" in="2">
        <tpls c="4">
          <tpl fld="7" item="803"/>
          <tpl fld="6" item="2"/>
          <tpl hier="236" item="1"/>
          <tpl fld="4" item="4"/>
        </tpls>
      </n>
      <n v="0.48" in="2">
        <tpls c="4">
          <tpl fld="7" item="728"/>
          <tpl fld="6" item="2"/>
          <tpl hier="236" item="1"/>
          <tpl fld="4" item="1"/>
        </tpls>
      </n>
      <m>
        <tpls c="4">
          <tpl fld="7" item="409"/>
          <tpl fld="6" item="1"/>
          <tpl hier="236" item="1"/>
          <tpl fld="4" item="4"/>
        </tpls>
      </m>
      <n v="1" in="2">
        <tpls c="4">
          <tpl fld="7" item="546"/>
          <tpl fld="6" item="2"/>
          <tpl hier="236" item="1"/>
          <tpl fld="1" item="0"/>
        </tpls>
      </n>
      <m>
        <tpls c="3">
          <tpl fld="7" item="621"/>
          <tpl fld="6" item="3"/>
          <tpl hier="236" item="1"/>
        </tpls>
      </m>
      <n v="1" in="3">
        <tpls c="3">
          <tpl fld="7" item="515"/>
          <tpl fld="6" item="3"/>
          <tpl hier="236" item="1"/>
        </tpls>
      </n>
      <m>
        <tpls c="4">
          <tpl fld="7" item="824"/>
          <tpl fld="6" item="2"/>
          <tpl hier="236" item="1"/>
          <tpl fld="4" item="5"/>
        </tpls>
      </m>
      <m>
        <tpls c="4">
          <tpl fld="7" item="1231"/>
          <tpl fld="6" item="2"/>
          <tpl hier="236" item="1"/>
          <tpl fld="4" item="1"/>
        </tpls>
      </m>
      <m>
        <tpls c="4">
          <tpl fld="7" item="776"/>
          <tpl fld="6" item="2"/>
          <tpl hier="236" item="1"/>
          <tpl fld="4" item="5"/>
        </tpls>
      </m>
      <n v="3" in="1">
        <tpls c="4">
          <tpl fld="7" item="804"/>
          <tpl fld="6" item="1"/>
          <tpl hier="236" item="1"/>
          <tpl fld="4" item="1"/>
        </tpls>
      </n>
      <m>
        <tpls c="4">
          <tpl fld="7" item="813"/>
          <tpl fld="6" item="2"/>
          <tpl hier="236" item="1"/>
          <tpl fld="1" item="0"/>
        </tpls>
      </m>
      <m>
        <tpls c="4">
          <tpl fld="7" item="738"/>
          <tpl fld="6" item="2"/>
          <tpl hier="236" item="1"/>
          <tpl fld="4" item="1"/>
        </tpls>
      </m>
      <n v="22" in="1">
        <tpls c="4">
          <tpl fld="7" item="664"/>
          <tpl fld="6" item="1"/>
          <tpl hier="236" item="1"/>
          <tpl fld="1" item="0"/>
        </tpls>
      </n>
      <n v="5" in="1">
        <tpls c="4">
          <tpl fld="7" item="836"/>
          <tpl fld="6" item="1"/>
          <tpl hier="236" item="1"/>
          <tpl fld="4" item="4"/>
        </tpls>
      </n>
      <m>
        <tpls c="4">
          <tpl fld="7" item="1013"/>
          <tpl fld="6" item="2"/>
          <tpl hier="236" item="1"/>
          <tpl fld="4" item="1"/>
        </tpls>
      </m>
      <m>
        <tpls c="3">
          <tpl fld="7" item="1278"/>
          <tpl fld="6" item="3"/>
          <tpl hier="236" item="1"/>
        </tpls>
      </m>
      <n v="1" in="1">
        <tpls c="4">
          <tpl fld="7" item="1139"/>
          <tpl fld="6" item="1"/>
          <tpl hier="236" item="1"/>
          <tpl fld="4" item="4"/>
        </tpls>
      </n>
      <n v="1" in="1">
        <tpls c="4">
          <tpl fld="7" item="1171"/>
          <tpl fld="6" item="1"/>
          <tpl hier="236" item="1"/>
          <tpl fld="4" item="4"/>
        </tpls>
      </n>
      <m>
        <tpls c="4">
          <tpl fld="7" item="837"/>
          <tpl fld="6" item="2"/>
          <tpl hier="236" item="1"/>
          <tpl fld="1" item="0"/>
        </tpls>
      </m>
      <m>
        <tpls c="4">
          <tpl fld="7" item="347"/>
          <tpl fld="6" item="2"/>
          <tpl hier="236" item="1"/>
          <tpl fld="1" item="0"/>
        </tpls>
      </m>
      <m>
        <tpls c="4">
          <tpl fld="7" item="616"/>
          <tpl fld="6" item="1"/>
          <tpl hier="236" item="1"/>
          <tpl fld="4" item="5"/>
        </tpls>
      </m>
      <m>
        <tpls c="4">
          <tpl fld="7" item="575"/>
          <tpl fld="6" item="2"/>
          <tpl hier="236" item="1"/>
          <tpl fld="4" item="5"/>
        </tpls>
      </m>
      <m>
        <tpls c="4">
          <tpl fld="7" item="586"/>
          <tpl fld="6" item="2"/>
          <tpl hier="236" item="1"/>
          <tpl fld="1" item="0"/>
        </tpls>
      </m>
      <m>
        <tpls c="3">
          <tpl fld="7" item="728"/>
          <tpl fld="6" item="3"/>
          <tpl hier="236" item="1"/>
        </tpls>
      </m>
      <m>
        <tpls c="4">
          <tpl fld="7" item="654"/>
          <tpl fld="6" item="1"/>
          <tpl hier="236" item="1"/>
          <tpl fld="4" item="5"/>
        </tpls>
      </m>
      <n v="0" in="1">
        <tpls c="4">
          <tpl fld="7" item="893"/>
          <tpl fld="6" item="1"/>
          <tpl hier="236" item="1"/>
          <tpl fld="4" item="1"/>
        </tpls>
      </n>
      <m>
        <tpls c="4">
          <tpl fld="7" item="746"/>
          <tpl fld="6" item="2"/>
          <tpl hier="236" item="1"/>
          <tpl fld="4" item="6"/>
        </tpls>
      </m>
      <m>
        <tpls c="4">
          <tpl fld="7" item="1006"/>
          <tpl fld="6" item="1"/>
          <tpl hier="236" item="1"/>
          <tpl fld="4" item="6"/>
        </tpls>
      </m>
      <m>
        <tpls c="4">
          <tpl fld="7" item="1194"/>
          <tpl fld="6" item="2"/>
          <tpl hier="236" item="1"/>
          <tpl fld="4" item="4"/>
        </tpls>
      </m>
      <m>
        <tpls c="4">
          <tpl fld="7" item="1128"/>
          <tpl fld="6" item="1"/>
          <tpl hier="236" item="1"/>
          <tpl fld="4" item="4"/>
        </tpls>
      </m>
      <m>
        <tpls c="4">
          <tpl fld="7" item="1148"/>
          <tpl fld="6" item="2"/>
          <tpl hier="236" item="1"/>
          <tpl fld="4" item="1"/>
        </tpls>
      </m>
      <m>
        <tpls c="4">
          <tpl fld="7" item="1180"/>
          <tpl fld="6" item="2"/>
          <tpl hier="236" item="1"/>
          <tpl fld="4" item="1"/>
        </tpls>
      </m>
      <m>
        <tpls c="4">
          <tpl fld="7" item="522"/>
          <tpl fld="6" item="2"/>
          <tpl hier="236" item="1"/>
          <tpl fld="1" item="0"/>
        </tpls>
      </m>
      <m>
        <tpls c="4">
          <tpl fld="7" item="175"/>
          <tpl fld="6" item="2"/>
          <tpl hier="236" item="1"/>
          <tpl fld="1" item="0"/>
        </tpls>
      </m>
      <m>
        <tpls c="4">
          <tpl fld="7" item="120"/>
          <tpl fld="6" item="2"/>
          <tpl hier="236" item="1"/>
          <tpl fld="1" item="0"/>
        </tpls>
      </m>
      <m>
        <tpls c="4">
          <tpl fld="7" item="517"/>
          <tpl fld="6" item="2"/>
          <tpl hier="236" item="1"/>
          <tpl fld="4" item="5"/>
        </tpls>
      </m>
      <m>
        <tpls c="3">
          <tpl fld="7" item="645"/>
          <tpl fld="6" item="3"/>
          <tpl hier="236" item="1"/>
        </tpls>
      </m>
      <n v="11" in="1">
        <tpls c="4">
          <tpl fld="7" item="897"/>
          <tpl fld="6" item="1"/>
          <tpl hier="236" item="1"/>
          <tpl fld="4" item="4"/>
        </tpls>
      </n>
      <n v="4" in="1">
        <tpls c="4">
          <tpl fld="7" item="1205"/>
          <tpl fld="6" item="1"/>
          <tpl hier="236" item="1"/>
          <tpl fld="4" item="4"/>
        </tpls>
      </n>
      <m>
        <tpls c="4">
          <tpl fld="7" item="402"/>
          <tpl fld="6" item="2"/>
          <tpl hier="236" item="1"/>
          <tpl fld="1" item="0"/>
        </tpls>
      </m>
      <m>
        <tpls c="4">
          <tpl fld="7" item="363"/>
          <tpl fld="6" item="2"/>
          <tpl hier="236" item="1"/>
          <tpl fld="4" item="5"/>
        </tpls>
      </m>
      <m>
        <tpls c="4">
          <tpl fld="7" item="753"/>
          <tpl fld="6" item="2"/>
          <tpl hier="236" item="1"/>
          <tpl fld="4" item="5"/>
        </tpls>
      </m>
      <m>
        <tpls c="4">
          <tpl fld="7" item="1123"/>
          <tpl fld="6" item="2"/>
          <tpl hier="236" item="1"/>
          <tpl fld="4" item="6"/>
        </tpls>
      </m>
      <n v="2.7600000000000002" in="2">
        <tpls c="4">
          <tpl fld="7" item="1211"/>
          <tpl fld="6" item="2"/>
          <tpl hier="236" item="1"/>
          <tpl fld="4" item="6"/>
        </tpls>
      </n>
      <m>
        <tpls c="4">
          <tpl fld="7" item="28"/>
          <tpl fld="6" item="2"/>
          <tpl hier="236" item="1"/>
          <tpl fld="4" item="6"/>
        </tpls>
      </m>
      <m>
        <tpls c="4">
          <tpl fld="7" item="381"/>
          <tpl fld="6" item="1"/>
          <tpl hier="236" item="1"/>
          <tpl fld="4" item="5"/>
        </tpls>
      </m>
      <m>
        <tpls c="6">
          <tpl fld="11" item="0"/>
          <tpl fld="5" item="4"/>
          <tpl fld="6" item="2"/>
          <tpl hier="236" item="1"/>
          <tpl fld="4" item="3"/>
          <tpl fld="10" item="0"/>
        </tpls>
      </m>
      <m>
        <tpls c="5">
          <tpl fld="11" item="0"/>
          <tpl fld="6" item="1"/>
          <tpl hier="236" item="1"/>
          <tpl fld="4" item="7"/>
          <tpl fld="10" item="6"/>
        </tpls>
      </m>
      <m>
        <tpls c="3">
          <tpl fld="7" item="879"/>
          <tpl fld="6" item="3"/>
          <tpl hier="236" item="1"/>
        </tpls>
      </m>
      <m>
        <tpls c="4">
          <tpl fld="7" item="46"/>
          <tpl fld="6" item="1"/>
          <tpl hier="236" item="1"/>
          <tpl fld="4" item="4"/>
        </tpls>
      </m>
      <m>
        <tpls c="4">
          <tpl fld="7" item="552"/>
          <tpl fld="6" item="1"/>
          <tpl hier="236" item="1"/>
          <tpl fld="4" item="5"/>
        </tpls>
      </m>
      <n v="6" in="1">
        <tpls c="4">
          <tpl fld="7" item="697"/>
          <tpl fld="6" item="1"/>
          <tpl hier="236" item="1"/>
          <tpl fld="1" item="0"/>
        </tpls>
      </n>
      <m>
        <tpls c="4">
          <tpl fld="7" item="582"/>
          <tpl fld="6" item="2"/>
          <tpl hier="236" item="1"/>
          <tpl fld="4" item="4"/>
        </tpls>
      </m>
      <n v="12" in="1">
        <tpls c="4">
          <tpl fld="7" item="455"/>
          <tpl fld="6" item="1"/>
          <tpl hier="236" item="1"/>
          <tpl fld="4" item="4"/>
        </tpls>
      </n>
      <m>
        <tpls c="3">
          <tpl fld="7" item="717"/>
          <tpl fld="6" item="3"/>
          <tpl hier="236" item="1"/>
        </tpls>
      </m>
      <m>
        <tpls c="3">
          <tpl fld="7" item="1097"/>
          <tpl fld="6" item="3"/>
          <tpl hier="236" item="1"/>
        </tpls>
      </m>
      <n v="1" in="1">
        <tpls c="4">
          <tpl fld="7" item="1124"/>
          <tpl fld="6" item="1"/>
          <tpl hier="236" item="1"/>
          <tpl fld="4" item="4"/>
        </tpls>
      </n>
      <m>
        <tpls c="4">
          <tpl fld="7" item="115"/>
          <tpl fld="6" item="2"/>
          <tpl hier="236" item="1"/>
          <tpl fld="1" item="0"/>
        </tpls>
      </m>
      <m>
        <tpls c="4">
          <tpl fld="7" item="535"/>
          <tpl fld="6" item="2"/>
          <tpl hier="236" item="1"/>
          <tpl fld="4" item="6"/>
        </tpls>
      </m>
      <m>
        <tpls c="4">
          <tpl fld="7" item="567"/>
          <tpl fld="6" item="2"/>
          <tpl hier="236" item="1"/>
          <tpl fld="4" item="1"/>
        </tpls>
      </m>
      <m>
        <tpls c="4">
          <tpl fld="7" item="700"/>
          <tpl fld="6" item="2"/>
          <tpl hier="236" item="1"/>
          <tpl fld="1" item="0"/>
        </tpls>
      </m>
      <m>
        <tpls c="4">
          <tpl fld="7" item="639"/>
          <tpl fld="6" item="1"/>
          <tpl hier="236" item="1"/>
          <tpl fld="4" item="6"/>
        </tpls>
      </m>
      <n v="2" in="1">
        <tpls c="4">
          <tpl fld="7" item="588"/>
          <tpl fld="6" item="1"/>
          <tpl hier="236" item="1"/>
          <tpl fld="4" item="1"/>
        </tpls>
      </n>
      <n v="2" in="1">
        <tpls c="4">
          <tpl fld="7" item="831"/>
          <tpl fld="6" item="1"/>
          <tpl hier="236" item="1"/>
          <tpl fld="4" item="6"/>
        </tpls>
      </n>
      <m>
        <tpls c="4">
          <tpl fld="7" item="1056"/>
          <tpl fld="6" item="2"/>
          <tpl hier="236" item="1"/>
          <tpl fld="4" item="1"/>
        </tpls>
      </m>
      <m>
        <tpls c="4">
          <tpl fld="7" item="189"/>
          <tpl fld="6" item="2"/>
          <tpl hier="236" item="1"/>
          <tpl fld="4" item="4"/>
        </tpls>
      </m>
      <m>
        <tpls c="4">
          <tpl fld="7" item="650"/>
          <tpl fld="6" item="2"/>
          <tpl hier="236" item="1"/>
          <tpl fld="4" item="4"/>
        </tpls>
      </m>
      <n v="8" in="1">
        <tpls c="4">
          <tpl fld="7" item="564"/>
          <tpl fld="6" item="1"/>
          <tpl hier="236" item="1"/>
          <tpl fld="4" item="6"/>
        </tpls>
      </n>
      <m>
        <tpls c="4">
          <tpl fld="7" item="1191"/>
          <tpl fld="6" item="2"/>
          <tpl hier="236" item="1"/>
          <tpl fld="1" item="0"/>
        </tpls>
      </m>
      <m>
        <tpls c="4">
          <tpl fld="7" item="654"/>
          <tpl fld="6" item="1"/>
          <tpl hier="236" item="1"/>
          <tpl fld="4" item="1"/>
        </tpls>
      </m>
      <m>
        <tpls c="4">
          <tpl fld="7" item="1016"/>
          <tpl fld="6" item="2"/>
          <tpl hier="236" item="1"/>
          <tpl fld="4" item="1"/>
        </tpls>
      </m>
      <n v="5" in="2">
        <tpls c="4">
          <tpl fld="7" item="379"/>
          <tpl fld="6" item="2"/>
          <tpl hier="236" item="1"/>
          <tpl fld="1" item="0"/>
        </tpls>
      </n>
      <m>
        <tpls c="4">
          <tpl fld="7" item="888"/>
          <tpl fld="6" item="2"/>
          <tpl hier="236" item="1"/>
          <tpl fld="4" item="5"/>
        </tpls>
      </m>
      <m>
        <tpls c="4">
          <tpl fld="7" item="647"/>
          <tpl fld="6" item="2"/>
          <tpl hier="236" item="1"/>
          <tpl fld="4" item="5"/>
        </tpls>
      </m>
      <m>
        <tpls c="4">
          <tpl fld="7" item="1189"/>
          <tpl fld="6" item="2"/>
          <tpl hier="236" item="1"/>
          <tpl fld="4" item="4"/>
        </tpls>
      </m>
      <m>
        <tpls c="4">
          <tpl fld="7" item="742"/>
          <tpl fld="6" item="2"/>
          <tpl hier="236" item="1"/>
          <tpl fld="1" item="0"/>
        </tpls>
      </m>
      <n v="4" in="1">
        <tpls c="4">
          <tpl fld="7" item="1107"/>
          <tpl fld="6" item="1"/>
          <tpl hier="236" item="1"/>
          <tpl fld="4" item="4"/>
        </tpls>
      </n>
      <m>
        <tpls c="4">
          <tpl fld="7" item="854"/>
          <tpl fld="6" item="2"/>
          <tpl hier="236" item="1"/>
          <tpl fld="4" item="1"/>
        </tpls>
      </m>
      <m>
        <tpls c="3">
          <tpl fld="7" item="1249"/>
          <tpl fld="6" item="3"/>
          <tpl hier="236" item="1"/>
        </tpls>
      </m>
      <m>
        <tpls c="4">
          <tpl fld="7" item="1174"/>
          <tpl fld="6" item="2"/>
          <tpl hier="236" item="1"/>
          <tpl fld="4" item="1"/>
        </tpls>
      </m>
      <m>
        <tpls c="4">
          <tpl fld="7" item="514"/>
          <tpl fld="6" item="2"/>
          <tpl hier="236" item="1"/>
          <tpl fld="1" item="0"/>
        </tpls>
      </m>
      <m>
        <tpls c="4">
          <tpl fld="7" item="130"/>
          <tpl fld="6" item="2"/>
          <tpl hier="236" item="1"/>
          <tpl fld="1" item="0"/>
        </tpls>
      </m>
      <m>
        <tpls c="4">
          <tpl fld="7" item="90"/>
          <tpl fld="6" item="2"/>
          <tpl hier="236" item="1"/>
          <tpl fld="4" item="5"/>
        </tpls>
      </m>
      <m>
        <tpls c="4">
          <tpl fld="7" item="890"/>
          <tpl fld="6" item="2"/>
          <tpl hier="236" item="1"/>
          <tpl fld="4" item="5"/>
        </tpls>
      </m>
      <n v="1" in="1">
        <tpls c="4">
          <tpl fld="7" item="1246"/>
          <tpl fld="6" item="1"/>
          <tpl hier="236" item="1"/>
          <tpl fld="4" item="6"/>
        </tpls>
      </n>
      <m>
        <tpls c="4">
          <tpl fld="7" item="154"/>
          <tpl fld="6" item="2"/>
          <tpl hier="236" item="1"/>
          <tpl fld="1" item="0"/>
        </tpls>
      </m>
      <n v="2" in="2">
        <tpls c="4">
          <tpl fld="7" item="355"/>
          <tpl fld="6" item="2"/>
          <tpl hier="236" item="1"/>
          <tpl fld="4" item="5"/>
        </tpls>
      </n>
      <m>
        <tpls c="4">
          <tpl fld="7" item="241"/>
          <tpl fld="6" item="2"/>
          <tpl hier="236" item="1"/>
          <tpl fld="4" item="5"/>
        </tpls>
      </m>
      <m>
        <tpls c="4">
          <tpl fld="7" item="434"/>
          <tpl fld="6" item="2"/>
          <tpl hier="236" item="1"/>
          <tpl fld="4" item="6"/>
        </tpls>
      </m>
      <m>
        <tpls c="4">
          <tpl fld="7" item="19"/>
          <tpl fld="6" item="2"/>
          <tpl hier="236" item="1"/>
          <tpl fld="4" item="6"/>
        </tpls>
      </m>
      <n v="5" in="1">
        <tpls c="4">
          <tpl fld="7" item="353"/>
          <tpl fld="6" item="1"/>
          <tpl hier="236" item="1"/>
          <tpl fld="4" item="5"/>
        </tpls>
      </n>
      <m>
        <tpls c="4">
          <tpl fld="7" item="129"/>
          <tpl fld="6" item="1"/>
          <tpl hier="236" item="1"/>
          <tpl fld="4" item="5"/>
        </tpls>
      </m>
      <n v="1" in="1">
        <tpls c="4">
          <tpl fld="7" item="1180"/>
          <tpl fld="6" item="1"/>
          <tpl hier="236" item="1"/>
          <tpl fld="4" item="1"/>
        </tpls>
      </n>
      <n v="1" in="1">
        <tpls c="4">
          <tpl fld="7" item="511"/>
          <tpl fld="6" item="1"/>
          <tpl hier="236" item="1"/>
          <tpl fld="4" item="1"/>
        </tpls>
      </n>
      <m>
        <tpls c="4">
          <tpl fld="7" item="478"/>
          <tpl fld="6" item="1"/>
          <tpl hier="236" item="1"/>
          <tpl fld="4" item="1"/>
        </tpls>
      </m>
      <n v="1" in="1">
        <tpls c="4">
          <tpl fld="7" item="865"/>
          <tpl fld="6" item="1"/>
          <tpl hier="236" item="1"/>
          <tpl fld="1" item="0"/>
        </tpls>
      </n>
      <n v="8" in="1">
        <tpls c="4">
          <tpl fld="7" item="792"/>
          <tpl fld="6" item="1"/>
          <tpl hier="236" item="1"/>
          <tpl fld="1" item="0"/>
        </tpls>
      </n>
      <m>
        <tpls c="4">
          <tpl fld="7" item="820"/>
          <tpl fld="6" item="2"/>
          <tpl hier="236" item="1"/>
          <tpl fld="4" item="4"/>
        </tpls>
      </m>
      <m>
        <tpls c="4">
          <tpl fld="7" item="1023"/>
          <tpl fld="6" item="2"/>
          <tpl hier="236" item="1"/>
          <tpl fld="4" item="1"/>
        </tpls>
      </m>
      <m>
        <tpls c="4">
          <tpl fld="7" item="82"/>
          <tpl fld="6" item="2"/>
          <tpl hier="236" item="1"/>
          <tpl fld="1" item="0"/>
        </tpls>
      </m>
      <m>
        <tpls c="4">
          <tpl fld="7" item="386"/>
          <tpl fld="6" item="1"/>
          <tpl hier="236" item="1"/>
          <tpl fld="4" item="6"/>
        </tpls>
      </m>
      <m>
        <tpls c="3">
          <tpl fld="7" item="573"/>
          <tpl fld="6" item="3"/>
          <tpl hier="236" item="1"/>
        </tpls>
      </m>
      <n v="0.15113513513513513" in="2">
        <tpls c="4">
          <tpl fld="7" item="984"/>
          <tpl fld="6" item="2"/>
          <tpl hier="236" item="1"/>
          <tpl fld="1" item="0"/>
        </tpls>
      </n>
      <m>
        <tpls c="4">
          <tpl fld="7" item="631"/>
          <tpl fld="6" item="1"/>
          <tpl hier="236" item="1"/>
          <tpl fld="4" item="5"/>
        </tpls>
      </m>
      <m>
        <tpls c="4">
          <tpl fld="7" item="787"/>
          <tpl fld="6" item="2"/>
          <tpl hier="236" item="1"/>
          <tpl fld="4" item="6"/>
        </tpls>
      </m>
      <m>
        <tpls c="4">
          <tpl fld="7" item="737"/>
          <tpl fld="6" item="1"/>
          <tpl hier="236" item="1"/>
          <tpl fld="4" item="4"/>
        </tpls>
      </m>
      <m>
        <tpls c="3">
          <tpl fld="7" item="917"/>
          <tpl fld="6" item="3"/>
          <tpl hier="236" item="1"/>
        </tpls>
      </m>
      <m>
        <tpls c="4">
          <tpl fld="7" item="93"/>
          <tpl fld="6" item="2"/>
          <tpl hier="236" item="1"/>
          <tpl fld="1" item="0"/>
        </tpls>
      </m>
      <n v="1" in="1">
        <tpls c="4">
          <tpl fld="7" item="621"/>
          <tpl fld="6" item="1"/>
          <tpl hier="236" item="1"/>
          <tpl fld="4" item="6"/>
        </tpls>
      </n>
      <n v="4" in="1">
        <tpls c="4">
          <tpl fld="7" item="992"/>
          <tpl fld="6" item="1"/>
          <tpl hier="236" item="1"/>
          <tpl fld="4" item="4"/>
        </tpls>
      </n>
      <n v="6" in="1">
        <tpls c="4">
          <tpl fld="7" item="648"/>
          <tpl fld="6" item="1"/>
          <tpl hier="236" item="1"/>
          <tpl fld="4" item="4"/>
        </tpls>
      </n>
      <m>
        <tpls c="4">
          <tpl fld="7" item="735"/>
          <tpl fld="6" item="2"/>
          <tpl hier="236" item="1"/>
          <tpl fld="4" item="5"/>
        </tpls>
      </m>
      <m>
        <tpls c="4">
          <tpl fld="7" item="741"/>
          <tpl fld="6" item="2"/>
          <tpl hier="236" item="1"/>
          <tpl fld="4" item="1"/>
        </tpls>
      </m>
      <m>
        <tpls c="4">
          <tpl fld="7" item="748"/>
          <tpl fld="6" item="2"/>
          <tpl hier="236" item="1"/>
          <tpl fld="4" item="1"/>
        </tpls>
      </m>
      <m>
        <tpls c="3">
          <tpl fld="7" item="1111"/>
          <tpl fld="6" item="3"/>
          <tpl hier="236" item="1"/>
        </tpls>
      </m>
      <n v="1" in="1">
        <tpls c="4">
          <tpl fld="7" item="914"/>
          <tpl fld="6" item="1"/>
          <tpl hier="236" item="1"/>
          <tpl fld="4" item="6"/>
        </tpls>
      </n>
      <m>
        <tpls c="4">
          <tpl fld="7" item="868"/>
          <tpl fld="6" item="2"/>
          <tpl hier="236" item="1"/>
          <tpl fld="4" item="4"/>
        </tpls>
      </m>
      <n v="22" in="1">
        <tpls c="4">
          <tpl fld="7" item="949"/>
          <tpl fld="6" item="1"/>
          <tpl hier="236" item="1"/>
          <tpl fld="4" item="4"/>
        </tpls>
      </n>
      <m>
        <tpls c="4">
          <tpl fld="7" item="868"/>
          <tpl fld="6" item="2"/>
          <tpl hier="236" item="1"/>
          <tpl fld="1" item="0"/>
        </tpls>
      </m>
      <n v="1" in="2">
        <tpls c="4">
          <tpl fld="7" item="366"/>
          <tpl fld="6" item="2"/>
          <tpl hier="236" item="1"/>
          <tpl fld="1" item="0"/>
        </tpls>
      </n>
      <m>
        <tpls c="3">
          <tpl fld="7" item="523"/>
          <tpl fld="6" item="3"/>
          <tpl hier="236" item="1"/>
        </tpls>
      </m>
      <n v="10" in="1">
        <tpls c="4">
          <tpl fld="7" item="625"/>
          <tpl fld="6" item="1"/>
          <tpl hier="236" item="1"/>
          <tpl fld="4" item="5"/>
        </tpls>
      </n>
      <m>
        <tpls c="4">
          <tpl fld="7" item="720"/>
          <tpl fld="6" item="1"/>
          <tpl hier="236" item="1"/>
          <tpl fld="4" item="6"/>
        </tpls>
      </m>
      <m>
        <tpls c="4">
          <tpl fld="7" item="725"/>
          <tpl fld="6" item="2"/>
          <tpl hier="236" item="1"/>
          <tpl fld="1" item="0"/>
        </tpls>
      </m>
      <m>
        <tpls c="3">
          <tpl fld="7" item="731"/>
          <tpl fld="6" item="3"/>
          <tpl hier="236" item="1"/>
        </tpls>
      </m>
      <m>
        <tpls c="4">
          <tpl fld="7" item="657"/>
          <tpl fld="6" item="1"/>
          <tpl hier="236" item="1"/>
          <tpl fld="4" item="5"/>
        </tpls>
      </m>
      <m>
        <tpls c="4">
          <tpl fld="7" item="1241"/>
          <tpl fld="6" item="1"/>
          <tpl hier="236" item="1"/>
          <tpl fld="4" item="1"/>
        </tpls>
      </m>
      <m>
        <tpls c="4">
          <tpl fld="7" item="1104"/>
          <tpl fld="6" item="2"/>
          <tpl hier="236" item="1"/>
          <tpl fld="4" item="4"/>
        </tpls>
      </m>
      <n v="2" in="1">
        <tpls c="4">
          <tpl fld="7" item="1011"/>
          <tpl fld="6" item="1"/>
          <tpl hier="236" item="1"/>
          <tpl fld="4" item="4"/>
        </tpls>
      </n>
      <m>
        <tpls c="4">
          <tpl fld="7" item="859"/>
          <tpl fld="6" item="2"/>
          <tpl hier="236" item="1"/>
          <tpl fld="4" item="1"/>
        </tpls>
      </m>
      <m>
        <tpls c="4">
          <tpl fld="7" item="1266"/>
          <tpl fld="6" item="2"/>
          <tpl hier="236" item="1"/>
          <tpl fld="4" item="1"/>
        </tpls>
      </m>
      <m>
        <tpls c="4">
          <tpl fld="7" item="958"/>
          <tpl fld="6" item="2"/>
          <tpl hier="236" item="1"/>
          <tpl fld="4" item="1"/>
        </tpls>
      </m>
      <m>
        <tpls c="4">
          <tpl fld="7" item="910"/>
          <tpl fld="6" item="2"/>
          <tpl hier="236" item="1"/>
          <tpl fld="1" item="0"/>
        </tpls>
      </m>
      <m>
        <tpls c="4">
          <tpl fld="7" item="99"/>
          <tpl fld="6" item="2"/>
          <tpl hier="236" item="1"/>
          <tpl fld="1" item="0"/>
        </tpls>
      </m>
      <m>
        <tpls c="4">
          <tpl fld="7" item="334"/>
          <tpl fld="6" item="2"/>
          <tpl hier="236" item="1"/>
          <tpl fld="1" item="0"/>
        </tpls>
      </m>
      <m>
        <tpls c="4">
          <tpl fld="7" item="1010"/>
          <tpl fld="6" item="2"/>
          <tpl hier="236" item="1"/>
          <tpl fld="4" item="5"/>
        </tpls>
      </m>
      <n v="1" in="2">
        <tpls c="4">
          <tpl fld="7" item="562"/>
          <tpl fld="6" item="2"/>
          <tpl hier="236" item="1"/>
          <tpl fld="4" item="4"/>
        </tpls>
      </n>
      <m>
        <tpls c="3">
          <tpl fld="7" item="657"/>
          <tpl fld="6" item="3"/>
          <tpl hier="236" item="1"/>
        </tpls>
      </m>
      <n v="1" in="1">
        <tpls c="4">
          <tpl fld="7" item="1221"/>
          <tpl fld="6" item="1"/>
          <tpl hier="236" item="1"/>
          <tpl fld="4" item="6"/>
        </tpls>
      </n>
      <m>
        <tpls c="4">
          <tpl fld="7" item="102"/>
          <tpl fld="6" item="2"/>
          <tpl hier="236" item="1"/>
          <tpl fld="1" item="0"/>
        </tpls>
      </m>
      <m>
        <tpls c="4">
          <tpl fld="7" item="1008"/>
          <tpl fld="6" item="2"/>
          <tpl hier="236" item="1"/>
          <tpl fld="4" item="5"/>
        </tpls>
      </m>
      <m>
        <tpls c="4">
          <tpl fld="7" item="297"/>
          <tpl fld="6" item="2"/>
          <tpl hier="236" item="1"/>
          <tpl fld="4" item="5"/>
        </tpls>
      </m>
      <m>
        <tpls c="4">
          <tpl fld="7" item="120"/>
          <tpl fld="6" item="2"/>
          <tpl hier="236" item="1"/>
          <tpl fld="4" item="5"/>
        </tpls>
      </m>
      <m>
        <tpls c="4">
          <tpl fld="7" item="453"/>
          <tpl fld="6" item="2"/>
          <tpl hier="236" item="1"/>
          <tpl fld="4" item="6"/>
        </tpls>
      </m>
      <m>
        <tpls c="4">
          <tpl fld="7" item="74"/>
          <tpl fld="6" item="2"/>
          <tpl hier="236" item="1"/>
          <tpl fld="4" item="6"/>
        </tpls>
      </m>
      <n v="1" in="1">
        <tpls c="4">
          <tpl fld="7" item="1246"/>
          <tpl fld="6" item="1"/>
          <tpl hier="236" item="1"/>
          <tpl fld="4" item="5"/>
        </tpls>
      </n>
      <n v="1" in="1">
        <tpls c="4">
          <tpl fld="7" item="212"/>
          <tpl fld="6" item="1"/>
          <tpl hier="236" item="1"/>
          <tpl fld="4" item="5"/>
        </tpls>
      </n>
      <m>
        <tpls c="4">
          <tpl fld="7" item="132"/>
          <tpl fld="6" item="1"/>
          <tpl hier="236" item="1"/>
          <tpl fld="4" item="5"/>
        </tpls>
      </m>
      <m>
        <tpls c="4">
          <tpl fld="7" item="1030"/>
          <tpl fld="6" item="1"/>
          <tpl hier="236" item="1"/>
          <tpl fld="4" item="1"/>
        </tpls>
      </m>
      <m>
        <tpls c="4">
          <tpl fld="7" item="514"/>
          <tpl fld="6" item="1"/>
          <tpl hier="236" item="1"/>
          <tpl fld="4" item="1"/>
        </tpls>
      </m>
      <m>
        <tpls c="4">
          <tpl fld="7" item="151"/>
          <tpl fld="6" item="1"/>
          <tpl hier="236" item="1"/>
          <tpl fld="4" item="1"/>
        </tpls>
      </m>
      <m>
        <tpls c="4">
          <tpl fld="7" item="868"/>
          <tpl fld="6" item="1"/>
          <tpl hier="236" item="1"/>
          <tpl fld="1" item="0"/>
        </tpls>
      </m>
      <m>
        <tpls c="4">
          <tpl fld="7" item="706"/>
          <tpl fld="6" item="2"/>
          <tpl hier="236" item="1"/>
          <tpl fld="4" item="6"/>
        </tpls>
      </m>
      <m>
        <tpls c="4">
          <tpl fld="7" item="819"/>
          <tpl fld="6" item="1"/>
          <tpl hier="236" item="1"/>
          <tpl fld="4" item="4"/>
        </tpls>
      </m>
      <n v="1" in="1">
        <tpls c="4">
          <tpl fld="7" item="1124"/>
          <tpl fld="6" item="1"/>
          <tpl hier="236" item="1"/>
          <tpl fld="4" item="6"/>
        </tpls>
      </n>
      <m>
        <tpls c="4">
          <tpl fld="7" item="211"/>
          <tpl fld="6" item="2"/>
          <tpl hier="236" item="1"/>
          <tpl fld="1" item="0"/>
        </tpls>
      </m>
      <m>
        <tpls c="4">
          <tpl fld="7" item="82"/>
          <tpl fld="6" item="2"/>
          <tpl hier="236" item="1"/>
          <tpl fld="4" item="1"/>
        </tpls>
      </m>
      <m>
        <tpls c="4">
          <tpl fld="7" item="440"/>
          <tpl fld="6" item="2"/>
          <tpl hier="236" item="1"/>
          <tpl fld="4" item="4"/>
        </tpls>
      </m>
      <m>
        <tpls c="4">
          <tpl fld="7" item="1088"/>
          <tpl fld="6" item="1"/>
          <tpl hier="236" item="1"/>
          <tpl fld="4" item="1"/>
        </tpls>
      </m>
      <m>
        <tpls c="4">
          <tpl fld="7" item="795"/>
          <tpl fld="6" item="1"/>
          <tpl hier="236" item="1"/>
          <tpl fld="1" item="0"/>
        </tpls>
      </m>
      <m>
        <tpls c="4">
          <tpl fld="7" item="798"/>
          <tpl fld="6" item="1"/>
          <tpl hier="236" item="1"/>
          <tpl fld="4" item="6"/>
        </tpls>
      </m>
      <m>
        <tpls c="4">
          <tpl fld="7" item="822"/>
          <tpl fld="6" item="2"/>
          <tpl hier="236" item="1"/>
          <tpl fld="4" item="1"/>
        </tpls>
      </m>
      <m>
        <tpls c="4">
          <tpl fld="7" item="1129"/>
          <tpl fld="6" item="2"/>
          <tpl hier="236" item="1"/>
          <tpl fld="4" item="1"/>
        </tpls>
      </m>
      <m>
        <tpls c="4">
          <tpl fld="7" item="264"/>
          <tpl fld="6" item="2"/>
          <tpl hier="236" item="1"/>
          <tpl fld="1" item="0"/>
        </tpls>
      </m>
      <n v="4" in="1">
        <tpls c="4">
          <tpl fld="7" item="561"/>
          <tpl fld="6" item="1"/>
          <tpl hier="236" item="1"/>
          <tpl fld="4" item="1"/>
        </tpls>
      </n>
      <n v="1" in="2">
        <tpls c="4">
          <tpl fld="7" item="1095"/>
          <tpl fld="6" item="2"/>
          <tpl hier="236" item="1"/>
          <tpl fld="4" item="5"/>
        </tpls>
      </n>
      <m>
        <tpls c="4">
          <tpl fld="7" item="649"/>
          <tpl fld="6" item="2"/>
          <tpl hier="236" item="1"/>
          <tpl fld="4" item="4"/>
        </tpls>
      </m>
      <m>
        <tpls c="4">
          <tpl fld="7" item="736"/>
          <tpl fld="6" item="2"/>
          <tpl hier="236" item="1"/>
          <tpl fld="4" item="1"/>
        </tpls>
      </m>
      <n v="0.8" in="2">
        <tpls c="4">
          <tpl fld="7" item="662"/>
          <tpl fld="6" item="2"/>
          <tpl hier="236" item="1"/>
          <tpl fld="4" item="4"/>
        </tpls>
      </n>
      <m>
        <tpls c="3">
          <tpl fld="7" item="1000"/>
          <tpl fld="6" item="3"/>
          <tpl hier="236" item="1"/>
        </tpls>
      </m>
      <m>
        <tpls c="4">
          <tpl fld="7" item="1244"/>
          <tpl fld="6" item="1"/>
          <tpl hier="236" item="1"/>
          <tpl fld="4" item="6"/>
        </tpls>
      </m>
      <m>
        <tpls c="4">
          <tpl fld="7" item="857"/>
          <tpl fld="6" item="2"/>
          <tpl hier="236" item="1"/>
          <tpl fld="4" item="4"/>
        </tpls>
      </m>
      <m>
        <tpls c="4">
          <tpl fld="7" item="870"/>
          <tpl fld="6" item="1"/>
          <tpl hier="236" item="1"/>
          <tpl fld="4" item="4"/>
        </tpls>
      </m>
      <m>
        <tpls c="4">
          <tpl fld="7" item="1160"/>
          <tpl fld="6" item="1"/>
          <tpl hier="236" item="1"/>
          <tpl fld="4" item="4"/>
        </tpls>
      </m>
      <m>
        <tpls c="4">
          <tpl fld="7" item="859"/>
          <tpl fld="6" item="2"/>
          <tpl hier="236" item="1"/>
          <tpl fld="1" item="0"/>
        </tpls>
      </m>
      <n v="1.8800000000000001" in="2">
        <tpls c="4">
          <tpl fld="7" item="357"/>
          <tpl fld="6" item="2"/>
          <tpl hier="236" item="1"/>
          <tpl fld="1" item="0"/>
        </tpls>
      </n>
      <m>
        <tpls c="4">
          <tpl fld="7" item="687"/>
          <tpl fld="6" item="2"/>
          <tpl hier="236" item="1"/>
          <tpl fld="1" item="0"/>
        </tpls>
      </m>
      <m>
        <tpls c="4">
          <tpl fld="7" item="885"/>
          <tpl fld="6" item="2"/>
          <tpl hier="236" item="1"/>
          <tpl fld="1" item="0"/>
        </tpls>
      </m>
      <m>
        <tpls c="4">
          <tpl fld="7" item="641"/>
          <tpl fld="6" item="2"/>
          <tpl hier="236" item="1"/>
          <tpl fld="4" item="6"/>
        </tpls>
      </m>
      <m>
        <tpls c="3">
          <tpl fld="7" item="726"/>
          <tpl fld="6" item="3"/>
          <tpl hier="236" item="1"/>
        </tpls>
      </m>
      <n v="2" in="1">
        <tpls c="4">
          <tpl fld="7" item="652"/>
          <tpl fld="6" item="1"/>
          <tpl hier="236" item="1"/>
          <tpl fld="4" item="5"/>
        </tpls>
      </n>
      <m>
        <tpls c="4">
          <tpl fld="7" item="1099"/>
          <tpl fld="6" item="1"/>
          <tpl hier="236" item="1"/>
          <tpl fld="4" item="1"/>
        </tpls>
      </m>
      <n v="8" in="1">
        <tpls c="4">
          <tpl fld="7" item="894"/>
          <tpl fld="6" item="1"/>
          <tpl hier="236" item="1"/>
          <tpl fld="4" item="4"/>
        </tpls>
      </n>
      <n v="6" in="1">
        <tpls c="4">
          <tpl fld="7" item="899"/>
          <tpl fld="6" item="1"/>
          <tpl hier="236" item="1"/>
          <tpl fld="4" item="4"/>
        </tpls>
      </n>
      <n v="1" in="2">
        <tpls c="4">
          <tpl fld="7" item="848"/>
          <tpl fld="6" item="2"/>
          <tpl hier="236" item="1"/>
          <tpl fld="4" item="1"/>
        </tpls>
      </n>
      <m>
        <tpls c="3">
          <tpl fld="7" item="1022"/>
          <tpl fld="6" item="3"/>
          <tpl hier="236" item="1"/>
        </tpls>
      </m>
      <m>
        <tpls c="4">
          <tpl fld="7" item="1137"/>
          <tpl fld="6" item="2"/>
          <tpl hier="236" item="1"/>
          <tpl fld="4" item="1"/>
        </tpls>
      </m>
      <m>
        <tpls c="4">
          <tpl fld="7" item="1169"/>
          <tpl fld="6" item="2"/>
          <tpl hier="236" item="1"/>
          <tpl fld="4" item="1"/>
        </tpls>
      </m>
      <m>
        <tpls c="4">
          <tpl fld="7" item="1007"/>
          <tpl fld="6" item="2"/>
          <tpl hier="236" item="1"/>
          <tpl fld="1" item="0"/>
        </tpls>
      </m>
      <n v="0.72" in="2">
        <tpls c="4">
          <tpl fld="7" item="492"/>
          <tpl fld="6" item="2"/>
          <tpl hier="236" item="1"/>
          <tpl fld="1" item="0"/>
        </tpls>
      </n>
      <m>
        <tpls c="4">
          <tpl fld="7" item="473"/>
          <tpl fld="6" item="2"/>
          <tpl hier="236" item="1"/>
          <tpl fld="1" item="0"/>
        </tpls>
      </m>
      <m>
        <tpls c="4">
          <tpl fld="7" item="1106"/>
          <tpl fld="6" item="2"/>
          <tpl hier="236" item="1"/>
          <tpl fld="4" item="5"/>
        </tpls>
      </m>
      <m>
        <tpls c="4">
          <tpl fld="7" item="636"/>
          <tpl fld="6" item="1"/>
          <tpl hier="236" item="1"/>
          <tpl fld="4" item="4"/>
        </tpls>
      </m>
      <m>
        <tpls c="4">
          <tpl fld="7" item="740"/>
          <tpl fld="6" item="1"/>
          <tpl hier="236" item="1"/>
          <tpl fld="4" item="6"/>
        </tpls>
      </m>
      <m>
        <tpls c="3">
          <tpl fld="7" item="866"/>
          <tpl fld="6" item="3"/>
          <tpl hier="236" item="1"/>
        </tpls>
      </m>
      <m>
        <tpls c="4">
          <tpl fld="7" item="672"/>
          <tpl fld="6" item="2"/>
          <tpl hier="236" item="1"/>
          <tpl fld="1" item="0"/>
        </tpls>
      </m>
      <n v="0.52" in="2">
        <tpls c="4">
          <tpl fld="7" item="1102"/>
          <tpl fld="6" item="2"/>
          <tpl hier="236" item="1"/>
          <tpl fld="4" item="5"/>
        </tpls>
      </n>
      <m>
        <tpls c="4">
          <tpl fld="7" item="288"/>
          <tpl fld="6" item="2"/>
          <tpl hier="236" item="1"/>
          <tpl fld="4" item="5"/>
        </tpls>
      </m>
      <m>
        <tpls c="4">
          <tpl fld="7" item="589"/>
          <tpl fld="6" item="2"/>
          <tpl hier="236" item="1"/>
          <tpl fld="4" item="5"/>
        </tpls>
      </m>
      <n v="1.9038918918918921" in="2">
        <tpls c="4">
          <tpl fld="7" item="444"/>
          <tpl fld="6" item="2"/>
          <tpl hier="236" item="1"/>
          <tpl fld="4" item="6"/>
        </tpls>
      </n>
      <m>
        <tpls c="4">
          <tpl fld="7" item="65"/>
          <tpl fld="6" item="2"/>
          <tpl hier="236" item="1"/>
          <tpl fld="4" item="6"/>
        </tpls>
      </m>
      <m>
        <tpls c="4">
          <tpl fld="7" item="907"/>
          <tpl fld="6" item="1"/>
          <tpl hier="236" item="1"/>
          <tpl fld="4" item="5"/>
        </tpls>
      </m>
      <m>
        <tpls c="4">
          <tpl fld="7" item="203"/>
          <tpl fld="6" item="1"/>
          <tpl hier="236" item="1"/>
          <tpl fld="4" item="5"/>
        </tpls>
      </m>
      <m>
        <tpls c="4">
          <tpl fld="7" item="123"/>
          <tpl fld="6" item="1"/>
          <tpl hier="236" item="1"/>
          <tpl fld="4" item="5"/>
        </tpls>
      </m>
      <m>
        <tpls c="4">
          <tpl fld="7" item="1248"/>
          <tpl fld="6" item="1"/>
          <tpl hier="236" item="1"/>
          <tpl fld="4" item="1"/>
        </tpls>
      </m>
      <n v="5" in="1">
        <tpls c="4">
          <tpl fld="7" item="505"/>
          <tpl fld="6" item="1"/>
          <tpl hier="236" item="1"/>
          <tpl fld="4" item="1"/>
        </tpls>
      </n>
      <m>
        <tpls c="4">
          <tpl fld="7" item="275"/>
          <tpl fld="6" item="1"/>
          <tpl hier="236" item="1"/>
          <tpl fld="4" item="1"/>
        </tpls>
      </m>
      <n v="5" in="1">
        <tpls c="4">
          <tpl fld="7" item="859"/>
          <tpl fld="6" item="1"/>
          <tpl hier="236" item="1"/>
          <tpl fld="1" item="0"/>
        </tpls>
      </n>
      <m>
        <tpls c="4">
          <tpl fld="7" item="717"/>
          <tpl fld="6" item="1"/>
          <tpl hier="236" item="1"/>
          <tpl fld="4" item="6"/>
        </tpls>
      </m>
      <m>
        <tpls c="4">
          <tpl fld="7" item="997"/>
          <tpl fld="6" item="2"/>
          <tpl hier="236" item="1"/>
          <tpl fld="4" item="1"/>
        </tpls>
      </m>
      <m>
        <tpls c="3">
          <tpl fld="7" item="867"/>
          <tpl fld="6" item="3"/>
          <tpl hier="236" item="1"/>
        </tpls>
      </m>
      <m>
        <tpls c="4">
          <tpl fld="7" item="65"/>
          <tpl fld="6" item="2"/>
          <tpl hier="236" item="1"/>
          <tpl fld="1" item="0"/>
        </tpls>
      </m>
      <m>
        <tpls c="4">
          <tpl fld="7" item="101"/>
          <tpl fld="6" item="2"/>
          <tpl hier="236" item="1"/>
          <tpl fld="4" item="5"/>
        </tpls>
      </m>
      <m>
        <tpls c="4">
          <tpl fld="7" item="413"/>
          <tpl fld="6" item="2"/>
          <tpl hier="236" item="1"/>
          <tpl fld="4" item="5"/>
        </tpls>
      </m>
      <m>
        <tpls c="4">
          <tpl fld="7" item="326"/>
          <tpl fld="6" item="2"/>
          <tpl hier="236" item="1"/>
          <tpl fld="4" item="5"/>
        </tpls>
      </m>
      <m>
        <tpls c="4">
          <tpl fld="7" item="372"/>
          <tpl fld="6" item="2"/>
          <tpl hier="236" item="1"/>
          <tpl fld="4" item="6"/>
        </tpls>
      </m>
      <m>
        <tpls c="4">
          <tpl fld="7" item="280"/>
          <tpl fld="6" item="2"/>
          <tpl hier="236" item="1"/>
          <tpl fld="4" item="6"/>
        </tpls>
      </m>
      <m>
        <tpls c="4">
          <tpl fld="7" item="906"/>
          <tpl fld="6" item="1"/>
          <tpl hier="236" item="1"/>
          <tpl fld="4" item="5"/>
        </tpls>
      </m>
      <m>
        <tpls c="4">
          <tpl fld="7" item="94"/>
          <tpl fld="6" item="1"/>
          <tpl hier="236" item="1"/>
          <tpl fld="4" item="5"/>
        </tpls>
      </m>
      <m>
        <tpls c="4">
          <tpl fld="7" item="14"/>
          <tpl fld="6" item="1"/>
          <tpl hier="236" item="1"/>
          <tpl fld="4" item="5"/>
        </tpls>
      </m>
      <n v="4" in="1">
        <tpls c="4">
          <tpl fld="7" item="882"/>
          <tpl fld="6" item="1"/>
          <tpl hier="236" item="1"/>
          <tpl fld="1" item="0"/>
        </tpls>
      </n>
      <m>
        <tpls c="4">
          <tpl fld="7" item="1132"/>
          <tpl fld="6" item="2"/>
          <tpl hier="236" item="1"/>
          <tpl fld="4" item="1"/>
        </tpls>
      </m>
      <n v="7" in="1">
        <tpls c="4">
          <tpl fld="7" item="811"/>
          <tpl fld="6" item="1"/>
          <tpl hier="236" item="1"/>
          <tpl fld="1" item="0"/>
        </tpls>
      </n>
      <m>
        <tpls c="4">
          <tpl fld="7" item="1113"/>
          <tpl fld="6" item="1"/>
          <tpl hier="236" item="1"/>
          <tpl fld="4" item="6"/>
        </tpls>
      </m>
      <m>
        <tpls c="4">
          <tpl fld="7" item="854"/>
          <tpl fld="6" item="2"/>
          <tpl hier="236" item="1"/>
          <tpl fld="1" item="0"/>
        </tpls>
      </m>
      <n v="10" in="1">
        <tpls c="4">
          <tpl fld="7" item="803"/>
          <tpl fld="6" item="1"/>
          <tpl hier="236" item="1"/>
          <tpl fld="4" item="4"/>
        </tpls>
      </n>
      <n v="26" in="1">
        <tpls c="4">
          <tpl fld="7" item="744"/>
          <tpl fld="6" item="1"/>
          <tpl hier="236" item="1"/>
          <tpl fld="4" item="4"/>
        </tpls>
      </n>
      <m>
        <tpls c="4">
          <tpl fld="7" item="933"/>
          <tpl fld="6" item="2"/>
          <tpl hier="236" item="1"/>
          <tpl fld="4" item="1"/>
        </tpls>
      </m>
      <m>
        <tpls c="4">
          <tpl fld="7" item="22"/>
          <tpl fld="6" item="2"/>
          <tpl hier="236" item="1"/>
          <tpl fld="1" item="0"/>
        </tpls>
      </m>
      <m>
        <tpls c="3">
          <tpl fld="7" item="870"/>
          <tpl fld="6" item="3"/>
          <tpl hier="236" item="1"/>
        </tpls>
      </m>
      <m>
        <tpls c="4">
          <tpl fld="7" item="398"/>
          <tpl fld="6" item="2"/>
          <tpl hier="236" item="1"/>
          <tpl fld="4" item="5"/>
        </tpls>
      </m>
      <m>
        <tpls c="4">
          <tpl fld="7" item="198"/>
          <tpl fld="6" item="1"/>
          <tpl hier="236" item="1"/>
          <tpl fld="4" item="5"/>
        </tpls>
      </m>
      <m>
        <tpls c="4">
          <tpl fld="7" item="56"/>
          <tpl fld="6" item="1"/>
          <tpl hier="236" item="1"/>
          <tpl fld="4" item="1"/>
        </tpls>
      </m>
      <m>
        <tpls c="3">
          <tpl fld="7" item="871"/>
          <tpl fld="6" item="3"/>
          <tpl hier="236" item="1"/>
        </tpls>
      </m>
      <m>
        <tpls c="4">
          <tpl fld="7" item="368"/>
          <tpl fld="6" item="2"/>
          <tpl hier="236" item="1"/>
          <tpl fld="4" item="5"/>
        </tpls>
      </m>
      <m>
        <tpls c="4">
          <tpl fld="7" item="252"/>
          <tpl fld="6" item="2"/>
          <tpl hier="236" item="1"/>
          <tpl fld="4" item="5"/>
        </tpls>
      </m>
      <n v="1" in="2">
        <tpls c="4">
          <tpl fld="7" item="377"/>
          <tpl fld="6" item="2"/>
          <tpl hier="236" item="1"/>
          <tpl fld="4" item="6"/>
        </tpls>
      </n>
      <m>
        <tpls c="4">
          <tpl fld="7" item="258"/>
          <tpl fld="6" item="2"/>
          <tpl hier="236" item="1"/>
          <tpl fld="4" item="6"/>
        </tpls>
      </m>
      <m>
        <tpls c="4">
          <tpl fld="7" item="505"/>
          <tpl fld="6" item="1"/>
          <tpl hier="236" item="1"/>
          <tpl fld="4" item="5"/>
        </tpls>
      </m>
      <m>
        <tpls c="4">
          <tpl fld="7" item="19"/>
          <tpl fld="6" item="1"/>
          <tpl hier="236" item="1"/>
          <tpl fld="4" item="5"/>
        </tpls>
      </m>
      <m>
        <tpls c="4">
          <tpl fld="7" item="1023"/>
          <tpl fld="6" item="1"/>
          <tpl hier="236" item="1"/>
          <tpl fld="4" item="1"/>
        </tpls>
      </m>
      <m>
        <tpls c="4">
          <tpl fld="7" item="597"/>
          <tpl fld="6" item="1"/>
          <tpl hier="236" item="1"/>
          <tpl fld="4" item="1"/>
        </tpls>
      </m>
      <m>
        <tpls c="4">
          <tpl fld="7" item="264"/>
          <tpl fld="6" item="1"/>
          <tpl hier="236" item="1"/>
          <tpl fld="4" item="1"/>
        </tpls>
      </m>
      <m>
        <tpls c="4">
          <tpl fld="7" item="582"/>
          <tpl fld="6" item="2"/>
          <tpl hier="236" item="1"/>
          <tpl fld="1" item="0"/>
        </tpls>
      </m>
      <n v="2" in="1">
        <tpls c="4">
          <tpl fld="7" item="824"/>
          <tpl fld="6" item="1"/>
          <tpl hier="236" item="1"/>
          <tpl fld="4" item="1"/>
        </tpls>
      </n>
      <m>
        <tpls c="4">
          <tpl fld="7" item="926"/>
          <tpl fld="6" item="2"/>
          <tpl hier="236" item="1"/>
          <tpl fld="4" item="6"/>
        </tpls>
      </m>
      <m>
        <tpls c="4">
          <tpl fld="7" item="170"/>
          <tpl fld="6" item="2"/>
          <tpl hier="236" item="1"/>
          <tpl fld="1" item="0"/>
        </tpls>
      </m>
      <m>
        <tpls c="4">
          <tpl fld="7" item="1263"/>
          <tpl fld="6" item="2"/>
          <tpl hier="236" item="1"/>
          <tpl fld="4" item="5"/>
        </tpls>
      </m>
      <m>
        <tpls c="4">
          <tpl fld="7" item="173"/>
          <tpl fld="6" item="2"/>
          <tpl hier="236" item="1"/>
          <tpl fld="4" item="5"/>
        </tpls>
      </m>
      <m>
        <tpls c="4">
          <tpl fld="7" item="221"/>
          <tpl fld="6" item="2"/>
          <tpl hier="236" item="1"/>
          <tpl fld="4" item="5"/>
        </tpls>
      </m>
      <m>
        <tpls c="4">
          <tpl fld="7" item="508"/>
          <tpl fld="6" item="2"/>
          <tpl hier="236" item="1"/>
          <tpl fld="4" item="6"/>
        </tpls>
      </m>
      <m>
        <tpls c="4">
          <tpl fld="7" item="167"/>
          <tpl fld="6" item="2"/>
          <tpl hier="236" item="1"/>
          <tpl fld="4" item="6"/>
        </tpls>
      </m>
      <m>
        <tpls c="4">
          <tpl fld="7" item="902"/>
          <tpl fld="6" item="1"/>
          <tpl hier="236" item="1"/>
          <tpl fld="4" item="5"/>
        </tpls>
      </m>
      <n v="12" in="1">
        <tpls c="4">
          <tpl fld="7" item="322"/>
          <tpl fld="6" item="1"/>
          <tpl hier="236" item="1"/>
          <tpl fld="4" item="4"/>
        </tpls>
      </n>
      <m>
        <tpls c="4">
          <tpl fld="7" item="697"/>
          <tpl fld="6" item="1"/>
          <tpl hier="236" item="1"/>
          <tpl fld="4" item="1"/>
        </tpls>
      </m>
      <n v="1" in="2">
        <tpls c="4">
          <tpl fld="7" item="432"/>
          <tpl fld="6" item="2"/>
          <tpl hier="236" item="1"/>
          <tpl fld="4" item="4"/>
        </tpls>
      </n>
      <m>
        <tpls c="4">
          <tpl fld="7" item="454"/>
          <tpl fld="6" item="1"/>
          <tpl hier="236" item="1"/>
          <tpl fld="4" item="6"/>
        </tpls>
      </m>
      <m>
        <tpls c="4">
          <tpl fld="7" item="783"/>
          <tpl fld="6" item="2"/>
          <tpl hier="236" item="1"/>
          <tpl fld="4" item="4"/>
        </tpls>
      </m>
      <n v="1" in="1">
        <tpls c="4">
          <tpl fld="7" item="322"/>
          <tpl fld="6" item="1"/>
          <tpl hier="236" item="1"/>
          <tpl fld="4" item="6"/>
        </tpls>
      </n>
      <n v="3" in="1">
        <tpls c="4">
          <tpl fld="7" item="1193"/>
          <tpl fld="6" item="1"/>
          <tpl hier="236" item="1"/>
          <tpl fld="4" item="4"/>
        </tpls>
      </n>
      <n v="20" in="1">
        <tpls c="4">
          <tpl fld="7" item="1211"/>
          <tpl fld="6" item="1"/>
          <tpl hier="236" item="1"/>
          <tpl fld="4" item="4"/>
        </tpls>
      </n>
      <m>
        <tpls c="4">
          <tpl fld="7" item="1093"/>
          <tpl fld="6" item="1"/>
          <tpl hier="236" item="1"/>
          <tpl fld="4" item="1"/>
        </tpls>
      </m>
      <n v="4" in="1">
        <tpls c="4">
          <tpl fld="7" item="830"/>
          <tpl fld="6" item="1"/>
          <tpl hier="236" item="1"/>
          <tpl fld="4" item="6"/>
        </tpls>
      </n>
      <m>
        <tpls c="4">
          <tpl fld="7" item="1011"/>
          <tpl fld="6" item="2"/>
          <tpl hier="236" item="1"/>
          <tpl fld="1" item="0"/>
        </tpls>
      </m>
      <m>
        <tpls c="4">
          <tpl fld="7" item="766"/>
          <tpl fld="6" item="2"/>
          <tpl hier="236" item="1"/>
          <tpl fld="4" item="5"/>
        </tpls>
      </m>
      <n v="3" in="1">
        <tpls c="4">
          <tpl fld="7" item="574"/>
          <tpl fld="6" item="1"/>
          <tpl hier="236" item="1"/>
          <tpl fld="1" item="0"/>
        </tpls>
      </n>
      <m>
        <tpls c="4">
          <tpl fld="7" item="689"/>
          <tpl fld="6" item="2"/>
          <tpl hier="236" item="1"/>
          <tpl fld="4" item="5"/>
        </tpls>
      </m>
      <n v="8" in="1">
        <tpls c="4">
          <tpl fld="7" item="711"/>
          <tpl fld="6" item="1"/>
          <tpl hier="236" item="1"/>
          <tpl fld="1" item="0"/>
        </tpls>
      </n>
      <n v="29" in="1">
        <tpls c="4">
          <tpl fld="7" item="564"/>
          <tpl fld="6" item="1"/>
          <tpl hier="236" item="1"/>
          <tpl fld="4" item="4"/>
        </tpls>
      </n>
      <m>
        <tpls c="4">
          <tpl fld="7" item="819"/>
          <tpl fld="6" item="2"/>
          <tpl hier="236" item="1"/>
          <tpl fld="4" item="1"/>
        </tpls>
      </m>
      <m>
        <tpls c="4">
          <tpl fld="7" item="1124"/>
          <tpl fld="6" item="2"/>
          <tpl hier="236" item="1"/>
          <tpl fld="4" item="4"/>
        </tpls>
      </m>
      <n v="0.04" in="2">
        <tpls c="4">
          <tpl fld="7" item="210"/>
          <tpl fld="6" item="2"/>
          <tpl hier="236" item="1"/>
          <tpl fld="1" item="0"/>
        </tpls>
      </n>
      <n v="7" in="1">
        <tpls c="4">
          <tpl fld="7" item="802"/>
          <tpl fld="6" item="1"/>
          <tpl hier="236" item="1"/>
          <tpl fld="1" item="0"/>
        </tpls>
      </n>
      <m>
        <tpls c="4">
          <tpl fld="7" item="716"/>
          <tpl fld="6" item="2"/>
          <tpl hier="236" item="1"/>
          <tpl fld="4" item="6"/>
        </tpls>
      </m>
      <m>
        <tpls c="4">
          <tpl fld="7" item="738"/>
          <tpl fld="6" item="2"/>
          <tpl hier="236" item="1"/>
          <tpl fld="4" item="4"/>
        </tpls>
      </m>
      <n v="6" in="1">
        <tpls c="4">
          <tpl fld="7" item="721"/>
          <tpl fld="6" item="1"/>
          <tpl hier="236" item="1"/>
          <tpl fld="4" item="4"/>
        </tpls>
      </n>
      <n v="3" in="1">
        <tpls c="4">
          <tpl fld="7" item="1102"/>
          <tpl fld="6" item="1"/>
          <tpl hier="236" item="1"/>
          <tpl fld="4" item="6"/>
        </tpls>
      </n>
      <n v="34" in="1">
        <tpls c="4">
          <tpl fld="7" item="1157"/>
          <tpl fld="6" item="1"/>
          <tpl hier="236" item="1"/>
          <tpl fld="4" item="4"/>
        </tpls>
      </n>
      <m>
        <tpls c="4">
          <tpl fld="7" item="1091"/>
          <tpl fld="6" item="2"/>
          <tpl hier="236" item="1"/>
          <tpl fld="4" item="5"/>
        </tpls>
      </m>
      <n v="11" in="1">
        <tpls c="4">
          <tpl fld="7" item="889"/>
          <tpl fld="6" item="1"/>
          <tpl hier="236" item="1"/>
          <tpl fld="4" item="6"/>
        </tpls>
      </n>
      <n v="2" in="1">
        <tpls c="4">
          <tpl fld="7" item="813"/>
          <tpl fld="6" item="1"/>
          <tpl hier="236" item="1"/>
          <tpl fld="4" item="6"/>
        </tpls>
      </n>
      <m>
        <tpls c="4">
          <tpl fld="7" item="659"/>
          <tpl fld="6" item="2"/>
          <tpl hier="236" item="1"/>
          <tpl fld="4" item="5"/>
        </tpls>
      </m>
      <m>
        <tpls c="4">
          <tpl fld="7" item="895"/>
          <tpl fld="6" item="1"/>
          <tpl hier="236" item="1"/>
          <tpl fld="4" item="1"/>
        </tpls>
      </m>
      <m>
        <tpls c="3">
          <tpl fld="7" item="1193"/>
          <tpl fld="6" item="3"/>
          <tpl hier="236" item="1"/>
        </tpls>
      </m>
      <n v="2" in="1">
        <tpls c="4">
          <tpl fld="7" item="1024"/>
          <tpl fld="6" item="1"/>
          <tpl hier="236" item="1"/>
          <tpl fld="4" item="6"/>
        </tpls>
      </n>
      <m>
        <tpls c="4">
          <tpl fld="7" item="1154"/>
          <tpl fld="6" item="2"/>
          <tpl hier="236" item="1"/>
          <tpl fld="4" item="1"/>
        </tpls>
      </m>
      <m>
        <tpls c="4">
          <tpl fld="7" item="1193"/>
          <tpl fld="6" item="2"/>
          <tpl hier="236" item="1"/>
          <tpl fld="1" item="0"/>
        </tpls>
      </m>
      <m>
        <tpls c="4">
          <tpl fld="7" item="183"/>
          <tpl fld="6" item="2"/>
          <tpl hier="236" item="1"/>
          <tpl fld="1" item="0"/>
        </tpls>
      </m>
      <m>
        <tpls c="4">
          <tpl fld="7" item="922"/>
          <tpl fld="6" item="2"/>
          <tpl hier="236" item="1"/>
          <tpl fld="4" item="5"/>
        </tpls>
      </m>
      <n v="5" in="1">
        <tpls c="4">
          <tpl fld="7" item="567"/>
          <tpl fld="6" item="1"/>
          <tpl hier="236" item="1"/>
          <tpl fld="1" item="0"/>
        </tpls>
      </n>
      <n v="5" in="1">
        <tpls c="4">
          <tpl fld="7" item="1101"/>
          <tpl fld="6" item="1"/>
          <tpl hier="236" item="1"/>
          <tpl fld="4" item="1"/>
        </tpls>
      </n>
      <m>
        <tpls c="4">
          <tpl fld="7" item="1132"/>
          <tpl fld="6" item="2"/>
          <tpl hier="236" item="1"/>
          <tpl fld="1" item="0"/>
        </tpls>
      </m>
      <m>
        <tpls c="4">
          <tpl fld="7" item="1005"/>
          <tpl fld="6" item="2"/>
          <tpl hier="236" item="1"/>
          <tpl fld="4" item="5"/>
        </tpls>
      </m>
      <m>
        <tpls c="4">
          <tpl fld="7" item="159"/>
          <tpl fld="6" item="2"/>
          <tpl hier="236" item="1"/>
          <tpl fld="4" item="5"/>
        </tpls>
      </m>
      <m>
        <tpls c="4">
          <tpl fld="7" item="1114"/>
          <tpl fld="6" item="2"/>
          <tpl hier="236" item="1"/>
          <tpl fld="4" item="6"/>
        </tpls>
      </m>
      <m>
        <tpls c="4">
          <tpl fld="7" item="71"/>
          <tpl fld="6" item="2"/>
          <tpl hier="236" item="1"/>
          <tpl fld="4" item="6"/>
        </tpls>
      </m>
      <m>
        <tpls c="4">
          <tpl fld="7" item="1103"/>
          <tpl fld="6" item="1"/>
          <tpl hier="236" item="1"/>
          <tpl fld="4" item="5"/>
        </tpls>
      </m>
      <m>
        <tpls c="4">
          <tpl fld="7" item="65"/>
          <tpl fld="6" item="1"/>
          <tpl hier="236" item="1"/>
          <tpl fld="4" item="5"/>
        </tpls>
      </m>
      <n v="3" in="1">
        <tpls c="4">
          <tpl fld="7" item="1054"/>
          <tpl fld="6" item="1"/>
          <tpl hier="236" item="1"/>
          <tpl fld="4" item="1"/>
        </tpls>
      </n>
      <n v="2" in="1">
        <tpls c="4">
          <tpl fld="7" item="1003"/>
          <tpl fld="6" item="1"/>
          <tpl hier="236" item="1"/>
          <tpl fld="4" item="1"/>
        </tpls>
      </n>
      <m>
        <tpls c="4">
          <tpl fld="7" item="86"/>
          <tpl fld="6" item="1"/>
          <tpl hier="236" item="1"/>
          <tpl fld="4" item="1"/>
        </tpls>
      </m>
      <m>
        <tpls c="4">
          <tpl fld="7" item="22"/>
          <tpl fld="6" item="1"/>
          <tpl hier="236" item="1"/>
          <tpl fld="4" item="1"/>
        </tpls>
      </m>
      <n v="3" in="1">
        <tpls c="4">
          <tpl fld="7" item="386"/>
          <tpl fld="6" item="1"/>
          <tpl hier="236" item="1"/>
          <tpl fld="1" item="0"/>
        </tpls>
      </n>
      <m>
        <tpls c="4">
          <tpl fld="7" item="728"/>
          <tpl fld="6" item="2"/>
          <tpl hier="236" item="1"/>
          <tpl fld="4" item="6"/>
        </tpls>
      </m>
      <n v="2" in="1">
        <tpls c="4">
          <tpl fld="7" item="1109"/>
          <tpl fld="6" item="1"/>
          <tpl hier="236" item="1"/>
          <tpl fld="4" item="6"/>
        </tpls>
      </n>
      <m>
        <tpls c="4">
          <tpl fld="7" item="1078"/>
          <tpl fld="6" item="1"/>
          <tpl hier="236" item="1"/>
          <tpl fld="4" item="4"/>
        </tpls>
      </m>
      <n v="1339" in="1">
        <tpls c="6">
          <tpl fld="11" item="0"/>
          <tpl fld="2" item="1"/>
          <tpl fld="6" item="1"/>
          <tpl hier="236" item="1"/>
          <tpl fld="4" item="4"/>
          <tpl fld="10" item="2"/>
        </tpls>
      </n>
      <m>
        <tpls c="4">
          <tpl fld="7" item="774"/>
          <tpl fld="6" item="2"/>
          <tpl hier="236" item="1"/>
          <tpl fld="4" item="5"/>
        </tpls>
      </m>
      <m>
        <tpls c="4">
          <tpl fld="7" item="798"/>
          <tpl fld="6" item="2"/>
          <tpl hier="236" item="1"/>
          <tpl fld="4" item="1"/>
        </tpls>
      </m>
      <m>
        <tpls c="4">
          <tpl fld="7" item="702"/>
          <tpl fld="6" item="1"/>
          <tpl hier="236" item="1"/>
          <tpl fld="4" item="5"/>
        </tpls>
      </m>
      <m>
        <tpls c="4">
          <tpl fld="7" item="992"/>
          <tpl fld="6" item="2"/>
          <tpl hier="236" item="1"/>
          <tpl fld="4" item="5"/>
        </tpls>
      </m>
      <n v="2" in="1">
        <tpls c="4">
          <tpl fld="7" item="647"/>
          <tpl fld="6" item="1"/>
          <tpl hier="236" item="1"/>
          <tpl fld="4" item="6"/>
        </tpls>
      </n>
      <m>
        <tpls c="4">
          <tpl fld="7" item="1004"/>
          <tpl fld="6" item="2"/>
          <tpl hier="236" item="1"/>
          <tpl fld="4" item="4"/>
        </tpls>
      </m>
      <m>
        <tpls c="4">
          <tpl fld="7" item="1281"/>
          <tpl fld="6" item="2"/>
          <tpl hier="236" item="1"/>
          <tpl fld="4" item="1"/>
        </tpls>
      </m>
      <n v="5" in="1">
        <tpls c="4">
          <tpl fld="7" item="689"/>
          <tpl fld="6" item="1"/>
          <tpl hier="236" item="1"/>
          <tpl fld="4" item="6"/>
        </tpls>
      </n>
      <m>
        <tpls c="4">
          <tpl fld="7" item="715"/>
          <tpl fld="6" item="2"/>
          <tpl hier="236" item="1"/>
          <tpl fld="4" item="4"/>
        </tpls>
      </m>
      <m>
        <tpls c="3">
          <tpl fld="7" item="806"/>
          <tpl fld="6" item="3"/>
          <tpl hier="236" item="1"/>
        </tpls>
      </m>
      <m>
        <tpls c="4">
          <tpl fld="7" item="732"/>
          <tpl fld="6" item="1"/>
          <tpl hier="236" item="1"/>
          <tpl fld="4" item="5"/>
        </tpls>
      </m>
      <m>
        <tpls c="4">
          <tpl fld="7" item="820"/>
          <tpl fld="6" item="2"/>
          <tpl hier="236" item="1"/>
          <tpl fld="1" item="0"/>
        </tpls>
      </m>
      <m>
        <tpls c="4">
          <tpl fld="7" item="826"/>
          <tpl fld="6" item="2"/>
          <tpl hier="236" item="1"/>
          <tpl fld="1" item="0"/>
        </tpls>
      </m>
      <n v="3" in="1">
        <tpls c="4">
          <tpl fld="7" item="837"/>
          <tpl fld="6" item="1"/>
          <tpl hier="236" item="1"/>
          <tpl fld="4" item="4"/>
        </tpls>
      </n>
      <m>
        <tpls c="4">
          <tpl fld="7" item="910"/>
          <tpl fld="6" item="2"/>
          <tpl hier="236" item="1"/>
          <tpl fld="4" item="1"/>
        </tpls>
      </m>
      <m>
        <tpls c="3">
          <tpl fld="7" item="1126"/>
          <tpl fld="6" item="3"/>
          <tpl hier="236" item="1"/>
        </tpls>
      </m>
      <n v="3" in="1">
        <tpls c="4">
          <tpl fld="7" item="935"/>
          <tpl fld="6" item="1"/>
          <tpl hier="236" item="1"/>
          <tpl fld="4" item="4"/>
        </tpls>
      </n>
      <n v="1" in="1">
        <tpls c="4">
          <tpl fld="7" item="967"/>
          <tpl fld="6" item="1"/>
          <tpl hier="236" item="1"/>
          <tpl fld="4" item="4"/>
        </tpls>
      </n>
      <m>
        <tpls c="4">
          <tpl fld="7" item="832"/>
          <tpl fld="6" item="2"/>
          <tpl hier="236" item="1"/>
          <tpl fld="1" item="0"/>
        </tpls>
      </m>
      <m>
        <tpls c="4">
          <tpl fld="7" item="486"/>
          <tpl fld="6" item="2"/>
          <tpl hier="236" item="1"/>
          <tpl fld="1" item="0"/>
        </tpls>
      </m>
      <n v="0" in="1">
        <tpls c="4">
          <tpl fld="7" item="552"/>
          <tpl fld="6" item="1"/>
          <tpl hier="236" item="1"/>
          <tpl fld="4" item="1"/>
        </tpls>
      </n>
      <m>
        <tpls c="4">
          <tpl fld="7" item="577"/>
          <tpl fld="6" item="2"/>
          <tpl hier="236" item="1"/>
          <tpl fld="4" item="1"/>
        </tpls>
      </m>
      <n v="1" in="1">
        <tpls c="4">
          <tpl fld="7" item="723"/>
          <tpl fld="6" item="1"/>
          <tpl hier="236" item="1"/>
          <tpl fld="4" item="1"/>
        </tpls>
      </n>
      <m>
        <tpls c="4">
          <tpl fld="7" item="994"/>
          <tpl fld="6" item="1"/>
          <tpl hier="236" item="1"/>
          <tpl fld="4" item="4"/>
        </tpls>
      </m>
      <n v="1" in="1">
        <tpls c="4">
          <tpl fld="7" item="816"/>
          <tpl fld="6" item="1"/>
          <tpl hier="236" item="1"/>
          <tpl fld="4" item="6"/>
        </tpls>
      </n>
      <n v="3" in="1">
        <tpls c="4">
          <tpl fld="7" item="740"/>
          <tpl fld="6" item="1"/>
          <tpl hier="236" item="1"/>
          <tpl fld="1" item="0"/>
        </tpls>
      </n>
      <n v="31" in="1">
        <tpls c="4">
          <tpl fld="7" item="667"/>
          <tpl fld="6" item="1"/>
          <tpl hier="236" item="1"/>
          <tpl fld="4" item="4"/>
        </tpls>
      </n>
      <m>
        <tpls c="4">
          <tpl fld="7" item="903"/>
          <tpl fld="6" item="1"/>
          <tpl hier="236" item="1"/>
          <tpl fld="4" item="6"/>
        </tpls>
      </m>
      <m>
        <tpls c="4">
          <tpl fld="7" item="1119"/>
          <tpl fld="6" item="2"/>
          <tpl hier="236" item="1"/>
          <tpl fld="4" item="4"/>
        </tpls>
      </m>
      <m>
        <tpls c="4">
          <tpl fld="7" item="1026"/>
          <tpl fld="6" item="1"/>
          <tpl hier="236" item="1"/>
          <tpl fld="4" item="4"/>
        </tpls>
      </m>
      <m>
        <tpls c="4">
          <tpl fld="7" item="944"/>
          <tpl fld="6" item="2"/>
          <tpl hier="236" item="1"/>
          <tpl fld="4" item="1"/>
        </tpls>
      </m>
      <m>
        <tpls c="4">
          <tpl fld="7" item="976"/>
          <tpl fld="6" item="2"/>
          <tpl hier="236" item="1"/>
          <tpl fld="4" item="1"/>
        </tpls>
      </m>
      <n v="1.9600000000000002" in="2">
        <tpls c="4">
          <tpl fld="7" item="517"/>
          <tpl fld="6" item="2"/>
          <tpl hier="236" item="1"/>
          <tpl fld="1" item="0"/>
        </tpls>
      </n>
      <m>
        <tpls c="4">
          <tpl fld="7" item="270"/>
          <tpl fld="6" item="2"/>
          <tpl hier="236" item="1"/>
          <tpl fld="1" item="0"/>
        </tpls>
      </m>
      <m>
        <tpls c="4">
          <tpl fld="7" item="975"/>
          <tpl fld="6" item="2"/>
          <tpl hier="236" item="1"/>
          <tpl fld="4" item="5"/>
        </tpls>
      </m>
      <m>
        <tpls c="4">
          <tpl fld="7" item="512"/>
          <tpl fld="6" item="2"/>
          <tpl hier="236" item="1"/>
          <tpl fld="4" item="5"/>
        </tpls>
      </m>
      <n v="1" in="1">
        <tpls c="4">
          <tpl fld="7" item="1240"/>
          <tpl fld="6" item="1"/>
          <tpl hier="236" item="1"/>
          <tpl fld="4" item="5"/>
        </tpls>
      </n>
      <n v="1" in="1">
        <tpls c="4">
          <tpl fld="7" item="900"/>
          <tpl fld="6" item="1"/>
          <tpl hier="236" item="1"/>
          <tpl fld="4" item="4"/>
        </tpls>
      </n>
      <n v="4" in="1">
        <tpls c="4">
          <tpl fld="7" item="1259"/>
          <tpl fld="6" item="1"/>
          <tpl hier="236" item="1"/>
          <tpl fld="4" item="4"/>
        </tpls>
      </n>
      <m>
        <tpls c="4">
          <tpl fld="7" item="2"/>
          <tpl fld="6" item="2"/>
          <tpl hier="236" item="1"/>
          <tpl fld="1" item="0"/>
        </tpls>
      </m>
      <m>
        <tpls c="4">
          <tpl fld="7" item="358"/>
          <tpl fld="6" item="2"/>
          <tpl hier="236" item="1"/>
          <tpl fld="4" item="5"/>
        </tpls>
      </m>
      <m>
        <tpls c="4">
          <tpl fld="7" item="268"/>
          <tpl fld="6" item="2"/>
          <tpl hier="236" item="1"/>
          <tpl fld="4" item="5"/>
        </tpls>
      </m>
      <n v="1" in="2">
        <tpls c="4">
          <tpl fld="7" item="1220"/>
          <tpl fld="6" item="2"/>
          <tpl hier="236" item="1"/>
          <tpl fld="4" item="6"/>
        </tpls>
      </n>
      <m>
        <tpls c="4">
          <tpl fld="7" item="210"/>
          <tpl fld="6" item="2"/>
          <tpl hier="236" item="1"/>
          <tpl fld="4" item="6"/>
        </tpls>
      </m>
      <m>
        <tpls c="4">
          <tpl fld="7" item="22"/>
          <tpl fld="6" item="2"/>
          <tpl hier="236" item="1"/>
          <tpl fld="4" item="6"/>
        </tpls>
      </m>
      <n v="3" in="1">
        <tpls c="4">
          <tpl fld="7" item="376"/>
          <tpl fld="6" item="1"/>
          <tpl hier="236" item="1"/>
          <tpl fld="4" item="5"/>
        </tpls>
      </n>
      <m>
        <tpls c="4">
          <tpl fld="7" item="68"/>
          <tpl fld="6" item="1"/>
          <tpl hier="236" item="1"/>
          <tpl fld="4" item="5"/>
        </tpls>
      </m>
      <m>
        <tpls c="4">
          <tpl fld="7" item="1057"/>
          <tpl fld="6" item="1"/>
          <tpl hier="236" item="1"/>
          <tpl fld="4" item="1"/>
        </tpls>
      </m>
      <m>
        <tpls c="4">
          <tpl fld="7" item="1108"/>
          <tpl fld="6" item="1"/>
          <tpl hier="236" item="1"/>
          <tpl fld="4" item="1"/>
        </tpls>
      </m>
      <n v="0" in="1">
        <tpls c="4">
          <tpl fld="7" item="98"/>
          <tpl fld="6" item="1"/>
          <tpl hier="236" item="1"/>
          <tpl fld="4" item="1"/>
        </tpls>
      </n>
      <m>
        <tpls c="4">
          <tpl fld="7" item="27"/>
          <tpl fld="6" item="1"/>
          <tpl hier="236" item="1"/>
          <tpl fld="4" item="1"/>
        </tpls>
      </m>
      <m>
        <tpls c="4">
          <tpl fld="7" item="832"/>
          <tpl fld="6" item="1"/>
          <tpl hier="236" item="1"/>
          <tpl fld="1" item="0"/>
        </tpls>
      </m>
      <n v="0" in="1">
        <tpls c="4">
          <tpl fld="7" item="727"/>
          <tpl fld="6" item="1"/>
          <tpl hier="236" item="1"/>
          <tpl fld="4" item="6"/>
        </tpls>
      </n>
      <n v="2" in="1">
        <tpls c="4">
          <tpl fld="7" item="1217"/>
          <tpl fld="6" item="1"/>
          <tpl hier="236" item="1"/>
          <tpl fld="4" item="4"/>
        </tpls>
      </n>
      <n v="1" in="1">
        <tpls c="4">
          <tpl fld="7" item="1072"/>
          <tpl fld="6" item="1"/>
          <tpl hier="236" item="1"/>
          <tpl fld="4" item="4"/>
        </tpls>
      </n>
      <m>
        <tpls c="4">
          <tpl fld="7" item="36"/>
          <tpl fld="6" item="2"/>
          <tpl hier="236" item="1"/>
          <tpl fld="4" item="4"/>
        </tpls>
      </m>
      <m>
        <tpls c="4">
          <tpl fld="7" item="610"/>
          <tpl fld="6" item="2"/>
          <tpl hier="236" item="1"/>
          <tpl fld="4" item="1"/>
        </tpls>
      </m>
      <m>
        <tpls c="3">
          <tpl fld="7" item="284"/>
          <tpl fld="6" item="3"/>
          <tpl hier="236" item="1"/>
        </tpls>
      </m>
      <n v="70" in="1">
        <tpls c="4">
          <tpl fld="7" item="988"/>
          <tpl fld="6" item="1"/>
          <tpl hier="236" item="1"/>
          <tpl fld="1" item="0"/>
        </tpls>
      </n>
      <n v="0.72" in="2">
        <tpls c="4">
          <tpl fld="7" item="492"/>
          <tpl fld="6" item="2"/>
          <tpl hier="236" item="1"/>
          <tpl fld="4" item="4"/>
        </tpls>
      </n>
      <m>
        <tpls c="4">
          <tpl fld="7" item="730"/>
          <tpl fld="6" item="2"/>
          <tpl hier="236" item="1"/>
          <tpl fld="4" item="4"/>
        </tpls>
      </m>
      <m>
        <tpls c="4">
          <tpl fld="7" item="844"/>
          <tpl fld="6" item="1"/>
          <tpl hier="236" item="1"/>
          <tpl fld="4" item="6"/>
        </tpls>
      </m>
      <m>
        <tpls c="4">
          <tpl fld="7" item="1247"/>
          <tpl fld="6" item="2"/>
          <tpl hier="236" item="1"/>
          <tpl fld="1" item="0"/>
        </tpls>
      </m>
      <m>
        <tpls c="4">
          <tpl fld="7" item="614"/>
          <tpl fld="6" item="2"/>
          <tpl hier="236" item="1"/>
          <tpl fld="1" item="0"/>
        </tpls>
      </m>
      <m>
        <tpls c="4">
          <tpl fld="7" item="580"/>
          <tpl fld="6" item="1"/>
          <tpl hier="236" item="1"/>
          <tpl fld="4" item="5"/>
        </tpls>
      </m>
      <m>
        <tpls c="4">
          <tpl fld="7" item="807"/>
          <tpl fld="6" item="1"/>
          <tpl hier="236" item="1"/>
          <tpl fld="1" item="0"/>
        </tpls>
      </m>
      <m>
        <tpls c="4">
          <tpl fld="7" item="733"/>
          <tpl fld="6" item="2"/>
          <tpl hier="236" item="1"/>
          <tpl fld="4" item="5"/>
        </tpls>
      </m>
      <m>
        <tpls c="3">
          <tpl fld="7" item="821"/>
          <tpl fld="6" item="3"/>
          <tpl hier="236" item="1"/>
        </tpls>
      </m>
      <n v="33" in="1">
        <tpls c="4">
          <tpl fld="7" item="1101"/>
          <tpl fld="6" item="1"/>
          <tpl hier="236" item="1"/>
          <tpl fld="1" item="0"/>
        </tpls>
      </n>
      <m>
        <tpls c="4">
          <tpl fld="7" item="1243"/>
          <tpl fld="6" item="2"/>
          <tpl hier="236" item="1"/>
          <tpl fld="4" item="1"/>
        </tpls>
      </m>
      <m>
        <tpls c="3">
          <tpl fld="7" item="1015"/>
          <tpl fld="6" item="3"/>
          <tpl hier="236" item="1"/>
        </tpls>
      </m>
      <m>
        <tpls c="4">
          <tpl fld="7" item="1222"/>
          <tpl fld="6" item="1"/>
          <tpl hier="236" item="1"/>
          <tpl fld="4" item="6"/>
        </tpls>
      </m>
      <m>
        <tpls c="4">
          <tpl fld="7" item="1146"/>
          <tpl fld="6" item="1"/>
          <tpl hier="236" item="1"/>
          <tpl fld="4" item="4"/>
        </tpls>
      </m>
      <n v="16" in="1">
        <tpls c="4">
          <tpl fld="7" item="1178"/>
          <tpl fld="6" item="1"/>
          <tpl hier="236" item="1"/>
          <tpl fld="4" item="4"/>
        </tpls>
      </n>
      <m>
        <tpls c="4">
          <tpl fld="7" item="385"/>
          <tpl fld="6" item="2"/>
          <tpl hier="236" item="1"/>
          <tpl fld="1" item="0"/>
        </tpls>
      </m>
      <n v="8.0400000000000009" in="2">
        <tpls c="6">
          <tpl fld="3" item="1"/>
          <tpl fld="11" item="0"/>
          <tpl fld="6" item="2"/>
          <tpl hier="236" item="1"/>
          <tpl fld="4" item="4"/>
          <tpl fld="10" item="2"/>
        </tpls>
      </n>
      <m>
        <tpls c="4">
          <tpl fld="7" item="883"/>
          <tpl fld="6" item="2"/>
          <tpl hier="236" item="1"/>
          <tpl fld="4" item="5"/>
        </tpls>
      </m>
      <m>
        <tpls c="4">
          <tpl fld="7" item="580"/>
          <tpl fld="6" item="2"/>
          <tpl hier="236" item="1"/>
          <tpl fld="4" item="6"/>
        </tpls>
      </m>
      <m>
        <tpls c="4">
          <tpl fld="7" item="644"/>
          <tpl fld="6" item="1"/>
          <tpl hier="236" item="1"/>
          <tpl fld="4" item="4"/>
        </tpls>
      </m>
      <n v="2" in="1">
        <tpls c="4">
          <tpl fld="7" item="811"/>
          <tpl fld="6" item="1"/>
          <tpl hier="236" item="1"/>
          <tpl fld="4" item="6"/>
        </tpls>
      </n>
      <m>
        <tpls c="4">
          <tpl fld="7" item="735"/>
          <tpl fld="6" item="1"/>
          <tpl hier="236" item="1"/>
          <tpl fld="1" item="0"/>
        </tpls>
      </m>
      <m>
        <tpls c="4">
          <tpl fld="7" item="661"/>
          <tpl fld="6" item="2"/>
          <tpl hier="236" item="1"/>
          <tpl fld="4" item="5"/>
        </tpls>
      </m>
      <m>
        <tpls c="4">
          <tpl fld="7" item="999"/>
          <tpl fld="6" item="2"/>
          <tpl hier="236" item="1"/>
          <tpl fld="4" item="5"/>
        </tpls>
      </m>
      <m>
        <tpls c="4">
          <tpl fld="7" item="1008"/>
          <tpl fld="6" item="2"/>
          <tpl hier="236" item="1"/>
          <tpl fld="4" item="4"/>
        </tpls>
      </m>
      <n v="6" in="1">
        <tpls c="4">
          <tpl fld="7" item="914"/>
          <tpl fld="6" item="1"/>
          <tpl hier="236" item="1"/>
          <tpl fld="4" item="4"/>
        </tpls>
      </n>
      <m>
        <tpls c="4">
          <tpl fld="7" item="868"/>
          <tpl fld="6" item="2"/>
          <tpl hier="236" item="1"/>
          <tpl fld="4" item="1"/>
        </tpls>
      </m>
      <m>
        <tpls c="4">
          <tpl fld="7" item="1155"/>
          <tpl fld="6" item="2"/>
          <tpl hier="236" item="1"/>
          <tpl fld="4" item="1"/>
        </tpls>
      </m>
      <m>
        <tpls c="4">
          <tpl fld="7" item="1028"/>
          <tpl fld="6" item="2"/>
          <tpl hier="236" item="1"/>
          <tpl fld="1" item="0"/>
        </tpls>
      </m>
      <m>
        <tpls c="4">
          <tpl fld="7" item="508"/>
          <tpl fld="6" item="2"/>
          <tpl hier="236" item="1"/>
          <tpl fld="1" item="0"/>
        </tpls>
      </m>
      <m>
        <tpls c="4">
          <tpl fld="7" item="61"/>
          <tpl fld="6" item="2"/>
          <tpl hier="236" item="1"/>
          <tpl fld="1" item="0"/>
        </tpls>
      </m>
      <m>
        <tpls c="4">
          <tpl fld="7" item="1127"/>
          <tpl fld="6" item="2"/>
          <tpl hier="236" item="1"/>
          <tpl fld="4" item="5"/>
        </tpls>
      </m>
      <m>
        <tpls c="4">
          <tpl fld="7" item="755"/>
          <tpl fld="6" item="2"/>
          <tpl hier="236" item="1"/>
          <tpl fld="4" item="1"/>
        </tpls>
      </m>
      <n v="13" in="1">
        <tpls c="4">
          <tpl fld="7" item="650"/>
          <tpl fld="6" item="1"/>
          <tpl hier="236" item="1"/>
          <tpl fld="1" item="0"/>
        </tpls>
      </n>
      <m>
        <tpls c="4">
          <tpl fld="7" item="1009"/>
          <tpl fld="6" item="2"/>
          <tpl hier="236" item="1"/>
          <tpl fld="4" item="4"/>
        </tpls>
      </m>
      <m>
        <tpls c="4">
          <tpl fld="7" item="1126"/>
          <tpl fld="6" item="2"/>
          <tpl hier="236" item="1"/>
          <tpl fld="1" item="0"/>
        </tpls>
      </m>
      <m>
        <tpls c="4">
          <tpl fld="7" item="870"/>
          <tpl fld="6" item="2"/>
          <tpl hier="236" item="1"/>
          <tpl fld="4" item="5"/>
        </tpls>
      </m>
      <m>
        <tpls c="4">
          <tpl fld="7" item="212"/>
          <tpl fld="6" item="2"/>
          <tpl hier="236" item="1"/>
          <tpl fld="4" item="5"/>
        </tpls>
      </m>
      <m>
        <tpls c="4">
          <tpl fld="7" item="39"/>
          <tpl fld="6" item="2"/>
          <tpl hier="236" item="1"/>
          <tpl fld="4" item="5"/>
        </tpls>
      </m>
      <m>
        <tpls c="4">
          <tpl fld="7" item="906"/>
          <tpl fld="6" item="2"/>
          <tpl hier="236" item="1"/>
          <tpl fld="4" item="6"/>
        </tpls>
      </m>
      <m>
        <tpls c="4">
          <tpl fld="7" item="201"/>
          <tpl fld="6" item="2"/>
          <tpl hier="236" item="1"/>
          <tpl fld="4" item="6"/>
        </tpls>
      </m>
      <m>
        <tpls c="4">
          <tpl fld="7" item="229"/>
          <tpl fld="6" item="2"/>
          <tpl hier="236" item="1"/>
          <tpl fld="4" item="6"/>
        </tpls>
      </m>
      <m>
        <tpls c="4">
          <tpl fld="7" item="367"/>
          <tpl fld="6" item="1"/>
          <tpl hier="236" item="1"/>
          <tpl fld="4" item="5"/>
        </tpls>
      </m>
      <m>
        <tpls c="4">
          <tpl fld="7" item="60"/>
          <tpl fld="6" item="1"/>
          <tpl hier="236" item="1"/>
          <tpl fld="4" item="5"/>
        </tpls>
      </m>
      <m>
        <tpls c="4">
          <tpl fld="7" item="1048"/>
          <tpl fld="6" item="1"/>
          <tpl hier="236" item="1"/>
          <tpl fld="4" item="1"/>
        </tpls>
      </m>
      <m>
        <tpls c="4">
          <tpl fld="7" item="999"/>
          <tpl fld="6" item="1"/>
          <tpl hier="236" item="1"/>
          <tpl fld="4" item="1"/>
        </tpls>
      </m>
      <m>
        <tpls c="4">
          <tpl fld="7" item="295"/>
          <tpl fld="6" item="1"/>
          <tpl hier="236" item="1"/>
          <tpl fld="4" item="1"/>
        </tpls>
      </m>
      <m>
        <tpls c="4">
          <tpl fld="7" item="326"/>
          <tpl fld="6" item="1"/>
          <tpl hier="236" item="1"/>
          <tpl fld="4" item="1"/>
        </tpls>
      </m>
      <n v="1.1599999999999999" in="2">
        <tpls c="4">
          <tpl fld="7" item="357"/>
          <tpl fld="6" item="2"/>
          <tpl hier="236" item="1"/>
          <tpl fld="4" item="1"/>
        </tpls>
      </n>
      <m>
        <tpls c="4">
          <tpl fld="7" item="812"/>
          <tpl fld="6" item="2"/>
          <tpl hier="236" item="1"/>
          <tpl fld="4" item="4"/>
        </tpls>
      </m>
      <m>
        <tpls c="4">
          <tpl fld="7" item="906"/>
          <tpl fld="6" item="2"/>
          <tpl hier="236" item="1"/>
          <tpl fld="4" item="4"/>
        </tpls>
      </m>
      <m>
        <tpls c="4">
          <tpl fld="7" item="1195"/>
          <tpl fld="6" item="2"/>
          <tpl hier="236" item="1"/>
          <tpl fld="1" item="0"/>
        </tpls>
      </m>
      <m>
        <tpls c="4">
          <tpl fld="7" item="1027"/>
          <tpl fld="6" item="2"/>
          <tpl hier="236" item="1"/>
          <tpl fld="4" item="5"/>
        </tpls>
      </m>
      <m>
        <tpls c="4">
          <tpl fld="7" item="207"/>
          <tpl fld="6" item="2"/>
          <tpl hier="236" item="1"/>
          <tpl fld="4" item="5"/>
        </tpls>
      </m>
      <m>
        <tpls c="4">
          <tpl fld="7" item="254"/>
          <tpl fld="6" item="2"/>
          <tpl hier="236" item="1"/>
          <tpl fld="4" item="5"/>
        </tpls>
      </m>
      <m>
        <tpls c="4">
          <tpl fld="7" item="905"/>
          <tpl fld="6" item="2"/>
          <tpl hier="236" item="1"/>
          <tpl fld="4" item="6"/>
        </tpls>
      </m>
      <m>
        <tpls c="4">
          <tpl fld="7" item="92"/>
          <tpl fld="6" item="2"/>
          <tpl hier="236" item="1"/>
          <tpl fld="4" item="6"/>
        </tpls>
      </m>
      <m>
        <tpls c="4">
          <tpl fld="7" item="979"/>
          <tpl fld="6" item="2"/>
          <tpl hier="236" item="1"/>
          <tpl fld="4" item="6"/>
        </tpls>
      </m>
      <m>
        <tpls c="4">
          <tpl fld="7" item="507"/>
          <tpl fld="6" item="1"/>
          <tpl hier="236" item="1"/>
          <tpl fld="4" item="5"/>
        </tpls>
      </m>
      <m>
        <tpls c="4">
          <tpl fld="7" item="275"/>
          <tpl fld="6" item="1"/>
          <tpl hier="236" item="1"/>
          <tpl fld="4" item="5"/>
        </tpls>
      </m>
      <m>
        <tpls c="4">
          <tpl fld="7" item="606"/>
          <tpl fld="6" item="2"/>
          <tpl hier="236" item="1"/>
          <tpl fld="1" item="0"/>
        </tpls>
      </m>
      <n v="19" in="1">
        <tpls c="4">
          <tpl fld="7" item="993"/>
          <tpl fld="6" item="1"/>
          <tpl hier="236" item="1"/>
          <tpl fld="1" item="0"/>
        </tpls>
      </n>
      <n v="1" in="1">
        <tpls c="4">
          <tpl fld="7" item="633"/>
          <tpl fld="6" item="1"/>
          <tpl hier="236" item="1"/>
          <tpl fld="4" item="1"/>
        </tpls>
      </n>
      <n v="20" in="1">
        <tpls c="4">
          <tpl fld="7" item="664"/>
          <tpl fld="6" item="1"/>
          <tpl hier="236" item="1"/>
          <tpl fld="4" item="4"/>
        </tpls>
      </n>
      <n v="3" in="1">
        <tpls c="4">
          <tpl fld="7" item="932"/>
          <tpl fld="6" item="1"/>
          <tpl hier="236" item="1"/>
          <tpl fld="4" item="4"/>
        </tpls>
      </n>
      <n v="7" in="1">
        <tpls c="4">
          <tpl fld="7" item="550"/>
          <tpl fld="6" item="1"/>
          <tpl hier="236" item="1"/>
          <tpl fld="4" item="4"/>
        </tpls>
      </n>
      <m>
        <tpls c="4">
          <tpl fld="7" item="654"/>
          <tpl fld="6" item="2"/>
          <tpl hier="236" item="1"/>
          <tpl fld="4" item="1"/>
        </tpls>
      </m>
      <m>
        <tpls c="4">
          <tpl fld="7" item="1194"/>
          <tpl fld="6" item="1"/>
          <tpl hier="236" item="1"/>
          <tpl fld="4" item="4"/>
        </tpls>
      </m>
      <m>
        <tpls c="4">
          <tpl fld="7" item="523"/>
          <tpl fld="6" item="2"/>
          <tpl hier="236" item="1"/>
          <tpl fld="1" item="0"/>
        </tpls>
      </m>
      <n v="4" in="1">
        <tpls c="4">
          <tpl fld="7" item="806"/>
          <tpl fld="6" item="1"/>
          <tpl hier="236" item="1"/>
          <tpl fld="4" item="1"/>
        </tpls>
      </n>
      <m>
        <tpls c="4">
          <tpl fld="7" item="435"/>
          <tpl fld="6" item="2"/>
          <tpl hier="236" item="1"/>
          <tpl fld="4" item="5"/>
        </tpls>
      </m>
      <m>
        <tpls c="4">
          <tpl fld="7" item="247"/>
          <tpl fld="6" item="2"/>
          <tpl hier="236" item="1"/>
          <tpl fld="4" item="6"/>
        </tpls>
      </m>
      <m>
        <tpls c="4">
          <tpl fld="7" item="906"/>
          <tpl fld="6" item="1"/>
          <tpl hier="236" item="1"/>
          <tpl fld="4" item="1"/>
        </tpls>
      </m>
      <n v="23" in="1">
        <tpls c="4">
          <tpl fld="7" item="645"/>
          <tpl fld="6" item="1"/>
          <tpl hier="236" item="1"/>
          <tpl fld="1" item="0"/>
        </tpls>
      </n>
      <n v="0.8" in="2">
        <tpls c="4">
          <tpl fld="7" item="915"/>
          <tpl fld="6" item="2"/>
          <tpl hier="236" item="1"/>
          <tpl fld="4" item="5"/>
        </tpls>
      </n>
      <m>
        <tpls c="4">
          <tpl fld="7" item="342"/>
          <tpl fld="6" item="2"/>
          <tpl hier="236" item="1"/>
          <tpl fld="4" item="5"/>
        </tpls>
      </m>
      <m>
        <tpls c="4">
          <tpl fld="7" item="1122"/>
          <tpl fld="6" item="2"/>
          <tpl hier="236" item="1"/>
          <tpl fld="4" item="6"/>
        </tpls>
      </m>
      <m>
        <tpls c="4">
          <tpl fld="7" item="85"/>
          <tpl fld="6" item="2"/>
          <tpl hier="236" item="1"/>
          <tpl fld="4" item="6"/>
        </tpls>
      </m>
      <m>
        <tpls c="4">
          <tpl fld="7" item="1009"/>
          <tpl fld="6" item="1"/>
          <tpl hier="236" item="1"/>
          <tpl fld="4" item="5"/>
        </tpls>
      </m>
      <m>
        <tpls c="4">
          <tpl fld="7" item="288"/>
          <tpl fld="6" item="1"/>
          <tpl hier="236" item="1"/>
          <tpl fld="4" item="5"/>
        </tpls>
      </m>
      <m>
        <tpls c="4">
          <tpl fld="7" item="941"/>
          <tpl fld="6" item="1"/>
          <tpl hier="236" item="1"/>
          <tpl fld="4" item="1"/>
        </tpls>
      </m>
      <m>
        <tpls c="4">
          <tpl fld="7" item="201"/>
          <tpl fld="6" item="1"/>
          <tpl hier="236" item="1"/>
          <tpl fld="4" item="1"/>
        </tpls>
      </m>
      <m>
        <tpls c="4">
          <tpl fld="7" item="980"/>
          <tpl fld="6" item="1"/>
          <tpl hier="236" item="1"/>
          <tpl fld="4" item="1"/>
        </tpls>
      </m>
      <m>
        <tpls c="4">
          <tpl fld="7" item="610"/>
          <tpl fld="6" item="2"/>
          <tpl hier="236" item="1"/>
          <tpl fld="4" item="6"/>
        </tpls>
      </m>
      <m>
        <tpls c="4">
          <tpl fld="7" item="814"/>
          <tpl fld="6" item="1"/>
          <tpl hier="236" item="1"/>
          <tpl fld="4" item="4"/>
        </tpls>
      </m>
      <m>
        <tpls c="4">
          <tpl fld="7" item="1013"/>
          <tpl fld="6" item="1"/>
          <tpl hier="236" item="1"/>
          <tpl fld="4" item="6"/>
        </tpls>
      </m>
      <m>
        <tpls c="4">
          <tpl fld="7" item="900"/>
          <tpl fld="6" item="2"/>
          <tpl hier="236" item="1"/>
          <tpl fld="1" item="0"/>
        </tpls>
      </m>
      <m>
        <tpls c="4">
          <tpl fld="7" item="859"/>
          <tpl fld="6" item="2"/>
          <tpl hier="236" item="1"/>
          <tpl fld="4" item="5"/>
        </tpls>
      </m>
      <m>
        <tpls c="4">
          <tpl fld="7" item="420"/>
          <tpl fld="6" item="2"/>
          <tpl hier="236" item="1"/>
          <tpl fld="4" item="5"/>
        </tpls>
      </m>
      <m>
        <tpls c="4">
          <tpl fld="7" item="474"/>
          <tpl fld="6" item="2"/>
          <tpl hier="236" item="1"/>
          <tpl fld="4" item="5"/>
        </tpls>
      </m>
      <m>
        <tpls c="4">
          <tpl fld="7" item="838"/>
          <tpl fld="6" item="2"/>
          <tpl hier="236" item="1"/>
          <tpl fld="4" item="6"/>
        </tpls>
      </m>
      <m>
        <tpls c="4">
          <tpl fld="7" item="303"/>
          <tpl fld="6" item="2"/>
          <tpl hier="236" item="1"/>
          <tpl fld="4" item="6"/>
        </tpls>
      </m>
      <m>
        <tpls c="4">
          <tpl fld="7" item="923"/>
          <tpl fld="6" item="1"/>
          <tpl hier="236" item="1"/>
          <tpl fld="4" item="5"/>
        </tpls>
      </m>
      <n v="200" in="1">
        <tpls c="6">
          <tpl fld="11" item="0"/>
          <tpl fld="5" item="1"/>
          <tpl fld="6" item="1"/>
          <tpl hier="236" item="1"/>
          <tpl fld="4" item="4"/>
          <tpl fld="10" item="6"/>
        </tpls>
      </n>
      <m>
        <tpls c="4">
          <tpl fld="7" item="370"/>
          <tpl fld="6" item="2"/>
          <tpl hier="236" item="1"/>
          <tpl fld="4" item="4"/>
        </tpls>
      </m>
      <n v="4" in="1">
        <tpls c="4">
          <tpl fld="7" item="710"/>
          <tpl fld="6" item="1"/>
          <tpl hier="236" item="1"/>
          <tpl fld="4" item="4"/>
        </tpls>
      </n>
      <n v="3.96" in="2">
        <tpls c="4">
          <tpl fld="7" item="499"/>
          <tpl fld="6" item="2"/>
          <tpl hier="236" item="1"/>
          <tpl fld="4" item="1"/>
        </tpls>
      </n>
      <n v="0" in="1">
        <tpls c="4">
          <tpl fld="7" item="774"/>
          <tpl fld="6" item="1"/>
          <tpl hier="236" item="1"/>
          <tpl fld="1" item="0"/>
        </tpls>
      </n>
      <m>
        <tpls c="4">
          <tpl fld="7" item="548"/>
          <tpl fld="6" item="2"/>
          <tpl hier="236" item="1"/>
          <tpl fld="1" item="0"/>
        </tpls>
      </m>
      <m>
        <tpls c="4">
          <tpl fld="7" item="663"/>
          <tpl fld="6" item="2"/>
          <tpl hier="236" item="1"/>
          <tpl fld="4" item="6"/>
        </tpls>
      </m>
      <m>
        <tpls c="4">
          <tpl fld="7" item="1238"/>
          <tpl fld="6" item="2"/>
          <tpl hier="236" item="1"/>
          <tpl fld="4" item="4"/>
        </tpls>
      </m>
      <m>
        <tpls c="4">
          <tpl fld="7" item="782"/>
          <tpl fld="6" item="1"/>
          <tpl hier="236" item="1"/>
          <tpl fld="4" item="5"/>
        </tpls>
      </m>
      <n v="22" in="1">
        <tpls c="4">
          <tpl fld="7" item="743"/>
          <tpl fld="6" item="1"/>
          <tpl hier="236" item="1"/>
          <tpl fld="4" item="4"/>
        </tpls>
      </n>
      <n v="1" in="2">
        <tpls c="4">
          <tpl fld="7" item="1209"/>
          <tpl fld="6" item="2"/>
          <tpl hier="236" item="1"/>
          <tpl fld="4" item="1"/>
        </tpls>
      </n>
      <m>
        <tpls c="4">
          <tpl fld="7" item="766"/>
          <tpl fld="6" item="2"/>
          <tpl hier="236" item="1"/>
          <tpl fld="4" item="4"/>
        </tpls>
      </m>
      <n v="1" in="1">
        <tpls c="4">
          <tpl fld="7" item="624"/>
          <tpl fld="6" item="1"/>
          <tpl hier="236" item="1"/>
          <tpl fld="4" item="1"/>
        </tpls>
      </n>
      <m>
        <tpls c="4">
          <tpl fld="7" item="457"/>
          <tpl fld="6" item="2"/>
          <tpl hier="236" item="1"/>
          <tpl fld="4" item="4"/>
        </tpls>
      </m>
      <m>
        <tpls c="4">
          <tpl fld="7" item="708"/>
          <tpl fld="6" item="2"/>
          <tpl hier="236" item="1"/>
          <tpl fld="4" item="5"/>
        </tpls>
      </m>
      <n v="1" in="1">
        <tpls c="4">
          <tpl fld="7" item="779"/>
          <tpl fld="6" item="1"/>
          <tpl hier="236" item="1"/>
          <tpl fld="4" item="5"/>
        </tpls>
      </n>
      <m>
        <tpls c="4">
          <tpl fld="7" item="816"/>
          <tpl fld="6" item="1"/>
          <tpl hier="236" item="1"/>
          <tpl fld="4" item="5"/>
        </tpls>
      </m>
      <m>
        <tpls c="4">
          <tpl fld="7" item="1220"/>
          <tpl fld="6" item="2"/>
          <tpl hier="236" item="1"/>
          <tpl fld="4" item="1"/>
        </tpls>
      </m>
      <n v="5.16" in="2">
        <tpls c="4">
          <tpl fld="7" item="446"/>
          <tpl fld="6" item="2"/>
          <tpl hier="236" item="1"/>
          <tpl fld="1" item="0"/>
        </tpls>
      </n>
      <m>
        <tpls c="4">
          <tpl fld="7" item="887"/>
          <tpl fld="6" item="1"/>
          <tpl hier="236" item="1"/>
          <tpl fld="4" item="6"/>
        </tpls>
      </m>
      <n v="5" in="1">
        <tpls c="4">
          <tpl fld="7" item="773"/>
          <tpl fld="6" item="1"/>
          <tpl hier="236" item="1"/>
          <tpl fld="4" item="4"/>
        </tpls>
      </n>
      <m>
        <tpls c="4">
          <tpl fld="7" item="808"/>
          <tpl fld="6" item="2"/>
          <tpl hier="236" item="1"/>
          <tpl fld="4" item="5"/>
        </tpls>
      </m>
      <m>
        <tpls c="4">
          <tpl fld="7" item="1276"/>
          <tpl fld="6" item="2"/>
          <tpl hier="236" item="1"/>
          <tpl fld="1" item="0"/>
        </tpls>
      </m>
      <n v="1" in="1">
        <tpls c="4">
          <tpl fld="7" item="826"/>
          <tpl fld="6" item="1"/>
          <tpl hier="236" item="1"/>
          <tpl fld="1" item="0"/>
        </tpls>
      </n>
      <n v="7" in="1">
        <tpls c="4">
          <tpl fld="7" item="1141"/>
          <tpl fld="6" item="1"/>
          <tpl hier="236" item="1"/>
          <tpl fld="4" item="4"/>
        </tpls>
      </n>
      <n v="2" in="1">
        <tpls c="4">
          <tpl fld="7" item="697"/>
          <tpl fld="6" item="1"/>
          <tpl hier="236" item="1"/>
          <tpl fld="4" item="6"/>
        </tpls>
      </n>
      <n v="0.8" in="2">
        <tpls c="4">
          <tpl fld="7" item="723"/>
          <tpl fld="6" item="2"/>
          <tpl hier="236" item="1"/>
          <tpl fld="4" item="4"/>
        </tpls>
      </n>
      <m>
        <tpls c="4">
          <tpl fld="7" item="730"/>
          <tpl fld="6" item="2"/>
          <tpl hier="236" item="1"/>
          <tpl fld="1" item="0"/>
        </tpls>
      </m>
      <m>
        <tpls c="4">
          <tpl fld="7" item="658"/>
          <tpl fld="6" item="1"/>
          <tpl hier="236" item="1"/>
          <tpl fld="4" item="5"/>
        </tpls>
      </m>
      <m>
        <tpls c="4">
          <tpl fld="7" item="1264"/>
          <tpl fld="6" item="2"/>
          <tpl hier="236" item="1"/>
          <tpl fld="4" item="6"/>
        </tpls>
      </m>
      <m>
        <tpls c="4">
          <tpl fld="7" item="1244"/>
          <tpl fld="6" item="2"/>
          <tpl hier="236" item="1"/>
          <tpl fld="4" item="4"/>
        </tpls>
      </m>
      <m>
        <tpls c="4">
          <tpl fld="7" item="1125"/>
          <tpl fld="6" item="1"/>
          <tpl hier="236" item="1"/>
          <tpl fld="4" item="4"/>
        </tpls>
      </m>
      <m>
        <tpls c="4">
          <tpl fld="7" item="1150"/>
          <tpl fld="6" item="2"/>
          <tpl hier="236" item="1"/>
          <tpl fld="4" item="1"/>
        </tpls>
      </m>
      <m>
        <tpls c="4">
          <tpl fld="7" item="1221"/>
          <tpl fld="6" item="2"/>
          <tpl hier="236" item="1"/>
          <tpl fld="1" item="0"/>
        </tpls>
      </m>
      <m>
        <tpls c="4">
          <tpl fld="7" item="490"/>
          <tpl fld="6" item="2"/>
          <tpl hier="236" item="1"/>
          <tpl fld="1" item="0"/>
        </tpls>
      </m>
      <m>
        <tpls c="4">
          <tpl fld="7" item="1236"/>
          <tpl fld="6" item="2"/>
          <tpl hier="236" item="1"/>
          <tpl fld="4" item="5"/>
        </tpls>
      </m>
      <m>
        <tpls c="4">
          <tpl fld="7" item="549"/>
          <tpl fld="6" item="1"/>
          <tpl hier="236" item="1"/>
          <tpl fld="4" item="4"/>
        </tpls>
      </m>
      <m>
        <tpls c="3">
          <tpl fld="7" item="661"/>
          <tpl fld="6" item="3"/>
          <tpl hier="236" item="1"/>
        </tpls>
      </m>
      <m>
        <tpls c="4">
          <tpl fld="7" item="1207"/>
          <tpl fld="6" item="1"/>
          <tpl hier="236" item="1"/>
          <tpl fld="4" item="4"/>
        </tpls>
      </m>
      <m>
        <tpls c="4">
          <tpl fld="7" item="1017"/>
          <tpl fld="6" item="2"/>
          <tpl hier="236" item="1"/>
          <tpl fld="4" item="5"/>
        </tpls>
      </m>
      <m>
        <tpls c="4">
          <tpl fld="7" item="286"/>
          <tpl fld="6" item="2"/>
          <tpl hier="236" item="1"/>
          <tpl fld="4" item="5"/>
        </tpls>
      </m>
      <m>
        <tpls c="4">
          <tpl fld="7" item="1120"/>
          <tpl fld="6" item="2"/>
          <tpl hier="236" item="1"/>
          <tpl fld="4" item="6"/>
        </tpls>
      </m>
      <m>
        <tpls c="4">
          <tpl fld="7" item="83"/>
          <tpl fld="6" item="2"/>
          <tpl hier="236" item="1"/>
          <tpl fld="4" item="6"/>
        </tpls>
      </m>
      <m>
        <tpls c="4">
          <tpl fld="7" item="1112"/>
          <tpl fld="6" item="1"/>
          <tpl hier="236" item="1"/>
          <tpl fld="4" item="5"/>
        </tpls>
      </m>
      <m>
        <tpls c="4">
          <tpl fld="7" item="73"/>
          <tpl fld="6" item="1"/>
          <tpl hier="236" item="1"/>
          <tpl fld="4" item="5"/>
        </tpls>
      </m>
      <m>
        <tpls c="4">
          <tpl fld="7" item="1062"/>
          <tpl fld="6" item="1"/>
          <tpl hier="236" item="1"/>
          <tpl fld="4" item="1"/>
        </tpls>
      </m>
      <m>
        <tpls c="4">
          <tpl fld="7" item="1009"/>
          <tpl fld="6" item="1"/>
          <tpl hier="236" item="1"/>
          <tpl fld="4" item="1"/>
        </tpls>
      </m>
      <m>
        <tpls c="4">
          <tpl fld="7" item="313"/>
          <tpl fld="6" item="1"/>
          <tpl hier="236" item="1"/>
          <tpl fld="4" item="1"/>
        </tpls>
      </m>
      <m>
        <tpls c="4">
          <tpl fld="7" item="32"/>
          <tpl fld="6" item="1"/>
          <tpl hier="236" item="1"/>
          <tpl fld="4" item="1"/>
        </tpls>
      </m>
      <n v="3" in="1">
        <tpls c="4">
          <tpl fld="7" item="837"/>
          <tpl fld="6" item="1"/>
          <tpl hier="236" item="1"/>
          <tpl fld="1" item="0"/>
        </tpls>
      </n>
      <m>
        <tpls c="4">
          <tpl fld="7" item="807"/>
          <tpl fld="6" item="1"/>
          <tpl hier="236" item="1"/>
          <tpl fld="4" item="4"/>
        </tpls>
      </m>
      <n v="4" in="1">
        <tpls c="4">
          <tpl fld="7" item="1242"/>
          <tpl fld="6" item="1"/>
          <tpl hier="236" item="1"/>
          <tpl fld="4" item="4"/>
        </tpls>
      </n>
      <m>
        <tpls c="4">
          <tpl fld="7" item="1062"/>
          <tpl fld="6" item="1"/>
          <tpl hier="236" item="1"/>
          <tpl fld="4" item="4"/>
        </tpls>
      </m>
      <m>
        <tpls c="4">
          <tpl fld="7" item="751"/>
          <tpl fld="6" item="2"/>
          <tpl hier="236" item="1"/>
          <tpl fld="1" item="0"/>
        </tpls>
      </m>
      <m>
        <tpls c="4">
          <tpl fld="7" item="534"/>
          <tpl fld="6" item="1"/>
          <tpl hier="236" item="1"/>
          <tpl fld="4" item="6"/>
        </tpls>
      </m>
      <m>
        <tpls c="4">
          <tpl fld="7" item="789"/>
          <tpl fld="6" item="2"/>
          <tpl hier="236" item="1"/>
          <tpl fld="4" item="1"/>
        </tpls>
      </m>
      <m>
        <tpls c="4">
          <tpl fld="7" item="620"/>
          <tpl fld="6" item="2"/>
          <tpl hier="236" item="1"/>
          <tpl fld="4" item="5"/>
        </tpls>
      </m>
      <m>
        <tpls c="3">
          <tpl fld="7" item="1188"/>
          <tpl fld="6" item="3"/>
          <tpl hier="236" item="1"/>
        </tpls>
      </m>
      <m>
        <tpls c="4">
          <tpl fld="7" item="724"/>
          <tpl fld="6" item="2"/>
          <tpl hier="236" item="1"/>
          <tpl fld="4" item="6"/>
        </tpls>
      </m>
      <m>
        <tpls c="4">
          <tpl fld="7" item="1190"/>
          <tpl fld="6" item="2"/>
          <tpl hier="236" item="1"/>
          <tpl fld="4" item="1"/>
        </tpls>
      </m>
      <m>
        <tpls c="4">
          <tpl fld="7" item="1280"/>
          <tpl fld="6" item="2"/>
          <tpl hier="236" item="1"/>
          <tpl fld="4" item="1"/>
        </tpls>
      </m>
      <m>
        <tpls c="4">
          <tpl fld="7" item="407"/>
          <tpl fld="6" item="2"/>
          <tpl hier="236" item="1"/>
          <tpl fld="4" item="1"/>
        </tpls>
      </m>
      <m>
        <tpls c="4">
          <tpl fld="7" item="712"/>
          <tpl fld="6" item="2"/>
          <tpl hier="236" item="1"/>
          <tpl fld="4" item="4"/>
        </tpls>
      </m>
      <n v="41" in="1">
        <tpls c="4">
          <tpl fld="7" item="889"/>
          <tpl fld="6" item="1"/>
          <tpl hier="236" item="1"/>
          <tpl fld="1" item="0"/>
        </tpls>
      </n>
      <m>
        <tpls c="4">
          <tpl fld="7" item="731"/>
          <tpl fld="6" item="1"/>
          <tpl hier="236" item="1"/>
          <tpl fld="4" item="5"/>
        </tpls>
      </m>
      <m>
        <tpls c="4">
          <tpl fld="7" item="658"/>
          <tpl fld="6" item="1"/>
          <tpl hier="236" item="1"/>
          <tpl fld="4" item="4"/>
        </tpls>
      </m>
      <n v="2" in="1">
        <tpls c="4">
          <tpl fld="7" item="894"/>
          <tpl fld="6" item="1"/>
          <tpl hier="236" item="1"/>
          <tpl fld="4" item="6"/>
        </tpls>
      </n>
      <m>
        <tpls c="4">
          <tpl fld="7" item="899"/>
          <tpl fld="6" item="1"/>
          <tpl hier="236" item="1"/>
          <tpl fld="4" item="6"/>
        </tpls>
      </m>
      <n v="0.52" in="2">
        <tpls c="4">
          <tpl fld="7" item="848"/>
          <tpl fld="6" item="2"/>
          <tpl hier="236" item="1"/>
          <tpl fld="4" item="4"/>
        </tpls>
      </n>
      <m>
        <tpls c="4">
          <tpl fld="7" item="734"/>
          <tpl fld="6" item="2"/>
          <tpl hier="236" item="1"/>
          <tpl fld="1" item="0"/>
        </tpls>
      </m>
      <m>
        <tpls c="4">
          <tpl fld="7" item="870"/>
          <tpl fld="6" item="2"/>
          <tpl hier="236" item="1"/>
          <tpl fld="4" item="1"/>
        </tpls>
      </m>
      <m>
        <tpls c="4">
          <tpl fld="7" item="898"/>
          <tpl fld="6" item="2"/>
          <tpl hier="236" item="1"/>
          <tpl fld="4" item="5"/>
        </tpls>
      </m>
      <m>
        <tpls c="4">
          <tpl fld="7" item="359"/>
          <tpl fld="6" item="2"/>
          <tpl hier="236" item="1"/>
          <tpl fld="4" item="5"/>
        </tpls>
      </m>
      <n v="3" in="1">
        <tpls c="4">
          <tpl fld="7" item="357"/>
          <tpl fld="6" item="1"/>
          <tpl hier="236" item="1"/>
          <tpl fld="4" item="5"/>
        </tpls>
      </n>
      <m>
        <tpls c="4">
          <tpl fld="7" item="1021"/>
          <tpl fld="6" item="1"/>
          <tpl hier="236" item="1"/>
          <tpl fld="4" item="1"/>
        </tpls>
      </m>
      <m>
        <tpls c="4">
          <tpl fld="7" item="293"/>
          <tpl fld="6" item="1"/>
          <tpl hier="236" item="1"/>
          <tpl fld="4" item="1"/>
        </tpls>
      </m>
      <n v="4" in="1">
        <tpls c="4">
          <tpl fld="7" item="869"/>
          <tpl fld="6" item="1"/>
          <tpl hier="236" item="1"/>
          <tpl fld="1" item="0"/>
        </tpls>
      </n>
      <m>
        <tpls c="4">
          <tpl fld="7" item="720"/>
          <tpl fld="6" item="2"/>
          <tpl hier="236" item="1"/>
          <tpl fld="4" item="4"/>
        </tpls>
      </m>
      <m>
        <tpls c="4">
          <tpl fld="7" item="1011"/>
          <tpl fld="6" item="2"/>
          <tpl hier="236" item="1"/>
          <tpl fld="4" item="1"/>
        </tpls>
      </m>
      <m>
        <tpls c="4">
          <tpl fld="7" item="98"/>
          <tpl fld="6" item="2"/>
          <tpl hier="236" item="1"/>
          <tpl fld="1" item="0"/>
        </tpls>
      </m>
      <n v="14" in="1">
        <tpls c="4">
          <tpl fld="7" item="351"/>
          <tpl fld="6" item="1"/>
          <tpl hier="236" item="1"/>
          <tpl fld="1" item="0"/>
        </tpls>
      </n>
      <m>
        <tpls c="4">
          <tpl fld="7" item="52"/>
          <tpl fld="6" item="2"/>
          <tpl hier="236" item="1"/>
          <tpl fld="4" item="1"/>
        </tpls>
      </m>
      <m>
        <tpls c="4">
          <tpl fld="7" item="791"/>
          <tpl fld="6" item="1"/>
          <tpl hier="236" item="1"/>
          <tpl fld="4" item="5"/>
        </tpls>
      </m>
      <m>
        <tpls c="3">
          <tpl fld="7" item="639"/>
          <tpl fld="6" item="3"/>
          <tpl hier="236" item="1"/>
        </tpls>
      </m>
      <m>
        <tpls c="3">
          <tpl fld="7" item="905"/>
          <tpl fld="6" item="3"/>
          <tpl hier="236" item="1"/>
        </tpls>
      </m>
      <m>
        <tpls c="4">
          <tpl fld="7" item="433"/>
          <tpl fld="6" item="2"/>
          <tpl hier="236" item="1"/>
          <tpl fld="1" item="0"/>
        </tpls>
      </m>
      <n v="30" in="1">
        <tpls c="4">
          <tpl fld="7" item="705"/>
          <tpl fld="6" item="1"/>
          <tpl hier="236" item="1"/>
          <tpl fld="1" item="0"/>
        </tpls>
      </n>
      <m>
        <tpls c="3">
          <tpl fld="7" item="807"/>
          <tpl fld="6" item="3"/>
          <tpl hier="236" item="1"/>
        </tpls>
      </m>
      <m>
        <tpls c="4">
          <tpl fld="7" item="655"/>
          <tpl fld="6" item="2"/>
          <tpl hier="236" item="1"/>
          <tpl fld="4" item="4"/>
        </tpls>
      </m>
      <m>
        <tpls c="4">
          <tpl fld="7" item="742"/>
          <tpl fld="6" item="1"/>
          <tpl hier="236" item="1"/>
          <tpl fld="4" item="5"/>
        </tpls>
      </m>
      <m>
        <tpls c="3">
          <tpl fld="7" item="1108"/>
          <tpl fld="6" item="3"/>
          <tpl hier="236" item="1"/>
        </tpls>
      </m>
      <m>
        <tpls c="3">
          <tpl fld="7" item="1120"/>
          <tpl fld="6" item="3"/>
          <tpl hier="236" item="1"/>
        </tpls>
      </m>
      <m>
        <tpls c="4">
          <tpl fld="7" item="923"/>
          <tpl fld="6" item="1"/>
          <tpl hier="236" item="1"/>
          <tpl fld="4" item="6"/>
        </tpls>
      </m>
      <n v="1" in="1">
        <tpls c="4">
          <tpl fld="7" item="947"/>
          <tpl fld="6" item="1"/>
          <tpl hier="236" item="1"/>
          <tpl fld="4" item="4"/>
        </tpls>
      </n>
      <m>
        <tpls c="4">
          <tpl fld="7" item="1079"/>
          <tpl fld="6" item="2"/>
          <tpl hier="236" item="1"/>
          <tpl fld="1" item="0"/>
        </tpls>
      </m>
      <m>
        <tpls c="4">
          <tpl fld="7" item="370"/>
          <tpl fld="6" item="2"/>
          <tpl hier="236" item="1"/>
          <tpl fld="1" item="0"/>
        </tpls>
      </m>
      <m>
        <tpls c="4">
          <tpl fld="7" item="369"/>
          <tpl fld="6" item="2"/>
          <tpl hier="236" item="1"/>
          <tpl fld="4" item="1"/>
        </tpls>
      </m>
      <m>
        <tpls c="4">
          <tpl fld="7" item="624"/>
          <tpl fld="6" item="2"/>
          <tpl hier="236" item="1"/>
          <tpl fld="4" item="6"/>
        </tpls>
      </m>
      <n v="1" in="1">
        <tpls c="4">
          <tpl fld="7" item="582"/>
          <tpl fld="6" item="1"/>
          <tpl hier="236" item="1"/>
          <tpl fld="4" item="6"/>
        </tpls>
      </n>
      <n v="2" in="1">
        <tpls c="4">
          <tpl fld="7" item="645"/>
          <tpl fld="6" item="1"/>
          <tpl hier="236" item="1"/>
          <tpl fld="4" item="5"/>
        </tpls>
      </n>
      <m>
        <tpls c="4">
          <tpl fld="7" item="1282"/>
          <tpl fld="6" item="1"/>
          <tpl hier="236" item="1"/>
          <tpl fld="4" item="1"/>
        </tpls>
      </m>
      <n v="2" in="1">
        <tpls c="4">
          <tpl fld="7" item="996"/>
          <tpl fld="6" item="1"/>
          <tpl hier="236" item="1"/>
          <tpl fld="4" item="4"/>
        </tpls>
      </n>
      <n v="2" in="1">
        <tpls c="4">
          <tpl fld="7" item="824"/>
          <tpl fld="6" item="1"/>
          <tpl hier="236" item="1"/>
          <tpl fld="4" item="6"/>
        </tpls>
      </n>
      <n v="3" in="1">
        <tpls c="4">
          <tpl fld="7" item="897"/>
          <tpl fld="6" item="1"/>
          <tpl hier="236" item="1"/>
          <tpl fld="4" item="6"/>
        </tpls>
      </n>
      <m>
        <tpls c="4">
          <tpl fld="7" item="1113"/>
          <tpl fld="6" item="2"/>
          <tpl hier="236" item="1"/>
          <tpl fld="4" item="4"/>
        </tpls>
      </m>
      <n v="5" in="1">
        <tpls c="4">
          <tpl fld="7" item="1020"/>
          <tpl fld="6" item="1"/>
          <tpl hier="236" item="1"/>
          <tpl fld="4" item="4"/>
        </tpls>
      </n>
      <m>
        <tpls c="4">
          <tpl fld="7" item="871"/>
          <tpl fld="6" item="2"/>
          <tpl hier="236" item="1"/>
          <tpl fld="4" item="1"/>
        </tpls>
      </m>
      <m>
        <tpls c="4">
          <tpl fld="7" item="956"/>
          <tpl fld="6" item="2"/>
          <tpl hier="236" item="1"/>
          <tpl fld="4" item="1"/>
        </tpls>
      </m>
      <m>
        <tpls c="4">
          <tpl fld="7" item="913"/>
          <tpl fld="6" item="2"/>
          <tpl hier="236" item="1"/>
          <tpl fld="1" item="0"/>
        </tpls>
      </m>
      <n v="16.276756756756754" in="2">
        <tpls c="4">
          <tpl fld="7" item="493"/>
          <tpl fld="6" item="2"/>
          <tpl hier="236" item="1"/>
          <tpl fld="1" item="0"/>
        </tpls>
      </n>
      <m>
        <tpls c="4">
          <tpl fld="7" item="335"/>
          <tpl fld="6" item="2"/>
          <tpl hier="236" item="1"/>
          <tpl fld="1" item="0"/>
        </tpls>
      </m>
      <m>
        <tpls c="4">
          <tpl fld="7" item="1013"/>
          <tpl fld="6" item="2"/>
          <tpl hier="236" item="1"/>
          <tpl fld="4" item="5"/>
        </tpls>
      </m>
      <m>
        <tpls c="4">
          <tpl fld="7" item="782"/>
          <tpl fld="6" item="2"/>
          <tpl hier="236" item="1"/>
          <tpl fld="4" item="1"/>
        </tpls>
      </m>
      <m>
        <tpls c="4">
          <tpl fld="7" item="817"/>
          <tpl fld="6" item="2"/>
          <tpl hier="236" item="1"/>
          <tpl fld="4" item="4"/>
        </tpls>
      </m>
      <n v="0.27999999999999997" in="2">
        <tpls c="4">
          <tpl fld="7" item="1018"/>
          <tpl fld="6" item="2"/>
          <tpl hier="236" item="1"/>
          <tpl fld="4" item="4"/>
        </tpls>
      </n>
      <n v="1" in="2">
        <tpls c="4">
          <tpl fld="7" item="598"/>
          <tpl fld="6" item="2"/>
          <tpl hier="236" item="1"/>
          <tpl fld="1" item="0"/>
        </tpls>
      </n>
      <m>
        <tpls c="4">
          <tpl fld="7" item="1012"/>
          <tpl fld="6" item="2"/>
          <tpl hier="236" item="1"/>
          <tpl fld="4" item="5"/>
        </tpls>
      </m>
      <m>
        <tpls c="4">
          <tpl fld="7" item="302"/>
          <tpl fld="6" item="2"/>
          <tpl hier="236" item="1"/>
          <tpl fld="4" item="5"/>
        </tpls>
      </m>
      <m>
        <tpls c="4">
          <tpl fld="7" item="239"/>
          <tpl fld="6" item="2"/>
          <tpl hier="236" item="1"/>
          <tpl fld="4" item="5"/>
        </tpls>
      </m>
      <m>
        <tpls c="4">
          <tpl fld="7" item="457"/>
          <tpl fld="6" item="2"/>
          <tpl hier="236" item="1"/>
          <tpl fld="4" item="6"/>
        </tpls>
      </m>
      <m>
        <tpls c="4">
          <tpl fld="7" item="78"/>
          <tpl fld="6" item="2"/>
          <tpl hier="236" item="1"/>
          <tpl fld="4" item="6"/>
        </tpls>
      </m>
      <n v="1" in="1">
        <tpls c="4">
          <tpl fld="7" item="1221"/>
          <tpl fld="6" item="1"/>
          <tpl hier="236" item="1"/>
          <tpl fld="4" item="5"/>
        </tpls>
      </n>
      <n v="0" in="1">
        <tpls c="4">
          <tpl fld="7" item="352"/>
          <tpl fld="6" item="1"/>
          <tpl hier="236" item="1"/>
          <tpl fld="4" item="5"/>
        </tpls>
      </n>
      <m>
        <tpls c="4">
          <tpl fld="7" item="140"/>
          <tpl fld="6" item="1"/>
          <tpl hier="236" item="1"/>
          <tpl fld="4" item="5"/>
        </tpls>
      </m>
      <n v="1" in="1">
        <tpls c="4">
          <tpl fld="7" item="1033"/>
          <tpl fld="6" item="1"/>
          <tpl hier="236" item="1"/>
          <tpl fld="4" item="1"/>
        </tpls>
      </n>
      <n v="17" in="1">
        <tpls c="4">
          <tpl fld="7" item="518"/>
          <tpl fld="6" item="1"/>
          <tpl hier="236" item="1"/>
          <tpl fld="4" item="1"/>
        </tpls>
      </n>
      <m>
        <tpls c="4">
          <tpl fld="7" item="280"/>
          <tpl fld="6" item="1"/>
          <tpl hier="236" item="1"/>
          <tpl fld="4" item="1"/>
        </tpls>
      </m>
      <n v="16" in="1">
        <tpls c="4">
          <tpl fld="7" item="978"/>
          <tpl fld="6" item="1"/>
          <tpl hier="236" item="1"/>
          <tpl fld="1" item="0"/>
        </tpls>
      </n>
      <m>
        <tpls c="4">
          <tpl fld="7" item="558"/>
          <tpl fld="6" item="2"/>
          <tpl hier="236" item="1"/>
          <tpl fld="4" item="4"/>
        </tpls>
      </m>
      <m>
        <tpls c="3">
          <tpl fld="7" item="656"/>
          <tpl fld="6" item="3"/>
          <tpl hier="236" item="1"/>
        </tpls>
      </m>
      <m>
        <tpls c="4">
          <tpl fld="7" item="915"/>
          <tpl fld="6" item="2"/>
          <tpl hier="236" item="1"/>
          <tpl fld="4" item="4"/>
        </tpls>
      </m>
      <n v="1" in="2">
        <tpls c="4">
          <tpl fld="7" item="981"/>
          <tpl fld="6" item="2"/>
          <tpl hier="236" item="1"/>
          <tpl fld="1" item="0"/>
        </tpls>
      </n>
      <m>
        <tpls c="4">
          <tpl fld="7" item="332"/>
          <tpl fld="6" item="1"/>
          <tpl hier="236" item="1"/>
          <tpl fld="4" item="6"/>
        </tpls>
      </m>
      <n v="1" in="1">
        <tpls c="4">
          <tpl fld="7" item="800"/>
          <tpl fld="6" item="1"/>
          <tpl hier="236" item="1"/>
          <tpl fld="4" item="6"/>
        </tpls>
      </n>
      <m>
        <tpls c="3">
          <tpl fld="7" item="545"/>
          <tpl fld="6" item="3"/>
          <tpl hier="236" item="1"/>
        </tpls>
      </m>
      <m>
        <tpls c="4">
          <tpl fld="7" item="572"/>
          <tpl fld="6" item="1"/>
          <tpl hier="236" item="1"/>
          <tpl fld="4" item="1"/>
        </tpls>
      </m>
      <n v="1" in="1">
        <tpls c="4">
          <tpl fld="7" item="712"/>
          <tpl fld="6" item="1"/>
          <tpl hier="236" item="1"/>
          <tpl fld="4" item="4"/>
        </tpls>
      </n>
      <m>
        <tpls c="4">
          <tpl fld="7" item="659"/>
          <tpl fld="6" item="1"/>
          <tpl hier="236" item="1"/>
          <tpl fld="4" item="6"/>
        </tpls>
      </m>
      <m>
        <tpls c="3">
          <tpl fld="7" item="920"/>
          <tpl fld="6" item="3"/>
          <tpl hier="236" item="1"/>
        </tpls>
      </m>
      <m>
        <tpls c="4">
          <tpl fld="7" item="293"/>
          <tpl fld="6" item="2"/>
          <tpl hier="236" item="1"/>
          <tpl fld="1" item="0"/>
        </tpls>
      </m>
      <m>
        <tpls c="4">
          <tpl fld="7" item="1187"/>
          <tpl fld="6" item="1"/>
          <tpl hier="236" item="1"/>
          <tpl fld="4" item="5"/>
        </tpls>
      </m>
      <m>
        <tpls c="4">
          <tpl fld="7" item="584"/>
          <tpl fld="6" item="1"/>
          <tpl hier="236" item="1"/>
          <tpl fld="4" item="5"/>
        </tpls>
      </m>
      <m>
        <tpls c="3">
          <tpl fld="7" item="810"/>
          <tpl fld="6" item="3"/>
          <tpl hier="236" item="1"/>
        </tpls>
      </m>
      <m>
        <tpls c="4">
          <tpl fld="7" item="892"/>
          <tpl fld="6" item="2"/>
          <tpl hier="236" item="1"/>
          <tpl fld="4" item="6"/>
        </tpls>
      </m>
      <m>
        <tpls c="4">
          <tpl fld="7" item="823"/>
          <tpl fld="6" item="2"/>
          <tpl hier="236" item="1"/>
          <tpl fld="1" item="0"/>
        </tpls>
      </m>
      <m>
        <tpls c="4">
          <tpl fld="7" item="749"/>
          <tpl fld="6" item="2"/>
          <tpl hier="236" item="1"/>
          <tpl fld="4" item="1"/>
        </tpls>
      </m>
      <m>
        <tpls c="3">
          <tpl fld="7" item="1009"/>
          <tpl fld="6" item="3"/>
          <tpl hier="236" item="1"/>
        </tpls>
      </m>
      <m>
        <tpls c="4">
          <tpl fld="7" item="1272"/>
          <tpl fld="6" item="1"/>
          <tpl hier="236" item="1"/>
          <tpl fld="4" item="6"/>
        </tpls>
      </m>
      <n v="0.6" in="2">
        <tpls c="4">
          <tpl fld="7" item="869"/>
          <tpl fld="6" item="2"/>
          <tpl hier="236" item="1"/>
          <tpl fld="4" item="4"/>
        </tpls>
      </n>
      <n v="1" in="1">
        <tpls c="4">
          <tpl fld="7" item="1158"/>
          <tpl fld="6" item="1"/>
          <tpl hier="236" item="1"/>
          <tpl fld="4" item="4"/>
        </tpls>
      </n>
      <m>
        <tpls c="4">
          <tpl fld="7" item="863"/>
          <tpl fld="6" item="2"/>
          <tpl hier="236" item="1"/>
          <tpl fld="1" item="0"/>
        </tpls>
      </m>
      <n v="1.28" in="2">
        <tpls c="4">
          <tpl fld="7" item="361"/>
          <tpl fld="6" item="2"/>
          <tpl hier="236" item="1"/>
          <tpl fld="1" item="0"/>
        </tpls>
      </n>
      <m>
        <tpls c="4">
          <tpl fld="7" item="983"/>
          <tpl fld="6" item="2"/>
          <tpl hier="236" item="1"/>
          <tpl fld="4" item="6"/>
        </tpls>
      </m>
      <n v="5" in="1">
        <tpls c="4">
          <tpl fld="7" item="564"/>
          <tpl fld="6" item="1"/>
          <tpl hier="236" item="1"/>
          <tpl fld="4" item="1"/>
        </tpls>
      </n>
      <m>
        <tpls c="4">
          <tpl fld="7" item="583"/>
          <tpl fld="6" item="2"/>
          <tpl hier="236" item="1"/>
          <tpl fld="4" item="6"/>
        </tpls>
      </m>
      <m>
        <tpls c="4">
          <tpl fld="7" item="1096"/>
          <tpl fld="6" item="1"/>
          <tpl hier="236" item="1"/>
          <tpl fld="4" item="1"/>
        </tpls>
      </m>
      <n v="2" in="1">
        <tpls c="4">
          <tpl fld="7" item="891"/>
          <tpl fld="6" item="1"/>
          <tpl hier="236" item="1"/>
          <tpl fld="4" item="4"/>
        </tpls>
      </n>
      <m>
        <tpls c="4">
          <tpl fld="7" item="819"/>
          <tpl fld="6" item="1"/>
          <tpl hier="236" item="1"/>
          <tpl fld="4" item="6"/>
        </tpls>
      </m>
      <n v="28" in="1">
        <tpls c="4">
          <tpl fld="7" item="743"/>
          <tpl fld="6" item="1"/>
          <tpl hier="236" item="1"/>
          <tpl fld="1" item="0"/>
        </tpls>
      </n>
      <m>
        <tpls c="4">
          <tpl fld="7" item="1002"/>
          <tpl fld="6" item="2"/>
          <tpl hier="236" item="1"/>
          <tpl fld="4" item="4"/>
        </tpls>
      </m>
      <m>
        <tpls c="4">
          <tpl fld="7" item="908"/>
          <tpl fld="6" item="1"/>
          <tpl hier="236" item="1"/>
          <tpl fld="4" item="4"/>
        </tpls>
      </m>
      <m>
        <tpls c="4">
          <tpl fld="7" item="860"/>
          <tpl fld="6" item="2"/>
          <tpl hier="236" item="1"/>
          <tpl fld="4" item="1"/>
        </tpls>
      </m>
      <m>
        <tpls c="4">
          <tpl fld="7" item="1224"/>
          <tpl fld="6" item="2"/>
          <tpl hier="236" item="1"/>
          <tpl fld="4" item="1"/>
        </tpls>
      </m>
      <m>
        <tpls c="4">
          <tpl fld="7" item="1167"/>
          <tpl fld="6" item="2"/>
          <tpl hier="236" item="1"/>
          <tpl fld="4" item="1"/>
        </tpls>
      </m>
      <m>
        <tpls c="4">
          <tpl fld="7" item="1010"/>
          <tpl fld="6" item="2"/>
          <tpl hier="236" item="1"/>
          <tpl fld="1" item="0"/>
        </tpls>
      </m>
      <m>
        <tpls c="4">
          <tpl fld="7" item="208"/>
          <tpl fld="6" item="2"/>
          <tpl hier="236" item="1"/>
          <tpl fld="1" item="0"/>
        </tpls>
      </m>
      <m>
        <tpls c="4">
          <tpl fld="7" item="474"/>
          <tpl fld="6" item="2"/>
          <tpl hier="236" item="1"/>
          <tpl fld="1" item="0"/>
        </tpls>
      </m>
      <m>
        <tpls c="4">
          <tpl fld="7" item="1109"/>
          <tpl fld="6" item="2"/>
          <tpl hier="236" item="1"/>
          <tpl fld="4" item="5"/>
        </tpls>
      </m>
      <n v="3" in="1">
        <tpls c="4">
          <tpl fld="7" item="793"/>
          <tpl fld="6" item="1"/>
          <tpl hier="236" item="1"/>
          <tpl fld="4" item="1"/>
        </tpls>
      </n>
      <m>
        <tpls c="4">
          <tpl fld="7" item="1215"/>
          <tpl fld="6" item="1"/>
          <tpl hier="236" item="1"/>
          <tpl fld="4" item="5"/>
        </tpls>
      </m>
      <m>
        <tpls c="4">
          <tpl fld="7" item="1196"/>
          <tpl fld="6" item="1"/>
          <tpl hier="236" item="1"/>
          <tpl fld="4" item="6"/>
        </tpls>
      </m>
      <m>
        <tpls c="4">
          <tpl fld="7" item="79"/>
          <tpl fld="6" item="2"/>
          <tpl hier="236" item="1"/>
          <tpl fld="1" item="0"/>
        </tpls>
      </m>
      <m>
        <tpls c="4">
          <tpl fld="7" item="1003"/>
          <tpl fld="6" item="2"/>
          <tpl hier="236" item="1"/>
          <tpl fld="4" item="5"/>
        </tpls>
      </m>
      <m>
        <tpls c="4">
          <tpl fld="7" item="292"/>
          <tpl fld="6" item="2"/>
          <tpl hier="236" item="1"/>
          <tpl fld="4" item="5"/>
        </tpls>
      </m>
      <m>
        <tpls c="4">
          <tpl fld="7" item="669"/>
          <tpl fld="6" item="2"/>
          <tpl hier="236" item="1"/>
          <tpl fld="4" item="5"/>
        </tpls>
      </m>
      <m>
        <tpls c="4">
          <tpl fld="7" item="448"/>
          <tpl fld="6" item="2"/>
          <tpl hier="236" item="1"/>
          <tpl fld="4" item="6"/>
        </tpls>
      </m>
      <m>
        <tpls c="4">
          <tpl fld="7" item="69"/>
          <tpl fld="6" item="2"/>
          <tpl hier="236" item="1"/>
          <tpl fld="4" item="6"/>
        </tpls>
      </m>
      <m>
        <tpls c="4">
          <tpl fld="7" item="910"/>
          <tpl fld="6" item="1"/>
          <tpl hier="236" item="1"/>
          <tpl fld="4" item="5"/>
        </tpls>
      </m>
      <n v="1" in="1">
        <tpls c="4">
          <tpl fld="7" item="207"/>
          <tpl fld="6" item="1"/>
          <tpl hier="236" item="1"/>
          <tpl fld="4" item="5"/>
        </tpls>
      </n>
      <m>
        <tpls c="4">
          <tpl fld="7" item="127"/>
          <tpl fld="6" item="1"/>
          <tpl hier="236" item="1"/>
          <tpl fld="4" item="5"/>
        </tpls>
      </m>
      <n v="1" in="1">
        <tpls c="4">
          <tpl fld="7" item="1223"/>
          <tpl fld="6" item="1"/>
          <tpl hier="236" item="1"/>
          <tpl fld="4" item="1"/>
        </tpls>
      </n>
      <m>
        <tpls c="4">
          <tpl fld="7" item="509"/>
          <tpl fld="6" item="1"/>
          <tpl hier="236" item="1"/>
          <tpl fld="4" item="1"/>
        </tpls>
      </m>
      <m>
        <tpls c="4">
          <tpl fld="7" item="279"/>
          <tpl fld="6" item="1"/>
          <tpl hier="236" item="1"/>
          <tpl fld="4" item="1"/>
        </tpls>
      </m>
      <n v="2" in="1">
        <tpls c="4">
          <tpl fld="7" item="863"/>
          <tpl fld="6" item="1"/>
          <tpl hier="236" item="1"/>
          <tpl fld="1" item="0"/>
        </tpls>
      </n>
      <n v="3" in="1">
        <tpls c="4">
          <tpl fld="7" item="633"/>
          <tpl fld="6" item="1"/>
          <tpl hier="236" item="1"/>
          <tpl fld="4" item="4"/>
        </tpls>
      </n>
      <m>
        <tpls c="4">
          <tpl fld="7" item="739"/>
          <tpl fld="6" item="1"/>
          <tpl hier="236" item="1"/>
          <tpl fld="4" item="6"/>
        </tpls>
      </m>
      <m>
        <tpls c="4">
          <tpl fld="7" item="1127"/>
          <tpl fld="6" item="1"/>
          <tpl hier="236" item="1"/>
          <tpl fld="4" item="6"/>
        </tpls>
      </m>
      <m>
        <tpls c="4">
          <tpl fld="7" item="74"/>
          <tpl fld="6" item="2"/>
          <tpl hier="236" item="1"/>
          <tpl fld="1" item="0"/>
        </tpls>
      </m>
      <m>
        <tpls c="4">
          <tpl fld="7" item="834"/>
          <tpl fld="6" item="2"/>
          <tpl hier="236" item="1"/>
          <tpl fld="4" item="5"/>
        </tpls>
      </m>
      <m>
        <tpls c="4">
          <tpl fld="7" item="414"/>
          <tpl fld="6" item="2"/>
          <tpl hier="236" item="1"/>
          <tpl fld="4" item="5"/>
        </tpls>
      </m>
      <m>
        <tpls c="4">
          <tpl fld="7" item="126"/>
          <tpl fld="6" item="2"/>
          <tpl hier="236" item="1"/>
          <tpl fld="4" item="5"/>
        </tpls>
      </m>
      <n v="3.085405405405405" in="2">
        <tpls c="4">
          <tpl fld="7" item="376"/>
          <tpl fld="6" item="2"/>
          <tpl hier="236" item="1"/>
          <tpl fld="4" item="6"/>
        </tpls>
      </n>
      <m>
        <tpls c="4">
          <tpl fld="7" item="284"/>
          <tpl fld="6" item="2"/>
          <tpl hier="236" item="1"/>
          <tpl fld="4" item="6"/>
        </tpls>
      </m>
      <m>
        <tpls c="4">
          <tpl fld="7" item="909"/>
          <tpl fld="6" item="1"/>
          <tpl hier="236" item="1"/>
          <tpl fld="4" item="5"/>
        </tpls>
      </m>
      <m>
        <tpls c="4">
          <tpl fld="7" item="98"/>
          <tpl fld="6" item="1"/>
          <tpl hier="236" item="1"/>
          <tpl fld="4" item="5"/>
        </tpls>
      </m>
      <m>
        <tpls c="4">
          <tpl fld="7" item="18"/>
          <tpl fld="6" item="1"/>
          <tpl hier="236" item="1"/>
          <tpl fld="4" item="5"/>
        </tpls>
      </m>
      <m>
        <tpls c="4">
          <tpl fld="7" item="1186"/>
          <tpl fld="6" item="2"/>
          <tpl hier="236" item="1"/>
          <tpl fld="4" item="6"/>
        </tpls>
      </m>
      <m>
        <tpls c="4">
          <tpl fld="7" item="916"/>
          <tpl fld="6" item="1"/>
          <tpl hier="236" item="1"/>
          <tpl fld="4" item="4"/>
        </tpls>
      </m>
      <m>
        <tpls c="4">
          <tpl fld="7" item="809"/>
          <tpl fld="6" item="2"/>
          <tpl hier="236" item="1"/>
          <tpl fld="1" item="0"/>
        </tpls>
      </m>
      <m>
        <tpls c="4">
          <tpl fld="7" item="842"/>
          <tpl fld="6" item="2"/>
          <tpl hier="236" item="1"/>
          <tpl fld="4" item="4"/>
        </tpls>
      </m>
      <m>
        <tpls c="4">
          <tpl fld="7" item="870"/>
          <tpl fld="6" item="2"/>
          <tpl hier="236" item="1"/>
          <tpl fld="1" item="0"/>
        </tpls>
      </m>
      <m>
        <tpls c="4">
          <tpl fld="7" item="640"/>
          <tpl fld="6" item="1"/>
          <tpl hier="236" item="1"/>
          <tpl fld="4" item="6"/>
        </tpls>
      </m>
      <m>
        <tpls c="4">
          <tpl fld="7" item="1241"/>
          <tpl fld="6" item="1"/>
          <tpl hier="236" item="1"/>
          <tpl fld="4" item="4"/>
        </tpls>
      </m>
      <m>
        <tpls c="4">
          <tpl fld="7" item="926"/>
          <tpl fld="6" item="2"/>
          <tpl hier="236" item="1"/>
          <tpl fld="4" item="4"/>
        </tpls>
      </m>
      <m>
        <tpls c="4">
          <tpl fld="7" item="752"/>
          <tpl fld="6" item="2"/>
          <tpl hier="236" item="1"/>
          <tpl fld="1" item="0"/>
        </tpls>
      </m>
      <m>
        <tpls c="4">
          <tpl fld="7" item="1122"/>
          <tpl fld="6" item="2"/>
          <tpl hier="236" item="1"/>
          <tpl fld="4" item="1"/>
        </tpls>
      </m>
      <m>
        <tpls c="4">
          <tpl fld="7" item="4"/>
          <tpl fld="6" item="2"/>
          <tpl hier="236" item="1"/>
          <tpl fld="4" item="5"/>
        </tpls>
      </m>
      <m>
        <tpls c="4">
          <tpl fld="7" item="214"/>
          <tpl fld="6" item="1"/>
          <tpl hier="236" item="1"/>
          <tpl fld="4" item="5"/>
        </tpls>
      </m>
      <m>
        <tpls c="4">
          <tpl fld="7" item="159"/>
          <tpl fld="6" item="1"/>
          <tpl hier="236" item="1"/>
          <tpl fld="4" item="1"/>
        </tpls>
      </m>
      <m>
        <tpls c="4">
          <tpl fld="7" item="1020"/>
          <tpl fld="6" item="2"/>
          <tpl hier="236" item="1"/>
          <tpl fld="4" item="1"/>
        </tpls>
      </m>
      <n v="1.6" in="2">
        <tpls c="4">
          <tpl fld="7" item="376"/>
          <tpl fld="6" item="2"/>
          <tpl hier="236" item="1"/>
          <tpl fld="4" item="5"/>
        </tpls>
      </n>
      <m>
        <tpls c="4">
          <tpl fld="7" item="257"/>
          <tpl fld="6" item="2"/>
          <tpl hier="236" item="1"/>
          <tpl fld="4" item="5"/>
        </tpls>
      </m>
      <m>
        <tpls c="4">
          <tpl fld="7" item="382"/>
          <tpl fld="6" item="2"/>
          <tpl hier="236" item="1"/>
          <tpl fld="4" item="6"/>
        </tpls>
      </m>
      <m>
        <tpls c="4">
          <tpl fld="7" item="142"/>
          <tpl fld="6" item="2"/>
          <tpl hier="236" item="1"/>
          <tpl fld="4" item="6"/>
        </tpls>
      </m>
      <m>
        <tpls c="4">
          <tpl fld="7" item="510"/>
          <tpl fld="6" item="1"/>
          <tpl hier="236" item="1"/>
          <tpl fld="4" item="5"/>
        </tpls>
      </m>
      <m>
        <tpls c="4">
          <tpl fld="7" item="24"/>
          <tpl fld="6" item="1"/>
          <tpl hier="236" item="1"/>
          <tpl fld="4" item="5"/>
        </tpls>
      </m>
      <m>
        <tpls c="4">
          <tpl fld="7" item="1026"/>
          <tpl fld="6" item="1"/>
          <tpl hier="236" item="1"/>
          <tpl fld="4" item="1"/>
        </tpls>
      </m>
      <n v="3" in="1">
        <tpls c="4">
          <tpl fld="7" item="598"/>
          <tpl fld="6" item="1"/>
          <tpl hier="236" item="1"/>
          <tpl fld="4" item="1"/>
        </tpls>
      </n>
      <m>
        <tpls c="4">
          <tpl fld="7" item="876"/>
          <tpl fld="6" item="1"/>
          <tpl hier="236" item="1"/>
          <tpl fld="4" item="1"/>
        </tpls>
      </m>
      <m>
        <tpls c="4">
          <tpl fld="7" item="580"/>
          <tpl fld="6" item="2"/>
          <tpl hier="236" item="1"/>
          <tpl fld="4" item="5"/>
        </tpls>
      </m>
      <m>
        <tpls c="4">
          <tpl fld="7" item="661"/>
          <tpl fld="6" item="2"/>
          <tpl hier="236" item="1"/>
          <tpl fld="1" item="0"/>
        </tpls>
      </m>
      <m>
        <tpls c="3">
          <tpl fld="7" item="868"/>
          <tpl fld="6" item="3"/>
          <tpl hier="236" item="1"/>
        </tpls>
      </m>
      <m>
        <tpls c="4">
          <tpl fld="7" item="271"/>
          <tpl fld="6" item="2"/>
          <tpl hier="236" item="1"/>
          <tpl fld="1" item="0"/>
        </tpls>
      </m>
      <m>
        <tpls c="4">
          <tpl fld="7" item="95"/>
          <tpl fld="6" item="2"/>
          <tpl hier="236" item="1"/>
          <tpl fld="4" item="5"/>
        </tpls>
      </m>
      <m>
        <tpls c="4">
          <tpl fld="7" item="177"/>
          <tpl fld="6" item="2"/>
          <tpl hier="236" item="1"/>
          <tpl fld="4" item="5"/>
        </tpls>
      </m>
      <m>
        <tpls c="4">
          <tpl fld="7" item="466"/>
          <tpl fld="6" item="2"/>
          <tpl hier="236" item="1"/>
          <tpl fld="4" item="5"/>
        </tpls>
      </m>
      <m>
        <tpls c="4">
          <tpl fld="7" item="512"/>
          <tpl fld="6" item="2"/>
          <tpl hier="236" item="1"/>
          <tpl fld="4" item="6"/>
        </tpls>
      </m>
      <m>
        <tpls c="4">
          <tpl fld="7" item="279"/>
          <tpl fld="6" item="2"/>
          <tpl hier="236" item="1"/>
          <tpl fld="4" item="6"/>
        </tpls>
      </m>
      <m>
        <tpls c="4">
          <tpl fld="7" item="905"/>
          <tpl fld="6" item="1"/>
          <tpl hier="236" item="1"/>
          <tpl fld="4" item="5"/>
        </tpls>
      </m>
      <m>
        <tpls c="4">
          <tpl fld="7" item="309"/>
          <tpl fld="6" item="1"/>
          <tpl hier="236" item="1"/>
          <tpl fld="4" item="5"/>
        </tpls>
      </m>
      <m>
        <tpls c="4">
          <tpl fld="7" item="229"/>
          <tpl fld="6" item="1"/>
          <tpl hier="236" item="1"/>
          <tpl fld="4" item="5"/>
        </tpls>
      </m>
      <n v="2" in="1">
        <tpls c="4">
          <tpl fld="7" item="863"/>
          <tpl fld="6" item="1"/>
          <tpl hier="236" item="1"/>
          <tpl fld="4" item="1"/>
        </tpls>
      </n>
      <n v="7" in="1">
        <tpls c="4">
          <tpl fld="7" item="432"/>
          <tpl fld="6" item="1"/>
          <tpl hier="236" item="1"/>
          <tpl fld="4" item="1"/>
        </tpls>
      </n>
      <m>
        <tpls c="4">
          <tpl fld="7" item="267"/>
          <tpl fld="6" item="1"/>
          <tpl hier="236" item="1"/>
          <tpl fld="4" item="1"/>
        </tpls>
      </m>
      <n v="12" in="1">
        <tpls c="4">
          <tpl fld="7" item="915"/>
          <tpl fld="6" item="1"/>
          <tpl hier="236" item="1"/>
          <tpl fld="1" item="0"/>
        </tpls>
      </n>
      <n v="13" in="1">
        <tpls c="4">
          <tpl fld="7" item="322"/>
          <tpl fld="6" item="1"/>
          <tpl hier="236" item="1"/>
          <tpl fld="1" item="0"/>
        </tpls>
      </n>
      <m>
        <tpls c="4">
          <tpl fld="7" item="331"/>
          <tpl fld="6" item="1"/>
          <tpl hier="236" item="1"/>
          <tpl fld="1" item="0"/>
        </tpls>
      </m>
      <m>
        <tpls c="3">
          <tpl fld="7" item="837"/>
          <tpl fld="6" item="3"/>
          <tpl hier="236" item="1"/>
        </tpls>
      </m>
      <m>
        <tpls c="4">
          <tpl fld="7" item="265"/>
          <tpl fld="6" item="2"/>
          <tpl hier="236" item="1"/>
          <tpl fld="4" item="5"/>
        </tpls>
      </m>
      <n v="6" in="1">
        <tpls c="4">
          <tpl fld="7" item="446"/>
          <tpl fld="6" item="1"/>
          <tpl hier="236" item="1"/>
          <tpl fld="4" item="5"/>
        </tpls>
      </n>
      <n v="0" in="1">
        <tpls c="4">
          <tpl fld="7" item="95"/>
          <tpl fld="6" item="1"/>
          <tpl hier="236" item="1"/>
          <tpl fld="4" item="1"/>
        </tpls>
      </n>
      <m>
        <tpls c="4">
          <tpl fld="7" item="364"/>
          <tpl fld="6" item="1"/>
          <tpl hier="236" item="1"/>
          <tpl fld="1" item="0"/>
        </tpls>
      </m>
      <m>
        <tpls c="4">
          <tpl fld="7" item="235"/>
          <tpl fld="6" item="1"/>
          <tpl hier="236" item="1"/>
          <tpl fld="1" item="0"/>
        </tpls>
      </m>
      <m>
        <tpls c="3">
          <tpl fld="7" item="25"/>
          <tpl fld="6" item="3"/>
          <tpl hier="236" item="1"/>
        </tpls>
      </m>
      <m>
        <tpls c="4">
          <tpl fld="7" item="1042"/>
          <tpl fld="6" item="2"/>
          <tpl hier="236" item="1"/>
          <tpl fld="4" item="4"/>
        </tpls>
      </m>
      <m>
        <tpls c="4">
          <tpl fld="7" item="216"/>
          <tpl fld="6" item="2"/>
          <tpl hier="236" item="1"/>
          <tpl fld="4" item="4"/>
        </tpls>
      </m>
      <n v="1" in="1">
        <tpls c="4">
          <tpl fld="7" item="495"/>
          <tpl fld="6" item="1"/>
          <tpl hier="236" item="1"/>
          <tpl fld="1" item="0"/>
        </tpls>
      </n>
      <m>
        <tpls c="4">
          <tpl fld="7" item="1138"/>
          <tpl fld="6" item="2"/>
          <tpl hier="236" item="1"/>
          <tpl fld="4" item="4"/>
        </tpls>
      </m>
      <n v="2" in="1">
        <tpls c="4">
          <tpl fld="7" item="1081"/>
          <tpl fld="6" item="1"/>
          <tpl hier="236" item="1"/>
          <tpl fld="4" item="4"/>
        </tpls>
      </n>
      <m>
        <tpls c="4">
          <tpl fld="7" item="1115"/>
          <tpl fld="6" item="2"/>
          <tpl hier="236" item="1"/>
          <tpl fld="4" item="6"/>
        </tpls>
      </m>
      <m>
        <tpls c="4">
          <tpl fld="7" item="170"/>
          <tpl fld="6" item="1"/>
          <tpl hier="236" item="1"/>
          <tpl fld="4" item="5"/>
        </tpls>
      </m>
      <m>
        <tpls c="4">
          <tpl fld="7" item="117"/>
          <tpl fld="6" item="1"/>
          <tpl hier="236" item="1"/>
          <tpl fld="4" item="1"/>
        </tpls>
      </m>
      <m>
        <tpls c="4">
          <tpl fld="7" item="97"/>
          <tpl fld="6" item="1"/>
          <tpl hier="236" item="1"/>
          <tpl fld="1" item="0"/>
        </tpls>
      </m>
      <m>
        <tpls c="4">
          <tpl fld="7" item="167"/>
          <tpl fld="6" item="1"/>
          <tpl hier="236" item="1"/>
          <tpl fld="4" item="6"/>
        </tpls>
      </m>
      <m>
        <tpls c="3">
          <tpl fld="7" item="4"/>
          <tpl fld="6" item="3"/>
          <tpl hier="236" item="1"/>
        </tpls>
      </m>
      <m>
        <tpls c="4">
          <tpl fld="7" item="998"/>
          <tpl fld="6" item="2"/>
          <tpl hier="236" item="1"/>
          <tpl fld="4" item="4"/>
        </tpls>
      </m>
      <n v="1" in="1">
        <tpls c="4">
          <tpl fld="7" item="1140"/>
          <tpl fld="6" item="1"/>
          <tpl hier="236" item="1"/>
          <tpl fld="4" item="1"/>
        </tpls>
      </n>
      <m>
        <tpls c="4">
          <tpl fld="7" item="219"/>
          <tpl fld="6" item="1"/>
          <tpl hier="236" item="1"/>
          <tpl fld="4" item="6"/>
        </tpls>
      </m>
      <m>
        <tpls c="4">
          <tpl fld="7" item="729"/>
          <tpl fld="6" item="1"/>
          <tpl hier="236" item="1"/>
          <tpl fld="4" item="6"/>
        </tpls>
      </m>
      <n v="1.3599999999999999" in="2">
        <tpls c="4">
          <tpl fld="7" item="1211"/>
          <tpl fld="6" item="2"/>
          <tpl hier="236" item="1"/>
          <tpl fld="4" item="5"/>
        </tpls>
      </n>
      <m>
        <tpls c="4">
          <tpl fld="7" item="774"/>
          <tpl fld="6" item="2"/>
          <tpl hier="236" item="1"/>
          <tpl fld="4" item="6"/>
        </tpls>
      </m>
      <m>
        <tpls c="4">
          <tpl fld="7" item="864"/>
          <tpl fld="6" item="1"/>
          <tpl hier="236" item="1"/>
          <tpl fld="4" item="6"/>
        </tpls>
      </m>
      <m>
        <tpls c="4">
          <tpl fld="7" item="810"/>
          <tpl fld="6" item="2"/>
          <tpl hier="236" item="1"/>
          <tpl fld="1" item="0"/>
        </tpls>
      </m>
      <m>
        <tpls c="4">
          <tpl fld="7" item="1112"/>
          <tpl fld="6" item="2"/>
          <tpl hier="236" item="1"/>
          <tpl fld="4" item="1"/>
        </tpls>
      </m>
      <m>
        <tpls c="4">
          <tpl fld="7" item="862"/>
          <tpl fld="6" item="2"/>
          <tpl hier="236" item="1"/>
          <tpl fld="1" item="0"/>
        </tpls>
      </m>
      <m>
        <tpls c="3">
          <tpl fld="7" item="992"/>
          <tpl fld="6" item="3"/>
          <tpl hier="236" item="1"/>
        </tpls>
      </m>
      <m>
        <tpls c="4">
          <tpl fld="7" item="743"/>
          <tpl fld="6" item="2"/>
          <tpl hier="236" item="1"/>
          <tpl fld="1" item="0"/>
        </tpls>
      </m>
      <m>
        <tpls c="4">
          <tpl fld="7" item="929"/>
          <tpl fld="6" item="2"/>
          <tpl hier="236" item="1"/>
          <tpl fld="4" item="1"/>
        </tpls>
      </m>
      <m>
        <tpls c="4">
          <tpl fld="7" item="590"/>
          <tpl fld="6" item="2"/>
          <tpl hier="236" item="1"/>
          <tpl fld="1" item="0"/>
        </tpls>
      </m>
      <m>
        <tpls c="4">
          <tpl fld="7" item="1024"/>
          <tpl fld="6" item="2"/>
          <tpl hier="236" item="1"/>
          <tpl fld="4" item="4"/>
        </tpls>
      </m>
      <m>
        <tpls c="4">
          <tpl fld="7" item="400"/>
          <tpl fld="6" item="2"/>
          <tpl hier="236" item="1"/>
          <tpl fld="4" item="5"/>
        </tpls>
      </m>
      <m>
        <tpls c="4">
          <tpl fld="7" item="206"/>
          <tpl fld="6" item="1"/>
          <tpl hier="236" item="1"/>
          <tpl fld="4" item="5"/>
        </tpls>
      </m>
      <m>
        <tpls c="4">
          <tpl fld="7" item="278"/>
          <tpl fld="6" item="1"/>
          <tpl hier="236" item="1"/>
          <tpl fld="4" item="1"/>
        </tpls>
      </m>
      <m>
        <tpls c="4">
          <tpl fld="7" item="921"/>
          <tpl fld="6" item="2"/>
          <tpl hier="236" item="1"/>
          <tpl fld="4" item="4"/>
        </tpls>
      </m>
      <m>
        <tpls c="4">
          <tpl fld="7" item="372"/>
          <tpl fld="6" item="2"/>
          <tpl hier="236" item="1"/>
          <tpl fld="4" item="5"/>
        </tpls>
      </m>
      <m>
        <tpls c="4">
          <tpl fld="7" item="255"/>
          <tpl fld="6" item="2"/>
          <tpl hier="236" item="1"/>
          <tpl fld="4" item="5"/>
        </tpls>
      </m>
      <n v="1" in="2">
        <tpls c="4">
          <tpl fld="7" item="379"/>
          <tpl fld="6" item="2"/>
          <tpl hier="236" item="1"/>
          <tpl fld="4" item="6"/>
        </tpls>
      </n>
      <m>
        <tpls c="4">
          <tpl fld="7" item="405"/>
          <tpl fld="6" item="2"/>
          <tpl hier="236" item="1"/>
          <tpl fld="4" item="6"/>
        </tpls>
      </m>
      <n v="96" in="1">
        <tpls c="6">
          <tpl fld="3" item="3"/>
          <tpl fld="11" item="0"/>
          <tpl fld="6" item="1"/>
          <tpl hier="236" item="1"/>
          <tpl fld="4" item="3"/>
          <tpl fld="10" item="1"/>
        </tpls>
      </n>
      <n v="26" in="1">
        <tpls c="4">
          <tpl fld="7" item="706"/>
          <tpl fld="6" item="1"/>
          <tpl hier="236" item="1"/>
          <tpl fld="4" item="4"/>
        </tpls>
      </n>
      <m>
        <tpls c="4">
          <tpl fld="7" item="582"/>
          <tpl fld="6" item="1"/>
          <tpl hier="236" item="1"/>
          <tpl fld="4" item="1"/>
        </tpls>
      </m>
      <m>
        <tpls c="3">
          <tpl fld="7" item="775"/>
          <tpl fld="6" item="3"/>
          <tpl hier="236" item="1"/>
        </tpls>
      </m>
      <m>
        <tpls c="4">
          <tpl fld="7" item="727"/>
          <tpl fld="6" item="2"/>
          <tpl hier="236" item="1"/>
          <tpl fld="4" item="4"/>
        </tpls>
      </m>
      <n v="3" in="1">
        <tpls c="4">
          <tpl fld="7" item="653"/>
          <tpl fld="6" item="1"/>
          <tpl hier="236" item="1"/>
          <tpl fld="4" item="4"/>
        </tpls>
      </n>
      <m>
        <tpls c="4">
          <tpl fld="7" item="859"/>
          <tpl fld="6" item="2"/>
          <tpl hier="236" item="1"/>
          <tpl fld="4" item="4"/>
        </tpls>
      </m>
      <n v="2" in="1">
        <tpls c="4">
          <tpl fld="7" item="892"/>
          <tpl fld="6" item="1"/>
          <tpl hier="236" item="1"/>
          <tpl fld="4" item="1"/>
        </tpls>
      </n>
      <m>
        <tpls c="4">
          <tpl fld="7" item="1136"/>
          <tpl fld="6" item="2"/>
          <tpl hier="236" item="1"/>
          <tpl fld="4" item="1"/>
        </tpls>
      </m>
      <m>
        <tpls c="4">
          <tpl fld="7" item="521"/>
          <tpl fld="6" item="2"/>
          <tpl hier="236" item="1"/>
          <tpl fld="4" item="5"/>
        </tpls>
      </m>
      <m>
        <tpls c="4">
          <tpl fld="7" item="491"/>
          <tpl fld="6" item="2"/>
          <tpl hier="236" item="1"/>
          <tpl fld="4" item="5"/>
        </tpls>
      </m>
      <m>
        <tpls c="4">
          <tpl fld="7" item="205"/>
          <tpl fld="6" item="1"/>
          <tpl hier="236" item="1"/>
          <tpl fld="4" item="5"/>
        </tpls>
      </m>
      <m>
        <tpls c="4">
          <tpl fld="7" item="269"/>
          <tpl fld="6" item="1"/>
          <tpl hier="236" item="1"/>
          <tpl fld="4" item="1"/>
        </tpls>
      </m>
      <m>
        <tpls c="4">
          <tpl fld="7" item="924"/>
          <tpl fld="6" item="2"/>
          <tpl hier="236" item="1"/>
          <tpl fld="4" item="4"/>
        </tpls>
      </m>
      <n v="1" in="2">
        <tpls c="4">
          <tpl fld="7" item="775"/>
          <tpl fld="6" item="2"/>
          <tpl hier="236" item="1"/>
          <tpl fld="1" item="0"/>
        </tpls>
      </n>
      <m>
        <tpls c="4">
          <tpl fld="7" item="922"/>
          <tpl fld="6" item="1"/>
          <tpl hier="236" item="1"/>
          <tpl fld="4" item="4"/>
        </tpls>
      </m>
      <m>
        <tpls c="4">
          <tpl fld="7" item="994"/>
          <tpl fld="6" item="2"/>
          <tpl hier="236" item="1"/>
          <tpl fld="4" item="6"/>
        </tpls>
      </m>
      <m>
        <tpls c="4">
          <tpl fld="7" item="844"/>
          <tpl fld="6" item="2"/>
          <tpl hier="236" item="1"/>
          <tpl fld="4" item="4"/>
        </tpls>
      </m>
      <m>
        <tpls c="4">
          <tpl fld="7" item="860"/>
          <tpl fld="6" item="2"/>
          <tpl hier="236" item="1"/>
          <tpl fld="1" item="0"/>
        </tpls>
      </m>
      <m>
        <tpls c="4">
          <tpl fld="7" item="641"/>
          <tpl fld="6" item="2"/>
          <tpl hier="236" item="1"/>
          <tpl fld="4" item="1"/>
        </tpls>
      </m>
      <m>
        <tpls c="4">
          <tpl fld="7" item="825"/>
          <tpl fld="6" item="2"/>
          <tpl hier="236" item="1"/>
          <tpl fld="4" item="6"/>
        </tpls>
      </m>
      <m>
        <tpls c="4">
          <tpl fld="7" item="930"/>
          <tpl fld="6" item="2"/>
          <tpl hier="236" item="1"/>
          <tpl fld="4" item="1"/>
        </tpls>
      </m>
      <m>
        <tpls c="4">
          <tpl fld="7" item="332"/>
          <tpl fld="6" item="2"/>
          <tpl hier="236" item="1"/>
          <tpl fld="1" item="0"/>
        </tpls>
      </m>
      <m>
        <tpls c="4">
          <tpl fld="7" item="1128"/>
          <tpl fld="6" item="2"/>
          <tpl hier="236" item="1"/>
          <tpl fld="4" item="1"/>
        </tpls>
      </m>
      <m>
        <tpls c="4">
          <tpl fld="7" item="470"/>
          <tpl fld="6" item="2"/>
          <tpl hier="236" item="1"/>
          <tpl fld="4" item="5"/>
        </tpls>
      </m>
      <m>
        <tpls c="4">
          <tpl fld="7" item="204"/>
          <tpl fld="6" item="1"/>
          <tpl hier="236" item="1"/>
          <tpl fld="4" item="5"/>
        </tpls>
      </m>
      <m>
        <tpls c="4">
          <tpl fld="7" item="276"/>
          <tpl fld="6" item="1"/>
          <tpl hier="236" item="1"/>
          <tpl fld="4" item="1"/>
        </tpls>
      </m>
      <m>
        <tpls c="4">
          <tpl fld="7" item="1026"/>
          <tpl fld="6" item="2"/>
          <tpl hier="236" item="1"/>
          <tpl fld="4" item="1"/>
        </tpls>
      </m>
      <m>
        <tpls c="4">
          <tpl fld="7" item="986"/>
          <tpl fld="6" item="2"/>
          <tpl hier="236" item="1"/>
          <tpl fld="4" item="4"/>
        </tpls>
      </m>
      <m>
        <tpls c="4">
          <tpl fld="7" item="875"/>
          <tpl fld="6" item="2"/>
          <tpl hier="236" item="1"/>
          <tpl fld="4" item="1"/>
        </tpls>
      </m>
      <n v="13" in="1">
        <tpls c="4">
          <tpl fld="7" item="650"/>
          <tpl fld="6" item="1"/>
          <tpl hier="236" item="1"/>
          <tpl fld="4" item="4"/>
        </tpls>
      </n>
      <m>
        <tpls c="4">
          <tpl fld="7" item="846"/>
          <tpl fld="6" item="1"/>
          <tpl hier="236" item="1"/>
          <tpl fld="4" item="4"/>
        </tpls>
      </m>
      <n v="0.64" in="2">
        <tpls c="4">
          <tpl fld="7" item="851"/>
          <tpl fld="6" item="2"/>
          <tpl hier="236" item="1"/>
          <tpl fld="1" item="0"/>
        </tpls>
      </n>
      <n v="3" in="1">
        <tpls c="4">
          <tpl fld="7" item="1095"/>
          <tpl fld="6" item="1"/>
          <tpl hier="236" item="1"/>
          <tpl fld="4" item="5"/>
        </tpls>
      </n>
      <m>
        <tpls c="4">
          <tpl fld="7" item="826"/>
          <tpl fld="6" item="2"/>
          <tpl hier="236" item="1"/>
          <tpl fld="4" item="6"/>
        </tpls>
      </m>
      <m>
        <tpls c="4">
          <tpl fld="7" item="1141"/>
          <tpl fld="6" item="2"/>
          <tpl hier="236" item="1"/>
          <tpl fld="4" item="1"/>
        </tpls>
      </m>
      <m>
        <tpls c="4">
          <tpl fld="7" item="328"/>
          <tpl fld="6" item="2"/>
          <tpl hier="236" item="1"/>
          <tpl fld="1" item="0"/>
        </tpls>
      </m>
      <n v="17" in="1">
        <tpls c="4">
          <tpl fld="7" item="874"/>
          <tpl fld="6" item="1"/>
          <tpl hier="236" item="1"/>
          <tpl fld="4" item="4"/>
        </tpls>
      </n>
      <m>
        <tpls c="4">
          <tpl fld="7" item="978"/>
          <tpl fld="6" item="2"/>
          <tpl hier="236" item="1"/>
          <tpl fld="4" item="6"/>
        </tpls>
      </m>
      <m>
        <tpls c="4">
          <tpl fld="7" item="195"/>
          <tpl fld="6" item="1"/>
          <tpl hier="236" item="1"/>
          <tpl fld="4" item="5"/>
        </tpls>
      </m>
      <m>
        <tpls c="4">
          <tpl fld="7" item="44"/>
          <tpl fld="6" item="1"/>
          <tpl hier="236" item="1"/>
          <tpl fld="4" item="1"/>
        </tpls>
      </m>
      <n v="2" in="1">
        <tpls c="4">
          <tpl fld="7" item="1034"/>
          <tpl fld="6" item="1"/>
          <tpl hier="236" item="1"/>
          <tpl fld="4" item="4"/>
        </tpls>
      </n>
      <m>
        <tpls c="4">
          <tpl fld="7" item="1080"/>
          <tpl fld="6" item="2"/>
          <tpl hier="236" item="1"/>
          <tpl fld="4" item="6"/>
        </tpls>
      </m>
      <m>
        <tpls c="4">
          <tpl fld="7" item="86"/>
          <tpl fld="6" item="1"/>
          <tpl hier="236" item="1"/>
          <tpl fld="4" item="5"/>
        </tpls>
      </m>
      <m>
        <tpls c="3">
          <tpl fld="7" item="815"/>
          <tpl fld="6" item="3"/>
          <tpl hier="236" item="1"/>
        </tpls>
      </m>
      <m>
        <tpls c="3">
          <tpl fld="7" item="748"/>
          <tpl fld="6" item="3"/>
          <tpl hier="236" item="1"/>
        </tpls>
      </m>
      <m>
        <tpls c="4">
          <tpl fld="7" item="1009"/>
          <tpl fld="6" item="2"/>
          <tpl hier="236" item="1"/>
          <tpl fld="4" item="6"/>
        </tpls>
      </m>
      <m>
        <tpls c="4">
          <tpl fld="7" item="498"/>
          <tpl fld="6" item="2"/>
          <tpl hier="236" item="1"/>
          <tpl fld="4" item="5"/>
        </tpls>
      </m>
      <n v="3" in="1">
        <tpls c="4">
          <tpl fld="7" item="494"/>
          <tpl fld="6" item="1"/>
          <tpl hier="236" item="1"/>
          <tpl fld="4" item="5"/>
        </tpls>
      </n>
      <m>
        <tpls c="4">
          <tpl fld="7" item="241"/>
          <tpl fld="6" item="1"/>
          <tpl hier="236" item="1"/>
          <tpl fld="4" item="1"/>
        </tpls>
      </m>
      <m>
        <tpls c="4">
          <tpl fld="7" item="258"/>
          <tpl fld="6" item="2"/>
          <tpl hier="236" item="1"/>
          <tpl fld="1" item="0"/>
        </tpls>
      </m>
      <m>
        <tpls c="4">
          <tpl fld="7" item="500"/>
          <tpl fld="6" item="2"/>
          <tpl hier="236" item="1"/>
          <tpl fld="4" item="6"/>
        </tpls>
      </m>
      <m>
        <tpls c="4">
          <tpl fld="7" item="313"/>
          <tpl fld="6" item="1"/>
          <tpl hier="236" item="1"/>
          <tpl fld="4" item="5"/>
        </tpls>
      </m>
      <m>
        <tpls c="4">
          <tpl fld="7" item="1257"/>
          <tpl fld="6" item="1"/>
          <tpl hier="236" item="1"/>
          <tpl fld="4" item="1"/>
        </tpls>
      </m>
      <m>
        <tpls c="4">
          <tpl fld="7" item="456"/>
          <tpl fld="6" item="1"/>
          <tpl hier="236" item="1"/>
          <tpl fld="4" item="1"/>
        </tpls>
      </m>
      <m>
        <tpls c="4">
          <tpl fld="7" item="168"/>
          <tpl fld="6" item="1"/>
          <tpl hier="236" item="1"/>
          <tpl fld="4" item="1"/>
        </tpls>
      </m>
      <n v="1" in="1">
        <tpls c="4">
          <tpl fld="7" item="900"/>
          <tpl fld="6" item="1"/>
          <tpl hier="236" item="1"/>
          <tpl fld="1" item="0"/>
        </tpls>
      </n>
      <m>
        <tpls c="4">
          <tpl fld="7" item="173"/>
          <tpl fld="6" item="1"/>
          <tpl hier="236" item="1"/>
          <tpl fld="1" item="0"/>
        </tpls>
      </m>
      <m>
        <tpls c="4">
          <tpl fld="7" item="998"/>
          <tpl fld="6" item="2"/>
          <tpl hier="236" item="1"/>
          <tpl fld="4" item="1"/>
        </tpls>
      </m>
      <m>
        <tpls c="4">
          <tpl fld="7" item="1004"/>
          <tpl fld="6" item="2"/>
          <tpl hier="236" item="1"/>
          <tpl fld="4" item="6"/>
        </tpls>
      </m>
      <m>
        <tpls c="4">
          <tpl fld="7" item="925"/>
          <tpl fld="6" item="1"/>
          <tpl hier="236" item="1"/>
          <tpl fld="4" item="1"/>
        </tpls>
      </m>
      <m>
        <tpls c="4">
          <tpl fld="7" item="440"/>
          <tpl fld="6" item="1"/>
          <tpl hier="236" item="1"/>
          <tpl fld="1" item="0"/>
        </tpls>
      </m>
      <m>
        <tpls c="4">
          <tpl fld="7" item="118"/>
          <tpl fld="6" item="1"/>
          <tpl hier="236" item="1"/>
          <tpl fld="4" item="6"/>
        </tpls>
      </m>
      <m>
        <tpls c="4">
          <tpl fld="7" item="1066"/>
          <tpl fld="6" item="2"/>
          <tpl hier="236" item="1"/>
          <tpl fld="4" item="4"/>
        </tpls>
      </m>
      <m>
        <tpls c="4">
          <tpl fld="7" item="668"/>
          <tpl fld="6" item="2"/>
          <tpl hier="236" item="1"/>
          <tpl fld="4" item="4"/>
        </tpls>
      </m>
      <n v="0" in="1">
        <tpls c="4">
          <tpl fld="7" item="15"/>
          <tpl fld="6" item="1"/>
          <tpl hier="236" item="1"/>
          <tpl fld="1" item="0"/>
        </tpls>
      </n>
      <m>
        <tpls c="4">
          <tpl fld="7" item="822"/>
          <tpl fld="6" item="2"/>
          <tpl hier="236" item="1"/>
          <tpl fld="4" item="4"/>
        </tpls>
      </m>
      <m>
        <tpls c="4">
          <tpl fld="7" item="1127"/>
          <tpl fld="6" item="2"/>
          <tpl hier="236" item="1"/>
          <tpl fld="4" item="6"/>
        </tpls>
      </m>
      <m>
        <tpls c="4">
          <tpl fld="7" item="1138"/>
          <tpl fld="6" item="1"/>
          <tpl hier="236" item="1"/>
          <tpl fld="4" item="1"/>
        </tpls>
      </m>
      <n v="2" in="1">
        <tpls c="4">
          <tpl fld="7" item="373"/>
          <tpl fld="6" item="1"/>
          <tpl hier="236" item="1"/>
          <tpl fld="1" item="0"/>
        </tpls>
      </n>
      <n v="2" in="1">
        <tpls c="4">
          <tpl fld="7" item="568"/>
          <tpl fld="6" item="1"/>
          <tpl hier="236" item="1"/>
          <tpl fld="4" item="6"/>
        </tpls>
      </n>
      <m>
        <tpls c="4">
          <tpl fld="7" item="965"/>
          <tpl fld="6" item="2"/>
          <tpl hier="236" item="1"/>
          <tpl fld="4" item="4"/>
        </tpls>
      </m>
      <n v="2" in="2">
        <tpls c="4">
          <tpl fld="7" item="758"/>
          <tpl fld="6" item="2"/>
          <tpl hier="236" item="1"/>
          <tpl fld="4" item="6"/>
        </tpls>
      </n>
      <m>
        <tpls c="4">
          <tpl fld="7" item="234"/>
          <tpl fld="6" item="1"/>
          <tpl hier="236" item="1"/>
          <tpl fld="4" item="6"/>
        </tpls>
      </m>
      <m>
        <tpls c="4">
          <tpl fld="7" item="1120"/>
          <tpl fld="6" item="2"/>
          <tpl hier="236" item="1"/>
          <tpl fld="4" item="4"/>
        </tpls>
      </m>
      <m>
        <tpls c="4">
          <tpl fld="7" item="57"/>
          <tpl fld="6" item="2"/>
          <tpl hier="236" item="1"/>
          <tpl fld="4" item="1"/>
        </tpls>
      </m>
      <m>
        <tpls c="3">
          <tpl fld="7" item="911"/>
          <tpl fld="6" item="3"/>
          <tpl hier="236" item="1"/>
        </tpls>
      </m>
      <m>
        <tpls c="4">
          <tpl fld="7" item="737"/>
          <tpl fld="6" item="2"/>
          <tpl hier="236" item="1"/>
          <tpl fld="4" item="5"/>
        </tpls>
      </m>
      <m>
        <tpls c="4">
          <tpl fld="7" item="936"/>
          <tpl fld="6" item="1"/>
          <tpl hier="236" item="1"/>
          <tpl fld="4" item="4"/>
        </tpls>
      </m>
      <m>
        <tpls c="4">
          <tpl fld="7" item="719"/>
          <tpl fld="6" item="2"/>
          <tpl hier="236" item="1"/>
          <tpl fld="4" item="4"/>
        </tpls>
      </m>
      <m>
        <tpls c="3">
          <tpl fld="7" item="901"/>
          <tpl fld="6" item="3"/>
          <tpl hier="236" item="1"/>
        </tpls>
      </m>
      <n v="2.2799999999999998" in="2">
        <tpls c="4">
          <tpl fld="7" item="515"/>
          <tpl fld="6" item="2"/>
          <tpl hier="236" item="1"/>
          <tpl fld="1" item="0"/>
        </tpls>
      </n>
      <m>
        <tpls c="4">
          <tpl fld="7" item="1265"/>
          <tpl fld="6" item="1"/>
          <tpl hier="236" item="1"/>
          <tpl fld="4" item="6"/>
        </tpls>
      </m>
      <m>
        <tpls c="4">
          <tpl fld="7" item="431"/>
          <tpl fld="6" item="2"/>
          <tpl hier="236" item="1"/>
          <tpl fld="4" item="6"/>
        </tpls>
      </m>
      <m>
        <tpls c="4">
          <tpl fld="7" item="900"/>
          <tpl fld="6" item="1"/>
          <tpl hier="236" item="1"/>
          <tpl fld="4" item="1"/>
        </tpls>
      </m>
      <n v="3" in="1">
        <tpls c="4">
          <tpl fld="7" item="1118"/>
          <tpl fld="6" item="1"/>
          <tpl hier="236" item="1"/>
          <tpl fld="4" item="6"/>
        </tpls>
      </n>
      <m>
        <tpls c="4">
          <tpl fld="7" item="674"/>
          <tpl fld="6" item="2"/>
          <tpl hier="236" item="1"/>
          <tpl fld="4" item="5"/>
        </tpls>
      </m>
      <m>
        <tpls c="4">
          <tpl fld="7" item="1017"/>
          <tpl fld="6" item="2"/>
          <tpl hier="236" item="1"/>
          <tpl fld="4" item="6"/>
        </tpls>
      </m>
      <m>
        <tpls c="4">
          <tpl fld="7" item="30"/>
          <tpl fld="6" item="2"/>
          <tpl hier="236" item="1"/>
          <tpl fld="4" item="6"/>
        </tpls>
      </m>
      <n v="3" in="1">
        <tpls c="4">
          <tpl fld="7" item="107"/>
          <tpl fld="6" item="1"/>
          <tpl hier="236" item="1"/>
          <tpl fld="4" item="5"/>
        </tpls>
      </n>
      <n v="1" in="1">
        <tpls c="4">
          <tpl fld="7" item="970"/>
          <tpl fld="6" item="1"/>
          <tpl hier="236" item="1"/>
          <tpl fld="4" item="1"/>
        </tpls>
      </n>
      <m>
        <tpls c="4">
          <tpl fld="7" item="1194"/>
          <tpl fld="6" item="1"/>
          <tpl hier="236" item="1"/>
          <tpl fld="4" item="1"/>
        </tpls>
      </m>
      <m>
        <tpls c="4">
          <tpl fld="7" item="323"/>
          <tpl fld="6" item="1"/>
          <tpl hier="236" item="1"/>
          <tpl fld="4" item="1"/>
        </tpls>
      </m>
      <m>
        <tpls c="4">
          <tpl fld="7" item="257"/>
          <tpl fld="6" item="1"/>
          <tpl hier="236" item="1"/>
          <tpl fld="4" item="1"/>
        </tpls>
      </m>
      <m>
        <tpls c="3">
          <tpl fld="7" item="805"/>
          <tpl fld="6" item="3"/>
          <tpl hier="236" item="1"/>
        </tpls>
      </m>
      <n v="5" in="1">
        <tpls c="4">
          <tpl fld="7" item="667"/>
          <tpl fld="6" item="1"/>
          <tpl hier="236" item="1"/>
          <tpl fld="4" item="1"/>
        </tpls>
      </n>
      <m>
        <tpls c="4">
          <tpl fld="7" item="1228"/>
          <tpl fld="6" item="1"/>
          <tpl hier="236" item="1"/>
          <tpl fld="4" item="4"/>
        </tpls>
      </m>
      <m>
        <tpls c="4">
          <tpl fld="7" item="254"/>
          <tpl fld="6" item="2"/>
          <tpl hier="236" item="1"/>
          <tpl fld="1" item="0"/>
        </tpls>
      </m>
      <m>
        <tpls c="4">
          <tpl fld="7" item="441"/>
          <tpl fld="6" item="2"/>
          <tpl hier="236" item="1"/>
          <tpl fld="4" item="5"/>
        </tpls>
      </m>
      <m>
        <tpls c="4">
          <tpl fld="7" item="63"/>
          <tpl fld="6" item="2"/>
          <tpl hier="236" item="1"/>
          <tpl fld="4" item="5"/>
        </tpls>
      </m>
      <m>
        <tpls c="4">
          <tpl fld="7" item="864"/>
          <tpl fld="6" item="2"/>
          <tpl hier="236" item="1"/>
          <tpl fld="4" item="6"/>
        </tpls>
      </m>
      <n v="1" in="2">
        <tpls c="4">
          <tpl fld="7" item="498"/>
          <tpl fld="6" item="2"/>
          <tpl hier="236" item="1"/>
          <tpl fld="4" item="6"/>
        </tpls>
      </n>
      <m>
        <tpls c="4">
          <tpl fld="7" item="333"/>
          <tpl fld="6" item="2"/>
          <tpl hier="236" item="1"/>
          <tpl fld="4" item="6"/>
        </tpls>
      </m>
      <m>
        <tpls c="4">
          <tpl fld="7" item="895"/>
          <tpl fld="6" item="1"/>
          <tpl hier="236" item="1"/>
          <tpl fld="4" item="5"/>
        </tpls>
      </m>
      <m>
        <tpls c="4">
          <tpl fld="7" item="415"/>
          <tpl fld="6" item="1"/>
          <tpl hier="236" item="1"/>
          <tpl fld="4" item="5"/>
        </tpls>
      </m>
      <m>
        <tpls c="4">
          <tpl fld="7" item="1207"/>
          <tpl fld="6" item="1"/>
          <tpl hier="236" item="1"/>
          <tpl fld="4" item="1"/>
        </tpls>
      </m>
      <n v="0" in="1">
        <tpls c="4">
          <tpl fld="7" item="849"/>
          <tpl fld="6" item="1"/>
          <tpl hier="236" item="1"/>
          <tpl fld="4" item="1"/>
        </tpls>
      </n>
      <n v="1" in="1">
        <tpls c="4">
          <tpl fld="7" item="349"/>
          <tpl fld="6" item="1"/>
          <tpl hier="236" item="1"/>
          <tpl fld="4" item="1"/>
        </tpls>
      </n>
      <m>
        <tpls c="4">
          <tpl fld="7" item="334"/>
          <tpl fld="6" item="1"/>
          <tpl hier="236" item="1"/>
          <tpl fld="4" item="1"/>
        </tpls>
      </m>
      <n v="1" in="1">
        <tpls c="4">
          <tpl fld="7" item="1111"/>
          <tpl fld="6" item="1"/>
          <tpl hier="236" item="1"/>
          <tpl fld="1" item="0"/>
        </tpls>
      </n>
      <n v="0" in="1">
        <tpls c="4">
          <tpl fld="7" item="1083"/>
          <tpl fld="6" item="1"/>
          <tpl hier="236" item="1"/>
          <tpl fld="1" item="0"/>
        </tpls>
      </n>
      <m>
        <tpls c="4">
          <tpl fld="7" item="979"/>
          <tpl fld="6" item="1"/>
          <tpl hier="236" item="1"/>
          <tpl fld="1" item="0"/>
        </tpls>
      </m>
      <n v="27" in="1">
        <tpls c="4">
          <tpl fld="7" item="1055"/>
          <tpl fld="6" item="1"/>
          <tpl hier="236" item="1"/>
          <tpl fld="4" item="4"/>
        </tpls>
      </n>
      <m>
        <tpls c="4">
          <tpl fld="7" item="1022"/>
          <tpl fld="6" item="2"/>
          <tpl hier="236" item="1"/>
          <tpl fld="4" item="6"/>
        </tpls>
      </m>
      <m>
        <tpls c="4">
          <tpl fld="7" item="183"/>
          <tpl fld="6" item="1"/>
          <tpl hier="236" item="1"/>
          <tpl fld="4" item="5"/>
        </tpls>
      </m>
      <m>
        <tpls c="4">
          <tpl fld="7" item="142"/>
          <tpl fld="6" item="1"/>
          <tpl hier="236" item="1"/>
          <tpl fld="4" item="1"/>
        </tpls>
      </m>
      <m>
        <tpls c="4">
          <tpl fld="7" item="209"/>
          <tpl fld="6" item="1"/>
          <tpl hier="236" item="1"/>
          <tpl fld="1" item="0"/>
        </tpls>
      </m>
      <m>
        <tpls c="4">
          <tpl fld="7" item="592"/>
          <tpl fld="6" item="1"/>
          <tpl hier="236" item="1"/>
          <tpl fld="4" item="6"/>
        </tpls>
      </m>
      <m>
        <tpls c="3">
          <tpl fld="7" item="118"/>
          <tpl fld="6" item="3"/>
          <tpl hier="236" item="1"/>
        </tpls>
      </m>
      <m>
        <tpls c="4">
          <tpl fld="7" item="666"/>
          <tpl fld="6" item="2"/>
          <tpl hier="236" item="1"/>
          <tpl fld="4" item="4"/>
        </tpls>
      </m>
      <n v="2" in="1">
        <tpls c="4">
          <tpl fld="7" item="859"/>
          <tpl fld="6" item="1"/>
          <tpl hier="236" item="1"/>
          <tpl fld="4" item="5"/>
        </tpls>
      </n>
      <m>
        <tpls c="4">
          <tpl fld="7" item="139"/>
          <tpl fld="6" item="1"/>
          <tpl hier="236" item="1"/>
          <tpl fld="1" item="0"/>
        </tpls>
      </m>
      <m>
        <tpls c="4">
          <tpl fld="7" item="397"/>
          <tpl fld="6" item="2"/>
          <tpl hier="236" item="1"/>
          <tpl fld="4" item="4"/>
        </tpls>
      </m>
      <m>
        <tpls c="4">
          <tpl fld="7" item="15"/>
          <tpl fld="6" item="2"/>
          <tpl hier="236" item="1"/>
          <tpl fld="1" item="0"/>
        </tpls>
      </m>
      <m>
        <tpls c="4">
          <tpl fld="7" item="492"/>
          <tpl fld="6" item="2"/>
          <tpl hier="236" item="1"/>
          <tpl fld="4" item="6"/>
        </tpls>
      </m>
      <n v="1" in="1">
        <tpls c="4">
          <tpl fld="7" item="1162"/>
          <tpl fld="6" item="1"/>
          <tpl hier="236" item="1"/>
          <tpl fld="4" item="1"/>
        </tpls>
      </n>
      <n v="1" in="1">
        <tpls c="4">
          <tpl fld="7" item="920"/>
          <tpl fld="6" item="1"/>
          <tpl hier="236" item="1"/>
          <tpl fld="1" item="0"/>
        </tpls>
      </n>
      <m>
        <tpls c="4">
          <tpl fld="7" item="78"/>
          <tpl fld="6" item="1"/>
          <tpl hier="236" item="1"/>
          <tpl fld="1" item="0"/>
        </tpls>
      </m>
      <m>
        <tpls c="4">
          <tpl fld="7" item="230"/>
          <tpl fld="6" item="1"/>
          <tpl hier="236" item="1"/>
          <tpl fld="4" item="6"/>
        </tpls>
      </m>
      <n v="0.52" in="2">
        <tpls c="4">
          <tpl fld="7" item="971"/>
          <tpl fld="6" item="2"/>
          <tpl hier="236" item="1"/>
          <tpl fld="4" item="4"/>
        </tpls>
      </n>
      <m>
        <tpls c="4">
          <tpl fld="7" item="26"/>
          <tpl fld="6" item="2"/>
          <tpl hier="236" item="1"/>
          <tpl fld="4" item="4"/>
        </tpls>
      </m>
      <m>
        <tpls c="4">
          <tpl fld="7" item="143"/>
          <tpl fld="6" item="1"/>
          <tpl hier="236" item="1"/>
          <tpl fld="4" item="1"/>
        </tpls>
      </m>
      <m>
        <tpls c="3">
          <tpl fld="7" item="7"/>
          <tpl fld="6" item="3"/>
          <tpl hier="236" item="1"/>
        </tpls>
      </m>
      <n v="3" in="1">
        <tpls c="4">
          <tpl fld="7" item="1003"/>
          <tpl fld="6" item="1"/>
          <tpl hier="236" item="1"/>
          <tpl fld="4" item="4"/>
        </tpls>
      </n>
      <m>
        <tpls c="4">
          <tpl fld="7" item="273"/>
          <tpl fld="6" item="2"/>
          <tpl hier="236" item="1"/>
          <tpl fld="4" item="5"/>
        </tpls>
      </m>
      <m>
        <tpls c="4">
          <tpl fld="7" item="448"/>
          <tpl fld="6" item="1"/>
          <tpl hier="236" item="1"/>
          <tpl fld="4" item="5"/>
        </tpls>
      </m>
      <m>
        <tpls c="4">
          <tpl fld="7" item="103"/>
          <tpl fld="6" item="1"/>
          <tpl hier="236" item="1"/>
          <tpl fld="4" item="1"/>
        </tpls>
      </m>
      <n v="7" in="1">
        <tpls c="4">
          <tpl fld="7" item="506"/>
          <tpl fld="6" item="1"/>
          <tpl hier="236" item="1"/>
          <tpl fld="1" item="0"/>
        </tpls>
      </n>
      <m>
        <tpls c="4">
          <tpl fld="7" item="127"/>
          <tpl fld="6" item="1"/>
          <tpl hier="236" item="1"/>
          <tpl fld="1" item="0"/>
        </tpls>
      </m>
      <m>
        <tpls c="3">
          <tpl fld="7" item="402"/>
          <tpl fld="6" item="3"/>
          <tpl hier="236" item="1"/>
        </tpls>
      </m>
      <m>
        <tpls c="4">
          <tpl fld="7" item="1287"/>
          <tpl fld="6" item="2"/>
          <tpl hier="236" item="1"/>
          <tpl fld="4" item="4"/>
        </tpls>
      </m>
      <n v="3" in="1">
        <tpls c="4">
          <tpl fld="7" item="800"/>
          <tpl fld="6" item="1"/>
          <tpl hier="236" item="1"/>
          <tpl fld="1" item="0"/>
        </tpls>
      </n>
      <m>
        <tpls c="4">
          <tpl fld="7" item="378"/>
          <tpl fld="6" item="2"/>
          <tpl hier="236" item="1"/>
          <tpl fld="4" item="5"/>
        </tpls>
      </m>
      <n v="1" in="1">
        <tpls c="4">
          <tpl fld="7" item="749"/>
          <tpl fld="6" item="1"/>
          <tpl hier="236" item="1"/>
          <tpl fld="4" item="1"/>
        </tpls>
      </n>
      <m>
        <tpls c="3">
          <tpl fld="7" item="989"/>
          <tpl fld="6" item="3"/>
          <tpl hier="236" item="1"/>
        </tpls>
      </m>
      <m>
        <tpls c="4">
          <tpl fld="7" item="1090"/>
          <tpl fld="6" item="1"/>
          <tpl hier="236" item="1"/>
          <tpl fld="1" item="0"/>
        </tpls>
      </m>
      <m>
        <tpls c="4">
          <tpl fld="7" item="652"/>
          <tpl fld="6" item="2"/>
          <tpl hier="236" item="1"/>
          <tpl fld="4" item="4"/>
        </tpls>
      </m>
      <m>
        <tpls c="4">
          <tpl fld="7" item="834"/>
          <tpl fld="6" item="2"/>
          <tpl hier="236" item="1"/>
          <tpl fld="1" item="0"/>
        </tpls>
      </m>
      <n v="22" in="1">
        <tpls c="4">
          <tpl fld="7" item="1264"/>
          <tpl fld="6" item="1"/>
          <tpl hier="236" item="1"/>
          <tpl fld="4" item="4"/>
        </tpls>
      </n>
      <m>
        <tpls c="4">
          <tpl fld="7" item="325"/>
          <tpl fld="6" item="2"/>
          <tpl hier="236" item="1"/>
          <tpl fld="1" item="0"/>
        </tpls>
      </m>
      <m>
        <tpls c="4">
          <tpl fld="7" item="1018"/>
          <tpl fld="6" item="2"/>
          <tpl hier="236" item="1"/>
          <tpl fld="4" item="6"/>
        </tpls>
      </m>
      <m>
        <tpls c="4">
          <tpl fld="7" item="29"/>
          <tpl fld="6" item="1"/>
          <tpl hier="236" item="1"/>
          <tpl fld="4" item="1"/>
        </tpls>
      </m>
      <m>
        <tpls c="4">
          <tpl fld="7" item="502"/>
          <tpl fld="6" item="2"/>
          <tpl hier="236" item="1"/>
          <tpl fld="4" item="5"/>
        </tpls>
      </m>
      <m>
        <tpls c="4">
          <tpl fld="7" item="370"/>
          <tpl fld="6" item="2"/>
          <tpl hier="236" item="1"/>
          <tpl fld="4" item="6"/>
        </tpls>
      </m>
      <n v="1" in="1">
        <tpls c="4">
          <tpl fld="7" item="498"/>
          <tpl fld="6" item="1"/>
          <tpl hier="236" item="1"/>
          <tpl fld="4" item="5"/>
        </tpls>
      </n>
      <n v="1" in="1">
        <tpls c="4">
          <tpl fld="7" item="1122"/>
          <tpl fld="6" item="1"/>
          <tpl hier="236" item="1"/>
          <tpl fld="4" item="1"/>
        </tpls>
      </n>
      <m>
        <tpls c="4">
          <tpl fld="7" item="43"/>
          <tpl fld="6" item="1"/>
          <tpl hier="236" item="1"/>
          <tpl fld="4" item="1"/>
        </tpls>
      </m>
      <m>
        <tpls c="4">
          <tpl fld="7" item="826"/>
          <tpl fld="6" item="1"/>
          <tpl hier="236" item="1"/>
          <tpl fld="4" item="1"/>
        </tpls>
      </m>
      <m>
        <tpls c="4">
          <tpl fld="7" item="408"/>
          <tpl fld="6" item="2"/>
          <tpl hier="236" item="1"/>
          <tpl fld="1" item="0"/>
        </tpls>
      </m>
      <m>
        <tpls c="4">
          <tpl fld="7" item="45"/>
          <tpl fld="6" item="2"/>
          <tpl hier="236" item="1"/>
          <tpl fld="4" item="5"/>
        </tpls>
      </m>
      <m>
        <tpls c="4">
          <tpl fld="7" item="503"/>
          <tpl fld="6" item="2"/>
          <tpl hier="236" item="1"/>
          <tpl fld="4" item="6"/>
        </tpls>
      </m>
      <m>
        <tpls c="4">
          <tpl fld="7" item="1263"/>
          <tpl fld="6" item="1"/>
          <tpl hier="236" item="1"/>
          <tpl fld="4" item="5"/>
        </tpls>
      </m>
      <m>
        <tpls c="4">
          <tpl fld="7" item="1112"/>
          <tpl fld="6" item="2"/>
          <tpl hier="236" item="1"/>
          <tpl fld="4" item="6"/>
        </tpls>
      </m>
      <n v="0.6" in="2">
        <tpls c="4">
          <tpl fld="7" item="1032"/>
          <tpl fld="6" item="2"/>
          <tpl hier="236" item="1"/>
          <tpl fld="4" item="4"/>
        </tpls>
      </n>
      <m>
        <tpls c="4">
          <tpl fld="7" item="844"/>
          <tpl fld="6" item="1"/>
          <tpl hier="236" item="1"/>
          <tpl fld="4" item="5"/>
        </tpls>
      </m>
      <m>
        <tpls c="4">
          <tpl fld="7" item="126"/>
          <tpl fld="6" item="1"/>
          <tpl hier="236" item="1"/>
          <tpl fld="4" item="6"/>
        </tpls>
      </m>
      <m>
        <tpls c="4">
          <tpl fld="7" item="848"/>
          <tpl fld="6" item="2"/>
          <tpl hier="236" item="1"/>
          <tpl fld="4" item="5"/>
        </tpls>
      </m>
      <n v="3" in="1">
        <tpls c="4">
          <tpl fld="7" item="574"/>
          <tpl fld="6" item="1"/>
          <tpl hier="236" item="1"/>
          <tpl fld="4" item="4"/>
        </tpls>
      </n>
      <m>
        <tpls c="3">
          <tpl fld="7" item="540"/>
          <tpl fld="6" item="3"/>
          <tpl hier="236" item="1"/>
        </tpls>
      </m>
      <m>
        <tpls c="4">
          <tpl fld="7" item="578"/>
          <tpl fld="6" item="2"/>
          <tpl hier="236" item="1"/>
          <tpl fld="4" item="5"/>
        </tpls>
      </m>
      <n v="5" in="1">
        <tpls c="4">
          <tpl fld="7" item="811"/>
          <tpl fld="6" item="1"/>
          <tpl hier="236" item="1"/>
          <tpl fld="4" item="4"/>
        </tpls>
      </n>
      <m>
        <tpls c="4">
          <tpl fld="7" item="876"/>
          <tpl fld="6" item="2"/>
          <tpl hier="236" item="1"/>
          <tpl fld="4" item="6"/>
        </tpls>
      </m>
      <n v="25" in="1">
        <tpls c="4">
          <tpl fld="7" item="675"/>
          <tpl fld="6" item="1"/>
          <tpl hier="236" item="1"/>
          <tpl fld="4" item="1"/>
        </tpls>
      </n>
      <n v="1" in="1">
        <tpls c="4">
          <tpl fld="7" item="1283"/>
          <tpl fld="6" item="1"/>
          <tpl hier="236" item="1"/>
          <tpl fld="4" item="4"/>
        </tpls>
      </n>
      <m>
        <tpls c="4">
          <tpl fld="7" item="851"/>
          <tpl fld="6" item="2"/>
          <tpl hier="236" item="1"/>
          <tpl fld="4" item="6"/>
        </tpls>
      </m>
      <m>
        <tpls c="4">
          <tpl fld="7" item="410"/>
          <tpl fld="6" item="1"/>
          <tpl hier="236" item="1"/>
          <tpl fld="4" item="5"/>
        </tpls>
      </m>
      <m>
        <tpls c="4">
          <tpl fld="7" item="471"/>
          <tpl fld="6" item="1"/>
          <tpl hier="236" item="1"/>
          <tpl fld="4" item="1"/>
        </tpls>
      </m>
      <m>
        <tpls c="4">
          <tpl fld="7" item="1126"/>
          <tpl fld="6" item="2"/>
          <tpl hier="236" item="1"/>
          <tpl fld="4" item="5"/>
        </tpls>
      </m>
      <m>
        <tpls c="4">
          <tpl fld="7" item="403"/>
          <tpl fld="6" item="1"/>
          <tpl hier="236" item="1"/>
          <tpl fld="1" item="0"/>
        </tpls>
      </m>
      <n v="5" in="1">
        <tpls c="4">
          <tpl fld="7" item="1272"/>
          <tpl fld="6" item="1"/>
          <tpl hier="236" item="1"/>
          <tpl fld="1" item="0"/>
        </tpls>
      </n>
      <n v="1" in="1">
        <tpls c="4">
          <tpl fld="7" item="429"/>
          <tpl fld="6" item="1"/>
          <tpl hier="236" item="1"/>
          <tpl fld="4" item="5"/>
        </tpls>
      </n>
      <m>
        <tpls c="3">
          <tpl fld="7" item="275"/>
          <tpl fld="6" item="3"/>
          <tpl hier="236" item="1"/>
        </tpls>
      </m>
      <n v="8" in="1">
        <tpls c="4">
          <tpl fld="7" item="1238"/>
          <tpl fld="6" item="1"/>
          <tpl hier="236" item="1"/>
          <tpl fld="1" item="0"/>
        </tpls>
      </n>
      <n v="1" in="1">
        <tpls c="4">
          <tpl fld="7" item="378"/>
          <tpl fld="6" item="1"/>
          <tpl hier="236" item="1"/>
          <tpl fld="4" item="1"/>
        </tpls>
      </n>
      <m>
        <tpls c="4">
          <tpl fld="7" item="328"/>
          <tpl fld="6" item="1"/>
          <tpl hier="236" item="1"/>
          <tpl fld="4" item="6"/>
        </tpls>
      </m>
      <m>
        <tpls c="4">
          <tpl fld="7" item="1241"/>
          <tpl fld="6" item="2"/>
          <tpl hier="236" item="1"/>
          <tpl fld="4" item="1"/>
        </tpls>
      </m>
      <m>
        <tpls c="3">
          <tpl fld="7" item="129"/>
          <tpl fld="6" item="3"/>
          <tpl hier="236" item="1"/>
        </tpls>
      </m>
      <n v="10" in="1">
        <tpls c="4">
          <tpl fld="7" item="848"/>
          <tpl fld="6" item="1"/>
          <tpl hier="236" item="1"/>
          <tpl fld="4" item="6"/>
        </tpls>
      </n>
      <m>
        <tpls c="4">
          <tpl fld="7" item="1109"/>
          <tpl fld="6" item="2"/>
          <tpl hier="236" item="1"/>
          <tpl fld="4" item="1"/>
        </tpls>
      </m>
      <m>
        <tpls c="4">
          <tpl fld="7" item="639"/>
          <tpl fld="6" item="1"/>
          <tpl hier="236" item="1"/>
          <tpl fld="4" item="5"/>
        </tpls>
      </m>
      <m>
        <tpls c="4">
          <tpl fld="7" item="869"/>
          <tpl fld="6" item="2"/>
          <tpl hier="236" item="1"/>
          <tpl fld="4" item="1"/>
        </tpls>
      </m>
      <m>
        <tpls c="4">
          <tpl fld="7" item="1012"/>
          <tpl fld="6" item="2"/>
          <tpl hier="236" item="1"/>
          <tpl fld="4" item="4"/>
        </tpls>
      </m>
      <m>
        <tpls c="4">
          <tpl fld="7" item="362"/>
          <tpl fld="6" item="1"/>
          <tpl hier="236" item="1"/>
          <tpl fld="4" item="5"/>
        </tpls>
      </m>
      <n v="0.2" in="2">
        <tpls c="4">
          <tpl fld="7" item="909"/>
          <tpl fld="6" item="2"/>
          <tpl hier="236" item="1"/>
          <tpl fld="4" item="4"/>
        </tpls>
      </n>
      <m>
        <tpls c="4">
          <tpl fld="7" item="9"/>
          <tpl fld="6" item="2"/>
          <tpl hier="236" item="1"/>
          <tpl fld="4" item="5"/>
        </tpls>
      </m>
      <m>
        <tpls c="4">
          <tpl fld="7" item="32"/>
          <tpl fld="6" item="2"/>
          <tpl hier="236" item="1"/>
          <tpl fld="4" item="6"/>
        </tpls>
      </m>
      <m>
        <tpls c="4">
          <tpl fld="7" item="139"/>
          <tpl fld="6" item="1"/>
          <tpl hier="236" item="1"/>
          <tpl fld="4" item="5"/>
        </tpls>
      </m>
      <m>
        <tpls c="4">
          <tpl fld="7" item="1237"/>
          <tpl fld="6" item="1"/>
          <tpl hier="236" item="1"/>
          <tpl fld="4" item="1"/>
        </tpls>
      </m>
      <m>
        <tpls c="4">
          <tpl fld="7" item="576"/>
          <tpl fld="6" item="2"/>
          <tpl hier="236" item="1"/>
          <tpl fld="4" item="1"/>
        </tpls>
      </m>
      <m>
        <tpls c="4">
          <tpl fld="7" item="1248"/>
          <tpl fld="6" item="2"/>
          <tpl hier="236" item="1"/>
          <tpl fld="4" item="4"/>
        </tpls>
      </m>
      <m>
        <tpls c="4">
          <tpl fld="7" item="831"/>
          <tpl fld="6" item="2"/>
          <tpl hier="236" item="1"/>
          <tpl fld="4" item="5"/>
        </tpls>
      </m>
      <m>
        <tpls c="4">
          <tpl fld="7" item="16"/>
          <tpl fld="6" item="2"/>
          <tpl hier="236" item="1"/>
          <tpl fld="4" item="5"/>
        </tpls>
      </m>
      <m>
        <tpls c="4">
          <tpl fld="7" item="341"/>
          <tpl fld="6" item="2"/>
          <tpl hier="236" item="1"/>
          <tpl fld="4" item="6"/>
        </tpls>
      </m>
      <m>
        <tpls c="4">
          <tpl fld="7" item="312"/>
          <tpl fld="6" item="1"/>
          <tpl hier="236" item="1"/>
          <tpl fld="4" item="5"/>
        </tpls>
      </m>
      <m>
        <tpls c="4">
          <tpl fld="7" item="866"/>
          <tpl fld="6" item="1"/>
          <tpl hier="236" item="1"/>
          <tpl fld="4" item="1"/>
        </tpls>
      </m>
      <m>
        <tpls c="4">
          <tpl fld="7" item="167"/>
          <tpl fld="6" item="1"/>
          <tpl hier="236" item="1"/>
          <tpl fld="4" item="1"/>
        </tpls>
      </m>
      <n v="68" in="1">
        <tpls c="4">
          <tpl fld="7" item="595"/>
          <tpl fld="6" item="1"/>
          <tpl hier="236" item="1"/>
          <tpl fld="1" item="0"/>
        </tpls>
      </n>
      <m>
        <tpls c="4">
          <tpl fld="7" item="1264"/>
          <tpl fld="6" item="2"/>
          <tpl hier="236" item="1"/>
          <tpl fld="4" item="1"/>
        </tpls>
      </m>
      <n v="2" in="1">
        <tpls c="4">
          <tpl fld="7" item="830"/>
          <tpl fld="6" item="1"/>
          <tpl hier="236" item="1"/>
          <tpl fld="4" item="5"/>
        </tpls>
      </n>
      <n v="2" in="1">
        <tpls c="4">
          <tpl fld="7" item="368"/>
          <tpl fld="6" item="1"/>
          <tpl hier="236" item="1"/>
          <tpl fld="1" item="0"/>
        </tpls>
      </n>
      <m>
        <tpls c="3">
          <tpl fld="7" item="58"/>
          <tpl fld="6" item="3"/>
          <tpl hier="236" item="1"/>
        </tpls>
      </m>
      <m>
        <tpls c="4">
          <tpl fld="7" item="226"/>
          <tpl fld="6" item="2"/>
          <tpl hier="236" item="1"/>
          <tpl fld="4" item="4"/>
        </tpls>
      </m>
      <m>
        <tpls c="4">
          <tpl fld="7" item="1147"/>
          <tpl fld="6" item="2"/>
          <tpl hier="236" item="1"/>
          <tpl fld="4" item="4"/>
        </tpls>
      </m>
      <m>
        <tpls c="4">
          <tpl fld="7" item="1124"/>
          <tpl fld="6" item="2"/>
          <tpl hier="236" item="1"/>
          <tpl fld="4" item="6"/>
        </tpls>
      </m>
      <m>
        <tpls c="4">
          <tpl fld="7" item="141"/>
          <tpl fld="6" item="1"/>
          <tpl hier="236" item="1"/>
          <tpl fld="4" item="1"/>
        </tpls>
      </m>
      <n v="0" in="1">
        <tpls c="4">
          <tpl fld="7" item="171"/>
          <tpl fld="6" item="1"/>
          <tpl hier="236" item="1"/>
          <tpl fld="4" item="6"/>
        </tpls>
      </n>
      <n v="1" in="2">
        <tpls c="4">
          <tpl fld="7" item="665"/>
          <tpl fld="6" item="2"/>
          <tpl hier="236" item="1"/>
          <tpl fld="4" item="4"/>
        </tpls>
      </n>
      <m>
        <tpls c="4">
          <tpl fld="7" item="123"/>
          <tpl fld="6" item="1"/>
          <tpl hier="236" item="1"/>
          <tpl fld="4" item="6"/>
        </tpls>
      </m>
      <m>
        <tpls c="4">
          <tpl fld="7" item="434"/>
          <tpl fld="6" item="2"/>
          <tpl hier="236" item="1"/>
          <tpl fld="4" item="5"/>
        </tpls>
      </m>
      <m>
        <tpls c="4">
          <tpl fld="7" item="189"/>
          <tpl fld="6" item="1"/>
          <tpl hier="236" item="1"/>
          <tpl fld="4" item="5"/>
        </tpls>
      </m>
      <n v="5" in="1">
        <tpls c="4">
          <tpl fld="7" item="1221"/>
          <tpl fld="6" item="1"/>
          <tpl hier="236" item="1"/>
          <tpl fld="1" item="0"/>
        </tpls>
      </n>
      <m>
        <tpls c="4">
          <tpl fld="7" item="243"/>
          <tpl fld="6" item="1"/>
          <tpl hier="236" item="1"/>
          <tpl fld="1" item="0"/>
        </tpls>
      </m>
      <m>
        <tpls c="3">
          <tpl fld="7" item="121"/>
          <tpl fld="6" item="3"/>
          <tpl hier="236" item="1"/>
        </tpls>
      </m>
      <m>
        <tpls c="4">
          <tpl fld="7" item="330"/>
          <tpl fld="6" item="2"/>
          <tpl hier="236" item="1"/>
          <tpl fld="4" item="4"/>
        </tpls>
      </m>
      <m>
        <tpls c="4">
          <tpl fld="7" item="921"/>
          <tpl fld="6" item="2"/>
          <tpl hier="236" item="1"/>
          <tpl fld="4" item="5"/>
        </tpls>
      </m>
      <n v="9" in="1">
        <tpls c="4">
          <tpl fld="7" item="1029"/>
          <tpl fld="6" item="1"/>
          <tpl hier="236" item="1"/>
          <tpl fld="1" item="0"/>
        </tpls>
      </n>
      <m>
        <tpls c="4">
          <tpl fld="7" item="126"/>
          <tpl fld="6" item="2"/>
          <tpl hier="236" item="1"/>
          <tpl fld="4" item="4"/>
        </tpls>
      </m>
      <m>
        <tpls c="3">
          <tpl fld="7" item="640"/>
          <tpl fld="6" item="3"/>
          <tpl hier="236" item="1"/>
        </tpls>
      </m>
      <n v="5" in="1">
        <tpls c="4">
          <tpl fld="7" item="946"/>
          <tpl fld="6" item="1"/>
          <tpl hier="236" item="1"/>
          <tpl fld="4" item="4"/>
        </tpls>
      </n>
      <m>
        <tpls c="4">
          <tpl fld="7" item="818"/>
          <tpl fld="6" item="1"/>
          <tpl hier="236" item="1"/>
          <tpl fld="4" item="6"/>
        </tpls>
      </m>
      <m>
        <tpls c="4">
          <tpl fld="7" item="495"/>
          <tpl fld="6" item="2"/>
          <tpl hier="236" item="1"/>
          <tpl fld="1" item="0"/>
        </tpls>
      </m>
      <m>
        <tpls c="4">
          <tpl fld="7" item="310"/>
          <tpl fld="6" item="2"/>
          <tpl hier="236" item="1"/>
          <tpl fld="4" item="5"/>
        </tpls>
      </m>
      <m>
        <tpls c="4">
          <tpl fld="7" item="7"/>
          <tpl fld="6" item="1"/>
          <tpl hier="236" item="1"/>
          <tpl fld="4" item="1"/>
        </tpls>
      </m>
      <n v="1" in="2">
        <tpls c="4">
          <tpl fld="7" item="1219"/>
          <tpl fld="6" item="2"/>
          <tpl hier="236" item="1"/>
          <tpl fld="4" item="6"/>
        </tpls>
      </n>
      <n v="3" in="1">
        <tpls c="4">
          <tpl fld="7" item="322"/>
          <tpl fld="6" item="1"/>
          <tpl hier="236" item="1"/>
          <tpl fld="4" item="1"/>
        </tpls>
      </n>
      <m>
        <tpls c="4">
          <tpl fld="7" item="369"/>
          <tpl fld="6" item="2"/>
          <tpl hier="236" item="1"/>
          <tpl fld="4" item="5"/>
        </tpls>
      </m>
      <n v="3" in="1">
        <tpls c="4">
          <tpl fld="7" item="675"/>
          <tpl fld="6" item="1"/>
          <tpl hier="236" item="1"/>
          <tpl fld="4" item="5"/>
        </tpls>
      </n>
      <m>
        <tpls c="4">
          <tpl fld="7" item="173"/>
          <tpl fld="6" item="1"/>
          <tpl hier="236" item="1"/>
          <tpl fld="4" item="1"/>
        </tpls>
      </m>
      <m>
        <tpls c="4">
          <tpl fld="7" item="1019"/>
          <tpl fld="6" item="2"/>
          <tpl hier="236" item="1"/>
          <tpl fld="4" item="6"/>
        </tpls>
      </m>
      <m>
        <tpls c="4">
          <tpl fld="7" item="1059"/>
          <tpl fld="6" item="2"/>
          <tpl hier="236" item="1"/>
          <tpl fld="4" item="4"/>
        </tpls>
      </m>
      <m>
        <tpls c="4">
          <tpl fld="7" item="445"/>
          <tpl fld="6" item="1"/>
          <tpl hier="236" item="1"/>
          <tpl fld="4" item="5"/>
        </tpls>
      </m>
      <m>
        <tpls c="4">
          <tpl fld="7" item="938"/>
          <tpl fld="6" item="2"/>
          <tpl hier="236" item="1"/>
          <tpl fld="4" item="4"/>
        </tpls>
      </m>
      <m>
        <tpls c="4">
          <tpl fld="7" item="473"/>
          <tpl fld="6" item="2"/>
          <tpl hier="236" item="1"/>
          <tpl fld="4" item="6"/>
        </tpls>
      </m>
      <m>
        <tpls c="4">
          <tpl fld="7" item="231"/>
          <tpl fld="6" item="1"/>
          <tpl hier="236" item="1"/>
          <tpl fld="4" item="6"/>
        </tpls>
      </m>
      <m>
        <tpls c="4">
          <tpl fld="7" item="433"/>
          <tpl fld="6" item="2"/>
          <tpl hier="236" item="1"/>
          <tpl fld="4" item="5"/>
        </tpls>
      </m>
      <n v="9" in="1">
        <tpls c="4">
          <tpl fld="7" item="455"/>
          <tpl fld="6" item="1"/>
          <tpl hier="236" item="1"/>
          <tpl fld="4" item="1"/>
        </tpls>
      </n>
      <m>
        <tpls c="4">
          <tpl fld="7" item="922"/>
          <tpl fld="6" item="1"/>
          <tpl hier="236" item="1"/>
          <tpl fld="4" item="6"/>
        </tpls>
      </m>
      <m>
        <tpls c="3">
          <tpl fld="7" item="746"/>
          <tpl fld="6" item="3"/>
          <tpl hier="236" item="1"/>
        </tpls>
      </m>
      <n v="1" in="1">
        <tpls c="4">
          <tpl fld="7" item="208"/>
          <tpl fld="6" item="1"/>
          <tpl hier="236" item="1"/>
          <tpl fld="4" item="6"/>
        </tpls>
      </n>
      <m>
        <tpls c="4">
          <tpl fld="7" item="1093"/>
          <tpl fld="6" item="2"/>
          <tpl hier="236" item="1"/>
          <tpl fld="4" item="1"/>
        </tpls>
      </m>
      <m>
        <tpls c="4">
          <tpl fld="7" item="207"/>
          <tpl fld="6" item="2"/>
          <tpl hier="236" item="1"/>
          <tpl fld="4" item="4"/>
        </tpls>
      </m>
      <m>
        <tpls c="4">
          <tpl fld="7" item="613"/>
          <tpl fld="6" item="2"/>
          <tpl hier="236" item="1"/>
          <tpl fld="4" item="6"/>
        </tpls>
      </m>
      <n v="9" in="1">
        <tpls c="4">
          <tpl fld="7" item="793"/>
          <tpl fld="6" item="1"/>
          <tpl hier="236" item="1"/>
          <tpl fld="4" item="4"/>
        </tpls>
      </n>
      <m>
        <tpls c="4">
          <tpl fld="7" item="663"/>
          <tpl fld="6" item="1"/>
          <tpl hier="236" item="1"/>
          <tpl fld="4" item="4"/>
        </tpls>
      </m>
      <n v="1" in="1">
        <tpls c="4">
          <tpl fld="7" item="650"/>
          <tpl fld="6" item="1"/>
          <tpl hier="236" item="1"/>
          <tpl fld="4" item="5"/>
        </tpls>
      </n>
      <m>
        <tpls c="4">
          <tpl fld="7" item="1247"/>
          <tpl fld="6" item="2"/>
          <tpl hier="236" item="1"/>
          <tpl fld="4" item="4"/>
        </tpls>
      </m>
      <m>
        <tpls c="4">
          <tpl fld="7" item="117"/>
          <tpl fld="6" item="2"/>
          <tpl hier="236" item="1"/>
          <tpl fld="1" item="0"/>
        </tpls>
      </m>
      <m>
        <tpls c="4">
          <tpl fld="7" item="1021"/>
          <tpl fld="6" item="2"/>
          <tpl hier="236" item="1"/>
          <tpl fld="4" item="5"/>
        </tpls>
      </m>
      <n v="1" in="1">
        <tpls c="4">
          <tpl fld="7" item="1115"/>
          <tpl fld="6" item="1"/>
          <tpl hier="236" item="1"/>
          <tpl fld="4" item="5"/>
        </tpls>
      </n>
      <m>
        <tpls c="4">
          <tpl fld="7" item="1083"/>
          <tpl fld="6" item="1"/>
          <tpl hier="236" item="1"/>
          <tpl fld="4" item="1"/>
        </tpls>
      </m>
      <m>
        <tpls c="4">
          <tpl fld="7" item="1102"/>
          <tpl fld="6" item="2"/>
          <tpl hier="236" item="1"/>
          <tpl fld="4" item="1"/>
        </tpls>
      </m>
      <m>
        <tpls c="4">
          <tpl fld="7" item="623"/>
          <tpl fld="6" item="1"/>
          <tpl hier="236" item="1"/>
          <tpl fld="4" item="4"/>
        </tpls>
      </m>
      <m>
        <tpls c="4">
          <tpl fld="7" item="828"/>
          <tpl fld="6" item="2"/>
          <tpl hier="236" item="1"/>
          <tpl fld="4" item="5"/>
        </tpls>
      </m>
      <n v="2" in="2">
        <tpls c="4">
          <tpl fld="7" item="805"/>
          <tpl fld="6" item="2"/>
          <tpl hier="236" item="1"/>
          <tpl fld="4" item="4"/>
        </tpls>
      </n>
      <m>
        <tpls c="3">
          <tpl fld="7" item="1105"/>
          <tpl fld="6" item="3"/>
          <tpl hier="236" item="1"/>
        </tpls>
      </m>
      <n v="1" in="1">
        <tpls c="4">
          <tpl fld="7" item="961"/>
          <tpl fld="6" item="1"/>
          <tpl hier="236" item="1"/>
          <tpl fld="4" item="4"/>
        </tpls>
      </n>
      <m>
        <tpls c="4">
          <tpl fld="7" item="990"/>
          <tpl fld="6" item="2"/>
          <tpl hier="236" item="1"/>
          <tpl fld="4" item="6"/>
        </tpls>
      </m>
      <m>
        <tpls c="3">
          <tpl fld="7" item="739"/>
          <tpl fld="6" item="3"/>
          <tpl hier="236" item="1"/>
        </tpls>
      </m>
      <m>
        <tpls c="3">
          <tpl fld="7" item="1127"/>
          <tpl fld="6" item="3"/>
          <tpl hier="236" item="1"/>
        </tpls>
      </m>
      <m>
        <tpls c="4">
          <tpl fld="7" item="182"/>
          <tpl fld="6" item="2"/>
          <tpl hier="236" item="1"/>
          <tpl fld="1" item="0"/>
        </tpls>
      </m>
      <m>
        <tpls c="4">
          <tpl fld="7" item="746"/>
          <tpl fld="6" item="1"/>
          <tpl hier="236" item="1"/>
          <tpl fld="4" item="1"/>
        </tpls>
      </m>
      <m>
        <tpls c="4">
          <tpl fld="7" item="155"/>
          <tpl fld="6" item="2"/>
          <tpl hier="236" item="1"/>
          <tpl fld="4" item="5"/>
        </tpls>
      </m>
      <m>
        <tpls c="4">
          <tpl fld="7" item="749"/>
          <tpl fld="6" item="1"/>
          <tpl hier="236" item="1"/>
          <tpl fld="4" item="5"/>
        </tpls>
      </m>
      <n v="2" in="1">
        <tpls c="4">
          <tpl fld="7" item="756"/>
          <tpl fld="6" item="1"/>
          <tpl hier="236" item="1"/>
          <tpl fld="4" item="1"/>
        </tpls>
      </n>
      <n v="0.4" in="2">
        <tpls c="4">
          <tpl fld="7" item="667"/>
          <tpl fld="6" item="2"/>
          <tpl hier="236" item="1"/>
          <tpl fld="4" item="1"/>
        </tpls>
      </n>
      <m>
        <tpls c="4">
          <tpl fld="7" item="574"/>
          <tpl fld="6" item="2"/>
          <tpl hier="236" item="1"/>
          <tpl fld="4" item="6"/>
        </tpls>
      </m>
      <m>
        <tpls c="4">
          <tpl fld="7" item="1105"/>
          <tpl fld="6" item="2"/>
          <tpl hier="236" item="1"/>
          <tpl fld="4" item="1"/>
        </tpls>
      </m>
      <m>
        <tpls c="4">
          <tpl fld="7" item="724"/>
          <tpl fld="6" item="1"/>
          <tpl hier="236" item="1"/>
          <tpl fld="4" item="1"/>
        </tpls>
      </m>
      <n v="1" in="1">
        <tpls c="4">
          <tpl fld="7" item="1191"/>
          <tpl fld="6" item="1"/>
          <tpl hier="236" item="1"/>
          <tpl fld="4" item="6"/>
        </tpls>
      </n>
      <m>
        <tpls c="4">
          <tpl fld="7" item="1172"/>
          <tpl fld="6" item="1"/>
          <tpl hier="236" item="1"/>
          <tpl fld="4" item="4"/>
        </tpls>
      </m>
      <m>
        <tpls c="4">
          <tpl fld="7" item="715"/>
          <tpl fld="6" item="1"/>
          <tpl hier="236" item="1"/>
          <tpl fld="4" item="1"/>
        </tpls>
      </m>
      <m>
        <tpls c="4">
          <tpl fld="7" item="660"/>
          <tpl fld="6" item="1"/>
          <tpl hier="236" item="1"/>
          <tpl fld="4" item="5"/>
        </tpls>
      </m>
      <m>
        <tpls c="4">
          <tpl fld="7" item="1248"/>
          <tpl fld="6" item="1"/>
          <tpl hier="236" item="1"/>
          <tpl fld="4" item="6"/>
        </tpls>
      </m>
      <m>
        <tpls c="4">
          <tpl fld="7" item="173"/>
          <tpl fld="6" item="2"/>
          <tpl hier="236" item="1"/>
          <tpl fld="1" item="0"/>
        </tpls>
      </m>
      <m>
        <tpls c="3">
          <tpl fld="7" item="834"/>
          <tpl fld="6" item="3"/>
          <tpl hier="236" item="1"/>
        </tpls>
      </m>
      <m>
        <tpls c="4">
          <tpl fld="7" item="591"/>
          <tpl fld="6" item="2"/>
          <tpl hier="236" item="1"/>
          <tpl fld="4" item="5"/>
        </tpls>
      </m>
      <n v="1" in="1">
        <tpls c="4">
          <tpl fld="7" item="379"/>
          <tpl fld="6" item="1"/>
          <tpl hier="236" item="1"/>
          <tpl fld="4" item="5"/>
        </tpls>
      </n>
      <m>
        <tpls c="4">
          <tpl fld="7" item="305"/>
          <tpl fld="6" item="1"/>
          <tpl hier="236" item="1"/>
          <tpl fld="4" item="1"/>
        </tpls>
      </m>
      <m>
        <tpls c="3">
          <tpl fld="7" item="835"/>
          <tpl fld="6" item="3"/>
          <tpl hier="236" item="1"/>
        </tpls>
      </m>
      <m>
        <tpls c="4">
          <tpl fld="7" item="406"/>
          <tpl fld="6" item="2"/>
          <tpl hier="236" item="1"/>
          <tpl fld="4" item="5"/>
        </tpls>
      </m>
      <n v="2" in="1">
        <tpls c="4">
          <tpl fld="7" item="519"/>
          <tpl fld="6" item="1"/>
          <tpl hier="236" item="1"/>
          <tpl fld="4" item="5"/>
        </tpls>
      </n>
      <m>
        <tpls c="4">
          <tpl fld="7" item="548"/>
          <tpl fld="6" item="2"/>
          <tpl hier="236" item="1"/>
          <tpl fld="4" item="4"/>
        </tpls>
      </m>
      <n v="0.52" in="2">
        <tpls c="4">
          <tpl fld="7" item="811"/>
          <tpl fld="6" item="2"/>
          <tpl hier="236" item="1"/>
          <tpl fld="4" item="6"/>
        </tpls>
      </n>
      <m>
        <tpls c="4">
          <tpl fld="7" item="868"/>
          <tpl fld="6" item="2"/>
          <tpl hier="236" item="1"/>
          <tpl fld="4" item="5"/>
        </tpls>
      </m>
      <m>
        <tpls c="4">
          <tpl fld="7" item="19"/>
          <tpl fld="6" item="2"/>
          <tpl hier="236" item="1"/>
          <tpl fld="1" item="0"/>
        </tpls>
      </m>
      <m>
        <tpls c="4">
          <tpl fld="7" item="1021"/>
          <tpl fld="6" item="1"/>
          <tpl hier="236" item="1"/>
          <tpl fld="4" item="5"/>
        </tpls>
      </m>
      <m>
        <tpls c="4">
          <tpl fld="7" item="97"/>
          <tpl fld="6" item="1"/>
          <tpl hier="236" item="1"/>
          <tpl fld="4" item="1"/>
        </tpls>
      </m>
      <n v="48" in="1">
        <tpls c="4">
          <tpl fld="7" item="1235"/>
          <tpl fld="6" item="1"/>
          <tpl hier="236" item="1"/>
          <tpl fld="4" item="4"/>
        </tpls>
      </n>
      <m>
        <tpls c="4">
          <tpl fld="7" item="850"/>
          <tpl fld="6" item="2"/>
          <tpl hier="236" item="1"/>
          <tpl fld="4" item="6"/>
        </tpls>
      </m>
      <m>
        <tpls c="4">
          <tpl fld="7" item="596"/>
          <tpl fld="6" item="1"/>
          <tpl hier="236" item="1"/>
          <tpl fld="4" item="5"/>
        </tpls>
      </m>
      <n v="1" in="1">
        <tpls c="4">
          <tpl fld="7" item="975"/>
          <tpl fld="6" item="1"/>
          <tpl hier="236" item="1"/>
          <tpl fld="4" item="1"/>
        </tpls>
      </n>
      <m>
        <tpls c="4">
          <tpl fld="7" item="839"/>
          <tpl fld="6" item="1"/>
          <tpl hier="236" item="1"/>
          <tpl fld="4" item="1"/>
        </tpls>
      </m>
      <m>
        <tpls c="4">
          <tpl fld="7" item="176"/>
          <tpl fld="6" item="1"/>
          <tpl hier="236" item="1"/>
          <tpl fld="4" item="1"/>
        </tpls>
      </m>
      <m>
        <tpls c="4">
          <tpl fld="7" item="662"/>
          <tpl fld="6" item="1"/>
          <tpl hier="236" item="1"/>
          <tpl fld="4" item="5"/>
        </tpls>
      </m>
      <m>
        <tpls c="4">
          <tpl fld="7" item="1170"/>
          <tpl fld="6" item="2"/>
          <tpl hier="236" item="1"/>
          <tpl fld="4" item="1"/>
        </tpls>
      </m>
      <n v="2" in="1">
        <tpls c="4">
          <tpl fld="7" item="808"/>
          <tpl fld="6" item="1"/>
          <tpl hier="236" item="1"/>
          <tpl fld="4" item="4"/>
        </tpls>
      </n>
      <m>
        <tpls c="4">
          <tpl fld="7" item="29"/>
          <tpl fld="6" item="2"/>
          <tpl hier="236" item="1"/>
          <tpl fld="4" item="5"/>
        </tpls>
      </m>
      <m>
        <tpls c="4">
          <tpl fld="7" item="133"/>
          <tpl fld="6" item="1"/>
          <tpl hier="236" item="1"/>
          <tpl fld="4" item="5"/>
        </tpls>
      </m>
      <m>
        <tpls c="4">
          <tpl fld="7" item="206"/>
          <tpl fld="6" item="1"/>
          <tpl hier="236" item="1"/>
          <tpl fld="4" item="1"/>
        </tpls>
      </m>
      <m>
        <tpls c="4">
          <tpl fld="7" item="155"/>
          <tpl fld="6" item="1"/>
          <tpl hier="236" item="1"/>
          <tpl fld="4" item="1"/>
        </tpls>
      </m>
      <n v="4" in="1">
        <tpls c="4">
          <tpl fld="7" item="853"/>
          <tpl fld="6" item="1"/>
          <tpl hier="236" item="1"/>
          <tpl fld="1" item="0"/>
        </tpls>
      </n>
      <n v="0" in="1">
        <tpls c="4">
          <tpl fld="7" item="731"/>
          <tpl fld="6" item="1"/>
          <tpl hier="236" item="1"/>
          <tpl fld="4" item="6"/>
        </tpls>
      </n>
      <m>
        <tpls c="3">
          <tpl fld="7" item="859"/>
          <tpl fld="6" item="3"/>
          <tpl hier="236" item="1"/>
        </tpls>
      </m>
      <m>
        <tpls c="4">
          <tpl fld="7" item="277"/>
          <tpl fld="6" item="2"/>
          <tpl hier="236" item="1"/>
          <tpl fld="1" item="0"/>
        </tpls>
      </m>
      <n v="0" in="1">
        <tpls c="4">
          <tpl fld="7" item="769"/>
          <tpl fld="6" item="1"/>
          <tpl hier="236" item="1"/>
          <tpl fld="4" item="6"/>
        </tpls>
      </n>
      <m>
        <tpls c="4">
          <tpl fld="7" item="605"/>
          <tpl fld="6" item="2"/>
          <tpl hier="236" item="1"/>
          <tpl fld="4" item="6"/>
        </tpls>
      </m>
      <n v="0.52" in="2">
        <tpls c="4">
          <tpl fld="7" item="714"/>
          <tpl fld="6" item="2"/>
          <tpl hier="236" item="1"/>
          <tpl fld="1" item="0"/>
        </tpls>
      </n>
      <m>
        <tpls c="4">
          <tpl fld="7" item="1097"/>
          <tpl fld="6" item="2"/>
          <tpl hier="236" item="1"/>
          <tpl fld="1" item="0"/>
        </tpls>
      </m>
      <m>
        <tpls c="4">
          <tpl fld="7" item="856"/>
          <tpl fld="6" item="1"/>
          <tpl hier="236" item="1"/>
          <tpl fld="4" item="6"/>
        </tpls>
      </m>
      <m>
        <tpls c="4">
          <tpl fld="7" item="159"/>
          <tpl fld="6" item="2"/>
          <tpl hier="236" item="1"/>
          <tpl fld="1" item="0"/>
        </tpls>
      </m>
      <m>
        <tpls c="4">
          <tpl fld="7" item="718"/>
          <tpl fld="6" item="2"/>
          <tpl hier="236" item="1"/>
          <tpl fld="4" item="4"/>
        </tpls>
      </m>
      <m>
        <tpls c="4">
          <tpl fld="7" item="727"/>
          <tpl fld="6" item="2"/>
          <tpl hier="236" item="1"/>
          <tpl fld="4" item="5"/>
        </tpls>
      </m>
      <m>
        <tpls c="3">
          <tpl fld="7" item="818"/>
          <tpl fld="6" item="3"/>
          <tpl hier="236" item="1"/>
        </tpls>
      </m>
      <m>
        <tpls c="4">
          <tpl fld="7" item="827"/>
          <tpl fld="6" item="2"/>
          <tpl hier="236" item="1"/>
          <tpl fld="1" item="0"/>
        </tpls>
      </m>
      <m>
        <tpls c="4">
          <tpl fld="7" item="904"/>
          <tpl fld="6" item="2"/>
          <tpl hier="236" item="1"/>
          <tpl fld="4" item="1"/>
        </tpls>
      </m>
      <m>
        <tpls c="4">
          <tpl fld="7" item="916"/>
          <tpl fld="6" item="2"/>
          <tpl hier="236" item="1"/>
          <tpl fld="4" item="1"/>
        </tpls>
      </m>
      <m>
        <tpls c="3">
          <tpl fld="7" item="1132"/>
          <tpl fld="6" item="3"/>
          <tpl hier="236" item="1"/>
        </tpls>
      </m>
      <n v="5" in="1">
        <tpls c="4">
          <tpl fld="7" item="955"/>
          <tpl fld="6" item="1"/>
          <tpl hier="236" item="1"/>
          <tpl fld="4" item="4"/>
        </tpls>
      </n>
      <m>
        <tpls c="4">
          <tpl fld="7" item="856"/>
          <tpl fld="6" item="2"/>
          <tpl hier="236" item="1"/>
          <tpl fld="1" item="0"/>
        </tpls>
      </m>
      <n v="0.16" in="2">
        <tpls c="4">
          <tpl fld="7" item="354"/>
          <tpl fld="6" item="2"/>
          <tpl hier="236" item="1"/>
          <tpl fld="1" item="0"/>
        </tpls>
      </n>
      <n v="20" in="1">
        <tpls c="4">
          <tpl fld="7" item="771"/>
          <tpl fld="6" item="1"/>
          <tpl hier="236" item="1"/>
          <tpl fld="4" item="4"/>
        </tpls>
      </n>
      <m>
        <tpls c="4">
          <tpl fld="7" item="989"/>
          <tpl fld="6" item="2"/>
          <tpl hier="236" item="1"/>
          <tpl fld="1" item="0"/>
        </tpls>
      </m>
      <m>
        <tpls c="4">
          <tpl fld="7" item="584"/>
          <tpl fld="6" item="2"/>
          <tpl hier="236" item="1"/>
          <tpl fld="4" item="1"/>
        </tpls>
      </m>
      <m>
        <tpls c="4">
          <tpl fld="7" item="808"/>
          <tpl fld="6" item="1"/>
          <tpl hier="236" item="1"/>
          <tpl fld="4" item="6"/>
        </tpls>
      </m>
      <m>
        <tpls c="4">
          <tpl fld="7" item="732"/>
          <tpl fld="6" item="1"/>
          <tpl hier="236" item="1"/>
          <tpl fld="1" item="0"/>
        </tpls>
      </m>
      <m>
        <tpls c="4">
          <tpl fld="7" item="658"/>
          <tpl fld="6" item="2"/>
          <tpl hier="236" item="1"/>
          <tpl fld="4" item="5"/>
        </tpls>
      </m>
      <m>
        <tpls c="4">
          <tpl fld="7" item="664"/>
          <tpl fld="6" item="2"/>
          <tpl hier="236" item="1"/>
          <tpl fld="4" item="1"/>
        </tpls>
      </m>
      <m>
        <tpls c="3">
          <tpl fld="7" item="1106"/>
          <tpl fld="6" item="3"/>
          <tpl hier="236" item="1"/>
        </tpls>
      </m>
      <n v="4" in="1">
        <tpls c="4">
          <tpl fld="7" item="909"/>
          <tpl fld="6" item="1"/>
          <tpl hier="236" item="1"/>
          <tpl fld="4" item="6"/>
        </tpls>
      </n>
      <m>
        <tpls c="4">
          <tpl fld="7" item="1125"/>
          <tpl fld="6" item="2"/>
          <tpl hier="236" item="1"/>
          <tpl fld="4" item="4"/>
        </tpls>
      </m>
      <m>
        <tpls c="4">
          <tpl fld="7" item="932"/>
          <tpl fld="6" item="2"/>
          <tpl hier="236" item="1"/>
          <tpl fld="4" item="1"/>
        </tpls>
      </m>
      <m>
        <tpls c="4">
          <tpl fld="7" item="964"/>
          <tpl fld="6" item="2"/>
          <tpl hier="236" item="1"/>
          <tpl fld="4" item="1"/>
        </tpls>
      </m>
      <m>
        <tpls c="4">
          <tpl fld="7" item="901"/>
          <tpl fld="6" item="2"/>
          <tpl hier="236" item="1"/>
          <tpl fld="1" item="0"/>
        </tpls>
      </m>
      <m>
        <tpls c="4">
          <tpl fld="7" item="489"/>
          <tpl fld="6" item="2"/>
          <tpl hier="236" item="1"/>
          <tpl fld="1" item="0"/>
        </tpls>
      </m>
      <m>
        <tpls c="4">
          <tpl fld="7" item="26"/>
          <tpl fld="6" item="2"/>
          <tpl hier="236" item="1"/>
          <tpl fld="1" item="0"/>
        </tpls>
      </m>
      <m>
        <tpls c="4">
          <tpl fld="7" item="1001"/>
          <tpl fld="6" item="2"/>
          <tpl hier="236" item="1"/>
          <tpl fld="4" item="5"/>
        </tpls>
      </m>
      <m>
        <tpls c="4">
          <tpl fld="7" item="1188"/>
          <tpl fld="6" item="2"/>
          <tpl hier="236" item="1"/>
          <tpl fld="4" item="1"/>
        </tpls>
      </m>
      <m>
        <tpls c="4">
          <tpl fld="7" item="741"/>
          <tpl fld="6" item="2"/>
          <tpl hier="236" item="1"/>
          <tpl fld="4" item="6"/>
        </tpls>
      </m>
      <n v="2" in="1">
        <tpls c="4">
          <tpl fld="7" item="924"/>
          <tpl fld="6" item="1"/>
          <tpl hier="236" item="1"/>
          <tpl fld="4" item="4"/>
        </tpls>
      </n>
      <m>
        <tpls c="4">
          <tpl fld="7" item="267"/>
          <tpl fld="6" item="2"/>
          <tpl hier="236" item="1"/>
          <tpl fld="1" item="0"/>
        </tpls>
      </m>
      <m>
        <tpls c="4">
          <tpl fld="7" item="92"/>
          <tpl fld="6" item="2"/>
          <tpl hier="236" item="1"/>
          <tpl fld="4" item="5"/>
        </tpls>
      </m>
      <m>
        <tpls c="4">
          <tpl fld="7" item="285"/>
          <tpl fld="6" item="2"/>
          <tpl hier="236" item="1"/>
          <tpl fld="4" item="5"/>
        </tpls>
      </m>
      <m>
        <tpls c="4">
          <tpl fld="7" item="399"/>
          <tpl fld="6" item="2"/>
          <tpl hier="236" item="1"/>
          <tpl fld="4" item="5"/>
        </tpls>
      </m>
      <m>
        <tpls c="4">
          <tpl fld="7" item="441"/>
          <tpl fld="6" item="2"/>
          <tpl hier="236" item="1"/>
          <tpl fld="4" item="6"/>
        </tpls>
      </m>
      <m>
        <tpls c="4">
          <tpl fld="7" item="35"/>
          <tpl fld="6" item="2"/>
          <tpl hier="236" item="1"/>
          <tpl fld="4" item="6"/>
        </tpls>
      </m>
      <m>
        <tpls c="4">
          <tpl fld="7" item="1218"/>
          <tpl fld="6" item="1"/>
          <tpl hier="236" item="1"/>
          <tpl fld="4" item="5"/>
        </tpls>
      </m>
      <m>
        <tpls c="4">
          <tpl fld="7" item="200"/>
          <tpl fld="6" item="1"/>
          <tpl hier="236" item="1"/>
          <tpl fld="4" item="5"/>
        </tpls>
      </m>
      <m>
        <tpls c="4">
          <tpl fld="7" item="120"/>
          <tpl fld="6" item="1"/>
          <tpl hier="236" item="1"/>
          <tpl fld="4" item="5"/>
        </tpls>
      </m>
      <m>
        <tpls c="4">
          <tpl fld="7" item="1126"/>
          <tpl fld="6" item="1"/>
          <tpl hier="236" item="1"/>
          <tpl fld="4" item="1"/>
        </tpls>
      </m>
      <n v="1" in="1">
        <tpls c="4">
          <tpl fld="7" item="502"/>
          <tpl fld="6" item="1"/>
          <tpl hier="236" item="1"/>
          <tpl fld="4" item="1"/>
        </tpls>
      </n>
      <m>
        <tpls c="4">
          <tpl fld="7" item="265"/>
          <tpl fld="6" item="1"/>
          <tpl hier="236" item="1"/>
          <tpl fld="4" item="1"/>
        </tpls>
      </m>
      <m>
        <tpls c="4">
          <tpl fld="7" item="856"/>
          <tpl fld="6" item="1"/>
          <tpl hier="236" item="1"/>
          <tpl fld="1" item="0"/>
        </tpls>
      </m>
      <n v="3" in="1">
        <tpls c="4">
          <tpl fld="7" item="581"/>
          <tpl fld="6" item="1"/>
          <tpl hier="236" item="1"/>
          <tpl fld="1" item="0"/>
        </tpls>
      </n>
      <m>
        <tpls c="4">
          <tpl fld="7" item="1100"/>
          <tpl fld="6" item="1"/>
          <tpl hier="236" item="1"/>
          <tpl fld="4" item="5"/>
        </tpls>
      </m>
      <n v="0" in="1">
        <tpls c="4">
          <tpl fld="7" item="1223"/>
          <tpl fld="6" item="1"/>
          <tpl hier="236" item="1"/>
          <tpl fld="4" item="4"/>
        </tpls>
      </n>
      <m>
        <tpls c="4">
          <tpl fld="7" item="56"/>
          <tpl fld="6" item="2"/>
          <tpl hier="236" item="1"/>
          <tpl fld="1" item="0"/>
        </tpls>
      </m>
      <n v="1" in="1">
        <tpls c="4">
          <tpl fld="7" item="378"/>
          <tpl fld="6" item="1"/>
          <tpl hier="236" item="1"/>
          <tpl fld="4" item="4"/>
        </tpls>
      </n>
      <n v="1" in="1">
        <tpls c="4">
          <tpl fld="7" item="555"/>
          <tpl fld="6" item="1"/>
          <tpl hier="236" item="1"/>
          <tpl fld="1" item="0"/>
        </tpls>
      </n>
      <m>
        <tpls c="4">
          <tpl fld="7" item="553"/>
          <tpl fld="6" item="2"/>
          <tpl hier="236" item="1"/>
          <tpl fld="4" item="6"/>
        </tpls>
      </m>
      <m>
        <tpls c="4">
          <tpl fld="7" item="578"/>
          <tpl fld="6" item="1"/>
          <tpl hier="236" item="1"/>
          <tpl fld="4" item="4"/>
        </tpls>
      </m>
      <m>
        <tpls c="4">
          <tpl fld="7" item="585"/>
          <tpl fld="6" item="2"/>
          <tpl hier="236" item="1"/>
          <tpl fld="4" item="6"/>
        </tpls>
      </m>
      <m>
        <tpls c="4">
          <tpl fld="7" item="665"/>
          <tpl fld="6" item="2"/>
          <tpl hier="236" item="1"/>
          <tpl fld="4" item="5"/>
        </tpls>
      </m>
      <m>
        <tpls c="4">
          <tpl fld="7" item="1226"/>
          <tpl fld="6" item="2"/>
          <tpl hier="236" item="1"/>
          <tpl fld="4" item="1"/>
        </tpls>
      </m>
      <m>
        <tpls c="4">
          <tpl fld="7" item="237"/>
          <tpl fld="6" item="2"/>
          <tpl hier="236" item="1"/>
          <tpl fld="1" item="0"/>
        </tpls>
      </m>
      <n v="3" in="1">
        <tpls c="4">
          <tpl fld="7" item="709"/>
          <tpl fld="6" item="1"/>
          <tpl hier="236" item="1"/>
          <tpl fld="1" item="0"/>
        </tpls>
      </n>
      <n v="0.52" in="2">
        <tpls c="4">
          <tpl fld="7" item="643"/>
          <tpl fld="6" item="2"/>
          <tpl hier="236" item="1"/>
          <tpl fld="1" item="0"/>
        </tpls>
      </n>
      <m>
        <tpls c="3">
          <tpl fld="7" item="812"/>
          <tpl fld="6" item="3"/>
          <tpl hier="236" item="1"/>
        </tpls>
      </m>
      <m>
        <tpls c="4">
          <tpl fld="7" item="737"/>
          <tpl fld="6" item="1"/>
          <tpl hier="236" item="1"/>
          <tpl fld="4" item="5"/>
        </tpls>
      </m>
      <m>
        <tpls c="4">
          <tpl fld="7" item="663"/>
          <tpl fld="6" item="1"/>
          <tpl hier="236" item="1"/>
          <tpl fld="4" item="1"/>
        </tpls>
      </m>
      <n v="3" in="1">
        <tpls c="4">
          <tpl fld="7" item="834"/>
          <tpl fld="6" item="1"/>
          <tpl hier="236" item="1"/>
          <tpl fld="4" item="4"/>
        </tpls>
      </n>
      <n v="0.67999999999999994" in="2">
        <tpls c="4">
          <tpl fld="7" item="1193"/>
          <tpl fld="6" item="2"/>
          <tpl hier="236" item="1"/>
          <tpl fld="4" item="1"/>
        </tpls>
      </n>
      <m>
        <tpls c="3">
          <tpl fld="7" item="1021"/>
          <tpl fld="6" item="3"/>
          <tpl hier="236" item="1"/>
        </tpls>
      </m>
      <n v="29" in="1">
        <tpls c="4">
          <tpl fld="7" item="928"/>
          <tpl fld="6" item="1"/>
          <tpl hier="236" item="1"/>
          <tpl fld="4" item="4"/>
        </tpls>
      </n>
      <n v="6" in="1">
        <tpls c="4">
          <tpl fld="7" item="1166"/>
          <tpl fld="6" item="1"/>
          <tpl hier="236" item="1"/>
          <tpl fld="4" item="4"/>
        </tpls>
      </n>
      <m>
        <tpls c="4">
          <tpl fld="7" item="847"/>
          <tpl fld="6" item="2"/>
          <tpl hier="236" item="1"/>
          <tpl fld="1" item="0"/>
        </tpls>
      </m>
      <m>
        <tpls c="4">
          <tpl fld="7" item="88"/>
          <tpl fld="6" item="2"/>
          <tpl hier="236" item="1"/>
          <tpl fld="1" item="0"/>
        </tpls>
      </m>
      <m>
        <tpls c="4">
          <tpl fld="7" item="693"/>
          <tpl fld="6" item="2"/>
          <tpl hier="236" item="1"/>
          <tpl fld="4" item="6"/>
        </tpls>
      </m>
      <n v="2" in="1">
        <tpls c="4">
          <tpl fld="7" item="632"/>
          <tpl fld="6" item="1"/>
          <tpl hier="236" item="1"/>
          <tpl fld="4" item="6"/>
        </tpls>
      </n>
      <n v="0" in="1">
        <tpls c="4">
          <tpl fld="7" item="585"/>
          <tpl fld="6" item="1"/>
          <tpl hier="236" item="1"/>
          <tpl fld="4" item="5"/>
        </tpls>
      </n>
      <n v="0" in="1">
        <tpls c="4">
          <tpl fld="7" item="727"/>
          <tpl fld="6" item="1"/>
          <tpl hier="236" item="1"/>
          <tpl fld="1" item="0"/>
        </tpls>
      </n>
      <m>
        <tpls c="4">
          <tpl fld="7" item="653"/>
          <tpl fld="6" item="2"/>
          <tpl hier="236" item="1"/>
          <tpl fld="4" item="5"/>
        </tpls>
      </m>
      <m>
        <tpls c="4">
          <tpl fld="7" item="659"/>
          <tpl fld="6" item="2"/>
          <tpl hier="236" item="1"/>
          <tpl fld="4" item="1"/>
        </tpls>
      </m>
      <m>
        <tpls c="4">
          <tpl fld="7" item="665"/>
          <tpl fld="6" item="2"/>
          <tpl hier="236" item="1"/>
          <tpl fld="4" item="6"/>
        </tpls>
      </m>
      <m>
        <tpls c="4">
          <tpl fld="7" item="1217"/>
          <tpl fld="6" item="1"/>
          <tpl hier="236" item="1"/>
          <tpl fld="4" item="6"/>
        </tpls>
      </m>
      <n v="0.6" in="2">
        <tpls c="4">
          <tpl fld="7" item="1014"/>
          <tpl fld="6" item="2"/>
          <tpl hier="236" item="1"/>
          <tpl fld="4" item="4"/>
        </tpls>
      </n>
      <n v="1" in="1">
        <tpls c="4">
          <tpl fld="7" item="920"/>
          <tpl fld="6" item="1"/>
          <tpl hier="236" item="1"/>
          <tpl fld="4" item="4"/>
        </tpls>
      </n>
      <m>
        <tpls c="4">
          <tpl fld="7" item="1143"/>
          <tpl fld="6" item="2"/>
          <tpl hier="236" item="1"/>
          <tpl fld="4" item="1"/>
        </tpls>
      </m>
      <m>
        <tpls c="4">
          <tpl fld="7" item="1175"/>
          <tpl fld="6" item="2"/>
          <tpl hier="236" item="1"/>
          <tpl fld="4" item="1"/>
        </tpls>
      </m>
      <m>
        <tpls c="4">
          <tpl fld="7" item="318"/>
          <tpl fld="6" item="2"/>
          <tpl hier="236" item="1"/>
          <tpl fld="1" item="0"/>
        </tpls>
      </m>
      <m>
        <tpls c="4">
          <tpl fld="7" item="185"/>
          <tpl fld="6" item="2"/>
          <tpl hier="236" item="1"/>
          <tpl fld="1" item="0"/>
        </tpls>
      </m>
      <m>
        <tpls c="4">
          <tpl fld="7" item="1"/>
          <tpl fld="6" item="2"/>
          <tpl hier="236" item="1"/>
          <tpl fld="1" item="0"/>
        </tpls>
      </m>
      <m>
        <tpls c="4">
          <tpl fld="7" item="527"/>
          <tpl fld="6" item="2"/>
          <tpl hier="236" item="1"/>
          <tpl fld="4" item="5"/>
        </tpls>
      </m>
      <n v="27" in="1">
        <tpls c="4">
          <tpl fld="7" item="642"/>
          <tpl fld="6" item="1"/>
          <tpl hier="236" item="1"/>
          <tpl fld="1" item="0"/>
        </tpls>
      </n>
      <m>
        <tpls c="4">
          <tpl fld="7" item="998"/>
          <tpl fld="6" item="1"/>
          <tpl hier="236" item="1"/>
          <tpl fld="4" item="1"/>
        </tpls>
      </m>
      <m>
        <tpls c="4">
          <tpl fld="7" item="1200"/>
          <tpl fld="6" item="1"/>
          <tpl hier="236" item="1"/>
          <tpl fld="4" item="4"/>
        </tpls>
      </m>
      <m>
        <tpls c="4">
          <tpl fld="7" item="407"/>
          <tpl fld="6" item="2"/>
          <tpl hier="236" item="1"/>
          <tpl fld="1" item="0"/>
        </tpls>
      </m>
      <m>
        <tpls c="4">
          <tpl fld="7" item="447"/>
          <tpl fld="6" item="2"/>
          <tpl hier="236" item="1"/>
          <tpl fld="4" item="5"/>
        </tpls>
      </m>
      <m>
        <tpls c="4">
          <tpl fld="7" item="43"/>
          <tpl fld="6" item="2"/>
          <tpl hier="236" item="1"/>
          <tpl fld="4" item="5"/>
        </tpls>
      </m>
      <m>
        <tpls c="4">
          <tpl fld="7" item="924"/>
          <tpl fld="6" item="2"/>
          <tpl hier="236" item="1"/>
          <tpl fld="4" item="6"/>
        </tpls>
      </m>
      <n v="1" in="2">
        <tpls c="4">
          <tpl fld="7" item="432"/>
          <tpl fld="6" item="2"/>
          <tpl hier="236" item="1"/>
          <tpl fld="4" item="6"/>
        </tpls>
      </n>
      <m>
        <tpls c="4">
          <tpl fld="7" item="143"/>
          <tpl fld="6" item="2"/>
          <tpl hier="236" item="1"/>
          <tpl fld="4" item="6"/>
        </tpls>
      </m>
      <n v="3" in="1">
        <tpls c="4">
          <tpl fld="7" item="898"/>
          <tpl fld="6" item="1"/>
          <tpl hier="236" item="1"/>
          <tpl fld="4" item="5"/>
        </tpls>
      </n>
      <m>
        <tpls c="4">
          <tpl fld="7" item="83"/>
          <tpl fld="6" item="1"/>
          <tpl hier="236" item="1"/>
          <tpl fld="4" item="5"/>
        </tpls>
      </m>
      <n v="1" in="1">
        <tpls c="4">
          <tpl fld="7" item="1072"/>
          <tpl fld="6" item="1"/>
          <tpl hier="236" item="1"/>
          <tpl fld="4" item="1"/>
        </tpls>
      </n>
      <n v="3" in="1">
        <tpls c="4">
          <tpl fld="7" item="1220"/>
          <tpl fld="6" item="1"/>
          <tpl hier="236" item="1"/>
          <tpl fld="4" item="1"/>
        </tpls>
      </n>
      <n v="31" in="1">
        <tpls c="4">
          <tpl fld="7" item="493"/>
          <tpl fld="6" item="1"/>
          <tpl hier="236" item="1"/>
          <tpl fld="4" item="1"/>
        </tpls>
      </n>
      <m>
        <tpls c="4">
          <tpl fld="7" item="42"/>
          <tpl fld="6" item="1"/>
          <tpl hier="236" item="1"/>
          <tpl fld="4" item="1"/>
        </tpls>
      </m>
      <m>
        <tpls c="4">
          <tpl fld="7" item="847"/>
          <tpl fld="6" item="1"/>
          <tpl hier="236" item="1"/>
          <tpl fld="1" item="0"/>
        </tpls>
      </m>
      <n v="36" in="1">
        <tpls c="4">
          <tpl fld="7" item="804"/>
          <tpl fld="6" item="1"/>
          <tpl hier="236" item="1"/>
          <tpl fld="4" item="4"/>
        </tpls>
      </n>
      <m>
        <tpls c="4">
          <tpl fld="7" item="827"/>
          <tpl fld="6" item="2"/>
          <tpl hier="236" item="1"/>
          <tpl fld="4" item="1"/>
        </tpls>
      </m>
      <n v="3" in="1">
        <tpls c="4">
          <tpl fld="7" item="1042"/>
          <tpl fld="6" item="1"/>
          <tpl hier="236" item="1"/>
          <tpl fld="4" item="4"/>
        </tpls>
      </n>
      <m>
        <tpls c="4">
          <tpl fld="7" item="129"/>
          <tpl fld="6" item="2"/>
          <tpl hier="236" item="1"/>
          <tpl fld="1" item="0"/>
        </tpls>
      </m>
      <m>
        <tpls c="4">
          <tpl fld="7" item="762"/>
          <tpl fld="6" item="2"/>
          <tpl hier="236" item="1"/>
          <tpl fld="4" item="5"/>
        </tpls>
      </m>
      <m>
        <tpls c="4">
          <tpl fld="7" item="162"/>
          <tpl fld="6" item="2"/>
          <tpl hier="236" item="1"/>
          <tpl fld="4" item="5"/>
        </tpls>
      </m>
      <m>
        <tpls c="4">
          <tpl fld="7" item="923"/>
          <tpl fld="6" item="2"/>
          <tpl hier="236" item="1"/>
          <tpl fld="4" item="6"/>
        </tpls>
      </m>
      <m>
        <tpls c="4">
          <tpl fld="7" item="360"/>
          <tpl fld="6" item="2"/>
          <tpl hier="236" item="1"/>
          <tpl fld="4" item="6"/>
        </tpls>
      </m>
      <m>
        <tpls c="4">
          <tpl fld="7" item="138"/>
          <tpl fld="6" item="2"/>
          <tpl hier="236" item="1"/>
          <tpl fld="4" item="6"/>
        </tpls>
      </m>
      <n v="1" in="1">
        <tpls c="4">
          <tpl fld="7" item="897"/>
          <tpl fld="6" item="1"/>
          <tpl hier="236" item="1"/>
          <tpl fld="4" item="5"/>
        </tpls>
      </n>
      <m>
        <tpls c="4">
          <tpl fld="7" item="298"/>
          <tpl fld="6" item="1"/>
          <tpl hier="236" item="1"/>
          <tpl fld="4" item="5"/>
        </tpls>
      </m>
      <n v="2" in="1">
        <tpls c="4">
          <tpl fld="7" item="967"/>
          <tpl fld="6" item="1"/>
          <tpl hier="236" item="1"/>
          <tpl fld="4" item="1"/>
        </tpls>
      </n>
      <n v="1" in="1">
        <tpls c="4">
          <tpl fld="7" item="710"/>
          <tpl fld="6" item="1"/>
          <tpl hier="236" item="1"/>
          <tpl fld="4" item="5"/>
        </tpls>
      </n>
      <n v="17.402972972972975" in="2">
        <tpls c="4">
          <tpl fld="7" item="425"/>
          <tpl fld="6" item="2"/>
          <tpl hier="236" item="1"/>
          <tpl fld="1" item="0"/>
        </tpls>
      </n>
      <m>
        <tpls c="4">
          <tpl fld="7" item="735"/>
          <tpl fld="6" item="2"/>
          <tpl hier="236" item="1"/>
          <tpl fld="4" item="1"/>
        </tpls>
      </m>
      <n v="2" in="1">
        <tpls c="4">
          <tpl fld="7" item="855"/>
          <tpl fld="6" item="1"/>
          <tpl hier="236" item="1"/>
          <tpl fld="4" item="4"/>
        </tpls>
      </n>
      <m>
        <tpls c="4">
          <tpl fld="7" item="368"/>
          <tpl fld="6" item="2"/>
          <tpl hier="236" item="1"/>
          <tpl fld="1" item="0"/>
        </tpls>
      </m>
      <m>
        <tpls c="3">
          <tpl fld="7" item="725"/>
          <tpl fld="6" item="3"/>
          <tpl hier="236" item="1"/>
        </tpls>
      </m>
      <m>
        <tpls c="4">
          <tpl fld="7" item="833"/>
          <tpl fld="6" item="2"/>
          <tpl hier="236" item="1"/>
          <tpl fld="4" item="1"/>
        </tpls>
      </m>
      <m>
        <tpls c="4">
          <tpl fld="7" item="957"/>
          <tpl fld="6" item="2"/>
          <tpl hier="236" item="1"/>
          <tpl fld="4" item="1"/>
        </tpls>
      </m>
      <m>
        <tpls c="4">
          <tpl fld="7" item="1193"/>
          <tpl fld="6" item="2"/>
          <tpl hier="236" item="1"/>
          <tpl fld="4" item="5"/>
        </tpls>
      </m>
      <n v="9.1999999999999993" in="2">
        <tpls c="4">
          <tpl fld="7" item="596"/>
          <tpl fld="6" item="2"/>
          <tpl hier="236" item="1"/>
          <tpl fld="1" item="0"/>
        </tpls>
      </n>
      <m>
        <tpls c="4">
          <tpl fld="7" item="455"/>
          <tpl fld="6" item="2"/>
          <tpl hier="236" item="1"/>
          <tpl fld="4" item="6"/>
        </tpls>
      </m>
      <m>
        <tpls c="4">
          <tpl fld="7" item="402"/>
          <tpl fld="6" item="1"/>
          <tpl hier="236" item="1"/>
          <tpl fld="4" item="5"/>
        </tpls>
      </m>
      <n v="3" in="1">
        <tpls c="4">
          <tpl fld="7" item="870"/>
          <tpl fld="6" item="1"/>
          <tpl hier="236" item="1"/>
          <tpl fld="1" item="0"/>
        </tpls>
      </n>
      <n v="9.1999999999999993" in="2">
        <tpls c="4">
          <tpl fld="7" item="324"/>
          <tpl fld="6" item="2"/>
          <tpl hier="236" item="1"/>
          <tpl fld="1" item="0"/>
        </tpls>
      </n>
      <m>
        <tpls c="4">
          <tpl fld="7" item="107"/>
          <tpl fld="6" item="2"/>
          <tpl hier="236" item="1"/>
          <tpl fld="4" item="5"/>
        </tpls>
      </m>
      <m>
        <tpls c="4">
          <tpl fld="7" item="228"/>
          <tpl fld="6" item="2"/>
          <tpl hier="236" item="1"/>
          <tpl fld="4" item="5"/>
        </tpls>
      </m>
      <n v="0.67999999999999994" in="2">
        <tpls c="4">
          <tpl fld="7" item="361"/>
          <tpl fld="6" item="2"/>
          <tpl hier="236" item="1"/>
          <tpl fld="4" item="6"/>
        </tpls>
      </n>
      <m>
        <tpls c="4">
          <tpl fld="7" item="399"/>
          <tpl fld="6" item="2"/>
          <tpl hier="236" item="1"/>
          <tpl fld="4" item="6"/>
        </tpls>
      </m>
      <n v="1" in="1">
        <tpls c="4">
          <tpl fld="7" item="104"/>
          <tpl fld="6" item="1"/>
          <tpl hier="236" item="1"/>
          <tpl fld="4" item="5"/>
        </tpls>
      </n>
      <m>
        <tpls c="4">
          <tpl fld="7" item="968"/>
          <tpl fld="6" item="1"/>
          <tpl hier="236" item="1"/>
          <tpl fld="4" item="1"/>
        </tpls>
      </m>
      <n v="9" in="1">
        <tpls c="4">
          <tpl fld="7" item="1014"/>
          <tpl fld="6" item="1"/>
          <tpl hier="236" item="1"/>
          <tpl fld="4" item="1"/>
        </tpls>
      </n>
      <n v="3" in="1">
        <tpls c="4">
          <tpl fld="7" item="421"/>
          <tpl fld="6" item="1"/>
          <tpl hier="236" item="1"/>
          <tpl fld="4" item="1"/>
        </tpls>
      </n>
      <m>
        <tpls c="4">
          <tpl fld="7" item="255"/>
          <tpl fld="6" item="1"/>
          <tpl hier="236" item="1"/>
          <tpl fld="4" item="1"/>
        </tpls>
      </m>
      <m>
        <tpls c="4">
          <tpl fld="7" item="644"/>
          <tpl fld="6" item="2"/>
          <tpl hier="236" item="1"/>
          <tpl fld="4" item="1"/>
        </tpls>
      </m>
      <m>
        <tpls c="4">
          <tpl fld="7" item="999"/>
          <tpl fld="6" item="2"/>
          <tpl hier="236" item="1"/>
          <tpl fld="1" item="0"/>
        </tpls>
      </m>
      <n v="19" in="1">
        <tpls c="4">
          <tpl fld="7" item="1229"/>
          <tpl fld="6" item="1"/>
          <tpl hier="236" item="1"/>
          <tpl fld="4" item="4"/>
        </tpls>
      </n>
      <m>
        <tpls c="4">
          <tpl fld="7" item="250"/>
          <tpl fld="6" item="2"/>
          <tpl hier="236" item="1"/>
          <tpl fld="1" item="0"/>
        </tpls>
      </m>
      <m>
        <tpls c="4">
          <tpl fld="7" item="1237"/>
          <tpl fld="6" item="2"/>
          <tpl hier="236" item="1"/>
          <tpl fld="4" item="5"/>
        </tpls>
      </m>
      <m>
        <tpls c="4">
          <tpl fld="7" item="61"/>
          <tpl fld="6" item="2"/>
          <tpl hier="236" item="1"/>
          <tpl fld="4" item="5"/>
        </tpls>
      </m>
      <m>
        <tpls c="4">
          <tpl fld="7" item="862"/>
          <tpl fld="6" item="2"/>
          <tpl hier="236" item="1"/>
          <tpl fld="4" item="6"/>
        </tpls>
      </m>
      <n v="5.4835135135135138" in="2">
        <tpls c="4">
          <tpl fld="7" item="496"/>
          <tpl fld="6" item="2"/>
          <tpl hier="236" item="1"/>
          <tpl fld="4" item="6"/>
        </tpls>
      </n>
      <m>
        <tpls c="4">
          <tpl fld="7" item="257"/>
          <tpl fld="6" item="2"/>
          <tpl hier="236" item="1"/>
          <tpl fld="4" item="6"/>
        </tpls>
      </m>
      <m>
        <tpls c="4">
          <tpl fld="7" item="603"/>
          <tpl fld="6" item="1"/>
          <tpl hier="236" item="1"/>
          <tpl fld="4" item="5"/>
        </tpls>
      </m>
      <m>
        <tpls c="4">
          <tpl fld="7" item="485"/>
          <tpl fld="6" item="1"/>
          <tpl hier="236" item="1"/>
          <tpl fld="4" item="5"/>
        </tpls>
      </m>
      <m>
        <tpls c="4">
          <tpl fld="7" item="1258"/>
          <tpl fld="6" item="1"/>
          <tpl hier="236" item="1"/>
          <tpl fld="4" item="1"/>
        </tpls>
      </m>
      <m>
        <tpls c="4">
          <tpl fld="7" item="847"/>
          <tpl fld="6" item="1"/>
          <tpl hier="236" item="1"/>
          <tpl fld="4" item="1"/>
        </tpls>
      </m>
      <m>
        <tpls c="4">
          <tpl fld="7" item="347"/>
          <tpl fld="6" item="1"/>
          <tpl hier="236" item="1"/>
          <tpl fld="4" item="1"/>
        </tpls>
      </m>
      <m>
        <tpls c="4">
          <tpl fld="7" item="670"/>
          <tpl fld="6" item="1"/>
          <tpl hier="236" item="1"/>
          <tpl fld="4" item="1"/>
        </tpls>
      </m>
      <n v="2" in="1">
        <tpls c="4">
          <tpl fld="7" item="903"/>
          <tpl fld="6" item="1"/>
          <tpl hier="236" item="1"/>
          <tpl fld="1" item="0"/>
        </tpls>
      </n>
      <m>
        <tpls c="4">
          <tpl fld="7" item="347"/>
          <tpl fld="6" item="1"/>
          <tpl hier="236" item="1"/>
          <tpl fld="1" item="0"/>
        </tpls>
      </m>
      <m>
        <tpls c="4">
          <tpl fld="7" item="746"/>
          <tpl fld="6" item="1"/>
          <tpl hier="236" item="1"/>
          <tpl fld="4" item="6"/>
        </tpls>
      </m>
      <n v="0" in="1">
        <tpls c="4">
          <tpl fld="7" item="1071"/>
          <tpl fld="6" item="1"/>
          <tpl hier="236" item="1"/>
          <tpl fld="4" item="4"/>
        </tpls>
      </n>
      <m>
        <tpls c="4">
          <tpl fld="7" item="1016"/>
          <tpl fld="6" item="2"/>
          <tpl hier="236" item="1"/>
          <tpl fld="4" item="6"/>
        </tpls>
      </m>
      <m>
        <tpls c="4">
          <tpl fld="7" item="175"/>
          <tpl fld="6" item="1"/>
          <tpl hier="236" item="1"/>
          <tpl fld="4" item="5"/>
        </tpls>
      </m>
      <m>
        <tpls c="4">
          <tpl fld="7" item="115"/>
          <tpl fld="6" item="1"/>
          <tpl hier="236" item="1"/>
          <tpl fld="4" item="1"/>
        </tpls>
      </m>
      <m>
        <tpls c="4">
          <tpl fld="7" item="315"/>
          <tpl fld="6" item="1"/>
          <tpl hier="236" item="1"/>
          <tpl fld="1" item="0"/>
        </tpls>
      </m>
      <m>
        <tpls c="4">
          <tpl fld="7" item="277"/>
          <tpl fld="6" item="1"/>
          <tpl hier="236" item="1"/>
          <tpl fld="4" item="6"/>
        </tpls>
      </m>
      <m>
        <tpls c="3">
          <tpl fld="7" item="397"/>
          <tpl fld="6" item="3"/>
          <tpl hier="236" item="1"/>
        </tpls>
      </m>
      <m>
        <tpls c="4">
          <tpl fld="7" item="827"/>
          <tpl fld="6" item="2"/>
          <tpl hier="236" item="1"/>
          <tpl fld="4" item="4"/>
        </tpls>
      </m>
      <m>
        <tpls c="4">
          <tpl fld="7" item="835"/>
          <tpl fld="6" item="1"/>
          <tpl hier="236" item="1"/>
          <tpl fld="4" item="5"/>
        </tpls>
      </m>
      <m>
        <tpls c="4">
          <tpl fld="7" item="42"/>
          <tpl fld="6" item="1"/>
          <tpl hier="236" item="1"/>
          <tpl fld="1" item="0"/>
        </tpls>
      </m>
      <m>
        <tpls c="4">
          <tpl fld="7" item="221"/>
          <tpl fld="6" item="2"/>
          <tpl hier="236" item="1"/>
          <tpl fld="4" item="4"/>
        </tpls>
      </m>
      <m>
        <tpls c="4">
          <tpl fld="7" item="468"/>
          <tpl fld="6" item="2"/>
          <tpl hier="236" item="1"/>
          <tpl fld="1" item="0"/>
        </tpls>
      </m>
      <m>
        <tpls c="4">
          <tpl fld="7" item="490"/>
          <tpl fld="6" item="2"/>
          <tpl hier="236" item="1"/>
          <tpl fld="4" item="6"/>
        </tpls>
      </m>
      <n v="3" in="1">
        <tpls c="4">
          <tpl fld="7" item="1154"/>
          <tpl fld="6" item="1"/>
          <tpl hier="236" item="1"/>
          <tpl fld="4" item="1"/>
        </tpls>
      </n>
      <m>
        <tpls c="4">
          <tpl fld="7" item="917"/>
          <tpl fld="6" item="1"/>
          <tpl hier="236" item="1"/>
          <tpl fld="1" item="0"/>
        </tpls>
      </m>
      <m>
        <tpls c="4">
          <tpl fld="7" item="980"/>
          <tpl fld="6" item="1"/>
          <tpl hier="236" item="1"/>
          <tpl fld="1" item="0"/>
        </tpls>
      </m>
      <m>
        <tpls c="4">
          <tpl fld="7" item="12"/>
          <tpl fld="6" item="1"/>
          <tpl hier="236" item="1"/>
          <tpl fld="4" item="6"/>
        </tpls>
      </m>
      <m>
        <tpls c="4">
          <tpl fld="7" item="969"/>
          <tpl fld="6" item="2"/>
          <tpl hier="236" item="1"/>
          <tpl fld="4" item="4"/>
        </tpls>
      </m>
      <m>
        <tpls c="4">
          <tpl fld="7" item="22"/>
          <tpl fld="6" item="2"/>
          <tpl hier="236" item="1"/>
          <tpl fld="4" item="4"/>
        </tpls>
      </m>
      <m>
        <tpls c="4">
          <tpl fld="7" item="396"/>
          <tpl fld="6" item="1"/>
          <tpl hier="236" item="1"/>
          <tpl fld="4" item="1"/>
        </tpls>
      </m>
      <m>
        <tpls c="3">
          <tpl fld="7" item="113"/>
          <tpl fld="6" item="3"/>
          <tpl hier="236" item="1"/>
        </tpls>
      </m>
      <m>
        <tpls c="4">
          <tpl fld="7" item="904"/>
          <tpl fld="6" item="1"/>
          <tpl hier="236" item="1"/>
          <tpl fld="4" item="6"/>
        </tpls>
      </m>
      <m>
        <tpls c="4">
          <tpl fld="7" item="149"/>
          <tpl fld="6" item="2"/>
          <tpl hier="236" item="1"/>
          <tpl fld="4" item="5"/>
        </tpls>
      </m>
      <m>
        <tpls c="3">
          <tpl fld="7" item="990"/>
          <tpl fld="6" item="3"/>
          <tpl hier="236" item="1"/>
        </tpls>
      </m>
      <m>
        <tpls c="4">
          <tpl fld="7" item="289"/>
          <tpl fld="6" item="2"/>
          <tpl hier="236" item="1"/>
          <tpl fld="1" item="0"/>
        </tpls>
      </m>
      <n v="1" in="1">
        <tpls c="4">
          <tpl fld="7" item="656"/>
          <tpl fld="6" item="1"/>
          <tpl hier="236" item="1"/>
          <tpl fld="4" item="4"/>
        </tpls>
      </n>
      <m>
        <tpls c="3">
          <tpl fld="7" item="915"/>
          <tpl fld="6" item="3"/>
          <tpl hier="236" item="1"/>
        </tpls>
      </m>
      <m>
        <tpls c="4">
          <tpl fld="7" item="360"/>
          <tpl fld="6" item="2"/>
          <tpl hier="236" item="1"/>
          <tpl fld="1" item="0"/>
        </tpls>
      </m>
      <m>
        <tpls c="4">
          <tpl fld="7" item="646"/>
          <tpl fld="6" item="2"/>
          <tpl hier="236" item="1"/>
          <tpl fld="4" item="1"/>
        </tpls>
      </m>
      <n v="1" in="1">
        <tpls c="4">
          <tpl fld="7" item="1105"/>
          <tpl fld="6" item="1"/>
          <tpl hier="236" item="1"/>
          <tpl fld="4" item="6"/>
        </tpls>
      </n>
      <m>
        <tpls c="4">
          <tpl fld="7" item="961"/>
          <tpl fld="6" item="2"/>
          <tpl hier="236" item="1"/>
          <tpl fld="4" item="1"/>
        </tpls>
      </m>
      <m>
        <tpls c="4">
          <tpl fld="7" item="1243"/>
          <tpl fld="6" item="2"/>
          <tpl hier="236" item="1"/>
          <tpl fld="4" item="5"/>
        </tpls>
      </m>
      <m>
        <tpls c="4">
          <tpl fld="7" item="75"/>
          <tpl fld="6" item="2"/>
          <tpl hier="236" item="1"/>
          <tpl fld="1" item="0"/>
        </tpls>
      </m>
      <m>
        <tpls c="4">
          <tpl fld="7" item="447"/>
          <tpl fld="6" item="2"/>
          <tpl hier="236" item="1"/>
          <tpl fld="4" item="6"/>
        </tpls>
      </m>
      <m>
        <tpls c="4">
          <tpl fld="7" item="126"/>
          <tpl fld="6" item="1"/>
          <tpl hier="236" item="1"/>
          <tpl fld="4" item="5"/>
        </tpls>
      </m>
      <n v="1" in="1">
        <tpls c="4">
          <tpl fld="7" item="862"/>
          <tpl fld="6" item="1"/>
          <tpl hier="236" item="1"/>
          <tpl fld="1" item="0"/>
        </tpls>
      </n>
      <m>
        <tpls c="4">
          <tpl fld="7" item="71"/>
          <tpl fld="6" item="2"/>
          <tpl hier="236" item="1"/>
          <tpl fld="1" item="0"/>
        </tpls>
      </m>
      <m>
        <tpls c="4">
          <tpl fld="7" item="211"/>
          <tpl fld="6" item="2"/>
          <tpl hier="236" item="1"/>
          <tpl fld="4" item="5"/>
        </tpls>
      </m>
      <m>
        <tpls c="4">
          <tpl fld="7" item="109"/>
          <tpl fld="6" item="2"/>
          <tpl hier="236" item="1"/>
          <tpl fld="4" item="5"/>
        </tpls>
      </m>
      <n v="1" in="2">
        <tpls c="4">
          <tpl fld="7" item="358"/>
          <tpl fld="6" item="2"/>
          <tpl hier="236" item="1"/>
          <tpl fld="4" item="6"/>
        </tpls>
      </n>
      <m>
        <tpls c="4">
          <tpl fld="7" item="469"/>
          <tpl fld="6" item="2"/>
          <tpl hier="236" item="1"/>
          <tpl fld="4" item="6"/>
        </tpls>
      </m>
      <n v="1.6" in="2">
        <tpls c="6">
          <tpl fld="11" item="0"/>
          <tpl fld="6" item="2"/>
          <tpl fld="8" item="0"/>
          <tpl hier="236" item="1"/>
          <tpl fld="4" item="7"/>
          <tpl fld="10" item="8"/>
        </tpls>
      </n>
      <m>
        <tpls c="3">
          <tpl fld="7" item="529"/>
          <tpl fld="6" item="3"/>
          <tpl hier="236" item="1"/>
        </tpls>
      </m>
      <m>
        <tpls c="3">
          <tpl fld="7" item="1098"/>
          <tpl fld="6" item="3"/>
          <tpl hier="236" item="1"/>
        </tpls>
      </m>
      <n v="1" in="1">
        <tpls c="4">
          <tpl fld="7" item="991"/>
          <tpl fld="6" item="1"/>
          <tpl hier="236" item="1"/>
          <tpl fld="1" item="0"/>
        </tpls>
      </n>
      <m>
        <tpls c="4">
          <tpl fld="7" item="1217"/>
          <tpl fld="6" item="2"/>
          <tpl hier="236" item="1"/>
          <tpl fld="4" item="1"/>
        </tpls>
      </m>
      <m>
        <tpls c="4">
          <tpl fld="7" item="716"/>
          <tpl fld="6" item="2"/>
          <tpl hier="236" item="1"/>
          <tpl fld="4" item="1"/>
        </tpls>
      </m>
      <m>
        <tpls c="4">
          <tpl fld="7" item="96"/>
          <tpl fld="6" item="2"/>
          <tpl hier="236" item="1"/>
          <tpl fld="1" item="0"/>
        </tpls>
      </m>
      <n v="8" in="1">
        <tpls c="4">
          <tpl fld="7" item="825"/>
          <tpl fld="6" item="1"/>
          <tpl hier="236" item="1"/>
          <tpl fld="4" item="6"/>
        </tpls>
      </n>
      <m>
        <tpls c="4">
          <tpl fld="7" item="1178"/>
          <tpl fld="6" item="2"/>
          <tpl hier="236" item="1"/>
          <tpl fld="4" item="1"/>
        </tpls>
      </m>
      <m>
        <tpls c="4">
          <tpl fld="7" item="732"/>
          <tpl fld="6" item="1"/>
          <tpl hier="236" item="1"/>
          <tpl fld="4" item="6"/>
        </tpls>
      </m>
      <m>
        <tpls c="4">
          <tpl fld="7" item="329"/>
          <tpl fld="6" item="2"/>
          <tpl hier="236" item="1"/>
          <tpl fld="4" item="5"/>
        </tpls>
      </m>
      <m>
        <tpls c="4">
          <tpl fld="7" item="121"/>
          <tpl fld="6" item="1"/>
          <tpl hier="236" item="1"/>
          <tpl fld="4" item="5"/>
        </tpls>
      </m>
      <n v="10" in="1">
        <tpls c="4">
          <tpl fld="7" item="857"/>
          <tpl fld="6" item="1"/>
          <tpl hier="236" item="1"/>
          <tpl fld="1" item="0"/>
        </tpls>
      </n>
      <m>
        <tpls c="4">
          <tpl fld="7" item="265"/>
          <tpl fld="6" item="2"/>
          <tpl hier="236" item="1"/>
          <tpl fld="1" item="0"/>
        </tpls>
      </m>
      <m>
        <tpls c="4">
          <tpl fld="7" item="713"/>
          <tpl fld="6" item="2"/>
          <tpl hier="236" item="1"/>
          <tpl fld="4" item="1"/>
        </tpls>
      </m>
      <m>
        <tpls c="4">
          <tpl fld="7" item="281"/>
          <tpl fld="6" item="2"/>
          <tpl hier="236" item="1"/>
          <tpl fld="1" item="0"/>
        </tpls>
      </m>
      <m>
        <tpls c="4">
          <tpl fld="7" item="656"/>
          <tpl fld="6" item="1"/>
          <tpl hier="236" item="1"/>
          <tpl fld="4" item="1"/>
        </tpls>
      </m>
      <n v="7" in="1">
        <tpls c="4">
          <tpl fld="7" item="857"/>
          <tpl fld="6" item="1"/>
          <tpl hier="236" item="1"/>
          <tpl fld="4" item="4"/>
        </tpls>
      </n>
      <n v="1.4" in="2">
        <tpls c="4">
          <tpl fld="7" item="358"/>
          <tpl fld="6" item="2"/>
          <tpl hier="236" item="1"/>
          <tpl fld="1" item="0"/>
        </tpls>
      </n>
      <m>
        <tpls c="4">
          <tpl fld="7" item="646"/>
          <tpl fld="6" item="2"/>
          <tpl hier="236" item="1"/>
          <tpl fld="4" item="5"/>
        </tpls>
      </m>
      <m>
        <tpls c="4">
          <tpl fld="7" item="835"/>
          <tpl fld="6" item="2"/>
          <tpl hier="236" item="1"/>
          <tpl fld="4" item="1"/>
        </tpls>
      </m>
      <m>
        <tpls c="4">
          <tpl fld="7" item="962"/>
          <tpl fld="6" item="2"/>
          <tpl hier="236" item="1"/>
          <tpl fld="4" item="1"/>
        </tpls>
      </m>
      <m>
        <tpls c="4">
          <tpl fld="7" item="1004"/>
          <tpl fld="6" item="2"/>
          <tpl hier="236" item="1"/>
          <tpl fld="4" item="5"/>
        </tpls>
      </m>
      <m>
        <tpls c="4">
          <tpl fld="7" item="342"/>
          <tpl fld="6" item="2"/>
          <tpl hier="236" item="1"/>
          <tpl fld="1" item="0"/>
        </tpls>
      </m>
      <m>
        <tpls c="4">
          <tpl fld="7" item="445"/>
          <tpl fld="6" item="2"/>
          <tpl hier="236" item="1"/>
          <tpl fld="4" item="6"/>
        </tpls>
      </m>
      <m>
        <tpls c="4">
          <tpl fld="7" item="124"/>
          <tpl fld="6" item="1"/>
          <tpl hier="236" item="1"/>
          <tpl fld="4" item="5"/>
        </tpls>
      </m>
      <n v="1" in="1">
        <tpls c="4">
          <tpl fld="7" item="860"/>
          <tpl fld="6" item="1"/>
          <tpl hier="236" item="1"/>
          <tpl fld="1" item="0"/>
        </tpls>
      </n>
      <m>
        <tpls c="4">
          <tpl fld="7" item="67"/>
          <tpl fld="6" item="2"/>
          <tpl hier="236" item="1"/>
          <tpl fld="1" item="0"/>
        </tpls>
      </m>
      <m>
        <tpls c="3">
          <tpl fld="7" item="887"/>
          <tpl fld="6" item="3"/>
          <tpl hier="236" item="1"/>
        </tpls>
      </m>
      <m>
        <tpls c="4">
          <tpl fld="7" item="32"/>
          <tpl fld="6" item="2"/>
          <tpl hier="236" item="1"/>
          <tpl fld="1" item="0"/>
        </tpls>
      </m>
      <m>
        <tpls c="4">
          <tpl fld="7" item="657"/>
          <tpl fld="6" item="1"/>
          <tpl hier="236" item="1"/>
          <tpl fld="4" item="4"/>
        </tpls>
      </m>
      <m>
        <tpls c="4">
          <tpl fld="7" item="1221"/>
          <tpl fld="6" item="2"/>
          <tpl hier="236" item="1"/>
          <tpl fld="4" item="1"/>
        </tpls>
      </m>
      <n v="0.08" in="2">
        <tpls c="4">
          <tpl fld="7" item="104"/>
          <tpl fld="6" item="2"/>
          <tpl hier="236" item="1"/>
          <tpl fld="1" item="0"/>
        </tpls>
      </n>
      <m>
        <tpls c="4">
          <tpl fld="7" item="647"/>
          <tpl fld="6" item="2"/>
          <tpl hier="236" item="1"/>
          <tpl fld="4" item="1"/>
        </tpls>
      </m>
      <m>
        <tpls c="3">
          <tpl fld="7" item="1004"/>
          <tpl fld="6" item="3"/>
          <tpl hier="236" item="1"/>
        </tpls>
      </m>
      <m>
        <tpls c="4">
          <tpl fld="7" item="1173"/>
          <tpl fld="6" item="2"/>
          <tpl hier="236" item="1"/>
          <tpl fld="4" item="1"/>
        </tpls>
      </m>
      <m>
        <tpls c="4">
          <tpl fld="7" item="98"/>
          <tpl fld="6" item="2"/>
          <tpl hier="236" item="1"/>
          <tpl fld="4" item="5"/>
        </tpls>
      </m>
      <m>
        <tpls c="4">
          <tpl fld="7" item="167"/>
          <tpl fld="6" item="2"/>
          <tpl hier="236" item="1"/>
          <tpl fld="1" item="0"/>
        </tpls>
      </m>
      <m>
        <tpls c="4">
          <tpl fld="7" item="436"/>
          <tpl fld="6" item="2"/>
          <tpl hier="236" item="1"/>
          <tpl fld="4" item="6"/>
        </tpls>
      </m>
      <m>
        <tpls c="4">
          <tpl fld="7" item="1076"/>
          <tpl fld="6" item="1"/>
          <tpl hier="236" item="1"/>
          <tpl fld="4" item="1"/>
        </tpls>
      </m>
      <n v="36" in="1">
        <tpls c="4">
          <tpl fld="7" item="851"/>
          <tpl fld="6" item="1"/>
          <tpl hier="236" item="1"/>
          <tpl fld="1" item="0"/>
        </tpls>
      </n>
      <m>
        <tpls c="4">
          <tpl fld="7" item="160"/>
          <tpl fld="6" item="2"/>
          <tpl hier="236" item="1"/>
          <tpl fld="1" item="0"/>
        </tpls>
      </m>
      <m>
        <tpls c="4">
          <tpl fld="7" item="364"/>
          <tpl fld="6" item="2"/>
          <tpl hier="236" item="1"/>
          <tpl fld="4" item="6"/>
        </tpls>
      </m>
      <n v="3" in="1">
        <tpls c="4">
          <tpl fld="7" item="971"/>
          <tpl fld="6" item="1"/>
          <tpl hier="236" item="1"/>
          <tpl fld="4" item="1"/>
        </tpls>
      </n>
      <m>
        <tpls c="4">
          <tpl fld="7" item="1118"/>
          <tpl fld="6" item="2"/>
          <tpl hier="236" item="1"/>
          <tpl fld="4" item="1"/>
        </tpls>
      </m>
      <n v="1" in="2">
        <tpls c="4">
          <tpl fld="7" item="949"/>
          <tpl fld="6" item="2"/>
          <tpl hier="236" item="1"/>
          <tpl fld="4" item="1"/>
        </tpls>
      </n>
      <m>
        <tpls c="4">
          <tpl fld="7" item="59"/>
          <tpl fld="6" item="1"/>
          <tpl hier="236" item="1"/>
          <tpl fld="4" item="5"/>
        </tpls>
      </m>
      <m>
        <tpls c="4">
          <tpl fld="7" item="132"/>
          <tpl fld="6" item="2"/>
          <tpl hier="236" item="1"/>
          <tpl fld="4" item="5"/>
        </tpls>
      </m>
      <n v="2" in="1">
        <tpls c="4">
          <tpl fld="7" item="1077"/>
          <tpl fld="6" item="1"/>
          <tpl hier="236" item="1"/>
          <tpl fld="4" item="1"/>
        </tpls>
      </n>
      <n v="0" in="1">
        <tpls c="4">
          <tpl fld="7" item="586"/>
          <tpl fld="6" item="1"/>
          <tpl hier="236" item="1"/>
          <tpl fld="4" item="6"/>
        </tpls>
      </n>
      <m>
        <tpls c="4">
          <tpl fld="7" item="373"/>
          <tpl fld="6" item="2"/>
          <tpl hier="236" item="1"/>
          <tpl fld="4" item="5"/>
        </tpls>
      </m>
      <m>
        <tpls c="4">
          <tpl fld="7" item="335"/>
          <tpl fld="6" item="2"/>
          <tpl hier="236" item="1"/>
          <tpl fld="4" item="6"/>
        </tpls>
      </m>
      <m>
        <tpls c="4">
          <tpl fld="7" item="484"/>
          <tpl fld="6" item="1"/>
          <tpl hier="236" item="1"/>
          <tpl fld="4" item="5"/>
        </tpls>
      </m>
      <m>
        <tpls c="4">
          <tpl fld="7" item="1252"/>
          <tpl fld="6" item="1"/>
          <tpl hier="236" item="1"/>
          <tpl fld="4" item="1"/>
        </tpls>
      </m>
      <n v="4" in="1">
        <tpls c="4">
          <tpl fld="7" item="436"/>
          <tpl fld="6" item="1"/>
          <tpl hier="236" item="1"/>
          <tpl fld="4" item="1"/>
        </tpls>
      </n>
      <m>
        <tpls c="4">
          <tpl fld="7" item="590"/>
          <tpl fld="6" item="1"/>
          <tpl hier="236" item="1"/>
          <tpl fld="4" item="1"/>
        </tpls>
      </m>
      <n v="10" in="1">
        <tpls c="4">
          <tpl fld="7" item="680"/>
          <tpl fld="6" item="1"/>
          <tpl hier="236" item="1"/>
          <tpl fld="1" item="0"/>
        </tpls>
      </n>
      <m>
        <tpls c="4">
          <tpl fld="7" item="36"/>
          <tpl fld="6" item="1"/>
          <tpl hier="236" item="1"/>
          <tpl fld="1" item="0"/>
        </tpls>
      </m>
      <m>
        <tpls c="4">
          <tpl fld="7" item="1000"/>
          <tpl fld="6" item="2"/>
          <tpl hier="236" item="1"/>
          <tpl fld="1" item="0"/>
        </tpls>
      </m>
      <m>
        <tpls c="4">
          <tpl fld="7" item="177"/>
          <tpl fld="6" item="2"/>
          <tpl hier="236" item="1"/>
          <tpl fld="4" item="6"/>
        </tpls>
      </m>
      <m>
        <tpls c="4">
          <tpl fld="7" item="352"/>
          <tpl fld="6" item="1"/>
          <tpl hier="236" item="1"/>
          <tpl fld="4" item="1"/>
        </tpls>
      </m>
      <m>
        <tpls c="4">
          <tpl fld="7" item="201"/>
          <tpl fld="6" item="1"/>
          <tpl hier="236" item="1"/>
          <tpl fld="1" item="0"/>
        </tpls>
      </m>
      <m>
        <tpls c="4">
          <tpl fld="7" item="9"/>
          <tpl fld="6" item="1"/>
          <tpl hier="236" item="1"/>
          <tpl fld="4" item="6"/>
        </tpls>
      </m>
      <m>
        <tpls c="4">
          <tpl fld="7" item="1046"/>
          <tpl fld="6" item="2"/>
          <tpl hier="236" item="1"/>
          <tpl fld="4" item="4"/>
        </tpls>
      </m>
      <m>
        <tpls c="4">
          <tpl fld="7" item="490"/>
          <tpl fld="6" item="1"/>
          <tpl hier="236" item="1"/>
          <tpl fld="4" item="5"/>
        </tpls>
      </m>
      <m>
        <tpls c="3">
          <tpl fld="7" item="232"/>
          <tpl fld="6" item="3"/>
          <tpl hier="236" item="1"/>
        </tpls>
      </m>
      <n v="1" in="1">
        <tpls c="4">
          <tpl fld="7" item="1049"/>
          <tpl fld="6" item="1"/>
          <tpl hier="236" item="1"/>
          <tpl fld="4" item="4"/>
        </tpls>
      </n>
      <m>
        <tpls c="4">
          <tpl fld="7" item="188"/>
          <tpl fld="6" item="2"/>
          <tpl hier="236" item="1"/>
          <tpl fld="4" item="6"/>
        </tpls>
      </m>
      <n v="3" in="1">
        <tpls c="4">
          <tpl fld="7" item="363"/>
          <tpl fld="6" item="1"/>
          <tpl hier="236" item="1"/>
          <tpl fld="4" item="1"/>
        </tpls>
      </n>
      <n v="2" in="1">
        <tpls c="4">
          <tpl fld="7" item="210"/>
          <tpl fld="6" item="1"/>
          <tpl hier="236" item="1"/>
          <tpl fld="1" item="0"/>
        </tpls>
      </n>
      <m>
        <tpls c="4">
          <tpl fld="7" item="220"/>
          <tpl fld="6" item="1"/>
          <tpl hier="236" item="1"/>
          <tpl fld="4" item="6"/>
        </tpls>
      </m>
      <m>
        <tpls c="4">
          <tpl fld="7" item="945"/>
          <tpl fld="6" item="2"/>
          <tpl hier="236" item="1"/>
          <tpl fld="4" item="4"/>
        </tpls>
      </m>
      <m>
        <tpls c="4">
          <tpl fld="7" item="470"/>
          <tpl fld="6" item="1"/>
          <tpl hier="236" item="1"/>
          <tpl fld="4" item="5"/>
        </tpls>
      </m>
      <m>
        <tpls c="4">
          <tpl fld="7" item="1175"/>
          <tpl fld="6" item="2"/>
          <tpl hier="236" item="1"/>
          <tpl fld="4" item="4"/>
        </tpls>
      </m>
      <m>
        <tpls c="4">
          <tpl fld="7" item="64"/>
          <tpl fld="6" item="2"/>
          <tpl hier="236" item="1"/>
          <tpl fld="1" item="0"/>
        </tpls>
      </m>
      <m>
        <tpls c="4">
          <tpl fld="7" item="445"/>
          <tpl fld="6" item="2"/>
          <tpl hier="236" item="1"/>
          <tpl fld="4" item="4"/>
        </tpls>
      </m>
      <m>
        <tpls c="4">
          <tpl fld="7" item="233"/>
          <tpl fld="6" item="2"/>
          <tpl hier="236" item="1"/>
          <tpl fld="1" item="0"/>
        </tpls>
      </m>
      <n v="0.64" in="2">
        <tpls c="4">
          <tpl fld="7" item="998"/>
          <tpl fld="6" item="2"/>
          <tpl hier="236" item="1"/>
          <tpl fld="1" item="0"/>
        </tpls>
      </n>
      <m>
        <tpls c="4">
          <tpl fld="7" item="976"/>
          <tpl fld="6" item="1"/>
          <tpl hier="236" item="1"/>
          <tpl fld="4" item="4"/>
        </tpls>
      </m>
      <m>
        <tpls c="4">
          <tpl fld="7" item="727"/>
          <tpl fld="6" item="2"/>
          <tpl hier="236" item="1"/>
          <tpl fld="1" item="0"/>
        </tpls>
      </m>
      <m>
        <tpls c="3">
          <tpl fld="7" item="913"/>
          <tpl fld="6" item="3"/>
          <tpl hier="236" item="1"/>
        </tpls>
      </m>
      <m>
        <tpls c="4">
          <tpl fld="7" item="337"/>
          <tpl fld="6" item="2"/>
          <tpl hier="236" item="1"/>
          <tpl fld="1" item="0"/>
        </tpls>
      </m>
      <m>
        <tpls c="4">
          <tpl fld="7" item="133"/>
          <tpl fld="6" item="2"/>
          <tpl hier="236" item="1"/>
          <tpl fld="1" item="0"/>
        </tpls>
      </m>
      <m>
        <tpls c="4">
          <tpl fld="7" item="20"/>
          <tpl fld="6" item="2"/>
          <tpl hier="236" item="1"/>
          <tpl fld="4" item="6"/>
        </tpls>
      </m>
      <m>
        <tpls c="4">
          <tpl fld="7" item="286"/>
          <tpl fld="6" item="1"/>
          <tpl hier="236" item="1"/>
          <tpl fld="4" item="1"/>
        </tpls>
      </m>
      <m>
        <tpls c="4">
          <tpl fld="7" item="216"/>
          <tpl fld="6" item="2"/>
          <tpl hier="236" item="1"/>
          <tpl fld="1" item="0"/>
        </tpls>
      </m>
      <m>
        <tpls c="4">
          <tpl fld="7" item="672"/>
          <tpl fld="6" item="2"/>
          <tpl hier="236" item="1"/>
          <tpl fld="4" item="5"/>
        </tpls>
      </m>
      <m>
        <tpls c="4">
          <tpl fld="7" item="385"/>
          <tpl fld="6" item="2"/>
          <tpl hier="236" item="1"/>
          <tpl fld="4" item="6"/>
        </tpls>
      </m>
      <m>
        <tpls c="4">
          <tpl fld="7" item="1027"/>
          <tpl fld="6" item="1"/>
          <tpl hier="236" item="1"/>
          <tpl fld="4" item="5"/>
        </tpls>
      </m>
      <m>
        <tpls c="4">
          <tpl fld="7" item="85"/>
          <tpl fld="6" item="1"/>
          <tpl hier="236" item="1"/>
          <tpl fld="4" item="5"/>
        </tpls>
      </m>
      <n v="0" in="1">
        <tpls c="4">
          <tpl fld="7" item="951"/>
          <tpl fld="6" item="1"/>
          <tpl hier="236" item="1"/>
          <tpl fld="4" item="1"/>
        </tpls>
      </n>
      <n v="1" in="1">
        <tpls c="4">
          <tpl fld="7" item="1191"/>
          <tpl fld="6" item="1"/>
          <tpl hier="236" item="1"/>
          <tpl fld="4" item="1"/>
        </tpls>
      </n>
      <m>
        <tpls c="4">
          <tpl fld="7" item="89"/>
          <tpl fld="6" item="1"/>
          <tpl hier="236" item="1"/>
          <tpl fld="4" item="1"/>
        </tpls>
      </m>
      <m>
        <tpls c="4">
          <tpl fld="7" item="751"/>
          <tpl fld="6" item="1"/>
          <tpl hier="236" item="1"/>
          <tpl fld="4" item="1"/>
        </tpls>
      </m>
      <m>
        <tpls c="4">
          <tpl fld="7" item="994"/>
          <tpl fld="6" item="1"/>
          <tpl hier="236" item="1"/>
          <tpl fld="4" item="5"/>
        </tpls>
      </m>
      <m>
        <tpls c="4">
          <tpl fld="7" item="1007"/>
          <tpl fld="6" item="1"/>
          <tpl hier="236" item="1"/>
          <tpl fld="4" item="6"/>
        </tpls>
      </m>
      <n v="1" in="1">
        <tpls c="4">
          <tpl fld="7" item="1236"/>
          <tpl fld="6" item="1"/>
          <tpl hier="236" item="1"/>
          <tpl fld="4" item="4"/>
        </tpls>
      </n>
      <m>
        <tpls c="4">
          <tpl fld="7" item="227"/>
          <tpl fld="6" item="2"/>
          <tpl hier="236" item="1"/>
          <tpl fld="1" item="0"/>
        </tpls>
      </m>
      <n v="1.6" in="2">
        <tpls c="4">
          <tpl fld="7" item="595"/>
          <tpl fld="6" item="2"/>
          <tpl hier="236" item="1"/>
          <tpl fld="4" item="5"/>
        </tpls>
      </n>
      <m>
        <tpls c="4">
          <tpl fld="7" item="330"/>
          <tpl fld="6" item="2"/>
          <tpl hier="236" item="1"/>
          <tpl fld="4" item="5"/>
        </tpls>
      </m>
      <m>
        <tpls c="4">
          <tpl fld="7" item="848"/>
          <tpl fld="6" item="2"/>
          <tpl hier="236" item="1"/>
          <tpl fld="4" item="6"/>
        </tpls>
      </m>
      <m>
        <tpls c="4">
          <tpl fld="7" item="313"/>
          <tpl fld="6" item="2"/>
          <tpl hier="236" item="1"/>
          <tpl fld="4" item="6"/>
        </tpls>
      </m>
      <m>
        <tpls c="4">
          <tpl fld="7" item="470"/>
          <tpl fld="6" item="2"/>
          <tpl hier="236" item="1"/>
          <tpl fld="4" item="6"/>
        </tpls>
      </m>
      <m>
        <tpls c="4">
          <tpl fld="7" item="761"/>
          <tpl fld="6" item="1"/>
          <tpl hier="236" item="1"/>
          <tpl fld="4" item="5"/>
        </tpls>
      </m>
      <m>
        <tpls c="4">
          <tpl fld="7" item="592"/>
          <tpl fld="6" item="1"/>
          <tpl hier="236" item="1"/>
          <tpl fld="4" item="5"/>
        </tpls>
      </m>
      <n v="4" in="1">
        <tpls c="4">
          <tpl fld="7" item="1203"/>
          <tpl fld="6" item="1"/>
          <tpl hier="236" item="1"/>
          <tpl fld="4" item="1"/>
        </tpls>
      </n>
      <m>
        <tpls c="4">
          <tpl fld="7" item="833"/>
          <tpl fld="6" item="1"/>
          <tpl hier="236" item="1"/>
          <tpl fld="4" item="1"/>
        </tpls>
      </m>
      <m>
        <tpls c="4">
          <tpl fld="7" item="190"/>
          <tpl fld="6" item="1"/>
          <tpl hier="236" item="1"/>
          <tpl fld="4" item="1"/>
        </tpls>
      </m>
      <m>
        <tpls c="4">
          <tpl fld="7" item="15"/>
          <tpl fld="6" item="1"/>
          <tpl hier="236" item="1"/>
          <tpl fld="4" item="1"/>
        </tpls>
      </m>
      <n v="0" in="1">
        <tpls c="4">
          <tpl fld="7" item="1263"/>
          <tpl fld="6" item="1"/>
          <tpl hier="236" item="1"/>
          <tpl fld="1" item="0"/>
        </tpls>
      </n>
      <m>
        <tpls c="4">
          <tpl fld="7" item="183"/>
          <tpl fld="6" item="1"/>
          <tpl hier="236" item="1"/>
          <tpl fld="1" item="0"/>
        </tpls>
      </m>
      <m>
        <tpls c="4">
          <tpl fld="7" item="59"/>
          <tpl fld="6" item="1"/>
          <tpl hier="236" item="1"/>
          <tpl fld="4" item="6"/>
        </tpls>
      </m>
      <m>
        <tpls c="4">
          <tpl fld="7" item="139"/>
          <tpl fld="6" item="2"/>
          <tpl hier="236" item="1"/>
          <tpl fld="1" item="0"/>
        </tpls>
      </m>
      <n v="7.5383783783783782" in="2">
        <tpls c="4">
          <tpl fld="7" item="675"/>
          <tpl fld="6" item="2"/>
          <tpl hier="236" item="1"/>
          <tpl fld="4" item="6"/>
        </tpls>
      </n>
      <m>
        <tpls c="4">
          <tpl fld="7" item="1167"/>
          <tpl fld="6" item="1"/>
          <tpl hier="236" item="1"/>
          <tpl fld="4" item="1"/>
        </tpls>
      </m>
      <m>
        <tpls c="4">
          <tpl fld="7" item="922"/>
          <tpl fld="6" item="1"/>
          <tpl hier="236" item="1"/>
          <tpl fld="1" item="0"/>
        </tpls>
      </m>
      <m>
        <tpls c="4">
          <tpl fld="7" item="296"/>
          <tpl fld="6" item="1"/>
          <tpl hier="236" item="1"/>
          <tpl fld="1" item="0"/>
        </tpls>
      </m>
      <m>
        <tpls c="4">
          <tpl fld="7" item="128"/>
          <tpl fld="6" item="1"/>
          <tpl hier="236" item="1"/>
          <tpl fld="4" item="6"/>
        </tpls>
      </m>
      <m>
        <tpls c="4">
          <tpl fld="7" item="1076"/>
          <tpl fld="6" item="2"/>
          <tpl hier="236" item="1"/>
          <tpl fld="4" item="4"/>
        </tpls>
      </m>
      <m>
        <tpls c="4">
          <tpl fld="7" item="134"/>
          <tpl fld="6" item="2"/>
          <tpl hier="236" item="1"/>
          <tpl fld="4" item="4"/>
        </tpls>
      </m>
      <m>
        <tpls c="4">
          <tpl fld="7" item="1136"/>
          <tpl fld="6" item="1"/>
          <tpl hier="236" item="1"/>
          <tpl fld="4" item="1"/>
        </tpls>
      </m>
      <m>
        <tpls c="4">
          <tpl fld="7" item="225"/>
          <tpl fld="6" item="1"/>
          <tpl hier="236" item="1"/>
          <tpl fld="4" item="6"/>
        </tpls>
      </m>
      <m>
        <tpls c="3">
          <tpl fld="7" item="646"/>
          <tpl fld="6" item="3"/>
          <tpl hier="236" item="1"/>
        </tpls>
      </m>
      <m>
        <tpls c="4">
          <tpl fld="7" item="431"/>
          <tpl fld="6" item="2"/>
          <tpl hier="236" item="1"/>
          <tpl fld="4" item="5"/>
        </tpls>
      </m>
      <m>
        <tpls c="4">
          <tpl fld="7" item="132"/>
          <tpl fld="6" item="2"/>
          <tpl hier="236" item="1"/>
          <tpl fld="4" item="6"/>
        </tpls>
      </m>
      <m>
        <tpls c="4">
          <tpl fld="7" item="1007"/>
          <tpl fld="6" item="1"/>
          <tpl hier="236" item="1"/>
          <tpl fld="4" item="1"/>
        </tpls>
      </m>
      <n v="1" in="1">
        <tpls c="4">
          <tpl fld="7" item="896"/>
          <tpl fld="6" item="1"/>
          <tpl hier="236" item="1"/>
          <tpl fld="1" item="0"/>
        </tpls>
      </n>
      <m>
        <tpls c="4">
          <tpl fld="7" item="145"/>
          <tpl fld="6" item="1"/>
          <tpl hier="236" item="1"/>
          <tpl fld="1" item="0"/>
        </tpls>
      </m>
      <m>
        <tpls c="3">
          <tpl fld="7" item="1101"/>
          <tpl fld="6" item="3"/>
          <tpl hier="236" item="1"/>
        </tpls>
      </m>
      <m>
        <tpls c="4">
          <tpl fld="7" item="955"/>
          <tpl fld="6" item="2"/>
          <tpl hier="236" item="1"/>
          <tpl fld="4" item="4"/>
        </tpls>
      </m>
      <n v="3.6399999999999997" in="2">
        <tpls c="4">
          <tpl fld="7" item="322"/>
          <tpl fld="6" item="2"/>
          <tpl hier="236" item="1"/>
          <tpl fld="1" item="0"/>
        </tpls>
      </n>
      <m>
        <tpls c="4">
          <tpl fld="7" item="435"/>
          <tpl fld="6" item="1"/>
          <tpl hier="236" item="1"/>
          <tpl fld="1" item="0"/>
        </tpls>
      </m>
      <m>
        <tpls c="4">
          <tpl fld="7" item="1145"/>
          <tpl fld="6" item="2"/>
          <tpl hier="236" item="1"/>
          <tpl fld="4" item="4"/>
        </tpls>
      </m>
      <m>
        <tpls c="4">
          <tpl fld="7" item="1067"/>
          <tpl fld="6" item="1"/>
          <tpl hier="236" item="1"/>
          <tpl fld="4" item="4"/>
        </tpls>
      </m>
      <m>
        <tpls c="4">
          <tpl fld="7" item="1246"/>
          <tpl fld="6" item="2"/>
          <tpl hier="236" item="1"/>
          <tpl fld="4" item="6"/>
        </tpls>
      </m>
      <m>
        <tpls c="4">
          <tpl fld="7" item="177"/>
          <tpl fld="6" item="1"/>
          <tpl hier="236" item="1"/>
          <tpl fld="4" item="5"/>
        </tpls>
      </m>
      <m>
        <tpls c="4">
          <tpl fld="7" item="136"/>
          <tpl fld="6" item="1"/>
          <tpl hier="236" item="1"/>
          <tpl fld="4" item="1"/>
        </tpls>
      </m>
      <n v="0" in="1">
        <tpls c="4">
          <tpl fld="7" item="207"/>
          <tpl fld="6" item="1"/>
          <tpl hier="236" item="1"/>
          <tpl fld="1" item="0"/>
        </tpls>
      </n>
      <m>
        <tpls c="4">
          <tpl fld="7" item="340"/>
          <tpl fld="6" item="1"/>
          <tpl hier="236" item="1"/>
          <tpl fld="4" item="6"/>
        </tpls>
      </m>
      <m>
        <tpls c="3">
          <tpl fld="7" item="750"/>
          <tpl fld="6" item="3"/>
          <tpl hier="236" item="1"/>
        </tpls>
      </m>
      <n v="0.4" in="2">
        <tpls c="4">
          <tpl fld="7" item="829"/>
          <tpl fld="6" item="2"/>
          <tpl hier="236" item="1"/>
          <tpl fld="4" item="4"/>
        </tpls>
      </n>
      <m>
        <tpls c="4">
          <tpl fld="7" item="741"/>
          <tpl fld="6" item="1"/>
          <tpl hier="236" item="1"/>
          <tpl fld="4" item="6"/>
        </tpls>
      </m>
      <m>
        <tpls c="4">
          <tpl fld="7" item="48"/>
          <tpl fld="6" item="2"/>
          <tpl hier="236" item="1"/>
          <tpl fld="4" item="5"/>
        </tpls>
      </m>
      <m>
        <tpls c="4">
          <tpl fld="7" item="1194"/>
          <tpl fld="6" item="1"/>
          <tpl hier="236" item="1"/>
          <tpl fld="1" item="0"/>
        </tpls>
      </m>
      <m>
        <tpls c="4">
          <tpl fld="7" item="1170"/>
          <tpl fld="6" item="2"/>
          <tpl hier="236" item="1"/>
          <tpl fld="4" item="4"/>
        </tpls>
      </m>
      <n v="1" in="2">
        <tpls c="4">
          <tpl fld="7" item="726"/>
          <tpl fld="6" item="2"/>
          <tpl hier="236" item="1"/>
          <tpl fld="4" item="4"/>
        </tpls>
      </n>
      <n v="1" in="2">
        <tpls c="4">
          <tpl fld="7" item="744"/>
          <tpl fld="6" item="2"/>
          <tpl hier="236" item="1"/>
          <tpl fld="1" item="0"/>
        </tpls>
      </n>
      <m>
        <tpls c="4">
          <tpl fld="7" item="986"/>
          <tpl fld="6" item="2"/>
          <tpl hier="236" item="1"/>
          <tpl fld="4" item="5"/>
        </tpls>
      </m>
      <m>
        <tpls c="4">
          <tpl fld="7" item="853"/>
          <tpl fld="6" item="2"/>
          <tpl hier="236" item="1"/>
          <tpl fld="4" item="1"/>
        </tpls>
      </m>
      <n v="6" in="1">
        <tpls c="4">
          <tpl fld="7" item="646"/>
          <tpl fld="6" item="1"/>
          <tpl hier="236" item="1"/>
          <tpl fld="1" item="0"/>
        </tpls>
      </n>
      <m>
        <tpls c="4">
          <tpl fld="7" item="24"/>
          <tpl fld="6" item="2"/>
          <tpl hier="236" item="1"/>
          <tpl fld="4" item="6"/>
        </tpls>
      </m>
      <m>
        <tpls c="4">
          <tpl fld="7" item="808"/>
          <tpl fld="6" item="2"/>
          <tpl hier="236" item="1"/>
          <tpl fld="4" item="4"/>
        </tpls>
      </m>
      <m>
        <tpls c="4">
          <tpl fld="7" item="483"/>
          <tpl fld="6" item="2"/>
          <tpl hier="236" item="1"/>
          <tpl fld="4" item="5"/>
        </tpls>
      </m>
      <m>
        <tpls c="4">
          <tpl fld="7" item="299"/>
          <tpl fld="6" item="2"/>
          <tpl hier="236" item="1"/>
          <tpl fld="4" item="6"/>
        </tpls>
      </m>
      <m>
        <tpls c="4">
          <tpl fld="7" item="287"/>
          <tpl fld="6" item="1"/>
          <tpl hier="236" item="1"/>
          <tpl fld="4" item="5"/>
        </tpls>
      </m>
      <m>
        <tpls c="4">
          <tpl fld="7" item="197"/>
          <tpl fld="6" item="1"/>
          <tpl hier="236" item="1"/>
          <tpl fld="4" item="1"/>
        </tpls>
      </m>
      <n v="0.84000000000000008" in="2">
        <tpls c="4">
          <tpl fld="7" item="612"/>
          <tpl fld="6" item="2"/>
          <tpl hier="236" item="1"/>
          <tpl fld="4" item="4"/>
        </tpls>
      </n>
      <m>
        <tpls c="4">
          <tpl fld="7" item="1245"/>
          <tpl fld="6" item="2"/>
          <tpl hier="236" item="1"/>
          <tpl fld="4" item="4"/>
        </tpls>
      </m>
      <m>
        <tpls c="4">
          <tpl fld="7" item="1195"/>
          <tpl fld="6" item="2"/>
          <tpl hier="236" item="1"/>
          <tpl fld="4" item="5"/>
        </tpls>
      </m>
      <m>
        <tpls c="4">
          <tpl fld="7" item="590"/>
          <tpl fld="6" item="2"/>
          <tpl hier="236" item="1"/>
          <tpl fld="4" item="5"/>
        </tpls>
      </m>
      <m>
        <tpls c="4">
          <tpl fld="7" item="344"/>
          <tpl fld="6" item="2"/>
          <tpl hier="236" item="1"/>
          <tpl fld="4" item="6"/>
        </tpls>
      </m>
      <m>
        <tpls c="4">
          <tpl fld="7" item="316"/>
          <tpl fld="6" item="1"/>
          <tpl hier="236" item="1"/>
          <tpl fld="4" item="5"/>
        </tpls>
      </m>
      <m>
        <tpls c="4">
          <tpl fld="7" item="359"/>
          <tpl fld="6" item="1"/>
          <tpl hier="236" item="1"/>
          <tpl fld="4" item="1"/>
        </tpls>
      </m>
      <m>
        <tpls c="4">
          <tpl fld="7" item="218"/>
          <tpl fld="6" item="1"/>
          <tpl hier="236" item="1"/>
          <tpl fld="4" item="1"/>
        </tpls>
      </m>
      <n v="11" in="1">
        <tpls c="4">
          <tpl fld="7" item="382"/>
          <tpl fld="6" item="1"/>
          <tpl hier="236" item="1"/>
          <tpl fld="4" item="1"/>
        </tpls>
      </n>
      <m>
        <tpls c="3">
          <tpl fld="7" item="224"/>
          <tpl fld="6" item="3"/>
          <tpl hier="236" item="1"/>
        </tpls>
      </m>
      <m>
        <tpls c="4">
          <tpl fld="7" item="447"/>
          <tpl fld="6" item="1"/>
          <tpl hier="236" item="1"/>
          <tpl fld="4" item="5"/>
        </tpls>
      </m>
      <m>
        <tpls c="4">
          <tpl fld="7" item="47"/>
          <tpl fld="6" item="2"/>
          <tpl hier="236" item="1"/>
          <tpl fld="1" item="0"/>
        </tpls>
      </m>
      <m>
        <tpls c="4">
          <tpl fld="7" item="652"/>
          <tpl fld="6" item="2"/>
          <tpl hier="236" item="1"/>
          <tpl fld="4" item="5"/>
        </tpls>
      </m>
      <m>
        <tpls c="4">
          <tpl fld="7" item="103"/>
          <tpl fld="6" item="2"/>
          <tpl hier="236" item="1"/>
          <tpl fld="4" item="5"/>
        </tpls>
      </m>
      <m>
        <tpls c="4">
          <tpl fld="7" item="911"/>
          <tpl fld="6" item="2"/>
          <tpl hier="236" item="1"/>
          <tpl fld="4" item="5"/>
        </tpls>
      </m>
      <n v="2" in="1">
        <tpls c="4">
          <tpl fld="7" item="517"/>
          <tpl fld="6" item="1"/>
          <tpl hier="236" item="1"/>
          <tpl fld="4" item="5"/>
        </tpls>
      </n>
      <m>
        <tpls c="4">
          <tpl fld="7" item="110"/>
          <tpl fld="6" item="1"/>
          <tpl hier="236" item="1"/>
          <tpl fld="4" item="1"/>
        </tpls>
      </m>
      <m>
        <tpls c="4">
          <tpl fld="7" item="244"/>
          <tpl fld="6" item="2"/>
          <tpl hier="236" item="1"/>
          <tpl fld="1" item="0"/>
        </tpls>
      </m>
      <m>
        <tpls c="4">
          <tpl fld="7" item="316"/>
          <tpl fld="6" item="2"/>
          <tpl hier="236" item="1"/>
          <tpl fld="4" item="6"/>
        </tpls>
      </m>
      <m>
        <tpls c="4">
          <tpl fld="7" item="1267"/>
          <tpl fld="6" item="1"/>
          <tpl hier="236" item="1"/>
          <tpl fld="4" item="1"/>
        </tpls>
      </m>
      <n v="15" in="1">
        <tpls c="4">
          <tpl fld="7" item="763"/>
          <tpl fld="6" item="1"/>
          <tpl hier="236" item="1"/>
          <tpl fld="1" item="0"/>
        </tpls>
      </n>
      <m>
        <tpls c="4">
          <tpl fld="7" item="40"/>
          <tpl fld="6" item="2"/>
          <tpl hier="236" item="1"/>
          <tpl fld="4" item="6"/>
        </tpls>
      </m>
      <m>
        <tpls c="3">
          <tpl fld="7" item="1239"/>
          <tpl fld="6" item="3"/>
          <tpl hier="236" item="1"/>
        </tpls>
      </m>
      <m>
        <tpls c="4">
          <tpl fld="7" item="1176"/>
          <tpl fld="6" item="2"/>
          <tpl hier="236" item="1"/>
          <tpl fld="4" item="4"/>
        </tpls>
      </m>
      <m>
        <tpls c="4">
          <tpl fld="7" item="70"/>
          <tpl fld="6" item="1"/>
          <tpl hier="236" item="1"/>
          <tpl fld="4" item="1"/>
        </tpls>
      </m>
      <m>
        <tpls c="4">
          <tpl fld="7" item="942"/>
          <tpl fld="6" item="2"/>
          <tpl hier="236" item="1"/>
          <tpl fld="4" item="4"/>
        </tpls>
      </m>
      <m>
        <tpls c="4">
          <tpl fld="7" item="374"/>
          <tpl fld="6" item="2"/>
          <tpl hier="236" item="1"/>
          <tpl fld="4" item="5"/>
        </tpls>
      </m>
      <n v="4" in="1">
        <tpls c="4">
          <tpl fld="7" item="1022"/>
          <tpl fld="6" item="1"/>
          <tpl hier="236" item="1"/>
          <tpl fld="1" item="0"/>
        </tpls>
      </n>
      <m>
        <tpls c="3">
          <tpl fld="7" item="326"/>
          <tpl fld="6" item="3"/>
          <tpl hier="236" item="1"/>
        </tpls>
      </m>
      <m>
        <tpls c="4">
          <tpl fld="7" item="600"/>
          <tpl fld="6" item="2"/>
          <tpl hier="236" item="1"/>
          <tpl fld="4" item="5"/>
        </tpls>
      </m>
      <m>
        <tpls c="4">
          <tpl fld="7" item="310"/>
          <tpl fld="6" item="1"/>
          <tpl hier="236" item="1"/>
          <tpl fld="4" item="6"/>
        </tpls>
      </m>
      <m>
        <tpls c="4">
          <tpl fld="7" item="882"/>
          <tpl fld="6" item="2"/>
          <tpl hier="236" item="1"/>
          <tpl fld="4" item="6"/>
        </tpls>
      </m>
      <m>
        <tpls c="4">
          <tpl fld="7" item="1128"/>
          <tpl fld="6" item="1"/>
          <tpl hier="236" item="1"/>
          <tpl fld="4" item="6"/>
        </tpls>
      </m>
      <m>
        <tpls c="4">
          <tpl fld="7" item="650"/>
          <tpl fld="6" item="2"/>
          <tpl hier="236" item="1"/>
          <tpl fld="4" item="1"/>
        </tpls>
      </m>
      <m>
        <tpls c="4">
          <tpl fld="7" item="1127"/>
          <tpl fld="6" item="2"/>
          <tpl hier="236" item="1"/>
          <tpl fld="1" item="0"/>
        </tpls>
      </m>
      <m>
        <tpls c="4">
          <tpl fld="7" item="861"/>
          <tpl fld="6" item="2"/>
          <tpl hier="236" item="1"/>
          <tpl fld="4" item="5"/>
        </tpls>
      </m>
      <m>
        <tpls c="4">
          <tpl fld="7" item="1043"/>
          <tpl fld="6" item="1"/>
          <tpl hier="236" item="1"/>
          <tpl fld="4" item="1"/>
        </tpls>
      </m>
      <m>
        <tpls c="4">
          <tpl fld="7" item="116"/>
          <tpl fld="6" item="2"/>
          <tpl hier="236" item="1"/>
          <tpl fld="1" item="0"/>
        </tpls>
      </m>
      <m>
        <tpls c="4">
          <tpl fld="7" item="1262"/>
          <tpl fld="6" item="2"/>
          <tpl hier="236" item="1"/>
          <tpl fld="4" item="6"/>
        </tpls>
      </m>
      <m>
        <tpls c="4">
          <tpl fld="7" item="1123"/>
          <tpl fld="6" item="1"/>
          <tpl hier="236" item="1"/>
          <tpl fld="4" item="5"/>
        </tpls>
      </m>
      <m>
        <tpls c="4">
          <tpl fld="7" item="952"/>
          <tpl fld="6" item="1"/>
          <tpl hier="236" item="1"/>
          <tpl fld="4" item="1"/>
        </tpls>
      </m>
      <m>
        <tpls c="4">
          <tpl fld="7" item="93"/>
          <tpl fld="6" item="1"/>
          <tpl hier="236" item="1"/>
          <tpl fld="4" item="1"/>
        </tpls>
      </m>
      <n v="4" in="1">
        <tpls c="4">
          <tpl fld="7" item="810"/>
          <tpl fld="6" item="1"/>
          <tpl hier="236" item="1"/>
          <tpl fld="4" item="4"/>
        </tpls>
      </n>
      <n v="6" in="1">
        <tpls c="4">
          <tpl fld="7" item="1269"/>
          <tpl fld="6" item="1"/>
          <tpl hier="236" item="1"/>
          <tpl fld="4" item="4"/>
        </tpls>
      </n>
      <n v="1.5502702702702704" in="2">
        <tpls c="4">
          <tpl fld="7" item="675"/>
          <tpl fld="6" item="2"/>
          <tpl hier="236" item="1"/>
          <tpl fld="4" item="5"/>
        </tpls>
      </n>
      <m>
        <tpls c="4">
          <tpl fld="7" item="849"/>
          <tpl fld="6" item="2"/>
          <tpl hier="236" item="1"/>
          <tpl fld="4" item="6"/>
        </tpls>
      </m>
      <m>
        <tpls c="4">
          <tpl fld="7" item="329"/>
          <tpl fld="6" item="2"/>
          <tpl hier="236" item="1"/>
          <tpl fld="4" item="6"/>
        </tpls>
      </m>
      <m>
        <tpls c="4">
          <tpl fld="7" item="171"/>
          <tpl fld="6" item="1"/>
          <tpl hier="236" item="1"/>
          <tpl fld="4" item="5"/>
        </tpls>
      </m>
      <n v="3" in="1">
        <tpls c="4">
          <tpl fld="7" item="834"/>
          <tpl fld="6" item="1"/>
          <tpl hier="236" item="1"/>
          <tpl fld="4" item="1"/>
        </tpls>
      </n>
      <m>
        <tpls c="4">
          <tpl fld="7" item="402"/>
          <tpl fld="6" item="1"/>
          <tpl hier="236" item="1"/>
          <tpl fld="4" item="1"/>
        </tpls>
      </m>
      <m>
        <tpls c="4">
          <tpl fld="7" item="184"/>
          <tpl fld="6" item="1"/>
          <tpl hier="236" item="1"/>
          <tpl fld="1" item="0"/>
        </tpls>
      </m>
      <m>
        <tpls c="4">
          <tpl fld="7" item="147"/>
          <tpl fld="6" item="2"/>
          <tpl hier="236" item="1"/>
          <tpl fld="1" item="0"/>
        </tpls>
      </m>
      <m>
        <tpls c="4">
          <tpl fld="7" item="1171"/>
          <tpl fld="6" item="1"/>
          <tpl hier="236" item="1"/>
          <tpl fld="4" item="1"/>
        </tpls>
      </m>
      <m>
        <tpls c="4">
          <tpl fld="7" item="81"/>
          <tpl fld="6" item="1"/>
          <tpl hier="236" item="1"/>
          <tpl fld="1" item="0"/>
        </tpls>
      </m>
      <m>
        <tpls c="4">
          <tpl fld="7" item="1077"/>
          <tpl fld="6" item="2"/>
          <tpl hier="236" item="1"/>
          <tpl fld="4" item="4"/>
        </tpls>
      </m>
      <m>
        <tpls c="4">
          <tpl fld="7" item="1148"/>
          <tpl fld="6" item="1"/>
          <tpl hier="236" item="1"/>
          <tpl fld="4" item="1"/>
        </tpls>
      </m>
      <m>
        <tpls c="4">
          <tpl fld="7" item="806"/>
          <tpl fld="6" item="2"/>
          <tpl hier="236" item="1"/>
          <tpl fld="4" item="4"/>
        </tpls>
      </m>
      <m>
        <tpls c="4">
          <tpl fld="7" item="248"/>
          <tpl fld="6" item="2"/>
          <tpl hier="236" item="1"/>
          <tpl fld="4" item="6"/>
        </tpls>
      </m>
      <n v="1" in="1">
        <tpls c="4">
          <tpl fld="7" item="1104"/>
          <tpl fld="6" item="1"/>
          <tpl hier="236" item="1"/>
          <tpl fld="1" item="0"/>
        </tpls>
      </n>
      <m>
        <tpls c="3">
          <tpl fld="7" item="828"/>
          <tpl fld="6" item="3"/>
          <tpl hier="236" item="1"/>
        </tpls>
      </m>
      <m>
        <tpls c="4">
          <tpl fld="7" item="220"/>
          <tpl fld="6" item="2"/>
          <tpl hier="236" item="1"/>
          <tpl fld="4" item="4"/>
        </tpls>
      </m>
      <m>
        <tpls c="4">
          <tpl fld="7" item="1148"/>
          <tpl fld="6" item="2"/>
          <tpl hier="236" item="1"/>
          <tpl fld="4" item="4"/>
        </tpls>
      </m>
      <m>
        <tpls c="4">
          <tpl fld="7" item="1286"/>
          <tpl fld="6" item="2"/>
          <tpl hier="236" item="1"/>
          <tpl fld="4" item="6"/>
        </tpls>
      </m>
      <m>
        <tpls c="4">
          <tpl fld="7" item="1153"/>
          <tpl fld="6" item="1"/>
          <tpl hier="236" item="1"/>
          <tpl fld="4" item="1"/>
        </tpls>
      </m>
      <n v="60" in="1">
        <tpls c="4">
          <tpl fld="7" item="518"/>
          <tpl fld="6" item="1"/>
          <tpl hier="236" item="1"/>
          <tpl fld="1" item="0"/>
        </tpls>
      </n>
      <n v="0" in="1">
        <tpls c="4">
          <tpl fld="7" item="885"/>
          <tpl fld="6" item="1"/>
          <tpl hier="236" item="1"/>
          <tpl fld="4" item="6"/>
        </tpls>
      </n>
      <m>
        <tpls c="4">
          <tpl fld="7" item="1234"/>
          <tpl fld="6" item="2"/>
          <tpl hier="236" item="1"/>
          <tpl fld="4" item="4"/>
        </tpls>
      </m>
      <m>
        <tpls c="4">
          <tpl fld="7" item="109"/>
          <tpl fld="6" item="2"/>
          <tpl hier="236" item="1"/>
          <tpl fld="4" item="4"/>
        </tpls>
      </m>
      <m>
        <tpls c="4">
          <tpl fld="7" item="73"/>
          <tpl fld="6" item="2"/>
          <tpl hier="236" item="1"/>
          <tpl fld="4" item="5"/>
        </tpls>
      </m>
      <m>
        <tpls c="4">
          <tpl fld="7" item="345"/>
          <tpl fld="6" item="1"/>
          <tpl hier="236" item="1"/>
          <tpl fld="1" item="0"/>
        </tpls>
      </m>
      <m>
        <tpls c="4">
          <tpl fld="7" item="989"/>
          <tpl fld="6" item="1"/>
          <tpl hier="236" item="1"/>
          <tpl fld="4" item="5"/>
        </tpls>
      </m>
      <m>
        <tpls c="4">
          <tpl fld="7" item="1189"/>
          <tpl fld="6" item="2"/>
          <tpl hier="236" item="1"/>
          <tpl fld="4" item="6"/>
        </tpls>
      </m>
      <m>
        <tpls c="4">
          <tpl fld="7" item="372"/>
          <tpl fld="6" item="2"/>
          <tpl hier="236" item="1"/>
          <tpl fld="1" item="0"/>
        </tpls>
      </m>
      <n v="8" in="1">
        <tpls c="4">
          <tpl fld="7" item="1216"/>
          <tpl fld="6" item="1"/>
          <tpl hier="236" item="1"/>
          <tpl fld="4" item="4"/>
        </tpls>
      </n>
      <m>
        <tpls c="4">
          <tpl fld="7" item="1265"/>
          <tpl fld="6" item="2"/>
          <tpl hier="236" item="1"/>
          <tpl fld="4" item="5"/>
        </tpls>
      </m>
      <m>
        <tpls c="4">
          <tpl fld="7" item="1000"/>
          <tpl fld="6" item="2"/>
          <tpl hier="236" item="1"/>
          <tpl fld="4" item="6"/>
        </tpls>
      </m>
      <m>
        <tpls c="4">
          <tpl fld="7" item="735"/>
          <tpl fld="6" item="1"/>
          <tpl hier="236" item="1"/>
          <tpl fld="4" item="6"/>
        </tpls>
      </m>
      <m>
        <tpls c="4">
          <tpl fld="7" item="233"/>
          <tpl fld="6" item="2"/>
          <tpl hier="236" item="1"/>
          <tpl fld="4" item="6"/>
        </tpls>
      </m>
      <m>
        <tpls c="4">
          <tpl fld="7" item="554"/>
          <tpl fld="6" item="2"/>
          <tpl hier="236" item="1"/>
          <tpl fld="4" item="4"/>
        </tpls>
      </m>
      <m>
        <tpls c="4">
          <tpl fld="7" item="62"/>
          <tpl fld="6" item="2"/>
          <tpl hier="236" item="1"/>
          <tpl fld="4" item="5"/>
        </tpls>
      </m>
      <m>
        <tpls c="4">
          <tpl fld="7" item="146"/>
          <tpl fld="6" item="1"/>
          <tpl hier="236" item="1"/>
          <tpl fld="4" item="5"/>
        </tpls>
      </m>
      <n v="4" in="1">
        <tpls c="4">
          <tpl fld="7" item="1192"/>
          <tpl fld="6" item="1"/>
          <tpl hier="236" item="1"/>
          <tpl fld="1" item="0"/>
        </tpls>
      </n>
      <m>
        <tpls c="4">
          <tpl fld="7" item="904"/>
          <tpl fld="6" item="1"/>
          <tpl hier="236" item="1"/>
          <tpl fld="4" item="1"/>
        </tpls>
      </m>
      <m>
        <tpls c="4">
          <tpl fld="7" item="847"/>
          <tpl fld="6" item="1"/>
          <tpl hier="236" item="1"/>
          <tpl fld="4" item="5"/>
        </tpls>
      </m>
      <m>
        <tpls c="4">
          <tpl fld="7" item="1125"/>
          <tpl fld="6" item="1"/>
          <tpl hier="236" item="1"/>
          <tpl fld="1" item="0"/>
        </tpls>
      </m>
      <m>
        <tpls c="4">
          <tpl fld="7" item="116"/>
          <tpl fld="6" item="1"/>
          <tpl hier="236" item="1"/>
          <tpl fld="4" item="1"/>
        </tpls>
      </m>
      <n v="5" in="1">
        <tpls c="4">
          <tpl fld="7" item="1115"/>
          <tpl fld="6" item="1"/>
          <tpl hier="236" item="1"/>
          <tpl fld="4" item="1"/>
        </tpls>
      </n>
      <m>
        <tpls c="3">
          <tpl fld="7" item="19"/>
          <tpl fld="6" item="3"/>
          <tpl hier="236" item="1"/>
        </tpls>
      </m>
      <n v="5" in="1">
        <tpls c="4">
          <tpl fld="7" item="492"/>
          <tpl fld="6" item="1"/>
          <tpl hier="236" item="1"/>
          <tpl fld="4" item="1"/>
        </tpls>
      </n>
      <m>
        <tpls c="4">
          <tpl fld="7" item="239"/>
          <tpl fld="6" item="1"/>
          <tpl hier="236" item="1"/>
          <tpl fld="4" item="1"/>
        </tpls>
      </m>
      <m>
        <tpls c="4">
          <tpl fld="7" item="173"/>
          <tpl fld="6" item="2"/>
          <tpl hier="236" item="1"/>
          <tpl fld="4" item="6"/>
        </tpls>
      </m>
      <m>
        <tpls c="3">
          <tpl fld="7" item="532"/>
          <tpl fld="6" item="3"/>
          <tpl hier="236" item="1"/>
        </tpls>
      </m>
      <m>
        <tpls c="4">
          <tpl fld="7" item="604"/>
          <tpl fld="6" item="1"/>
          <tpl hier="236" item="1"/>
          <tpl fld="4" item="6"/>
        </tpls>
      </m>
      <m>
        <tpls c="4">
          <tpl fld="7" item="549"/>
          <tpl fld="6" item="2"/>
          <tpl hier="236" item="1"/>
          <tpl fld="4" item="4"/>
        </tpls>
      </m>
      <n v="1" in="1">
        <tpls c="4">
          <tpl fld="7" item="555"/>
          <tpl fld="6" item="1"/>
          <tpl hier="236" item="1"/>
          <tpl fld="4" item="5"/>
        </tpls>
      </n>
      <m>
        <tpls c="4">
          <tpl fld="7" item="653"/>
          <tpl fld="6" item="2"/>
          <tpl hier="236" item="1"/>
          <tpl fld="4" item="6"/>
        </tpls>
      </m>
      <n v="1" in="3">
        <tpls c="3">
          <tpl fld="7" item="878"/>
          <tpl fld="6" item="3"/>
          <tpl hier="236" item="1"/>
        </tpls>
      </n>
      <n v="35" in="1">
        <tpls c="4">
          <tpl fld="7" item="1031"/>
          <tpl fld="6" item="1"/>
          <tpl hier="236" item="1"/>
          <tpl fld="4" item="4"/>
        </tpls>
      </n>
      <m>
        <tpls c="4">
          <tpl fld="7" item="1099"/>
          <tpl fld="6" item="1"/>
          <tpl hier="236" item="1"/>
          <tpl fld="4" item="4"/>
        </tpls>
      </m>
      <m>
        <tpls c="4">
          <tpl fld="7" item="1146"/>
          <tpl fld="6" item="2"/>
          <tpl hier="236" item="1"/>
          <tpl fld="4" item="1"/>
        </tpls>
      </m>
      <m>
        <tpls c="4">
          <tpl fld="7" item="609"/>
          <tpl fld="6" item="2"/>
          <tpl hier="236" item="1"/>
          <tpl fld="4" item="5"/>
        </tpls>
      </m>
      <m>
        <tpls c="4">
          <tpl fld="7" item="290"/>
          <tpl fld="6" item="2"/>
          <tpl hier="236" item="1"/>
          <tpl fld="4" item="5"/>
        </tpls>
      </m>
      <m>
        <tpls c="4">
          <tpl fld="7" item="77"/>
          <tpl fld="6" item="1"/>
          <tpl hier="236" item="1"/>
          <tpl fld="4" item="5"/>
        </tpls>
      </m>
      <m>
        <tpls c="4">
          <tpl fld="7" item="36"/>
          <tpl fld="6" item="1"/>
          <tpl hier="236" item="1"/>
          <tpl fld="4" item="1"/>
        </tpls>
      </m>
      <n v="28" in="1">
        <tpls c="4">
          <tpl fld="7" item="1054"/>
          <tpl fld="6" item="1"/>
          <tpl hier="236" item="1"/>
          <tpl fld="4" item="4"/>
        </tpls>
      </n>
      <m>
        <tpls c="4">
          <tpl fld="7" item="619"/>
          <tpl fld="6" item="1"/>
          <tpl hier="236" item="1"/>
          <tpl fld="4" item="4"/>
        </tpls>
      </m>
      <m>
        <tpls c="4">
          <tpl fld="7" item="1267"/>
          <tpl fld="6" item="2"/>
          <tpl hier="236" item="1"/>
          <tpl fld="4" item="1"/>
        </tpls>
      </m>
      <m>
        <tpls c="4">
          <tpl fld="7" item="1282"/>
          <tpl fld="6" item="2"/>
          <tpl hier="236" item="1"/>
          <tpl fld="4" item="6"/>
        </tpls>
      </m>
      <n v="1" in="1">
        <tpls c="4">
          <tpl fld="7" item="908"/>
          <tpl fld="6" item="1"/>
          <tpl hier="236" item="1"/>
          <tpl fld="4" item="6"/>
        </tpls>
      </n>
      <m>
        <tpls c="4">
          <tpl fld="7" item="844"/>
          <tpl fld="6" item="2"/>
          <tpl hier="236" item="1"/>
          <tpl fld="1" item="0"/>
        </tpls>
      </m>
      <m>
        <tpls c="4">
          <tpl fld="7" item="722"/>
          <tpl fld="6" item="2"/>
          <tpl hier="236" item="1"/>
          <tpl fld="1" item="0"/>
        </tpls>
      </m>
      <n v="25" in="1">
        <tpls c="4">
          <tpl fld="7" item="827"/>
          <tpl fld="6" item="1"/>
          <tpl hier="236" item="1"/>
          <tpl fld="4" item="4"/>
        </tpls>
      </n>
      <m>
        <tpls c="4">
          <tpl fld="7" item="938"/>
          <tpl fld="6" item="2"/>
          <tpl hier="236" item="1"/>
          <tpl fld="4" item="1"/>
        </tpls>
      </m>
      <m>
        <tpls c="4">
          <tpl fld="7" item="126"/>
          <tpl fld="6" item="2"/>
          <tpl hier="236" item="1"/>
          <tpl fld="1" item="0"/>
        </tpls>
      </m>
      <n v="0" in="1">
        <tpls c="4">
          <tpl fld="7" item="1253"/>
          <tpl fld="6" item="1"/>
          <tpl hier="236" item="1"/>
          <tpl fld="4" item="4"/>
        </tpls>
      </n>
      <m>
        <tpls c="4">
          <tpl fld="7" item="1248"/>
          <tpl fld="6" item="2"/>
          <tpl hier="236" item="1"/>
          <tpl fld="4" item="6"/>
        </tpls>
      </m>
      <m>
        <tpls c="4">
          <tpl fld="7" item="80"/>
          <tpl fld="6" item="1"/>
          <tpl hier="236" item="1"/>
          <tpl fld="4" item="5"/>
        </tpls>
      </m>
      <m>
        <tpls c="4">
          <tpl fld="7" item="39"/>
          <tpl fld="6" item="1"/>
          <tpl hier="236" item="1"/>
          <tpl fld="4" item="1"/>
        </tpls>
      </m>
      <n v="4" in="1">
        <tpls c="4">
          <tpl fld="7" item="1048"/>
          <tpl fld="6" item="1"/>
          <tpl hier="236" item="1"/>
          <tpl fld="4" item="4"/>
        </tpls>
      </n>
      <m>
        <tpls c="4">
          <tpl fld="7" item="783"/>
          <tpl fld="6" item="2"/>
          <tpl hier="236" item="1"/>
          <tpl fld="4" item="1"/>
        </tpls>
      </m>
      <m>
        <tpls c="4">
          <tpl fld="7" item="1232"/>
          <tpl fld="6" item="2"/>
          <tpl hier="236" item="1"/>
          <tpl fld="4" item="1"/>
        </tpls>
      </m>
      <n v="6" in="1">
        <tpls c="4">
          <tpl fld="7" item="652"/>
          <tpl fld="6" item="1"/>
          <tpl hier="236" item="1"/>
          <tpl fld="4" item="4"/>
        </tpls>
      </n>
      <m>
        <tpls c="4">
          <tpl fld="7" item="849"/>
          <tpl fld="6" item="2"/>
          <tpl hier="236" item="1"/>
          <tpl fld="4" item="4"/>
        </tpls>
      </m>
      <m>
        <tpls c="4">
          <tpl fld="7" item="835"/>
          <tpl fld="6" item="2"/>
          <tpl hier="236" item="1"/>
          <tpl fld="1" item="0"/>
        </tpls>
      </m>
      <m>
        <tpls c="4">
          <tpl fld="7" item="643"/>
          <tpl fld="6" item="2"/>
          <tpl hier="236" item="1"/>
          <tpl fld="4" item="6"/>
        </tpls>
      </m>
      <m>
        <tpls c="4">
          <tpl fld="7" item="828"/>
          <tpl fld="6" item="2"/>
          <tpl hier="236" item="1"/>
          <tpl fld="4" item="6"/>
        </tpls>
      </m>
      <m>
        <tpls c="4">
          <tpl fld="7" item="1149"/>
          <tpl fld="6" item="2"/>
          <tpl hier="236" item="1"/>
          <tpl fld="4" item="1"/>
        </tpls>
      </m>
      <m>
        <tpls c="4">
          <tpl fld="7" item="326"/>
          <tpl fld="6" item="2"/>
          <tpl hier="236" item="1"/>
          <tpl fld="1" item="0"/>
        </tpls>
      </m>
      <n v="3" in="1">
        <tpls c="4">
          <tpl fld="7" item="1206"/>
          <tpl fld="6" item="1"/>
          <tpl hier="236" item="1"/>
          <tpl fld="4" item="4"/>
        </tpls>
      </n>
      <m>
        <tpls c="4">
          <tpl fld="7" item="915"/>
          <tpl fld="6" item="2"/>
          <tpl hier="236" item="1"/>
          <tpl fld="4" item="6"/>
        </tpls>
      </m>
      <m>
        <tpls c="4">
          <tpl fld="7" item="71"/>
          <tpl fld="6" item="1"/>
          <tpl hier="236" item="1"/>
          <tpl fld="4" item="5"/>
        </tpls>
      </m>
      <m>
        <tpls c="4">
          <tpl fld="7" item="30"/>
          <tpl fld="6" item="1"/>
          <tpl hier="236" item="1"/>
          <tpl fld="4" item="1"/>
        </tpls>
      </m>
      <n v="3" in="1">
        <tpls c="4">
          <tpl fld="7" item="1066"/>
          <tpl fld="6" item="1"/>
          <tpl hier="236" item="1"/>
          <tpl fld="4" item="4"/>
        </tpls>
      </n>
      <m>
        <tpls c="4">
          <tpl fld="7" item="914"/>
          <tpl fld="6" item="2"/>
          <tpl hier="236" item="1"/>
          <tpl fld="4" item="6"/>
        </tpls>
      </m>
      <m>
        <tpls c="4">
          <tpl fld="7" item="286"/>
          <tpl fld="6" item="1"/>
          <tpl hier="236" item="1"/>
          <tpl fld="4" item="5"/>
        </tpls>
      </m>
      <m>
        <tpls c="4">
          <tpl fld="7" item="821"/>
          <tpl fld="6" item="1"/>
          <tpl hier="236" item="1"/>
          <tpl fld="1" item="0"/>
        </tpls>
      </m>
      <n v="0" in="1">
        <tpls c="4">
          <tpl fld="7" item="1111"/>
          <tpl fld="6" item="1"/>
          <tpl hier="236" item="1"/>
          <tpl fld="4" item="6"/>
        </tpls>
      </n>
      <m>
        <tpls c="4">
          <tpl fld="7" item="200"/>
          <tpl fld="6" item="2"/>
          <tpl hier="236" item="1"/>
          <tpl fld="4" item="6"/>
        </tpls>
      </m>
      <m>
        <tpls c="4">
          <tpl fld="7" item="305"/>
          <tpl fld="6" item="2"/>
          <tpl hier="236" item="1"/>
          <tpl fld="4" item="5"/>
        </tpls>
      </m>
      <m>
        <tpls c="4">
          <tpl fld="7" item="88"/>
          <tpl fld="6" item="1"/>
          <tpl hier="236" item="1"/>
          <tpl fld="4" item="5"/>
        </tpls>
      </m>
      <m>
        <tpls c="4">
          <tpl fld="7" item="243"/>
          <tpl fld="6" item="1"/>
          <tpl hier="236" item="1"/>
          <tpl fld="4" item="1"/>
        </tpls>
      </m>
      <m>
        <tpls c="4">
          <tpl fld="7" item="114"/>
          <tpl fld="6" item="2"/>
          <tpl hier="236" item="1"/>
          <tpl fld="1" item="0"/>
        </tpls>
      </m>
      <m>
        <tpls c="4">
          <tpl fld="7" item="315"/>
          <tpl fld="6" item="2"/>
          <tpl hier="236" item="1"/>
          <tpl fld="4" item="6"/>
        </tpls>
      </m>
      <m>
        <tpls c="4">
          <tpl fld="7" item="305"/>
          <tpl fld="6" item="1"/>
          <tpl hier="236" item="1"/>
          <tpl fld="4" item="5"/>
        </tpls>
      </m>
      <n v="3" in="1">
        <tpls c="4">
          <tpl fld="7" item="1256"/>
          <tpl fld="6" item="1"/>
          <tpl hier="236" item="1"/>
          <tpl fld="4" item="1"/>
        </tpls>
      </n>
      <n v="2" in="1">
        <tpls c="4">
          <tpl fld="7" item="452"/>
          <tpl fld="6" item="1"/>
          <tpl hier="236" item="1"/>
          <tpl fld="4" item="1"/>
        </tpls>
      </n>
      <m>
        <tpls c="4">
          <tpl fld="7" item="1003"/>
          <tpl fld="6" item="1"/>
          <tpl hier="236" item="1"/>
          <tpl fld="4" item="6"/>
        </tpls>
      </m>
      <n v="4.4000000000000004" in="2">
        <tpls c="4">
          <tpl fld="7" item="518"/>
          <tpl fld="6" item="2"/>
          <tpl hier="236" item="1"/>
          <tpl fld="1" item="0"/>
        </tpls>
      </n>
      <m>
        <tpls c="4">
          <tpl fld="7" item="1015"/>
          <tpl fld="6" item="2"/>
          <tpl hier="236" item="1"/>
          <tpl fld="4" item="4"/>
        </tpls>
      </m>
      <m>
        <tpls c="4">
          <tpl fld="7" item="442"/>
          <tpl fld="6" item="2"/>
          <tpl hier="236" item="1"/>
          <tpl fld="4" item="6"/>
        </tpls>
      </m>
      <m>
        <tpls c="4">
          <tpl fld="7" item="1046"/>
          <tpl fld="6" item="1"/>
          <tpl hier="236" item="1"/>
          <tpl fld="4" item="1"/>
        </tpls>
      </m>
      <n v="17" in="1">
        <tpls c="4">
          <tpl fld="7" item="515"/>
          <tpl fld="6" item="1"/>
          <tpl hier="236" item="1"/>
          <tpl fld="4" item="1"/>
        </tpls>
      </n>
      <m>
        <tpls c="4">
          <tpl fld="7" item="52"/>
          <tpl fld="6" item="1"/>
          <tpl hier="236" item="1"/>
          <tpl fld="4" item="1"/>
        </tpls>
      </m>
      <n v="2" in="1">
        <tpls c="4">
          <tpl fld="7" item="764"/>
          <tpl fld="6" item="1"/>
          <tpl hier="236" item="1"/>
          <tpl fld="4" item="6"/>
        </tpls>
      </n>
      <m>
        <tpls c="4">
          <tpl fld="7" item="657"/>
          <tpl fld="6" item="1"/>
          <tpl hier="236" item="1"/>
          <tpl fld="1" item="0"/>
        </tpls>
      </m>
      <n v="18" in="1">
        <tpls c="4">
          <tpl fld="7" item="927"/>
          <tpl fld="6" item="1"/>
          <tpl hier="236" item="1"/>
          <tpl fld="4" item="4"/>
        </tpls>
      </n>
      <m>
        <tpls c="4">
          <tpl fld="7" item="11"/>
          <tpl fld="6" item="2"/>
          <tpl hier="236" item="1"/>
          <tpl fld="4" item="1"/>
        </tpls>
      </m>
      <n v="7" in="1">
        <tpls c="4">
          <tpl fld="7" item="566"/>
          <tpl fld="6" item="1"/>
          <tpl hier="236" item="1"/>
          <tpl fld="4" item="4"/>
        </tpls>
      </n>
      <n v="3" in="1">
        <tpls c="4">
          <tpl fld="7" item="615"/>
          <tpl fld="6" item="1"/>
          <tpl hier="236" item="1"/>
          <tpl fld="1" item="0"/>
        </tpls>
      </n>
      <m>
        <tpls c="4">
          <tpl fld="7" item="173"/>
          <tpl fld="6" item="2"/>
          <tpl hier="236" item="1"/>
          <tpl fld="4" item="4"/>
        </tpls>
      </m>
      <m>
        <tpls c="3">
          <tpl fld="7" item="892"/>
          <tpl fld="6" item="3"/>
          <tpl hier="236" item="1"/>
        </tpls>
      </m>
      <m>
        <tpls c="4">
          <tpl fld="7" item="1028"/>
          <tpl fld="6" item="2"/>
          <tpl hier="236" item="1"/>
          <tpl fld="4" item="4"/>
        </tpls>
      </m>
      <n v="6" in="1">
        <tpls c="4">
          <tpl fld="7" item="547"/>
          <tpl fld="6" item="1"/>
          <tpl hier="236" item="1"/>
          <tpl fld="4" item="4"/>
        </tpls>
      </n>
      <m>
        <tpls c="4">
          <tpl fld="7" item="720"/>
          <tpl fld="6" item="2"/>
          <tpl hier="236" item="1"/>
          <tpl fld="4" item="6"/>
        </tpls>
      </m>
      <m>
        <tpls c="4">
          <tpl fld="7" item="729"/>
          <tpl fld="6" item="2"/>
          <tpl hier="236" item="1"/>
          <tpl fld="4" item="5"/>
        </tpls>
      </m>
      <m>
        <tpls c="4">
          <tpl fld="7" item="739"/>
          <tpl fld="6" item="2"/>
          <tpl hier="236" item="1"/>
          <tpl fld="4" item="5"/>
        </tpls>
      </m>
      <n v="0.4" in="2">
        <tpls c="4">
          <tpl fld="7" item="829"/>
          <tpl fld="6" item="2"/>
          <tpl hier="236" item="1"/>
          <tpl fld="1" item="0"/>
        </tpls>
      </n>
      <m>
        <tpls c="4">
          <tpl fld="7" item="845"/>
          <tpl fld="6" item="1"/>
          <tpl hier="236" item="1"/>
          <tpl fld="4" item="4"/>
        </tpls>
      </m>
      <m>
        <tpls c="4">
          <tpl fld="7" item="861"/>
          <tpl fld="6" item="1"/>
          <tpl hier="236" item="1"/>
          <tpl fld="4" item="4"/>
        </tpls>
      </m>
      <m>
        <tpls c="4">
          <tpl fld="7" item="931"/>
          <tpl fld="6" item="1"/>
          <tpl hier="236" item="1"/>
          <tpl fld="4" item="4"/>
        </tpls>
      </m>
      <n v="6" in="1">
        <tpls c="4">
          <tpl fld="7" item="963"/>
          <tpl fld="6" item="1"/>
          <tpl hier="236" item="1"/>
          <tpl fld="4" item="4"/>
        </tpls>
      </n>
      <m>
        <tpls c="4">
          <tpl fld="7" item="840"/>
          <tpl fld="6" item="2"/>
          <tpl hier="236" item="1"/>
          <tpl fld="1" item="0"/>
        </tpls>
      </m>
      <m>
        <tpls c="4">
          <tpl fld="7" item="350"/>
          <tpl fld="6" item="2"/>
          <tpl hier="236" item="1"/>
          <tpl fld="1" item="0"/>
        </tpls>
      </m>
      <m>
        <tpls c="4">
          <tpl fld="7" item="695"/>
          <tpl fld="6" item="2"/>
          <tpl hier="236" item="1"/>
          <tpl fld="4" item="1"/>
        </tpls>
      </m>
      <n v="2" in="1">
        <tpls c="4">
          <tpl fld="7" item="574"/>
          <tpl fld="6" item="1"/>
          <tpl hier="236" item="1"/>
          <tpl fld="4" item="5"/>
        </tpls>
      </n>
      <m>
        <tpls c="4">
          <tpl fld="7" item="1214"/>
          <tpl fld="6" item="2"/>
          <tpl hier="236" item="1"/>
          <tpl fld="4" item="5"/>
        </tpls>
      </m>
      <m>
        <tpls c="4">
          <tpl fld="7" item="648"/>
          <tpl fld="6" item="2"/>
          <tpl hier="236" item="1"/>
          <tpl fld="4" item="1"/>
        </tpls>
      </m>
      <m>
        <tpls c="4">
          <tpl fld="7" item="1098"/>
          <tpl fld="6" item="2"/>
          <tpl hier="236" item="1"/>
          <tpl fld="4" item="4"/>
        </tpls>
      </m>
      <m>
        <tpls c="4">
          <tpl fld="7" item="821"/>
          <tpl fld="6" item="2"/>
          <tpl hier="236" item="1"/>
          <tpl fld="4" item="6"/>
        </tpls>
      </m>
      <n v="34" in="1">
        <tpls c="4">
          <tpl fld="7" item="666"/>
          <tpl fld="6" item="1"/>
          <tpl hier="236" item="1"/>
          <tpl fld="4" item="4"/>
        </tpls>
      </n>
      <m>
        <tpls c="4">
          <tpl fld="7" item="839"/>
          <tpl fld="6" item="2"/>
          <tpl hier="236" item="1"/>
          <tpl fld="4" item="1"/>
        </tpls>
      </m>
      <m>
        <tpls c="3">
          <tpl fld="7" item="1118"/>
          <tpl fld="6" item="3"/>
          <tpl hier="236" item="1"/>
        </tpls>
      </m>
      <m>
        <tpls c="4">
          <tpl fld="7" item="921"/>
          <tpl fld="6" item="1"/>
          <tpl hier="236" item="1"/>
          <tpl fld="4" item="6"/>
        </tpls>
      </m>
      <m>
        <tpls c="4">
          <tpl fld="7" item="940"/>
          <tpl fld="6" item="2"/>
          <tpl hier="236" item="1"/>
          <tpl fld="4" item="1"/>
        </tpls>
      </m>
      <m>
        <tpls c="4">
          <tpl fld="7" item="972"/>
          <tpl fld="6" item="2"/>
          <tpl hier="236" item="1"/>
          <tpl fld="4" item="1"/>
        </tpls>
      </m>
      <n v="0.72" in="2">
        <tpls c="4">
          <tpl fld="7" item="525"/>
          <tpl fld="6" item="2"/>
          <tpl hier="236" item="1"/>
          <tpl fld="1" item="0"/>
        </tpls>
      </n>
      <m>
        <tpls c="4">
          <tpl fld="7" item="178"/>
          <tpl fld="6" item="2"/>
          <tpl hier="236" item="1"/>
          <tpl fld="1" item="0"/>
        </tpls>
      </m>
      <m>
        <tpls c="4">
          <tpl fld="7" item="113"/>
          <tpl fld="6" item="2"/>
          <tpl hier="236" item="1"/>
          <tpl fld="1" item="0"/>
        </tpls>
      </m>
      <m>
        <tpls c="4">
          <tpl fld="7" item="520"/>
          <tpl fld="6" item="2"/>
          <tpl hier="236" item="1"/>
          <tpl fld="4" item="5"/>
        </tpls>
      </m>
      <m>
        <tpls c="4">
          <tpl fld="7" item="644"/>
          <tpl fld="6" item="2"/>
          <tpl hier="236" item="1"/>
          <tpl fld="4" item="5"/>
        </tpls>
      </m>
      <m>
        <tpls c="3">
          <tpl fld="7" item="830"/>
          <tpl fld="6" item="3"/>
          <tpl hier="236" item="1"/>
        </tpls>
      </m>
      <m>
        <tpls c="4">
          <tpl fld="7" item="1255"/>
          <tpl fld="6" item="1"/>
          <tpl hier="236" item="1"/>
          <tpl fld="4" item="4"/>
        </tpls>
      </m>
      <m>
        <tpls c="4">
          <tpl fld="7" item="249"/>
          <tpl fld="6" item="2"/>
          <tpl hier="236" item="1"/>
          <tpl fld="1" item="0"/>
        </tpls>
      </m>
      <m>
        <tpls c="4">
          <tpl fld="7" item="367"/>
          <tpl fld="6" item="2"/>
          <tpl hier="236" item="1"/>
          <tpl fld="4" item="5"/>
        </tpls>
      </m>
      <m>
        <tpls c="4">
          <tpl fld="7" item="481"/>
          <tpl fld="6" item="2"/>
          <tpl hier="236" item="1"/>
          <tpl fld="4" item="5"/>
        </tpls>
      </m>
      <m>
        <tpls c="4">
          <tpl fld="7" item="1278"/>
          <tpl fld="6" item="2"/>
          <tpl hier="236" item="1"/>
          <tpl fld="4" item="6"/>
        </tpls>
      </m>
      <n v="5.515135135135135" in="2">
        <tpls c="4">
          <tpl fld="7" item="425"/>
          <tpl fld="6" item="2"/>
          <tpl hier="236" item="1"/>
          <tpl fld="4" item="6"/>
        </tpls>
      </n>
      <m>
        <tpls c="4">
          <tpl fld="7" item="255"/>
          <tpl fld="6" item="2"/>
          <tpl hier="236" item="1"/>
          <tpl fld="4" item="6"/>
        </tpls>
      </m>
      <m>
        <tpls c="4">
          <tpl fld="7" item="384"/>
          <tpl fld="6" item="1"/>
          <tpl hier="236" item="1"/>
          <tpl fld="4" item="5"/>
        </tpls>
      </m>
      <m>
        <tpls c="4">
          <tpl fld="7" item="76"/>
          <tpl fld="6" item="1"/>
          <tpl hier="236" item="1"/>
          <tpl fld="4" item="5"/>
        </tpls>
      </m>
      <m>
        <tpls c="4">
          <tpl fld="7" item="1065"/>
          <tpl fld="6" item="1"/>
          <tpl hier="236" item="1"/>
          <tpl fld="4" item="1"/>
        </tpls>
      </m>
      <m>
        <tpls c="4">
          <tpl fld="7" item="1114"/>
          <tpl fld="6" item="1"/>
          <tpl hier="236" item="1"/>
          <tpl fld="4" item="1"/>
        </tpls>
      </m>
      <m>
        <tpls c="4">
          <tpl fld="7" item="755"/>
          <tpl fld="6" item="1"/>
          <tpl hier="236" item="1"/>
          <tpl fld="4" item="1"/>
        </tpls>
      </m>
      <m>
        <tpls c="4">
          <tpl fld="7" item="35"/>
          <tpl fld="6" item="1"/>
          <tpl hier="236" item="1"/>
          <tpl fld="4" item="1"/>
        </tpls>
      </m>
      <n v="1" in="1">
        <tpls c="4">
          <tpl fld="7" item="840"/>
          <tpl fld="6" item="1"/>
          <tpl hier="236" item="1"/>
          <tpl fld="1" item="0"/>
        </tpls>
      </n>
      <m>
        <tpls c="4">
          <tpl fld="7" item="588"/>
          <tpl fld="6" item="2"/>
          <tpl hier="236" item="1"/>
          <tpl fld="4" item="6"/>
        </tpls>
      </m>
      <m>
        <tpls c="3">
          <tpl fld="7" item="831"/>
          <tpl fld="6" item="3"/>
          <tpl hier="236" item="1"/>
        </tpls>
      </m>
      <n v="10" in="1">
        <tpls c="4">
          <tpl fld="7" item="1056"/>
          <tpl fld="6" item="1"/>
          <tpl hier="236" item="1"/>
          <tpl fld="4" item="4"/>
        </tpls>
      </n>
      <m>
        <tpls c="4">
          <tpl fld="7" item="403"/>
          <tpl fld="6" item="1"/>
          <tpl hier="236" item="1"/>
          <tpl fld="4" item="4"/>
        </tpls>
      </m>
      <n v="18.378756756756758" in="2">
        <tpls c="6">
          <tpl fld="11" item="0"/>
          <tpl fld="6" item="2"/>
          <tpl fld="8" item="0"/>
          <tpl hier="236" item="1"/>
          <tpl fld="4" item="4"/>
          <tpl fld="10" item="3"/>
        </tpls>
      </n>
      <m>
        <tpls c="4">
          <tpl fld="7" item="991"/>
          <tpl fld="6" item="2"/>
          <tpl hier="236" item="1"/>
          <tpl fld="1" item="0"/>
        </tpls>
      </m>
      <m>
        <tpls c="4">
          <tpl fld="7" item="784"/>
          <tpl fld="6" item="2"/>
          <tpl hier="236" item="1"/>
          <tpl fld="1" item="0"/>
        </tpls>
      </m>
      <m>
        <tpls c="4">
          <tpl fld="7" item="721"/>
          <tpl fld="6" item="1"/>
          <tpl hier="236" item="1"/>
          <tpl fld="4" item="6"/>
        </tpls>
      </m>
      <m>
        <tpls c="4">
          <tpl fld="7" item="727"/>
          <tpl fld="6" item="1"/>
          <tpl hier="236" item="1"/>
          <tpl fld="4" item="1"/>
        </tpls>
      </m>
      <n v="3" in="1">
        <tpls c="4">
          <tpl fld="7" item="901"/>
          <tpl fld="6" item="1"/>
          <tpl hier="236" item="1"/>
          <tpl fld="4" item="4"/>
        </tpls>
      </n>
      <m>
        <tpls c="4">
          <tpl fld="7" item="1234"/>
          <tpl fld="6" item="2"/>
          <tpl hier="236" item="1"/>
          <tpl fld="4" item="1"/>
        </tpls>
      </m>
      <m>
        <tpls c="3">
          <tpl fld="7" item="542"/>
          <tpl fld="6" item="3"/>
          <tpl hier="236" item="1"/>
        </tpls>
      </m>
      <m>
        <tpls c="4">
          <tpl fld="7" item="576"/>
          <tpl fld="6" item="2"/>
          <tpl hier="236" item="1"/>
          <tpl fld="4" item="5"/>
        </tpls>
      </m>
      <m>
        <tpls c="4">
          <tpl fld="7" item="806"/>
          <tpl fld="6" item="2"/>
          <tpl hier="236" item="1"/>
          <tpl fld="1" item="0"/>
        </tpls>
      </m>
      <m>
        <tpls c="4">
          <tpl fld="7" item="732"/>
          <tpl fld="6" item="2"/>
          <tpl hier="236" item="1"/>
          <tpl fld="4" item="5"/>
        </tpls>
      </m>
      <m>
        <tpls c="4">
          <tpl fld="7" item="1215"/>
          <tpl fld="6" item="1"/>
          <tpl hier="236" item="1"/>
          <tpl fld="4" item="6"/>
        </tpls>
      </m>
      <n v="6" in="1">
        <tpls c="4">
          <tpl fld="7" item="998"/>
          <tpl fld="6" item="1"/>
          <tpl hier="236" item="1"/>
          <tpl fld="1" item="0"/>
        </tpls>
      </n>
      <m>
        <tpls c="4">
          <tpl fld="7" item="837"/>
          <tpl fld="6" item="2"/>
          <tpl hier="236" item="1"/>
          <tpl fld="4" item="4"/>
        </tpls>
      </m>
      <n v="21" in="1">
        <tpls c="4">
          <tpl fld="7" item="850"/>
          <tpl fld="6" item="1"/>
          <tpl hier="236" item="1"/>
          <tpl fld="4" item="4"/>
        </tpls>
      </n>
      <m>
        <tpls c="4">
          <tpl fld="7" item="1196"/>
          <tpl fld="6" item="2"/>
          <tpl hier="236" item="1"/>
          <tpl fld="4" item="1"/>
        </tpls>
      </m>
      <n v="4" in="1">
        <tpls c="4">
          <tpl fld="7" item="1142"/>
          <tpl fld="6" item="1"/>
          <tpl hier="236" item="1"/>
          <tpl fld="4" item="4"/>
        </tpls>
      </n>
      <m>
        <tpls c="4">
          <tpl fld="7" item="1174"/>
          <tpl fld="6" item="1"/>
          <tpl hier="236" item="1"/>
          <tpl fld="4" item="4"/>
        </tpls>
      </m>
      <m>
        <tpls c="4">
          <tpl fld="7" item="831"/>
          <tpl fld="6" item="2"/>
          <tpl hier="236" item="1"/>
          <tpl fld="1" item="0"/>
        </tpls>
      </m>
      <m>
        <tpls c="4">
          <tpl fld="7" item="593"/>
          <tpl fld="6" item="2"/>
          <tpl hier="236" item="1"/>
          <tpl fld="1" item="0"/>
        </tpls>
      </m>
      <m>
        <tpls c="3">
          <tpl fld="7" item="1089"/>
          <tpl fld="6" item="3"/>
          <tpl hier="236" item="1"/>
        </tpls>
      </m>
      <m>
        <tpls c="4">
          <tpl fld="7" item="716"/>
          <tpl fld="6" item="1"/>
          <tpl hier="236" item="1"/>
          <tpl fld="1" item="0"/>
        </tpls>
      </m>
      <n v="1" in="2">
        <tpls c="4">
          <tpl fld="7" item="805"/>
          <tpl fld="6" item="2"/>
          <tpl hier="236" item="1"/>
          <tpl fld="4" item="1"/>
        </tpls>
      </n>
      <m>
        <tpls c="4">
          <tpl fld="7" item="994"/>
          <tpl fld="6" item="2"/>
          <tpl hier="236" item="1"/>
          <tpl fld="4" item="4"/>
        </tpls>
      </m>
      <m>
        <tpls c="4">
          <tpl fld="7" item="816"/>
          <tpl fld="6" item="2"/>
          <tpl hier="236" item="1"/>
          <tpl fld="4" item="6"/>
        </tpls>
      </m>
      <m>
        <tpls c="4">
          <tpl fld="7" item="740"/>
          <tpl fld="6" item="2"/>
          <tpl hier="236" item="1"/>
          <tpl fld="1" item="0"/>
        </tpls>
      </m>
      <m>
        <tpls c="4">
          <tpl fld="7" item="667"/>
          <tpl fld="6" item="2"/>
          <tpl hier="236" item="1"/>
          <tpl fld="4" item="6"/>
        </tpls>
      </m>
      <m>
        <tpls c="3">
          <tpl fld="7" item="1007"/>
          <tpl fld="6" item="3"/>
          <tpl hier="236" item="1"/>
        </tpls>
      </m>
      <n v="3" in="1">
        <tpls c="4">
          <tpl fld="7" item="1220"/>
          <tpl fld="6" item="1"/>
          <tpl hier="236" item="1"/>
          <tpl fld="4" item="6"/>
        </tpls>
      </n>
      <m>
        <tpls c="4">
          <tpl fld="7" item="1026"/>
          <tpl fld="6" item="2"/>
          <tpl hier="236" item="1"/>
          <tpl fld="4" item="4"/>
        </tpls>
      </m>
      <m>
        <tpls c="4">
          <tpl fld="7" item="1151"/>
          <tpl fld="6" item="2"/>
          <tpl hier="236" item="1"/>
          <tpl fld="4" item="1"/>
        </tpls>
      </m>
      <m>
        <tpls c="4">
          <tpl fld="7" item="1183"/>
          <tpl fld="6" item="2"/>
          <tpl hier="236" item="1"/>
          <tpl fld="4" item="1"/>
        </tpls>
      </m>
      <m>
        <tpls c="4">
          <tpl fld="7" item="516"/>
          <tpl fld="6" item="2"/>
          <tpl hier="236" item="1"/>
          <tpl fld="1" item="0"/>
        </tpls>
      </m>
      <m>
        <tpls c="4">
          <tpl fld="7" item="266"/>
          <tpl fld="6" item="2"/>
          <tpl hier="236" item="1"/>
          <tpl fld="1" item="0"/>
        </tpls>
      </m>
      <m>
        <tpls c="4">
          <tpl fld="7" item="1261"/>
          <tpl fld="6" item="2"/>
          <tpl hier="236" item="1"/>
          <tpl fld="4" item="5"/>
        </tpls>
      </m>
      <m>
        <tpls c="4">
          <tpl fld="7" item="511"/>
          <tpl fld="6" item="2"/>
          <tpl hier="236" item="1"/>
          <tpl fld="4" item="5"/>
        </tpls>
      </m>
      <m>
        <tpls c="4">
          <tpl fld="7" item="647"/>
          <tpl fld="6" item="2"/>
          <tpl hier="236" item="1"/>
          <tpl fld="1" item="0"/>
        </tpls>
      </m>
      <m>
        <tpls c="4">
          <tpl fld="7" item="1107"/>
          <tpl fld="6" item="2"/>
          <tpl hier="236" item="1"/>
          <tpl fld="4" item="1"/>
        </tpls>
      </m>
      <n v="3" in="1">
        <tpls c="4">
          <tpl fld="7" item="1208"/>
          <tpl fld="6" item="1"/>
          <tpl hier="236" item="1"/>
          <tpl fld="4" item="4"/>
        </tpls>
      </n>
      <m>
        <tpls c="4">
          <tpl fld="7" item="669"/>
          <tpl fld="6" item="2"/>
          <tpl hier="236" item="1"/>
          <tpl fld="1" item="0"/>
        </tpls>
      </m>
      <n v="0.48" in="2">
        <tpls c="4">
          <tpl fld="7" item="357"/>
          <tpl fld="6" item="2"/>
          <tpl hier="236" item="1"/>
          <tpl fld="4" item="5"/>
        </tpls>
      </n>
      <m>
        <tpls c="4">
          <tpl fld="7" item="264"/>
          <tpl fld="6" item="2"/>
          <tpl hier="236" item="1"/>
          <tpl fld="4" item="5"/>
        </tpls>
      </m>
      <m>
        <tpls c="4">
          <tpl fld="7" item="912"/>
          <tpl fld="6" item="2"/>
          <tpl hier="236" item="1"/>
          <tpl fld="4" item="6"/>
        </tpls>
      </m>
      <m>
        <tpls c="4">
          <tpl fld="7" item="209"/>
          <tpl fld="6" item="2"/>
          <tpl hier="236" item="1"/>
          <tpl fld="4" item="6"/>
        </tpls>
      </m>
      <m>
        <tpls c="4">
          <tpl fld="7" item="21"/>
          <tpl fld="6" item="2"/>
          <tpl hier="236" item="1"/>
          <tpl fld="4" item="6"/>
        </tpls>
      </m>
      <n v="4" in="1">
        <tpls c="4">
          <tpl fld="7" item="375"/>
          <tpl fld="6" item="1"/>
          <tpl hier="236" item="1"/>
          <tpl fld="4" item="5"/>
        </tpls>
      </n>
      <m>
        <tpls c="4">
          <tpl fld="7" item="67"/>
          <tpl fld="6" item="1"/>
          <tpl hier="236" item="1"/>
          <tpl fld="4" item="5"/>
        </tpls>
      </m>
      <m>
        <tpls c="4">
          <tpl fld="7" item="1056"/>
          <tpl fld="6" item="1"/>
          <tpl hier="236" item="1"/>
          <tpl fld="4" item="1"/>
        </tpls>
      </m>
      <n v="1" in="1">
        <tpls c="4">
          <tpl fld="7" item="1217"/>
          <tpl fld="6" item="1"/>
          <tpl hier="236" item="1"/>
          <tpl fld="4" item="1"/>
        </tpls>
      </n>
      <m>
        <tpls c="4">
          <tpl fld="7" item="94"/>
          <tpl fld="6" item="1"/>
          <tpl hier="236" item="1"/>
          <tpl fld="4" item="1"/>
        </tpls>
      </m>
      <m>
        <tpls c="4">
          <tpl fld="7" item="111"/>
          <tpl fld="6" item="1"/>
          <tpl hier="236" item="1"/>
          <tpl fld="4" item="1"/>
        </tpls>
      </m>
      <n v="6" in="1">
        <tpls c="4">
          <tpl fld="7" item="831"/>
          <tpl fld="6" item="1"/>
          <tpl hier="236" item="1"/>
          <tpl fld="1" item="0"/>
        </tpls>
      </n>
      <m>
        <tpls c="4">
          <tpl fld="7" item="809"/>
          <tpl fld="6" item="1"/>
          <tpl hier="236" item="1"/>
          <tpl fld="4" item="1"/>
        </tpls>
      </m>
      <m>
        <tpls c="4">
          <tpl fld="7" item="1005"/>
          <tpl fld="6" item="2"/>
          <tpl hier="236" item="1"/>
          <tpl fld="4" item="1"/>
        </tpls>
      </m>
      <n v="4" in="1">
        <tpls c="4">
          <tpl fld="7" item="1074"/>
          <tpl fld="6" item="1"/>
          <tpl hier="236" item="1"/>
          <tpl fld="4" item="4"/>
        </tpls>
      </n>
      <m>
        <tpls c="4">
          <tpl fld="7" item="17"/>
          <tpl fld="6" item="2"/>
          <tpl hier="236" item="1"/>
          <tpl fld="1" item="0"/>
        </tpls>
      </m>
      <m>
        <tpls c="4">
          <tpl fld="7" item="497"/>
          <tpl fld="6" item="2"/>
          <tpl hier="236" item="1"/>
          <tpl fld="4" item="5"/>
        </tpls>
      </m>
      <m>
        <tpls c="4">
          <tpl fld="7" item="259"/>
          <tpl fld="6" item="2"/>
          <tpl hier="236" item="1"/>
          <tpl fld="4" item="5"/>
        </tpls>
      </m>
      <m>
        <tpls c="4">
          <tpl fld="7" item="911"/>
          <tpl fld="6" item="2"/>
          <tpl hier="236" item="1"/>
          <tpl fld="4" item="6"/>
        </tpls>
      </m>
      <m>
        <tpls c="4">
          <tpl fld="7" item="100"/>
          <tpl fld="6" item="2"/>
          <tpl hier="236" item="1"/>
          <tpl fld="4" item="6"/>
        </tpls>
      </m>
      <m>
        <tpls c="4">
          <tpl fld="7" item="236"/>
          <tpl fld="6" item="2"/>
          <tpl hier="236" item="1"/>
          <tpl fld="4" item="6"/>
        </tpls>
      </m>
      <n v="4" in="1">
        <tpls c="4">
          <tpl fld="7" item="515"/>
          <tpl fld="6" item="1"/>
          <tpl hier="236" item="1"/>
          <tpl fld="4" item="5"/>
        </tpls>
      </n>
      <m>
        <tpls c="4">
          <tpl fld="7" item="282"/>
          <tpl fld="6" item="1"/>
          <tpl hier="236" item="1"/>
          <tpl fld="4" item="5"/>
        </tpls>
      </m>
      <m>
        <tpls c="4">
          <tpl fld="7" item="597"/>
          <tpl fld="6" item="2"/>
          <tpl hier="236" item="1"/>
          <tpl fld="4" item="1"/>
        </tpls>
      </m>
      <n v="3" in="1">
        <tpls c="4">
          <tpl fld="7" item="560"/>
          <tpl fld="6" item="1"/>
          <tpl hier="236" item="1"/>
          <tpl fld="4" item="4"/>
        </tpls>
      </n>
      <m>
        <tpls c="4">
          <tpl fld="7" item="620"/>
          <tpl fld="6" item="2"/>
          <tpl hier="236" item="1"/>
          <tpl fld="1" item="0"/>
        </tpls>
      </m>
      <m>
        <tpls c="4">
          <tpl fld="7" item="661"/>
          <tpl fld="6" item="2"/>
          <tpl hier="236" item="1"/>
          <tpl fld="4" item="4"/>
        </tpls>
      </m>
      <m>
        <tpls c="4">
          <tpl fld="7" item="1130"/>
          <tpl fld="6" item="2"/>
          <tpl hier="236" item="1"/>
          <tpl fld="4" item="1"/>
        </tpls>
      </m>
      <n v="5" in="2">
        <tpls c="4">
          <tpl fld="7" item="446"/>
          <tpl fld="6" item="2"/>
          <tpl hier="236" item="1"/>
          <tpl fld="4" item="4"/>
        </tpls>
      </n>
      <n v="5" in="1">
        <tpls c="4">
          <tpl fld="7" item="651"/>
          <tpl fld="6" item="1"/>
          <tpl hier="236" item="1"/>
          <tpl fld="4" item="5"/>
        </tpls>
      </n>
      <m>
        <tpls c="3">
          <tpl fld="7" item="907"/>
          <tpl fld="6" item="3"/>
          <tpl hier="236" item="1"/>
        </tpls>
      </m>
      <m>
        <tpls c="4">
          <tpl fld="7" item="1118"/>
          <tpl fld="6" item="2"/>
          <tpl hier="236" item="1"/>
          <tpl fld="1" item="0"/>
        </tpls>
      </m>
      <m>
        <tpls c="4">
          <tpl fld="7" item="559"/>
          <tpl fld="6" item="1"/>
          <tpl hier="236" item="1"/>
          <tpl fld="4" item="1"/>
        </tpls>
      </m>
      <m>
        <tpls c="4">
          <tpl fld="7" item="845"/>
          <tpl fld="6" item="2"/>
          <tpl hier="236" item="1"/>
          <tpl fld="4" item="5"/>
        </tpls>
      </m>
      <m>
        <tpls c="4">
          <tpl fld="7" item="76"/>
          <tpl fld="6" item="2"/>
          <tpl hier="236" item="1"/>
          <tpl fld="4" item="6"/>
        </tpls>
      </m>
      <m>
        <tpls c="4">
          <tpl fld="7" item="1198"/>
          <tpl fld="6" item="1"/>
          <tpl hier="236" item="1"/>
          <tpl fld="4" item="1"/>
        </tpls>
      </m>
      <n v="16" in="1">
        <tpls c="4">
          <tpl fld="7" item="561"/>
          <tpl fld="6" item="1"/>
          <tpl hier="236" item="1"/>
          <tpl fld="4" item="4"/>
        </tpls>
      </n>
      <m>
        <tpls c="4">
          <tpl fld="7" item="976"/>
          <tpl fld="6" item="2"/>
          <tpl hier="236" item="1"/>
          <tpl fld="4" item="5"/>
        </tpls>
      </m>
      <m>
        <tpls c="4">
          <tpl fld="7" item="486"/>
          <tpl fld="6" item="2"/>
          <tpl hier="236" item="1"/>
          <tpl fld="4" item="5"/>
        </tpls>
      </m>
      <m>
        <tpls c="4">
          <tpl fld="7" item="1197"/>
          <tpl fld="6" item="2"/>
          <tpl hier="236" item="1"/>
          <tpl fld="4" item="6"/>
        </tpls>
      </m>
      <m>
        <tpls c="4">
          <tpl fld="7" item="95"/>
          <tpl fld="6" item="2"/>
          <tpl hier="236" item="1"/>
          <tpl fld="4" item="6"/>
        </tpls>
      </m>
      <n v="1" in="1">
        <tpls c="4">
          <tpl fld="7" item="1120"/>
          <tpl fld="6" item="1"/>
          <tpl hier="236" item="1"/>
          <tpl fld="4" item="5"/>
        </tpls>
      </n>
      <m>
        <tpls c="4">
          <tpl fld="7" item="299"/>
          <tpl fld="6" item="1"/>
          <tpl hier="236" item="1"/>
          <tpl fld="4" item="5"/>
        </tpls>
      </m>
      <n v="4" in="1">
        <tpls c="4">
          <tpl fld="7" item="949"/>
          <tpl fld="6" item="1"/>
          <tpl hier="236" item="1"/>
          <tpl fld="4" item="1"/>
        </tpls>
      </n>
      <m>
        <tpls c="4">
          <tpl fld="7" item="1002"/>
          <tpl fld="6" item="1"/>
          <tpl hier="236" item="1"/>
          <tpl fld="4" item="1"/>
        </tpls>
      </m>
      <n v="0" in="1">
        <tpls c="4">
          <tpl fld="7" item="673"/>
          <tpl fld="6" item="1"/>
          <tpl hier="236" item="1"/>
          <tpl fld="4" item="1"/>
        </tpls>
      </n>
      <n v="100" in="1">
        <tpls c="5">
          <tpl fld="11" item="0"/>
          <tpl fld="6" item="1"/>
          <tpl hier="236" item="1"/>
          <tpl fld="4" item="7"/>
          <tpl fld="10" item="4"/>
        </tpls>
      </n>
      <n v="1" in="2">
        <tpls c="4">
          <tpl fld="7" item="811"/>
          <tpl fld="6" item="2"/>
          <tpl hier="236" item="1"/>
          <tpl fld="4" item="4"/>
        </tpls>
      </n>
      <n v="1" in="1">
        <tpls c="4">
          <tpl fld="7" item="1111"/>
          <tpl fld="6" item="1"/>
          <tpl hier="236" item="1"/>
          <tpl fld="4" item="4"/>
        </tpls>
      </n>
      <m>
        <tpls c="4">
          <tpl fld="7" item="924"/>
          <tpl fld="6" item="2"/>
          <tpl hier="236" item="1"/>
          <tpl fld="1" item="0"/>
        </tpls>
      </m>
      <m>
        <tpls c="4">
          <tpl fld="7" item="1182"/>
          <tpl fld="6" item="2"/>
          <tpl hier="236" item="1"/>
          <tpl fld="4" item="5"/>
        </tpls>
      </m>
      <m>
        <tpls c="4">
          <tpl fld="7" item="323"/>
          <tpl fld="6" item="2"/>
          <tpl hier="236" item="1"/>
          <tpl fld="4" item="5"/>
        </tpls>
      </m>
      <m>
        <tpls c="4">
          <tpl fld="7" item="476"/>
          <tpl fld="6" item="2"/>
          <tpl hier="236" item="1"/>
          <tpl fld="4" item="5"/>
        </tpls>
      </m>
      <m>
        <tpls c="4">
          <tpl fld="7" item="846"/>
          <tpl fld="6" item="2"/>
          <tpl hier="236" item="1"/>
          <tpl fld="4" item="6"/>
        </tpls>
      </m>
      <m>
        <tpls c="4">
          <tpl fld="7" item="311"/>
          <tpl fld="6" item="2"/>
          <tpl hier="236" item="1"/>
          <tpl fld="4" item="6"/>
        </tpls>
      </m>
      <m>
        <tpls c="4">
          <tpl fld="7" item="122"/>
          <tpl fld="6" item="2"/>
          <tpl hier="236" item="1"/>
          <tpl fld="4" item="6"/>
        </tpls>
      </m>
      <m>
        <tpls c="4">
          <tpl fld="7" item="599"/>
          <tpl fld="6" item="1"/>
          <tpl hier="236" item="1"/>
          <tpl fld="4" item="5"/>
        </tpls>
      </m>
      <m>
        <tpls c="4">
          <tpl fld="7" item="340"/>
          <tpl fld="6" item="1"/>
          <tpl hier="236" item="1"/>
          <tpl fld="4" item="5"/>
        </tpls>
      </m>
      <m>
        <tpls c="4">
          <tpl fld="7" item="1254"/>
          <tpl fld="6" item="1"/>
          <tpl hier="236" item="1"/>
          <tpl fld="4" item="1"/>
        </tpls>
      </m>
      <n v="2" in="1">
        <tpls c="4">
          <tpl fld="7" item="831"/>
          <tpl fld="6" item="1"/>
          <tpl hier="236" item="1"/>
          <tpl fld="4" item="1"/>
        </tpls>
      </n>
      <m>
        <tpls c="4">
          <tpl fld="7" item="188"/>
          <tpl fld="6" item="1"/>
          <tpl hier="236" item="1"/>
          <tpl fld="4" item="1"/>
        </tpls>
      </m>
      <m>
        <tpls c="4">
          <tpl fld="7" item="11"/>
          <tpl fld="6" item="1"/>
          <tpl hier="236" item="1"/>
          <tpl fld="4" item="1"/>
        </tpls>
      </m>
      <n v="2" in="1">
        <tpls c="4">
          <tpl fld="7" item="682"/>
          <tpl fld="6" item="1"/>
          <tpl hier="236" item="1"/>
          <tpl fld="1" item="0"/>
        </tpls>
      </n>
      <m>
        <tpls c="4">
          <tpl fld="7" item="181"/>
          <tpl fld="6" item="1"/>
          <tpl hier="236" item="1"/>
          <tpl fld="1" item="0"/>
        </tpls>
      </m>
      <m>
        <tpls c="4">
          <tpl fld="7" item="329"/>
          <tpl fld="6" item="1"/>
          <tpl hier="236" item="1"/>
          <tpl fld="4" item="6"/>
        </tpls>
      </m>
      <m>
        <tpls c="4">
          <tpl fld="7" item="20"/>
          <tpl fld="6" item="2"/>
          <tpl hier="236" item="1"/>
          <tpl fld="1" item="0"/>
        </tpls>
      </m>
      <m>
        <tpls c="4">
          <tpl fld="7" item="350"/>
          <tpl fld="6" item="2"/>
          <tpl hier="236" item="1"/>
          <tpl fld="4" item="6"/>
        </tpls>
      </m>
      <n v="1" in="1">
        <tpls c="4">
          <tpl fld="7" item="1159"/>
          <tpl fld="6" item="1"/>
          <tpl hier="236" item="1"/>
          <tpl fld="4" item="1"/>
        </tpls>
      </n>
      <n v="3" in="1">
        <tpls c="4">
          <tpl fld="7" item="919"/>
          <tpl fld="6" item="1"/>
          <tpl hier="236" item="1"/>
          <tpl fld="1" item="0"/>
        </tpls>
      </n>
      <m>
        <tpls c="4">
          <tpl fld="7" item="77"/>
          <tpl fld="6" item="1"/>
          <tpl hier="236" item="1"/>
          <tpl fld="1" item="0"/>
        </tpls>
      </m>
      <m>
        <tpls c="4">
          <tpl fld="7" item="399"/>
          <tpl fld="6" item="1"/>
          <tpl hier="236" item="1"/>
          <tpl fld="4" item="6"/>
        </tpls>
      </m>
      <m>
        <tpls c="4">
          <tpl fld="7" item="1074"/>
          <tpl fld="6" item="2"/>
          <tpl hier="236" item="1"/>
          <tpl fld="4" item="4"/>
        </tpls>
      </m>
      <m>
        <tpls c="4">
          <tpl fld="7" item="472"/>
          <tpl fld="6" item="2"/>
          <tpl hier="236" item="1"/>
          <tpl fld="4" item="4"/>
        </tpls>
      </m>
      <m>
        <tpls c="4">
          <tpl fld="7" item="1246"/>
          <tpl fld="6" item="1"/>
          <tpl hier="236" item="1"/>
          <tpl fld="4" item="1"/>
        </tpls>
      </m>
      <m>
        <tpls c="4">
          <tpl fld="7" item="217"/>
          <tpl fld="6" item="1"/>
          <tpl hier="236" item="1"/>
          <tpl fld="4" item="6"/>
        </tpls>
      </m>
      <m>
        <tpls c="4">
          <tpl fld="7" item="994"/>
          <tpl fld="6" item="2"/>
          <tpl hier="236" item="1"/>
          <tpl fld="4" item="5"/>
        </tpls>
      </m>
      <n v="0.8" in="2">
        <tpls c="4">
          <tpl fld="7" item="423"/>
          <tpl fld="6" item="2"/>
          <tpl hier="236" item="1"/>
          <tpl fld="4" item="5"/>
        </tpls>
      </n>
      <m>
        <tpls c="4">
          <tpl fld="7" item="124"/>
          <tpl fld="6" item="2"/>
          <tpl hier="236" item="1"/>
          <tpl fld="4" item="6"/>
        </tpls>
      </m>
      <n v="2" in="1">
        <tpls c="4">
          <tpl fld="7" item="1001"/>
          <tpl fld="6" item="1"/>
          <tpl hier="236" item="1"/>
          <tpl fld="4" item="1"/>
        </tpls>
      </n>
      <n v="14" in="1">
        <tpls c="4">
          <tpl fld="7" item="455"/>
          <tpl fld="6" item="1"/>
          <tpl hier="236" item="1"/>
          <tpl fld="1" item="0"/>
        </tpls>
      </n>
      <m>
        <tpls c="4">
          <tpl fld="7" item="752"/>
          <tpl fld="6" item="1"/>
          <tpl hier="236" item="1"/>
          <tpl fld="1" item="0"/>
        </tpls>
      </m>
      <m>
        <tpls c="3">
          <tpl fld="7" item="745"/>
          <tpl fld="6" item="3"/>
          <tpl hier="236" item="1"/>
        </tpls>
      </m>
      <m>
        <tpls c="4">
          <tpl fld="7" item="953"/>
          <tpl fld="6" item="2"/>
          <tpl hier="236" item="1"/>
          <tpl fld="4" item="4"/>
        </tpls>
      </m>
      <m>
        <tpls c="4">
          <tpl fld="7" item="15"/>
          <tpl fld="6" item="2"/>
          <tpl hier="236" item="1"/>
          <tpl fld="4" item="5"/>
        </tpls>
      </m>
      <n v="22" in="1">
        <tpls c="4">
          <tpl fld="7" item="427"/>
          <tpl fld="6" item="1"/>
          <tpl hier="236" item="1"/>
          <tpl fld="1" item="0"/>
        </tpls>
      </n>
      <m>
        <tpls c="4">
          <tpl fld="7" item="1139"/>
          <tpl fld="6" item="2"/>
          <tpl hier="236" item="1"/>
          <tpl fld="4" item="4"/>
        </tpls>
      </m>
      <m>
        <tpls c="4">
          <tpl fld="7" item="1078"/>
          <tpl fld="6" item="2"/>
          <tpl hier="236" item="1"/>
          <tpl fld="1" item="0"/>
        </tpls>
      </m>
      <m>
        <tpls c="4">
          <tpl fld="7" item="261"/>
          <tpl fld="6" item="1"/>
          <tpl hier="236" item="1"/>
          <tpl fld="4" item="5"/>
        </tpls>
      </m>
      <m>
        <tpls c="4">
          <tpl fld="7" item="573"/>
          <tpl fld="6" item="2"/>
          <tpl hier="236" item="1"/>
          <tpl fld="4" item="5"/>
        </tpls>
      </m>
      <m>
        <tpls c="4">
          <tpl fld="7" item="623"/>
          <tpl fld="6" item="2"/>
          <tpl hier="236" item="1"/>
          <tpl fld="1" item="0"/>
        </tpls>
      </m>
      <n v="1" in="1">
        <tpls c="4">
          <tpl fld="7" item="1100"/>
          <tpl fld="6" item="1"/>
          <tpl hier="236" item="1"/>
          <tpl fld="4" item="6"/>
        </tpls>
      </n>
      <n v="1" in="1">
        <tpls c="4">
          <tpl fld="7" item="1131"/>
          <tpl fld="6" item="1"/>
          <tpl hier="236" item="1"/>
          <tpl fld="4" item="6"/>
        </tpls>
      </n>
      <m>
        <tpls c="4">
          <tpl fld="7" item="393"/>
          <tpl fld="6" item="1"/>
          <tpl hier="236" item="1"/>
          <tpl fld="4" item="5"/>
        </tpls>
      </m>
      <m>
        <tpls c="4">
          <tpl fld="7" item="891"/>
          <tpl fld="6" item="2"/>
          <tpl hier="236" item="1"/>
          <tpl fld="4" item="4"/>
        </tpls>
      </m>
      <m>
        <tpls c="4">
          <tpl fld="7" item="908"/>
          <tpl fld="6" item="2"/>
          <tpl hier="236" item="1"/>
          <tpl fld="4" item="4"/>
        </tpls>
      </m>
      <m>
        <tpls c="4">
          <tpl fld="7" item="1112"/>
          <tpl fld="6" item="2"/>
          <tpl hier="236" item="1"/>
          <tpl fld="1" item="0"/>
        </tpls>
      </m>
      <n v="9" in="1">
        <tpls c="4">
          <tpl fld="7" item="794"/>
          <tpl fld="6" item="1"/>
          <tpl hier="236" item="1"/>
          <tpl fld="1" item="0"/>
        </tpls>
      </n>
      <m>
        <tpls c="4">
          <tpl fld="7" item="1002"/>
          <tpl fld="6" item="2"/>
          <tpl hier="236" item="1"/>
          <tpl fld="4" item="5"/>
        </tpls>
      </m>
      <m>
        <tpls c="4">
          <tpl fld="7" item="68"/>
          <tpl fld="6" item="2"/>
          <tpl hier="236" item="1"/>
          <tpl fld="4" item="6"/>
        </tpls>
      </m>
      <n v="2" in="1">
        <tpls c="4">
          <tpl fld="7" item="924"/>
          <tpl fld="6" item="1"/>
          <tpl hier="236" item="1"/>
          <tpl fld="4" item="1"/>
        </tpls>
      </n>
      <m>
        <tpls c="4">
          <tpl fld="7" item="574"/>
          <tpl fld="6" item="2"/>
          <tpl hier="236" item="1"/>
          <tpl fld="4" item="5"/>
        </tpls>
      </m>
      <m>
        <tpls c="4">
          <tpl fld="7" item="1223"/>
          <tpl fld="6" item="2"/>
          <tpl hier="236" item="1"/>
          <tpl fld="4" item="5"/>
        </tpls>
      </m>
      <m>
        <tpls c="4">
          <tpl fld="7" item="344"/>
          <tpl fld="6" item="2"/>
          <tpl hier="236" item="1"/>
          <tpl fld="4" item="5"/>
        </tpls>
      </m>
      <m>
        <tpls c="4">
          <tpl fld="7" item="1128"/>
          <tpl fld="6" item="2"/>
          <tpl hier="236" item="1"/>
          <tpl fld="4" item="6"/>
        </tpls>
      </m>
      <m>
        <tpls c="4">
          <tpl fld="7" item="93"/>
          <tpl fld="6" item="2"/>
          <tpl hier="236" item="1"/>
          <tpl fld="4" item="6"/>
        </tpls>
      </m>
      <n v="5" in="1">
        <tpls c="4">
          <tpl fld="7" item="1015"/>
          <tpl fld="6" item="1"/>
          <tpl hier="236" item="1"/>
          <tpl fld="4" item="5"/>
        </tpls>
      </n>
      <m>
        <tpls c="4">
          <tpl fld="7" item="544"/>
          <tpl fld="6" item="1"/>
          <tpl hier="236" item="1"/>
          <tpl fld="4" item="6"/>
        </tpls>
      </m>
      <m>
        <tpls c="4">
          <tpl fld="7" item="1091"/>
          <tpl fld="6" item="2"/>
          <tpl hier="236" item="1"/>
          <tpl fld="4" item="1"/>
        </tpls>
      </m>
      <m>
        <tpls c="4">
          <tpl fld="7" item="924"/>
          <tpl fld="6" item="2"/>
          <tpl hier="236" item="1"/>
          <tpl fld="4" item="1"/>
        </tpls>
      </m>
      <n v="6" in="1">
        <tpls c="4">
          <tpl fld="7" item="784"/>
          <tpl fld="6" item="1"/>
          <tpl hier="236" item="1"/>
          <tpl fld="1" item="0"/>
        </tpls>
      </n>
      <m>
        <tpls c="4">
          <tpl fld="7" item="1072"/>
          <tpl fld="6" item="2"/>
          <tpl hier="236" item="1"/>
          <tpl fld="4" item="1"/>
        </tpls>
      </m>
      <m>
        <tpls c="4">
          <tpl fld="7" item="23"/>
          <tpl fld="6" item="2"/>
          <tpl hier="236" item="1"/>
          <tpl fld="1" item="0"/>
        </tpls>
      </m>
      <m>
        <tpls c="4">
          <tpl fld="7" item="992"/>
          <tpl fld="6" item="2"/>
          <tpl hier="236" item="1"/>
          <tpl fld="4" item="6"/>
        </tpls>
      </m>
      <m>
        <tpls c="3">
          <tpl fld="7" item="1243"/>
          <tpl fld="6" item="3"/>
          <tpl hier="236" item="1"/>
        </tpls>
      </m>
      <m>
        <tpls c="4">
          <tpl fld="7" item="502"/>
          <tpl fld="6" item="2"/>
          <tpl hier="236" item="1"/>
          <tpl fld="1" item="0"/>
        </tpls>
      </m>
      <n v="1" in="1">
        <tpls c="4">
          <tpl fld="7" item="921"/>
          <tpl fld="6" item="1"/>
          <tpl hier="236" item="1"/>
          <tpl fld="4" item="4"/>
        </tpls>
      </n>
      <m>
        <tpls c="4">
          <tpl fld="7" item="426"/>
          <tpl fld="6" item="2"/>
          <tpl hier="236" item="1"/>
          <tpl fld="4" item="6"/>
        </tpls>
      </m>
      <m>
        <tpls c="4">
          <tpl fld="7" item="1024"/>
          <tpl fld="6" item="1"/>
          <tpl hier="236" item="1"/>
          <tpl fld="4" item="1"/>
        </tpls>
      </m>
      <m>
        <tpls c="4">
          <tpl fld="7" item="1188"/>
          <tpl fld="6" item="2"/>
          <tpl hier="236" item="1"/>
          <tpl fld="4" item="6"/>
        </tpls>
      </m>
      <m>
        <tpls c="4">
          <tpl fld="7" item="177"/>
          <tpl fld="6" item="1"/>
          <tpl hier="236" item="1"/>
          <tpl fld="4" item="4"/>
        </tpls>
      </m>
      <m>
        <tpls c="4">
          <tpl fld="7" item="576"/>
          <tpl fld="6" item="1"/>
          <tpl hier="236" item="1"/>
          <tpl fld="4" item="5"/>
        </tpls>
      </m>
      <n v="1" in="1">
        <tpls c="4">
          <tpl fld="7" item="624"/>
          <tpl fld="6" item="1"/>
          <tpl hier="236" item="1"/>
          <tpl fld="4" item="6"/>
        </tpls>
      </n>
      <n v="1" in="1">
        <tpls c="4">
          <tpl fld="7" item="662"/>
          <tpl fld="6" item="1"/>
          <tpl hier="236" item="1"/>
          <tpl fld="4" item="4"/>
        </tpls>
      </n>
      <m>
        <tpls c="4">
          <tpl fld="7" item="925"/>
          <tpl fld="6" item="2"/>
          <tpl hier="236" item="1"/>
          <tpl fld="4" item="1"/>
        </tpls>
      </m>
      <m>
        <tpls c="4">
          <tpl fld="7" item="686"/>
          <tpl fld="6" item="2"/>
          <tpl hier="236" item="1"/>
          <tpl fld="4" item="1"/>
        </tpls>
      </m>
      <m>
        <tpls c="4">
          <tpl fld="7" item="652"/>
          <tpl fld="6" item="2"/>
          <tpl hier="236" item="1"/>
          <tpl fld="4" item="1"/>
        </tpls>
      </m>
      <m>
        <tpls c="3">
          <tpl fld="7" item="1115"/>
          <tpl fld="6" item="3"/>
          <tpl hier="236" item="1"/>
        </tpls>
      </m>
      <m>
        <tpls c="4">
          <tpl fld="7" item="904"/>
          <tpl fld="6" item="2"/>
          <tpl hier="236" item="1"/>
          <tpl fld="1" item="0"/>
        </tpls>
      </m>
      <m>
        <tpls c="3">
          <tpl fld="7" item="1276"/>
          <tpl fld="6" item="3"/>
          <tpl hier="236" item="1"/>
        </tpls>
      </m>
      <m>
        <tpls c="4">
          <tpl fld="7" item="1000"/>
          <tpl fld="6" item="2"/>
          <tpl hier="236" item="1"/>
          <tpl fld="4" item="5"/>
        </tpls>
      </m>
      <m>
        <tpls c="4">
          <tpl fld="7" item="66"/>
          <tpl fld="6" item="2"/>
          <tpl hier="236" item="1"/>
          <tpl fld="4" item="6"/>
        </tpls>
      </m>
      <m>
        <tpls c="4">
          <tpl fld="7" item="1129"/>
          <tpl fld="6" item="1"/>
          <tpl hier="236" item="1"/>
          <tpl fld="4" item="1"/>
        </tpls>
      </m>
      <m>
        <tpls c="4">
          <tpl fld="7" item="577"/>
          <tpl fld="6" item="1"/>
          <tpl hier="236" item="1"/>
          <tpl fld="4" item="5"/>
        </tpls>
      </m>
      <n v="0.52" in="2">
        <tpls c="4">
          <tpl fld="7" item="365"/>
          <tpl fld="6" item="2"/>
          <tpl hier="236" item="1"/>
          <tpl fld="4" item="4"/>
        </tpls>
      </n>
      <m>
        <tpls c="4">
          <tpl fld="7" item="583"/>
          <tpl fld="6" item="2"/>
          <tpl hier="236" item="1"/>
          <tpl fld="1" item="0"/>
        </tpls>
      </m>
      <n v="18" in="1">
        <tpls c="4">
          <tpl fld="7" item="707"/>
          <tpl fld="6" item="1"/>
          <tpl hier="236" item="1"/>
          <tpl fld="1" item="0"/>
        </tpls>
      </n>
      <m>
        <tpls c="4">
          <tpl fld="7" item="1241"/>
          <tpl fld="6" item="1"/>
          <tpl hier="236" item="1"/>
          <tpl fld="4" item="6"/>
        </tpls>
      </m>
      <n v="1" in="1">
        <tpls c="4">
          <tpl fld="7" item="1133"/>
          <tpl fld="6" item="1"/>
          <tpl hier="236" item="1"/>
          <tpl fld="4" item="4"/>
        </tpls>
      </n>
      <m>
        <tpls c="4">
          <tpl fld="7" item="881"/>
          <tpl fld="6" item="2"/>
          <tpl hier="236" item="1"/>
          <tpl fld="1" item="0"/>
        </tpls>
      </m>
      <m>
        <tpls c="4">
          <tpl fld="7" item="995"/>
          <tpl fld="6" item="2"/>
          <tpl hier="236" item="1"/>
          <tpl fld="4" item="4"/>
        </tpls>
      </m>
      <n v="7" in="1">
        <tpls c="4">
          <tpl fld="7" item="1245"/>
          <tpl fld="6" item="1"/>
          <tpl hier="236" item="1"/>
          <tpl fld="4" item="6"/>
        </tpls>
      </n>
      <n v="1" in="2">
        <tpls c="4">
          <tpl fld="7" item="1001"/>
          <tpl fld="6" item="2"/>
          <tpl hier="236" item="1"/>
          <tpl fld="1" item="0"/>
        </tpls>
      </n>
      <m>
        <tpls c="4">
          <tpl fld="7" item="802"/>
          <tpl fld="6" item="2"/>
          <tpl hier="236" item="1"/>
          <tpl fld="4" item="5"/>
        </tpls>
      </m>
      <m>
        <tpls c="4">
          <tpl fld="7" item="682"/>
          <tpl fld="6" item="2"/>
          <tpl hier="236" item="1"/>
          <tpl fld="4" item="5"/>
        </tpls>
      </m>
      <m>
        <tpls c="4">
          <tpl fld="7" item="36"/>
          <tpl fld="6" item="2"/>
          <tpl hier="236" item="1"/>
          <tpl fld="4" item="6"/>
        </tpls>
      </m>
      <m>
        <tpls c="4">
          <tpl fld="7" item="1195"/>
          <tpl fld="6" item="1"/>
          <tpl hier="236" item="1"/>
          <tpl fld="4" item="1"/>
        </tpls>
      </m>
      <m>
        <tpls c="4">
          <tpl fld="7" item="641"/>
          <tpl fld="6" item="1"/>
          <tpl hier="236" item="1"/>
          <tpl fld="4" item="6"/>
        </tpls>
      </m>
      <m>
        <tpls c="4">
          <tpl fld="7" item="380"/>
          <tpl fld="6" item="2"/>
          <tpl hier="236" item="1"/>
          <tpl fld="4" item="5"/>
        </tpls>
      </m>
      <m>
        <tpls c="4">
          <tpl fld="7" item="29"/>
          <tpl fld="6" item="2"/>
          <tpl hier="236" item="1"/>
          <tpl fld="4" item="6"/>
        </tpls>
      </m>
      <n v="15" in="1">
        <tpls c="4">
          <tpl fld="7" item="625"/>
          <tpl fld="6" item="1"/>
          <tpl hier="236" item="1"/>
          <tpl fld="4" item="4"/>
        </tpls>
      </n>
      <m>
        <tpls c="4">
          <tpl fld="7" item="384"/>
          <tpl fld="6" item="2"/>
          <tpl hier="236" item="1"/>
          <tpl fld="1" item="0"/>
        </tpls>
      </m>
      <m>
        <tpls c="4">
          <tpl fld="7" item="1196"/>
          <tpl fld="6" item="2"/>
          <tpl hier="236" item="1"/>
          <tpl fld="4" item="5"/>
        </tpls>
      </m>
      <m>
        <tpls c="4">
          <tpl fld="7" item="325"/>
          <tpl fld="6" item="1"/>
          <tpl hier="236" item="1"/>
          <tpl fld="4" item="1"/>
        </tpls>
      </m>
      <n v="1" in="2">
        <tpls c="4">
          <tpl fld="7" item="366"/>
          <tpl fld="6" item="2"/>
          <tpl hier="236" item="1"/>
          <tpl fld="4" item="6"/>
        </tpls>
      </n>
      <m>
        <tpls c="4">
          <tpl fld="7" item="1017"/>
          <tpl fld="6" item="1"/>
          <tpl hier="236" item="1"/>
          <tpl fld="4" item="1"/>
        </tpls>
      </m>
      <n v="9" in="1">
        <tpls c="4">
          <tpl fld="7" item="666"/>
          <tpl fld="6" item="1"/>
          <tpl hier="236" item="1"/>
          <tpl fld="4" item="1"/>
        </tpls>
      </n>
      <m>
        <tpls c="4">
          <tpl fld="7" item="157"/>
          <tpl fld="6" item="2"/>
          <tpl hier="236" item="1"/>
          <tpl fld="4" item="5"/>
        </tpls>
      </m>
      <m>
        <tpls c="4">
          <tpl fld="7" item="896"/>
          <tpl fld="6" item="1"/>
          <tpl hier="236" item="1"/>
          <tpl fld="4" item="5"/>
        </tpls>
      </m>
      <m>
        <tpls c="4">
          <tpl fld="7" item="251"/>
          <tpl fld="6" item="1"/>
          <tpl hier="236" item="1"/>
          <tpl fld="4" item="5"/>
        </tpls>
      </m>
      <m>
        <tpls c="4">
          <tpl fld="7" item="867"/>
          <tpl fld="6" item="1"/>
          <tpl hier="236" item="1"/>
          <tpl fld="4" item="1"/>
        </tpls>
      </m>
      <m>
        <tpls c="4">
          <tpl fld="7" item="311"/>
          <tpl fld="6" item="1"/>
          <tpl hier="236" item="1"/>
          <tpl fld="4" item="1"/>
        </tpls>
      </m>
      <m>
        <tpls c="4">
          <tpl fld="7" item="589"/>
          <tpl fld="6" item="1"/>
          <tpl hier="236" item="1"/>
          <tpl fld="4" item="1"/>
        </tpls>
      </m>
      <n v="75" in="1">
        <tpls c="4">
          <tpl fld="7" item="675"/>
          <tpl fld="6" item="1"/>
          <tpl hier="236" item="1"/>
          <tpl fld="1" item="0"/>
        </tpls>
      </n>
      <n v="5" in="1">
        <tpls c="4">
          <tpl fld="7" item="710"/>
          <tpl fld="6" item="1"/>
          <tpl hier="236" item="1"/>
          <tpl fld="4" item="6"/>
        </tpls>
      </n>
      <m>
        <tpls c="4">
          <tpl fld="7" item="836"/>
          <tpl fld="6" item="2"/>
          <tpl hier="236" item="1"/>
          <tpl fld="4" item="5"/>
        </tpls>
      </m>
      <n v="5" in="1">
        <tpls c="4">
          <tpl fld="7" item="834"/>
          <tpl fld="6" item="1"/>
          <tpl hier="236" item="1"/>
          <tpl fld="4" item="5"/>
        </tpls>
      </n>
      <m>
        <tpls c="4">
          <tpl fld="7" item="466"/>
          <tpl fld="6" item="1"/>
          <tpl hier="236" item="1"/>
          <tpl fld="4" item="1"/>
        </tpls>
      </m>
      <m>
        <tpls c="4">
          <tpl fld="7" item="412"/>
          <tpl fld="6" item="1"/>
          <tpl hier="236" item="1"/>
          <tpl fld="1" item="0"/>
        </tpls>
      </m>
      <m>
        <tpls c="3">
          <tpl fld="7" item="59"/>
          <tpl fld="6" item="3"/>
          <tpl hier="236" item="1"/>
        </tpls>
      </m>
      <m>
        <tpls c="4">
          <tpl fld="7" item="628"/>
          <tpl fld="6" item="2"/>
          <tpl hier="236" item="1"/>
          <tpl fld="4" item="4"/>
        </tpls>
      </m>
      <m>
        <tpls c="4">
          <tpl fld="7" item="72"/>
          <tpl fld="6" item="1"/>
          <tpl hier="236" item="1"/>
          <tpl fld="4" item="1"/>
        </tpls>
      </m>
      <m>
        <tpls c="4">
          <tpl fld="7" item="1150"/>
          <tpl fld="6" item="2"/>
          <tpl hier="236" item="1"/>
          <tpl fld="4" item="4"/>
        </tpls>
      </m>
      <m>
        <tpls c="4">
          <tpl fld="7" item="1117"/>
          <tpl fld="6" item="2"/>
          <tpl hier="236" item="1"/>
          <tpl fld="4" item="5"/>
        </tpls>
      </m>
      <m>
        <tpls c="4">
          <tpl fld="7" item="845"/>
          <tpl fld="6" item="1"/>
          <tpl hier="236" item="1"/>
          <tpl fld="4" item="5"/>
        </tpls>
      </m>
      <m>
        <tpls c="4">
          <tpl fld="7" item="145"/>
          <tpl fld="6" item="1"/>
          <tpl hier="236" item="1"/>
          <tpl fld="4" item="1"/>
        </tpls>
      </m>
      <m>
        <tpls c="4">
          <tpl fld="7" item="70"/>
          <tpl fld="6" item="1"/>
          <tpl hier="236" item="1"/>
          <tpl fld="1" item="0"/>
        </tpls>
      </m>
      <m>
        <tpls c="3">
          <tpl fld="7" item="278"/>
          <tpl fld="6" item="3"/>
          <tpl hier="236" item="1"/>
        </tpls>
      </m>
      <m>
        <tpls c="4">
          <tpl fld="7" item="978"/>
          <tpl fld="6" item="2"/>
          <tpl hier="236" item="1"/>
          <tpl fld="4" item="4"/>
        </tpls>
      </m>
      <n v="6" in="1">
        <tpls c="4">
          <tpl fld="7" item="1247"/>
          <tpl fld="6" item="1"/>
          <tpl hier="236" item="1"/>
          <tpl fld="1" item="0"/>
        </tpls>
      </n>
      <m>
        <tpls c="4">
          <tpl fld="7" item="58"/>
          <tpl fld="6" item="2"/>
          <tpl hier="236" item="1"/>
          <tpl fld="4" item="4"/>
        </tpls>
      </m>
      <m>
        <tpls c="4">
          <tpl fld="7" item="599"/>
          <tpl fld="6" item="2"/>
          <tpl hier="236" item="1"/>
          <tpl fld="4" item="5"/>
        </tpls>
      </m>
      <m>
        <tpls c="4">
          <tpl fld="7" item="637"/>
          <tpl fld="6" item="1"/>
          <tpl hier="236" item="1"/>
          <tpl fld="4" item="5"/>
        </tpls>
      </m>
      <m>
        <tpls c="4">
          <tpl fld="7" item="636"/>
          <tpl fld="6" item="1"/>
          <tpl hier="236" item="1"/>
          <tpl fld="4" item="1"/>
        </tpls>
      </m>
      <m>
        <tpls c="3">
          <tpl fld="7" item="903"/>
          <tpl fld="6" item="3"/>
          <tpl hier="236" item="1"/>
        </tpls>
      </m>
      <n v="2.4389189189189189" in="2">
        <tpls c="4">
          <tpl fld="7" item="213"/>
          <tpl fld="6" item="2"/>
          <tpl hier="236" item="1"/>
          <tpl fld="1" item="0"/>
        </tpls>
      </n>
      <n v="1" in="1">
        <tpls c="4">
          <tpl fld="7" item="1189"/>
          <tpl fld="6" item="1"/>
          <tpl hier="236" item="1"/>
          <tpl fld="4" item="4"/>
        </tpls>
      </n>
      <m>
        <tpls c="3">
          <tpl fld="7" item="925"/>
          <tpl fld="6" item="3"/>
          <tpl hier="236" item="1"/>
        </tpls>
      </m>
      <m>
        <tpls c="4">
          <tpl fld="7" item="526"/>
          <tpl fld="6" item="2"/>
          <tpl hier="236" item="1"/>
          <tpl fld="4" item="5"/>
        </tpls>
      </m>
      <n v="2" in="2">
        <tpls c="4">
          <tpl fld="7" item="356"/>
          <tpl fld="6" item="2"/>
          <tpl hier="236" item="1"/>
          <tpl fld="4" item="5"/>
        </tpls>
      </n>
      <m>
        <tpls c="4">
          <tpl fld="7" item="358"/>
          <tpl fld="6" item="1"/>
          <tpl hier="236" item="1"/>
          <tpl fld="4" item="5"/>
        </tpls>
      </m>
      <n v="1" in="1">
        <tpls c="4">
          <tpl fld="7" item="846"/>
          <tpl fld="6" item="1"/>
          <tpl hier="236" item="1"/>
          <tpl fld="1" item="0"/>
        </tpls>
      </n>
      <m>
        <tpls c="4">
          <tpl fld="7" item="912"/>
          <tpl fld="6" item="2"/>
          <tpl hier="236" item="1"/>
          <tpl fld="4" item="5"/>
        </tpls>
      </m>
      <m>
        <tpls c="4">
          <tpl fld="7" item="23"/>
          <tpl fld="6" item="2"/>
          <tpl hier="236" item="1"/>
          <tpl fld="4" item="5"/>
        </tpls>
      </m>
      <n v="5.2" in="2">
        <tpls c="4">
          <tpl fld="7" item="353"/>
          <tpl fld="6" item="2"/>
          <tpl hier="236" item="1"/>
          <tpl fld="4" item="6"/>
        </tpls>
      </n>
      <m>
        <tpls c="4">
          <tpl fld="7" item="1192"/>
          <tpl fld="6" item="1"/>
          <tpl hier="236" item="1"/>
          <tpl fld="4" item="5"/>
        </tpls>
      </m>
      <m>
        <tpls c="4">
          <tpl fld="7" item="280"/>
          <tpl fld="6" item="1"/>
          <tpl hier="236" item="1"/>
          <tpl fld="4" item="5"/>
        </tpls>
      </m>
      <m>
        <tpls c="4">
          <tpl fld="7" item="935"/>
          <tpl fld="6" item="1"/>
          <tpl hier="236" item="1"/>
          <tpl fld="4" item="1"/>
        </tpls>
      </m>
      <n v="4" in="1">
        <tpls c="4">
          <tpl fld="7" item="764"/>
          <tpl fld="6" item="1"/>
          <tpl hier="236" item="1"/>
          <tpl fld="4" item="1"/>
        </tpls>
      </n>
      <n v="0" in="1">
        <tpls c="4">
          <tpl fld="7" item="342"/>
          <tpl fld="6" item="1"/>
          <tpl hier="236" item="1"/>
          <tpl fld="4" item="1"/>
        </tpls>
      </n>
      <m>
        <tpls c="4">
          <tpl fld="7" item="1089"/>
          <tpl fld="6" item="1"/>
          <tpl hier="236" item="1"/>
          <tpl fld="1" item="0"/>
        </tpls>
      </m>
      <m>
        <tpls c="4">
          <tpl fld="7" item="816"/>
          <tpl fld="6" item="1"/>
          <tpl hier="236" item="1"/>
          <tpl fld="4" item="1"/>
        </tpls>
      </m>
      <m>
        <tpls c="4">
          <tpl fld="7" item="1220"/>
          <tpl fld="6" item="2"/>
          <tpl hier="236" item="1"/>
          <tpl fld="4" item="4"/>
        </tpls>
      </m>
      <m>
        <tpls c="4">
          <tpl fld="7" item="762"/>
          <tpl fld="6" item="2"/>
          <tpl hier="236" item="1"/>
          <tpl fld="1" item="0"/>
        </tpls>
      </m>
      <m>
        <tpls c="4">
          <tpl fld="7" item="851"/>
          <tpl fld="6" item="2"/>
          <tpl hier="236" item="1"/>
          <tpl fld="4" item="5"/>
        </tpls>
      </m>
      <m>
        <tpls c="4">
          <tpl fld="7" item="312"/>
          <tpl fld="6" item="2"/>
          <tpl hier="236" item="1"/>
          <tpl fld="4" item="5"/>
        </tpls>
      </m>
      <m>
        <tpls c="4">
          <tpl fld="7" item="10"/>
          <tpl fld="6" item="2"/>
          <tpl hier="236" item="1"/>
          <tpl fld="4" item="5"/>
        </tpls>
      </m>
      <m>
        <tpls c="4">
          <tpl fld="7" item="832"/>
          <tpl fld="6" item="2"/>
          <tpl hier="236" item="1"/>
          <tpl fld="4" item="6"/>
        </tpls>
      </m>
      <m>
        <tpls c="4">
          <tpl fld="7" item="486"/>
          <tpl fld="6" item="2"/>
          <tpl hier="236" item="1"/>
          <tpl fld="4" item="6"/>
        </tpls>
      </m>
      <m>
        <tpls c="4">
          <tpl fld="7" item="1125"/>
          <tpl fld="6" item="1"/>
          <tpl hier="236" item="1"/>
          <tpl fld="4" item="5"/>
        </tpls>
      </m>
      <n v="1" in="1">
        <tpls c="4">
          <tpl fld="7" item="757"/>
          <tpl fld="6" item="1"/>
          <tpl hier="236" item="1"/>
          <tpl fld="4" item="5"/>
        </tpls>
      </n>
      <m>
        <tpls c="4">
          <tpl fld="7" item="27"/>
          <tpl fld="6" item="1"/>
          <tpl hier="236" item="1"/>
          <tpl fld="4" item="5"/>
        </tpls>
      </m>
      <m>
        <tpls c="4">
          <tpl fld="7" item="1199"/>
          <tpl fld="6" item="1"/>
          <tpl hier="236" item="1"/>
          <tpl fld="4" item="1"/>
        </tpls>
      </m>
      <n v="5" in="1">
        <tpls c="4">
          <tpl fld="7" item="450"/>
          <tpl fld="6" item="1"/>
          <tpl hier="236" item="1"/>
          <tpl fld="4" item="1"/>
        </tpls>
      </n>
      <m>
        <tpls c="4">
          <tpl fld="7" item="174"/>
          <tpl fld="6" item="1"/>
          <tpl hier="236" item="1"/>
          <tpl fld="4" item="1"/>
        </tpls>
      </m>
      <m>
        <tpls c="4">
          <tpl fld="7" item="9"/>
          <tpl fld="6" item="1"/>
          <tpl hier="236" item="1"/>
          <tpl fld="4" item="1"/>
        </tpls>
      </m>
      <n v="2" in="1">
        <tpls c="4">
          <tpl fld="7" item="1237"/>
          <tpl fld="6" item="1"/>
          <tpl hier="236" item="1"/>
          <tpl fld="1" item="0"/>
        </tpls>
      </n>
      <m>
        <tpls c="4">
          <tpl fld="7" item="168"/>
          <tpl fld="6" item="1"/>
          <tpl hier="236" item="1"/>
          <tpl fld="1" item="0"/>
        </tpls>
      </m>
      <m>
        <tpls c="4">
          <tpl fld="7" item="724"/>
          <tpl fld="6" item="2"/>
          <tpl hier="236" item="1"/>
          <tpl fld="1" item="0"/>
        </tpls>
      </m>
      <m>
        <tpls c="4">
          <tpl fld="7" item="366"/>
          <tpl fld="6" item="2"/>
          <tpl hier="236" item="1"/>
          <tpl fld="4" item="5"/>
        </tpls>
      </m>
      <m>
        <tpls c="4">
          <tpl fld="7" item="252"/>
          <tpl fld="6" item="2"/>
          <tpl hier="236" item="1"/>
          <tpl fld="4" item="6"/>
        </tpls>
      </m>
      <m>
        <tpls c="4">
          <tpl fld="7" item="907"/>
          <tpl fld="6" item="1"/>
          <tpl hier="236" item="1"/>
          <tpl fld="4" item="1"/>
        </tpls>
      </m>
      <n v="5" in="1">
        <tpls c="4">
          <tpl fld="7" item="898"/>
          <tpl fld="6" item="1"/>
          <tpl hier="236" item="1"/>
          <tpl fld="1" item="0"/>
        </tpls>
      </n>
      <m>
        <tpls c="4">
          <tpl fld="7" item="876"/>
          <tpl fld="6" item="1"/>
          <tpl hier="236" item="1"/>
          <tpl fld="1" item="0"/>
        </tpls>
      </m>
      <m>
        <tpls c="3">
          <tpl fld="7" item="829"/>
          <tpl fld="6" item="3"/>
          <tpl hier="236" item="1"/>
        </tpls>
      </m>
      <m>
        <tpls c="4">
          <tpl fld="7" item="1060"/>
          <tpl fld="6" item="2"/>
          <tpl hier="236" item="1"/>
          <tpl fld="4" item="4"/>
        </tpls>
      </m>
      <m>
        <tpls c="4">
          <tpl fld="7" item="8"/>
          <tpl fld="6" item="2"/>
          <tpl hier="236" item="1"/>
          <tpl fld="4" item="4"/>
        </tpls>
      </m>
      <m>
        <tpls c="4">
          <tpl fld="7" item="127"/>
          <tpl fld="6" item="1"/>
          <tpl hier="236" item="1"/>
          <tpl fld="4" item="1"/>
        </tpls>
      </m>
      <m>
        <tpls c="3">
          <tpl fld="7" item="1"/>
          <tpl fld="6" item="3"/>
          <tpl hier="236" item="1"/>
        </tpls>
      </m>
      <m>
        <tpls c="4">
          <tpl fld="7" item="1105"/>
          <tpl fld="6" item="2"/>
          <tpl hier="236" item="1"/>
          <tpl fld="4" item="4"/>
        </tpls>
      </m>
      <m>
        <tpls c="4">
          <tpl fld="7" item="477"/>
          <tpl fld="6" item="2"/>
          <tpl hier="236" item="1"/>
          <tpl fld="4" item="5"/>
        </tpls>
      </m>
      <m>
        <tpls c="4">
          <tpl fld="7" item="449"/>
          <tpl fld="6" item="1"/>
          <tpl hier="236" item="1"/>
          <tpl fld="4" item="5"/>
        </tpls>
      </m>
      <m>
        <tpls c="4">
          <tpl fld="7" item="302"/>
          <tpl fld="6" item="1"/>
          <tpl hier="236" item="1"/>
          <tpl fld="4" item="1"/>
        </tpls>
      </m>
      <n v="4" in="1">
        <tpls c="4">
          <tpl fld="7" item="365"/>
          <tpl fld="6" item="1"/>
          <tpl hier="236" item="1"/>
          <tpl fld="1" item="0"/>
        </tpls>
      </n>
      <m>
        <tpls c="4">
          <tpl fld="7" item="236"/>
          <tpl fld="6" item="1"/>
          <tpl hier="236" item="1"/>
          <tpl fld="1" item="0"/>
        </tpls>
      </m>
      <m>
        <tpls c="3">
          <tpl fld="7" item="233"/>
          <tpl fld="6" item="3"/>
          <tpl hier="236" item="1"/>
        </tpls>
      </m>
      <m>
        <tpls c="4">
          <tpl fld="7" item="939"/>
          <tpl fld="6" item="2"/>
          <tpl hier="236" item="1"/>
          <tpl fld="4" item="4"/>
        </tpls>
      </m>
      <m>
        <tpls c="4">
          <tpl fld="7" item="589"/>
          <tpl fld="6" item="2"/>
          <tpl hier="236" item="1"/>
          <tpl fld="4" item="6"/>
        </tpls>
      </m>
      <m>
        <tpls c="4">
          <tpl fld="7" item="146"/>
          <tpl fld="6" item="1"/>
          <tpl hier="236" item="1"/>
          <tpl fld="1" item="0"/>
        </tpls>
      </m>
      <m>
        <tpls c="4">
          <tpl fld="7" item="396"/>
          <tpl fld="6" item="2"/>
          <tpl hier="236" item="1"/>
          <tpl fld="4" item="4"/>
        </tpls>
      </m>
      <m>
        <tpls c="4">
          <tpl fld="7" item="11"/>
          <tpl fld="6" item="2"/>
          <tpl hier="236" item="1"/>
          <tpl fld="1" item="0"/>
        </tpls>
      </m>
      <m>
        <tpls c="4">
          <tpl fld="7" item="756"/>
          <tpl fld="6" item="2"/>
          <tpl hier="236" item="1"/>
          <tpl fld="4" item="6"/>
        </tpls>
      </m>
      <n v="1" in="1">
        <tpls c="4">
          <tpl fld="7" item="1161"/>
          <tpl fld="6" item="1"/>
          <tpl hier="236" item="1"/>
          <tpl fld="4" item="1"/>
        </tpls>
      </n>
      <m>
        <tpls c="4">
          <tpl fld="7" item="1196"/>
          <tpl fld="6" item="1"/>
          <tpl hier="236" item="1"/>
          <tpl fld="1" item="0"/>
        </tpls>
      </m>
      <m>
        <tpls c="4">
          <tpl fld="7" item="294"/>
          <tpl fld="6" item="1"/>
          <tpl hier="236" item="1"/>
          <tpl fld="1" item="0"/>
        </tpls>
      </m>
      <m>
        <tpls c="4">
          <tpl fld="7" item="228"/>
          <tpl fld="6" item="1"/>
          <tpl hier="236" item="1"/>
          <tpl fld="4" item="6"/>
        </tpls>
      </m>
      <m>
        <tpls c="4">
          <tpl fld="7" item="1285"/>
          <tpl fld="6" item="2"/>
          <tpl hier="236" item="1"/>
          <tpl fld="4" item="4"/>
        </tpls>
      </m>
      <m>
        <tpls c="4">
          <tpl fld="7" item="331"/>
          <tpl fld="6" item="2"/>
          <tpl hier="236" item="1"/>
          <tpl fld="4" item="4"/>
        </tpls>
      </m>
      <m>
        <tpls c="4">
          <tpl fld="7" item="1197"/>
          <tpl fld="6" item="2"/>
          <tpl hier="236" item="1"/>
          <tpl fld="4" item="1"/>
        </tpls>
      </m>
      <m>
        <tpls c="4">
          <tpl fld="7" item="907"/>
          <tpl fld="6" item="2"/>
          <tpl hier="236" item="1"/>
          <tpl fld="4" item="6"/>
        </tpls>
      </m>
      <m>
        <tpls c="4">
          <tpl fld="7" item="91"/>
          <tpl fld="6" item="1"/>
          <tpl hier="236" item="1"/>
          <tpl fld="1" item="0"/>
        </tpls>
      </m>
      <m>
        <tpls c="4">
          <tpl fld="7" item="63"/>
          <tpl fld="6" item="2"/>
          <tpl hier="236" item="1"/>
          <tpl fld="4" item="4"/>
        </tpls>
      </m>
      <m>
        <tpls c="4">
          <tpl fld="7" item="1275"/>
          <tpl fld="6" item="2"/>
          <tpl hier="236" item="1"/>
          <tpl fld="4" item="1"/>
        </tpls>
      </m>
      <n v="10" in="1">
        <tpls c="4">
          <tpl fld="7" item="1116"/>
          <tpl fld="6" item="1"/>
          <tpl hier="236" item="1"/>
          <tpl fld="4" item="6"/>
        </tpls>
      </n>
      <n v="15" in="1">
        <tpls c="4">
          <tpl fld="7" item="723"/>
          <tpl fld="6" item="1"/>
          <tpl hier="236" item="1"/>
          <tpl fld="4" item="4"/>
        </tpls>
      </n>
      <m>
        <tpls c="4">
          <tpl fld="7" item="943"/>
          <tpl fld="6" item="2"/>
          <tpl hier="236" item="1"/>
          <tpl fld="4" item="1"/>
        </tpls>
      </m>
      <m>
        <tpls c="4">
          <tpl fld="7" item="1258"/>
          <tpl fld="6" item="1"/>
          <tpl hier="236" item="1"/>
          <tpl fld="4" item="4"/>
        </tpls>
      </m>
      <m>
        <tpls c="4">
          <tpl fld="7" item="70"/>
          <tpl fld="6" item="1"/>
          <tpl hier="236" item="1"/>
          <tpl fld="4" item="5"/>
        </tpls>
      </m>
      <n v="1" in="1">
        <tpls c="4">
          <tpl fld="7" item="1068"/>
          <tpl fld="6" item="1"/>
          <tpl hier="236" item="1"/>
          <tpl fld="4" item="4"/>
        </tpls>
      </n>
      <m>
        <tpls c="4">
          <tpl fld="7" item="245"/>
          <tpl fld="6" item="2"/>
          <tpl hier="236" item="1"/>
          <tpl fld="4" item="5"/>
        </tpls>
      </m>
      <m>
        <tpls c="4">
          <tpl fld="7" item="241"/>
          <tpl fld="6" item="2"/>
          <tpl hier="236" item="1"/>
          <tpl fld="4" item="6"/>
        </tpls>
      </m>
      <m>
        <tpls c="4">
          <tpl fld="7" item="12"/>
          <tpl fld="6" item="1"/>
          <tpl hier="236" item="1"/>
          <tpl fld="4" item="5"/>
        </tpls>
      </m>
      <m>
        <tpls c="4">
          <tpl fld="7" item="877"/>
          <tpl fld="6" item="1"/>
          <tpl hier="236" item="1"/>
          <tpl fld="4" item="1"/>
        </tpls>
      </m>
      <m>
        <tpls c="4">
          <tpl fld="7" item="1095"/>
          <tpl fld="6" item="2"/>
          <tpl hier="236" item="1"/>
          <tpl fld="4" item="6"/>
        </tpls>
      </m>
      <n v="4" in="1">
        <tpls c="4">
          <tpl fld="7" item="1279"/>
          <tpl fld="6" item="1"/>
          <tpl hier="236" item="1"/>
          <tpl fld="4" item="4"/>
        </tpls>
      </n>
      <m>
        <tpls c="4">
          <tpl fld="7" item="377"/>
          <tpl fld="6" item="2"/>
          <tpl hier="236" item="1"/>
          <tpl fld="4" item="5"/>
        </tpls>
      </m>
      <m>
        <tpls c="4">
          <tpl fld="7" item="869"/>
          <tpl fld="6" item="2"/>
          <tpl hier="236" item="1"/>
          <tpl fld="4" item="6"/>
        </tpls>
      </m>
      <m>
        <tpls c="4">
          <tpl fld="7" item="253"/>
          <tpl fld="6" item="2"/>
          <tpl hier="236" item="1"/>
          <tpl fld="4" item="6"/>
        </tpls>
      </m>
      <m>
        <tpls c="4">
          <tpl fld="7" item="1232"/>
          <tpl fld="6" item="1"/>
          <tpl hier="236" item="1"/>
          <tpl fld="4" item="1"/>
        </tpls>
      </m>
      <m>
        <tpls c="4">
          <tpl fld="7" item="312"/>
          <tpl fld="6" item="1"/>
          <tpl hier="236" item="1"/>
          <tpl fld="1" item="0"/>
        </tpls>
      </m>
      <m>
        <tpls c="4">
          <tpl fld="7" item="25"/>
          <tpl fld="6" item="2"/>
          <tpl hier="236" item="1"/>
          <tpl fld="4" item="4"/>
        </tpls>
      </m>
      <n v="8" in="1">
        <tpls c="4">
          <tpl fld="7" item="1001"/>
          <tpl fld="6" item="1"/>
          <tpl hier="236" item="1"/>
          <tpl fld="1" item="0"/>
        </tpls>
      </n>
      <m>
        <tpls c="4">
          <tpl fld="7" item="875"/>
          <tpl fld="6" item="2"/>
          <tpl hier="236" item="1"/>
          <tpl fld="4" item="4"/>
        </tpls>
      </m>
      <m>
        <tpls c="4">
          <tpl fld="7" item="342"/>
          <tpl fld="6" item="1"/>
          <tpl hier="236" item="1"/>
          <tpl fld="1" item="0"/>
        </tpls>
      </m>
      <m>
        <tpls c="4">
          <tpl fld="7" item="739"/>
          <tpl fld="6" item="2"/>
          <tpl hier="236" item="1"/>
          <tpl fld="4" item="1"/>
        </tpls>
      </m>
      <n v="8" in="1">
        <tpls c="4">
          <tpl fld="7" item="1219"/>
          <tpl fld="6" item="1"/>
          <tpl hier="236" item="1"/>
          <tpl fld="4" item="4"/>
        </tpls>
      </n>
      <m>
        <tpls c="4">
          <tpl fld="7" item="16"/>
          <tpl fld="6" item="2"/>
          <tpl hier="236" item="1"/>
          <tpl fld="4" item="6"/>
        </tpls>
      </m>
      <m>
        <tpls c="4">
          <tpl fld="7" item="150"/>
          <tpl fld="6" item="2"/>
          <tpl hier="236" item="1"/>
          <tpl fld="4" item="5"/>
        </tpls>
      </m>
      <m>
        <tpls c="4">
          <tpl fld="7" item="20"/>
          <tpl fld="6" item="1"/>
          <tpl hier="236" item="1"/>
          <tpl fld="4" item="5"/>
        </tpls>
      </m>
      <m>
        <tpls c="4">
          <tpl fld="7" item="993"/>
          <tpl fld="6" item="1"/>
          <tpl hier="236" item="1"/>
          <tpl fld="4" item="5"/>
        </tpls>
      </m>
      <m>
        <tpls c="4">
          <tpl fld="7" item="1084"/>
          <tpl fld="6" item="2"/>
          <tpl hier="236" item="1"/>
          <tpl fld="4" item="5"/>
        </tpls>
      </m>
      <m>
        <tpls c="4">
          <tpl fld="7" item="119"/>
          <tpl fld="6" item="2"/>
          <tpl hier="236" item="1"/>
          <tpl fld="4" item="6"/>
        </tpls>
      </m>
      <n v="3" in="1">
        <tpls c="4">
          <tpl fld="7" item="836"/>
          <tpl fld="6" item="1"/>
          <tpl hier="236" item="1"/>
          <tpl fld="4" item="1"/>
        </tpls>
      </n>
      <m>
        <tpls c="4">
          <tpl fld="7" item="178"/>
          <tpl fld="6" item="1"/>
          <tpl hier="236" item="1"/>
          <tpl fld="1" item="0"/>
        </tpls>
      </m>
      <m>
        <tpls c="4">
          <tpl fld="7" item="199"/>
          <tpl fld="6" item="1"/>
          <tpl hier="236" item="1"/>
          <tpl fld="4" item="1"/>
        </tpls>
      </m>
      <m>
        <tpls c="4">
          <tpl fld="7" item="1055"/>
          <tpl fld="6" item="2"/>
          <tpl hier="236" item="1"/>
          <tpl fld="4" item="4"/>
        </tpls>
      </m>
      <m>
        <tpls c="4">
          <tpl fld="7" item="1117"/>
          <tpl fld="6" item="2"/>
          <tpl hier="236" item="1"/>
          <tpl fld="4" item="4"/>
        </tpls>
      </m>
      <n v="30" in="1">
        <tpls c="4">
          <tpl fld="7" item="429"/>
          <tpl fld="6" item="1"/>
          <tpl hier="236" item="1"/>
          <tpl fld="1" item="0"/>
        </tpls>
      </n>
      <m>
        <tpls c="4">
          <tpl fld="7" item="182"/>
          <tpl fld="6" item="2"/>
          <tpl hier="236" item="1"/>
          <tpl fld="4" item="6"/>
        </tpls>
      </m>
      <m>
        <tpls c="4">
          <tpl fld="7" item="1237"/>
          <tpl fld="6" item="2"/>
          <tpl hier="236" item="1"/>
          <tpl fld="4" item="6"/>
        </tpls>
      </m>
      <n v="9" in="1">
        <tpls c="4">
          <tpl fld="7" item="214"/>
          <tpl fld="6" item="1"/>
          <tpl hier="236" item="1"/>
          <tpl fld="1" item="0"/>
        </tpls>
      </n>
      <m>
        <tpls c="4">
          <tpl fld="7" item="1202"/>
          <tpl fld="6" item="2"/>
          <tpl hier="236" item="1"/>
          <tpl fld="4" item="4"/>
        </tpls>
      </m>
      <n v="3" in="1">
        <tpls c="4">
          <tpl fld="7" item="871"/>
          <tpl fld="6" item="1"/>
          <tpl hier="236" item="1"/>
          <tpl fld="4" item="5"/>
        </tpls>
      </n>
      <m>
        <tpls c="4">
          <tpl fld="7" item="676"/>
          <tpl fld="6" item="1"/>
          <tpl hier="236" item="1"/>
          <tpl fld="4" item="6"/>
        </tpls>
      </m>
      <m>
        <tpls c="4">
          <tpl fld="7" item="726"/>
          <tpl fld="6" item="2"/>
          <tpl hier="236" item="1"/>
          <tpl fld="4" item="1"/>
        </tpls>
      </m>
      <m>
        <tpls c="4">
          <tpl fld="7" item="974"/>
          <tpl fld="6" item="1"/>
          <tpl hier="236" item="1"/>
          <tpl fld="4" item="4"/>
        </tpls>
      </m>
      <m>
        <tpls c="4">
          <tpl fld="7" item="823"/>
          <tpl fld="6" item="2"/>
          <tpl hier="236" item="1"/>
          <tpl fld="4" item="6"/>
        </tpls>
      </m>
      <m>
        <tpls c="4">
          <tpl fld="7" item="157"/>
          <tpl fld="6" item="2"/>
          <tpl hier="236" item="1"/>
          <tpl fld="1" item="0"/>
        </tpls>
      </m>
      <m>
        <tpls c="4">
          <tpl fld="7" item="34"/>
          <tpl fld="6" item="2"/>
          <tpl hier="236" item="1"/>
          <tpl fld="4" item="5"/>
        </tpls>
      </m>
      <m>
        <tpls c="4">
          <tpl fld="7" item="290"/>
          <tpl fld="6" item="1"/>
          <tpl hier="236" item="1"/>
          <tpl fld="4" item="1"/>
        </tpls>
      </m>
      <m>
        <tpls c="4">
          <tpl fld="7" item="452"/>
          <tpl fld="6" item="2"/>
          <tpl hier="236" item="1"/>
          <tpl fld="4" item="5"/>
        </tpls>
      </m>
      <m>
        <tpls c="4">
          <tpl fld="7" item="386"/>
          <tpl fld="6" item="2"/>
          <tpl hier="236" item="1"/>
          <tpl fld="4" item="6"/>
        </tpls>
      </m>
      <m>
        <tpls c="4">
          <tpl fld="7" item="514"/>
          <tpl fld="6" item="1"/>
          <tpl hier="236" item="1"/>
          <tpl fld="4" item="5"/>
        </tpls>
      </m>
      <n v="1" in="1">
        <tpls c="4">
          <tpl fld="7" item="1131"/>
          <tpl fld="6" item="1"/>
          <tpl hier="236" item="1"/>
          <tpl fld="4" item="1"/>
        </tpls>
      </n>
      <m>
        <tpls c="4">
          <tpl fld="7" item="411"/>
          <tpl fld="6" item="1"/>
          <tpl hier="236" item="1"/>
          <tpl fld="4" item="1"/>
        </tpls>
      </m>
      <n v="1" in="1">
        <tpls c="4">
          <tpl fld="7" item="660"/>
          <tpl fld="6" item="1"/>
          <tpl hier="236" item="1"/>
          <tpl fld="1" item="0"/>
        </tpls>
      </n>
      <m>
        <tpls c="4">
          <tpl fld="7" item="483"/>
          <tpl fld="6" item="2"/>
          <tpl hier="236" item="1"/>
          <tpl fld="1" item="0"/>
        </tpls>
      </m>
      <m>
        <tpls c="4">
          <tpl fld="7" item="180"/>
          <tpl fld="6" item="2"/>
          <tpl hier="236" item="1"/>
          <tpl fld="4" item="5"/>
        </tpls>
      </m>
      <m>
        <tpls c="4">
          <tpl fld="7" item="515"/>
          <tpl fld="6" item="2"/>
          <tpl hier="236" item="1"/>
          <tpl fld="4" item="6"/>
        </tpls>
      </m>
      <m>
        <tpls c="4">
          <tpl fld="7" item="1011"/>
          <tpl fld="6" item="1"/>
          <tpl hier="236" item="1"/>
          <tpl fld="4" item="5"/>
        </tpls>
      </m>
      <m>
        <tpls c="4">
          <tpl fld="7" item="232"/>
          <tpl fld="6" item="1"/>
          <tpl hier="236" item="1"/>
          <tpl fld="4" item="5"/>
        </tpls>
      </m>
      <m>
        <tpls c="4">
          <tpl fld="7" item="435"/>
          <tpl fld="6" item="1"/>
          <tpl hier="236" item="1"/>
          <tpl fld="4" item="1"/>
        </tpls>
      </m>
      <m>
        <tpls c="4">
          <tpl fld="7" item="1021"/>
          <tpl fld="6" item="1"/>
          <tpl hier="236" item="1"/>
          <tpl fld="1" item="0"/>
        </tpls>
      </m>
      <m>
        <tpls c="4">
          <tpl fld="7" item="32"/>
          <tpl fld="6" item="1"/>
          <tpl hier="236" item="1"/>
          <tpl fld="1" item="0"/>
        </tpls>
      </m>
      <m>
        <tpls c="4">
          <tpl fld="7" item="152"/>
          <tpl fld="6" item="2"/>
          <tpl hier="236" item="1"/>
          <tpl fld="4" item="5"/>
        </tpls>
      </m>
      <n v="1" in="1">
        <tpls c="4">
          <tpl fld="7" item="491"/>
          <tpl fld="6" item="1"/>
          <tpl hier="236" item="1"/>
          <tpl fld="4" item="1"/>
        </tpls>
      </n>
      <m>
        <tpls c="4">
          <tpl fld="7" item="239"/>
          <tpl fld="6" item="1"/>
          <tpl hier="236" item="1"/>
          <tpl fld="1" item="0"/>
        </tpls>
      </m>
      <m>
        <tpls c="4">
          <tpl fld="7" item="1045"/>
          <tpl fld="6" item="2"/>
          <tpl hier="236" item="1"/>
          <tpl fld="4" item="4"/>
        </tpls>
      </m>
      <m>
        <tpls c="4">
          <tpl fld="7" item="507"/>
          <tpl fld="6" item="1"/>
          <tpl hier="236" item="1"/>
          <tpl fld="1" item="0"/>
        </tpls>
      </m>
      <n v="1" in="1">
        <tpls c="4">
          <tpl fld="7" item="1057"/>
          <tpl fld="6" item="1"/>
          <tpl hier="236" item="1"/>
          <tpl fld="4" item="4"/>
        </tpls>
      </n>
      <m>
        <tpls c="4">
          <tpl fld="7" item="182"/>
          <tpl fld="6" item="1"/>
          <tpl hier="236" item="1"/>
          <tpl fld="4" item="5"/>
        </tpls>
      </m>
      <n v="3" in="1">
        <tpls c="4">
          <tpl fld="7" item="101"/>
          <tpl fld="6" item="1"/>
          <tpl hier="236" item="1"/>
          <tpl fld="1" item="0"/>
        </tpls>
      </n>
      <m>
        <tpls c="3">
          <tpl fld="7" item="10"/>
          <tpl fld="6" item="3"/>
          <tpl hier="236" item="1"/>
        </tpls>
      </m>
      <m>
        <tpls c="4">
          <tpl fld="7" item="1176"/>
          <tpl fld="6" item="1"/>
          <tpl hier="236" item="1"/>
          <tpl fld="4" item="1"/>
        </tpls>
      </m>
      <m>
        <tpls c="4">
          <tpl fld="7" item="993"/>
          <tpl fld="6" item="2"/>
          <tpl hier="236" item="1"/>
          <tpl fld="4" item="5"/>
        </tpls>
      </m>
      <m>
        <tpls c="4">
          <tpl fld="7" item="594"/>
          <tpl fld="6" item="2"/>
          <tpl hier="236" item="1"/>
          <tpl fld="4" item="6"/>
        </tpls>
      </m>
      <n v="25" in="1">
        <tpls c="4">
          <tpl fld="7" item="374"/>
          <tpl fld="6" item="1"/>
          <tpl hier="236" item="1"/>
          <tpl fld="4" item="1"/>
        </tpls>
      </n>
      <m>
        <tpls c="4">
          <tpl fld="7" item="211"/>
          <tpl fld="6" item="1"/>
          <tpl hier="236" item="1"/>
          <tpl fld="1" item="0"/>
        </tpls>
      </m>
      <m>
        <tpls c="4">
          <tpl fld="7" item="979"/>
          <tpl fld="6" item="1"/>
          <tpl hier="236" item="1"/>
          <tpl fld="4" item="6"/>
        </tpls>
      </m>
      <m>
        <tpls c="4">
          <tpl fld="7" item="1203"/>
          <tpl fld="6" item="2"/>
          <tpl hier="236" item="1"/>
          <tpl fld="4" item="4"/>
        </tpls>
      </m>
      <m>
        <tpls c="4">
          <tpl fld="7" item="996"/>
          <tpl fld="6" item="2"/>
          <tpl hier="236" item="1"/>
          <tpl fld="4" item="5"/>
        </tpls>
      </m>
      <m>
        <tpls c="4">
          <tpl fld="7" item="748"/>
          <tpl fld="6" item="2"/>
          <tpl hier="236" item="1"/>
          <tpl fld="4" item="6"/>
        </tpls>
      </m>
      <m>
        <tpls c="4">
          <tpl fld="7" item="23"/>
          <tpl fld="6" item="1"/>
          <tpl hier="236" item="1"/>
          <tpl fld="4" item="6"/>
        </tpls>
      </m>
      <m>
        <tpls c="4">
          <tpl fld="7" item="655"/>
          <tpl fld="6" item="1"/>
          <tpl hier="236" item="1"/>
          <tpl fld="4" item="6"/>
        </tpls>
      </m>
      <n v="0.88000000000000012" in="2">
        <tpls c="4">
          <tpl fld="7" item="747"/>
          <tpl fld="6" item="2"/>
          <tpl hier="236" item="1"/>
          <tpl fld="1" item="0"/>
        </tpls>
      </n>
      <n v="1" in="1">
        <tpls c="4">
          <tpl fld="7" item="560"/>
          <tpl fld="6" item="1"/>
          <tpl hier="236" item="1"/>
          <tpl fld="4" item="1"/>
        </tpls>
      </n>
      <m>
        <tpls c="3">
          <tpl fld="7" item="916"/>
          <tpl fld="6" item="3"/>
          <tpl hier="236" item="1"/>
        </tpls>
      </m>
      <m>
        <tpls c="4">
          <tpl fld="7" item="1189"/>
          <tpl fld="6" item="1"/>
          <tpl hier="236" item="1"/>
          <tpl fld="4" item="5"/>
        </tpls>
      </m>
      <m>
        <tpls c="4">
          <tpl fld="7" item="1022"/>
          <tpl fld="6" item="1"/>
          <tpl hier="236" item="1"/>
          <tpl fld="4" item="5"/>
        </tpls>
      </m>
      <m>
        <tpls c="4">
          <tpl fld="7" item="905"/>
          <tpl fld="6" item="2"/>
          <tpl hier="236" item="1"/>
          <tpl fld="4" item="5"/>
        </tpls>
      </m>
      <m>
        <tpls c="4">
          <tpl fld="7" item="63"/>
          <tpl fld="6" item="1"/>
          <tpl hier="236" item="1"/>
          <tpl fld="4" item="5"/>
        </tpls>
      </m>
      <n v="2" in="1">
        <tpls c="4">
          <tpl fld="7" item="829"/>
          <tpl fld="6" item="1"/>
          <tpl hier="236" item="1"/>
          <tpl fld="4" item="1"/>
        </tpls>
      </n>
      <m>
        <tpls c="4">
          <tpl fld="7" item="831"/>
          <tpl fld="6" item="2"/>
          <tpl hier="236" item="1"/>
          <tpl fld="4" item="6"/>
        </tpls>
      </m>
      <n v="5" in="1">
        <tpls c="4">
          <tpl fld="7" item="1275"/>
          <tpl fld="6" item="1"/>
          <tpl hier="236" item="1"/>
          <tpl fld="4" item="1"/>
        </tpls>
      </n>
      <m>
        <tpls c="4">
          <tpl fld="7" item="167"/>
          <tpl fld="6" item="1"/>
          <tpl hier="236" item="1"/>
          <tpl fld="1" item="0"/>
        </tpls>
      </m>
      <n v="2" in="1">
        <tpls c="4">
          <tpl fld="7" item="100"/>
          <tpl fld="6" item="1"/>
          <tpl hier="236" item="1"/>
          <tpl fld="1" item="0"/>
        </tpls>
      </n>
      <m>
        <tpls c="3">
          <tpl fld="7" item="115"/>
          <tpl fld="6" item="3"/>
          <tpl hier="236" item="1"/>
        </tpls>
      </m>
      <m>
        <tpls c="4">
          <tpl fld="7" item="293"/>
          <tpl fld="6" item="1"/>
          <tpl hier="236" item="1"/>
          <tpl fld="1" item="0"/>
        </tpls>
      </m>
      <m>
        <tpls c="4">
          <tpl fld="7" item="223"/>
          <tpl fld="6" item="2"/>
          <tpl hier="236" item="1"/>
          <tpl fld="4" item="4"/>
        </tpls>
      </m>
      <m>
        <tpls c="4">
          <tpl fld="7" item="1271"/>
          <tpl fld="6" item="1"/>
          <tpl hier="236" item="1"/>
          <tpl fld="1" item="0"/>
        </tpls>
      </m>
      <m>
        <tpls c="4">
          <tpl fld="7" item="1200"/>
          <tpl fld="6" item="2"/>
          <tpl hier="236" item="1"/>
          <tpl fld="4" item="4"/>
        </tpls>
      </m>
      <m>
        <tpls c="3">
          <tpl fld="7" item="331"/>
          <tpl fld="6" item="3"/>
          <tpl hier="236" item="1"/>
        </tpls>
      </m>
      <n v="6" in="1">
        <tpls c="4">
          <tpl fld="7" item="600"/>
          <tpl fld="6" item="1"/>
          <tpl hier="236" item="1"/>
          <tpl fld="1" item="0"/>
        </tpls>
      </n>
      <m>
        <tpls c="4">
          <tpl fld="7" item="59"/>
          <tpl fld="6" item="1"/>
          <tpl hier="236" item="1"/>
          <tpl fld="4" item="1"/>
        </tpls>
      </m>
      <n v="1" in="2">
        <tpls c="4">
          <tpl fld="7" item="1186"/>
          <tpl fld="6" item="2"/>
          <tpl hier="236" item="1"/>
          <tpl fld="4" item="1"/>
        </tpls>
      </n>
      <m>
        <tpls c="4">
          <tpl fld="7" item="713"/>
          <tpl fld="6" item="2"/>
          <tpl hier="236" item="1"/>
          <tpl fld="4" item="6"/>
        </tpls>
      </m>
      <m>
        <tpls c="4">
          <tpl fld="7" item="741"/>
          <tpl fld="6" item="1"/>
          <tpl hier="236" item="1"/>
          <tpl fld="4" item="1"/>
        </tpls>
      </m>
      <n v="1" in="3">
        <tpls c="3">
          <tpl fld="7" item="510"/>
          <tpl fld="6" item="3"/>
          <tpl hier="236" item="1"/>
        </tpls>
      </n>
      <m>
        <tpls c="3">
          <tpl fld="7" item="1014"/>
          <tpl fld="6" item="3"/>
          <tpl hier="236" item="1"/>
        </tpls>
      </m>
      <m>
        <tpls c="4">
          <tpl fld="7" item="584"/>
          <tpl fld="6" item="2"/>
          <tpl hier="236" item="1"/>
          <tpl fld="4" item="5"/>
        </tpls>
      </m>
      <n v="1" in="1">
        <tpls c="4">
          <tpl fld="7" item="774"/>
          <tpl fld="6" item="1"/>
          <tpl hier="236" item="1"/>
          <tpl fld="4" item="1"/>
        </tpls>
      </n>
      <m>
        <tpls c="4">
          <tpl fld="7" item="1101"/>
          <tpl fld="6" item="2"/>
          <tpl hier="236" item="1"/>
          <tpl fld="4" item="6"/>
        </tpls>
      </m>
      <m>
        <tpls c="4">
          <tpl fld="7" item="1196"/>
          <tpl fld="6" item="2"/>
          <tpl hier="236" item="1"/>
          <tpl fld="1" item="0"/>
        </tpls>
      </m>
      <m>
        <tpls c="4">
          <tpl fld="7" item="821"/>
          <tpl fld="6" item="2"/>
          <tpl hier="236" item="1"/>
          <tpl fld="4" item="4"/>
        </tpls>
      </m>
      <m>
        <tpls c="4">
          <tpl fld="7" item="1126"/>
          <tpl fld="6" item="2"/>
          <tpl hier="236" item="1"/>
          <tpl fld="4" item="6"/>
        </tpls>
      </m>
      <m>
        <tpls c="4">
          <tpl fld="7" item="1066"/>
          <tpl fld="6" item="1"/>
          <tpl hier="236" item="1"/>
          <tpl fld="4" item="1"/>
        </tpls>
      </m>
      <n v="2" in="1">
        <tpls c="4">
          <tpl fld="7" item="841"/>
          <tpl fld="6" item="1"/>
          <tpl hier="236" item="1"/>
          <tpl fld="1" item="0"/>
        </tpls>
      </n>
      <m>
        <tpls c="4">
          <tpl fld="7" item="140"/>
          <tpl fld="6" item="2"/>
          <tpl hier="236" item="1"/>
          <tpl fld="1" item="0"/>
        </tpls>
      </m>
      <m>
        <tpls c="4">
          <tpl fld="7" item="579"/>
          <tpl fld="6" item="2"/>
          <tpl hier="236" item="1"/>
          <tpl fld="4" item="4"/>
        </tpls>
      </m>
      <m>
        <tpls c="4">
          <tpl fld="7" item="668"/>
          <tpl fld="6" item="2"/>
          <tpl hier="236" item="1"/>
          <tpl fld="1" item="0"/>
        </tpls>
      </m>
      <m>
        <tpls c="4">
          <tpl fld="7" item="819"/>
          <tpl fld="6" item="1"/>
          <tpl hier="236" item="1"/>
          <tpl fld="1" item="0"/>
        </tpls>
      </m>
      <m>
        <tpls c="4">
          <tpl fld="7" item="860"/>
          <tpl fld="6" item="2"/>
          <tpl hier="236" item="1"/>
          <tpl fld="4" item="4"/>
        </tpls>
      </m>
      <m>
        <tpls c="4">
          <tpl fld="7" item="205"/>
          <tpl fld="6" item="2"/>
          <tpl hier="236" item="1"/>
          <tpl fld="1" item="0"/>
        </tpls>
      </m>
      <m>
        <tpls c="4">
          <tpl fld="7" item="809"/>
          <tpl fld="6" item="2"/>
          <tpl hier="236" item="1"/>
          <tpl fld="4" item="6"/>
        </tpls>
      </m>
      <m>
        <tpls c="4">
          <tpl fld="7" item="1005"/>
          <tpl fld="6" item="1"/>
          <tpl hier="236" item="1"/>
          <tpl fld="4" item="4"/>
        </tpls>
      </m>
      <m>
        <tpls c="4">
          <tpl fld="7" item="970"/>
          <tpl fld="6" item="2"/>
          <tpl hier="236" item="1"/>
          <tpl fld="4" item="1"/>
        </tpls>
      </m>
      <m>
        <tpls c="4">
          <tpl fld="7" item="524"/>
          <tpl fld="6" item="2"/>
          <tpl hier="236" item="1"/>
          <tpl fld="4" item="5"/>
        </tpls>
      </m>
      <m>
        <tpls c="4">
          <tpl fld="7" item="257"/>
          <tpl fld="6" item="2"/>
          <tpl hier="236" item="1"/>
          <tpl fld="1" item="0"/>
        </tpls>
      </m>
      <n v="0.4" in="2">
        <tpls c="4">
          <tpl fld="7" item="429"/>
          <tpl fld="6" item="2"/>
          <tpl hier="236" item="1"/>
          <tpl fld="4" item="6"/>
        </tpls>
      </n>
      <m>
        <tpls c="4">
          <tpl fld="7" item="1069"/>
          <tpl fld="6" item="1"/>
          <tpl hier="236" item="1"/>
          <tpl fld="4" item="1"/>
        </tpls>
      </m>
      <n v="2" in="1">
        <tpls c="4">
          <tpl fld="7" item="844"/>
          <tpl fld="6" item="1"/>
          <tpl hier="236" item="1"/>
          <tpl fld="1" item="0"/>
        </tpls>
      </n>
      <m>
        <tpls c="4">
          <tpl fld="7" item="146"/>
          <tpl fld="6" item="2"/>
          <tpl hier="236" item="1"/>
          <tpl fld="1" item="0"/>
        </tpls>
      </m>
      <m>
        <tpls c="4">
          <tpl fld="7" item="640"/>
          <tpl fld="6" item="1"/>
          <tpl hier="236" item="1"/>
          <tpl fld="4" item="5"/>
        </tpls>
      </m>
      <m>
        <tpls c="4">
          <tpl fld="7" item="531"/>
          <tpl fld="6" item="2"/>
          <tpl hier="236" item="1"/>
          <tpl fld="4" item="4"/>
        </tpls>
      </m>
      <m>
        <tpls c="4">
          <tpl fld="7" item="738"/>
          <tpl fld="6" item="2"/>
          <tpl hier="236" item="1"/>
          <tpl fld="4" item="5"/>
        </tpls>
      </m>
      <n v="1" in="1">
        <tpls c="4">
          <tpl fld="7" item="862"/>
          <tpl fld="6" item="1"/>
          <tpl hier="236" item="1"/>
          <tpl fld="4" item="4"/>
        </tpls>
      </n>
      <m>
        <tpls c="4">
          <tpl fld="7" item="673"/>
          <tpl fld="6" item="2"/>
          <tpl hier="236" item="1"/>
          <tpl fld="1" item="0"/>
        </tpls>
      </m>
      <m>
        <tpls c="4">
          <tpl fld="7" item="728"/>
          <tpl fld="6" item="2"/>
          <tpl hier="236" item="1"/>
          <tpl fld="1" item="0"/>
        </tpls>
      </m>
      <m>
        <tpls c="4">
          <tpl fld="7" item="840"/>
          <tpl fld="6" item="2"/>
          <tpl hier="236" item="1"/>
          <tpl fld="4" item="1"/>
        </tpls>
      </m>
      <m>
        <tpls c="4">
          <tpl fld="7" item="1181"/>
          <tpl fld="6" item="2"/>
          <tpl hier="236" item="1"/>
          <tpl fld="4" item="1"/>
        </tpls>
      </m>
      <m>
        <tpls c="4">
          <tpl fld="7" item="515"/>
          <tpl fld="6" item="2"/>
          <tpl hier="236" item="1"/>
          <tpl fld="4" item="5"/>
        </tpls>
      </m>
      <m>
        <tpls c="4">
          <tpl fld="7" item="226"/>
          <tpl fld="6" item="2"/>
          <tpl hier="236" item="1"/>
          <tpl fld="1" item="0"/>
        </tpls>
      </m>
      <m>
        <tpls c="4">
          <tpl fld="7" item="213"/>
          <tpl fld="6" item="2"/>
          <tpl hier="236" item="1"/>
          <tpl fld="4" item="6"/>
        </tpls>
      </m>
      <m>
        <tpls c="4">
          <tpl fld="7" item="1060"/>
          <tpl fld="6" item="1"/>
          <tpl hier="236" item="1"/>
          <tpl fld="4" item="1"/>
        </tpls>
      </m>
      <m>
        <tpls c="4">
          <tpl fld="7" item="835"/>
          <tpl fld="6" item="1"/>
          <tpl hier="236" item="1"/>
          <tpl fld="1" item="0"/>
        </tpls>
      </m>
      <m>
        <tpls c="4">
          <tpl fld="7" item="13"/>
          <tpl fld="6" item="2"/>
          <tpl hier="236" item="1"/>
          <tpl fld="1" item="0"/>
        </tpls>
      </m>
      <m>
        <tpls c="4">
          <tpl fld="7" item="104"/>
          <tpl fld="6" item="2"/>
          <tpl hier="236" item="1"/>
          <tpl fld="4" item="6"/>
        </tpls>
      </m>
      <m>
        <tpls c="4">
          <tpl fld="7" item="407"/>
          <tpl fld="6" item="1"/>
          <tpl hier="236" item="1"/>
          <tpl fld="4" item="4"/>
        </tpls>
      </m>
      <m>
        <tpls c="3">
          <tpl fld="7" item="921"/>
          <tpl fld="6" item="3"/>
          <tpl hier="236" item="1"/>
        </tpls>
      </m>
      <m>
        <tpls c="4">
          <tpl fld="7" item="1130"/>
          <tpl fld="6" item="2"/>
          <tpl hier="236" item="1"/>
          <tpl fld="1" item="0"/>
        </tpls>
      </m>
      <m>
        <tpls c="4">
          <tpl fld="7" item="1047"/>
          <tpl fld="6" item="1"/>
          <tpl hier="236" item="1"/>
          <tpl fld="4" item="1"/>
        </tpls>
      </m>
      <m>
        <tpls c="4">
          <tpl fld="7" item="218"/>
          <tpl fld="6" item="2"/>
          <tpl hier="236" item="1"/>
          <tpl fld="4" item="5"/>
        </tpls>
      </m>
      <n v="1" in="1">
        <tpls c="4">
          <tpl fld="7" item="953"/>
          <tpl fld="6" item="1"/>
          <tpl hier="236" item="1"/>
          <tpl fld="4" item="1"/>
        </tpls>
      </n>
      <n v="6" in="1">
        <tpls c="4">
          <tpl fld="7" item="648"/>
          <tpl fld="6" item="1"/>
          <tpl hier="236" item="1"/>
          <tpl fld="1" item="0"/>
        </tpls>
      </n>
      <n v="1" in="2">
        <tpls c="4">
          <tpl fld="7" item="757"/>
          <tpl fld="6" item="2"/>
          <tpl hier="236" item="1"/>
          <tpl fld="4" item="5"/>
        </tpls>
      </n>
      <m>
        <tpls c="4">
          <tpl fld="7" item="400"/>
          <tpl fld="6" item="2"/>
          <tpl hier="236" item="1"/>
          <tpl fld="4" item="6"/>
        </tpls>
      </m>
      <m>
        <tpls c="4">
          <tpl fld="7" item="483"/>
          <tpl fld="6" item="1"/>
          <tpl hier="236" item="1"/>
          <tpl fld="4" item="5"/>
        </tpls>
      </m>
      <n v="1" in="1">
        <tpls c="4">
          <tpl fld="7" item="1251"/>
          <tpl fld="6" item="1"/>
          <tpl hier="236" item="1"/>
          <tpl fld="4" item="1"/>
        </tpls>
      </n>
      <m>
        <tpls c="4">
          <tpl fld="7" item="428"/>
          <tpl fld="6" item="1"/>
          <tpl hier="236" item="1"/>
          <tpl fld="4" item="1"/>
        </tpls>
      </m>
      <n v="2" in="1">
        <tpls c="4">
          <tpl fld="7" item="1119"/>
          <tpl fld="6" item="1"/>
          <tpl hier="236" item="1"/>
          <tpl fld="4" item="4"/>
        </tpls>
      </n>
      <m>
        <tpls c="4">
          <tpl fld="7" item="336"/>
          <tpl fld="6" item="2"/>
          <tpl hier="236" item="1"/>
          <tpl fld="1" item="0"/>
        </tpls>
      </m>
      <m>
        <tpls c="4">
          <tpl fld="7" item="592"/>
          <tpl fld="6" item="2"/>
          <tpl hier="236" item="1"/>
          <tpl fld="1" item="0"/>
        </tpls>
      </m>
      <m>
        <tpls c="4">
          <tpl fld="7" item="23"/>
          <tpl fld="6" item="2"/>
          <tpl hier="236" item="1"/>
          <tpl fld="4" item="6"/>
        </tpls>
      </m>
      <n v="4" in="1">
        <tpls c="4">
          <tpl fld="7" item="927"/>
          <tpl fld="6" item="1"/>
          <tpl hier="236" item="1"/>
          <tpl fld="4" item="1"/>
        </tpls>
      </n>
      <n v="4" in="1">
        <tpls c="4">
          <tpl fld="7" item="499"/>
          <tpl fld="6" item="1"/>
          <tpl hier="236" item="1"/>
          <tpl fld="4" item="1"/>
        </tpls>
      </n>
      <m>
        <tpls c="4">
          <tpl fld="7" item="20"/>
          <tpl fld="6" item="1"/>
          <tpl hier="236" item="1"/>
          <tpl fld="4" item="1"/>
        </tpls>
      </m>
      <n v="0.8" in="2">
        <tpls c="4">
          <tpl fld="7" item="625"/>
          <tpl fld="6" item="2"/>
          <tpl hier="236" item="1"/>
          <tpl fld="4" item="5"/>
        </tpls>
      </n>
      <m>
        <tpls c="4">
          <tpl fld="7" item="1241"/>
          <tpl fld="6" item="2"/>
          <tpl hier="236" item="1"/>
          <tpl fld="4" item="5"/>
        </tpls>
      </m>
      <n v="1" in="2">
        <tpls c="4">
          <tpl fld="7" item="1245"/>
          <tpl fld="6" item="2"/>
          <tpl hier="236" item="1"/>
          <tpl fld="1" item="0"/>
        </tpls>
      </n>
      <m>
        <tpls c="4">
          <tpl fld="7" item="63"/>
          <tpl fld="6" item="1"/>
          <tpl hier="236" item="1"/>
          <tpl fld="4" item="4"/>
        </tpls>
      </m>
      <m>
        <tpls c="4">
          <tpl fld="7" item="686"/>
          <tpl fld="6" item="2"/>
          <tpl hier="236" item="1"/>
          <tpl fld="4" item="5"/>
        </tpls>
      </m>
      <m>
        <tpls c="4">
          <tpl fld="7" item="786"/>
          <tpl fld="6" item="2"/>
          <tpl hier="236" item="1"/>
          <tpl fld="4" item="1"/>
        </tpls>
      </m>
      <m>
        <tpls c="4">
          <tpl fld="7" item="557"/>
          <tpl fld="6" item="2"/>
          <tpl hier="236" item="1"/>
          <tpl fld="4" item="4"/>
        </tpls>
      </m>
      <m>
        <tpls c="4">
          <tpl fld="7" item="823"/>
          <tpl fld="6" item="1"/>
          <tpl hier="236" item="1"/>
          <tpl fld="4" item="5"/>
        </tpls>
      </m>
      <m>
        <tpls c="4">
          <tpl fld="7" item="1222"/>
          <tpl fld="6" item="2"/>
          <tpl hier="236" item="1"/>
          <tpl fld="1" item="0"/>
        </tpls>
      </m>
      <m>
        <tpls c="4">
          <tpl fld="7" item="555"/>
          <tpl fld="6" item="1"/>
          <tpl hier="236" item="1"/>
          <tpl fld="4" item="4"/>
        </tpls>
      </m>
      <m>
        <tpls c="4">
          <tpl fld="7" item="585"/>
          <tpl fld="6" item="2"/>
          <tpl hier="236" item="1"/>
          <tpl fld="4" item="5"/>
        </tpls>
      </m>
      <m>
        <tpls c="4">
          <tpl fld="7" item="733"/>
          <tpl fld="6" item="2"/>
          <tpl hier="236" item="1"/>
          <tpl fld="4" item="1"/>
        </tpls>
      </m>
      <m>
        <tpls c="4">
          <tpl fld="7" item="997"/>
          <tpl fld="6" item="2"/>
          <tpl hier="236" item="1"/>
          <tpl fld="4" item="6"/>
        </tpls>
      </m>
      <m>
        <tpls c="4">
          <tpl fld="7" item="832"/>
          <tpl fld="6" item="2"/>
          <tpl hier="236" item="1"/>
          <tpl fld="4" item="4"/>
        </tpls>
      </m>
      <n v="3" in="1">
        <tpls c="4">
          <tpl fld="7" item="911"/>
          <tpl fld="6" item="1"/>
          <tpl hier="236" item="1"/>
          <tpl fld="4" item="6"/>
        </tpls>
      </n>
      <m>
        <tpls c="4">
          <tpl fld="7" item="864"/>
          <tpl fld="6" item="2"/>
          <tpl hier="236" item="1"/>
          <tpl fld="4" item="4"/>
        </tpls>
      </m>
      <n v="0" in="1">
        <tpls c="4">
          <tpl fld="7" item="939"/>
          <tpl fld="6" item="1"/>
          <tpl hier="236" item="1"/>
          <tpl fld="4" item="4"/>
        </tpls>
      </n>
      <n v="33" in="1">
        <tpls c="4">
          <tpl fld="7" item="971"/>
          <tpl fld="6" item="1"/>
          <tpl hier="236" item="1"/>
          <tpl fld="4" item="4"/>
        </tpls>
      </n>
      <m>
        <tpls c="4">
          <tpl fld="7" item="386"/>
          <tpl fld="6" item="2"/>
          <tpl hier="236" item="1"/>
          <tpl fld="1" item="0"/>
        </tpls>
      </m>
      <m>
        <tpls c="4">
          <tpl fld="7" item="484"/>
          <tpl fld="6" item="2"/>
          <tpl hier="236" item="1"/>
          <tpl fld="1" item="0"/>
        </tpls>
      </m>
      <m>
        <tpls c="4">
          <tpl fld="7" item="555"/>
          <tpl fld="6" item="2"/>
          <tpl hier="236" item="1"/>
          <tpl fld="4" item="4"/>
        </tpls>
      </m>
      <m>
        <tpls c="4">
          <tpl fld="7" item="718"/>
          <tpl fld="6" item="1"/>
          <tpl hier="236" item="1"/>
          <tpl fld="4" item="1"/>
        </tpls>
      </m>
      <m>
        <tpls c="4">
          <tpl fld="7" item="889"/>
          <tpl fld="6" item="2"/>
          <tpl hier="236" item="1"/>
          <tpl fld="4" item="6"/>
        </tpls>
      </m>
      <m>
        <tpls c="4">
          <tpl fld="7" item="729"/>
          <tpl fld="6" item="2"/>
          <tpl hier="236" item="1"/>
          <tpl fld="1" item="0"/>
        </tpls>
      </m>
      <m>
        <tpls c="3">
          <tpl fld="7" item="735"/>
          <tpl fld="6" item="3"/>
          <tpl hier="236" item="1"/>
        </tpls>
      </m>
      <m>
        <tpls c="4">
          <tpl fld="7" item="661"/>
          <tpl fld="6" item="1"/>
          <tpl hier="236" item="1"/>
          <tpl fld="4" item="5"/>
        </tpls>
      </m>
      <m>
        <tpls c="4">
          <tpl fld="7" item="999"/>
          <tpl fld="6" item="2"/>
          <tpl hier="236" item="1"/>
          <tpl fld="4" item="4"/>
        </tpls>
      </m>
      <m>
        <tpls c="4">
          <tpl fld="7" item="1008"/>
          <tpl fld="6" item="1"/>
          <tpl hier="236" item="1"/>
          <tpl fld="4" item="4"/>
        </tpls>
      </m>
      <m>
        <tpls c="4">
          <tpl fld="7" item="855"/>
          <tpl fld="6" item="2"/>
          <tpl hier="236" item="1"/>
          <tpl fld="4" item="1"/>
        </tpls>
      </m>
      <m>
        <tpls c="3">
          <tpl fld="7" item="1130"/>
          <tpl fld="6" item="3"/>
          <tpl hier="236" item="1"/>
        </tpls>
      </m>
      <m>
        <tpls c="4">
          <tpl fld="7" item="948"/>
          <tpl fld="6" item="2"/>
          <tpl hier="236" item="1"/>
          <tpl fld="4" item="1"/>
        </tpls>
      </m>
      <m>
        <tpls c="4">
          <tpl fld="7" item="925"/>
          <tpl fld="6" item="2"/>
          <tpl hier="236" item="1"/>
          <tpl fld="1" item="0"/>
        </tpls>
      </m>
      <m>
        <tpls c="4">
          <tpl fld="7" item="509"/>
          <tpl fld="6" item="2"/>
          <tpl hier="236" item="1"/>
          <tpl fld="1" item="0"/>
        </tpls>
      </m>
      <m>
        <tpls c="4">
          <tpl fld="7" item="62"/>
          <tpl fld="6" item="2"/>
          <tpl hier="236" item="1"/>
          <tpl fld="1" item="0"/>
        </tpls>
      </m>
      <m>
        <tpls c="4">
          <tpl fld="7" item="1025"/>
          <tpl fld="6" item="2"/>
          <tpl hier="236" item="1"/>
          <tpl fld="4" item="5"/>
        </tpls>
      </m>
      <m>
        <tpls c="4">
          <tpl fld="7" item="406"/>
          <tpl fld="6" item="2"/>
          <tpl hier="236" item="1"/>
          <tpl fld="4" item="1"/>
        </tpls>
      </m>
      <m>
        <tpls c="4">
          <tpl fld="7" item="1097"/>
          <tpl fld="6" item="2"/>
          <tpl hier="236" item="1"/>
          <tpl fld="4" item="1"/>
        </tpls>
      </m>
      <m>
        <tpls c="4">
          <tpl fld="7" item="1218"/>
          <tpl fld="6" item="1"/>
          <tpl hier="236" item="1"/>
          <tpl fld="4" item="6"/>
        </tpls>
      </m>
      <m>
        <tpls c="4">
          <tpl fld="7" item="1129"/>
          <tpl fld="6" item="2"/>
          <tpl hier="236" item="1"/>
          <tpl fld="1" item="0"/>
        </tpls>
      </m>
      <m>
        <tpls c="4">
          <tpl fld="7" item="974"/>
          <tpl fld="6" item="2"/>
          <tpl hier="236" item="1"/>
          <tpl fld="4" item="5"/>
        </tpls>
      </m>
      <m>
        <tpls c="4">
          <tpl fld="7" item="214"/>
          <tpl fld="6" item="2"/>
          <tpl hier="236" item="1"/>
          <tpl fld="4" item="5"/>
        </tpls>
      </m>
      <m>
        <tpls c="4">
          <tpl fld="7" item="40"/>
          <tpl fld="6" item="2"/>
          <tpl hier="236" item="1"/>
          <tpl fld="4" item="5"/>
        </tpls>
      </m>
      <m>
        <tpls c="4">
          <tpl fld="7" item="1284"/>
          <tpl fld="6" item="2"/>
          <tpl hier="236" item="1"/>
          <tpl fld="4" item="6"/>
        </tpls>
      </m>
      <m>
        <tpls c="4">
          <tpl fld="7" item="202"/>
          <tpl fld="6" item="2"/>
          <tpl hier="236" item="1"/>
          <tpl fld="4" item="6"/>
        </tpls>
      </m>
      <m>
        <tpls c="4">
          <tpl fld="7" item="230"/>
          <tpl fld="6" item="2"/>
          <tpl hier="236" item="1"/>
          <tpl fld="4" item="6"/>
        </tpls>
      </m>
      <m>
        <tpls c="4">
          <tpl fld="7" item="368"/>
          <tpl fld="6" item="1"/>
          <tpl hier="236" item="1"/>
          <tpl fld="4" item="5"/>
        </tpls>
      </m>
      <n v="0" in="1">
        <tpls c="4">
          <tpl fld="7" item="61"/>
          <tpl fld="6" item="1"/>
          <tpl hier="236" item="1"/>
          <tpl fld="4" item="5"/>
        </tpls>
      </n>
      <m>
        <tpls c="4">
          <tpl fld="7" item="1049"/>
          <tpl fld="6" item="1"/>
          <tpl hier="236" item="1"/>
          <tpl fld="4" item="1"/>
        </tpls>
      </m>
      <n v="1" in="1">
        <tpls c="4">
          <tpl fld="7" item="1190"/>
          <tpl fld="6" item="1"/>
          <tpl hier="236" item="1"/>
          <tpl fld="4" item="1"/>
        </tpls>
      </n>
      <m>
        <tpls c="4">
          <tpl fld="7" item="296"/>
          <tpl fld="6" item="1"/>
          <tpl hier="236" item="1"/>
          <tpl fld="4" item="1"/>
        </tpls>
      </m>
      <m>
        <tpls c="4">
          <tpl fld="7" item="327"/>
          <tpl fld="6" item="1"/>
          <tpl hier="236" item="1"/>
          <tpl fld="4" item="1"/>
        </tpls>
      </m>
      <n v="0" in="1">
        <tpls c="4">
          <tpl fld="7" item="207"/>
          <tpl fld="6" item="1"/>
          <tpl hier="236" item="1"/>
          <tpl fld="4" item="6"/>
        </tpls>
      </n>
      <m>
        <tpls c="4">
          <tpl fld="7" item="650"/>
          <tpl fld="6" item="2"/>
          <tpl hier="236" item="1"/>
          <tpl fld="1" item="0"/>
        </tpls>
      </m>
      <n v="1" in="1">
        <tpls c="4">
          <tpl fld="7" item="1112"/>
          <tpl fld="6" item="1"/>
          <tpl hier="236" item="1"/>
          <tpl fld="4" item="6"/>
        </tpls>
      </n>
      <m>
        <tpls c="4">
          <tpl fld="7" item="1278"/>
          <tpl fld="6" item="2"/>
          <tpl hier="236" item="1"/>
          <tpl fld="1" item="0"/>
        </tpls>
      </m>
      <n v="9" in="1">
        <tpls c="4">
          <tpl fld="7" item="320"/>
          <tpl fld="6" item="1"/>
          <tpl hier="236" item="1"/>
          <tpl fld="4" item="4"/>
        </tpls>
      </n>
      <m>
        <tpls c="4">
          <tpl fld="7" item="883"/>
          <tpl fld="6" item="2"/>
          <tpl hier="236" item="1"/>
          <tpl fld="1" item="0"/>
        </tpls>
      </m>
      <n v="1" in="2">
        <tpls c="4">
          <tpl fld="7" item="441"/>
          <tpl fld="6" item="2"/>
          <tpl hier="236" item="1"/>
          <tpl fld="4" item="4"/>
        </tpls>
      </n>
      <m>
        <tpls c="4">
          <tpl fld="7" item="627"/>
          <tpl fld="6" item="1"/>
          <tpl hier="236" item="1"/>
          <tpl fld="4" item="5"/>
        </tpls>
      </m>
      <n v="1" in="2">
        <tpls c="4">
          <tpl fld="7" item="775"/>
          <tpl fld="6" item="2"/>
          <tpl hier="236" item="1"/>
          <tpl fld="4" item="6"/>
        </tpls>
      </n>
      <n v="3" in="1">
        <tpls c="4">
          <tpl fld="7" item="733"/>
          <tpl fld="6" item="1"/>
          <tpl hier="236" item="1"/>
          <tpl fld="4" item="4"/>
        </tpls>
      </n>
      <m>
        <tpls c="4">
          <tpl fld="7" item="1117"/>
          <tpl fld="6" item="2"/>
          <tpl hier="236" item="1"/>
          <tpl fld="4" item="1"/>
        </tpls>
      </m>
      <m>
        <tpls c="4">
          <tpl fld="7" item="316"/>
          <tpl fld="6" item="2"/>
          <tpl hier="236" item="1"/>
          <tpl fld="1" item="0"/>
        </tpls>
      </m>
      <m>
        <tpls c="4">
          <tpl fld="7" item="986"/>
          <tpl fld="6" item="1"/>
          <tpl hier="236" item="1"/>
          <tpl fld="4" item="5"/>
        </tpls>
      </m>
      <m>
        <tpls c="4">
          <tpl fld="7" item="801"/>
          <tpl fld="6" item="1"/>
          <tpl hier="236" item="1"/>
          <tpl fld="4" item="6"/>
        </tpls>
      </m>
      <n v="2" in="1">
        <tpls c="4">
          <tpl fld="7" item="808"/>
          <tpl fld="6" item="1"/>
          <tpl hier="236" item="1"/>
          <tpl fld="1" item="0"/>
        </tpls>
      </n>
      <m>
        <tpls c="4">
          <tpl fld="7" item="734"/>
          <tpl fld="6" item="1"/>
          <tpl hier="236" item="1"/>
          <tpl fld="4" item="5"/>
        </tpls>
      </m>
      <m>
        <tpls c="4">
          <tpl fld="7" item="740"/>
          <tpl fld="6" item="2"/>
          <tpl hier="236" item="1"/>
          <tpl fld="4" item="1"/>
        </tpls>
      </m>
      <n v="35" in="1">
        <tpls c="4">
          <tpl fld="7" item="1264"/>
          <tpl fld="6" item="1"/>
          <tpl hier="236" item="1"/>
          <tpl fld="1" item="0"/>
        </tpls>
      </n>
      <n v="1" in="1">
        <tpls c="4">
          <tpl fld="7" item="1277"/>
          <tpl fld="6" item="1"/>
          <tpl hier="236" item="1"/>
          <tpl fld="4" item="6"/>
        </tpls>
      </n>
      <n v="1" in="2">
        <tpls c="4">
          <tpl fld="7" item="853"/>
          <tpl fld="6" item="2"/>
          <tpl hier="236" item="1"/>
          <tpl fld="4" item="4"/>
        </tpls>
      </n>
      <m>
        <tpls c="4">
          <tpl fld="7" item="866"/>
          <tpl fld="6" item="1"/>
          <tpl hier="236" item="1"/>
          <tpl fld="4" item="4"/>
        </tpls>
      </m>
      <n v="2" in="1">
        <tpls c="4">
          <tpl fld="7" item="1150"/>
          <tpl fld="6" item="1"/>
          <tpl hier="236" item="1"/>
          <tpl fld="4" item="4"/>
        </tpls>
      </n>
      <n v="6" in="1">
        <tpls c="4">
          <tpl fld="7" item="1182"/>
          <tpl fld="6" item="1"/>
          <tpl hier="236" item="1"/>
          <tpl fld="4" item="4"/>
        </tpls>
      </n>
      <n v="2.84" in="2">
        <tpls c="4">
          <tpl fld="7" item="377"/>
          <tpl fld="6" item="2"/>
          <tpl hier="236" item="1"/>
          <tpl fld="1" item="0"/>
        </tpls>
      </n>
      <m>
        <tpls c="3">
          <tpl fld="7" item="421"/>
          <tpl fld="6" item="3"/>
          <tpl hier="236" item="1"/>
        </tpls>
      </m>
      <m>
        <tpls c="4">
          <tpl fld="7" item="622"/>
          <tpl fld="6" item="1"/>
          <tpl hier="236" item="1"/>
          <tpl fld="4" item="5"/>
        </tpls>
      </m>
      <m>
        <tpls c="4">
          <tpl fld="7" item="581"/>
          <tpl fld="6" item="2"/>
          <tpl hier="236" item="1"/>
          <tpl fld="1" item="0"/>
        </tpls>
      </m>
      <m>
        <tpls c="4">
          <tpl fld="7" item="588"/>
          <tpl fld="6" item="2"/>
          <tpl hier="236" item="1"/>
          <tpl fld="1" item="0"/>
        </tpls>
      </m>
      <m>
        <tpls c="3">
          <tpl fld="7" item="730"/>
          <tpl fld="6" item="3"/>
          <tpl hier="236" item="1"/>
        </tpls>
      </m>
      <m>
        <tpls c="4">
          <tpl fld="7" item="656"/>
          <tpl fld="6" item="1"/>
          <tpl hier="236" item="1"/>
          <tpl fld="4" item="5"/>
        </tpls>
      </m>
      <n v="1" in="1">
        <tpls c="4">
          <tpl fld="7" item="1100"/>
          <tpl fld="6" item="1"/>
          <tpl hier="236" item="1"/>
          <tpl fld="4" item="1"/>
        </tpls>
      </n>
      <n v="1" in="1">
        <tpls c="4">
          <tpl fld="7" item="896"/>
          <tpl fld="6" item="1"/>
          <tpl hier="236" item="1"/>
          <tpl fld="4" item="4"/>
        </tpls>
      </n>
      <m>
        <tpls c="4">
          <tpl fld="7" item="844"/>
          <tpl fld="6" item="2"/>
          <tpl hier="236" item="1"/>
          <tpl fld="4" item="1"/>
        </tpls>
      </m>
      <m>
        <tpls c="3">
          <tpl fld="7" item="1019"/>
          <tpl fld="6" item="3"/>
          <tpl hier="236" item="1"/>
        </tpls>
      </m>
      <m>
        <tpls c="4">
          <tpl fld="7" item="1223"/>
          <tpl fld="6" item="1"/>
          <tpl hier="236" item="1"/>
          <tpl fld="4" item="6"/>
        </tpls>
      </m>
      <m>
        <tpls c="4">
          <tpl fld="7" item="1159"/>
          <tpl fld="6" item="2"/>
          <tpl hier="236" item="1"/>
          <tpl fld="4" item="1"/>
        </tpls>
      </m>
      <m>
        <tpls c="4">
          <tpl fld="7" item="1022"/>
          <tpl fld="6" item="2"/>
          <tpl hier="236" item="1"/>
          <tpl fld="1" item="0"/>
        </tpls>
      </m>
      <m>
        <tpls c="4">
          <tpl fld="7" item="500"/>
          <tpl fld="6" item="2"/>
          <tpl hier="236" item="1"/>
          <tpl fld="1" item="0"/>
        </tpls>
      </m>
      <m>
        <tpls c="4">
          <tpl fld="7" item="338"/>
          <tpl fld="6" item="2"/>
          <tpl hier="236" item="1"/>
          <tpl fld="1" item="0"/>
        </tpls>
      </m>
      <m>
        <tpls c="4">
          <tpl fld="7" item="1121"/>
          <tpl fld="6" item="2"/>
          <tpl hier="236" item="1"/>
          <tpl fld="4" item="5"/>
        </tpls>
      </m>
      <m>
        <tpls c="4">
          <tpl fld="7" item="985"/>
          <tpl fld="6" item="1"/>
          <tpl hier="236" item="1"/>
          <tpl fld="4" item="6"/>
        </tpls>
      </m>
      <m>
        <tpls c="3">
          <tpl fld="7" item="653"/>
          <tpl fld="6" item="3"/>
          <tpl hier="236" item="1"/>
        </tpls>
      </m>
      <m>
        <tpls c="3">
          <tpl fld="7" item="850"/>
          <tpl fld="6" item="3"/>
          <tpl hier="236" item="1"/>
        </tpls>
      </m>
      <m>
        <tpls c="4">
          <tpl fld="7" item="1190"/>
          <tpl fld="6" item="2"/>
          <tpl hier="236" item="1"/>
          <tpl fld="1" item="0"/>
        </tpls>
      </m>
      <m>
        <tpls c="4">
          <tpl fld="7" item="857"/>
          <tpl fld="6" item="2"/>
          <tpl hier="236" item="1"/>
          <tpl fld="4" item="5"/>
        </tpls>
      </m>
      <m>
        <tpls c="4">
          <tpl fld="7" item="489"/>
          <tpl fld="6" item="2"/>
          <tpl hier="236" item="1"/>
          <tpl fld="4" item="5"/>
        </tpls>
      </m>
      <m>
        <tpls c="4">
          <tpl fld="7" item="31"/>
          <tpl fld="6" item="2"/>
          <tpl hier="236" item="1"/>
          <tpl fld="4" item="5"/>
        </tpls>
      </m>
      <m>
        <tpls c="4">
          <tpl fld="7" item="900"/>
          <tpl fld="6" item="2"/>
          <tpl hier="236" item="1"/>
          <tpl fld="4" item="6"/>
        </tpls>
      </m>
      <m>
        <tpls c="4">
          <tpl fld="7" item="193"/>
          <tpl fld="6" item="2"/>
          <tpl hier="236" item="1"/>
          <tpl fld="4" item="6"/>
        </tpls>
      </m>
      <m>
        <tpls c="4">
          <tpl fld="7" item="922"/>
          <tpl fld="6" item="1"/>
          <tpl hier="236" item="1"/>
          <tpl fld="4" item="5"/>
        </tpls>
      </m>
      <m>
        <tpls c="4">
          <tpl fld="7" item="359"/>
          <tpl fld="6" item="1"/>
          <tpl hier="236" item="1"/>
          <tpl fld="4" item="5"/>
        </tpls>
      </m>
      <m>
        <tpls c="4">
          <tpl fld="7" item="245"/>
          <tpl fld="6" item="1"/>
          <tpl hier="236" item="1"/>
          <tpl fld="4" item="5"/>
        </tpls>
      </m>
      <m>
        <tpls c="4">
          <tpl fld="7" item="1040"/>
          <tpl fld="6" item="1"/>
          <tpl hier="236" item="1"/>
          <tpl fld="4" item="1"/>
        </tpls>
      </m>
      <n v="6" in="1">
        <tpls c="4">
          <tpl fld="7" item="525"/>
          <tpl fld="6" item="1"/>
          <tpl hier="236" item="1"/>
          <tpl fld="4" item="1"/>
        </tpls>
      </n>
      <m>
        <tpls c="4">
          <tpl fld="7" item="287"/>
          <tpl fld="6" item="1"/>
          <tpl hier="236" item="1"/>
          <tpl fld="4" item="1"/>
        </tpls>
      </m>
      <m>
        <tpls c="4">
          <tpl fld="7" item="221"/>
          <tpl fld="6" item="1"/>
          <tpl hier="236" item="1"/>
          <tpl fld="4" item="1"/>
        </tpls>
      </m>
      <m>
        <tpls c="4">
          <tpl fld="7" item="694"/>
          <tpl fld="6" item="2"/>
          <tpl hier="236" item="1"/>
          <tpl fld="4" item="6"/>
        </tpls>
      </m>
      <n v="2" in="1">
        <tpls c="4">
          <tpl fld="7" item="815"/>
          <tpl fld="6" item="1"/>
          <tpl hier="236" item="1"/>
          <tpl fld="4" item="4"/>
        </tpls>
      </n>
      <m>
        <tpls c="3">
          <tpl fld="7" item="851"/>
          <tpl fld="6" item="3"/>
          <tpl hier="236" item="1"/>
        </tpls>
      </m>
      <m>
        <tpls c="4">
          <tpl fld="7" item="305"/>
          <tpl fld="6" item="2"/>
          <tpl hier="236" item="1"/>
          <tpl fld="1" item="0"/>
        </tpls>
      </m>
      <m>
        <tpls c="4">
          <tpl fld="7" item="914"/>
          <tpl fld="6" item="2"/>
          <tpl hier="236" item="1"/>
          <tpl fld="4" item="5"/>
        </tpls>
      </m>
      <m>
        <tpls c="4">
          <tpl fld="7" item="755"/>
          <tpl fld="6" item="2"/>
          <tpl hier="236" item="1"/>
          <tpl fld="4" item="5"/>
        </tpls>
      </m>
      <m>
        <tpls c="4">
          <tpl fld="7" item="246"/>
          <tpl fld="6" item="2"/>
          <tpl hier="236" item="1"/>
          <tpl fld="4" item="5"/>
        </tpls>
      </m>
      <m>
        <tpls c="4">
          <tpl fld="7" item="899"/>
          <tpl fld="6" item="2"/>
          <tpl hier="236" item="1"/>
          <tpl fld="4" item="6"/>
        </tpls>
      </m>
      <m>
        <tpls c="4">
          <tpl fld="7" item="300"/>
          <tpl fld="6" item="2"/>
          <tpl hier="236" item="1"/>
          <tpl fld="4" item="6"/>
        </tpls>
      </m>
      <m>
        <tpls c="4">
          <tpl fld="7" item="921"/>
          <tpl fld="6" item="1"/>
          <tpl hier="236" item="1"/>
          <tpl fld="4" item="5"/>
        </tpls>
      </m>
      <m>
        <tpls c="4">
          <tpl fld="7" item="499"/>
          <tpl fld="6" item="1"/>
          <tpl hier="236" item="1"/>
          <tpl fld="4" item="5"/>
        </tpls>
      </m>
      <m>
        <tpls c="4">
          <tpl fld="7" item="40"/>
          <tpl fld="6" item="1"/>
          <tpl hier="236" item="1"/>
          <tpl fld="4" item="5"/>
        </tpls>
      </m>
      <m>
        <tpls c="4">
          <tpl fld="7" item="570"/>
          <tpl fld="6" item="1"/>
          <tpl hier="236" item="1"/>
          <tpl fld="4" item="4"/>
        </tpls>
      </m>
      <m>
        <tpls c="4">
          <tpl fld="7" item="818"/>
          <tpl fld="6" item="2"/>
          <tpl hier="236" item="1"/>
          <tpl fld="4" item="1"/>
        </tpls>
      </m>
      <m>
        <tpls c="4">
          <tpl fld="7" item="583"/>
          <tpl fld="6" item="2"/>
          <tpl hier="236" item="1"/>
          <tpl fld="4" item="1"/>
        </tpls>
      </m>
      <m>
        <tpls c="4">
          <tpl fld="7" item="999"/>
          <tpl fld="6" item="1"/>
          <tpl hier="236" item="1"/>
          <tpl fld="4" item="4"/>
        </tpls>
      </m>
      <m>
        <tpls c="4">
          <tpl fld="7" item="948"/>
          <tpl fld="6" item="1"/>
          <tpl hier="236" item="1"/>
          <tpl fld="4" item="4"/>
        </tpls>
      </m>
      <n v="2" in="1">
        <tpls c="4">
          <tpl fld="7" item="786"/>
          <tpl fld="6" item="1"/>
          <tpl hier="236" item="1"/>
          <tpl fld="1" item="0"/>
        </tpls>
      </n>
      <n v="1" in="1">
        <tpls c="4">
          <tpl fld="7" item="996"/>
          <tpl fld="6" item="1"/>
          <tpl hier="236" item="1"/>
          <tpl fld="4" item="1"/>
        </tpls>
      </n>
      <n v="1" in="1">
        <tpls c="4">
          <tpl fld="7" item="1123"/>
          <tpl fld="6" item="1"/>
          <tpl hier="236" item="1"/>
          <tpl fld="4" item="6"/>
        </tpls>
      </n>
      <n v="2.8400000000000003" in="2">
        <tpls c="4">
          <tpl fld="7" item="106"/>
          <tpl fld="6" item="2"/>
          <tpl hier="236" item="1"/>
          <tpl fld="1" item="0"/>
        </tpls>
      </n>
      <n v="1" in="1">
        <tpls c="4">
          <tpl fld="7" item="736"/>
          <tpl fld="6" item="1"/>
          <tpl hier="236" item="1"/>
          <tpl fld="4" item="6"/>
        </tpls>
      </n>
      <m>
        <tpls c="4">
          <tpl fld="7" item="299"/>
          <tpl fld="6" item="2"/>
          <tpl hier="236" item="1"/>
          <tpl fld="4" item="5"/>
        </tpls>
      </m>
      <m>
        <tpls c="4">
          <tpl fld="7" item="1019"/>
          <tpl fld="6" item="1"/>
          <tpl hier="236" item="1"/>
          <tpl fld="4" item="5"/>
        </tpls>
      </m>
      <n v="1" in="1">
        <tpls c="4">
          <tpl fld="7" item="516"/>
          <tpl fld="6" item="1"/>
          <tpl hier="236" item="1"/>
          <tpl fld="4" item="1"/>
        </tpls>
      </n>
      <m>
        <tpls c="4">
          <tpl fld="7" item="996"/>
          <tpl fld="6" item="2"/>
          <tpl hier="236" item="1"/>
          <tpl fld="4" item="1"/>
        </tpls>
      </m>
      <m>
        <tpls c="4">
          <tpl fld="7" item="842"/>
          <tpl fld="6" item="2"/>
          <tpl hier="236" item="1"/>
          <tpl fld="4" item="5"/>
        </tpls>
      </m>
      <m>
        <tpls c="4">
          <tpl fld="7" item="58"/>
          <tpl fld="6" item="2"/>
          <tpl hier="236" item="1"/>
          <tpl fld="4" item="5"/>
        </tpls>
      </m>
      <m>
        <tpls c="4">
          <tpl fld="7" item="1011"/>
          <tpl fld="6" item="2"/>
          <tpl hier="236" item="1"/>
          <tpl fld="4" item="6"/>
        </tpls>
      </m>
      <m>
        <tpls c="4">
          <tpl fld="7" item="290"/>
          <tpl fld="6" item="2"/>
          <tpl hier="236" item="1"/>
          <tpl fld="4" item="6"/>
        </tpls>
      </m>
      <n v="1" in="1">
        <tpls c="4">
          <tpl fld="7" item="1242"/>
          <tpl fld="6" item="1"/>
          <tpl hier="236" item="1"/>
          <tpl fld="4" item="5"/>
        </tpls>
      </n>
      <m>
        <tpls c="4">
          <tpl fld="7" item="278"/>
          <tpl fld="6" item="1"/>
          <tpl hier="236" item="1"/>
          <tpl fld="4" item="5"/>
        </tpls>
      </m>
      <m>
        <tpls c="4">
          <tpl fld="7" item="933"/>
          <tpl fld="6" item="1"/>
          <tpl hier="236" item="1"/>
          <tpl fld="4" item="1"/>
        </tpls>
      </m>
      <n v="2" in="1">
        <tpls c="4">
          <tpl fld="7" item="602"/>
          <tpl fld="6" item="1"/>
          <tpl hier="236" item="1"/>
          <tpl fld="4" item="1"/>
        </tpls>
      </n>
      <m>
        <tpls c="4">
          <tpl fld="7" item="672"/>
          <tpl fld="6" item="1"/>
          <tpl hier="236" item="1"/>
          <tpl fld="4" item="1"/>
        </tpls>
      </m>
      <m>
        <tpls c="3">
          <tpl fld="7" item="620"/>
          <tpl fld="6" item="3"/>
          <tpl hier="236" item="1"/>
        </tpls>
      </m>
      <m>
        <tpls c="4">
          <tpl fld="7" item="735"/>
          <tpl fld="6" item="2"/>
          <tpl hier="236" item="1"/>
          <tpl fld="4" item="6"/>
        </tpls>
      </m>
      <m>
        <tpls c="4">
          <tpl fld="7" item="914"/>
          <tpl fld="6" item="2"/>
          <tpl hier="236" item="1"/>
          <tpl fld="4" item="1"/>
        </tpls>
      </m>
      <m>
        <tpls c="4">
          <tpl fld="7" item="760"/>
          <tpl fld="6" item="2"/>
          <tpl hier="236" item="1"/>
          <tpl fld="1" item="0"/>
        </tpls>
      </m>
      <m>
        <tpls c="4">
          <tpl fld="7" item="1219"/>
          <tpl fld="6" item="2"/>
          <tpl hier="236" item="1"/>
          <tpl fld="4" item="5"/>
        </tpls>
      </m>
      <m>
        <tpls c="4">
          <tpl fld="7" item="304"/>
          <tpl fld="6" item="2"/>
          <tpl hier="236" item="1"/>
          <tpl fld="4" item="5"/>
        </tpls>
      </m>
      <m>
        <tpls c="4">
          <tpl fld="7" item="240"/>
          <tpl fld="6" item="2"/>
          <tpl hier="236" item="1"/>
          <tpl fld="4" item="5"/>
        </tpls>
      </m>
      <m>
        <tpls c="4">
          <tpl fld="7" item="830"/>
          <tpl fld="6" item="2"/>
          <tpl hier="236" item="1"/>
          <tpl fld="4" item="6"/>
        </tpls>
      </m>
      <m>
        <tpls c="4">
          <tpl fld="7" item="415"/>
          <tpl fld="6" item="2"/>
          <tpl hier="236" item="1"/>
          <tpl fld="4" item="6"/>
        </tpls>
      </m>
      <m>
        <tpls c="4">
          <tpl fld="7" item="917"/>
          <tpl fld="6" item="1"/>
          <tpl hier="236" item="1"/>
          <tpl fld="4" item="5"/>
        </tpls>
      </m>
      <n v="6" in="1">
        <tpls c="4">
          <tpl fld="7" item="595"/>
          <tpl fld="6" item="1"/>
          <tpl hier="236" item="1"/>
          <tpl fld="4" item="5"/>
        </tpls>
      </n>
      <m>
        <tpls c="4">
          <tpl fld="7" item="142"/>
          <tpl fld="6" item="1"/>
          <tpl hier="236" item="1"/>
          <tpl fld="4" item="5"/>
        </tpls>
      </m>
      <m>
        <tpls c="4">
          <tpl fld="7" item="1250"/>
          <tpl fld="6" item="1"/>
          <tpl hier="236" item="1"/>
          <tpl fld="4" item="1"/>
        </tpls>
      </m>
      <n v="13" in="1">
        <tpls c="4">
          <tpl fld="7" item="448"/>
          <tpl fld="6" item="1"/>
          <tpl hier="236" item="1"/>
          <tpl fld="4" item="1"/>
        </tpls>
      </n>
      <m>
        <tpls c="4">
          <tpl fld="7" item="172"/>
          <tpl fld="6" item="1"/>
          <tpl hier="236" item="1"/>
          <tpl fld="4" item="1"/>
        </tpls>
      </m>
      <m>
        <tpls c="4">
          <tpl fld="7" item="1"/>
          <tpl fld="6" item="1"/>
          <tpl hier="236" item="1"/>
          <tpl fld="4" item="1"/>
        </tpls>
      </m>
      <n v="7" in="1">
        <tpls c="4">
          <tpl fld="7" item="678"/>
          <tpl fld="6" item="1"/>
          <tpl hier="236" item="1"/>
          <tpl fld="1" item="0"/>
        </tpls>
      </n>
      <m>
        <tpls c="4">
          <tpl fld="7" item="166"/>
          <tpl fld="6" item="1"/>
          <tpl hier="236" item="1"/>
          <tpl fld="1" item="0"/>
        </tpls>
      </m>
      <n v="2" in="1">
        <tpls c="4">
          <tpl fld="7" item="647"/>
          <tpl fld="6" item="1"/>
          <tpl hier="236" item="1"/>
          <tpl fld="1" item="0"/>
        </tpls>
      </n>
      <m>
        <tpls c="4">
          <tpl fld="7" item="428"/>
          <tpl fld="6" item="2"/>
          <tpl hier="236" item="1"/>
          <tpl fld="4" item="5"/>
        </tpls>
      </m>
      <m>
        <tpls c="4">
          <tpl fld="7" item="129"/>
          <tpl fld="6" item="2"/>
          <tpl hier="236" item="1"/>
          <tpl fld="4" item="6"/>
        </tpls>
      </m>
      <n v="2" in="1">
        <tpls c="4">
          <tpl fld="7" item="901"/>
          <tpl fld="6" item="1"/>
          <tpl hier="236" item="1"/>
          <tpl fld="4" item="1"/>
        </tpls>
      </n>
      <m>
        <tpls c="4">
          <tpl fld="7" item="748"/>
          <tpl fld="6" item="1"/>
          <tpl hier="236" item="1"/>
          <tpl fld="1" item="0"/>
        </tpls>
      </m>
      <m>
        <tpls c="4">
          <tpl fld="7" item="142"/>
          <tpl fld="6" item="1"/>
          <tpl hier="236" item="1"/>
          <tpl fld="1" item="0"/>
        </tpls>
      </m>
      <m>
        <tpls c="3">
          <tpl fld="7" item="666"/>
          <tpl fld="6" item="3"/>
          <tpl hier="236" item="1"/>
        </tpls>
      </m>
      <m>
        <tpls c="4">
          <tpl fld="7" item="1058"/>
          <tpl fld="6" item="2"/>
          <tpl hier="236" item="1"/>
          <tpl fld="4" item="4"/>
        </tpls>
      </m>
      <m>
        <tpls c="4">
          <tpl fld="7" item="4"/>
          <tpl fld="6" item="2"/>
          <tpl hier="236" item="1"/>
          <tpl fld="4" item="4"/>
        </tpls>
      </m>
      <m>
        <tpls c="4">
          <tpl fld="7" item="8"/>
          <tpl fld="6" item="1"/>
          <tpl hier="236" item="1"/>
          <tpl fld="4" item="1"/>
        </tpls>
      </m>
      <m>
        <tpls c="3">
          <tpl fld="7" item="109"/>
          <tpl fld="6" item="3"/>
          <tpl hier="236" item="1"/>
        </tpls>
      </m>
      <m>
        <tpls c="3">
          <tpl fld="7" item="841"/>
          <tpl fld="6" item="3"/>
          <tpl hier="236" item="1"/>
        </tpls>
      </m>
      <m>
        <tpls c="4">
          <tpl fld="7" item="5"/>
          <tpl fld="6" item="2"/>
          <tpl hier="236" item="1"/>
          <tpl fld="4" item="5"/>
        </tpls>
      </m>
      <m>
        <tpls c="4">
          <tpl fld="7" item="441"/>
          <tpl fld="6" item="1"/>
          <tpl hier="236" item="1"/>
          <tpl fld="4" item="5"/>
        </tpls>
      </m>
      <m>
        <tpls c="4">
          <tpl fld="7" item="82"/>
          <tpl fld="6" item="1"/>
          <tpl hier="236" item="1"/>
          <tpl fld="4" item="1"/>
        </tpls>
      </m>
      <m>
        <tpls c="4">
          <tpl fld="7" item="433"/>
          <tpl fld="6" item="1"/>
          <tpl hier="236" item="1"/>
          <tpl fld="1" item="0"/>
        </tpls>
      </m>
      <m>
        <tpls c="4">
          <tpl fld="7" item="17"/>
          <tpl fld="6" item="1"/>
          <tpl hier="236" item="1"/>
          <tpl fld="1" item="0"/>
        </tpls>
      </m>
      <m>
        <tpls c="3">
          <tpl fld="7" item="401"/>
          <tpl fld="6" item="3"/>
          <tpl hier="236" item="1"/>
        </tpls>
      </m>
      <m>
        <tpls c="4">
          <tpl fld="7" item="937"/>
          <tpl fld="6" item="2"/>
          <tpl hier="236" item="1"/>
          <tpl fld="4" item="4"/>
        </tpls>
      </m>
      <m>
        <tpls c="4">
          <tpl fld="7" item="863"/>
          <tpl fld="6" item="1"/>
          <tpl hier="236" item="1"/>
          <tpl fld="4" item="5"/>
        </tpls>
      </m>
      <m>
        <tpls c="4">
          <tpl fld="7" item="247"/>
          <tpl fld="6" item="1"/>
          <tpl hier="236" item="1"/>
          <tpl fld="1" item="0"/>
        </tpls>
      </m>
      <m>
        <tpls c="4">
          <tpl fld="7" item="217"/>
          <tpl fld="6" item="2"/>
          <tpl hier="236" item="1"/>
          <tpl fld="4" item="4"/>
        </tpls>
      </m>
      <m>
        <tpls c="4">
          <tpl fld="7" item="466"/>
          <tpl fld="6" item="2"/>
          <tpl hier="236" item="1"/>
          <tpl fld="1" item="0"/>
        </tpls>
      </m>
      <m>
        <tpls c="4">
          <tpl fld="7" item="337"/>
          <tpl fld="6" item="2"/>
          <tpl hier="236" item="1"/>
          <tpl fld="4" item="1"/>
        </tpls>
      </m>
      <m>
        <tpls c="4">
          <tpl fld="7" item="739"/>
          <tpl fld="6" item="1"/>
          <tpl hier="236" item="1"/>
          <tpl fld="4" item="1"/>
        </tpls>
      </m>
      <m>
        <tpls c="4">
          <tpl fld="7" item="584"/>
          <tpl fld="6" item="2"/>
          <tpl hier="236" item="1"/>
          <tpl fld="1" item="0"/>
        </tpls>
      </m>
      <n v="4" in="1">
        <tpls c="4">
          <tpl fld="7" item="831"/>
          <tpl fld="6" item="1"/>
          <tpl hier="236" item="1"/>
          <tpl fld="4" item="4"/>
        </tpls>
      </n>
      <n v="10" in="1">
        <tpls c="4">
          <tpl fld="7" item="952"/>
          <tpl fld="6" item="1"/>
          <tpl hier="236" item="1"/>
          <tpl fld="4" item="4"/>
        </tpls>
      </n>
      <m>
        <tpls c="3">
          <tpl fld="7" item="1213"/>
          <tpl fld="6" item="3"/>
          <tpl hier="236" item="1"/>
        </tpls>
      </m>
      <m>
        <tpls c="4">
          <tpl fld="7" item="819"/>
          <tpl fld="6" item="2"/>
          <tpl hier="236" item="1"/>
          <tpl fld="4" item="6"/>
        </tpls>
      </m>
      <n v="5" in="1">
        <tpls c="4">
          <tpl fld="7" item="1247"/>
          <tpl fld="6" item="1"/>
          <tpl hier="236" item="1"/>
          <tpl fld="4" item="4"/>
        </tpls>
      </n>
      <m>
        <tpls c="4">
          <tpl fld="7" item="204"/>
          <tpl fld="6" item="2"/>
          <tpl hier="236" item="1"/>
          <tpl fld="1" item="0"/>
        </tpls>
      </m>
      <m>
        <tpls c="4">
          <tpl fld="7" item="659"/>
          <tpl fld="6" item="2"/>
          <tpl hier="236" item="1"/>
          <tpl fld="1" item="0"/>
        </tpls>
      </m>
      <m>
        <tpls c="4">
          <tpl fld="7" item="291"/>
          <tpl fld="6" item="2"/>
          <tpl hier="236" item="1"/>
          <tpl fld="4" item="5"/>
        </tpls>
      </m>
      <m>
        <tpls c="4">
          <tpl fld="7" item="1013"/>
          <tpl fld="6" item="1"/>
          <tpl hier="236" item="1"/>
          <tpl fld="4" item="5"/>
        </tpls>
      </m>
      <n v="1" in="1">
        <tpls c="4">
          <tpl fld="7" item="508"/>
          <tpl fld="6" item="1"/>
          <tpl hier="236" item="1"/>
          <tpl fld="4" item="1"/>
        </tpls>
      </n>
      <m>
        <tpls c="4">
          <tpl fld="7" item="821"/>
          <tpl fld="6" item="1"/>
          <tpl hier="236" item="1"/>
          <tpl fld="4" item="1"/>
        </tpls>
      </m>
      <m>
        <tpls c="4">
          <tpl fld="7" item="838"/>
          <tpl fld="6" item="2"/>
          <tpl hier="236" item="1"/>
          <tpl fld="4" item="5"/>
        </tpls>
      </m>
      <m>
        <tpls c="4">
          <tpl fld="7" item="154"/>
          <tpl fld="6" item="2"/>
          <tpl hier="236" item="1"/>
          <tpl fld="4" item="5"/>
        </tpls>
      </m>
      <m>
        <tpls c="4">
          <tpl fld="7" item="1244"/>
          <tpl fld="6" item="2"/>
          <tpl hier="236" item="1"/>
          <tpl fld="4" item="6"/>
        </tpls>
      </m>
      <m>
        <tpls c="4">
          <tpl fld="7" item="287"/>
          <tpl fld="6" item="2"/>
          <tpl hier="236" item="1"/>
          <tpl fld="4" item="6"/>
        </tpls>
      </m>
      <m>
        <tpls c="4">
          <tpl fld="7" item="1190"/>
          <tpl fld="6" item="1"/>
          <tpl hier="236" item="1"/>
          <tpl fld="4" item="5"/>
        </tpls>
      </m>
      <m>
        <tpls c="4">
          <tpl fld="7" item="390"/>
          <tpl fld="6" item="2"/>
          <tpl hier="236" item="1"/>
          <tpl fld="1" item="0"/>
        </tpls>
      </m>
      <n v="3" in="1">
        <tpls c="4">
          <tpl fld="7" item="460"/>
          <tpl fld="6" item="1"/>
          <tpl hier="236" item="1"/>
          <tpl fld="4" item="4"/>
        </tpls>
      </n>
      <m>
        <tpls c="4">
          <tpl fld="7" item="528"/>
          <tpl fld="6" item="1"/>
          <tpl hier="236" item="1"/>
          <tpl fld="4" item="1"/>
        </tpls>
      </m>
      <m>
        <tpls c="4">
          <tpl fld="7" item="641"/>
          <tpl fld="6" item="2"/>
          <tpl hier="236" item="1"/>
          <tpl fld="1" item="0"/>
        </tpls>
      </m>
      <m>
        <tpls c="4">
          <tpl fld="7" item="774"/>
          <tpl fld="6" item="1"/>
          <tpl hier="236" item="1"/>
          <tpl fld="4" item="6"/>
        </tpls>
      </m>
      <m>
        <tpls c="4">
          <tpl fld="7" item="657"/>
          <tpl fld="6" item="1"/>
          <tpl hier="236" item="1"/>
          <tpl fld="4" item="1"/>
        </tpls>
      </m>
      <n v="4" in="1">
        <tpls c="4">
          <tpl fld="7" item="890"/>
          <tpl fld="6" item="1"/>
          <tpl hier="236" item="1"/>
          <tpl fld="4" item="1"/>
        </tpls>
      </n>
      <m>
        <tpls c="4">
          <tpl fld="7" item="1272"/>
          <tpl fld="6" item="2"/>
          <tpl hier="236" item="1"/>
          <tpl fld="4" item="4"/>
        </tpls>
      </m>
      <m>
        <tpls c="4">
          <tpl fld="7" item="403"/>
          <tpl fld="6" item="2"/>
          <tpl hier="236" item="1"/>
          <tpl fld="1" item="0"/>
        </tpls>
      </m>
      <m>
        <tpls c="4">
          <tpl fld="7" item="251"/>
          <tpl fld="6" item="2"/>
          <tpl hier="236" item="1"/>
          <tpl fld="1" item="0"/>
        </tpls>
      </m>
      <m>
        <tpls c="4">
          <tpl fld="7" item="1130"/>
          <tpl fld="6" item="1"/>
          <tpl hier="236" item="1"/>
          <tpl fld="4" item="5"/>
        </tpls>
      </m>
      <n v="8" in="1">
        <tpls c="4">
          <tpl fld="7" item="503"/>
          <tpl fld="6" item="1"/>
          <tpl hier="236" item="1"/>
          <tpl fld="4" item="1"/>
        </tpls>
      </n>
      <n v="4" in="1">
        <tpls c="4">
          <tpl fld="7" item="823"/>
          <tpl fld="6" item="1"/>
          <tpl hier="236" item="1"/>
          <tpl fld="4" item="4"/>
        </tpls>
      </n>
      <n v="5" in="1">
        <tpls c="4">
          <tpl fld="7" item="596"/>
          <tpl fld="6" item="1"/>
          <tpl hier="236" item="1"/>
          <tpl fld="4" item="6"/>
        </tpls>
      </n>
      <m>
        <tpls c="4">
          <tpl fld="7" item="660"/>
          <tpl fld="6" item="2"/>
          <tpl hier="236" item="1"/>
          <tpl fld="4" item="6"/>
        </tpls>
      </m>
      <m>
        <tpls c="4">
          <tpl fld="7" item="1095"/>
          <tpl fld="6" item="2"/>
          <tpl hier="236" item="1"/>
          <tpl fld="4" item="4"/>
        </tpls>
      </m>
      <m>
        <tpls c="4">
          <tpl fld="7" item="896"/>
          <tpl fld="6" item="1"/>
          <tpl hier="236" item="1"/>
          <tpl fld="4" item="6"/>
        </tpls>
      </m>
      <m>
        <tpls c="4">
          <tpl fld="7" item="953"/>
          <tpl fld="6" item="1"/>
          <tpl hier="236" item="1"/>
          <tpl fld="4" item="4"/>
        </tpls>
      </m>
      <m>
        <tpls c="4">
          <tpl fld="7" item="707"/>
          <tpl fld="6" item="2"/>
          <tpl hier="236" item="1"/>
          <tpl fld="1" item="0"/>
        </tpls>
      </m>
      <m>
        <tpls c="4">
          <tpl fld="7" item="1099"/>
          <tpl fld="6" item="2"/>
          <tpl hier="236" item="1"/>
          <tpl fld="4" item="4"/>
        </tpls>
      </m>
      <n v="1" in="1">
        <tpls c="4">
          <tpl fld="7" item="918"/>
          <tpl fld="6" item="1"/>
          <tpl hier="236" item="1"/>
          <tpl fld="4" item="6"/>
        </tpls>
      </n>
      <m>
        <tpls c="4">
          <tpl fld="7" item="196"/>
          <tpl fld="6" item="2"/>
          <tpl hier="236" item="1"/>
          <tpl fld="1" item="0"/>
        </tpls>
      </m>
      <m>
        <tpls c="4">
          <tpl fld="7" item="893"/>
          <tpl fld="6" item="2"/>
          <tpl hier="236" item="1"/>
          <tpl fld="4" item="5"/>
        </tpls>
      </m>
      <m>
        <tpls c="4">
          <tpl fld="7" item="289"/>
          <tpl fld="6" item="2"/>
          <tpl hier="236" item="1"/>
          <tpl fld="4" item="5"/>
        </tpls>
      </m>
      <m>
        <tpls c="4">
          <tpl fld="7" item="1193"/>
          <tpl fld="6" item="1"/>
          <tpl hier="236" item="1"/>
          <tpl fld="4" item="5"/>
        </tpls>
      </m>
      <n v="4" in="1">
        <tpls c="4">
          <tpl fld="7" item="506"/>
          <tpl fld="6" item="1"/>
          <tpl hier="236" item="1"/>
          <tpl fld="4" item="1"/>
        </tpls>
      </n>
      <m>
        <tpls c="4">
          <tpl fld="7" item="740"/>
          <tpl fld="6" item="2"/>
          <tpl hier="236" item="1"/>
          <tpl fld="4" item="6"/>
        </tpls>
      </m>
      <m>
        <tpls c="4">
          <tpl fld="7" item="695"/>
          <tpl fld="6" item="1"/>
          <tpl hier="236" item="1"/>
          <tpl fld="4" item="6"/>
        </tpls>
      </m>
      <n v="3" in="1">
        <tpls c="4">
          <tpl fld="7" item="743"/>
          <tpl fld="6" item="1"/>
          <tpl hier="236" item="1"/>
          <tpl fld="4" item="1"/>
        </tpls>
      </n>
      <m>
        <tpls c="4">
          <tpl fld="7" item="586"/>
          <tpl fld="6" item="2"/>
          <tpl hier="236" item="1"/>
          <tpl fld="4" item="1"/>
        </tpls>
      </m>
      <m>
        <tpls c="4">
          <tpl fld="7" item="833"/>
          <tpl fld="6" item="2"/>
          <tpl hier="236" item="1"/>
          <tpl fld="4" item="4"/>
        </tpls>
      </m>
      <n v="6" in="1">
        <tpls c="4">
          <tpl fld="7" item="1164"/>
          <tpl fld="6" item="1"/>
          <tpl hier="236" item="1"/>
          <tpl fld="4" item="4"/>
        </tpls>
      </n>
      <m>
        <tpls c="4">
          <tpl fld="7" item="1239"/>
          <tpl fld="6" item="2"/>
          <tpl hier="236" item="1"/>
          <tpl fld="1" item="0"/>
        </tpls>
      </m>
      <m>
        <tpls c="4">
          <tpl fld="7" item="820"/>
          <tpl fld="6" item="2"/>
          <tpl hier="236" item="1"/>
          <tpl fld="4" item="6"/>
        </tpls>
      </m>
      <m>
        <tpls c="4">
          <tpl fld="7" item="1023"/>
          <tpl fld="6" item="2"/>
          <tpl hier="236" item="1"/>
          <tpl fld="4" item="4"/>
        </tpls>
      </m>
      <m>
        <tpls c="4">
          <tpl fld="7" item="189"/>
          <tpl fld="6" item="2"/>
          <tpl hier="236" item="1"/>
          <tpl fld="1" item="0"/>
        </tpls>
      </m>
      <m>
        <tpls c="4">
          <tpl fld="7" item="663"/>
          <tpl fld="6" item="2"/>
          <tpl hier="236" item="1"/>
          <tpl fld="1" item="0"/>
        </tpls>
      </m>
      <m>
        <tpls c="4">
          <tpl fld="7" item="280"/>
          <tpl fld="6" item="2"/>
          <tpl hier="236" item="1"/>
          <tpl fld="4" item="5"/>
        </tpls>
      </m>
      <m>
        <tpls c="4">
          <tpl fld="7" item="901"/>
          <tpl fld="6" item="1"/>
          <tpl hier="236" item="1"/>
          <tpl fld="4" item="5"/>
        </tpls>
      </m>
      <m>
        <tpls c="4">
          <tpl fld="7" item="497"/>
          <tpl fld="6" item="1"/>
          <tpl hier="236" item="1"/>
          <tpl fld="4" item="1"/>
        </tpls>
      </m>
      <n v="5" in="1">
        <tpls c="4">
          <tpl fld="7" item="825"/>
          <tpl fld="6" item="1"/>
          <tpl hier="236" item="1"/>
          <tpl fld="4" item="1"/>
        </tpls>
      </n>
      <m>
        <tpls c="4">
          <tpl fld="7" item="54"/>
          <tpl fld="6" item="2"/>
          <tpl hier="236" item="1"/>
          <tpl fld="4" item="5"/>
        </tpls>
      </m>
      <m>
        <tpls c="4">
          <tpl fld="7" item="900"/>
          <tpl fld="6" item="1"/>
          <tpl hier="236" item="1"/>
          <tpl fld="4" item="5"/>
        </tpls>
      </m>
      <m>
        <tpls c="4">
          <tpl fld="7" item="1272"/>
          <tpl fld="6" item="2"/>
          <tpl hier="236" item="1"/>
          <tpl fld="1" item="0"/>
        </tpls>
      </m>
      <m>
        <tpls c="4">
          <tpl fld="7" item="644"/>
          <tpl fld="6" item="2"/>
          <tpl hier="236" item="1"/>
          <tpl fld="4" item="4"/>
        </tpls>
      </m>
      <m>
        <tpls c="4">
          <tpl fld="7" item="1123"/>
          <tpl fld="6" item="2"/>
          <tpl hier="236" item="1"/>
          <tpl fld="1" item="0"/>
        </tpls>
      </m>
      <n v="1" in="2">
        <tpls c="4">
          <tpl fld="7" item="1220"/>
          <tpl fld="6" item="2"/>
          <tpl hier="236" item="1"/>
          <tpl fld="1" item="0"/>
        </tpls>
      </n>
      <m>
        <tpls c="4">
          <tpl fld="7" item="237"/>
          <tpl fld="6" item="2"/>
          <tpl hier="236" item="1"/>
          <tpl fld="4" item="6"/>
        </tpls>
      </m>
      <n v="52" in="1">
        <tpls c="4">
          <tpl fld="7" item="595"/>
          <tpl fld="6" item="1"/>
          <tpl hier="236" item="1"/>
          <tpl fld="4" item="1"/>
        </tpls>
      </n>
      <n v="1" in="1">
        <tpls c="4">
          <tpl fld="7" item="1227"/>
          <tpl fld="6" item="1"/>
          <tpl hier="236" item="1"/>
          <tpl fld="4" item="4"/>
        </tpls>
      </n>
      <m>
        <tpls c="4">
          <tpl fld="7" item="866"/>
          <tpl fld="6" item="2"/>
          <tpl hier="236" item="1"/>
          <tpl fld="4" item="6"/>
        </tpls>
      </m>
      <m>
        <tpls c="4">
          <tpl fld="7" item="597"/>
          <tpl fld="6" item="1"/>
          <tpl hier="236" item="1"/>
          <tpl fld="4" item="5"/>
        </tpls>
      </m>
      <m>
        <tpls c="4">
          <tpl fld="7" item="233"/>
          <tpl fld="6" item="1"/>
          <tpl hier="236" item="1"/>
          <tpl fld="4" item="5"/>
        </tpls>
      </m>
      <m>
        <tpls c="4">
          <tpl fld="7" item="843"/>
          <tpl fld="6" item="1"/>
          <tpl hier="236" item="1"/>
          <tpl fld="4" item="1"/>
        </tpls>
      </m>
      <m>
        <tpls c="4">
          <tpl fld="7" item="180"/>
          <tpl fld="6" item="1"/>
          <tpl hier="236" item="1"/>
          <tpl fld="4" item="1"/>
        </tpls>
      </m>
      <n v="3" in="1">
        <tpls c="4">
          <tpl fld="7" item="918"/>
          <tpl fld="6" item="1"/>
          <tpl hier="236" item="1"/>
          <tpl fld="1" item="0"/>
        </tpls>
      </n>
      <m>
        <tpls c="4">
          <tpl fld="7" item="346"/>
          <tpl fld="6" item="1"/>
          <tpl hier="236" item="1"/>
          <tpl fld="1" item="0"/>
        </tpls>
      </m>
      <n v="2" in="1">
        <tpls c="4">
          <tpl fld="7" item="711"/>
          <tpl fld="6" item="1"/>
          <tpl hier="236" item="1"/>
          <tpl fld="4" item="6"/>
        </tpls>
      </n>
      <m>
        <tpls c="4">
          <tpl fld="7" item="44"/>
          <tpl fld="6" item="2"/>
          <tpl hier="236" item="1"/>
          <tpl fld="4" item="5"/>
        </tpls>
      </m>
      <m>
        <tpls c="4">
          <tpl fld="7" item="246"/>
          <tpl fld="6" item="1"/>
          <tpl hier="236" item="1"/>
          <tpl fld="4" item="5"/>
        </tpls>
      </m>
      <n v="6" in="1">
        <tpls c="4">
          <tpl fld="7" item="907"/>
          <tpl fld="6" item="1"/>
          <tpl hier="236" item="1"/>
          <tpl fld="1" item="0"/>
        </tpls>
      </n>
      <m>
        <tpls c="4">
          <tpl fld="7" item="24"/>
          <tpl fld="6" item="1"/>
          <tpl hier="236" item="1"/>
          <tpl fld="1" item="0"/>
        </tpls>
      </m>
      <m>
        <tpls c="3">
          <tpl fld="7" item="225"/>
          <tpl fld="6" item="3"/>
          <tpl hier="236" item="1"/>
        </tpls>
      </m>
      <m>
        <tpls c="4">
          <tpl fld="7" item="238"/>
          <tpl fld="6" item="2"/>
          <tpl hier="236" item="1"/>
          <tpl fld="4" item="4"/>
        </tpls>
      </m>
      <n v="5" in="1">
        <tpls c="4">
          <tpl fld="7" item="511"/>
          <tpl fld="6" item="1"/>
          <tpl hier="236" item="1"/>
          <tpl fld="1" item="0"/>
        </tpls>
      </n>
      <m>
        <tpls c="4">
          <tpl fld="7" item="553"/>
          <tpl fld="6" item="1"/>
          <tpl hier="236" item="1"/>
          <tpl fld="4" item="4"/>
        </tpls>
      </m>
      <m>
        <tpls c="4">
          <tpl fld="7" item="71"/>
          <tpl fld="6" item="2"/>
          <tpl hier="236" item="1"/>
          <tpl fld="4" item="5"/>
        </tpls>
      </m>
      <m>
        <tpls c="4">
          <tpl fld="7" item="186"/>
          <tpl fld="6" item="1"/>
          <tpl hier="236" item="1"/>
          <tpl fld="4" item="5"/>
        </tpls>
      </m>
      <n v="27" in="1">
        <tpls c="4">
          <tpl fld="7" item="911"/>
          <tpl fld="6" item="1"/>
          <tpl hier="236" item="1"/>
          <tpl fld="1" item="0"/>
        </tpls>
      </n>
      <m>
        <tpls c="4">
          <tpl fld="7" item="29"/>
          <tpl fld="6" item="1"/>
          <tpl hier="236" item="1"/>
          <tpl fld="1" item="0"/>
        </tpls>
      </m>
      <m>
        <tpls c="3">
          <tpl fld="7" item="228"/>
          <tpl fld="6" item="3"/>
          <tpl hier="236" item="1"/>
        </tpls>
      </m>
      <m>
        <tpls c="4">
          <tpl fld="7" item="14"/>
          <tpl fld="6" item="2"/>
          <tpl hier="236" item="1"/>
          <tpl fld="4" item="4"/>
        </tpls>
      </m>
      <m>
        <tpls c="4">
          <tpl fld="7" item="80"/>
          <tpl fld="6" item="1"/>
          <tpl hier="236" item="1"/>
          <tpl fld="1" item="0"/>
        </tpls>
      </m>
      <n v="30" in="1">
        <tpls c="4">
          <tpl fld="7" item="889"/>
          <tpl fld="6" item="1"/>
          <tpl hier="236" item="1"/>
          <tpl fld="4" item="4"/>
        </tpls>
      </n>
      <m>
        <tpls c="4">
          <tpl fld="7" item="133"/>
          <tpl fld="6" item="2"/>
          <tpl hier="236" item="1"/>
          <tpl fld="4" item="5"/>
        </tpls>
      </m>
      <m>
        <tpls c="3">
          <tpl fld="7" item="890"/>
          <tpl fld="6" item="3"/>
          <tpl hier="236" item="1"/>
        </tpls>
      </m>
      <m>
        <tpls c="4">
          <tpl fld="7" item="808"/>
          <tpl fld="6" item="2"/>
          <tpl hier="236" item="1"/>
          <tpl fld="1" item="0"/>
        </tpls>
      </m>
      <m>
        <tpls c="4">
          <tpl fld="7" item="1124"/>
          <tpl fld="6" item="2"/>
          <tpl hier="236" item="1"/>
          <tpl fld="4" item="1"/>
        </tpls>
      </m>
      <m>
        <tpls c="4">
          <tpl fld="7" item="618"/>
          <tpl fld="6" item="2"/>
          <tpl hier="236" item="1"/>
          <tpl fld="4" item="6"/>
        </tpls>
      </m>
      <m>
        <tpls c="4">
          <tpl fld="7" item="662"/>
          <tpl fld="6" item="2"/>
          <tpl hier="236" item="1"/>
          <tpl fld="4" item="1"/>
        </tpls>
      </m>
      <m>
        <tpls c="4">
          <tpl fld="7" item="969"/>
          <tpl fld="6" item="2"/>
          <tpl hier="236" item="1"/>
          <tpl fld="4" item="1"/>
        </tpls>
      </m>
      <m>
        <tpls c="4">
          <tpl fld="7" item="809"/>
          <tpl fld="6" item="2"/>
          <tpl hier="236" item="1"/>
          <tpl fld="4" item="4"/>
        </tpls>
      </m>
      <m>
        <tpls c="4">
          <tpl fld="7" item="30"/>
          <tpl fld="6" item="2"/>
          <tpl hier="236" item="1"/>
          <tpl fld="4" item="5"/>
        </tpls>
      </m>
      <m>
        <tpls c="4">
          <tpl fld="7" item="1071"/>
          <tpl fld="6" item="1"/>
          <tpl hier="236" item="1"/>
          <tpl fld="4" item="1"/>
        </tpls>
      </m>
      <m>
        <tpls c="3">
          <tpl fld="7" item="648"/>
          <tpl fld="6" item="3"/>
          <tpl hier="236" item="1"/>
        </tpls>
      </m>
      <m>
        <tpls c="4">
          <tpl fld="7" item="763"/>
          <tpl fld="6" item="2"/>
          <tpl hier="236" item="1"/>
          <tpl fld="4" item="5"/>
        </tpls>
      </m>
      <m>
        <tpls c="4">
          <tpl fld="7" item="124"/>
          <tpl fld="6" item="2"/>
          <tpl hier="236" item="1"/>
          <tpl fld="4" item="5"/>
        </tpls>
      </m>
      <m>
        <tpls c="4">
          <tpl fld="7" item="298"/>
          <tpl fld="6" item="2"/>
          <tpl hier="236" item="1"/>
          <tpl fld="4" item="6"/>
        </tpls>
      </m>
      <m>
        <tpls c="4">
          <tpl fld="7" item="513"/>
          <tpl fld="6" item="1"/>
          <tpl hier="236" item="1"/>
          <tpl fld="4" item="5"/>
        </tpls>
      </m>
      <m>
        <tpls c="4">
          <tpl fld="7" item="135"/>
          <tpl fld="6" item="1"/>
          <tpl hier="236" item="1"/>
          <tpl fld="4" item="5"/>
        </tpls>
      </m>
      <m>
        <tpls c="4">
          <tpl fld="7" item="1197"/>
          <tpl fld="6" item="1"/>
          <tpl hier="236" item="1"/>
          <tpl fld="4" item="1"/>
        </tpls>
      </m>
      <n v="3" in="1">
        <tpls c="4">
          <tpl fld="7" item="760"/>
          <tpl fld="6" item="1"/>
          <tpl hier="236" item="1"/>
          <tpl fld="4" item="1"/>
        </tpls>
      </n>
      <m>
        <tpls c="4">
          <tpl fld="7" item="340"/>
          <tpl fld="6" item="1"/>
          <tpl hier="236" item="1"/>
          <tpl fld="4" item="1"/>
        </tpls>
      </m>
      <m>
        <tpls c="4">
          <tpl fld="7" item="716"/>
          <tpl fld="6" item="2"/>
          <tpl hier="236" item="1"/>
          <tpl fld="1" item="0"/>
        </tpls>
      </m>
      <n v="4" in="1">
        <tpls c="4">
          <tpl fld="7" item="822"/>
          <tpl fld="6" item="1"/>
          <tpl hier="236" item="1"/>
          <tpl fld="4" item="4"/>
        </tpls>
      </n>
      <m>
        <tpls c="4">
          <tpl fld="7" item="1129"/>
          <tpl fld="6" item="1"/>
          <tpl hier="236" item="1"/>
          <tpl fld="4" item="4"/>
        </tpls>
      </m>
      <m>
        <tpls c="4">
          <tpl fld="7" item="412"/>
          <tpl fld="6" item="2"/>
          <tpl hier="236" item="1"/>
          <tpl fld="1" item="0"/>
        </tpls>
      </m>
      <m>
        <tpls c="4">
          <tpl fld="7" item="105"/>
          <tpl fld="6" item="2"/>
          <tpl hier="236" item="1"/>
          <tpl fld="4" item="5"/>
        </tpls>
      </m>
      <m>
        <tpls c="4">
          <tpl fld="7" item="179"/>
          <tpl fld="6" item="2"/>
          <tpl hier="236" item="1"/>
          <tpl fld="4" item="5"/>
        </tpls>
      </m>
      <m>
        <tpls c="4">
          <tpl fld="7" item="468"/>
          <tpl fld="6" item="2"/>
          <tpl hier="236" item="1"/>
          <tpl fld="4" item="5"/>
        </tpls>
      </m>
      <m>
        <tpls c="4">
          <tpl fld="7" item="514"/>
          <tpl fld="6" item="2"/>
          <tpl hier="236" item="1"/>
          <tpl fld="4" item="6"/>
        </tpls>
      </m>
      <m>
        <tpls c="4">
          <tpl fld="7" item="482"/>
          <tpl fld="6" item="2"/>
          <tpl hier="236" item="1"/>
          <tpl fld="4" item="6"/>
        </tpls>
      </m>
      <m>
        <tpls c="4">
          <tpl fld="7" item="1113"/>
          <tpl fld="6" item="1"/>
          <tpl hier="236" item="1"/>
          <tpl fld="4" item="5"/>
        </tpls>
      </m>
      <m>
        <tpls c="4">
          <tpl fld="7" item="311"/>
          <tpl fld="6" item="1"/>
          <tpl hier="236" item="1"/>
          <tpl fld="4" item="5"/>
        </tpls>
      </m>
      <m>
        <tpls c="4">
          <tpl fld="7" item="231"/>
          <tpl fld="6" item="1"/>
          <tpl hier="236" item="1"/>
          <tpl fld="4" item="5"/>
        </tpls>
      </m>
      <m>
        <tpls c="4">
          <tpl fld="7" item="865"/>
          <tpl fld="6" item="1"/>
          <tpl hier="236" item="1"/>
          <tpl fld="4" item="1"/>
        </tpls>
      </m>
      <n v="4" in="1">
        <tpls c="4">
          <tpl fld="7" item="434"/>
          <tpl fld="6" item="1"/>
          <tpl hier="236" item="1"/>
          <tpl fld="4" item="1"/>
        </tpls>
      </n>
      <m>
        <tpls c="4">
          <tpl fld="7" item="166"/>
          <tpl fld="6" item="1"/>
          <tpl hier="236" item="1"/>
          <tpl fld="4" item="1"/>
        </tpls>
      </m>
      <n v="2" in="1">
        <tpls c="4">
          <tpl fld="7" item="1123"/>
          <tpl fld="6" item="1"/>
          <tpl hier="236" item="1"/>
          <tpl fld="1" item="0"/>
        </tpls>
      </n>
      <n v="35" in="1">
        <tpls c="4">
          <tpl fld="7" item="324"/>
          <tpl fld="6" item="1"/>
          <tpl hier="236" item="1"/>
          <tpl fld="1" item="0"/>
        </tpls>
      </n>
      <m>
        <tpls c="4">
          <tpl fld="7" item="28"/>
          <tpl fld="6" item="1"/>
          <tpl hier="236" item="1"/>
          <tpl fld="1" item="0"/>
        </tpls>
      </m>
      <m>
        <tpls c="4">
          <tpl fld="7" item="1190"/>
          <tpl fld="6" item="2"/>
          <tpl hier="236" item="1"/>
          <tpl fld="4" item="4"/>
        </tpls>
      </m>
      <m>
        <tpls c="4">
          <tpl fld="7" item="276"/>
          <tpl fld="6" item="2"/>
          <tpl hier="236" item="1"/>
          <tpl fld="4" item="5"/>
        </tpls>
      </m>
      <m>
        <tpls c="4">
          <tpl fld="7" item="454"/>
          <tpl fld="6" item="1"/>
          <tpl hier="236" item="1"/>
          <tpl fld="4" item="5"/>
        </tpls>
      </m>
      <m>
        <tpls c="4">
          <tpl fld="7" item="487"/>
          <tpl fld="6" item="1"/>
          <tpl hier="236" item="1"/>
          <tpl fld="4" item="1"/>
        </tpls>
      </m>
      <n v="3" in="1">
        <tpls c="4">
          <tpl fld="7" item="508"/>
          <tpl fld="6" item="1"/>
          <tpl hier="236" item="1"/>
          <tpl fld="1" item="0"/>
        </tpls>
      </n>
      <m>
        <tpls c="4">
          <tpl fld="7" item="129"/>
          <tpl fld="6" item="1"/>
          <tpl hier="236" item="1"/>
          <tpl fld="1" item="0"/>
        </tpls>
      </m>
      <m>
        <tpls c="3">
          <tpl fld="7" item="235"/>
          <tpl fld="6" item="3"/>
          <tpl hier="236" item="1"/>
        </tpls>
      </m>
      <m>
        <tpls c="4">
          <tpl fld="7" item="1044"/>
          <tpl fld="6" item="2"/>
          <tpl hier="236" item="1"/>
          <tpl fld="4" item="4"/>
        </tpls>
      </m>
      <m>
        <tpls c="4">
          <tpl fld="7" item="222"/>
          <tpl fld="6" item="2"/>
          <tpl hier="236" item="1"/>
          <tpl fld="4" item="4"/>
        </tpls>
      </m>
      <n v="5" in="1">
        <tpls c="4">
          <tpl fld="7" item="503"/>
          <tpl fld="6" item="1"/>
          <tpl hier="236" item="1"/>
          <tpl fld="1" item="0"/>
        </tpls>
      </n>
      <m>
        <tpls c="4">
          <tpl fld="7" item="1144"/>
          <tpl fld="6" item="2"/>
          <tpl hier="236" item="1"/>
          <tpl fld="4" item="4"/>
        </tpls>
      </m>
      <n v="3" in="1">
        <tpls c="4">
          <tpl fld="7" item="1065"/>
          <tpl fld="6" item="1"/>
          <tpl hier="236" item="1"/>
          <tpl fld="4" item="4"/>
        </tpls>
      </n>
      <m>
        <tpls c="4">
          <tpl fld="7" item="1121"/>
          <tpl fld="6" item="2"/>
          <tpl hier="236" item="1"/>
          <tpl fld="4" item="6"/>
        </tpls>
      </m>
      <m>
        <tpls c="4">
          <tpl fld="7" item="178"/>
          <tpl fld="6" item="1"/>
          <tpl hier="236" item="1"/>
          <tpl fld="4" item="5"/>
        </tpls>
      </m>
      <m>
        <tpls c="4">
          <tpl fld="7" item="137"/>
          <tpl fld="6" item="1"/>
          <tpl hier="236" item="1"/>
          <tpl fld="4" item="1"/>
        </tpls>
      </m>
      <n v="0" in="1">
        <tpls c="4">
          <tpl fld="7" item="316"/>
          <tpl fld="6" item="1"/>
          <tpl hier="236" item="1"/>
          <tpl fld="1" item="0"/>
        </tpls>
      </n>
      <m>
        <tpls c="4">
          <tpl fld="7" item="278"/>
          <tpl fld="6" item="1"/>
          <tpl hier="236" item="1"/>
          <tpl fld="4" item="6"/>
        </tpls>
      </m>
      <m>
        <tpls c="3">
          <tpl fld="7" item="8"/>
          <tpl fld="6" item="3"/>
          <tpl hier="236" item="1"/>
        </tpls>
      </m>
      <n v="1" in="2">
        <tpls c="4">
          <tpl fld="7" item="744"/>
          <tpl fld="6" item="2"/>
          <tpl hier="236" item="1"/>
          <tpl fld="4" item="4"/>
        </tpls>
      </n>
      <m>
        <tpls c="4">
          <tpl fld="7" item="1164"/>
          <tpl fld="6" item="1"/>
          <tpl hier="236" item="1"/>
          <tpl fld="4" item="1"/>
        </tpls>
      </m>
      <m>
        <tpls c="4">
          <tpl fld="7" item="21"/>
          <tpl fld="6" item="1"/>
          <tpl hier="236" item="1"/>
          <tpl fld="4" item="6"/>
        </tpls>
      </m>
      <m>
        <tpls c="4">
          <tpl fld="7" item="726"/>
          <tpl fld="6" item="2"/>
          <tpl hier="236" item="1"/>
          <tpl fld="4" item="6"/>
        </tpls>
      </m>
      <n v="1.2" in="2">
        <tpls c="4">
          <tpl fld="7" item="430"/>
          <tpl fld="6" item="2"/>
          <tpl hier="236" item="1"/>
          <tpl fld="4" item="5"/>
        </tpls>
      </n>
      <m>
        <tpls c="4">
          <tpl fld="7" item="131"/>
          <tpl fld="6" item="2"/>
          <tpl hier="236" item="1"/>
          <tpl fld="4" item="6"/>
        </tpls>
      </m>
      <n v="2" in="1">
        <tpls c="4">
          <tpl fld="7" item="1109"/>
          <tpl fld="6" item="1"/>
          <tpl hier="236" item="1"/>
          <tpl fld="4" item="1"/>
        </tpls>
      </n>
      <n v="2" in="1">
        <tpls c="4">
          <tpl fld="7" item="749"/>
          <tpl fld="6" item="1"/>
          <tpl hier="236" item="1"/>
          <tpl fld="1" item="0"/>
        </tpls>
      </n>
      <m>
        <tpls c="4">
          <tpl fld="7" item="141"/>
          <tpl fld="6" item="1"/>
          <tpl hier="236" item="1"/>
          <tpl fld="1" item="0"/>
        </tpls>
      </m>
      <m>
        <tpls c="3">
          <tpl fld="7" item="998"/>
          <tpl fld="6" item="3"/>
          <tpl hier="236" item="1"/>
        </tpls>
      </m>
      <m>
        <tpls c="4">
          <tpl fld="7" item="1283"/>
          <tpl fld="6" item="2"/>
          <tpl hier="236" item="1"/>
          <tpl fld="4" item="4"/>
        </tpls>
      </m>
      <m>
        <tpls c="4">
          <tpl fld="7" item="5"/>
          <tpl fld="6" item="2"/>
          <tpl hier="236" item="1"/>
          <tpl fld="4" item="4"/>
        </tpls>
      </m>
      <m>
        <tpls c="4">
          <tpl fld="7" item="480"/>
          <tpl fld="6" item="2"/>
          <tpl hier="236" item="1"/>
          <tpl fld="1" item="0"/>
        </tpls>
      </m>
      <m>
        <tpls c="4">
          <tpl fld="7" item="435"/>
          <tpl fld="6" item="1"/>
          <tpl hier="236" item="1"/>
          <tpl fld="4" item="5"/>
        </tpls>
      </m>
      <n v="13" in="1">
        <tpls c="4">
          <tpl fld="7" item="827"/>
          <tpl fld="6" item="1"/>
          <tpl hier="236" item="1"/>
          <tpl fld="4" item="6"/>
        </tpls>
      </n>
      <m>
        <tpls c="3">
          <tpl fld="7" item="772"/>
          <tpl fld="6" item="3"/>
          <tpl hier="236" item="1"/>
        </tpls>
      </m>
      <n v="6" in="1">
        <tpls c="4">
          <tpl fld="7" item="796"/>
          <tpl fld="6" item="1"/>
          <tpl hier="236" item="1"/>
          <tpl fld="4" item="4"/>
        </tpls>
      </n>
      <m>
        <tpls c="4">
          <tpl fld="7" item="934"/>
          <tpl fld="6" item="1"/>
          <tpl hier="236" item="1"/>
          <tpl fld="4" item="4"/>
        </tpls>
      </m>
      <m>
        <tpls c="4">
          <tpl fld="7" item="734"/>
          <tpl fld="6" item="1"/>
          <tpl hier="236" item="1"/>
          <tpl fld="1" item="0"/>
        </tpls>
      </m>
      <n v="2" in="2">
        <tpls c="4">
          <tpl fld="7" item="519"/>
          <tpl fld="6" item="2"/>
          <tpl hier="236" item="1"/>
          <tpl fld="1" item="0"/>
        </tpls>
      </n>
      <m>
        <tpls c="4">
          <tpl fld="7" item="360"/>
          <tpl fld="6" item="2"/>
          <tpl hier="236" item="1"/>
          <tpl fld="4" item="5"/>
        </tpls>
      </m>
      <m>
        <tpls c="4">
          <tpl fld="7" item="903"/>
          <tpl fld="6" item="1"/>
          <tpl hier="236" item="1"/>
          <tpl fld="4" item="1"/>
        </tpls>
      </m>
      <m>
        <tpls c="4">
          <tpl fld="7" item="854"/>
          <tpl fld="6" item="2"/>
          <tpl hier="236" item="1"/>
          <tpl fld="4" item="5"/>
        </tpls>
      </m>
      <m>
        <tpls c="4">
          <tpl fld="7" item="1272"/>
          <tpl fld="6" item="2"/>
          <tpl hier="236" item="1"/>
          <tpl fld="4" item="6"/>
        </tpls>
      </m>
      <m>
        <tpls c="4">
          <tpl fld="7" item="1111"/>
          <tpl fld="6" item="1"/>
          <tpl hier="236" item="1"/>
          <tpl fld="4" item="5"/>
        </tpls>
      </m>
      <m>
        <tpls c="4">
          <tpl fld="7" item="940"/>
          <tpl fld="6" item="1"/>
          <tpl hier="236" item="1"/>
          <tpl fld="4" item="1"/>
        </tpls>
      </m>
      <m>
        <tpls c="4">
          <tpl fld="7" item="414"/>
          <tpl fld="6" item="1"/>
          <tpl hier="236" item="1"/>
          <tpl fld="4" item="1"/>
        </tpls>
      </m>
      <m>
        <tpls c="4">
          <tpl fld="7" item="995"/>
          <tpl fld="6" item="1"/>
          <tpl hier="236" item="1"/>
          <tpl fld="4" item="5"/>
        </tpls>
      </m>
      <m>
        <tpls c="4">
          <tpl fld="7" item="897"/>
          <tpl fld="6" item="2"/>
          <tpl hier="236" item="1"/>
          <tpl fld="1" item="0"/>
        </tpls>
      </m>
      <m>
        <tpls c="4">
          <tpl fld="7" item="419"/>
          <tpl fld="6" item="2"/>
          <tpl hier="236" item="1"/>
          <tpl fld="4" item="5"/>
        </tpls>
      </m>
      <m>
        <tpls c="4">
          <tpl fld="7" item="837"/>
          <tpl fld="6" item="2"/>
          <tpl hier="236" item="1"/>
          <tpl fld="4" item="6"/>
        </tpls>
      </m>
      <n v="1" in="1">
        <tpls c="4">
          <tpl fld="7" item="1020"/>
          <tpl fld="6" item="1"/>
          <tpl hier="236" item="1"/>
          <tpl fld="4" item="5"/>
        </tpls>
      </n>
      <m>
        <tpls c="4">
          <tpl fld="7" item="335"/>
          <tpl fld="6" item="1"/>
          <tpl hier="236" item="1"/>
          <tpl fld="1" item="0"/>
        </tpls>
      </m>
      <m>
        <tpls c="4">
          <tpl fld="7" item="467"/>
          <tpl fld="6" item="1"/>
          <tpl hier="236" item="1"/>
          <tpl fld="4" item="6"/>
        </tpls>
      </m>
      <m>
        <tpls c="4">
          <tpl fld="7" item="66"/>
          <tpl fld="6" item="2"/>
          <tpl hier="236" item="1"/>
          <tpl fld="4" item="5"/>
        </tpls>
      </m>
      <m>
        <tpls c="4">
          <tpl fld="7" item="71"/>
          <tpl fld="6" item="1"/>
          <tpl hier="236" item="1"/>
          <tpl fld="1" item="0"/>
        </tpls>
      </m>
      <n v="1" in="1">
        <tpls c="4">
          <tpl fld="7" item="796"/>
          <tpl fld="6" item="1"/>
          <tpl hier="236" item="1"/>
          <tpl fld="4" item="1"/>
        </tpls>
      </n>
      <m>
        <tpls c="4">
          <tpl fld="7" item="1092"/>
          <tpl fld="6" item="2"/>
          <tpl hier="236" item="1"/>
          <tpl fld="4" item="4"/>
        </tpls>
      </m>
      <m>
        <tpls c="4">
          <tpl fld="7" item="870"/>
          <tpl fld="6" item="2"/>
          <tpl hier="236" item="1"/>
          <tpl fld="4" item="4"/>
        </tpls>
      </m>
      <m>
        <tpls c="4">
          <tpl fld="7" item="1181"/>
          <tpl fld="6" item="2"/>
          <tpl hier="236" item="1"/>
          <tpl fld="1" item="0"/>
        </tpls>
      </m>
      <n v="2" in="1">
        <tpls c="4">
          <tpl fld="7" item="897"/>
          <tpl fld="6" item="1"/>
          <tpl hier="236" item="1"/>
          <tpl fld="4" item="1"/>
        </tpls>
      </n>
      <m>
        <tpls c="4">
          <tpl fld="7" item="1216"/>
          <tpl fld="6" item="2"/>
          <tpl hier="236" item="1"/>
          <tpl fld="4" item="6"/>
        </tpls>
      </m>
      <n v="1" in="1">
        <tpls c="4">
          <tpl fld="7" item="920"/>
          <tpl fld="6" item="1"/>
          <tpl hier="236" item="1"/>
          <tpl fld="4" item="1"/>
        </tpls>
      </n>
      <n v="1" in="1">
        <tpls c="4">
          <tpl fld="7" item="827"/>
          <tpl fld="6" item="1"/>
          <tpl hier="236" item="1"/>
          <tpl fld="4" item="1"/>
        </tpls>
      </n>
      <m>
        <tpls c="4">
          <tpl fld="7" item="26"/>
          <tpl fld="6" item="2"/>
          <tpl hier="236" item="1"/>
          <tpl fld="4" item="5"/>
        </tpls>
      </m>
      <m>
        <tpls c="4">
          <tpl fld="7" item="678"/>
          <tpl fld="6" item="1"/>
          <tpl hier="236" item="1"/>
          <tpl fld="4" item="5"/>
        </tpls>
      </m>
      <n v="0" in="1">
        <tpls c="4">
          <tpl fld="7" item="88"/>
          <tpl fld="6" item="1"/>
          <tpl hier="236" item="1"/>
          <tpl fld="4" item="1"/>
        </tpls>
      </n>
      <m>
        <tpls c="4">
          <tpl fld="7" item="879"/>
          <tpl fld="6" item="2"/>
          <tpl hier="236" item="1"/>
          <tpl fld="4" item="6"/>
        </tpls>
      </m>
      <n v="4" in="1">
        <tpls c="4">
          <tpl fld="7" item="452"/>
          <tpl fld="6" item="1"/>
          <tpl hier="236" item="1"/>
          <tpl fld="1" item="0"/>
        </tpls>
      </n>
      <m>
        <tpls c="4">
          <tpl fld="7" item="116"/>
          <tpl fld="6" item="2"/>
          <tpl hier="236" item="1"/>
          <tpl fld="4" item="4"/>
        </tpls>
      </m>
      <m>
        <tpls c="4">
          <tpl fld="7" item="164"/>
          <tpl fld="6" item="2"/>
          <tpl hier="236" item="1"/>
          <tpl fld="4" item="5"/>
        </tpls>
      </m>
      <m>
        <tpls c="4">
          <tpl fld="7" item="13"/>
          <tpl fld="6" item="1"/>
          <tpl hier="236" item="1"/>
          <tpl fld="1" item="0"/>
        </tpls>
      </m>
      <m>
        <tpls c="4">
          <tpl fld="7" item="128"/>
          <tpl fld="6" item="1"/>
          <tpl hier="236" item="1"/>
          <tpl fld="1" item="0"/>
        </tpls>
      </m>
      <n v="5" in="1">
        <tpls c="4">
          <tpl fld="7" item="424"/>
          <tpl fld="6" item="1"/>
          <tpl hier="236" item="1"/>
          <tpl fld="4" item="5"/>
        </tpls>
      </n>
      <m>
        <tpls c="4">
          <tpl fld="7" item="143"/>
          <tpl fld="6" item="1"/>
          <tpl hier="236" item="1"/>
          <tpl fld="1" item="0"/>
        </tpls>
      </m>
      <m>
        <tpls c="4">
          <tpl fld="7" item="12"/>
          <tpl fld="6" item="2"/>
          <tpl hier="236" item="1"/>
          <tpl fld="4" item="4"/>
        </tpls>
      </m>
      <n v="1" in="1">
        <tpls c="4">
          <tpl fld="7" item="447"/>
          <tpl fld="6" item="1"/>
          <tpl hier="236" item="1"/>
          <tpl fld="1" item="0"/>
        </tpls>
      </n>
      <m>
        <tpls c="4">
          <tpl fld="7" item="880"/>
          <tpl fld="6" item="2"/>
          <tpl hier="236" item="1"/>
          <tpl fld="4" item="5"/>
        </tpls>
      </m>
      <n v="1" in="1">
        <tpls c="4">
          <tpl fld="7" item="660"/>
          <tpl fld="6" item="1"/>
          <tpl hier="236" item="1"/>
          <tpl fld="4" item="4"/>
        </tpls>
      </n>
      <m>
        <tpls c="3">
          <tpl fld="7" item="288"/>
          <tpl fld="6" item="3"/>
          <tpl hier="236" item="1"/>
        </tpls>
      </m>
      <m>
        <tpls c="4">
          <tpl fld="7" item="905"/>
          <tpl fld="6" item="2"/>
          <tpl hier="236" item="1"/>
          <tpl fld="4" item="4"/>
        </tpls>
      </m>
      <m>
        <tpls c="4">
          <tpl fld="7" item="536"/>
          <tpl fld="6" item="1"/>
          <tpl hier="236" item="1"/>
          <tpl fld="4" item="1"/>
        </tpls>
      </m>
      <m>
        <tpls c="4">
          <tpl fld="7" item="196"/>
          <tpl fld="6" item="2"/>
          <tpl hier="236" item="1"/>
          <tpl fld="4" item="6"/>
        </tpls>
      </m>
      <n v="14" in="1">
        <tpls c="4">
          <tpl fld="7" item="771"/>
          <tpl fld="6" item="1"/>
          <tpl hier="236" item="1"/>
          <tpl fld="4" item="1"/>
        </tpls>
      </n>
      <m>
        <tpls c="4">
          <tpl fld="7" item="301"/>
          <tpl fld="6" item="2"/>
          <tpl hier="236" item="1"/>
          <tpl fld="4" item="5"/>
        </tpls>
      </m>
      <m>
        <tpls c="4">
          <tpl fld="7" item="99"/>
          <tpl fld="6" item="2"/>
          <tpl hier="236" item="1"/>
          <tpl fld="4" item="6"/>
        </tpls>
      </m>
      <m>
        <tpls c="4">
          <tpl fld="7" item="87"/>
          <tpl fld="6" item="1"/>
          <tpl hier="236" item="1"/>
          <tpl fld="4" item="5"/>
        </tpls>
      </m>
      <n v="3" in="1">
        <tpls c="4">
          <tpl fld="7" item="1107"/>
          <tpl fld="6" item="1"/>
          <tpl hier="236" item="1"/>
          <tpl fld="4" item="1"/>
        </tpls>
      </n>
      <m>
        <tpls c="4">
          <tpl fld="7" item="331"/>
          <tpl fld="6" item="1"/>
          <tpl hier="236" item="1"/>
          <tpl fld="4" item="1"/>
        </tpls>
      </m>
      <m>
        <tpls c="3">
          <tpl fld="7" item="840"/>
          <tpl fld="6" item="3"/>
          <tpl hier="236" item="1"/>
        </tpls>
      </m>
      <m>
        <tpls c="4">
          <tpl fld="7" item="231"/>
          <tpl fld="6" item="2"/>
          <tpl hier="236" item="1"/>
          <tpl fld="1" item="0"/>
        </tpls>
      </m>
      <m>
        <tpls c="4">
          <tpl fld="7" item="21"/>
          <tpl fld="6" item="2"/>
          <tpl hier="236" item="1"/>
          <tpl fld="4" item="5"/>
        </tpls>
      </m>
      <m>
        <tpls c="4">
          <tpl fld="7" item="314"/>
          <tpl fld="6" item="2"/>
          <tpl hier="236" item="1"/>
          <tpl fld="4" item="6"/>
        </tpls>
      </m>
      <m>
        <tpls c="4">
          <tpl fld="7" item="878"/>
          <tpl fld="6" item="1"/>
          <tpl hier="236" item="1"/>
          <tpl fld="4" item="5"/>
        </tpls>
      </m>
      <n v="8" in="1">
        <tpls c="4">
          <tpl fld="7" item="1229"/>
          <tpl fld="6" item="1"/>
          <tpl hier="236" item="1"/>
          <tpl fld="4" item="1"/>
        </tpls>
      </n>
      <m>
        <tpls c="4">
          <tpl fld="7" item="191"/>
          <tpl fld="6" item="1"/>
          <tpl hier="236" item="1"/>
          <tpl fld="4" item="1"/>
        </tpls>
      </m>
      <n v="6" in="1">
        <tpls c="4">
          <tpl fld="7" item="603"/>
          <tpl fld="6" item="1"/>
          <tpl hier="236" item="1"/>
          <tpl fld="1" item="0"/>
        </tpls>
      </n>
      <m>
        <tpls c="4">
          <tpl fld="7" item="60"/>
          <tpl fld="6" item="1"/>
          <tpl hier="236" item="1"/>
          <tpl fld="4" item="6"/>
        </tpls>
      </m>
      <m>
        <tpls c="4">
          <tpl fld="7" item="676"/>
          <tpl fld="6" item="2"/>
          <tpl hier="236" item="1"/>
          <tpl fld="4" item="6"/>
        </tpls>
      </m>
      <n v="1" in="1">
        <tpls c="4">
          <tpl fld="7" item="1130"/>
          <tpl fld="6" item="1"/>
          <tpl hier="236" item="1"/>
          <tpl fld="1" item="0"/>
        </tpls>
      </n>
      <m>
        <tpls c="4">
          <tpl fld="7" item="401"/>
          <tpl fld="6" item="1"/>
          <tpl hier="236" item="1"/>
          <tpl fld="4" item="6"/>
        </tpls>
      </m>
      <m>
        <tpls c="4">
          <tpl fld="7" item="127"/>
          <tpl fld="6" item="2"/>
          <tpl hier="236" item="1"/>
          <tpl fld="4" item="4"/>
        </tpls>
      </m>
      <m>
        <tpls c="4">
          <tpl fld="7" item="15"/>
          <tpl fld="6" item="1"/>
          <tpl hier="236" item="1"/>
          <tpl fld="4" item="6"/>
        </tpls>
      </m>
      <m>
        <tpls c="4">
          <tpl fld="7" item="598"/>
          <tpl fld="6" item="2"/>
          <tpl hier="236" item="1"/>
          <tpl fld="4" item="5"/>
        </tpls>
      </m>
      <n v="0" in="1">
        <tpls c="4">
          <tpl fld="7" item="1010"/>
          <tpl fld="6" item="1"/>
          <tpl hier="236" item="1"/>
          <tpl fld="4" item="1"/>
        </tpls>
      </n>
      <m>
        <tpls c="4">
          <tpl fld="7" item="59"/>
          <tpl fld="6" item="1"/>
          <tpl hier="236" item="1"/>
          <tpl fld="1" item="0"/>
        </tpls>
      </m>
      <m>
        <tpls c="4">
          <tpl fld="7" item="956"/>
          <tpl fld="6" item="2"/>
          <tpl hier="236" item="1"/>
          <tpl fld="4" item="4"/>
        </tpls>
      </m>
      <n v="4" in="1">
        <tpls c="4">
          <tpl fld="7" item="439"/>
          <tpl fld="6" item="1"/>
          <tpl hier="236" item="1"/>
          <tpl fld="1" item="0"/>
        </tpls>
      </n>
      <n v="15" in="1">
        <tpls c="4">
          <tpl fld="7" item="1059"/>
          <tpl fld="6" item="1"/>
          <tpl hier="236" item="1"/>
          <tpl fld="4" item="4"/>
        </tpls>
      </n>
      <m>
        <tpls c="4">
          <tpl fld="7" item="856"/>
          <tpl fld="6" item="1"/>
          <tpl hier="236" item="1"/>
          <tpl fld="4" item="5"/>
        </tpls>
      </m>
      <m>
        <tpls c="4">
          <tpl fld="7" item="148"/>
          <tpl fld="6" item="1"/>
          <tpl hier="236" item="1"/>
          <tpl fld="4" item="1"/>
        </tpls>
      </m>
      <m>
        <tpls c="4">
          <tpl fld="7" item="75"/>
          <tpl fld="6" item="1"/>
          <tpl hier="236" item="1"/>
          <tpl fld="1" item="0"/>
        </tpls>
      </m>
      <m>
        <tpls c="3">
          <tpl fld="7" item="791"/>
          <tpl fld="6" item="3"/>
          <tpl hier="236" item="1"/>
        </tpls>
      </m>
      <m>
        <tpls c="4">
          <tpl fld="7" item="872"/>
          <tpl fld="6" item="2"/>
          <tpl hier="236" item="1"/>
          <tpl fld="4" item="4"/>
        </tpls>
      </m>
      <n v="1" in="1">
        <tpls c="4">
          <tpl fld="7" item="1037"/>
          <tpl fld="6" item="1"/>
          <tpl hier="236" item="1"/>
          <tpl fld="4" item="4"/>
        </tpls>
      </n>
      <m>
        <tpls c="4">
          <tpl fld="7" item="471"/>
          <tpl fld="6" item="1"/>
          <tpl hier="236" item="1"/>
          <tpl fld="4" item="5"/>
        </tpls>
      </m>
      <m>
        <tpls c="4">
          <tpl fld="7" item="1180"/>
          <tpl fld="6" item="2"/>
          <tpl hier="236" item="1"/>
          <tpl fld="4" item="4"/>
        </tpls>
      </m>
      <n v="1" in="2">
        <tpls c="4">
          <tpl fld="7" item="441"/>
          <tpl fld="6" item="2"/>
          <tpl hier="236" item="1"/>
          <tpl fld="1" item="0"/>
        </tpls>
      </n>
      <m>
        <tpls c="4">
          <tpl fld="7" item="854"/>
          <tpl fld="6" item="2"/>
          <tpl hier="236" item="1"/>
          <tpl fld="4" item="4"/>
        </tpls>
      </m>
      <n v="3" in="1">
        <tpls c="4">
          <tpl fld="7" item="993"/>
          <tpl fld="6" item="1"/>
          <tpl hier="236" item="1"/>
          <tpl fld="4" item="1"/>
        </tpls>
      </n>
      <m>
        <tpls c="4">
          <tpl fld="7" item="955"/>
          <tpl fld="6" item="2"/>
          <tpl hier="236" item="1"/>
          <tpl fld="4" item="1"/>
        </tpls>
      </m>
      <n v="1" in="2">
        <tpls c="4">
          <tpl fld="7" item="600"/>
          <tpl fld="6" item="2"/>
          <tpl hier="236" item="1"/>
          <tpl fld="1" item="0"/>
        </tpls>
      </n>
      <m>
        <tpls c="4">
          <tpl fld="7" item="148"/>
          <tpl fld="6" item="1"/>
          <tpl hier="236" item="1"/>
          <tpl fld="4" item="5"/>
        </tpls>
      </m>
      <m>
        <tpls c="4">
          <tpl fld="7" item="46"/>
          <tpl fld="6" item="2"/>
          <tpl hier="236" item="1"/>
          <tpl fld="4" item="5"/>
        </tpls>
      </m>
      <n v="2" in="1">
        <tpls c="4">
          <tpl fld="7" item="911"/>
          <tpl fld="6" item="1"/>
          <tpl hier="236" item="1"/>
          <tpl fld="4" item="1"/>
        </tpls>
      </n>
      <m>
        <tpls c="4">
          <tpl fld="7" item="761"/>
          <tpl fld="6" item="2"/>
          <tpl hier="236" item="1"/>
          <tpl fld="1" item="0"/>
        </tpls>
      </m>
      <m>
        <tpls c="4">
          <tpl fld="7" item="332"/>
          <tpl fld="6" item="2"/>
          <tpl hier="236" item="1"/>
          <tpl fld="4" item="6"/>
        </tpls>
      </m>
      <n v="13" in="1">
        <tpls c="4">
          <tpl fld="7" item="848"/>
          <tpl fld="6" item="1"/>
          <tpl hier="236" item="1"/>
          <tpl fld="4" item="1"/>
        </tpls>
      </n>
      <m>
        <tpls c="4">
          <tpl fld="7" item="807"/>
          <tpl fld="6" item="1"/>
          <tpl hier="236" item="1"/>
          <tpl fld="4" item="1"/>
        </tpls>
      </m>
      <m>
        <tpls c="3">
          <tpl fld="7" item="1264"/>
          <tpl fld="6" item="3"/>
          <tpl hier="236" item="1"/>
        </tpls>
      </m>
      <m>
        <tpls c="4">
          <tpl fld="7" item="18"/>
          <tpl fld="6" item="2"/>
          <tpl hier="236" item="1"/>
          <tpl fld="1" item="0"/>
        </tpls>
      </m>
      <m>
        <tpls c="3">
          <tpl fld="7" item="472"/>
          <tpl fld="6" item="3"/>
          <tpl hier="236" item="1"/>
        </tpls>
      </m>
      <m>
        <tpls c="4">
          <tpl fld="7" item="24"/>
          <tpl fld="6" item="2"/>
          <tpl hier="236" item="1"/>
          <tpl fld="4" item="5"/>
        </tpls>
      </m>
      <m>
        <tpls c="4">
          <tpl fld="7" item="195"/>
          <tpl fld="6" item="1"/>
          <tpl hier="236" item="1"/>
          <tpl fld="1" item="0"/>
        </tpls>
      </m>
      <m>
        <tpls c="4">
          <tpl fld="7" item="586"/>
          <tpl fld="6" item="2"/>
          <tpl hier="236" item="1"/>
          <tpl fld="4" item="6"/>
        </tpls>
      </m>
      <m>
        <tpls c="4">
          <tpl fld="7" item="672"/>
          <tpl fld="6" item="1"/>
          <tpl hier="236" item="1"/>
          <tpl fld="4" item="5"/>
        </tpls>
      </m>
      <m>
        <tpls c="4">
          <tpl fld="7" item="470"/>
          <tpl fld="6" item="1"/>
          <tpl hier="236" item="1"/>
          <tpl fld="1" item="0"/>
        </tpls>
      </m>
      <m>
        <tpls c="4">
          <tpl fld="7" item="65"/>
          <tpl fld="6" item="1"/>
          <tpl hier="236" item="1"/>
          <tpl fld="1" item="0"/>
        </tpls>
      </m>
      <n v="5" in="1">
        <tpls c="4">
          <tpl fld="7" item="785"/>
          <tpl fld="6" item="1"/>
          <tpl hier="236" item="1"/>
          <tpl fld="1" item="0"/>
        </tpls>
      </n>
      <m>
        <tpls c="4">
          <tpl fld="7" item="737"/>
          <tpl fld="6" item="2"/>
          <tpl hier="236" item="1"/>
          <tpl fld="4" item="4"/>
        </tpls>
      </m>
      <m>
        <tpls c="4">
          <tpl fld="7" item="1206"/>
          <tpl fld="6" item="2"/>
          <tpl hier="236" item="1"/>
          <tpl fld="4" item="1"/>
        </tpls>
      </m>
      <m>
        <tpls c="4">
          <tpl fld="7" item="1213"/>
          <tpl fld="6" item="2"/>
          <tpl hier="236" item="1"/>
          <tpl fld="4" item="5"/>
        </tpls>
      </m>
      <n v="0.24" in="2">
        <tpls c="4">
          <tpl fld="7" item="320"/>
          <tpl fld="6" item="2"/>
          <tpl hier="236" item="1"/>
          <tpl fld="1" item="0"/>
        </tpls>
      </n>
      <n v="10" in="1">
        <tpls c="4">
          <tpl fld="7" item="628"/>
          <tpl fld="6" item="1"/>
          <tpl hier="236" item="1"/>
          <tpl fld="1" item="0"/>
        </tpls>
      </n>
      <m>
        <tpls c="4">
          <tpl fld="7" item="1214"/>
          <tpl fld="6" item="2"/>
          <tpl hier="236" item="1"/>
          <tpl fld="4" item="4"/>
        </tpls>
      </m>
      <m>
        <tpls c="4">
          <tpl fld="7" item="1009"/>
          <tpl fld="6" item="1"/>
          <tpl hier="236" item="1"/>
          <tpl fld="4" item="6"/>
        </tpls>
      </m>
      <m>
        <tpls c="4">
          <tpl fld="7" item="200"/>
          <tpl fld="6" item="2"/>
          <tpl hier="236" item="1"/>
          <tpl fld="1" item="0"/>
        </tpls>
      </m>
      <n v="19" in="1">
        <tpls c="4">
          <tpl fld="7" item="1203"/>
          <tpl fld="6" item="1"/>
          <tpl hier="236" item="1"/>
          <tpl fld="4" item="4"/>
        </tpls>
      </n>
      <m>
        <tpls c="4">
          <tpl fld="7" item="195"/>
          <tpl fld="6" item="2"/>
          <tpl hier="236" item="1"/>
          <tpl fld="4" item="6"/>
        </tpls>
      </m>
      <n v="1" in="1">
        <tpls c="4">
          <tpl fld="7" item="1012"/>
          <tpl fld="6" item="1"/>
          <tpl hier="236" item="1"/>
          <tpl fld="4" item="1"/>
        </tpls>
      </n>
      <m>
        <tpls c="3">
          <tpl fld="7" item="724"/>
          <tpl fld="6" item="3"/>
          <tpl hier="236" item="1"/>
        </tpls>
      </m>
      <m>
        <tpls c="4">
          <tpl fld="7" item="387"/>
          <tpl fld="6" item="1"/>
          <tpl hier="236" item="1"/>
          <tpl fld="4" item="4"/>
        </tpls>
      </m>
      <m>
        <tpls c="4">
          <tpl fld="7" item="643"/>
          <tpl fld="6" item="2"/>
          <tpl hier="236" item="1"/>
          <tpl fld="4" item="5"/>
        </tpls>
      </m>
      <n v="13" in="1">
        <tpls c="4">
          <tpl fld="7" item="1239"/>
          <tpl fld="6" item="1"/>
          <tpl hier="236" item="1"/>
          <tpl fld="1" item="0"/>
        </tpls>
      </n>
      <m>
        <tpls c="4">
          <tpl fld="7" item="743"/>
          <tpl fld="6" item="2"/>
          <tpl hier="236" item="1"/>
          <tpl fld="4" item="5"/>
        </tpls>
      </m>
      <m>
        <tpls c="4">
          <tpl fld="7" item="929"/>
          <tpl fld="6" item="1"/>
          <tpl hier="236" item="1"/>
          <tpl fld="4" item="4"/>
        </tpls>
      </m>
      <n v="0" in="1">
        <tpls c="4">
          <tpl fld="7" item="694"/>
          <tpl fld="6" item="1"/>
          <tpl hier="236" item="1"/>
          <tpl fld="4" item="6"/>
        </tpls>
      </n>
      <m>
        <tpls c="4">
          <tpl fld="7" item="733"/>
          <tpl fld="6" item="2"/>
          <tpl hier="236" item="1"/>
          <tpl fld="1" item="0"/>
        </tpls>
      </m>
      <m>
        <tpls c="4">
          <tpl fld="7" item="851"/>
          <tpl fld="6" item="2"/>
          <tpl hier="236" item="1"/>
          <tpl fld="4" item="1"/>
        </tpls>
      </m>
      <m>
        <tpls c="4">
          <tpl fld="7" item="306"/>
          <tpl fld="6" item="2"/>
          <tpl hier="236" item="1"/>
          <tpl fld="1" item="0"/>
        </tpls>
      </m>
      <n v="41" in="1">
        <tpls c="4">
          <tpl fld="7" item="643"/>
          <tpl fld="6" item="1"/>
          <tpl hier="236" item="1"/>
          <tpl fld="4" item="4"/>
        </tpls>
      </n>
      <m>
        <tpls c="4">
          <tpl fld="7" item="443"/>
          <tpl fld="6" item="2"/>
          <tpl hier="236" item="1"/>
          <tpl fld="4" item="5"/>
        </tpls>
      </m>
      <m>
        <tpls c="4">
          <tpl fld="7" item="752"/>
          <tpl fld="6" item="2"/>
          <tpl hier="236" item="1"/>
          <tpl fld="4" item="6"/>
        </tpls>
      </m>
      <m>
        <tpls c="4">
          <tpl fld="7" item="1117"/>
          <tpl fld="6" item="1"/>
          <tpl hier="236" item="1"/>
          <tpl fld="4" item="1"/>
        </tpls>
      </m>
      <m>
        <tpls c="4">
          <tpl fld="7" item="723"/>
          <tpl fld="6" item="2"/>
          <tpl hier="236" item="1"/>
          <tpl fld="4" item="5"/>
        </tpls>
      </m>
      <n v="1.972972972972973" in="2">
        <tpls c="4">
          <tpl fld="7" item="689"/>
          <tpl fld="6" item="2"/>
          <tpl hier="236" item="1"/>
          <tpl fld="4" item="4"/>
        </tpls>
      </n>
      <m>
        <tpls c="4">
          <tpl fld="7" item="1096"/>
          <tpl fld="6" item="2"/>
          <tpl hier="236" item="1"/>
          <tpl fld="1" item="0"/>
        </tpls>
      </m>
      <n v="1" in="1">
        <tpls c="4">
          <tpl fld="7" item="634"/>
          <tpl fld="6" item="1"/>
          <tpl hier="236" item="1"/>
          <tpl fld="1" item="0"/>
        </tpls>
      </n>
      <n v="32" in="1">
        <tpls c="4">
          <tpl fld="7" item="744"/>
          <tpl fld="6" item="1"/>
          <tpl hier="236" item="1"/>
          <tpl fld="1" item="0"/>
        </tpls>
      </n>
      <n v="0" in="1">
        <tpls c="4">
          <tpl fld="7" item="1140"/>
          <tpl fld="6" item="1"/>
          <tpl hier="236" item="1"/>
          <tpl fld="4" item="4"/>
        </tpls>
      </n>
      <m>
        <tpls c="4">
          <tpl fld="7" item="551"/>
          <tpl fld="6" item="2"/>
          <tpl hier="236" item="1"/>
          <tpl fld="4" item="4"/>
        </tpls>
      </m>
      <m>
        <tpls c="3">
          <tpl fld="7" item="734"/>
          <tpl fld="6" item="3"/>
          <tpl hier="236" item="1"/>
        </tpls>
      </m>
      <m>
        <tpls c="3">
          <tpl fld="7" item="1016"/>
          <tpl fld="6" item="3"/>
          <tpl hier="236" item="1"/>
        </tpls>
      </m>
      <n v="3.3200000000000003" in="2">
        <tpls c="4">
          <tpl fld="7" item="520"/>
          <tpl fld="6" item="2"/>
          <tpl hier="236" item="1"/>
          <tpl fld="1" item="0"/>
        </tpls>
      </n>
      <m>
        <tpls c="4">
          <tpl fld="7" item="1096"/>
          <tpl fld="6" item="2"/>
          <tpl hier="236" item="1"/>
          <tpl fld="4" item="1"/>
        </tpls>
      </m>
      <m>
        <tpls c="4">
          <tpl fld="7" item="361"/>
          <tpl fld="6" item="2"/>
          <tpl hier="236" item="1"/>
          <tpl fld="4" item="5"/>
        </tpls>
      </m>
      <m>
        <tpls c="4">
          <tpl fld="7" item="25"/>
          <tpl fld="6" item="2"/>
          <tpl hier="236" item="1"/>
          <tpl fld="4" item="6"/>
        </tpls>
      </m>
      <n v="1" in="1">
        <tpls c="4">
          <tpl fld="7" item="1192"/>
          <tpl fld="6" item="1"/>
          <tpl hier="236" item="1"/>
          <tpl fld="4" item="1"/>
        </tpls>
      </n>
      <m>
        <tpls c="4">
          <tpl fld="7" item="646"/>
          <tpl fld="6" item="2"/>
          <tpl hier="236" item="1"/>
          <tpl fld="1" item="0"/>
        </tpls>
      </m>
      <m>
        <tpls c="4">
          <tpl fld="7" item="501"/>
          <tpl fld="6" item="2"/>
          <tpl hier="236" item="1"/>
          <tpl fld="4" item="5"/>
        </tpls>
      </m>
      <m>
        <tpls c="4">
          <tpl fld="7" item="240"/>
          <tpl fld="6" item="2"/>
          <tpl hier="236" item="1"/>
          <tpl fld="4" item="6"/>
        </tpls>
      </m>
      <n v="1.48" in="2">
        <tpls c="4">
          <tpl fld="7" item="361"/>
          <tpl fld="6" item="2"/>
          <tpl hier="236" item="1"/>
          <tpl fld="4" item="1"/>
        </tpls>
      </n>
      <m>
        <tpls c="4">
          <tpl fld="7" item="402"/>
          <tpl fld="6" item="2"/>
          <tpl hier="236" item="1"/>
          <tpl fld="4" item="1"/>
        </tpls>
      </m>
      <m>
        <tpls c="3">
          <tpl fld="7" item="495"/>
          <tpl fld="6" item="3"/>
          <tpl hier="236" item="1"/>
        </tpls>
      </m>
      <n v="1" in="3">
        <tpls c="3">
          <tpl fld="7" item="511"/>
          <tpl fld="6" item="3"/>
          <tpl hier="236" item="1"/>
        </tpls>
      </n>
      <m>
        <tpls c="4">
          <tpl fld="7" item="101"/>
          <tpl fld="6" item="2"/>
          <tpl hier="236" item="1"/>
          <tpl fld="4" item="6"/>
        </tpls>
      </m>
      <m>
        <tpls c="4">
          <tpl fld="7" item="1005"/>
          <tpl fld="6" item="1"/>
          <tpl hier="236" item="1"/>
          <tpl fld="4" item="1"/>
        </tpls>
      </m>
      <m>
        <tpls c="4">
          <tpl fld="7" item="902"/>
          <tpl fld="6" item="2"/>
          <tpl hier="236" item="1"/>
          <tpl fld="4" item="1"/>
        </tpls>
      </m>
      <m>
        <tpls c="4">
          <tpl fld="7" item="472"/>
          <tpl fld="6" item="2"/>
          <tpl hier="236" item="1"/>
          <tpl fld="4" item="5"/>
        </tpls>
      </m>
      <m>
        <tpls c="4">
          <tpl fld="7" item="601"/>
          <tpl fld="6" item="1"/>
          <tpl hier="236" item="1"/>
          <tpl fld="4" item="5"/>
        </tpls>
      </m>
      <m>
        <tpls c="4">
          <tpl fld="7" item="35"/>
          <tpl fld="6" item="1"/>
          <tpl hier="236" item="1"/>
          <tpl fld="4" item="5"/>
        </tpls>
      </m>
      <m>
        <tpls c="4">
          <tpl fld="7" item="859"/>
          <tpl fld="6" item="1"/>
          <tpl hier="236" item="1"/>
          <tpl fld="4" item="1"/>
        </tpls>
      </m>
      <n v="5" in="1">
        <tpls c="4">
          <tpl fld="7" item="100"/>
          <tpl fld="6" item="1"/>
          <tpl hier="236" item="1"/>
          <tpl fld="4" item="1"/>
        </tpls>
      </n>
      <m>
        <tpls c="4">
          <tpl fld="7" item="121"/>
          <tpl fld="6" item="1"/>
          <tpl hier="236" item="1"/>
          <tpl fld="4" item="1"/>
        </tpls>
      </m>
      <m>
        <tpls c="4">
          <tpl fld="7" item="350"/>
          <tpl fld="6" item="1"/>
          <tpl hier="236" item="1"/>
          <tpl fld="1" item="0"/>
        </tpls>
      </m>
      <m>
        <tpls c="4">
          <tpl fld="7" item="570"/>
          <tpl fld="6" item="1"/>
          <tpl hier="236" item="1"/>
          <tpl fld="4" item="6"/>
        </tpls>
      </m>
      <m>
        <tpls c="4">
          <tpl fld="7" item="601"/>
          <tpl fld="6" item="2"/>
          <tpl hier="236" item="1"/>
          <tpl fld="4" item="5"/>
        </tpls>
      </m>
      <n v="2" in="1">
        <tpls c="4">
          <tpl fld="7" item="430"/>
          <tpl fld="6" item="1"/>
          <tpl hier="236" item="1"/>
          <tpl fld="4" item="5"/>
        </tpls>
      </n>
      <m>
        <tpls c="4">
          <tpl fld="7" item="216"/>
          <tpl fld="6" item="1"/>
          <tpl hier="236" item="1"/>
          <tpl fld="4" item="1"/>
        </tpls>
      </m>
      <m>
        <tpls c="4">
          <tpl fld="7" item="62"/>
          <tpl fld="6" item="1"/>
          <tpl hier="236" item="1"/>
          <tpl fld="1" item="0"/>
        </tpls>
      </m>
      <m>
        <tpls c="3">
          <tpl fld="7" item="134"/>
          <tpl fld="6" item="3"/>
          <tpl hier="236" item="1"/>
        </tpls>
      </m>
      <m>
        <tpls c="4">
          <tpl fld="7" item="279"/>
          <tpl fld="6" item="2"/>
          <tpl hier="236" item="1"/>
          <tpl fld="4" item="4"/>
        </tpls>
      </m>
      <m>
        <tpls c="4">
          <tpl fld="7" item="135"/>
          <tpl fld="6" item="1"/>
          <tpl hier="236" item="1"/>
          <tpl fld="4" item="1"/>
        </tpls>
      </m>
      <m>
        <tpls c="4">
          <tpl fld="7" item="565"/>
          <tpl fld="6" item="2"/>
          <tpl hier="236" item="1"/>
          <tpl fld="4" item="4"/>
        </tpls>
      </m>
      <m>
        <tpls c="4">
          <tpl fld="7" item="104"/>
          <tpl fld="6" item="2"/>
          <tpl hier="236" item="1"/>
          <tpl fld="4" item="5"/>
        </tpls>
      </m>
      <m>
        <tpls c="4">
          <tpl fld="7" item="457"/>
          <tpl fld="6" item="1"/>
          <tpl hier="236" item="1"/>
          <tpl fld="4" item="5"/>
        </tpls>
      </m>
      <m>
        <tpls c="4">
          <tpl fld="7" item="126"/>
          <tpl fld="6" item="1"/>
          <tpl hier="236" item="1"/>
          <tpl fld="4" item="1"/>
        </tpls>
      </m>
      <m>
        <tpls c="4">
          <tpl fld="7" item="281"/>
          <tpl fld="6" item="1"/>
          <tpl hier="236" item="1"/>
          <tpl fld="1" item="0"/>
        </tpls>
      </m>
      <m>
        <tpls c="3">
          <tpl fld="7" item="274"/>
          <tpl fld="6" item="3"/>
          <tpl hier="236" item="1"/>
        </tpls>
      </m>
      <m>
        <tpls c="4">
          <tpl fld="7" item="708"/>
          <tpl fld="6" item="2"/>
          <tpl hier="236" item="1"/>
          <tpl fld="4" item="4"/>
        </tpls>
      </m>
      <n v="7" in="1">
        <tpls c="4">
          <tpl fld="7" item="1191"/>
          <tpl fld="6" item="1"/>
          <tpl hier="236" item="1"/>
          <tpl fld="1" item="0"/>
        </tpls>
      </n>
      <m>
        <tpls c="4">
          <tpl fld="7" item="231"/>
          <tpl fld="6" item="2"/>
          <tpl hier="236" item="1"/>
          <tpl fld="4" item="4"/>
        </tpls>
      </m>
      <m>
        <tpls c="4">
          <tpl fld="7" item="307"/>
          <tpl fld="6" item="2"/>
          <tpl hier="236" item="1"/>
          <tpl fld="4" item="5"/>
        </tpls>
      </m>
      <n v="2" in="1">
        <tpls c="4">
          <tpl fld="7" item="584"/>
          <tpl fld="6" item="1"/>
          <tpl hier="236" item="1"/>
          <tpl fld="4" item="1"/>
        </tpls>
      </n>
      <m>
        <tpls c="4">
          <tpl fld="7" item="801"/>
          <tpl fld="6" item="1"/>
          <tpl hier="236" item="1"/>
          <tpl fld="4" item="1"/>
        </tpls>
      </m>
      <m>
        <tpls c="4">
          <tpl fld="7" item="847"/>
          <tpl fld="6" item="1"/>
          <tpl hier="236" item="1"/>
          <tpl fld="4" item="4"/>
        </tpls>
      </m>
      <m>
        <tpls c="4">
          <tpl fld="7" item="415"/>
          <tpl fld="6" item="2"/>
          <tpl hier="236" item="1"/>
          <tpl fld="1" item="0"/>
        </tpls>
      </m>
      <m>
        <tpls c="4">
          <tpl fld="7" item="656"/>
          <tpl fld="6" item="2"/>
          <tpl hier="236" item="1"/>
          <tpl fld="4" item="5"/>
        </tpls>
      </m>
      <m>
        <tpls c="4">
          <tpl fld="7" item="937"/>
          <tpl fld="6" item="2"/>
          <tpl hier="236" item="1"/>
          <tpl fld="4" item="1"/>
        </tpls>
      </m>
      <m>
        <tpls c="4">
          <tpl fld="7" item="510"/>
          <tpl fld="6" item="2"/>
          <tpl hier="236" item="1"/>
          <tpl fld="4" item="5"/>
        </tpls>
      </m>
      <m>
        <tpls c="4">
          <tpl fld="7" item="488"/>
          <tpl fld="6" item="2"/>
          <tpl hier="236" item="1"/>
          <tpl fld="4" item="5"/>
        </tpls>
      </m>
      <m>
        <tpls c="4">
          <tpl fld="7" item="82"/>
          <tpl fld="6" item="1"/>
          <tpl hier="236" item="1"/>
          <tpl fld="4" item="5"/>
        </tpls>
      </m>
      <n v="10" in="1">
        <tpls c="4">
          <tpl fld="7" item="830"/>
          <tpl fld="6" item="1"/>
          <tpl hier="236" item="1"/>
          <tpl fld="1" item="0"/>
        </tpls>
      </n>
      <m>
        <tpls c="4">
          <tpl fld="7" item="846"/>
          <tpl fld="6" item="2"/>
          <tpl hier="236" item="1"/>
          <tpl fld="4" item="5"/>
        </tpls>
      </m>
      <m>
        <tpls c="4">
          <tpl fld="7" item="249"/>
          <tpl fld="6" item="2"/>
          <tpl hier="236" item="1"/>
          <tpl fld="4" item="5"/>
        </tpls>
      </m>
      <m>
        <tpls c="4">
          <tpl fld="7" item="103"/>
          <tpl fld="6" item="2"/>
          <tpl hier="236" item="1"/>
          <tpl fld="4" item="6"/>
        </tpls>
      </m>
      <n v="2" in="1">
        <tpls c="4">
          <tpl fld="7" item="1003"/>
          <tpl fld="6" item="1"/>
          <tpl hier="236" item="1"/>
          <tpl fld="4" item="5"/>
        </tpls>
      </n>
      <m>
        <tpls c="4">
          <tpl fld="7" item="276"/>
          <tpl fld="6" item="1"/>
          <tpl hier="236" item="1"/>
          <tpl fld="4" item="5"/>
        </tpls>
      </m>
      <m>
        <tpls c="4">
          <tpl fld="7" item="931"/>
          <tpl fld="6" item="1"/>
          <tpl hier="236" item="1"/>
          <tpl fld="4" item="1"/>
        </tpls>
      </m>
      <n v="3" in="1">
        <tpls c="4">
          <tpl fld="7" item="763"/>
          <tpl fld="6" item="1"/>
          <tpl hier="236" item="1"/>
          <tpl fld="4" item="1"/>
        </tpls>
      </n>
      <m>
        <tpls c="4">
          <tpl fld="7" item="341"/>
          <tpl fld="6" item="1"/>
          <tpl hier="236" item="1"/>
          <tpl fld="4" item="1"/>
        </tpls>
      </m>
      <m>
        <tpls c="4">
          <tpl fld="7" item="622"/>
          <tpl fld="6" item="2"/>
          <tpl hier="236" item="1"/>
          <tpl fld="4" item="5"/>
        </tpls>
      </m>
      <n v="1" in="1">
        <tpls c="4">
          <tpl fld="7" item="656"/>
          <tpl fld="6" item="1"/>
          <tpl hier="236" item="1"/>
          <tpl fld="1" item="0"/>
        </tpls>
      </n>
      <n v="2" in="1">
        <tpls c="4">
          <tpl fld="7" item="1019"/>
          <tpl fld="6" item="1"/>
          <tpl hier="236" item="1"/>
          <tpl fld="4" item="6"/>
        </tpls>
      </n>
      <n v="2" in="2">
        <tpls c="4">
          <tpl fld="7" item="758"/>
          <tpl fld="6" item="2"/>
          <tpl hier="236" item="1"/>
          <tpl fld="1" item="0"/>
        </tpls>
      </n>
      <m>
        <tpls c="4">
          <tpl fld="7" item="1284"/>
          <tpl fld="6" item="2"/>
          <tpl hier="236" item="1"/>
          <tpl fld="4" item="5"/>
        </tpls>
      </m>
      <m>
        <tpls c="4">
          <tpl fld="7" item="191"/>
          <tpl fld="6" item="2"/>
          <tpl hier="236" item="1"/>
          <tpl fld="4" item="5"/>
        </tpls>
      </m>
      <m>
        <tpls c="4">
          <tpl fld="7" item="134"/>
          <tpl fld="6" item="2"/>
          <tpl hier="236" item="1"/>
          <tpl fld="4" item="5"/>
        </tpls>
      </m>
      <m>
        <tpls c="4">
          <tpl fld="7" item="526"/>
          <tpl fld="6" item="2"/>
          <tpl hier="236" item="1"/>
          <tpl fld="4" item="6"/>
        </tpls>
      </m>
      <m>
        <tpls c="4">
          <tpl fld="7" item="485"/>
          <tpl fld="6" item="2"/>
          <tpl hier="236" item="1"/>
          <tpl fld="4" item="6"/>
        </tpls>
      </m>
      <n v="1" in="1">
        <tpls c="4">
          <tpl fld="7" item="1122"/>
          <tpl fld="6" item="1"/>
          <tpl hier="236" item="1"/>
          <tpl fld="4" item="5"/>
        </tpls>
      </n>
      <m>
        <tpls c="4">
          <tpl fld="7" item="323"/>
          <tpl fld="6" item="1"/>
          <tpl hier="236" item="1"/>
          <tpl fld="4" item="5"/>
        </tpls>
      </m>
      <m>
        <tpls c="4">
          <tpl fld="7" item="1082"/>
          <tpl fld="6" item="1"/>
          <tpl hier="236" item="1"/>
          <tpl fld="4" item="5"/>
        </tpls>
      </m>
      <n v="6" in="1">
        <tpls c="4">
          <tpl fld="7" item="874"/>
          <tpl fld="6" item="1"/>
          <tpl hier="236" item="1"/>
          <tpl fld="4" item="1"/>
        </tpls>
      </n>
      <n v="23" in="1">
        <tpls c="4">
          <tpl fld="7" item="446"/>
          <tpl fld="6" item="1"/>
          <tpl hier="236" item="1"/>
          <tpl fld="4" item="1"/>
        </tpls>
      </n>
      <m>
        <tpls c="4">
          <tpl fld="7" item="161"/>
          <tpl fld="6" item="1"/>
          <tpl hier="236" item="1"/>
          <tpl fld="4" item="1"/>
        </tpls>
      </m>
      <n v="12" in="1">
        <tpls c="4">
          <tpl fld="7" item="1132"/>
          <tpl fld="6" item="1"/>
          <tpl hier="236" item="1"/>
          <tpl fld="1" item="0"/>
        </tpls>
      </n>
      <n v="9" in="1">
        <tpls c="4">
          <tpl fld="7" item="1084"/>
          <tpl fld="6" item="1"/>
          <tpl hier="236" item="1"/>
          <tpl fld="1" item="0"/>
        </tpls>
      </n>
      <m>
        <tpls c="4">
          <tpl fld="7" item="147"/>
          <tpl fld="6" item="1"/>
          <tpl hier="236" item="1"/>
          <tpl fld="1" item="0"/>
        </tpls>
      </m>
      <m>
        <tpls c="3">
          <tpl fld="7" item="650"/>
          <tpl fld="6" item="3"/>
          <tpl hier="236" item="1"/>
        </tpls>
      </m>
      <m>
        <tpls c="4">
          <tpl fld="7" item="213"/>
          <tpl fld="6" item="2"/>
          <tpl hier="236" item="1"/>
          <tpl fld="4" item="5"/>
        </tpls>
      </m>
      <m>
        <tpls c="4">
          <tpl fld="7" item="13"/>
          <tpl fld="6" item="2"/>
          <tpl hier="236" item="1"/>
          <tpl fld="4" item="6"/>
        </tpls>
      </m>
      <m>
        <tpls c="4">
          <tpl fld="7" item="748"/>
          <tpl fld="6" item="1"/>
          <tpl hier="236" item="1"/>
          <tpl fld="4" item="1"/>
        </tpls>
      </m>
      <n v="7" in="1">
        <tpls c="4">
          <tpl fld="7" item="524"/>
          <tpl fld="6" item="1"/>
          <tpl hier="236" item="1"/>
          <tpl fld="1" item="0"/>
        </tpls>
      </n>
      <m>
        <tpls c="4">
          <tpl fld="7" item="50"/>
          <tpl fld="6" item="1"/>
          <tpl hier="236" item="1"/>
          <tpl fld="4" item="1"/>
        </tpls>
      </m>
      <m>
        <tpls c="4">
          <tpl fld="7" item="679"/>
          <tpl fld="6" item="1"/>
          <tpl hier="236" item="1"/>
          <tpl fld="1" item="0"/>
        </tpls>
      </m>
      <n v="2" in="2">
        <tpls c="4">
          <tpl fld="7" item="642"/>
          <tpl fld="6" item="2"/>
          <tpl hier="236" item="1"/>
          <tpl fld="4" item="1"/>
        </tpls>
      </n>
      <m>
        <tpls c="4">
          <tpl fld="7" item="681"/>
          <tpl fld="6" item="2"/>
          <tpl hier="236" item="1"/>
          <tpl fld="4" item="6"/>
        </tpls>
      </m>
      <m>
        <tpls c="4">
          <tpl fld="7" item="71"/>
          <tpl fld="6" item="1"/>
          <tpl hier="236" item="1"/>
          <tpl fld="4" item="1"/>
        </tpls>
      </m>
      <m>
        <tpls c="4">
          <tpl fld="7" item="121"/>
          <tpl fld="6" item="1"/>
          <tpl hier="236" item="1"/>
          <tpl fld="1" item="0"/>
        </tpls>
      </m>
      <m>
        <tpls c="4">
          <tpl fld="7" item="1062"/>
          <tpl fld="6" item="2"/>
          <tpl hier="236" item="1"/>
          <tpl fld="4" item="4"/>
        </tpls>
      </m>
      <m>
        <tpls c="4">
          <tpl fld="7" item="250"/>
          <tpl fld="6" item="1"/>
          <tpl hier="236" item="1"/>
          <tpl fld="4" item="5"/>
        </tpls>
      </m>
      <m>
        <tpls c="4">
          <tpl fld="7" item="991"/>
          <tpl fld="6" item="2"/>
          <tpl hier="236" item="1"/>
          <tpl fld="4" item="4"/>
        </tpls>
      </m>
      <m>
        <tpls c="4">
          <tpl fld="7" item="1103"/>
          <tpl fld="6" item="2"/>
          <tpl hier="236" item="1"/>
          <tpl fld="4" item="6"/>
        </tpls>
      </m>
      <m>
        <tpls c="4">
          <tpl fld="7" item="490"/>
          <tpl fld="6" item="1"/>
          <tpl hier="236" item="1"/>
          <tpl fld="4" item="1"/>
        </tpls>
      </m>
      <m>
        <tpls c="4">
          <tpl fld="7" item="130"/>
          <tpl fld="6" item="1"/>
          <tpl hier="236" item="1"/>
          <tpl fld="1" item="0"/>
        </tpls>
      </m>
      <m>
        <tpls c="4">
          <tpl fld="7" item="961"/>
          <tpl fld="6" item="2"/>
          <tpl hier="236" item="1"/>
          <tpl fld="4" item="4"/>
        </tpls>
      </m>
      <m>
        <tpls c="4">
          <tpl fld="7" item="1271"/>
          <tpl fld="6" item="1"/>
          <tpl hier="236" item="1"/>
          <tpl fld="4" item="1"/>
        </tpls>
      </m>
      <n v="1" in="1">
        <tpls c="4">
          <tpl fld="7" item="655"/>
          <tpl fld="6" item="1"/>
          <tpl hier="236" item="1"/>
          <tpl fld="1" item="0"/>
        </tpls>
      </n>
      <m>
        <tpls c="4">
          <tpl fld="7" item="621"/>
          <tpl fld="6" item="1"/>
          <tpl hier="236" item="1"/>
          <tpl fld="4" item="1"/>
        </tpls>
      </m>
      <n v="0.4" in="2">
        <tpls c="4">
          <tpl fld="7" item="772"/>
          <tpl fld="6" item="2"/>
          <tpl hier="236" item="1"/>
          <tpl fld="4" item="1"/>
        </tpls>
      </n>
      <n v="2" in="1">
        <tpls c="4">
          <tpl fld="7" item="863"/>
          <tpl fld="6" item="1"/>
          <tpl hier="236" item="1"/>
          <tpl fld="4" item="4"/>
        </tpls>
      </n>
      <n v="0.52" in="2">
        <tpls c="4">
          <tpl fld="7" item="585"/>
          <tpl fld="6" item="2"/>
          <tpl hier="236" item="1"/>
          <tpl fld="1" item="0"/>
        </tpls>
      </n>
      <m>
        <tpls c="4">
          <tpl fld="7" item="857"/>
          <tpl fld="6" item="2"/>
          <tpl hier="236" item="1"/>
          <tpl fld="4" item="1"/>
        </tpls>
      </m>
      <m>
        <tpls c="4">
          <tpl fld="7" item="733"/>
          <tpl fld="6" item="2"/>
          <tpl hier="236" item="1"/>
          <tpl fld="4" item="6"/>
        </tpls>
      </m>
      <m>
        <tpls c="4">
          <tpl fld="7" item="208"/>
          <tpl fld="6" item="2"/>
          <tpl hier="236" item="1"/>
          <tpl fld="4" item="6"/>
        </tpls>
      </m>
      <m>
        <tpls c="4">
          <tpl fld="7" item="41"/>
          <tpl fld="6" item="1"/>
          <tpl hier="236" item="1"/>
          <tpl fld="4" item="1"/>
        </tpls>
      </m>
      <m>
        <tpls c="4">
          <tpl fld="7" item="436"/>
          <tpl fld="6" item="2"/>
          <tpl hier="236" item="1"/>
          <tpl fld="4" item="5"/>
        </tpls>
      </m>
      <m>
        <tpls c="4">
          <tpl fld="7" item="1116"/>
          <tpl fld="6" item="2"/>
          <tpl hier="236" item="1"/>
          <tpl fld="4" item="6"/>
        </tpls>
      </m>
      <n v="1" in="1">
        <tpls c="4">
          <tpl fld="7" item="1126"/>
          <tpl fld="6" item="1"/>
          <tpl hier="236" item="1"/>
          <tpl fld="4" item="5"/>
        </tpls>
      </n>
      <m>
        <tpls c="4">
          <tpl fld="7" item="21"/>
          <tpl fld="6" item="1"/>
          <tpl hier="236" item="1"/>
          <tpl fld="4" item="5"/>
        </tpls>
      </m>
      <n v="4" in="1">
        <tpls c="4">
          <tpl fld="7" item="1219"/>
          <tpl fld="6" item="1"/>
          <tpl hier="236" item="1"/>
          <tpl fld="4" item="1"/>
        </tpls>
      </n>
      <m>
        <tpls c="4">
          <tpl fld="7" item="345"/>
          <tpl fld="6" item="1"/>
          <tpl hier="236" item="1"/>
          <tpl fld="4" item="1"/>
        </tpls>
      </m>
      <n v="2" in="1">
        <tpls c="4">
          <tpl fld="7" item="719"/>
          <tpl fld="6" item="1"/>
          <tpl hier="236" item="1"/>
          <tpl fld="4" item="4"/>
        </tpls>
      </n>
      <m>
        <tpls c="4">
          <tpl fld="7" item="896"/>
          <tpl fld="6" item="2"/>
          <tpl hier="236" item="1"/>
          <tpl fld="4" item="1"/>
        </tpls>
      </m>
      <m>
        <tpls c="4">
          <tpl fld="7" item="918"/>
          <tpl fld="6" item="2"/>
          <tpl hier="236" item="1"/>
          <tpl fld="1" item="0"/>
        </tpls>
      </m>
      <m>
        <tpls c="4">
          <tpl fld="7" item="457"/>
          <tpl fld="6" item="2"/>
          <tpl hier="236" item="1"/>
          <tpl fld="4" item="5"/>
        </tpls>
      </m>
      <m>
        <tpls c="4">
          <tpl fld="7" item="59"/>
          <tpl fld="6" item="2"/>
          <tpl hier="236" item="1"/>
          <tpl fld="4" item="5"/>
        </tpls>
      </m>
      <m>
        <tpls c="4">
          <tpl fld="7" item="844"/>
          <tpl fld="6" item="2"/>
          <tpl hier="236" item="1"/>
          <tpl fld="4" item="6"/>
        </tpls>
      </m>
      <m>
        <tpls c="4">
          <tpl fld="7" item="169"/>
          <tpl fld="6" item="2"/>
          <tpl hier="236" item="1"/>
          <tpl fld="4" item="6"/>
        </tpls>
      </m>
      <m>
        <tpls c="4">
          <tpl fld="7" item="764"/>
          <tpl fld="6" item="1"/>
          <tpl hier="236" item="1"/>
          <tpl fld="4" item="5"/>
        </tpls>
      </m>
      <m>
        <tpls c="4">
          <tpl fld="7" item="876"/>
          <tpl fld="6" item="1"/>
          <tpl hier="236" item="1"/>
          <tpl fld="4" item="5"/>
        </tpls>
      </m>
      <m>
        <tpls c="4">
          <tpl fld="7" item="861"/>
          <tpl fld="6" item="1"/>
          <tpl hier="236" item="1"/>
          <tpl fld="4" item="1"/>
        </tpls>
      </m>
      <n v="3" in="1">
        <tpls c="4">
          <tpl fld="7" item="319"/>
          <tpl fld="6" item="1"/>
          <tpl hier="236" item="1"/>
          <tpl fld="4" item="1"/>
        </tpls>
      </n>
      <m>
        <tpls c="4">
          <tpl fld="7" item="668"/>
          <tpl fld="6" item="1"/>
          <tpl hier="236" item="1"/>
          <tpl fld="4" item="1"/>
        </tpls>
      </m>
      <n v="6" in="1">
        <tpls c="4">
          <tpl fld="7" item="756"/>
          <tpl fld="6" item="1"/>
          <tpl hier="236" item="1"/>
          <tpl fld="1" item="0"/>
        </tpls>
      </n>
      <n v="13" in="1">
        <tpls c="4">
          <tpl fld="7" item="1264"/>
          <tpl fld="6" item="1"/>
          <tpl hier="236" item="1"/>
          <tpl fld="4" item="6"/>
        </tpls>
      </n>
      <m>
        <tpls c="4">
          <tpl fld="7" item="1132"/>
          <tpl fld="6" item="2"/>
          <tpl hier="236" item="1"/>
          <tpl fld="4" item="5"/>
        </tpls>
      </m>
      <m>
        <tpls c="4">
          <tpl fld="7" item="438"/>
          <tpl fld="6" item="1"/>
          <tpl hier="236" item="1"/>
          <tpl fld="4" item="5"/>
        </tpls>
      </m>
      <m>
        <tpls c="4">
          <tpl fld="7" item="328"/>
          <tpl fld="6" item="1"/>
          <tpl hier="236" item="1"/>
          <tpl fld="4" item="1"/>
        </tpls>
      </m>
      <m>
        <tpls c="4">
          <tpl fld="7" item="414"/>
          <tpl fld="6" item="1"/>
          <tpl hier="236" item="1"/>
          <tpl fld="1" item="0"/>
        </tpls>
      </m>
      <m>
        <tpls c="4">
          <tpl fld="7" item="398"/>
          <tpl fld="6" item="1"/>
          <tpl hier="236" item="1"/>
          <tpl fld="4" item="6"/>
        </tpls>
      </m>
      <n v="1" in="2">
        <tpls c="4">
          <tpl fld="7" item="1072"/>
          <tpl fld="6" item="2"/>
          <tpl hier="236" item="1"/>
          <tpl fld="4" item="4"/>
        </tpls>
      </n>
      <m>
        <tpls c="4">
          <tpl fld="7" item="471"/>
          <tpl fld="6" item="2"/>
          <tpl hier="236" item="1"/>
          <tpl fld="4" item="4"/>
        </tpls>
      </m>
      <m>
        <tpls c="4">
          <tpl fld="7" item="203"/>
          <tpl fld="6" item="1"/>
          <tpl hier="236" item="1"/>
          <tpl fld="4" item="1"/>
        </tpls>
      </m>
      <m>
        <tpls c="3">
          <tpl fld="7" item="1184"/>
          <tpl fld="6" item="3"/>
          <tpl hier="236" item="1"/>
        </tpls>
      </m>
      <n v="1" in="1">
        <tpls c="4">
          <tpl fld="7" item="891"/>
          <tpl fld="6" item="1"/>
          <tpl hier="236" item="1"/>
          <tpl fld="4" item="5"/>
        </tpls>
      </n>
      <m>
        <tpls c="4">
          <tpl fld="7" item="193"/>
          <tpl fld="6" item="2"/>
          <tpl hier="236" item="1"/>
          <tpl fld="4" item="5"/>
        </tpls>
      </m>
      <m>
        <tpls c="4">
          <tpl fld="7" item="869"/>
          <tpl fld="6" item="1"/>
          <tpl hier="236" item="1"/>
          <tpl fld="4" item="5"/>
        </tpls>
      </m>
      <m>
        <tpls c="4">
          <tpl fld="7" item="195"/>
          <tpl fld="6" item="1"/>
          <tpl hier="236" item="1"/>
          <tpl fld="4" item="1"/>
        </tpls>
      </m>
      <n v="3" in="1">
        <tpls c="4">
          <tpl fld="7" item="381"/>
          <tpl fld="6" item="1"/>
          <tpl hier="236" item="1"/>
          <tpl fld="1" item="0"/>
        </tpls>
      </n>
      <m>
        <tpls c="4">
          <tpl fld="7" item="332"/>
          <tpl fld="6" item="1"/>
          <tpl hier="236" item="1"/>
          <tpl fld="1" item="0"/>
        </tpls>
      </m>
      <m>
        <tpls c="3">
          <tpl fld="7" item="630"/>
          <tpl fld="6" item="3"/>
          <tpl hier="236" item="1"/>
        </tpls>
      </m>
      <m>
        <tpls c="4">
          <tpl fld="7" item="951"/>
          <tpl fld="6" item="2"/>
          <tpl hier="236" item="1"/>
          <tpl fld="4" item="4"/>
        </tpls>
      </m>
      <m>
        <tpls c="4">
          <tpl fld="7" item="919"/>
          <tpl fld="6" item="2"/>
          <tpl hier="236" item="1"/>
          <tpl fld="4" item="6"/>
        </tpls>
      </m>
      <n v="8" in="1">
        <tpls c="4">
          <tpl fld="7" item="212"/>
          <tpl fld="6" item="1"/>
          <tpl hier="236" item="1"/>
          <tpl fld="1" item="0"/>
        </tpls>
      </n>
      <n v="1" in="2">
        <tpls c="4">
          <tpl fld="7" item="1031"/>
          <tpl fld="6" item="2"/>
          <tpl hier="236" item="1"/>
          <tpl fld="4" item="4"/>
        </tpls>
      </n>
      <m>
        <tpls c="4">
          <tpl fld="7" item="1006"/>
          <tpl fld="6" item="2"/>
          <tpl hier="236" item="1"/>
          <tpl fld="1" item="0"/>
        </tpls>
      </m>
      <m>
        <tpls c="4">
          <tpl fld="7" item="1243"/>
          <tpl fld="6" item="2"/>
          <tpl hier="236" item="1"/>
          <tpl fld="4" item="6"/>
        </tpls>
      </m>
      <m>
        <tpls c="4">
          <tpl fld="7" item="254"/>
          <tpl fld="6" item="1"/>
          <tpl hier="236" item="1"/>
          <tpl fld="4" item="5"/>
        </tpls>
      </m>
      <m>
        <tpls c="4">
          <tpl fld="7" item="467"/>
          <tpl fld="6" item="1"/>
          <tpl hier="236" item="1"/>
          <tpl fld="4" item="1"/>
        </tpls>
      </m>
      <m>
        <tpls c="4">
          <tpl fld="7" item="94"/>
          <tpl fld="6" item="1"/>
          <tpl hier="236" item="1"/>
          <tpl fld="1" item="0"/>
        </tpls>
      </m>
      <m>
        <tpls c="4">
          <tpl fld="7" item="402"/>
          <tpl fld="6" item="1"/>
          <tpl hier="236" item="1"/>
          <tpl fld="4" item="6"/>
        </tpls>
      </m>
      <m>
        <tpls c="3">
          <tpl fld="7" item="226"/>
          <tpl fld="6" item="3"/>
          <tpl hier="236" item="1"/>
        </tpls>
      </m>
      <m>
        <tpls c="4">
          <tpl fld="7" item="791"/>
          <tpl fld="6" item="2"/>
          <tpl hier="236" item="1"/>
          <tpl fld="4" item="4"/>
        </tpls>
      </m>
      <m>
        <tpls c="4">
          <tpl fld="7" item="748"/>
          <tpl fld="6" item="1"/>
          <tpl hier="236" item="1"/>
          <tpl fld="4" item="6"/>
        </tpls>
      </m>
      <m>
        <tpls c="4">
          <tpl fld="7" item="269"/>
          <tpl fld="6" item="2"/>
          <tpl hier="236" item="1"/>
          <tpl fld="4" item="5"/>
        </tpls>
      </m>
      <m>
        <tpls c="4">
          <tpl fld="7" item="456"/>
          <tpl fld="6" item="1"/>
          <tpl hier="236" item="1"/>
          <tpl fld="1" item="0"/>
        </tpls>
      </m>
      <m>
        <tpls c="4">
          <tpl fld="7" item="1158"/>
          <tpl fld="6" item="2"/>
          <tpl hier="236" item="1"/>
          <tpl fld="4" item="4"/>
        </tpls>
      </m>
      <m>
        <tpls c="4">
          <tpl fld="7" item="1099"/>
          <tpl fld="6" item="2"/>
          <tpl hier="236" item="1"/>
          <tpl fld="1" item="0"/>
        </tpls>
      </m>
      <n v="1" in="2">
        <tpls c="4">
          <tpl fld="7" item="830"/>
          <tpl fld="6" item="2"/>
          <tpl hier="236" item="1"/>
          <tpl fld="4" item="4"/>
        </tpls>
      </n>
      <m>
        <tpls c="4">
          <tpl fld="7" item="563"/>
          <tpl fld="6" item="2"/>
          <tpl hier="236" item="1"/>
          <tpl fld="4" item="4"/>
        </tpls>
      </m>
      <m>
        <tpls c="4">
          <tpl fld="7" item="917"/>
          <tpl fld="6" item="2"/>
          <tpl hier="236" item="1"/>
          <tpl fld="4" item="4"/>
        </tpls>
      </m>
      <m>
        <tpls c="4">
          <tpl fld="7" item="1099"/>
          <tpl fld="6" item="2"/>
          <tpl hier="236" item="1"/>
          <tpl fld="4" item="1"/>
        </tpls>
      </m>
      <m>
        <tpls c="4">
          <tpl fld="7" item="1016"/>
          <tpl fld="6" item="1"/>
          <tpl hier="236" item="1"/>
          <tpl fld="4" item="5"/>
        </tpls>
      </m>
      <m>
        <tpls c="4">
          <tpl fld="7" item="658"/>
          <tpl fld="6" item="2"/>
          <tpl hier="236" item="1"/>
          <tpl fld="1" item="0"/>
        </tpls>
      </m>
      <m>
        <tpls c="4">
          <tpl fld="7" item="158"/>
          <tpl fld="6" item="2"/>
          <tpl hier="236" item="1"/>
          <tpl fld="4" item="5"/>
        </tpls>
      </m>
      <m>
        <tpls c="4">
          <tpl fld="7" item="289"/>
          <tpl fld="6" item="2"/>
          <tpl hier="236" item="1"/>
          <tpl fld="4" item="6"/>
        </tpls>
      </m>
      <m>
        <tpls c="4">
          <tpl fld="7" item="277"/>
          <tpl fld="6" item="1"/>
          <tpl hier="236" item="1"/>
          <tpl fld="4" item="5"/>
        </tpls>
      </m>
      <n v="2" in="1">
        <tpls c="4">
          <tpl fld="7" item="1085"/>
          <tpl fld="6" item="1"/>
          <tpl hier="236" item="1"/>
          <tpl fld="4" item="1"/>
        </tpls>
      </n>
      <m>
        <tpls c="4">
          <tpl fld="7" item="557"/>
          <tpl fld="6" item="1"/>
          <tpl hier="236" item="1"/>
          <tpl fld="4" item="4"/>
        </tpls>
      </m>
      <m>
        <tpls c="3">
          <tpl fld="7" item="856"/>
          <tpl fld="6" item="3"/>
          <tpl hier="236" item="1"/>
        </tpls>
      </m>
      <m>
        <tpls c="4">
          <tpl fld="7" item="847"/>
          <tpl fld="6" item="2"/>
          <tpl hier="236" item="1"/>
          <tpl fld="4" item="5"/>
        </tpls>
      </m>
      <m>
        <tpls c="4">
          <tpl fld="7" item="238"/>
          <tpl fld="6" item="2"/>
          <tpl hier="236" item="1"/>
          <tpl fld="4" item="5"/>
        </tpls>
      </m>
      <m>
        <tpls c="4">
          <tpl fld="7" item="342"/>
          <tpl fld="6" item="2"/>
          <tpl hier="236" item="1"/>
          <tpl fld="4" item="6"/>
        </tpls>
      </m>
      <m>
        <tpls c="4">
          <tpl fld="7" item="673"/>
          <tpl fld="6" item="1"/>
          <tpl hier="236" item="1"/>
          <tpl fld="4" item="5"/>
        </tpls>
      </m>
      <m>
        <tpls c="4">
          <tpl fld="7" item="469"/>
          <tpl fld="6" item="1"/>
          <tpl hier="236" item="1"/>
          <tpl fld="4" item="1"/>
        </tpls>
      </m>
      <m>
        <tpls c="4">
          <tpl fld="7" item="76"/>
          <tpl fld="6" item="1"/>
          <tpl hier="236" item="1"/>
          <tpl fld="1" item="0"/>
        </tpls>
      </m>
      <m>
        <tpls c="4">
          <tpl fld="7" item="314"/>
          <tpl fld="6" item="1"/>
          <tpl hier="236" item="1"/>
          <tpl fld="4" item="1"/>
        </tpls>
      </m>
      <n v="0.8" in="2">
        <tpls c="4">
          <tpl fld="7" item="1209"/>
          <tpl fld="6" item="2"/>
          <tpl hier="236" item="1"/>
          <tpl fld="4" item="4"/>
        </tpls>
      </n>
      <n v="0" in="1">
        <tpls c="4">
          <tpl fld="7" item="1243"/>
          <tpl fld="6" item="1"/>
          <tpl hier="236" item="1"/>
          <tpl fld="4" item="1"/>
        </tpls>
      </n>
      <m>
        <tpls c="4">
          <tpl fld="7" item="799"/>
          <tpl fld="6" item="1"/>
          <tpl hier="236" item="1"/>
          <tpl fld="4" item="4"/>
        </tpls>
      </m>
      <m>
        <tpls c="4">
          <tpl fld="7" item="658"/>
          <tpl fld="6" item="2"/>
          <tpl hier="236" item="1"/>
          <tpl fld="4" item="1"/>
        </tpls>
      </m>
      <m>
        <tpls c="4">
          <tpl fld="7" item="287"/>
          <tpl fld="6" item="2"/>
          <tpl hier="236" item="1"/>
          <tpl fld="4" item="5"/>
        </tpls>
      </m>
      <m>
        <tpls c="4">
          <tpl fld="7" item="761"/>
          <tpl fld="6" item="2"/>
          <tpl hier="236" item="1"/>
          <tpl fld="4" item="5"/>
        </tpls>
      </m>
      <n v="5" in="1">
        <tpls c="4">
          <tpl fld="7" item="496"/>
          <tpl fld="6" item="1"/>
          <tpl hier="236" item="1"/>
          <tpl fld="4" item="5"/>
        </tpls>
      </n>
      <n v="5" in="1">
        <tpls c="4">
          <tpl fld="7" item="431"/>
          <tpl fld="6" item="1"/>
          <tpl hier="236" item="1"/>
          <tpl fld="4" item="4"/>
        </tpls>
      </n>
      <m>
        <tpls c="4">
          <tpl fld="7" item="867"/>
          <tpl fld="6" item="2"/>
          <tpl hier="236" item="1"/>
          <tpl fld="4" item="5"/>
        </tpls>
      </m>
      <m>
        <tpls c="4">
          <tpl fld="7" item="673"/>
          <tpl fld="6" item="2"/>
          <tpl hier="236" item="1"/>
          <tpl fld="4" item="6"/>
        </tpls>
      </m>
      <n v="2" in="1">
        <tpls c="4">
          <tpl fld="7" item="1279"/>
          <tpl fld="6" item="1"/>
          <tpl hier="236" item="1"/>
          <tpl fld="4" item="1"/>
        </tpls>
      </n>
      <n v="-1" in="1">
        <tpls c="4">
          <tpl fld="7" item="759"/>
          <tpl fld="6" item="1"/>
          <tpl hier="236" item="1"/>
          <tpl fld="1" item="0"/>
        </tpls>
      </n>
      <m>
        <tpls c="4">
          <tpl fld="7" item="838"/>
          <tpl fld="6" item="1"/>
          <tpl hier="236" item="1"/>
          <tpl fld="4" item="5"/>
        </tpls>
      </m>
      <m>
        <tpls c="3">
          <tpl fld="7" item="17"/>
          <tpl fld="6" item="3"/>
          <tpl hier="236" item="1"/>
        </tpls>
      </m>
      <m>
        <tpls c="4">
          <tpl fld="7" item="828"/>
          <tpl fld="6" item="2"/>
          <tpl hier="236" item="1"/>
          <tpl fld="4" item="4"/>
        </tpls>
      </m>
      <m>
        <tpls c="4">
          <tpl fld="7" item="128"/>
          <tpl fld="6" item="1"/>
          <tpl hier="236" item="1"/>
          <tpl fld="4" item="1"/>
        </tpls>
      </m>
      <n v="1.6" in="2">
        <tpls c="4">
          <tpl fld="7" item="1266"/>
          <tpl fld="6" item="2"/>
          <tpl hier="236" item="1"/>
          <tpl fld="4" item="4"/>
        </tpls>
      </n>
      <m>
        <tpls c="4">
          <tpl fld="7" item="160"/>
          <tpl fld="6" item="2"/>
          <tpl hier="236" item="1"/>
          <tpl fld="4" item="5"/>
        </tpls>
      </m>
      <n v="1" in="1">
        <tpls c="4">
          <tpl fld="7" item="1007"/>
          <tpl fld="6" item="1"/>
          <tpl hier="236" item="1"/>
          <tpl fld="1" item="0"/>
        </tpls>
      </n>
      <m>
        <tpls c="4">
          <tpl fld="7" item="1210"/>
          <tpl fld="6" item="2"/>
          <tpl hier="236" item="1"/>
          <tpl fld="4" item="4"/>
        </tpls>
      </m>
      <m>
        <tpls c="4">
          <tpl fld="7" item="81"/>
          <tpl fld="6" item="2"/>
          <tpl hier="236" item="1"/>
          <tpl fld="4" item="5"/>
        </tpls>
      </m>
      <m>
        <tpls c="4">
          <tpl fld="7" item="439"/>
          <tpl fld="6" item="1"/>
          <tpl hier="236" item="1"/>
          <tpl fld="4" item="6"/>
        </tpls>
      </m>
      <n v="12" in="1">
        <tpls c="4">
          <tpl fld="7" item="885"/>
          <tpl fld="6" item="1"/>
          <tpl hier="236" item="1"/>
          <tpl fld="1" item="0"/>
        </tpls>
      </n>
      <n v="31" in="1">
        <tpls c="4">
          <tpl fld="7" item="1266"/>
          <tpl fld="6" item="1"/>
          <tpl hier="236" item="1"/>
          <tpl fld="4" item="4"/>
        </tpls>
      </n>
      <n v="0" in="1">
        <tpls c="4">
          <tpl fld="7" item="995"/>
          <tpl fld="6" item="1"/>
          <tpl hier="236" item="1"/>
          <tpl fld="4" item="1"/>
        </tpls>
      </n>
      <m>
        <tpls c="4">
          <tpl fld="7" item="1103"/>
          <tpl fld="6" item="2"/>
          <tpl hier="236" item="1"/>
          <tpl fld="1" item="0"/>
        </tpls>
      </m>
      <m>
        <tpls c="4">
          <tpl fld="7" item="451"/>
          <tpl fld="6" item="2"/>
          <tpl hier="236" item="1"/>
          <tpl fld="4" item="5"/>
        </tpls>
      </m>
      <m>
        <tpls c="4">
          <tpl fld="7" item="915"/>
          <tpl fld="6" item="1"/>
          <tpl hier="236" item="1"/>
          <tpl fld="4" item="1"/>
        </tpls>
      </m>
      <m>
        <tpls c="4">
          <tpl fld="7" item="862"/>
          <tpl fld="6" item="2"/>
          <tpl hier="236" item="1"/>
          <tpl fld="4" item="5"/>
        </tpls>
      </m>
      <m>
        <tpls c="4">
          <tpl fld="7" item="1125"/>
          <tpl fld="6" item="2"/>
          <tpl hier="236" item="1"/>
          <tpl fld="4" item="6"/>
        </tpls>
      </m>
      <m>
        <tpls c="4">
          <tpl fld="7" item="1012"/>
          <tpl fld="6" item="1"/>
          <tpl hier="236" item="1"/>
          <tpl fld="4" item="5"/>
        </tpls>
      </m>
      <m>
        <tpls c="4">
          <tpl fld="7" item="944"/>
          <tpl fld="6" item="1"/>
          <tpl hier="236" item="1"/>
          <tpl fld="4" item="1"/>
        </tpls>
      </m>
      <m>
        <tpls c="4">
          <tpl fld="7" item="415"/>
          <tpl fld="6" item="1"/>
          <tpl hier="236" item="1"/>
          <tpl fld="4" item="1"/>
        </tpls>
      </m>
      <m>
        <tpls c="4">
          <tpl fld="7" item="731"/>
          <tpl fld="6" item="2"/>
          <tpl hier="236" item="1"/>
          <tpl fld="4" item="6"/>
        </tpls>
      </m>
      <n v="0.2" in="2">
        <tpls c="4">
          <tpl fld="7" item="909"/>
          <tpl fld="6" item="2"/>
          <tpl hier="236" item="1"/>
          <tpl fld="1" item="0"/>
        </tpls>
      </n>
      <m>
        <tpls c="4">
          <tpl fld="7" item="198"/>
          <tpl fld="6" item="2"/>
          <tpl hier="236" item="1"/>
          <tpl fld="4" item="5"/>
        </tpls>
      </m>
      <m>
        <tpls c="4">
          <tpl fld="7" item="841"/>
          <tpl fld="6" item="2"/>
          <tpl hier="236" item="1"/>
          <tpl fld="4" item="6"/>
        </tpls>
      </m>
      <n v="1" in="1">
        <tpls c="4">
          <tpl fld="7" item="1029"/>
          <tpl fld="6" item="1"/>
          <tpl hier="236" item="1"/>
          <tpl fld="4" item="5"/>
        </tpls>
      </n>
      <m>
        <tpls c="4">
          <tpl fld="7" item="590"/>
          <tpl fld="6" item="1"/>
          <tpl hier="236" item="1"/>
          <tpl fld="4" item="5"/>
        </tpls>
      </m>
      <m>
        <tpls c="4">
          <tpl fld="7" item="200"/>
          <tpl fld="6" item="1"/>
          <tpl hier="236" item="1"/>
          <tpl fld="4" item="1"/>
        </tpls>
      </m>
      <m>
        <tpls c="4">
          <tpl fld="7" item="400"/>
          <tpl fld="6" item="1"/>
          <tpl hier="236" item="1"/>
          <tpl fld="4" item="1"/>
        </tpls>
      </m>
      <m>
        <tpls c="4">
          <tpl fld="7" item="176"/>
          <tpl fld="6" item="1"/>
          <tpl hier="236" item="1"/>
          <tpl fld="1" item="0"/>
        </tpls>
      </m>
      <m>
        <tpls c="4">
          <tpl fld="7" item="852"/>
          <tpl fld="6" item="2"/>
          <tpl hier="236" item="1"/>
          <tpl fld="4" item="5"/>
        </tpls>
      </m>
      <m>
        <tpls c="4">
          <tpl fld="7" item="1139"/>
          <tpl fld="6" item="1"/>
          <tpl hier="236" item="1"/>
          <tpl fld="4" item="1"/>
        </tpls>
      </m>
      <m>
        <tpls c="4">
          <tpl fld="7" item="413"/>
          <tpl fld="6" item="1"/>
          <tpl hier="236" item="1"/>
          <tpl fld="1" item="0"/>
        </tpls>
      </m>
      <m>
        <tpls c="4">
          <tpl fld="7" item="1069"/>
          <tpl fld="6" item="2"/>
          <tpl hier="236" item="1"/>
          <tpl fld="4" item="4"/>
        </tpls>
      </m>
      <n v="4" in="1">
        <tpls c="4">
          <tpl fld="7" item="357"/>
          <tpl fld="6" item="1"/>
          <tpl hier="236" item="1"/>
          <tpl fld="4" item="1"/>
        </tpls>
      </n>
      <m>
        <tpls c="4">
          <tpl fld="7" item="656"/>
          <tpl fld="6" item="2"/>
          <tpl hier="236" item="1"/>
          <tpl fld="1" item="0"/>
        </tpls>
      </m>
      <n v="1" in="1">
        <tpls c="4">
          <tpl fld="7" item="857"/>
          <tpl fld="6" item="1"/>
          <tpl hier="236" item="1"/>
          <tpl fld="4" item="5"/>
        </tpls>
      </n>
      <n v="57" in="1">
        <tpls c="4">
          <tpl fld="7" item="377"/>
          <tpl fld="6" item="1"/>
          <tpl hier="236" item="1"/>
          <tpl fld="1" item="0"/>
        </tpls>
      </n>
      <m>
        <tpls c="3">
          <tpl fld="7" item="710"/>
          <tpl fld="6" item="3"/>
          <tpl hier="236" item="1"/>
        </tpls>
      </m>
      <m>
        <tpls c="4">
          <tpl fld="7" item="898"/>
          <tpl fld="6" item="2"/>
          <tpl hier="236" item="1"/>
          <tpl fld="4" item="6"/>
        </tpls>
      </m>
      <m>
        <tpls c="4">
          <tpl fld="7" item="989"/>
          <tpl fld="6" item="2"/>
          <tpl hier="236" item="1"/>
          <tpl fld="4" item="4"/>
        </tpls>
      </m>
      <m>
        <tpls c="4">
          <tpl fld="7" item="1193"/>
          <tpl fld="6" item="2"/>
          <tpl hier="236" item="1"/>
          <tpl fld="4" item="6"/>
        </tpls>
      </m>
      <n v="8" in="1">
        <tpls c="4">
          <tpl fld="7" item="1031"/>
          <tpl fld="6" item="1"/>
          <tpl hier="236" item="1"/>
          <tpl fld="4" item="1"/>
        </tpls>
      </n>
      <n v="3" in="1">
        <tpls c="4">
          <tpl fld="7" item="510"/>
          <tpl fld="6" item="1"/>
          <tpl hier="236" item="1"/>
          <tpl fld="1" item="0"/>
        </tpls>
      </n>
      <m>
        <tpls c="4">
          <tpl fld="7" item="275"/>
          <tpl fld="6" item="1"/>
          <tpl hier="236" item="1"/>
          <tpl fld="4" item="6"/>
        </tpls>
      </m>
      <m>
        <tpls c="4">
          <tpl fld="7" item="1207"/>
          <tpl fld="6" item="2"/>
          <tpl hier="236" item="1"/>
          <tpl fld="4" item="4"/>
        </tpls>
      </m>
      <m>
        <tpls c="4">
          <tpl fld="7" item="786"/>
          <tpl fld="6" item="2"/>
          <tpl hier="236" item="1"/>
          <tpl fld="1" item="0"/>
        </tpls>
      </m>
      <m>
        <tpls c="4">
          <tpl fld="7" item="277"/>
          <tpl fld="6" item="2"/>
          <tpl hier="236" item="1"/>
          <tpl fld="4" item="5"/>
        </tpls>
      </m>
      <m>
        <tpls c="4">
          <tpl fld="7" item="140"/>
          <tpl fld="6" item="1"/>
          <tpl hier="236" item="1"/>
          <tpl fld="1" item="0"/>
        </tpls>
      </m>
      <m>
        <tpls c="4">
          <tpl fld="7" item="625"/>
          <tpl fld="6" item="2"/>
          <tpl hier="236" item="1"/>
          <tpl fld="4" item="6"/>
        </tpls>
      </m>
      <n v="1" in="1">
        <tpls c="4">
          <tpl fld="7" item="587"/>
          <tpl fld="6" item="1"/>
          <tpl hier="236" item="1"/>
          <tpl fld="4" item="5"/>
        </tpls>
      </n>
      <m>
        <tpls c="4">
          <tpl fld="7" item="962"/>
          <tpl fld="6" item="1"/>
          <tpl hier="236" item="1"/>
          <tpl fld="4" item="4"/>
        </tpls>
      </m>
      <m>
        <tpls c="4">
          <tpl fld="7" item="739"/>
          <tpl fld="6" item="2"/>
          <tpl hier="236" item="1"/>
          <tpl fld="1" item="0"/>
        </tpls>
      </m>
      <m>
        <tpls c="4">
          <tpl fld="7" item="180"/>
          <tpl fld="6" item="2"/>
          <tpl hier="236" item="1"/>
          <tpl fld="1" item="0"/>
        </tpls>
      </m>
      <m>
        <tpls c="4">
          <tpl fld="7" item="411"/>
          <tpl fld="6" item="2"/>
          <tpl hier="236" item="1"/>
          <tpl fld="4" item="5"/>
        </tpls>
      </m>
      <m>
        <tpls c="4">
          <tpl fld="7" item="594"/>
          <tpl fld="6" item="1"/>
          <tpl hier="236" item="1"/>
          <tpl fld="4" item="1"/>
        </tpls>
      </m>
      <n v="0.52" in="2">
        <tpls c="4">
          <tpl fld="7" item="830"/>
          <tpl fld="6" item="2"/>
          <tpl hier="236" item="1"/>
          <tpl fld="4" item="5"/>
        </tpls>
      </n>
      <m>
        <tpls c="4">
          <tpl fld="7" item="1107"/>
          <tpl fld="6" item="2"/>
          <tpl hier="236" item="1"/>
          <tpl fld="4" item="6"/>
        </tpls>
      </m>
      <m>
        <tpls c="4">
          <tpl fld="7" item="522"/>
          <tpl fld="6" item="1"/>
          <tpl hier="236" item="1"/>
          <tpl fld="4" item="5"/>
        </tpls>
      </m>
      <n v="3" in="1">
        <tpls c="4">
          <tpl fld="7" item="1266"/>
          <tpl fld="6" item="1"/>
          <tpl hier="236" item="1"/>
          <tpl fld="4" item="1"/>
        </tpls>
      </n>
      <m>
        <tpls c="4">
          <tpl fld="7" item="154"/>
          <tpl fld="6" item="1"/>
          <tpl hier="236" item="1"/>
          <tpl fld="4" item="1"/>
        </tpls>
      </m>
      <m>
        <tpls c="4">
          <tpl fld="7" item="1099"/>
          <tpl fld="6" item="2"/>
          <tpl hier="236" item="1"/>
          <tpl fld="4" item="5"/>
        </tpls>
      </m>
      <n v="0.31891891891891894" in="2">
        <tpls c="4">
          <tpl fld="7" item="756"/>
          <tpl fld="6" item="2"/>
          <tpl hier="236" item="1"/>
          <tpl fld="1" item="0"/>
        </tpls>
      </n>
      <m>
        <tpls c="4">
          <tpl fld="7" item="186"/>
          <tpl fld="6" item="2"/>
          <tpl hier="236" item="1"/>
          <tpl fld="4" item="5"/>
        </tpls>
      </m>
      <m>
        <tpls c="4">
          <tpl fld="7" item="521"/>
          <tpl fld="6" item="2"/>
          <tpl hier="236" item="1"/>
          <tpl fld="4" item="6"/>
        </tpls>
      </m>
      <m>
        <tpls c="4">
          <tpl fld="7" item="1194"/>
          <tpl fld="6" item="1"/>
          <tpl hier="236" item="1"/>
          <tpl fld="4" item="5"/>
        </tpls>
      </m>
      <m>
        <tpls c="4">
          <tpl fld="7" item="238"/>
          <tpl fld="6" item="1"/>
          <tpl hier="236" item="1"/>
          <tpl fld="4" item="5"/>
        </tpls>
      </m>
      <n v="1" in="1">
        <tpls c="4">
          <tpl fld="7" item="441"/>
          <tpl fld="6" item="1"/>
          <tpl hier="236" item="1"/>
          <tpl fld="4" item="1"/>
        </tpls>
      </n>
      <m>
        <tpls c="4">
          <tpl fld="7" item="1248"/>
          <tpl fld="6" item="1"/>
          <tpl hier="236" item="1"/>
          <tpl fld="1" item="0"/>
        </tpls>
      </m>
      <m>
        <tpls c="4">
          <tpl fld="7" item="256"/>
          <tpl fld="6" item="1"/>
          <tpl hier="236" item="1"/>
          <tpl fld="1" item="0"/>
        </tpls>
      </m>
      <m>
        <tpls c="4">
          <tpl fld="7" item="80"/>
          <tpl fld="6" item="2"/>
          <tpl hier="236" item="1"/>
          <tpl fld="4" item="5"/>
        </tpls>
      </m>
      <n v="3" in="1">
        <tpls c="4">
          <tpl fld="7" item="372"/>
          <tpl fld="6" item="1"/>
          <tpl hier="236" item="1"/>
          <tpl fld="4" item="1"/>
        </tpls>
      </n>
      <m>
        <tpls c="4">
          <tpl fld="7" item="41"/>
          <tpl fld="6" item="1"/>
          <tpl hier="236" item="1"/>
          <tpl fld="1" item="0"/>
        </tpls>
      </m>
      <m>
        <tpls c="4">
          <tpl fld="7" item="1051"/>
          <tpl fld="6" item="2"/>
          <tpl hier="236" item="1"/>
          <tpl fld="4" item="4"/>
        </tpls>
      </m>
      <n v="11" in="1">
        <tpls c="4">
          <tpl fld="7" item="1216"/>
          <tpl fld="6" item="1"/>
          <tpl hier="236" item="1"/>
          <tpl fld="1" item="0"/>
        </tpls>
      </n>
      <m>
        <tpls c="4">
          <tpl fld="7" item="1024"/>
          <tpl fld="6" item="1"/>
          <tpl hier="236" item="1"/>
          <tpl fld="4" item="4"/>
        </tpls>
      </m>
      <m>
        <tpls c="4">
          <tpl fld="7" item="420"/>
          <tpl fld="6" item="1"/>
          <tpl hier="236" item="1"/>
          <tpl fld="4" item="5"/>
        </tpls>
      </m>
      <n v="54" in="1">
        <tpls c="4">
          <tpl fld="7" item="353"/>
          <tpl fld="6" item="1"/>
          <tpl hier="236" item="1"/>
          <tpl fld="1" item="0"/>
        </tpls>
      </n>
      <m>
        <tpls c="3">
          <tpl fld="7" item="130"/>
          <tpl fld="6" item="3"/>
          <tpl hier="236" item="1"/>
        </tpls>
      </m>
      <m>
        <tpls c="4">
          <tpl fld="7" item="636"/>
          <tpl fld="6" item="1"/>
          <tpl hier="236" item="1"/>
          <tpl fld="1" item="0"/>
        </tpls>
      </m>
      <m>
        <tpls c="4">
          <tpl fld="7" item="89"/>
          <tpl fld="6" item="2"/>
          <tpl hier="236" item="1"/>
          <tpl fld="1" item="0"/>
        </tpls>
      </m>
      <m>
        <tpls c="4">
          <tpl fld="7" item="410"/>
          <tpl fld="6" item="2"/>
          <tpl hier="236" item="1"/>
          <tpl fld="1" item="0"/>
        </tpls>
      </m>
      <m>
        <tpls c="4">
          <tpl fld="7" item="991"/>
          <tpl fld="6" item="2"/>
          <tpl hier="236" item="1"/>
          <tpl fld="4" item="6"/>
        </tpls>
      </m>
      <m>
        <tpls c="4">
          <tpl fld="7" item="3"/>
          <tpl fld="6" item="2"/>
          <tpl hier="236" item="1"/>
          <tpl fld="1" item="0"/>
        </tpls>
      </m>
      <m>
        <tpls c="4">
          <tpl fld="7" item="730"/>
          <tpl fld="6" item="2"/>
          <tpl hier="236" item="1"/>
          <tpl fld="4" item="1"/>
        </tpls>
      </m>
      <m>
        <tpls c="4">
          <tpl fld="7" item="646"/>
          <tpl fld="6" item="1"/>
          <tpl hier="236" item="1"/>
          <tpl fld="4" item="5"/>
        </tpls>
      </m>
      <n v="6" in="1">
        <tpls c="4">
          <tpl fld="7" item="1015"/>
          <tpl fld="6" item="1"/>
          <tpl hier="236" item="1"/>
          <tpl fld="4" item="6"/>
        </tpls>
      </n>
      <m>
        <tpls c="4">
          <tpl fld="7" item="153"/>
          <tpl fld="6" item="2"/>
          <tpl hier="236" item="1"/>
          <tpl fld="1" item="0"/>
        </tpls>
      </m>
      <m>
        <tpls c="4">
          <tpl fld="7" item="754"/>
          <tpl fld="6" item="2"/>
          <tpl hier="236" item="1"/>
          <tpl fld="1" item="0"/>
        </tpls>
      </m>
      <m>
        <tpls c="4">
          <tpl fld="7" item="1082"/>
          <tpl fld="6" item="2"/>
          <tpl hier="236" item="1"/>
          <tpl fld="4" item="6"/>
        </tpls>
      </m>
      <n v="13" in="1">
        <tpls c="4">
          <tpl fld="7" item="519"/>
          <tpl fld="6" item="1"/>
          <tpl hier="236" item="1"/>
          <tpl fld="4" item="1"/>
        </tpls>
      </n>
      <n v="2" in="1">
        <tpls c="4">
          <tpl fld="7" item="817"/>
          <tpl fld="6" item="1"/>
          <tpl hier="236" item="1"/>
          <tpl fld="4" item="1"/>
        </tpls>
      </n>
      <m>
        <tpls c="4">
          <tpl fld="7" item="703"/>
          <tpl fld="6" item="2"/>
          <tpl hier="236" item="1"/>
          <tpl fld="4" item="4"/>
        </tpls>
      </m>
      <m>
        <tpls c="4">
          <tpl fld="7" item="734"/>
          <tpl fld="6" item="2"/>
          <tpl hier="236" item="1"/>
          <tpl fld="4" item="4"/>
        </tpls>
      </m>
      <m>
        <tpls c="3">
          <tpl fld="7" item="582"/>
          <tpl fld="6" item="3"/>
          <tpl hier="236" item="1"/>
        </tpls>
      </m>
      <m>
        <tpls c="4">
          <tpl fld="7" item="667"/>
          <tpl fld="6" item="2"/>
          <tpl hier="236" item="1"/>
          <tpl fld="1" item="0"/>
        </tpls>
      </m>
      <m>
        <tpls c="4">
          <tpl fld="7" item="945"/>
          <tpl fld="6" item="1"/>
          <tpl hier="236" item="1"/>
          <tpl fld="4" item="4"/>
        </tpls>
      </m>
      <m>
        <tpls c="4">
          <tpl fld="7" item="1187"/>
          <tpl fld="6" item="2"/>
          <tpl hier="236" item="1"/>
          <tpl fld="4" item="5"/>
        </tpls>
      </m>
      <n v="2" in="1">
        <tpls c="4">
          <tpl fld="7" item="736"/>
          <tpl fld="6" item="1"/>
          <tpl hier="236" item="1"/>
          <tpl fld="1" item="0"/>
        </tpls>
      </n>
      <m>
        <tpls c="4">
          <tpl fld="7" item="1122"/>
          <tpl fld="6" item="2"/>
          <tpl hier="236" item="1"/>
          <tpl fld="4" item="4"/>
        </tpls>
      </m>
      <m>
        <tpls c="4">
          <tpl fld="7" item="497"/>
          <tpl fld="6" item="2"/>
          <tpl hier="236" item="1"/>
          <tpl fld="1" item="0"/>
        </tpls>
      </m>
      <m>
        <tpls c="4">
          <tpl fld="7" item="654"/>
          <tpl fld="6" item="1"/>
          <tpl hier="236" item="1"/>
          <tpl fld="1" item="0"/>
        </tpls>
      </m>
      <m>
        <tpls c="4">
          <tpl fld="7" item="318"/>
          <tpl fld="6" item="2"/>
          <tpl hier="236" item="1"/>
          <tpl fld="4" item="5"/>
        </tpls>
      </m>
      <m>
        <tpls c="4">
          <tpl fld="7" item="1196"/>
          <tpl fld="6" item="1"/>
          <tpl hier="236" item="1"/>
          <tpl fld="4" item="5"/>
        </tpls>
      </m>
      <n v="1" in="1">
        <tpls c="4">
          <tpl fld="7" item="522"/>
          <tpl fld="6" item="1"/>
          <tpl hier="236" item="1"/>
          <tpl fld="4" item="1"/>
        </tpls>
      </n>
      <m>
        <tpls c="4">
          <tpl fld="7" item="816"/>
          <tpl fld="6" item="2"/>
          <tpl hier="236" item="1"/>
          <tpl fld="4" item="4"/>
        </tpls>
      </m>
      <n v="6" in="1">
        <tpls c="4">
          <tpl fld="7" item="714"/>
          <tpl fld="6" item="1"/>
          <tpl hier="236" item="1"/>
          <tpl fld="4" item="4"/>
        </tpls>
      </n>
      <m>
        <tpls c="4">
          <tpl fld="7" item="819"/>
          <tpl fld="6" item="1"/>
          <tpl hier="236" item="1"/>
          <tpl fld="4" item="5"/>
        </tpls>
      </m>
      <n v="3" in="1">
        <tpls c="4">
          <tpl fld="7" item="641"/>
          <tpl fld="6" item="1"/>
          <tpl hier="236" item="1"/>
          <tpl fld="4" item="4"/>
        </tpls>
      </n>
      <n v="6" in="1">
        <tpls c="4">
          <tpl fld="7" item="830"/>
          <tpl fld="6" item="1"/>
          <tpl hier="236" item="1"/>
          <tpl fld="4" item="4"/>
        </tpls>
      </n>
      <n v="32" in="1">
        <tpls c="4">
          <tpl fld="7" item="1156"/>
          <tpl fld="6" item="1"/>
          <tpl hier="236" item="1"/>
          <tpl fld="4" item="4"/>
        </tpls>
      </n>
      <n v="0.52" in="2">
        <tpls c="4">
          <tpl fld="7" item="705"/>
          <tpl fld="6" item="2"/>
          <tpl hier="236" item="1"/>
          <tpl fld="1" item="0"/>
        </tpls>
      </n>
      <m>
        <tpls c="4">
          <tpl fld="7" item="657"/>
          <tpl fld="6" item="2"/>
          <tpl hier="236" item="1"/>
          <tpl fld="4" item="5"/>
        </tpls>
      </m>
      <m>
        <tpls c="4">
          <tpl fld="7" item="917"/>
          <tpl fld="6" item="1"/>
          <tpl hier="236" item="1"/>
          <tpl fld="4" item="4"/>
        </tpls>
      </m>
      <m>
        <tpls c="4">
          <tpl fld="7" item="95"/>
          <tpl fld="6" item="2"/>
          <tpl hier="236" item="1"/>
          <tpl fld="1" item="0"/>
        </tpls>
      </m>
      <m>
        <tpls c="4">
          <tpl fld="7" item="737"/>
          <tpl fld="6" item="2"/>
          <tpl hier="236" item="1"/>
          <tpl fld="4" item="6"/>
        </tpls>
      </m>
      <m>
        <tpls c="4">
          <tpl fld="7" item="296"/>
          <tpl fld="6" item="2"/>
          <tpl hier="236" item="1"/>
          <tpl fld="4" item="5"/>
        </tpls>
      </m>
      <m>
        <tpls c="4">
          <tpl fld="7" item="913"/>
          <tpl fld="6" item="1"/>
          <tpl hier="236" item="1"/>
          <tpl fld="4" item="5"/>
        </tpls>
      </m>
      <n v="4" in="1">
        <tpls c="4">
          <tpl fld="7" item="513"/>
          <tpl fld="6" item="1"/>
          <tpl hier="236" item="1"/>
          <tpl fld="4" item="1"/>
        </tpls>
      </n>
      <m>
        <tpls c="4">
          <tpl fld="7" item="1099"/>
          <tpl fld="6" item="1"/>
          <tpl hier="236" item="1"/>
          <tpl fld="4" item="5"/>
        </tpls>
      </m>
      <m>
        <tpls c="4">
          <tpl fld="7" item="415"/>
          <tpl fld="6" item="2"/>
          <tpl hier="236" item="1"/>
          <tpl fld="4" item="5"/>
        </tpls>
      </m>
      <m>
        <tpls c="4">
          <tpl fld="7" item="912"/>
          <tpl fld="6" item="1"/>
          <tpl hier="236" item="1"/>
          <tpl fld="4" item="5"/>
        </tpls>
      </m>
      <m>
        <tpls c="4">
          <tpl fld="7" item="1010"/>
          <tpl fld="6" item="2"/>
          <tpl hier="236" item="1"/>
          <tpl fld="4" item="4"/>
        </tpls>
      </m>
      <m>
        <tpls c="4">
          <tpl fld="7" item="800"/>
          <tpl fld="6" item="2"/>
          <tpl hier="236" item="1"/>
          <tpl fld="4" item="4"/>
        </tpls>
      </m>
      <m>
        <tpls c="4">
          <tpl fld="7" item="906"/>
          <tpl fld="6" item="1"/>
          <tpl hier="236" item="1"/>
          <tpl fld="4" item="4"/>
        </tpls>
      </m>
      <n v="1" in="1">
        <tpls c="4">
          <tpl fld="7" item="1284"/>
          <tpl fld="6" item="1"/>
          <tpl hier="236" item="1"/>
          <tpl fld="4" item="4"/>
        </tpls>
      </n>
      <m>
        <tpls c="4">
          <tpl fld="7" item="410"/>
          <tpl fld="6" item="2"/>
          <tpl hier="236" item="1"/>
          <tpl fld="4" item="6"/>
        </tpls>
      </m>
      <m>
        <tpls c="4">
          <tpl fld="7" item="599"/>
          <tpl fld="6" item="1"/>
          <tpl hier="236" item="1"/>
          <tpl fld="4" item="1"/>
        </tpls>
      </m>
      <m>
        <tpls c="4">
          <tpl fld="7" item="1025"/>
          <tpl fld="6" item="1"/>
          <tpl hier="236" item="1"/>
          <tpl fld="4" item="6"/>
        </tpls>
      </m>
      <m>
        <tpls c="4">
          <tpl fld="7" item="17"/>
          <tpl fld="6" item="2"/>
          <tpl hier="236" item="1"/>
          <tpl fld="4" item="5"/>
        </tpls>
      </m>
      <m>
        <tpls c="4">
          <tpl fld="7" item="598"/>
          <tpl fld="6" item="1"/>
          <tpl hier="236" item="1"/>
          <tpl fld="4" item="5"/>
        </tpls>
      </m>
      <m>
        <tpls c="4">
          <tpl fld="7" item="237"/>
          <tpl fld="6" item="1"/>
          <tpl hier="236" item="1"/>
          <tpl fld="4" item="5"/>
        </tpls>
      </m>
      <n v="5" in="1">
        <tpls c="4">
          <tpl fld="7" item="851"/>
          <tpl fld="6" item="1"/>
          <tpl hier="236" item="1"/>
          <tpl fld="4" item="1"/>
        </tpls>
      </n>
      <n v="0" in="1">
        <tpls c="4">
          <tpl fld="7" item="184"/>
          <tpl fld="6" item="1"/>
          <tpl hier="236" item="1"/>
          <tpl fld="4" item="1"/>
        </tpls>
      </n>
      <n v="1" in="1">
        <tpls c="4">
          <tpl fld="7" item="921"/>
          <tpl fld="6" item="1"/>
          <tpl hier="236" item="1"/>
          <tpl fld="1" item="0"/>
        </tpls>
      </n>
      <m>
        <tpls c="4">
          <tpl fld="7" item="348"/>
          <tpl fld="6" item="1"/>
          <tpl hier="236" item="1"/>
          <tpl fld="1" item="0"/>
        </tpls>
      </m>
      <n v="0" in="1">
        <tpls c="4">
          <tpl fld="7" item="692"/>
          <tpl fld="6" item="1"/>
          <tpl hier="236" item="1"/>
          <tpl fld="4" item="6"/>
        </tpls>
      </n>
      <m>
        <tpls c="4">
          <tpl fld="7" item="76"/>
          <tpl fld="6" item="2"/>
          <tpl hier="236" item="1"/>
          <tpl fld="4" item="5"/>
        </tpls>
      </m>
      <m>
        <tpls c="4">
          <tpl fld="7" item="191"/>
          <tpl fld="6" item="1"/>
          <tpl hier="236" item="1"/>
          <tpl fld="4" item="5"/>
        </tpls>
      </m>
      <n v="3" in="1">
        <tpls c="4">
          <tpl fld="7" item="913"/>
          <tpl fld="6" item="1"/>
          <tpl hier="236" item="1"/>
          <tpl fld="1" item="0"/>
        </tpls>
      </n>
      <m>
        <tpls c="4">
          <tpl fld="7" item="35"/>
          <tpl fld="6" item="1"/>
          <tpl hier="236" item="1"/>
          <tpl fld="1" item="0"/>
        </tpls>
      </m>
      <m>
        <tpls c="3">
          <tpl fld="7" item="122"/>
          <tpl fld="6" item="3"/>
          <tpl hier="236" item="1"/>
        </tpls>
      </m>
      <m>
        <tpls c="4">
          <tpl fld="7" item="236"/>
          <tpl fld="6" item="2"/>
          <tpl hier="236" item="1"/>
          <tpl fld="4" item="4"/>
        </tpls>
      </m>
      <m>
        <tpls c="4">
          <tpl fld="7" item="454"/>
          <tpl fld="6" item="1"/>
          <tpl hier="236" item="1"/>
          <tpl fld="1" item="0"/>
        </tpls>
      </m>
      <m>
        <tpls c="4">
          <tpl fld="7" item="19"/>
          <tpl fld="6" item="2"/>
          <tpl hier="236" item="1"/>
          <tpl fld="4" item="4"/>
        </tpls>
      </m>
      <m>
        <tpls c="4">
          <tpl fld="7" item="311"/>
          <tpl fld="6" item="2"/>
          <tpl hier="236" item="1"/>
          <tpl fld="4" item="5"/>
        </tpls>
      </m>
      <m>
        <tpls c="4">
          <tpl fld="7" item="419"/>
          <tpl fld="6" item="1"/>
          <tpl hier="236" item="1"/>
          <tpl fld="4" item="5"/>
        </tpls>
      </m>
      <n v="1" in="1">
        <tpls c="4">
          <tpl fld="7" item="923"/>
          <tpl fld="6" item="1"/>
          <tpl hier="236" item="1"/>
          <tpl fld="1" item="0"/>
        </tpls>
      </n>
      <m>
        <tpls c="4">
          <tpl fld="7" item="250"/>
          <tpl fld="6" item="1"/>
          <tpl hier="236" item="1"/>
          <tpl fld="1" item="0"/>
        </tpls>
      </m>
      <m>
        <tpls c="3">
          <tpl fld="7" item="471"/>
          <tpl fld="6" item="3"/>
          <tpl hier="236" item="1"/>
        </tpls>
      </m>
      <m>
        <tpls c="4">
          <tpl fld="7" item="15"/>
          <tpl fld="6" item="2"/>
          <tpl hier="236" item="1"/>
          <tpl fld="4" item="4"/>
        </tpls>
      </m>
      <m>
        <tpls c="4">
          <tpl fld="7" item="204"/>
          <tpl fld="6" item="1"/>
          <tpl hier="236" item="1"/>
          <tpl fld="1" item="0"/>
        </tpls>
      </m>
      <m>
        <tpls c="3">
          <tpl fld="7" item="1094"/>
          <tpl fld="6" item="3"/>
          <tpl hier="236" item="1"/>
        </tpls>
      </m>
      <m>
        <tpls c="4">
          <tpl fld="7" item="278"/>
          <tpl fld="6" item="2"/>
          <tpl hier="236" item="1"/>
          <tpl fld="4" item="5"/>
        </tpls>
      </m>
      <n v="1" in="2">
        <tpls c="4">
          <tpl fld="7" item="804"/>
          <tpl fld="6" item="2"/>
          <tpl hier="236" item="1"/>
          <tpl fld="4" item="6"/>
        </tpls>
      </n>
      <n v="2" in="1">
        <tpls c="4">
          <tpl fld="7" item="993"/>
          <tpl fld="6" item="1"/>
          <tpl hier="236" item="1"/>
          <tpl fld="4" item="6"/>
        </tpls>
      </n>
      <n v="1" in="1">
        <tpls c="4">
          <tpl fld="7" item="1119"/>
          <tpl fld="6" item="1"/>
          <tpl hier="236" item="1"/>
          <tpl fld="4" item="6"/>
        </tpls>
      </n>
      <m>
        <tpls c="4">
          <tpl fld="7" item="547"/>
          <tpl fld="6" item="2"/>
          <tpl hier="236" item="1"/>
          <tpl fld="4" item="4"/>
        </tpls>
      </m>
      <m>
        <tpls c="4">
          <tpl fld="7" item="822"/>
          <tpl fld="6" item="1"/>
          <tpl hier="236" item="1"/>
          <tpl fld="4" item="6"/>
        </tpls>
      </m>
      <m>
        <tpls c="4">
          <tpl fld="7" item="953"/>
          <tpl fld="6" item="2"/>
          <tpl hier="236" item="1"/>
          <tpl fld="4" item="1"/>
        </tpls>
      </m>
      <n v="44" in="1">
        <tpls c="4">
          <tpl fld="7" item="722"/>
          <tpl fld="6" item="1"/>
          <tpl hier="236" item="1"/>
          <tpl fld="1" item="0"/>
        </tpls>
      </n>
      <m>
        <tpls c="4">
          <tpl fld="7" item="260"/>
          <tpl fld="6" item="2"/>
          <tpl hier="236" item="1"/>
          <tpl fld="4" item="5"/>
        </tpls>
      </m>
      <m>
        <tpls c="4">
          <tpl fld="7" item="41"/>
          <tpl fld="6" item="1"/>
          <tpl hier="236" item="1"/>
          <tpl fld="4" item="5"/>
        </tpls>
      </m>
      <m>
        <tpls c="4">
          <tpl fld="7" item="1214"/>
          <tpl fld="6" item="2"/>
          <tpl hier="236" item="1"/>
          <tpl fld="1" item="0"/>
        </tpls>
      </m>
      <m>
        <tpls c="4">
          <tpl fld="7" item="85"/>
          <tpl fld="6" item="2"/>
          <tpl hier="236" item="1"/>
          <tpl fld="4" item="5"/>
        </tpls>
      </m>
      <m>
        <tpls c="4">
          <tpl fld="7" item="3"/>
          <tpl fld="6" item="2"/>
          <tpl hier="236" item="1"/>
          <tpl fld="4" item="5"/>
        </tpls>
      </m>
      <m>
        <tpls c="4">
          <tpl fld="7" item="87"/>
          <tpl fld="6" item="2"/>
          <tpl hier="236" item="1"/>
          <tpl fld="4" item="6"/>
        </tpls>
      </m>
      <m>
        <tpls c="4">
          <tpl fld="7" item="518"/>
          <tpl fld="6" item="1"/>
          <tpl hier="236" item="1"/>
          <tpl fld="4" item="5"/>
        </tpls>
      </m>
      <m>
        <tpls c="4">
          <tpl fld="7" item="32"/>
          <tpl fld="6" item="1"/>
          <tpl hier="236" item="1"/>
          <tpl fld="4" item="5"/>
        </tpls>
      </m>
      <n v="3" in="1">
        <tpls c="4">
          <tpl fld="7" item="1269"/>
          <tpl fld="6" item="1"/>
          <tpl hier="236" item="1"/>
          <tpl fld="4" item="1"/>
        </tpls>
      </n>
      <m>
        <tpls c="4">
          <tpl fld="7" item="761"/>
          <tpl fld="6" item="1"/>
          <tpl hier="236" item="1"/>
          <tpl fld="4" item="1"/>
        </tpls>
      </m>
      <m>
        <tpls c="4">
          <tpl fld="7" item="671"/>
          <tpl fld="6" item="1"/>
          <tpl hier="236" item="1"/>
          <tpl fld="4" item="1"/>
        </tpls>
      </m>
      <m>
        <tpls c="4">
          <tpl fld="7" item="632"/>
          <tpl fld="6" item="2"/>
          <tpl hier="236" item="1"/>
          <tpl fld="4" item="6"/>
        </tpls>
      </m>
      <m>
        <tpls c="3">
          <tpl fld="7" item="659"/>
          <tpl fld="6" item="3"/>
          <tpl hier="236" item="1"/>
        </tpls>
      </m>
      <m>
        <tpls c="4">
          <tpl fld="7" item="920"/>
          <tpl fld="6" item="2"/>
          <tpl hier="236" item="1"/>
          <tpl fld="4" item="1"/>
        </tpls>
      </m>
      <m>
        <tpls c="4">
          <tpl fld="7" item="77"/>
          <tpl fld="6" item="2"/>
          <tpl hier="236" item="1"/>
          <tpl fld="1" item="0"/>
        </tpls>
      </m>
      <m>
        <tpls c="4">
          <tpl fld="7" item="835"/>
          <tpl fld="6" item="2"/>
          <tpl hier="236" item="1"/>
          <tpl fld="4" item="5"/>
        </tpls>
      </m>
      <m>
        <tpls c="4">
          <tpl fld="7" item="183"/>
          <tpl fld="6" item="2"/>
          <tpl hier="236" item="1"/>
          <tpl fld="4" item="5"/>
        </tpls>
      </m>
      <m>
        <tpls c="4">
          <tpl fld="7" item="19"/>
          <tpl fld="6" item="2"/>
          <tpl hier="236" item="1"/>
          <tpl fld="4" item="5"/>
        </tpls>
      </m>
      <n v="3.4" in="2">
        <tpls c="4">
          <tpl fld="7" item="518"/>
          <tpl fld="6" item="2"/>
          <tpl hier="236" item="1"/>
          <tpl fld="4" item="6"/>
        </tpls>
      </n>
      <m>
        <tpls c="4">
          <tpl fld="7" item="483"/>
          <tpl fld="6" item="2"/>
          <tpl hier="236" item="1"/>
          <tpl fld="4" item="6"/>
        </tpls>
      </m>
      <m>
        <tpls c="4">
          <tpl fld="7" item="1116"/>
          <tpl fld="6" item="1"/>
          <tpl hier="236" item="1"/>
          <tpl fld="4" item="5"/>
        </tpls>
      </m>
      <m>
        <tpls c="4">
          <tpl fld="7" item="315"/>
          <tpl fld="6" item="1"/>
          <tpl hier="236" item="1"/>
          <tpl fld="4" item="5"/>
        </tpls>
      </m>
      <m>
        <tpls c="4">
          <tpl fld="7" item="235"/>
          <tpl fld="6" item="1"/>
          <tpl hier="236" item="1"/>
          <tpl fld="4" item="5"/>
        </tpls>
      </m>
      <m>
        <tpls c="4">
          <tpl fld="7" item="869"/>
          <tpl fld="6" item="1"/>
          <tpl hier="236" item="1"/>
          <tpl fld="4" item="1"/>
        </tpls>
      </m>
      <m>
        <tpls c="4">
          <tpl fld="7" item="438"/>
          <tpl fld="6" item="1"/>
          <tpl hier="236" item="1"/>
          <tpl fld="4" item="1"/>
        </tpls>
      </m>
      <m>
        <tpls c="4">
          <tpl fld="7" item="170"/>
          <tpl fld="6" item="1"/>
          <tpl hier="236" item="1"/>
          <tpl fld="4" item="1"/>
        </tpls>
      </m>
      <n v="1" in="1">
        <tpls c="4">
          <tpl fld="7" item="1126"/>
          <tpl fld="6" item="1"/>
          <tpl hier="236" item="1"/>
          <tpl fld="1" item="0"/>
        </tpls>
      </n>
      <m>
        <tpls c="4">
          <tpl fld="7" item="877"/>
          <tpl fld="6" item="1"/>
          <tpl hier="236" item="1"/>
          <tpl fld="1" item="0"/>
        </tpls>
      </m>
      <m>
        <tpls c="4">
          <tpl fld="7" item="244"/>
          <tpl fld="6" item="1"/>
          <tpl hier="236" item="1"/>
          <tpl fld="1" item="0"/>
        </tpls>
      </m>
      <n v="1" in="1">
        <tpls c="4">
          <tpl fld="7" item="823"/>
          <tpl fld="6" item="1"/>
          <tpl hier="236" item="1"/>
          <tpl fld="4" item="1"/>
        </tpls>
      </n>
      <m>
        <tpls c="4">
          <tpl fld="7" item="68"/>
          <tpl fld="6" item="2"/>
          <tpl hier="236" item="1"/>
          <tpl fld="4" item="5"/>
        </tpls>
      </m>
      <m>
        <tpls c="4">
          <tpl fld="7" item="842"/>
          <tpl fld="6" item="1"/>
          <tpl hier="236" item="1"/>
          <tpl fld="4" item="5"/>
        </tpls>
      </m>
      <n v="8" in="1">
        <tpls c="4">
          <tpl fld="7" item="360"/>
          <tpl fld="6" item="1"/>
          <tpl hier="236" item="1"/>
          <tpl fld="4" item="1"/>
        </tpls>
      </n>
      <n v="7" in="1">
        <tpls c="4">
          <tpl fld="7" item="372"/>
          <tpl fld="6" item="1"/>
          <tpl hier="236" item="1"/>
          <tpl fld="1" item="0"/>
        </tpls>
      </n>
      <m>
        <tpls c="4">
          <tpl fld="7" item="135"/>
          <tpl fld="6" item="1"/>
          <tpl hier="236" item="1"/>
          <tpl fld="1" item="0"/>
        </tpls>
      </m>
      <m>
        <tpls c="3">
          <tpl fld="7" item="61"/>
          <tpl fld="6" item="3"/>
          <tpl hier="236" item="1"/>
        </tpls>
      </m>
      <m>
        <tpls c="4">
          <tpl fld="7" item="1048"/>
          <tpl fld="6" item="2"/>
          <tpl hier="236" item="1"/>
          <tpl fld="4" item="4"/>
        </tpls>
      </m>
      <m>
        <tpls c="4">
          <tpl fld="7" item="228"/>
          <tpl fld="6" item="2"/>
          <tpl hier="236" item="1"/>
          <tpl fld="4" item="4"/>
        </tpls>
      </m>
      <n v="39" in="1">
        <tpls c="4">
          <tpl fld="7" item="375"/>
          <tpl fld="6" item="1"/>
          <tpl hier="236" item="1"/>
          <tpl fld="1" item="0"/>
        </tpls>
      </n>
      <m>
        <tpls c="4">
          <tpl fld="7" item="1156"/>
          <tpl fld="6" item="2"/>
          <tpl hier="236" item="1"/>
          <tpl fld="4" item="4"/>
        </tpls>
      </m>
      <n v="9" in="1">
        <tpls c="4">
          <tpl fld="7" item="1033"/>
          <tpl fld="6" item="1"/>
          <tpl hier="236" item="1"/>
          <tpl fld="4" item="4"/>
        </tpls>
      </n>
      <m>
        <tpls c="4">
          <tpl fld="7" item="1236"/>
          <tpl fld="6" item="2"/>
          <tpl hier="236" item="1"/>
          <tpl fld="4" item="6"/>
        </tpls>
      </m>
      <m>
        <tpls c="4">
          <tpl fld="7" item="417"/>
          <tpl fld="6" item="1"/>
          <tpl hier="236" item="1"/>
          <tpl fld="4" item="5"/>
        </tpls>
      </m>
      <m>
        <tpls c="4">
          <tpl fld="7" item="131"/>
          <tpl fld="6" item="1"/>
          <tpl hier="236" item="1"/>
          <tpl fld="4" item="1"/>
        </tpls>
      </m>
      <m>
        <tpls c="4">
          <tpl fld="7" item="105"/>
          <tpl fld="6" item="1"/>
          <tpl hier="236" item="1"/>
          <tpl fld="1" item="0"/>
        </tpls>
      </m>
      <m>
        <tpls c="4">
          <tpl fld="7" item="629"/>
          <tpl fld="6" item="1"/>
          <tpl hier="236" item="1"/>
          <tpl fld="4" item="6"/>
        </tpls>
      </m>
      <m>
        <tpls c="3">
          <tpl fld="7" item="11"/>
          <tpl fld="6" item="3"/>
          <tpl hier="236" item="1"/>
        </tpls>
      </m>
      <m>
        <tpls c="4">
          <tpl fld="7" item="1134"/>
          <tpl fld="6" item="2"/>
          <tpl hier="236" item="1"/>
          <tpl fld="4" item="4"/>
        </tpls>
      </m>
      <m>
        <tpls c="4">
          <tpl fld="7" item="403"/>
          <tpl fld="6" item="1"/>
          <tpl hier="236" item="1"/>
          <tpl fld="4" item="5"/>
        </tpls>
      </m>
      <m>
        <tpls c="4">
          <tpl fld="7" item="410"/>
          <tpl fld="6" item="1"/>
          <tpl hier="236" item="1"/>
          <tpl fld="4" item="6"/>
        </tpls>
      </m>
      <m>
        <tpls c="3">
          <tpl fld="7" item="721"/>
          <tpl fld="6" item="3"/>
          <tpl hier="236" item="1"/>
        </tpls>
      </m>
      <m>
        <tpls c="4">
          <tpl fld="7" item="450"/>
          <tpl fld="6" item="2"/>
          <tpl hier="236" item="1"/>
          <tpl fld="4" item="5"/>
        </tpls>
      </m>
      <m>
        <tpls c="4">
          <tpl fld="7" item="38"/>
          <tpl fld="6" item="2"/>
          <tpl hier="236" item="1"/>
          <tpl fld="4" item="6"/>
        </tpls>
      </m>
      <m>
        <tpls c="4">
          <tpl fld="7" item="1121"/>
          <tpl fld="6" item="1"/>
          <tpl hier="236" item="1"/>
          <tpl fld="4" item="1"/>
        </tpls>
      </m>
      <n v="9" in="1">
        <tpls c="4">
          <tpl fld="7" item="1243"/>
          <tpl fld="6" item="1"/>
          <tpl hier="236" item="1"/>
          <tpl fld="1" item="0"/>
        </tpls>
      </n>
      <m>
        <tpls c="4">
          <tpl fld="7" item="144"/>
          <tpl fld="6" item="1"/>
          <tpl hier="236" item="1"/>
          <tpl fld="1" item="0"/>
        </tpls>
      </m>
      <m>
        <tpls c="4">
          <tpl fld="7" item="2"/>
          <tpl fld="6" item="1"/>
          <tpl hier="236" item="1"/>
          <tpl fld="4" item="6"/>
        </tpls>
      </m>
      <m>
        <tpls c="4">
          <tpl fld="7" item="1268"/>
          <tpl fld="6" item="2"/>
          <tpl hier="236" item="1"/>
          <tpl fld="4" item="4"/>
        </tpls>
      </m>
      <m>
        <tpls c="4">
          <tpl fld="7" item="121"/>
          <tpl fld="6" item="2"/>
          <tpl hier="236" item="1"/>
          <tpl fld="4" item="4"/>
        </tpls>
      </m>
      <n v="0.96" in="2">
        <tpls c="4">
          <tpl fld="7" item="678"/>
          <tpl fld="6" item="2"/>
          <tpl hier="236" item="1"/>
          <tpl fld="1" item="0"/>
        </tpls>
      </n>
      <m>
        <tpls c="4">
          <tpl fld="7" item="855"/>
          <tpl fld="6" item="1"/>
          <tpl hier="236" item="1"/>
          <tpl fld="4" item="5"/>
        </tpls>
      </m>
      <m>
        <tpls c="4">
          <tpl fld="7" item="242"/>
          <tpl fld="6" item="1"/>
          <tpl hier="236" item="1"/>
          <tpl fld="1" item="0"/>
        </tpls>
      </m>
      <n v="2" in="1">
        <tpls c="4">
          <tpl fld="7" item="1086"/>
          <tpl fld="6" item="1"/>
          <tpl hier="236" item="1"/>
          <tpl fld="4" item="1"/>
        </tpls>
      </n>
      <m>
        <tpls c="4">
          <tpl fld="7" item="1090"/>
          <tpl fld="6" item="2"/>
          <tpl hier="236" item="1"/>
          <tpl fld="4" item="6"/>
        </tpls>
      </m>
      <m>
        <tpls c="3">
          <tpl fld="7" item="924"/>
          <tpl fld="6" item="3"/>
          <tpl hier="236" item="1"/>
        </tpls>
      </m>
      <m>
        <tpls c="4">
          <tpl fld="7" item="731"/>
          <tpl fld="6" item="2"/>
          <tpl hier="236" item="1"/>
          <tpl fld="1" item="0"/>
        </tpls>
      </m>
      <m>
        <tpls c="4">
          <tpl fld="7" item="1115"/>
          <tpl fld="6" item="2"/>
          <tpl hier="236" item="1"/>
          <tpl fld="1" item="0"/>
        </tpls>
      </m>
      <m>
        <tpls c="4">
          <tpl fld="7" item="1006"/>
          <tpl fld="6" item="2"/>
          <tpl hier="236" item="1"/>
          <tpl fld="4" item="5"/>
        </tpls>
      </m>
      <m>
        <tpls c="4">
          <tpl fld="7" item="1079"/>
          <tpl fld="6" item="1"/>
          <tpl hier="236" item="1"/>
          <tpl fld="4" item="1"/>
        </tpls>
      </m>
      <m>
        <tpls c="4">
          <tpl fld="7" item="1077"/>
          <tpl fld="6" item="2"/>
          <tpl hier="236" item="1"/>
          <tpl fld="4" item="5"/>
        </tpls>
      </m>
      <m>
        <tpls c="4">
          <tpl fld="7" item="1026"/>
          <tpl fld="6" item="2"/>
          <tpl hier="236" item="1"/>
          <tpl fld="4" item="6"/>
        </tpls>
      </m>
      <n v="2" in="1">
        <tpls c="4">
          <tpl fld="7" item="1220"/>
          <tpl fld="6" item="1"/>
          <tpl hier="236" item="1"/>
          <tpl fld="4" item="5"/>
        </tpls>
      </n>
      <m>
        <tpls c="4">
          <tpl fld="7" item="948"/>
          <tpl fld="6" item="1"/>
          <tpl hier="236" item="1"/>
          <tpl fld="4" item="1"/>
        </tpls>
      </m>
      <m>
        <tpls c="4">
          <tpl fld="7" item="416"/>
          <tpl fld="6" item="1"/>
          <tpl hier="236" item="1"/>
          <tpl fld="4" item="1"/>
        </tpls>
      </m>
      <n v="1.1199999999999999" in="2">
        <tpls c="4">
          <tpl fld="7" item="1097"/>
          <tpl fld="6" item="2"/>
          <tpl hier="236" item="1"/>
          <tpl fld="4" item="5"/>
        </tpls>
      </n>
      <m>
        <tpls c="4">
          <tpl fld="7" item="921"/>
          <tpl fld="6" item="2"/>
          <tpl hier="236" item="1"/>
          <tpl fld="1" item="0"/>
        </tpls>
      </m>
      <m>
        <tpls c="4">
          <tpl fld="7" item="322"/>
          <tpl fld="6" item="2"/>
          <tpl hier="236" item="1"/>
          <tpl fld="4" item="5"/>
        </tpls>
      </m>
      <m>
        <tpls c="4">
          <tpl fld="7" item="845"/>
          <tpl fld="6" item="2"/>
          <tpl hier="236" item="1"/>
          <tpl fld="4" item="6"/>
        </tpls>
      </m>
      <m>
        <tpls c="4">
          <tpl fld="7" item="1026"/>
          <tpl fld="6" item="1"/>
          <tpl hier="236" item="1"/>
          <tpl fld="4" item="5"/>
        </tpls>
      </m>
      <n v="1" in="1">
        <tpls c="4">
          <tpl fld="7" item="838"/>
          <tpl fld="6" item="1"/>
          <tpl hier="236" item="1"/>
          <tpl fld="4" item="1"/>
        </tpls>
      </n>
      <m>
        <tpls c="4">
          <tpl fld="7" item="471"/>
          <tpl fld="6" item="1"/>
          <tpl hier="236" item="1"/>
          <tpl fld="4" item="6"/>
        </tpls>
      </m>
      <m>
        <tpls c="4">
          <tpl fld="7" item="1129"/>
          <tpl fld="6" item="2"/>
          <tpl hier="236" item="1"/>
          <tpl fld="4" item="5"/>
        </tpls>
      </m>
      <m>
        <tpls c="4">
          <tpl fld="7" item="309"/>
          <tpl fld="6" item="1"/>
          <tpl hier="236" item="1"/>
          <tpl fld="1" item="0"/>
        </tpls>
      </m>
      <m>
        <tpls c="4">
          <tpl fld="7" item="7"/>
          <tpl fld="6" item="2"/>
          <tpl hier="236" item="1"/>
          <tpl fld="4" item="4"/>
        </tpls>
      </m>
      <m>
        <tpls c="4">
          <tpl fld="7" item="1174"/>
          <tpl fld="6" item="2"/>
          <tpl hier="236" item="1"/>
          <tpl fld="4" item="4"/>
        </tpls>
      </m>
      <m>
        <tpls c="4">
          <tpl fld="7" item="1122"/>
          <tpl fld="6" item="1"/>
          <tpl hier="236" item="1"/>
          <tpl fld="4" item="6"/>
        </tpls>
      </m>
      <m>
        <tpls c="4">
          <tpl fld="7" item="947"/>
          <tpl fld="6" item="2"/>
          <tpl hier="236" item="1"/>
          <tpl fld="4" item="1"/>
        </tpls>
      </m>
      <n v="2" in="1">
        <tpls c="4">
          <tpl fld="7" item="1051"/>
          <tpl fld="6" item="1"/>
          <tpl hier="236" item="1"/>
          <tpl fld="4" item="1"/>
        </tpls>
      </n>
      <m>
        <tpls c="4">
          <tpl fld="7" item="1119"/>
          <tpl fld="6" item="2"/>
          <tpl hier="236" item="1"/>
          <tpl fld="4" item="6"/>
        </tpls>
      </m>
      <n v="1" in="1">
        <tpls c="4">
          <tpl fld="7" item="930"/>
          <tpl fld="6" item="1"/>
          <tpl hier="236" item="1"/>
          <tpl fld="4" item="1"/>
        </tpls>
      </n>
      <m>
        <tpls c="4">
          <tpl fld="7" item="739"/>
          <tpl fld="6" item="2"/>
          <tpl hier="236" item="1"/>
          <tpl fld="4" item="6"/>
        </tpls>
      </m>
      <m>
        <tpls c="4">
          <tpl fld="7" item="161"/>
          <tpl fld="6" item="2"/>
          <tpl hier="236" item="1"/>
          <tpl fld="4" item="5"/>
        </tpls>
      </m>
      <m>
        <tpls c="4">
          <tpl fld="7" item="682"/>
          <tpl fld="6" item="1"/>
          <tpl hier="236" item="1"/>
          <tpl fld="4" item="5"/>
        </tpls>
      </m>
      <m>
        <tpls c="4">
          <tpl fld="7" item="422"/>
          <tpl fld="6" item="1"/>
          <tpl hier="236" item="1"/>
          <tpl fld="4" item="1"/>
        </tpls>
      </m>
      <n v="16" in="1">
        <tpls c="4">
          <tpl fld="7" item="666"/>
          <tpl fld="6" item="1"/>
          <tpl hier="236" item="1"/>
          <tpl fld="4" item="6"/>
        </tpls>
      </n>
      <n v="0" in="1">
        <tpls c="4">
          <tpl fld="7" item="1121"/>
          <tpl fld="6" item="1"/>
          <tpl hier="236" item="1"/>
          <tpl fld="1" item="0"/>
        </tpls>
      </n>
      <m>
        <tpls c="4">
          <tpl fld="7" item="470"/>
          <tpl fld="6" item="2"/>
          <tpl hier="236" item="1"/>
          <tpl fld="4" item="4"/>
        </tpls>
      </m>
      <n v="2.56" in="2">
        <tpls c="4">
          <tpl fld="7" item="446"/>
          <tpl fld="6" item="2"/>
          <tpl hier="236" item="1"/>
          <tpl fld="4" item="5"/>
        </tpls>
      </n>
      <n v="0" in="1">
        <tpls c="4">
          <tpl fld="7" item="255"/>
          <tpl fld="6" item="1"/>
          <tpl hier="236" item="1"/>
          <tpl fld="1" item="0"/>
        </tpls>
      </n>
      <n v="4" in="1">
        <tpls c="4">
          <tpl fld="7" item="208"/>
          <tpl fld="6" item="1"/>
          <tpl hier="236" item="1"/>
          <tpl fld="1" item="0"/>
        </tpls>
      </n>
      <m>
        <tpls c="4">
          <tpl fld="7" item="840"/>
          <tpl fld="6" item="1"/>
          <tpl hier="236" item="1"/>
          <tpl fld="4" item="5"/>
        </tpls>
      </m>
      <m>
        <tpls c="4">
          <tpl fld="7" item="286"/>
          <tpl fld="6" item="1"/>
          <tpl hier="236" item="1"/>
          <tpl fld="1" item="0"/>
        </tpls>
      </m>
      <m>
        <tpls c="4">
          <tpl fld="7" item="168"/>
          <tpl fld="6" item="2"/>
          <tpl hier="236" item="1"/>
          <tpl fld="4" item="4"/>
        </tpls>
      </m>
      <m>
        <tpls c="4">
          <tpl fld="7" item="125"/>
          <tpl fld="6" item="1"/>
          <tpl hier="236" item="1"/>
          <tpl fld="4" item="1"/>
        </tpls>
      </m>
      <m>
        <tpls c="4">
          <tpl fld="7" item="636"/>
          <tpl fld="6" item="2"/>
          <tpl hier="236" item="1"/>
          <tpl fld="4" item="6"/>
        </tpls>
      </m>
      <m>
        <tpls c="4">
          <tpl fld="7" item="657"/>
          <tpl fld="6" item="2"/>
          <tpl hier="236" item="1"/>
          <tpl fld="4" item="4"/>
        </tpls>
      </m>
      <m>
        <tpls c="4">
          <tpl fld="7" item="100"/>
          <tpl fld="6" item="2"/>
          <tpl hier="236" item="1"/>
          <tpl fld="1" item="0"/>
        </tpls>
      </m>
      <m>
        <tpls c="4">
          <tpl fld="7" item="837"/>
          <tpl fld="6" item="2"/>
          <tpl hier="236" item="1"/>
          <tpl fld="4" item="1"/>
        </tpls>
      </m>
      <m>
        <tpls c="4">
          <tpl fld="7" item="94"/>
          <tpl fld="6" item="2"/>
          <tpl hier="236" item="1"/>
          <tpl fld="4" item="5"/>
        </tpls>
      </m>
      <m>
        <tpls c="4">
          <tpl fld="7" item="435"/>
          <tpl fld="6" item="2"/>
          <tpl hier="236" item="1"/>
          <tpl fld="4" item="6"/>
        </tpls>
      </m>
      <n v="23" in="1">
        <tpls c="4">
          <tpl fld="7" item="850"/>
          <tpl fld="6" item="1"/>
          <tpl hier="236" item="1"/>
          <tpl fld="1" item="0"/>
        </tpls>
      </n>
      <m>
        <tpls c="4">
          <tpl fld="7" item="195"/>
          <tpl fld="6" item="2"/>
          <tpl hier="236" item="1"/>
          <tpl fld="4" item="5"/>
        </tpls>
      </m>
      <m>
        <tpls c="4">
          <tpl fld="7" item="354"/>
          <tpl fld="6" item="2"/>
          <tpl hier="236" item="1"/>
          <tpl fld="4" item="6"/>
        </tpls>
      </m>
      <m>
        <tpls c="4">
          <tpl fld="7" item="97"/>
          <tpl fld="6" item="1"/>
          <tpl hier="236" item="1"/>
          <tpl fld="4" item="5"/>
        </tpls>
      </m>
      <m>
        <tpls c="4">
          <tpl fld="7" item="1113"/>
          <tpl fld="6" item="1"/>
          <tpl hier="236" item="1"/>
          <tpl fld="4" item="1"/>
        </tpls>
      </m>
      <m>
        <tpls c="4">
          <tpl fld="7" item="250"/>
          <tpl fld="6" item="1"/>
          <tpl hier="236" item="1"/>
          <tpl fld="4" item="1"/>
        </tpls>
      </m>
      <m>
        <tpls c="4">
          <tpl fld="7" item="1242"/>
          <tpl fld="6" item="2"/>
          <tpl hier="236" item="1"/>
          <tpl fld="4" item="4"/>
        </tpls>
      </m>
      <m>
        <tpls c="4">
          <tpl fld="7" item="401"/>
          <tpl fld="6" item="2"/>
          <tpl hier="236" item="1"/>
          <tpl fld="1" item="0"/>
        </tpls>
      </m>
      <m>
        <tpls c="4">
          <tpl fld="7" item="337"/>
          <tpl fld="6" item="2"/>
          <tpl hier="236" item="1"/>
          <tpl fld="4" item="5"/>
        </tpls>
      </m>
      <m>
        <tpls c="4">
          <tpl fld="7" item="106"/>
          <tpl fld="6" item="2"/>
          <tpl hier="236" item="1"/>
          <tpl fld="4" item="6"/>
        </tpls>
      </m>
      <m>
        <tpls c="4">
          <tpl fld="7" item="1085"/>
          <tpl fld="6" item="1"/>
          <tpl hier="236" item="1"/>
          <tpl fld="4" item="5"/>
        </tpls>
      </m>
      <m>
        <tpls c="4">
          <tpl fld="7" item="1231"/>
          <tpl fld="6" item="1"/>
          <tpl hier="236" item="1"/>
          <tpl fld="4" item="1"/>
        </tpls>
      </m>
      <m>
        <tpls c="4">
          <tpl fld="7" item="307"/>
          <tpl fld="6" item="1"/>
          <tpl hier="236" item="1"/>
          <tpl fld="4" item="1"/>
        </tpls>
      </m>
      <n v="3" in="1">
        <tpls c="4">
          <tpl fld="7" item="1003"/>
          <tpl fld="6" item="1"/>
          <tpl hier="236" item="1"/>
          <tpl fld="1" item="0"/>
        </tpls>
      </n>
      <n v="5" in="1">
        <tpls c="4">
          <tpl fld="7" item="707"/>
          <tpl fld="6" item="1"/>
          <tpl hier="236" item="1"/>
          <tpl fld="4" item="6"/>
        </tpls>
      </n>
      <m>
        <tpls c="4">
          <tpl fld="7" item="1001"/>
          <tpl fld="6" item="2"/>
          <tpl hier="236" item="1"/>
          <tpl fld="4" item="6"/>
        </tpls>
      </m>
      <m>
        <tpls c="4">
          <tpl fld="7" item="235"/>
          <tpl fld="6" item="1"/>
          <tpl hier="236" item="1"/>
          <tpl fld="4" item="1"/>
        </tpls>
      </m>
      <m>
        <tpls c="4">
          <tpl fld="7" item="241"/>
          <tpl fld="6" item="1"/>
          <tpl hier="236" item="1"/>
          <tpl fld="4" item="6"/>
        </tpls>
      </m>
      <m>
        <tpls c="4">
          <tpl fld="7" item="629"/>
          <tpl fld="6" item="2"/>
          <tpl hier="236" item="1"/>
          <tpl fld="4" item="4"/>
        </tpls>
      </m>
      <m>
        <tpls c="4">
          <tpl fld="7" item="11"/>
          <tpl fld="6" item="1"/>
          <tpl hier="236" item="1"/>
          <tpl fld="1" item="0"/>
        </tpls>
      </m>
      <m>
        <tpls c="4">
          <tpl fld="7" item="1113"/>
          <tpl fld="6" item="2"/>
          <tpl hier="236" item="1"/>
          <tpl fld="4" item="5"/>
        </tpls>
      </m>
      <n v="8" in="1">
        <tpls c="4">
          <tpl fld="7" item="928"/>
          <tpl fld="6" item="1"/>
          <tpl hier="236" item="1"/>
          <tpl fld="4" item="1"/>
        </tpls>
      </n>
      <m>
        <tpls c="4">
          <tpl fld="7" item="285"/>
          <tpl fld="6" item="1"/>
          <tpl hier="236" item="1"/>
          <tpl fld="1" item="0"/>
        </tpls>
      </m>
      <m>
        <tpls c="4">
          <tpl fld="7" item="964"/>
          <tpl fld="6" item="2"/>
          <tpl hier="236" item="1"/>
          <tpl fld="4" item="4"/>
        </tpls>
      </m>
      <m>
        <tpls c="4">
          <tpl fld="7" item="1017"/>
          <tpl fld="6" item="1"/>
          <tpl hier="236" item="1"/>
          <tpl fld="1" item="0"/>
        </tpls>
      </m>
      <m>
        <tpls c="4">
          <tpl fld="7" item="916"/>
          <tpl fld="6" item="1"/>
          <tpl hier="236" item="1"/>
          <tpl fld="4" item="6"/>
        </tpls>
      </m>
      <m>
        <tpls c="4">
          <tpl fld="7" item="15"/>
          <tpl fld="6" item="2"/>
          <tpl hier="236" item="1"/>
          <tpl fld="4" item="6"/>
        </tpls>
      </m>
      <m>
        <tpls c="4">
          <tpl fld="7" item="156"/>
          <tpl fld="6" item="1"/>
          <tpl hier="236" item="1"/>
          <tpl fld="4" item="1"/>
        </tpls>
      </m>
      <m>
        <tpls c="4">
          <tpl fld="7" item="298"/>
          <tpl fld="6" item="1"/>
          <tpl hier="236" item="1"/>
          <tpl fld="1" item="0"/>
        </tpls>
      </m>
      <m>
        <tpls c="3">
          <tpl fld="7" item="744"/>
          <tpl fld="6" item="3"/>
          <tpl hier="236" item="1"/>
        </tpls>
      </m>
      <m>
        <tpls c="4">
          <tpl fld="7" item="1199"/>
          <tpl fld="6" item="2"/>
          <tpl hier="236" item="1"/>
          <tpl fld="4" item="4"/>
        </tpls>
      </m>
      <m>
        <tpls c="4">
          <tpl fld="7" item="1123"/>
          <tpl fld="6" item="2"/>
          <tpl hier="236" item="1"/>
          <tpl fld="4" item="4"/>
        </tpls>
      </m>
      <m>
        <tpls c="4">
          <tpl fld="7" item="491"/>
          <tpl fld="6" item="1"/>
          <tpl hier="236" item="1"/>
          <tpl fld="4" item="5"/>
        </tpls>
      </m>
      <m>
        <tpls c="3">
          <tpl fld="7" item="15"/>
          <tpl fld="6" item="3"/>
          <tpl hier="236" item="1"/>
        </tpls>
      </m>
      <n v="5" in="1">
        <tpls c="4">
          <tpl fld="7" item="587"/>
          <tpl fld="6" item="1"/>
          <tpl hier="236" item="1"/>
          <tpl fld="4" item="1"/>
        </tpls>
      </n>
      <n v="31" in="1">
        <tpls c="4">
          <tpl fld="7" item="825"/>
          <tpl fld="6" item="1"/>
          <tpl hier="236" item="1"/>
          <tpl fld="1" item="0"/>
        </tpls>
      </n>
      <m>
        <tpls c="3">
          <tpl fld="7" item="1238"/>
          <tpl fld="6" item="3"/>
          <tpl hier="236" item="1"/>
        </tpls>
      </m>
      <n v="2" in="2">
        <tpls c="4">
          <tpl fld="7" item="911"/>
          <tpl fld="6" item="2"/>
          <tpl hier="236" item="1"/>
          <tpl fld="4" item="4"/>
        </tpls>
      </n>
      <n v="2" in="2">
        <tpls c="4">
          <tpl fld="7" item="805"/>
          <tpl fld="6" item="2"/>
          <tpl hier="236" item="1"/>
          <tpl fld="1" item="0"/>
        </tpls>
      </n>
      <m>
        <tpls c="4">
          <tpl fld="7" item="590"/>
          <tpl fld="6" item="2"/>
          <tpl hier="236" item="1"/>
          <tpl fld="4" item="6"/>
        </tpls>
      </m>
      <n v="7" in="1">
        <tpls c="4">
          <tpl fld="7" item="889"/>
          <tpl fld="6" item="1"/>
          <tpl hier="236" item="1"/>
          <tpl fld="4" item="1"/>
        </tpls>
      </n>
      <m>
        <tpls c="4">
          <tpl fld="7" item="754"/>
          <tpl fld="6" item="2"/>
          <tpl hier="236" item="1"/>
          <tpl fld="4" item="5"/>
        </tpls>
      </m>
      <m>
        <tpls c="4">
          <tpl fld="7" item="86"/>
          <tpl fld="6" item="2"/>
          <tpl hier="236" item="1"/>
          <tpl fld="4" item="6"/>
        </tpls>
      </m>
      <m>
        <tpls c="4">
          <tpl fld="7" item="289"/>
          <tpl fld="6" item="1"/>
          <tpl hier="236" item="1"/>
          <tpl fld="4" item="5"/>
        </tpls>
      </m>
      <m>
        <tpls c="4">
          <tpl fld="7" item="205"/>
          <tpl fld="6" item="1"/>
          <tpl hier="236" item="1"/>
          <tpl fld="4" item="1"/>
        </tpls>
      </m>
      <n v="2.6" in="2">
        <tpls c="4">
          <tpl fld="7" item="539"/>
          <tpl fld="6" item="2"/>
          <tpl hier="236" item="1"/>
          <tpl fld="4" item="4"/>
        </tpls>
      </n>
      <m>
        <tpls c="3">
          <tpl fld="7" item="848"/>
          <tpl fld="6" item="3"/>
          <tpl hier="236" item="1"/>
        </tpls>
      </m>
      <m>
        <tpls c="4">
          <tpl fld="7" item="1247"/>
          <tpl fld="6" item="2"/>
          <tpl hier="236" item="1"/>
          <tpl fld="4" item="5"/>
        </tpls>
      </m>
      <m>
        <tpls c="4">
          <tpl fld="7" item="333"/>
          <tpl fld="6" item="2"/>
          <tpl hier="236" item="1"/>
          <tpl fld="4" item="5"/>
        </tpls>
      </m>
      <m>
        <tpls c="4">
          <tpl fld="7" item="304"/>
          <tpl fld="6" item="2"/>
          <tpl hier="236" item="1"/>
          <tpl fld="4" item="6"/>
        </tpls>
      </m>
      <m>
        <tpls c="4">
          <tpl fld="7" item="677"/>
          <tpl fld="6" item="1"/>
          <tpl hier="236" item="1"/>
          <tpl fld="4" item="5"/>
        </tpls>
      </m>
      <n v="1" in="1">
        <tpls c="4">
          <tpl fld="7" item="1287"/>
          <tpl fld="6" item="1"/>
          <tpl hier="236" item="1"/>
          <tpl fld="4" item="1"/>
        </tpls>
      </n>
      <m>
        <tpls c="4">
          <tpl fld="7" item="181"/>
          <tpl fld="6" item="1"/>
          <tpl hier="236" item="1"/>
          <tpl fld="4" item="1"/>
        </tpls>
      </m>
      <m>
        <tpls c="4">
          <tpl fld="7" item="762"/>
          <tpl fld="6" item="1"/>
          <tpl hier="236" item="1"/>
          <tpl fld="1" item="0"/>
        </tpls>
      </m>
      <m>
        <tpls c="4">
          <tpl fld="7" item="563"/>
          <tpl fld="6" item="1"/>
          <tpl hier="236" item="1"/>
          <tpl fld="4" item="1"/>
        </tpls>
      </m>
      <m>
        <tpls c="4">
          <tpl fld="7" item="181"/>
          <tpl fld="6" item="2"/>
          <tpl hier="236" item="1"/>
          <tpl fld="4" item="6"/>
        </tpls>
      </m>
      <n v="15" in="1">
        <tpls c="4">
          <tpl fld="7" item="1115"/>
          <tpl fld="6" item="1"/>
          <tpl hier="236" item="1"/>
          <tpl fld="1" item="0"/>
        </tpls>
      </n>
      <m>
        <tpls c="4">
          <tpl fld="7" item="108"/>
          <tpl fld="6" item="1"/>
          <tpl hier="236" item="1"/>
          <tpl fld="4" item="6"/>
        </tpls>
      </m>
      <m>
        <tpls c="4">
          <tpl fld="7" item="240"/>
          <tpl fld="6" item="2"/>
          <tpl hier="236" item="1"/>
          <tpl fld="4" item="4"/>
        </tpls>
      </m>
      <m>
        <tpls c="3">
          <tpl fld="7" item="167"/>
          <tpl fld="6" item="3"/>
          <tpl hier="236" item="1"/>
        </tpls>
      </m>
      <m>
        <tpls c="4">
          <tpl fld="7" item="75"/>
          <tpl fld="6" item="2"/>
          <tpl hier="236" item="1"/>
          <tpl fld="4" item="5"/>
        </tpls>
      </m>
      <n v="1" in="1">
        <tpls c="4">
          <tpl fld="7" item="367"/>
          <tpl fld="6" item="1"/>
          <tpl hier="236" item="1"/>
          <tpl fld="4" item="1"/>
        </tpls>
      </n>
      <m>
        <tpls c="4">
          <tpl fld="7" item="34"/>
          <tpl fld="6" item="1"/>
          <tpl hier="236" item="1"/>
          <tpl fld="1" item="0"/>
        </tpls>
      </m>
      <m>
        <tpls c="4">
          <tpl fld="7" item="946"/>
          <tpl fld="6" item="2"/>
          <tpl hier="236" item="1"/>
          <tpl fld="4" item="4"/>
        </tpls>
      </m>
      <n v="4" in="1">
        <tpls c="4">
          <tpl fld="7" item="84"/>
          <tpl fld="6" item="1"/>
          <tpl hier="236" item="1"/>
          <tpl fld="1" item="0"/>
        </tpls>
      </n>
      <m>
        <tpls c="4">
          <tpl fld="7" item="72"/>
          <tpl fld="6" item="2"/>
          <tpl hier="236" item="1"/>
          <tpl fld="1" item="0"/>
        </tpls>
      </m>
      <m>
        <tpls c="4">
          <tpl fld="7" item="456"/>
          <tpl fld="6" item="1"/>
          <tpl hier="236" item="1"/>
          <tpl fld="4" item="5"/>
        </tpls>
      </m>
      <m>
        <tpls c="4">
          <tpl fld="7" item="979"/>
          <tpl fld="6" item="1"/>
          <tpl hier="236" item="1"/>
          <tpl fld="4" item="1"/>
        </tpls>
      </m>
      <m>
        <tpls c="4">
          <tpl fld="7" item="282"/>
          <tpl fld="6" item="1"/>
          <tpl hier="236" item="1"/>
          <tpl fld="1" item="0"/>
        </tpls>
      </m>
      <m>
        <tpls c="3">
          <tpl fld="7" item="42"/>
          <tpl fld="6" item="3"/>
          <tpl hier="236" item="1"/>
        </tpls>
      </m>
      <m>
        <tpls c="4">
          <tpl fld="7" item="566"/>
          <tpl fld="6" item="2"/>
          <tpl hier="236" item="1"/>
          <tpl fld="4" item="4"/>
        </tpls>
      </m>
      <m>
        <tpls c="4">
          <tpl fld="7" item="1015"/>
          <tpl fld="6" item="2"/>
          <tpl hier="236" item="1"/>
          <tpl fld="1" item="0"/>
        </tpls>
      </m>
      <m>
        <tpls c="4">
          <tpl fld="7" item="1265"/>
          <tpl fld="6" item="1"/>
          <tpl hier="236" item="1"/>
          <tpl fld="4" item="1"/>
        </tpls>
      </m>
      <m>
        <tpls c="4">
          <tpl fld="7" item="1161"/>
          <tpl fld="6" item="2"/>
          <tpl hier="236" item="1"/>
          <tpl fld="4" item="4"/>
        </tpls>
      </m>
      <m>
        <tpls c="4">
          <tpl fld="7" item="875"/>
          <tpl fld="6" item="1"/>
          <tpl hier="236" item="1"/>
          <tpl fld="4" item="1"/>
        </tpls>
      </m>
      <m>
        <tpls c="4">
          <tpl fld="7" item="263"/>
          <tpl fld="6" item="1"/>
          <tpl hier="236" item="1"/>
          <tpl fld="4" item="1"/>
        </tpls>
      </m>
      <n v="9" in="1">
        <tpls c="4">
          <tpl fld="7" item="492"/>
          <tpl fld="6" item="1"/>
          <tpl hier="236" item="1"/>
          <tpl fld="1" item="0"/>
        </tpls>
      </n>
      <m>
        <tpls c="4">
          <tpl fld="7" item="1277"/>
          <tpl fld="6" item="2"/>
          <tpl hier="236" item="1"/>
          <tpl fld="4" item="1"/>
        </tpls>
      </m>
      <m>
        <tpls c="4">
          <tpl fld="7" item="442"/>
          <tpl fld="6" item="1"/>
          <tpl hier="236" item="1"/>
          <tpl fld="4" item="5"/>
        </tpls>
      </m>
      <n v="13" in="1">
        <tpls c="4">
          <tpl fld="7" item="504"/>
          <tpl fld="6" item="1"/>
          <tpl hier="236" item="1"/>
          <tpl fld="1" item="0"/>
        </tpls>
      </n>
      <m>
        <tpls c="3">
          <tpl fld="7" item="237"/>
          <tpl fld="6" item="3"/>
          <tpl hier="236" item="1"/>
        </tpls>
      </m>
      <m>
        <tpls c="4">
          <tpl fld="7" item="178"/>
          <tpl fld="6" item="2"/>
          <tpl hier="236" item="1"/>
          <tpl fld="4" item="6"/>
        </tpls>
      </m>
      <n v="2" in="1">
        <tpls c="4">
          <tpl fld="7" item="323"/>
          <tpl fld="6" item="1"/>
          <tpl hier="236" item="1"/>
          <tpl fld="4" item="6"/>
        </tpls>
      </n>
      <m>
        <tpls c="4">
          <tpl fld="7" item="418"/>
          <tpl fld="6" item="1"/>
          <tpl hier="236" item="1"/>
          <tpl fld="4" item="5"/>
        </tpls>
      </m>
      <n v="2" in="1">
        <tpls c="4">
          <tpl fld="7" item="989"/>
          <tpl fld="6" item="1"/>
          <tpl hier="236" item="1"/>
          <tpl fld="4" item="6"/>
        </tpls>
      </n>
      <n v="2" in="1">
        <tpls c="4">
          <tpl fld="7" item="1249"/>
          <tpl fld="6" item="1"/>
          <tpl hier="236" item="1"/>
          <tpl fld="4" item="1"/>
        </tpls>
      </n>
      <m>
        <tpls c="4">
          <tpl fld="7" item="205"/>
          <tpl fld="6" item="2"/>
          <tpl hier="236" item="1"/>
          <tpl fld="4" item="5"/>
        </tpls>
      </m>
      <m>
        <tpls c="4">
          <tpl fld="7" item="69"/>
          <tpl fld="6" item="1"/>
          <tpl hier="236" item="1"/>
          <tpl fld="4" item="1"/>
        </tpls>
      </m>
      <n v="2" in="1">
        <tpls c="4">
          <tpl fld="7" item="664"/>
          <tpl fld="6" item="1"/>
          <tpl hier="236" item="1"/>
          <tpl fld="4" item="6"/>
        </tpls>
      </n>
      <m>
        <tpls c="4">
          <tpl fld="7" item="792"/>
          <tpl fld="6" item="2"/>
          <tpl hier="236" item="1"/>
          <tpl fld="4" item="4"/>
        </tpls>
      </m>
      <m>
        <tpls c="4">
          <tpl fld="7" item="916"/>
          <tpl fld="6" item="2"/>
          <tpl hier="236" item="1"/>
          <tpl fld="4" item="6"/>
        </tpls>
      </m>
      <m>
        <tpls c="4">
          <tpl fld="7" item="219"/>
          <tpl fld="6" item="2"/>
          <tpl hier="236" item="1"/>
          <tpl fld="4" item="4"/>
        </tpls>
      </m>
      <m>
        <tpls c="3">
          <tpl fld="7" item="906"/>
          <tpl fld="6" item="3"/>
          <tpl hier="236" item="1"/>
        </tpls>
      </m>
      <m>
        <tpls c="4">
          <tpl fld="7" item="931"/>
          <tpl fld="6" item="2"/>
          <tpl hier="236" item="1"/>
          <tpl fld="4" item="1"/>
        </tpls>
      </m>
      <m>
        <tpls c="4">
          <tpl fld="7" item="1010"/>
          <tpl fld="6" item="1"/>
          <tpl hier="236" item="1"/>
          <tpl fld="4" item="5"/>
        </tpls>
      </m>
      <m>
        <tpls c="4">
          <tpl fld="7" item="341"/>
          <tpl fld="6" item="2"/>
          <tpl hier="236" item="1"/>
          <tpl fld="4" item="5"/>
        </tpls>
      </m>
      <m>
        <tpls c="4">
          <tpl fld="7" item="89"/>
          <tpl fld="6" item="1"/>
          <tpl hier="236" item="1"/>
          <tpl fld="4" item="5"/>
        </tpls>
      </m>
      <m>
        <tpls c="4">
          <tpl fld="7" item="252"/>
          <tpl fld="6" item="1"/>
          <tpl hier="236" item="1"/>
          <tpl fld="4" item="1"/>
        </tpls>
      </m>
      <m>
        <tpls c="4">
          <tpl fld="7" item="243"/>
          <tpl fld="6" item="2"/>
          <tpl hier="236" item="1"/>
          <tpl fld="1" item="0"/>
        </tpls>
      </m>
      <m>
        <tpls c="4">
          <tpl fld="7" item="509"/>
          <tpl fld="6" item="2"/>
          <tpl hier="236" item="1"/>
          <tpl fld="4" item="6"/>
        </tpls>
      </m>
      <m>
        <tpls c="4">
          <tpl fld="7" item="234"/>
          <tpl fld="6" item="1"/>
          <tpl hier="236" item="1"/>
          <tpl fld="4" item="5"/>
        </tpls>
      </m>
      <n v="2" in="1">
        <tpls c="4">
          <tpl fld="7" item="1278"/>
          <tpl fld="6" item="1"/>
          <tpl hier="236" item="1"/>
          <tpl fld="1" item="0"/>
        </tpls>
      </n>
      <m>
        <tpls c="4">
          <tpl fld="7" item="64"/>
          <tpl fld="6" item="2"/>
          <tpl hier="236" item="1"/>
          <tpl fld="4" item="5"/>
        </tpls>
      </m>
      <m>
        <tpls c="4">
          <tpl fld="7" item="63"/>
          <tpl fld="6" item="1"/>
          <tpl hier="236" item="1"/>
          <tpl fld="1" item="0"/>
        </tpls>
      </m>
      <m>
        <tpls c="4">
          <tpl fld="7" item="147"/>
          <tpl fld="6" item="1"/>
          <tpl hier="236" item="1"/>
          <tpl fld="4" item="1"/>
        </tpls>
      </m>
      <m>
        <tpls c="4">
          <tpl fld="7" item="833"/>
          <tpl fld="6" item="1"/>
          <tpl hier="236" item="1"/>
          <tpl fld="4" item="5"/>
        </tpls>
      </m>
      <m>
        <tpls c="3">
          <tpl fld="7" item="128"/>
          <tpl fld="6" item="3"/>
          <tpl hier="236" item="1"/>
        </tpls>
      </m>
      <m>
        <tpls c="4">
          <tpl fld="7" item="130"/>
          <tpl fld="6" item="2"/>
          <tpl hier="236" item="1"/>
          <tpl fld="4" item="4"/>
        </tpls>
      </m>
      <m>
        <tpls c="4">
          <tpl fld="7" item="1137"/>
          <tpl fld="6" item="1"/>
          <tpl hier="236" item="1"/>
          <tpl fld="4" item="1"/>
        </tpls>
      </m>
      <m>
        <tpls c="4">
          <tpl fld="7" item="168"/>
          <tpl fld="6" item="1"/>
          <tpl hier="236" item="1"/>
          <tpl fld="4" item="6"/>
        </tpls>
      </m>
      <m>
        <tpls c="4">
          <tpl fld="7" item="111"/>
          <tpl fld="6" item="2"/>
          <tpl hier="236" item="1"/>
          <tpl fld="4" item="4"/>
        </tpls>
      </m>
      <n v="22" in="1">
        <tpls c="4">
          <tpl fld="7" item="355"/>
          <tpl fld="6" item="1"/>
          <tpl hier="236" item="1"/>
          <tpl fld="1" item="0"/>
        </tpls>
      </n>
      <n v="0.4" in="2">
        <tpls c="4">
          <tpl fld="7" item="1237"/>
          <tpl fld="6" item="2"/>
          <tpl hier="236" item="1"/>
          <tpl fld="1" item="0"/>
        </tpls>
      </n>
      <m>
        <tpls c="4">
          <tpl fld="7" item="291"/>
          <tpl fld="6" item="2"/>
          <tpl hier="236" item="1"/>
          <tpl fld="4" item="6"/>
        </tpls>
      </m>
      <m>
        <tpls c="4">
          <tpl fld="7" item="934"/>
          <tpl fld="6" item="1"/>
          <tpl hier="236" item="1"/>
          <tpl fld="4" item="1"/>
        </tpls>
      </m>
      <m>
        <tpls c="4">
          <tpl fld="7" item="587"/>
          <tpl fld="6" item="2"/>
          <tpl hier="236" item="1"/>
          <tpl fld="4" item="6"/>
        </tpls>
      </m>
      <m>
        <tpls c="4">
          <tpl fld="7" item="252"/>
          <tpl fld="6" item="2"/>
          <tpl hier="236" item="1"/>
          <tpl fld="1" item="0"/>
        </tpls>
      </m>
      <m>
        <tpls c="4">
          <tpl fld="7" item="863"/>
          <tpl fld="6" item="2"/>
          <tpl hier="236" item="1"/>
          <tpl fld="4" item="6"/>
        </tpls>
      </m>
      <m>
        <tpls c="4">
          <tpl fld="7" item="683"/>
          <tpl fld="6" item="1"/>
          <tpl hier="236" item="1"/>
          <tpl fld="4" item="5"/>
        </tpls>
      </m>
      <m>
        <tpls c="4">
          <tpl fld="7" item="348"/>
          <tpl fld="6" item="1"/>
          <tpl hier="236" item="1"/>
          <tpl fld="4" item="1"/>
        </tpls>
      </m>
      <n v="0" in="1">
        <tpls c="4">
          <tpl fld="7" item="418"/>
          <tpl fld="6" item="1"/>
          <tpl hier="236" item="1"/>
          <tpl fld="1" item="0"/>
        </tpls>
      </n>
      <m>
        <tpls c="4">
          <tpl fld="7" item="133"/>
          <tpl fld="6" item="2"/>
          <tpl hier="236" item="1"/>
          <tpl fld="4" item="6"/>
        </tpls>
      </m>
      <m>
        <tpls c="4">
          <tpl fld="7" item="149"/>
          <tpl fld="6" item="1"/>
          <tpl hier="236" item="1"/>
          <tpl fld="1" item="0"/>
        </tpls>
      </m>
      <m>
        <tpls c="4">
          <tpl fld="7" item="6"/>
          <tpl fld="6" item="2"/>
          <tpl hier="236" item="1"/>
          <tpl fld="4" item="4"/>
        </tpls>
      </m>
      <n v="2" in="1">
        <tpls c="4">
          <tpl fld="7" item="901"/>
          <tpl fld="6" item="1"/>
          <tpl hier="236" item="1"/>
          <tpl fld="4" item="6"/>
        </tpls>
      </n>
      <m>
        <tpls c="4">
          <tpl fld="7" item="91"/>
          <tpl fld="6" item="1"/>
          <tpl hier="236" item="1"/>
          <tpl fld="4" item="1"/>
        </tpls>
      </m>
      <m>
        <tpls c="4">
          <tpl fld="7" item="970"/>
          <tpl fld="6" item="2"/>
          <tpl hier="236" item="1"/>
          <tpl fld="4" item="4"/>
        </tpls>
      </m>
      <m>
        <tpls c="3">
          <tpl fld="7" item="3"/>
          <tpl fld="6" item="3"/>
          <tpl hier="236" item="1"/>
        </tpls>
      </m>
      <m>
        <tpls c="4">
          <tpl fld="7" item="436"/>
          <tpl fld="6" item="1"/>
          <tpl hier="236" item="1"/>
          <tpl fld="4" item="5"/>
        </tpls>
      </m>
      <m>
        <tpls c="4">
          <tpl fld="7" item="502"/>
          <tpl fld="6" item="1"/>
          <tpl hier="236" item="1"/>
          <tpl fld="1" item="0"/>
        </tpls>
      </m>
      <m>
        <tpls c="3">
          <tpl fld="7" item="216"/>
          <tpl fld="6" item="3"/>
          <tpl hier="236" item="1"/>
        </tpls>
      </m>
      <n v="2" in="1">
        <tpls c="4">
          <tpl fld="7" item="907"/>
          <tpl fld="6" item="1"/>
          <tpl hier="236" item="1"/>
          <tpl fld="4" item="6"/>
        </tpls>
      </n>
      <n v="17" in="1">
        <tpls c="4">
          <tpl fld="7" item="363"/>
          <tpl fld="6" item="1"/>
          <tpl hier="236" item="1"/>
          <tpl fld="1" item="0"/>
        </tpls>
      </n>
      <m>
        <tpls c="4">
          <tpl fld="7" item="1234"/>
          <tpl fld="6" item="1"/>
          <tpl hier="236" item="1"/>
          <tpl fld="4" item="1"/>
        </tpls>
      </m>
      <m>
        <tpls c="4">
          <tpl fld="7" item="1082"/>
          <tpl fld="6" item="1"/>
          <tpl hier="236" item="1"/>
          <tpl fld="4" item="1"/>
        </tpls>
      </m>
      <m>
        <tpls c="4">
          <tpl fld="7" item="189"/>
          <tpl fld="6" item="1"/>
          <tpl hier="236" item="1"/>
          <tpl fld="1" item="0"/>
        </tpls>
      </m>
      <n v="0" in="1">
        <tpls c="4">
          <tpl fld="7" item="910"/>
          <tpl fld="6" item="1"/>
          <tpl hier="236" item="1"/>
          <tpl fld="4" item="6"/>
        </tpls>
      </n>
      <m>
        <tpls c="4">
          <tpl fld="7" item="144"/>
          <tpl fld="6" item="2"/>
          <tpl hier="236" item="1"/>
          <tpl fld="4" item="6"/>
        </tpls>
      </m>
      <n v="5" in="1">
        <tpls c="4">
          <tpl fld="7" item="901"/>
          <tpl fld="6" item="1"/>
          <tpl hier="236" item="1"/>
          <tpl fld="1" item="0"/>
        </tpls>
      </n>
      <m>
        <tpls c="4">
          <tpl fld="7" item="233"/>
          <tpl fld="6" item="1"/>
          <tpl hier="236" item="1"/>
          <tpl fld="4" item="6"/>
        </tpls>
      </m>
      <m>
        <tpls c="4">
          <tpl fld="7" item="1038"/>
          <tpl fld="6" item="2"/>
          <tpl hier="236" item="1"/>
          <tpl fld="4" item="4"/>
        </tpls>
      </m>
      <m>
        <tpls c="4">
          <tpl fld="7" item="310"/>
          <tpl fld="6" item="1"/>
          <tpl hier="236" item="1"/>
          <tpl fld="1" item="0"/>
        </tpls>
      </m>
      <m>
        <tpls c="4">
          <tpl fld="7" item="747"/>
          <tpl fld="6" item="2"/>
          <tpl hier="236" item="1"/>
          <tpl fld="4" item="1"/>
        </tpls>
      </m>
      <m>
        <tpls c="4">
          <tpl fld="7" item="172"/>
          <tpl fld="6" item="2"/>
          <tpl hier="236" item="1"/>
          <tpl fld="4" item="6"/>
        </tpls>
      </m>
      <m>
        <tpls c="4">
          <tpl fld="7" item="905"/>
          <tpl fld="6" item="1"/>
          <tpl hier="236" item="1"/>
          <tpl fld="1" item="0"/>
        </tpls>
      </m>
      <m>
        <tpls c="4">
          <tpl fld="7" item="132"/>
          <tpl fld="6" item="1"/>
          <tpl hier="236" item="1"/>
          <tpl fld="4" item="6"/>
        </tpls>
      </m>
      <m>
        <tpls c="4">
          <tpl fld="7" item="941"/>
          <tpl fld="6" item="2"/>
          <tpl hier="236" item="1"/>
          <tpl fld="4" item="4"/>
        </tpls>
      </m>
      <m>
        <tpls c="4">
          <tpl fld="7" item="64"/>
          <tpl fld="6" item="1"/>
          <tpl hier="236" item="1"/>
          <tpl fld="1" item="0"/>
        </tpls>
      </m>
      <n v="1" in="1">
        <tpls c="4">
          <tpl fld="7" item="1027"/>
          <tpl fld="6" item="1"/>
          <tpl hier="236" item="1"/>
          <tpl fld="4" item="4"/>
        </tpls>
      </n>
      <m>
        <tpls c="4">
          <tpl fld="7" item="780"/>
          <tpl fld="6" item="2"/>
          <tpl hier="236" item="1"/>
          <tpl fld="4" item="1"/>
        </tpls>
      </m>
      <m>
        <tpls c="4">
          <tpl fld="7" item="812"/>
          <tpl fld="6" item="1"/>
          <tpl hier="236" item="1"/>
          <tpl fld="1" item="0"/>
        </tpls>
      </m>
      <n v="2" in="1">
        <tpls c="4">
          <tpl fld="7" item="944"/>
          <tpl fld="6" item="1"/>
          <tpl hier="236" item="1"/>
          <tpl fld="4" item="4"/>
        </tpls>
      </n>
      <m>
        <tpls c="4">
          <tpl fld="7" item="994"/>
          <tpl fld="6" item="1"/>
          <tpl hier="236" item="1"/>
          <tpl fld="4" item="1"/>
        </tpls>
      </m>
      <m>
        <tpls c="4">
          <tpl fld="7" item="977"/>
          <tpl fld="6" item="2"/>
          <tpl hier="236" item="1"/>
          <tpl fld="4" item="1"/>
        </tpls>
      </m>
      <m>
        <tpls c="4">
          <tpl fld="7" item="1252"/>
          <tpl fld="6" item="1"/>
          <tpl hier="236" item="1"/>
          <tpl fld="4" item="4"/>
        </tpls>
      </m>
      <m>
        <tpls c="4">
          <tpl fld="7" item="1025"/>
          <tpl fld="6" item="1"/>
          <tpl hier="236" item="1"/>
          <tpl fld="4" item="5"/>
        </tpls>
      </m>
      <m>
        <tpls c="4">
          <tpl fld="7" item="1098"/>
          <tpl fld="6" item="1"/>
          <tpl hier="236" item="1"/>
          <tpl fld="4" item="5"/>
        </tpls>
      </m>
      <m>
        <tpls c="4">
          <tpl fld="7" item="317"/>
          <tpl fld="6" item="2"/>
          <tpl hier="236" item="1"/>
          <tpl fld="4" item="5"/>
        </tpls>
      </m>
      <n v="1.08" in="2">
        <tpls c="4">
          <tpl fld="7" item="374"/>
          <tpl fld="6" item="2"/>
          <tpl hier="236" item="1"/>
          <tpl fld="4" item="6"/>
        </tpls>
      </n>
      <m>
        <tpls c="4">
          <tpl fld="7" item="508"/>
          <tpl fld="6" item="1"/>
          <tpl hier="236" item="1"/>
          <tpl fld="4" item="5"/>
        </tpls>
      </m>
      <m>
        <tpls c="4">
          <tpl fld="7" item="965"/>
          <tpl fld="6" item="1"/>
          <tpl hier="236" item="1"/>
          <tpl fld="4" item="1"/>
        </tpls>
      </m>
      <n v="2" in="1">
        <tpls c="4">
          <tpl fld="7" item="1216"/>
          <tpl fld="6" item="1"/>
          <tpl hier="236" item="1"/>
          <tpl fld="4" item="1"/>
        </tpls>
      </n>
      <m>
        <tpls c="4">
          <tpl fld="7" item="272"/>
          <tpl fld="6" item="1"/>
          <tpl hier="236" item="1"/>
          <tpl fld="4" item="1"/>
        </tpls>
      </m>
      <n v="24" in="1">
        <tpls c="4">
          <tpl fld="7" item="806"/>
          <tpl fld="6" item="1"/>
          <tpl hier="236" item="1"/>
          <tpl fld="4" item="4"/>
        </tpls>
      </n>
      <m>
        <tpls c="3">
          <tpl fld="7" item="844"/>
          <tpl fld="6" item="3"/>
          <tpl hier="236" item="1"/>
        </tpls>
      </m>
      <m>
        <tpls c="4">
          <tpl fld="7" item="54"/>
          <tpl fld="6" item="2"/>
          <tpl hier="236" item="1"/>
          <tpl fld="1" item="0"/>
        </tpls>
      </m>
      <m>
        <tpls c="4">
          <tpl fld="7" item="365"/>
          <tpl fld="6" item="2"/>
          <tpl hier="236" item="1"/>
          <tpl fld="4" item="5"/>
        </tpls>
      </m>
      <m>
        <tpls c="4">
          <tpl fld="7" item="405"/>
          <tpl fld="6" item="2"/>
          <tpl hier="236" item="1"/>
          <tpl fld="4" item="5"/>
        </tpls>
      </m>
      <n v="1" in="2">
        <tpls c="4">
          <tpl fld="7" item="510"/>
          <tpl fld="6" item="2"/>
          <tpl hier="236" item="1"/>
          <tpl fld="4" item="6"/>
        </tpls>
      </n>
      <m>
        <tpls c="4">
          <tpl fld="7" item="249"/>
          <tpl fld="6" item="2"/>
          <tpl hier="236" item="1"/>
          <tpl fld="4" item="6"/>
        </tpls>
      </m>
      <m>
        <tpls c="4">
          <tpl fld="7" item="760"/>
          <tpl fld="6" item="1"/>
          <tpl hier="236" item="1"/>
          <tpl fld="4" item="5"/>
        </tpls>
      </m>
      <m>
        <tpls c="4">
          <tpl fld="7" item="227"/>
          <tpl fld="6" item="1"/>
          <tpl hier="236" item="1"/>
          <tpl fld="4" item="5"/>
        </tpls>
      </m>
      <m>
        <tpls c="4">
          <tpl fld="7" item="845"/>
          <tpl fld="6" item="1"/>
          <tpl hier="236" item="1"/>
          <tpl fld="4" item="1"/>
        </tpls>
      </m>
      <m>
        <tpls c="4">
          <tpl fld="7" item="186"/>
          <tpl fld="6" item="1"/>
          <tpl hier="236" item="1"/>
          <tpl fld="4" item="1"/>
        </tpls>
      </m>
      <n v="3" in="1">
        <tpls c="4">
          <tpl fld="7" item="1120"/>
          <tpl fld="6" item="1"/>
          <tpl hier="236" item="1"/>
          <tpl fld="1" item="0"/>
        </tpls>
      </n>
      <m>
        <tpls c="4">
          <tpl fld="7" item="755"/>
          <tpl fld="6" item="1"/>
          <tpl hier="236" item="1"/>
          <tpl fld="1" item="0"/>
        </tpls>
      </m>
      <m>
        <tpls c="4">
          <tpl fld="7" item="75"/>
          <tpl fld="6" item="2"/>
          <tpl hier="236" item="1"/>
          <tpl fld="4" item="1"/>
        </tpls>
      </m>
      <m>
        <tpls c="4">
          <tpl fld="7" item="147"/>
          <tpl fld="6" item="2"/>
          <tpl hier="236" item="1"/>
          <tpl fld="4" item="5"/>
        </tpls>
      </m>
      <m>
        <tpls c="4">
          <tpl fld="7" item="168"/>
          <tpl fld="6" item="1"/>
          <tpl hier="236" item="1"/>
          <tpl fld="4" item="5"/>
        </tpls>
      </m>
      <m>
        <tpls c="4">
          <tpl fld="7" item="916"/>
          <tpl fld="6" item="1"/>
          <tpl hier="236" item="1"/>
          <tpl fld="1" item="0"/>
        </tpls>
      </m>
      <m>
        <tpls c="4">
          <tpl fld="7" item="670"/>
          <tpl fld="6" item="1"/>
          <tpl hier="236" item="1"/>
          <tpl fld="1" item="0"/>
        </tpls>
      </m>
      <m>
        <tpls c="3">
          <tpl fld="7" item="1092"/>
          <tpl fld="6" item="3"/>
          <tpl hier="236" item="1"/>
        </tpls>
      </m>
      <m>
        <tpls c="4">
          <tpl fld="7" item="1056"/>
          <tpl fld="6" item="2"/>
          <tpl hier="236" item="1"/>
          <tpl fld="4" item="4"/>
        </tpls>
      </m>
      <m>
        <tpls c="4">
          <tpl fld="7" item="0"/>
          <tpl fld="6" item="2"/>
          <tpl hier="236" item="1"/>
          <tpl fld="4" item="4"/>
        </tpls>
      </m>
      <n v="3" in="1">
        <tpls c="4">
          <tpl fld="7" item="1023"/>
          <tpl fld="6" item="1"/>
          <tpl hier="236" item="1"/>
          <tpl fld="1" item="0"/>
        </tpls>
      </n>
      <m>
        <tpls c="4">
          <tpl fld="7" item="1179"/>
          <tpl fld="6" item="2"/>
          <tpl hier="236" item="1"/>
          <tpl fld="4" item="4"/>
        </tpls>
      </m>
      <n v="9" in="1">
        <tpls c="4">
          <tpl fld="7" item="1012"/>
          <tpl fld="6" item="1"/>
          <tpl hier="236" item="1"/>
          <tpl fld="4" item="4"/>
        </tpls>
      </n>
      <m>
        <tpls c="4">
          <tpl fld="7" item="142"/>
          <tpl fld="6" item="2"/>
          <tpl hier="236" item="1"/>
          <tpl fld="4" item="5"/>
        </tpls>
      </m>
      <m>
        <tpls c="4">
          <tpl fld="7" item="433"/>
          <tpl fld="6" item="1"/>
          <tpl hier="236" item="1"/>
          <tpl fld="4" item="5"/>
        </tpls>
      </m>
      <m>
        <tpls c="4">
          <tpl fld="7" item="74"/>
          <tpl fld="6" item="1"/>
          <tpl hier="236" item="1"/>
          <tpl fld="4" item="1"/>
        </tpls>
      </m>
      <n v="6" in="1">
        <tpls c="4">
          <tpl fld="7" item="501"/>
          <tpl fld="6" item="1"/>
          <tpl hier="236" item="1"/>
          <tpl fld="1" item="0"/>
        </tpls>
      </n>
      <m>
        <tpls c="4">
          <tpl fld="7" item="122"/>
          <tpl fld="6" item="1"/>
          <tpl hier="236" item="1"/>
          <tpl fld="1" item="0"/>
        </tpls>
      </m>
      <m>
        <tpls c="3">
          <tpl fld="7" item="16"/>
          <tpl fld="6" item="3"/>
          <tpl hier="236" item="1"/>
        </tpls>
      </m>
      <m>
        <tpls c="4">
          <tpl fld="7" item="935"/>
          <tpl fld="6" item="2"/>
          <tpl hier="236" item="1"/>
          <tpl fld="4" item="4"/>
        </tpls>
      </m>
      <n v="1" in="1">
        <tpls c="4">
          <tpl fld="7" item="839"/>
          <tpl fld="6" item="1"/>
          <tpl hier="236" item="1"/>
          <tpl fld="4" item="5"/>
        </tpls>
      </n>
      <m>
        <tpls c="4">
          <tpl fld="7" item="132"/>
          <tpl fld="6" item="1"/>
          <tpl hier="236" item="1"/>
          <tpl fld="1" item="0"/>
        </tpls>
      </m>
      <n v="2.7600000000000002" in="2">
        <tpls c="4">
          <tpl fld="7" item="540"/>
          <tpl fld="6" item="2"/>
          <tpl hier="236" item="1"/>
          <tpl fld="1" item="0"/>
        </tpls>
      </n>
      <m>
        <tpls c="4">
          <tpl fld="7" item="860"/>
          <tpl fld="6" item="2"/>
          <tpl hier="236" item="1"/>
          <tpl fld="4" item="5"/>
        </tpls>
      </m>
      <m>
        <tpls c="4">
          <tpl fld="7" item="755"/>
          <tpl fld="6" item="2"/>
          <tpl hier="236" item="1"/>
          <tpl fld="4" item="6"/>
        </tpls>
      </m>
      <m>
        <tpls c="4">
          <tpl fld="7" item="1145"/>
          <tpl fld="6" item="1"/>
          <tpl hier="236" item="1"/>
          <tpl fld="4" item="1"/>
        </tpls>
      </m>
      <n v="3" in="1">
        <tpls c="4">
          <tpl fld="7" item="1246"/>
          <tpl fld="6" item="1"/>
          <tpl hier="236" item="1"/>
          <tpl fld="1" item="0"/>
        </tpls>
      </n>
      <m>
        <tpls c="4">
          <tpl fld="7" item="484"/>
          <tpl fld="6" item="1"/>
          <tpl hier="236" item="1"/>
          <tpl fld="1" item="0"/>
        </tpls>
      </m>
      <m>
        <tpls c="4">
          <tpl fld="7" item="115"/>
          <tpl fld="6" item="1"/>
          <tpl hier="236" item="1"/>
          <tpl fld="4" item="6"/>
        </tpls>
      </m>
      <m>
        <tpls c="4">
          <tpl fld="7" item="1281"/>
          <tpl fld="6" item="2"/>
          <tpl hier="236" item="1"/>
          <tpl fld="4" item="4"/>
        </tpls>
      </m>
      <m>
        <tpls c="4">
          <tpl fld="7" item="979"/>
          <tpl fld="6" item="2"/>
          <tpl hier="236" item="1"/>
          <tpl fld="4" item="4"/>
        </tpls>
      </m>
      <n v="35" in="1">
        <tpls c="4">
          <tpl fld="7" item="1053"/>
          <tpl fld="6" item="1"/>
          <tpl hier="236" item="1"/>
          <tpl fld="4" item="4"/>
        </tpls>
      </n>
      <m>
        <tpls c="4">
          <tpl fld="7" item="759"/>
          <tpl fld="6" item="2"/>
          <tpl hier="236" item="1"/>
          <tpl fld="4" item="6"/>
        </tpls>
      </m>
      <m>
        <tpls c="4">
          <tpl fld="7" item="343"/>
          <tpl fld="6" item="1"/>
          <tpl hier="236" item="1"/>
          <tpl fld="1" item="0"/>
        </tpls>
      </m>
      <m>
        <tpls c="4">
          <tpl fld="7" item="237"/>
          <tpl fld="6" item="2"/>
          <tpl hier="236" item="1"/>
          <tpl fld="4" item="4"/>
        </tpls>
      </m>
      <m>
        <tpls c="4">
          <tpl fld="7" item="421"/>
          <tpl fld="6" item="2"/>
          <tpl hier="236" item="1"/>
          <tpl fld="1" item="0"/>
        </tpls>
      </m>
      <m>
        <tpls c="4">
          <tpl fld="7" item="1121"/>
          <tpl fld="6" item="2"/>
          <tpl hier="236" item="1"/>
          <tpl fld="4" item="1"/>
        </tpls>
      </m>
      <m>
        <tpls c="4">
          <tpl fld="7" item="807"/>
          <tpl fld="6" item="2"/>
          <tpl hier="236" item="1"/>
          <tpl fld="4" item="6"/>
        </tpls>
      </m>
      <m>
        <tpls c="4">
          <tpl fld="7" item="959"/>
          <tpl fld="6" item="2"/>
          <tpl hier="236" item="1"/>
          <tpl fld="4" item="1"/>
        </tpls>
      </m>
      <m>
        <tpls c="4">
          <tpl fld="7" item="199"/>
          <tpl fld="6" item="2"/>
          <tpl hier="236" item="1"/>
          <tpl fld="1" item="0"/>
        </tpls>
      </m>
      <m>
        <tpls c="4">
          <tpl fld="7" item="130"/>
          <tpl fld="6" item="1"/>
          <tpl hier="236" item="1"/>
          <tpl fld="4" item="5"/>
        </tpls>
      </m>
      <m>
        <tpls c="4">
          <tpl fld="7" item="1083"/>
          <tpl fld="6" item="2"/>
          <tpl hier="236" item="1"/>
          <tpl fld="1" item="0"/>
        </tpls>
      </m>
      <m>
        <tpls c="4">
          <tpl fld="7" item="117"/>
          <tpl fld="6" item="2"/>
          <tpl hier="236" item="1"/>
          <tpl fld="4" item="5"/>
        </tpls>
      </m>
      <m>
        <tpls c="4">
          <tpl fld="7" item="328"/>
          <tpl fld="6" item="2"/>
          <tpl hier="236" item="1"/>
          <tpl fld="4" item="6"/>
        </tpls>
      </m>
      <m>
        <tpls c="4">
          <tpl fld="7" item="966"/>
          <tpl fld="6" item="1"/>
          <tpl hier="236" item="1"/>
          <tpl fld="4" item="1"/>
        </tpls>
      </m>
      <m>
        <tpls c="4">
          <tpl fld="7" item="420"/>
          <tpl fld="6" item="1"/>
          <tpl hier="236" item="1"/>
          <tpl fld="4" item="1"/>
        </tpls>
      </m>
      <m>
        <tpls c="4">
          <tpl fld="7" item="724"/>
          <tpl fld="6" item="1"/>
          <tpl hier="236" item="1"/>
          <tpl fld="1" item="0"/>
        </tpls>
      </m>
      <n v="32" in="1">
        <tpls c="4">
          <tpl fld="7" item="1280"/>
          <tpl fld="6" item="1"/>
          <tpl hier="236" item="1"/>
          <tpl fld="4" item="4"/>
        </tpls>
      </n>
      <m>
        <tpls c="4">
          <tpl fld="7" item="437"/>
          <tpl fld="6" item="2"/>
          <tpl hier="236" item="1"/>
          <tpl fld="4" item="5"/>
        </tpls>
      </m>
      <m>
        <tpls c="4">
          <tpl fld="7" item="861"/>
          <tpl fld="6" item="2"/>
          <tpl hier="236" item="1"/>
          <tpl fld="4" item="6"/>
        </tpls>
      </m>
      <m>
        <tpls c="4">
          <tpl fld="7" item="330"/>
          <tpl fld="6" item="2"/>
          <tpl hier="236" item="1"/>
          <tpl fld="4" item="6"/>
        </tpls>
      </m>
      <m>
        <tpls c="4">
          <tpl fld="7" item="1226"/>
          <tpl fld="6" item="1"/>
          <tpl hier="236" item="1"/>
          <tpl fld="4" item="1"/>
        </tpls>
      </m>
      <m>
        <tpls c="4">
          <tpl fld="7" item="74"/>
          <tpl fld="6" item="1"/>
          <tpl hier="236" item="1"/>
          <tpl fld="1" item="0"/>
        </tpls>
      </m>
      <m>
        <tpls c="4">
          <tpl fld="7" item="1282"/>
          <tpl fld="6" item="2"/>
          <tpl hier="236" item="1"/>
          <tpl fld="4" item="1"/>
        </tpls>
      </m>
      <n v="0" in="1">
        <tpls c="4">
          <tpl fld="7" item="514"/>
          <tpl fld="6" item="1"/>
          <tpl hier="236" item="1"/>
          <tpl fld="1" item="0"/>
        </tpls>
      </n>
      <m>
        <tpls c="4">
          <tpl fld="7" item="169"/>
          <tpl fld="6" item="2"/>
          <tpl hier="236" item="1"/>
          <tpl fld="4" item="4"/>
        </tpls>
      </m>
      <m>
        <tpls c="4">
          <tpl fld="7" item="129"/>
          <tpl fld="6" item="1"/>
          <tpl hier="236" item="1"/>
          <tpl fld="4" item="6"/>
        </tpls>
      </m>
      <m>
        <tpls c="4">
          <tpl fld="7" item="745"/>
          <tpl fld="6" item="2"/>
          <tpl hier="236" item="1"/>
          <tpl fld="1" item="0"/>
        </tpls>
      </m>
      <m>
        <tpls c="4">
          <tpl fld="7" item="861"/>
          <tpl fld="6" item="2"/>
          <tpl hier="236" item="1"/>
          <tpl fld="4" item="1"/>
        </tpls>
      </m>
      <m>
        <tpls c="4">
          <tpl fld="7" item="370"/>
          <tpl fld="6" item="1"/>
          <tpl hier="236" item="1"/>
          <tpl fld="4" item="5"/>
        </tpls>
      </m>
      <m>
        <tpls c="4">
          <tpl fld="7" item="243"/>
          <tpl fld="6" item="2"/>
          <tpl hier="236" item="1"/>
          <tpl fld="4" item="5"/>
        </tpls>
      </m>
      <m>
        <tpls c="4">
          <tpl fld="7" item="964"/>
          <tpl fld="6" item="1"/>
          <tpl hier="236" item="1"/>
          <tpl fld="4" item="1"/>
        </tpls>
      </m>
      <m>
        <tpls c="4">
          <tpl fld="7" item="812"/>
          <tpl fld="6" item="1"/>
          <tpl hier="236" item="1"/>
          <tpl fld="4" item="1"/>
        </tpls>
      </m>
      <m>
        <tpls c="4">
          <tpl fld="7" item="206"/>
          <tpl fld="6" item="2"/>
          <tpl hier="236" item="1"/>
          <tpl fld="4" item="5"/>
        </tpls>
      </m>
      <n v="1" in="1">
        <tpls c="4">
          <tpl fld="7" item="1272"/>
          <tpl fld="6" item="1"/>
          <tpl hier="236" item="1"/>
          <tpl fld="4" item="5"/>
        </tpls>
      </n>
      <n v="8" in="1">
        <tpls c="4">
          <tpl fld="7" item="453"/>
          <tpl fld="6" item="1"/>
          <tpl hier="236" item="1"/>
          <tpl fld="4" item="1"/>
        </tpls>
      </n>
      <m>
        <tpls c="4">
          <tpl fld="7" item="476"/>
          <tpl fld="6" item="1"/>
          <tpl hier="236" item="1"/>
          <tpl fld="1" item="0"/>
        </tpls>
      </m>
      <m>
        <tpls c="4">
          <tpl fld="7" item="75"/>
          <tpl fld="6" item="1"/>
          <tpl hier="236" item="1"/>
          <tpl fld="4" item="1"/>
        </tpls>
      </m>
      <m>
        <tpls c="4">
          <tpl fld="7" item="1039"/>
          <tpl fld="6" item="2"/>
          <tpl hier="236" item="1"/>
          <tpl fld="4" item="4"/>
        </tpls>
      </m>
      <n v="1" in="1">
        <tpls c="4">
          <tpl fld="7" item="1041"/>
          <tpl fld="6" item="1"/>
          <tpl hier="236" item="1"/>
          <tpl fld="4" item="4"/>
        </tpls>
      </n>
      <m>
        <tpls c="4">
          <tpl fld="7" item="93"/>
          <tpl fld="6" item="1"/>
          <tpl hier="236" item="1"/>
          <tpl fld="1" item="0"/>
        </tpls>
      </m>
      <m>
        <tpls c="4">
          <tpl fld="7" item="141"/>
          <tpl fld="6" item="1"/>
          <tpl hier="236" item="1"/>
          <tpl fld="4" item="5"/>
        </tpls>
      </m>
      <m>
        <tpls c="4">
          <tpl fld="7" item="187"/>
          <tpl fld="6" item="2"/>
          <tpl hier="236" item="1"/>
          <tpl fld="4" item="6"/>
        </tpls>
      </m>
      <m>
        <tpls c="4">
          <tpl fld="7" item="98"/>
          <tpl fld="6" item="1"/>
          <tpl hier="236" item="1"/>
          <tpl fld="1" item="0"/>
        </tpls>
      </m>
      <m>
        <tpls c="4">
          <tpl fld="7" item="1225"/>
          <tpl fld="6" item="2"/>
          <tpl hier="236" item="1"/>
          <tpl fld="4" item="4"/>
        </tpls>
      </m>
      <m>
        <tpls c="4">
          <tpl fld="7" item="34"/>
          <tpl fld="6" item="1"/>
          <tpl hier="236" item="1"/>
          <tpl fld="4" item="5"/>
        </tpls>
      </m>
      <m>
        <tpls c="3">
          <tpl fld="7" item="697"/>
          <tpl fld="6" item="3"/>
          <tpl hier="236" item="1"/>
        </tpls>
      </m>
      <n v="3" in="1">
        <tpls c="4">
          <tpl fld="7" item="650"/>
          <tpl fld="6" item="1"/>
          <tpl hier="236" item="1"/>
          <tpl fld="4" item="1"/>
        </tpls>
      </n>
      <m>
        <tpls c="4">
          <tpl fld="7" item="850"/>
          <tpl fld="6" item="2"/>
          <tpl hier="236" item="1"/>
          <tpl fld="1" item="0"/>
        </tpls>
      </m>
      <n v="2" in="1">
        <tpls c="4">
          <tpl fld="7" item="998"/>
          <tpl fld="6" item="1"/>
          <tpl hier="236" item="1"/>
          <tpl fld="4" item="4"/>
        </tpls>
      </n>
      <m>
        <tpls c="4">
          <tpl fld="7" item="979"/>
          <tpl fld="6" item="2"/>
          <tpl hier="236" item="1"/>
          <tpl fld="1" item="0"/>
        </tpls>
      </m>
      <m>
        <tpls c="4">
          <tpl fld="7" item="1183"/>
          <tpl fld="6" item="2"/>
          <tpl hier="236" item="1"/>
          <tpl fld="4" item="6"/>
        </tpls>
      </m>
      <m>
        <tpls c="4">
          <tpl fld="7" item="129"/>
          <tpl fld="6" item="1"/>
          <tpl hier="236" item="1"/>
          <tpl fld="4" item="1"/>
        </tpls>
      </m>
      <m>
        <tpls c="4">
          <tpl fld="7" item="760"/>
          <tpl fld="6" item="2"/>
          <tpl hier="236" item="1"/>
          <tpl fld="4" item="5"/>
        </tpls>
      </m>
      <m>
        <tpls c="4">
          <tpl fld="7" item="375"/>
          <tpl fld="6" item="2"/>
          <tpl hier="236" item="1"/>
          <tpl fld="4" item="6"/>
        </tpls>
      </m>
      <m>
        <tpls c="4">
          <tpl fld="7" item="504"/>
          <tpl fld="6" item="1"/>
          <tpl hier="236" item="1"/>
          <tpl fld="4" item="5"/>
        </tpls>
      </m>
      <m>
        <tpls c="4">
          <tpl fld="7" item="1125"/>
          <tpl fld="6" item="1"/>
          <tpl hier="236" item="1"/>
          <tpl fld="4" item="1"/>
        </tpls>
      </m>
      <m>
        <tpls c="4">
          <tpl fld="7" item="260"/>
          <tpl fld="6" item="1"/>
          <tpl hier="236" item="1"/>
          <tpl fld="4" item="1"/>
        </tpls>
      </m>
      <m>
        <tpls c="3">
          <tpl fld="7" item="663"/>
          <tpl fld="6" item="3"/>
          <tpl hier="236" item="1"/>
        </tpls>
      </m>
      <m>
        <tpls c="4">
          <tpl fld="7" item="168"/>
          <tpl fld="6" item="2"/>
          <tpl hier="236" item="1"/>
          <tpl fld="1" item="0"/>
        </tpls>
      </m>
      <m>
        <tpls c="4">
          <tpl fld="7" item="172"/>
          <tpl fld="6" item="2"/>
          <tpl hier="236" item="1"/>
          <tpl fld="4" item="5"/>
        </tpls>
      </m>
      <m>
        <tpls c="4">
          <tpl fld="7" item="507"/>
          <tpl fld="6" item="2"/>
          <tpl hier="236" item="1"/>
          <tpl fld="4" item="6"/>
        </tpls>
      </m>
      <m>
        <tpls c="4">
          <tpl fld="7" item="1005"/>
          <tpl fld="6" item="1"/>
          <tpl hier="236" item="1"/>
          <tpl fld="4" item="5"/>
        </tpls>
      </m>
      <n v="6" in="1">
        <tpls c="4">
          <tpl fld="7" item="1235"/>
          <tpl fld="6" item="1"/>
          <tpl hier="236" item="1"/>
          <tpl fld="4" item="1"/>
        </tpls>
      </n>
      <n v="5" in="1">
        <tpls c="4">
          <tpl fld="7" item="427"/>
          <tpl fld="6" item="1"/>
          <tpl hier="236" item="1"/>
          <tpl fld="4" item="1"/>
        </tpls>
      </n>
      <n v="30" in="1">
        <tpls c="4">
          <tpl fld="7" item="1015"/>
          <tpl fld="6" item="1"/>
          <tpl hier="236" item="1"/>
          <tpl fld="1" item="0"/>
        </tpls>
      </n>
      <m>
        <tpls c="4">
          <tpl fld="7" item="471"/>
          <tpl fld="6" item="1"/>
          <tpl hier="236" item="1"/>
          <tpl fld="1" item="0"/>
        </tpls>
      </m>
      <m>
        <tpls c="4">
          <tpl fld="7" item="135"/>
          <tpl fld="6" item="2"/>
          <tpl hier="236" item="1"/>
          <tpl fld="4" item="5"/>
        </tpls>
      </m>
      <m>
        <tpls c="4">
          <tpl fld="7" item="67"/>
          <tpl fld="6" item="1"/>
          <tpl hier="236" item="1"/>
          <tpl fld="4" item="1"/>
        </tpls>
      </m>
      <m>
        <tpls c="4">
          <tpl fld="7" item="12"/>
          <tpl fld="6" item="1"/>
          <tpl hier="236" item="1"/>
          <tpl fld="1" item="0"/>
        </tpls>
      </m>
      <m>
        <tpls c="4">
          <tpl fld="7" item="1037"/>
          <tpl fld="6" item="2"/>
          <tpl hier="236" item="1"/>
          <tpl fld="4" item="4"/>
        </tpls>
      </m>
      <m>
        <tpls c="4">
          <tpl fld="7" item="306"/>
          <tpl fld="6" item="1"/>
          <tpl hier="236" item="1"/>
          <tpl fld="1" item="0"/>
        </tpls>
      </m>
      <m>
        <tpls c="4">
          <tpl fld="7" item="676"/>
          <tpl fld="6" item="2"/>
          <tpl hier="236" item="1"/>
          <tpl fld="1" item="0"/>
        </tpls>
      </m>
      <m>
        <tpls c="4">
          <tpl fld="7" item="26"/>
          <tpl fld="6" item="1"/>
          <tpl hier="236" item="1"/>
          <tpl fld="4" item="5"/>
        </tpls>
      </m>
      <m>
        <tpls c="4">
          <tpl fld="7" item="198"/>
          <tpl fld="6" item="1"/>
          <tpl hier="236" item="1"/>
          <tpl fld="1" item="0"/>
        </tpls>
      </m>
      <m>
        <tpls c="3">
          <tpl fld="7" item="112"/>
          <tpl fld="6" item="3"/>
          <tpl hier="236" item="1"/>
        </tpls>
      </m>
      <m>
        <tpls c="4">
          <tpl fld="7" item="385"/>
          <tpl fld="6" item="1"/>
          <tpl hier="236" item="1"/>
          <tpl fld="4" item="1"/>
        </tpls>
      </m>
      <m>
        <tpls c="4">
          <tpl fld="7" item="818"/>
          <tpl fld="6" item="2"/>
          <tpl hier="236" item="1"/>
          <tpl fld="4" item="4"/>
        </tpls>
      </m>
      <m>
        <tpls c="4">
          <tpl fld="7" item="183"/>
          <tpl fld="6" item="2"/>
          <tpl hier="236" item="1"/>
          <tpl fld="4" item="6"/>
        </tpls>
      </m>
      <n v="7" in="1">
        <tpls c="4">
          <tpl fld="7" item="214"/>
          <tpl fld="6" item="1"/>
          <tpl hier="236" item="1"/>
          <tpl fld="4" item="1"/>
        </tpls>
      </n>
      <n v="1" in="1">
        <tpls c="4">
          <tpl fld="7" item="313"/>
          <tpl fld="6" item="1"/>
          <tpl hier="236" item="1"/>
          <tpl fld="1" item="0"/>
        </tpls>
      </n>
      <m>
        <tpls c="4">
          <tpl fld="7" item="109"/>
          <tpl fld="6" item="1"/>
          <tpl hier="236" item="1"/>
          <tpl fld="4" item="6"/>
        </tpls>
      </m>
      <m>
        <tpls c="4">
          <tpl fld="7" item="1253"/>
          <tpl fld="6" item="2"/>
          <tpl hier="236" item="1"/>
          <tpl fld="4" item="4"/>
        </tpls>
      </m>
      <m>
        <tpls c="4">
          <tpl fld="7" item="744"/>
          <tpl fld="6" item="2"/>
          <tpl hier="236" item="1"/>
          <tpl fld="4" item="1"/>
        </tpls>
      </m>
      <m>
        <tpls c="4">
          <tpl fld="7" item="190"/>
          <tpl fld="6" item="2"/>
          <tpl hier="236" item="1"/>
          <tpl fld="4" item="6"/>
        </tpls>
      </m>
      <m>
        <tpls c="3">
          <tpl fld="7" item="895"/>
          <tpl fld="6" item="3"/>
          <tpl hier="236" item="1"/>
        </tpls>
      </m>
      <n v="1" in="1">
        <tpls c="4">
          <tpl fld="7" item="718"/>
          <tpl fld="6" item="1"/>
          <tpl hier="236" item="1"/>
          <tpl fld="4" item="6"/>
        </tpls>
      </n>
      <m>
        <tpls c="4">
          <tpl fld="7" item="1099"/>
          <tpl fld="6" item="1"/>
          <tpl hier="236" item="1"/>
          <tpl fld="4" item="6"/>
        </tpls>
      </m>
      <m>
        <tpls c="4">
          <tpl fld="7" item="197"/>
          <tpl fld="6" item="2"/>
          <tpl hier="236" item="1"/>
          <tpl fld="1" item="0"/>
        </tpls>
      </m>
      <m>
        <tpls c="4">
          <tpl fld="7" item="1108"/>
          <tpl fld="6" item="1"/>
          <tpl hier="236" item="1"/>
          <tpl fld="4" item="6"/>
        </tpls>
      </m>
      <m>
        <tpls c="4">
          <tpl fld="7" item="522"/>
          <tpl fld="6" item="2"/>
          <tpl hier="236" item="1"/>
          <tpl fld="4" item="5"/>
        </tpls>
      </m>
      <n v="0.4" in="2">
        <tpls c="4">
          <tpl fld="7" item="427"/>
          <tpl fld="6" item="2"/>
          <tpl hier="236" item="1"/>
          <tpl fld="4" item="6"/>
        </tpls>
      </n>
      <m>
        <tpls c="4">
          <tpl fld="7" item="842"/>
          <tpl fld="6" item="1"/>
          <tpl hier="236" item="1"/>
          <tpl fld="1" item="0"/>
        </tpls>
      </m>
      <m>
        <tpls c="4">
          <tpl fld="7" item="594"/>
          <tpl fld="6" item="2"/>
          <tpl hier="236" item="1"/>
          <tpl fld="4" item="5"/>
        </tpls>
      </m>
      <m>
        <tpls c="4">
          <tpl fld="7" item="215"/>
          <tpl fld="6" item="2"/>
          <tpl hier="236" item="1"/>
          <tpl fld="4" item="6"/>
        </tpls>
      </m>
      <m>
        <tpls c="4">
          <tpl fld="7" item="95"/>
          <tpl fld="6" item="1"/>
          <tpl hier="236" item="1"/>
          <tpl fld="4" item="5"/>
        </tpls>
      </m>
      <m>
        <tpls c="4">
          <tpl fld="7" item="905"/>
          <tpl fld="6" item="1"/>
          <tpl hier="236" item="1"/>
          <tpl fld="4" item="1"/>
        </tpls>
      </m>
      <m>
        <tpls c="4">
          <tpl fld="7" item="248"/>
          <tpl fld="6" item="1"/>
          <tpl hier="236" item="1"/>
          <tpl fld="4" item="1"/>
        </tpls>
      </m>
      <m>
        <tpls c="4">
          <tpl fld="7" item="899"/>
          <tpl fld="6" item="2"/>
          <tpl hier="236" item="1"/>
          <tpl fld="4" item="1"/>
        </tpls>
      </m>
      <m>
        <tpls c="4">
          <tpl fld="7" item="12"/>
          <tpl fld="6" item="2"/>
          <tpl hier="236" item="1"/>
          <tpl fld="1" item="0"/>
        </tpls>
      </m>
      <m>
        <tpls c="4">
          <tpl fld="7" item="274"/>
          <tpl fld="6" item="2"/>
          <tpl hier="236" item="1"/>
          <tpl fld="4" item="5"/>
        </tpls>
      </m>
      <m>
        <tpls c="4">
          <tpl fld="7" item="320"/>
          <tpl fld="6" item="2"/>
          <tpl hier="236" item="1"/>
          <tpl fld="4" item="6"/>
        </tpls>
      </m>
      <n v="4" in="1">
        <tpls c="4">
          <tpl fld="7" item="681"/>
          <tpl fld="6" item="1"/>
          <tpl hier="236" item="1"/>
          <tpl fld="4" item="5"/>
        </tpls>
      </n>
      <m>
        <tpls c="4">
          <tpl fld="7" item="1283"/>
          <tpl fld="6" item="1"/>
          <tpl hier="236" item="1"/>
          <tpl fld="4" item="1"/>
        </tpls>
      </m>
      <n v="2" in="1">
        <tpls c="4">
          <tpl fld="7" item="104"/>
          <tpl fld="6" item="1"/>
          <tpl hier="236" item="1"/>
          <tpl fld="4" item="1"/>
        </tpls>
      </n>
      <n v="7" in="1">
        <tpls c="4">
          <tpl fld="7" item="1242"/>
          <tpl fld="6" item="1"/>
          <tpl hier="236" item="1"/>
          <tpl fld="1" item="0"/>
        </tpls>
      </n>
      <n v="1" in="1">
        <tpls c="4">
          <tpl fld="7" item="709"/>
          <tpl fld="6" item="1"/>
          <tpl hier="236" item="1"/>
          <tpl fld="4" item="6"/>
        </tpls>
      </n>
      <m>
        <tpls c="4">
          <tpl fld="7" item="682"/>
          <tpl fld="6" item="2"/>
          <tpl hier="236" item="1"/>
          <tpl fld="4" item="6"/>
        </tpls>
      </m>
      <m>
        <tpls c="4">
          <tpl fld="7" item="224"/>
          <tpl fld="6" item="1"/>
          <tpl hier="236" item="1"/>
          <tpl fld="4" item="1"/>
        </tpls>
      </m>
      <m>
        <tpls c="4">
          <tpl fld="7" item="237"/>
          <tpl fld="6" item="1"/>
          <tpl hier="236" item="1"/>
          <tpl fld="4" item="6"/>
        </tpls>
      </m>
      <m>
        <tpls c="4">
          <tpl fld="7" item="627"/>
          <tpl fld="6" item="2"/>
          <tpl hier="236" item="1"/>
          <tpl fld="4" item="4"/>
        </tpls>
      </m>
      <m>
        <tpls c="4">
          <tpl fld="7" item="627"/>
          <tpl fld="6" item="1"/>
          <tpl hier="236" item="1"/>
          <tpl fld="4" item="6"/>
        </tpls>
      </m>
      <m>
        <tpls c="4">
          <tpl fld="7" item="1105"/>
          <tpl fld="6" item="2"/>
          <tpl hier="236" item="1"/>
          <tpl fld="4" item="5"/>
        </tpls>
      </m>
      <n v="1" in="1">
        <tpls c="4">
          <tpl fld="7" item="1028"/>
          <tpl fld="6" item="1"/>
          <tpl hier="236" item="1"/>
          <tpl fld="4" item="1"/>
        </tpls>
      </n>
      <m>
        <tpls c="4">
          <tpl fld="7" item="66"/>
          <tpl fld="6" item="1"/>
          <tpl hier="236" item="1"/>
          <tpl fld="1" item="0"/>
        </tpls>
      </m>
      <m>
        <tpls c="4">
          <tpl fld="7" item="962"/>
          <tpl fld="6" item="2"/>
          <tpl hier="236" item="1"/>
          <tpl fld="4" item="4"/>
        </tpls>
      </m>
      <n v="0" in="1">
        <tpls c="4">
          <tpl fld="7" item="531"/>
          <tpl fld="6" item="1"/>
          <tpl hier="236" item="1"/>
          <tpl fld="4" item="1"/>
        </tpls>
      </n>
      <m>
        <tpls c="3">
          <tpl fld="7" item="711"/>
          <tpl fld="6" item="3"/>
          <tpl hier="236" item="1"/>
        </tpls>
      </m>
      <n v="1.8399999999999999" in="2">
        <tpls c="4">
          <tpl fld="7" item="377"/>
          <tpl fld="6" item="2"/>
          <tpl hier="236" item="1"/>
          <tpl fld="4" item="4"/>
        </tpls>
      </n>
      <m>
        <tpls c="3">
          <tpl fld="7" item="585"/>
          <tpl fld="6" item="3"/>
          <tpl hier="236" item="1"/>
        </tpls>
      </m>
      <m>
        <tpls c="4">
          <tpl fld="7" item="647"/>
          <tpl fld="6" item="1"/>
          <tpl hier="236" item="1"/>
          <tpl fld="4" item="1"/>
        </tpls>
      </m>
      <m>
        <tpls c="4">
          <tpl fld="7" item="1011"/>
          <tpl fld="6" item="1"/>
          <tpl hier="236" item="1"/>
          <tpl fld="4" item="6"/>
        </tpls>
      </m>
      <n v="3" in="1">
        <tpls c="4">
          <tpl fld="7" item="1098"/>
          <tpl fld="6" item="1"/>
          <tpl hier="236" item="1"/>
          <tpl fld="4" item="4"/>
        </tpls>
      </n>
      <n v="3" in="1">
        <tpls c="4">
          <tpl fld="7" item="1131"/>
          <tpl fld="6" item="1"/>
          <tpl hier="236" item="1"/>
          <tpl fld="4" item="4"/>
        </tpls>
      </n>
      <m>
        <tpls c="4">
          <tpl fld="7" item="901"/>
          <tpl fld="6" item="2"/>
          <tpl hier="236" item="1"/>
          <tpl fld="4" item="5"/>
        </tpls>
      </m>
      <m>
        <tpls c="4">
          <tpl fld="7" item="439"/>
          <tpl fld="6" item="2"/>
          <tpl hier="236" item="1"/>
          <tpl fld="4" item="5"/>
        </tpls>
      </m>
      <n v="1" in="1">
        <tpls c="4">
          <tpl fld="7" item="361"/>
          <tpl fld="6" item="1"/>
          <tpl hier="236" item="1"/>
          <tpl fld="4" item="5"/>
        </tpls>
      </n>
      <m>
        <tpls c="4">
          <tpl fld="7" item="281"/>
          <tpl fld="6" item="1"/>
          <tpl hier="236" item="1"/>
          <tpl fld="4" item="1"/>
        </tpls>
      </m>
      <m>
        <tpls c="4">
          <tpl fld="7" item="1121"/>
          <tpl fld="6" item="1"/>
          <tpl hier="236" item="1"/>
          <tpl fld="4" item="6"/>
        </tpls>
      </m>
      <m>
        <tpls c="4">
          <tpl fld="7" item="454"/>
          <tpl fld="6" item="1"/>
          <tpl hier="236" item="1"/>
          <tpl fld="4" item="4"/>
        </tpls>
      </m>
      <m>
        <tpls c="4">
          <tpl fld="7" item="1016"/>
          <tpl fld="6" item="2"/>
          <tpl hier="236" item="1"/>
          <tpl fld="4" item="4"/>
        </tpls>
      </m>
      <n v="0" in="1">
        <tpls c="4">
          <tpl fld="7" item="647"/>
          <tpl fld="6" item="1"/>
          <tpl hier="236" item="1"/>
          <tpl fld="4" item="4"/>
        </tpls>
      </n>
      <n v="2" in="1">
        <tpls c="4">
          <tpl fld="7" item="841"/>
          <tpl fld="6" item="1"/>
          <tpl hier="236" item="1"/>
          <tpl fld="4" item="4"/>
        </tpls>
      </n>
      <n v="2" in="1">
        <tpls c="4">
          <tpl fld="7" item="977"/>
          <tpl fld="6" item="1"/>
          <tpl hier="236" item="1"/>
          <tpl fld="4" item="4"/>
        </tpls>
      </n>
      <m>
        <tpls c="4">
          <tpl fld="7" item="801"/>
          <tpl fld="6" item="2"/>
          <tpl hier="236" item="1"/>
          <tpl fld="4" item="4"/>
        </tpls>
      </m>
      <m>
        <tpls c="4">
          <tpl fld="7" item="662"/>
          <tpl fld="6" item="2"/>
          <tpl hier="236" item="1"/>
          <tpl fld="4" item="5"/>
        </tpls>
      </m>
      <n v="5" in="1">
        <tpls c="4">
          <tpl fld="7" item="1029"/>
          <tpl fld="6" item="1"/>
          <tpl hier="236" item="1"/>
          <tpl fld="4" item="4"/>
        </tpls>
      </n>
      <m>
        <tpls c="4">
          <tpl fld="7" item="241"/>
          <tpl fld="6" item="2"/>
          <tpl hier="236" item="1"/>
          <tpl fld="1" item="0"/>
        </tpls>
      </m>
      <m>
        <tpls c="4">
          <tpl fld="7" item="912"/>
          <tpl fld="6" item="1"/>
          <tpl hier="236" item="1"/>
          <tpl fld="4" item="4"/>
        </tpls>
      </m>
      <m>
        <tpls c="4">
          <tpl fld="7" item="28"/>
          <tpl fld="6" item="2"/>
          <tpl hier="236" item="1"/>
          <tpl fld="4" item="5"/>
        </tpls>
      </m>
      <n v="2" in="1">
        <tpls c="4">
          <tpl fld="7" item="356"/>
          <tpl fld="6" item="1"/>
          <tpl hier="236" item="1"/>
          <tpl fld="4" item="5"/>
        </tpls>
      </n>
      <m>
        <tpls c="4">
          <tpl fld="7" item="284"/>
          <tpl fld="6" item="1"/>
          <tpl hier="236" item="1"/>
          <tpl fld="4" item="1"/>
        </tpls>
      </m>
      <n v="0" in="1">
        <tpls c="4">
          <tpl fld="7" item="1220"/>
          <tpl fld="6" item="1"/>
          <tpl hier="236" item="1"/>
          <tpl fld="4" item="4"/>
        </tpls>
      </n>
      <n v="10" in="1">
        <tpls c="4">
          <tpl fld="7" item="1087"/>
          <tpl fld="6" item="1"/>
          <tpl hier="236" item="1"/>
          <tpl fld="4" item="6"/>
        </tpls>
      </n>
      <m>
        <tpls c="4">
          <tpl fld="7" item="860"/>
          <tpl fld="6" item="1"/>
          <tpl hier="236" item="1"/>
          <tpl fld="4" item="6"/>
        </tpls>
      </m>
      <m>
        <tpls c="4">
          <tpl fld="7" item="648"/>
          <tpl fld="6" item="2"/>
          <tpl hier="236" item="1"/>
          <tpl fld="4" item="4"/>
        </tpls>
      </m>
      <m>
        <tpls c="4">
          <tpl fld="7" item="1218"/>
          <tpl fld="6" item="2"/>
          <tpl hier="236" item="1"/>
          <tpl fld="4" item="1"/>
        </tpls>
      </m>
      <m>
        <tpls c="4">
          <tpl fld="7" item="867"/>
          <tpl fld="6" item="2"/>
          <tpl hier="236" item="1"/>
          <tpl fld="1" item="0"/>
        </tpls>
      </m>
      <m>
        <tpls c="4">
          <tpl fld="7" item="720"/>
          <tpl fld="6" item="1"/>
          <tpl hier="236" item="1"/>
          <tpl fld="4" item="1"/>
        </tpls>
      </m>
      <m>
        <tpls c="4">
          <tpl fld="7" item="663"/>
          <tpl fld="6" item="2"/>
          <tpl hier="236" item="1"/>
          <tpl fld="4" item="1"/>
        </tpls>
      </m>
      <m>
        <tpls c="4">
          <tpl fld="7" item="1031"/>
          <tpl fld="6" item="2"/>
          <tpl hier="236" item="1"/>
          <tpl fld="4" item="1"/>
        </tpls>
      </m>
      <m>
        <tpls c="4">
          <tpl fld="7" item="475"/>
          <tpl fld="6" item="2"/>
          <tpl hier="236" item="1"/>
          <tpl fld="1" item="0"/>
        </tpls>
      </m>
      <m>
        <tpls c="4">
          <tpl fld="7" item="1021"/>
          <tpl fld="6" item="2"/>
          <tpl hier="236" item="1"/>
          <tpl fld="4" item="4"/>
        </tpls>
      </m>
      <m>
        <tpls c="4">
          <tpl fld="7" item="118"/>
          <tpl fld="6" item="2"/>
          <tpl hier="236" item="1"/>
          <tpl fld="4" item="5"/>
        </tpls>
      </m>
      <m>
        <tpls c="4">
          <tpl fld="7" item="211"/>
          <tpl fld="6" item="1"/>
          <tpl hier="236" item="1"/>
          <tpl fld="4" item="5"/>
        </tpls>
      </m>
      <m>
        <tpls c="4">
          <tpl fld="7" item="480"/>
          <tpl fld="6" item="1"/>
          <tpl hier="236" item="1"/>
          <tpl fld="4" item="1"/>
        </tpls>
      </m>
      <m>
        <tpls c="4">
          <tpl fld="7" item="918"/>
          <tpl fld="6" item="2"/>
          <tpl hier="236" item="1"/>
          <tpl fld="4" item="4"/>
        </tpls>
      </m>
      <m>
        <tpls c="4">
          <tpl fld="7" item="113"/>
          <tpl fld="6" item="2"/>
          <tpl hier="236" item="1"/>
          <tpl fld="4" item="5"/>
        </tpls>
      </m>
      <m>
        <tpls c="4">
          <tpl fld="7" item="102"/>
          <tpl fld="6" item="1"/>
          <tpl hier="236" item="1"/>
          <tpl fld="4" item="5"/>
        </tpls>
      </m>
      <m>
        <tpls c="4">
          <tpl fld="7" item="1096"/>
          <tpl fld="6" item="1"/>
          <tpl hier="236" item="1"/>
          <tpl fld="4" item="6"/>
        </tpls>
      </m>
      <m>
        <tpls c="3">
          <tpl fld="7" item="741"/>
          <tpl fld="6" item="3"/>
          <tpl hier="236" item="1"/>
        </tpls>
      </m>
      <m>
        <tpls c="4">
          <tpl fld="7" item="38"/>
          <tpl fld="6" item="2"/>
          <tpl hier="236" item="1"/>
          <tpl fld="4" item="5"/>
        </tpls>
      </m>
      <m>
        <tpls c="4">
          <tpl fld="7" item="764"/>
          <tpl fld="6" item="2"/>
          <tpl hier="236" item="1"/>
          <tpl fld="4" item="5"/>
        </tpls>
      </m>
      <m>
        <tpls c="4">
          <tpl fld="7" item="516"/>
          <tpl fld="6" item="1"/>
          <tpl hier="236" item="1"/>
          <tpl fld="4" item="5"/>
        </tpls>
      </m>
      <m>
        <tpls c="4">
          <tpl fld="7" item="1185"/>
          <tpl fld="6" item="1"/>
          <tpl hier="236" item="1"/>
          <tpl fld="4" item="1"/>
        </tpls>
      </m>
      <m>
        <tpls c="4">
          <tpl fld="7" item="413"/>
          <tpl fld="6" item="2"/>
          <tpl hier="236" item="1"/>
          <tpl fld="1" item="0"/>
        </tpls>
      </m>
      <m>
        <tpls c="4">
          <tpl fld="7" item="516"/>
          <tpl fld="6" item="2"/>
          <tpl hier="236" item="1"/>
          <tpl fld="4" item="6"/>
        </tpls>
      </m>
      <m>
        <tpls c="4">
          <tpl fld="7" item="317"/>
          <tpl fld="6" item="1"/>
          <tpl hier="236" item="1"/>
          <tpl fld="4" item="5"/>
        </tpls>
      </m>
      <m>
        <tpls c="4">
          <tpl fld="7" item="1259"/>
          <tpl fld="6" item="1"/>
          <tpl hier="236" item="1"/>
          <tpl fld="4" item="1"/>
        </tpls>
      </m>
      <m>
        <tpls c="4">
          <tpl fld="7" item="204"/>
          <tpl fld="6" item="1"/>
          <tpl hier="236" item="1"/>
          <tpl fld="4" item="1"/>
        </tpls>
      </m>
      <m>
        <tpls c="4">
          <tpl fld="7" item="407"/>
          <tpl fld="6" item="1"/>
          <tpl hier="236" item="1"/>
          <tpl fld="4" item="1"/>
        </tpls>
      </m>
      <m>
        <tpls c="4">
          <tpl fld="7" item="906"/>
          <tpl fld="6" item="1"/>
          <tpl hier="236" item="1"/>
          <tpl fld="1" item="0"/>
        </tpls>
      </m>
      <m>
        <tpls c="4">
          <tpl fld="7" item="177"/>
          <tpl fld="6" item="1"/>
          <tpl hier="236" item="1"/>
          <tpl fld="1" item="0"/>
        </tpls>
      </m>
      <m>
        <tpls c="4">
          <tpl fld="7" item="1215"/>
          <tpl fld="6" item="2"/>
          <tpl hier="236" item="1"/>
          <tpl fld="4" item="1"/>
        </tpls>
      </m>
      <m>
        <tpls c="4">
          <tpl fld="7" item="1028"/>
          <tpl fld="6" item="2"/>
          <tpl hier="236" item="1"/>
          <tpl fld="4" item="6"/>
        </tpls>
      </m>
      <n v="1" in="1">
        <tpls c="4">
          <tpl fld="7" item="1143"/>
          <tpl fld="6" item="1"/>
          <tpl hier="236" item="1"/>
          <tpl fld="4" item="1"/>
        </tpls>
      </n>
      <n v="6" in="1">
        <tpls c="4">
          <tpl fld="7" item="516"/>
          <tpl fld="6" item="1"/>
          <tpl hier="236" item="1"/>
          <tpl fld="1" item="0"/>
        </tpls>
      </n>
      <n v="1" in="1">
        <tpls c="4">
          <tpl fld="7" item="630"/>
          <tpl fld="6" item="1"/>
          <tpl hier="236" item="1"/>
          <tpl fld="4" item="6"/>
        </tpls>
      </n>
      <m>
        <tpls c="4">
          <tpl fld="7" item="1070"/>
          <tpl fld="6" item="2"/>
          <tpl hier="236" item="1"/>
          <tpl fld="4" item="4"/>
        </tpls>
      </m>
      <m>
        <tpls c="4">
          <tpl fld="7" item="129"/>
          <tpl fld="6" item="2"/>
          <tpl hier="236" item="1"/>
          <tpl fld="4" item="4"/>
        </tpls>
      </m>
      <n v="0" in="1">
        <tpls c="4">
          <tpl fld="7" item="171"/>
          <tpl fld="6" item="1"/>
          <tpl hier="236" item="1"/>
          <tpl fld="1" item="0"/>
        </tpls>
      </n>
      <m>
        <tpls c="4">
          <tpl fld="7" item="1189"/>
          <tpl fld="6" item="2"/>
          <tpl hier="236" item="1"/>
          <tpl fld="4" item="1"/>
        </tpls>
      </m>
      <m>
        <tpls c="4">
          <tpl fld="7" item="750"/>
          <tpl fld="6" item="2"/>
          <tpl hier="236" item="1"/>
          <tpl fld="4" item="5"/>
        </tpls>
      </m>
      <m>
        <tpls c="4">
          <tpl fld="7" item="1170"/>
          <tpl fld="6" item="1"/>
          <tpl hier="236" item="1"/>
          <tpl fld="4" item="1"/>
        </tpls>
      </m>
      <n v="1" in="1">
        <tpls c="4">
          <tpl fld="7" item="449"/>
          <tpl fld="6" item="1"/>
          <tpl hier="236" item="1"/>
          <tpl fld="1" item="0"/>
        </tpls>
      </n>
      <n v="14" in="1">
        <tpls c="4">
          <tpl fld="7" item="665"/>
          <tpl fld="6" item="1"/>
          <tpl hier="236" item="1"/>
          <tpl fld="4" item="6"/>
        </tpls>
      </n>
      <n v="0.76" in="2">
        <tpls c="4">
          <tpl fld="7" item="973"/>
          <tpl fld="6" item="2"/>
          <tpl hier="236" item="1"/>
          <tpl fld="4" item="4"/>
        </tpls>
      </n>
      <m>
        <tpls c="4">
          <tpl fld="7" item="904"/>
          <tpl fld="6" item="2"/>
          <tpl hier="236" item="1"/>
          <tpl fld="4" item="6"/>
        </tpls>
      </m>
      <m>
        <tpls c="4">
          <tpl fld="7" item="1239"/>
          <tpl fld="6" item="1"/>
          <tpl hier="236" item="1"/>
          <tpl fld="4" item="6"/>
        </tpls>
      </m>
      <m>
        <tpls c="4">
          <tpl fld="7" item="895"/>
          <tpl fld="6" item="2"/>
          <tpl hier="236" item="1"/>
          <tpl fld="4" item="1"/>
        </tpls>
      </m>
      <n v="0.2" in="2">
        <tpls c="4">
          <tpl fld="7" item="381"/>
          <tpl fld="6" item="2"/>
          <tpl hier="236" item="1"/>
          <tpl fld="4" item="4"/>
        </tpls>
      </n>
      <m>
        <tpls c="4">
          <tpl fld="7" item="1108"/>
          <tpl fld="6" item="2"/>
          <tpl hier="236" item="1"/>
          <tpl fld="4" item="1"/>
        </tpls>
      </m>
      <m>
        <tpls c="3">
          <tpl fld="7" item="816"/>
          <tpl fld="6" item="3"/>
          <tpl hier="236" item="1"/>
        </tpls>
      </m>
      <n v="36" in="1">
        <tpls c="4">
          <tpl fld="7" item="1032"/>
          <tpl fld="6" item="1"/>
          <tpl hier="236" item="1"/>
          <tpl fld="4" item="4"/>
        </tpls>
      </n>
      <n v="1" in="1">
        <tpls c="4">
          <tpl fld="7" item="991"/>
          <tpl fld="6" item="1"/>
          <tpl hier="236" item="1"/>
          <tpl fld="4" item="4"/>
        </tpls>
      </n>
      <m>
        <tpls c="4">
          <tpl fld="7" item="896"/>
          <tpl fld="6" item="2"/>
          <tpl hier="236" item="1"/>
          <tpl fld="4" item="4"/>
        </tpls>
      </m>
      <m>
        <tpls c="4">
          <tpl fld="7" item="314"/>
          <tpl fld="6" item="2"/>
          <tpl hier="236" item="1"/>
          <tpl fld="1" item="0"/>
        </tpls>
      </m>
      <m>
        <tpls c="3">
          <tpl fld="7" item="838"/>
          <tpl fld="6" item="3"/>
          <tpl hier="236" item="1"/>
        </tpls>
      </m>
      <m>
        <tpls c="4">
          <tpl fld="7" item="1003"/>
          <tpl fld="6" item="2"/>
          <tpl hier="236" item="1"/>
          <tpl fld="4" item="6"/>
        </tpls>
      </m>
      <m>
        <tpls c="4">
          <tpl fld="7" item="912"/>
          <tpl fld="6" item="1"/>
          <tpl hier="236" item="1"/>
          <tpl fld="4" item="1"/>
        </tpls>
      </m>
      <m>
        <tpls c="3">
          <tpl fld="7" item="839"/>
          <tpl fld="6" item="3"/>
          <tpl hier="236" item="1"/>
        </tpls>
      </m>
      <m>
        <tpls c="4">
          <tpl fld="7" item="495"/>
          <tpl fld="6" item="2"/>
          <tpl hier="236" item="1"/>
          <tpl fld="4" item="5"/>
        </tpls>
      </m>
      <m>
        <tpls c="4">
          <tpl fld="7" item="1247"/>
          <tpl fld="6" item="2"/>
          <tpl hier="236" item="1"/>
          <tpl fld="4" item="6"/>
        </tpls>
      </m>
      <m>
        <tpls c="4">
          <tpl fld="7" item="340"/>
          <tpl fld="6" item="2"/>
          <tpl hier="236" item="1"/>
          <tpl fld="4" item="6"/>
        </tpls>
      </m>
      <m>
        <tpls c="4">
          <tpl fld="7" item="497"/>
          <tpl fld="6" item="1"/>
          <tpl hier="236" item="1"/>
          <tpl fld="4" item="5"/>
        </tpls>
      </m>
      <m>
        <tpls c="4">
          <tpl fld="7" item="11"/>
          <tpl fld="6" item="1"/>
          <tpl hier="236" item="1"/>
          <tpl fld="4" item="5"/>
        </tpls>
      </m>
      <n v="2" in="1">
        <tpls c="4">
          <tpl fld="7" item="1272"/>
          <tpl fld="6" item="1"/>
          <tpl hier="236" item="1"/>
          <tpl fld="4" item="1"/>
        </tpls>
      </n>
      <n v="22" in="1">
        <tpls c="4">
          <tpl fld="7" item="757"/>
          <tpl fld="6" item="1"/>
          <tpl hier="236" item="1"/>
          <tpl fld="4" item="1"/>
        </tpls>
      </n>
      <m>
        <tpls c="4">
          <tpl fld="7" item="134"/>
          <tpl fld="6" item="1"/>
          <tpl hier="236" item="1"/>
          <tpl fld="4" item="1"/>
        </tpls>
      </m>
      <n v="30" in="1">
        <tpls c="4">
          <tpl fld="7" item="585"/>
          <tpl fld="6" item="1"/>
          <tpl hier="236" item="1"/>
          <tpl fld="1" item="0"/>
        </tpls>
      </n>
      <n v="7" in="1">
        <tpls c="4">
          <tpl fld="7" item="665"/>
          <tpl fld="6" item="1"/>
          <tpl hier="236" item="1"/>
          <tpl fld="4" item="1"/>
        </tpls>
      </n>
      <n v="4" in="1">
        <tpls c="4">
          <tpl fld="7" item="1226"/>
          <tpl fld="6" item="1"/>
          <tpl hier="236" item="1"/>
          <tpl fld="4" item="4"/>
        </tpls>
      </n>
      <m>
        <tpls c="4">
          <tpl fld="7" item="406"/>
          <tpl fld="6" item="2"/>
          <tpl hier="236" item="1"/>
          <tpl fld="1" item="0"/>
        </tpls>
      </m>
      <m>
        <tpls c="4">
          <tpl fld="7" item="982"/>
          <tpl fld="6" item="2"/>
          <tpl hier="236" item="1"/>
          <tpl fld="4" item="5"/>
        </tpls>
      </m>
      <m>
        <tpls c="4">
          <tpl fld="7" item="165"/>
          <tpl fld="6" item="2"/>
          <tpl hier="236" item="1"/>
          <tpl fld="4" item="5"/>
        </tpls>
      </m>
      <m>
        <tpls c="4">
          <tpl fld="7" item="868"/>
          <tpl fld="6" item="2"/>
          <tpl hier="236" item="1"/>
          <tpl fld="4" item="6"/>
        </tpls>
      </m>
      <m>
        <tpls c="4">
          <tpl fld="7" item="502"/>
          <tpl fld="6" item="2"/>
          <tpl hier="236" item="1"/>
          <tpl fld="4" item="6"/>
        </tpls>
      </m>
      <m>
        <tpls c="4">
          <tpl fld="7" item="141"/>
          <tpl fld="6" item="2"/>
          <tpl hier="236" item="1"/>
          <tpl fld="4" item="6"/>
        </tpls>
      </m>
      <n v="1" in="1">
        <tpls c="4">
          <tpl fld="7" item="1104"/>
          <tpl fld="6" item="1"/>
          <tpl hier="236" item="1"/>
          <tpl fld="4" item="5"/>
        </tpls>
      </n>
      <m>
        <tpls c="4">
          <tpl fld="7" item="416"/>
          <tpl fld="6" item="1"/>
          <tpl hier="236" item="1"/>
          <tpl fld="4" item="5"/>
        </tpls>
      </m>
      <m>
        <tpls c="4">
          <tpl fld="7" item="1208"/>
          <tpl fld="6" item="1"/>
          <tpl hier="236" item="1"/>
          <tpl fld="4" item="1"/>
        </tpls>
      </m>
      <n v="2" in="1">
        <tpls c="4">
          <tpl fld="7" item="853"/>
          <tpl fld="6" item="1"/>
          <tpl hier="236" item="1"/>
          <tpl fld="4" item="1"/>
        </tpls>
      </n>
      <n v="41" in="1">
        <tpls c="4">
          <tpl fld="7" item="1211"/>
          <tpl fld="6" item="1"/>
          <tpl hier="236" item="1"/>
          <tpl fld="4" item="1"/>
        </tpls>
      </n>
      <m>
        <tpls c="4">
          <tpl fld="7" item="335"/>
          <tpl fld="6" item="1"/>
          <tpl hier="236" item="1"/>
          <tpl fld="4" item="1"/>
        </tpls>
      </m>
      <n v="3" in="1">
        <tpls c="4">
          <tpl fld="7" item="1114"/>
          <tpl fld="6" item="1"/>
          <tpl hier="236" item="1"/>
          <tpl fld="1" item="0"/>
        </tpls>
      </n>
      <m>
        <tpls c="4">
          <tpl fld="7" item="594"/>
          <tpl fld="6" item="1"/>
          <tpl hier="236" item="1"/>
          <tpl fld="1" item="0"/>
        </tpls>
      </m>
      <m>
        <tpls c="4">
          <tpl fld="7" item="589"/>
          <tpl fld="6" item="1"/>
          <tpl hier="236" item="1"/>
          <tpl fld="1" item="0"/>
        </tpls>
      </m>
      <m>
        <tpls c="3">
          <tpl fld="7" item="869"/>
          <tpl fld="6" item="3"/>
          <tpl hier="236" item="1"/>
        </tpls>
      </m>
      <m>
        <tpls c="4">
          <tpl fld="7" item="13"/>
          <tpl fld="6" item="2"/>
          <tpl hier="236" item="1"/>
          <tpl fld="4" item="5"/>
        </tpls>
      </m>
      <n v="0" in="1">
        <tpls c="4">
          <tpl fld="7" item="1083"/>
          <tpl fld="6" item="1"/>
          <tpl hier="236" item="1"/>
          <tpl fld="4" item="5"/>
        </tpls>
      </n>
      <m>
        <tpls c="4">
          <tpl fld="7" item="262"/>
          <tpl fld="6" item="1"/>
          <tpl hier="236" item="1"/>
          <tpl fld="4" item="1"/>
        </tpls>
      </m>
      <n v="57" in="1">
        <tpls c="4">
          <tpl fld="7" item="107"/>
          <tpl fld="6" item="1"/>
          <tpl hier="236" item="1"/>
          <tpl fld="1" item="0"/>
        </tpls>
      </n>
      <m>
        <tpls c="4">
          <tpl fld="7" item="791"/>
          <tpl fld="6" item="1"/>
          <tpl hier="236" item="1"/>
          <tpl fld="4" item="6"/>
        </tpls>
      </m>
      <m>
        <tpls c="3">
          <tpl fld="7" item="329"/>
          <tpl fld="6" item="3"/>
          <tpl hier="236" item="1"/>
        </tpls>
      </m>
      <m>
        <tpls c="4">
          <tpl fld="7" item="1135"/>
          <tpl fld="6" item="2"/>
          <tpl hier="236" item="1"/>
          <tpl fld="4" item="4"/>
        </tpls>
      </m>
      <m>
        <tpls c="4">
          <tpl fld="7" item="59"/>
          <tpl fld="6" item="2"/>
          <tpl hier="236" item="1"/>
          <tpl fld="4" item="6"/>
        </tpls>
      </m>
      <m>
        <tpls c="4">
          <tpl fld="7" item="287"/>
          <tpl fld="6" item="1"/>
          <tpl hier="236" item="1"/>
          <tpl fld="1" item="0"/>
        </tpls>
      </m>
      <m>
        <tpls c="4">
          <tpl fld="7" item="329"/>
          <tpl fld="6" item="2"/>
          <tpl hier="236" item="1"/>
          <tpl fld="4" item="4"/>
        </tpls>
      </m>
      <m>
        <tpls c="4">
          <tpl fld="7" item="164"/>
          <tpl fld="6" item="2"/>
          <tpl hier="236" item="1"/>
          <tpl fld="1" item="0"/>
        </tpls>
      </m>
      <m>
        <tpls c="4">
          <tpl fld="7" item="598"/>
          <tpl fld="6" item="2"/>
          <tpl hier="236" item="1"/>
          <tpl fld="4" item="6"/>
        </tpls>
      </m>
      <n v="3" in="1">
        <tpls c="4">
          <tpl fld="7" item="1178"/>
          <tpl fld="6" item="1"/>
          <tpl hier="236" item="1"/>
          <tpl fld="4" item="1"/>
        </tpls>
      </n>
      <n v="2" in="1">
        <tpls c="4">
          <tpl fld="7" item="1081"/>
          <tpl fld="6" item="1"/>
          <tpl hier="236" item="1"/>
          <tpl fld="1" item="0"/>
        </tpls>
      </n>
      <m>
        <tpls c="4">
          <tpl fld="7" item="673"/>
          <tpl fld="6" item="1"/>
          <tpl hier="236" item="1"/>
          <tpl fld="1" item="0"/>
        </tpls>
      </m>
      <m>
        <tpls c="4">
          <tpl fld="7" item="119"/>
          <tpl fld="6" item="1"/>
          <tpl hier="236" item="1"/>
          <tpl fld="4" item="6"/>
        </tpls>
      </m>
      <m>
        <tpls c="4">
          <tpl fld="7" item="975"/>
          <tpl fld="6" item="2"/>
          <tpl hier="236" item="1"/>
          <tpl fld="4" item="4"/>
        </tpls>
      </m>
      <m>
        <tpls c="4">
          <tpl fld="7" item="876"/>
          <tpl fld="6" item="2"/>
          <tpl hier="236" item="1"/>
          <tpl fld="4" item="4"/>
        </tpls>
      </m>
      <m>
        <tpls c="4">
          <tpl fld="7" item="80"/>
          <tpl fld="6" item="1"/>
          <tpl hier="236" item="1"/>
          <tpl fld="4" item="1"/>
        </tpls>
      </m>
      <m>
        <tpls c="3">
          <tpl fld="7" item="12"/>
          <tpl fld="6" item="3"/>
          <tpl hier="236" item="1"/>
        </tpls>
      </m>
      <m>
        <tpls c="4">
          <tpl fld="7" item="894"/>
          <tpl fld="6" item="1"/>
          <tpl hier="236" item="1"/>
          <tpl fld="4" item="5"/>
        </tpls>
      </m>
      <m>
        <tpls c="4">
          <tpl fld="7" item="52"/>
          <tpl fld="6" item="2"/>
          <tpl hier="236" item="1"/>
          <tpl fld="4" item="5"/>
        </tpls>
      </m>
      <n v="1" in="1">
        <tpls c="4">
          <tpl fld="7" item="836"/>
          <tpl fld="6" item="1"/>
          <tpl hier="236" item="1"/>
          <tpl fld="4" item="5"/>
        </tpls>
      </n>
      <m>
        <tpls c="4">
          <tpl fld="7" item="354"/>
          <tpl fld="6" item="1"/>
          <tpl hier="236" item="1"/>
          <tpl fld="4" item="1"/>
        </tpls>
      </m>
      <n v="5" in="1">
        <tpls c="4">
          <tpl fld="7" item="370"/>
          <tpl fld="6" item="1"/>
          <tpl hier="236" item="1"/>
          <tpl fld="1" item="0"/>
        </tpls>
      </n>
      <m>
        <tpls c="4">
          <tpl fld="7" item="241"/>
          <tpl fld="6" item="1"/>
          <tpl hier="236" item="1"/>
          <tpl fld="1" item="0"/>
        </tpls>
      </m>
      <m>
        <tpls c="3">
          <tpl fld="7" item="876"/>
          <tpl fld="6" item="3"/>
          <tpl hier="236" item="1"/>
        </tpls>
      </m>
      <m>
        <tpls c="4">
          <tpl fld="7" item="1267"/>
          <tpl fld="6" item="2"/>
          <tpl hier="236" item="1"/>
          <tpl fld="4" item="4"/>
        </tpls>
      </m>
      <m>
        <tpls c="4">
          <tpl fld="7" item="700"/>
          <tpl fld="6" item="2"/>
          <tpl hier="236" item="1"/>
          <tpl fld="4" item="6"/>
        </tpls>
      </m>
      <m>
        <tpls c="4">
          <tpl fld="7" item="1107"/>
          <tpl fld="6" item="2"/>
          <tpl hier="236" item="1"/>
          <tpl fld="4" item="5"/>
        </tpls>
      </m>
      <m>
        <tpls c="4">
          <tpl fld="7" item="1133"/>
          <tpl fld="6" item="1"/>
          <tpl hier="236" item="1"/>
          <tpl fld="4" item="1"/>
        </tpls>
      </m>
      <m>
        <tpls c="4">
          <tpl fld="7" item="668"/>
          <tpl fld="6" item="1"/>
          <tpl hier="236" item="1"/>
          <tpl fld="4" item="6"/>
        </tpls>
      </m>
      <n v="0.8" in="2">
        <tpls c="4">
          <tpl fld="7" item="690"/>
          <tpl fld="6" item="2"/>
          <tpl hier="236" item="1"/>
          <tpl fld="1" item="0"/>
        </tpls>
      </n>
      <n v="2" in="1">
        <tpls c="4">
          <tpl fld="7" item="648"/>
          <tpl fld="6" item="1"/>
          <tpl hier="236" item="1"/>
          <tpl fld="4" item="1"/>
        </tpls>
      </n>
      <m>
        <tpls c="4">
          <tpl fld="7" item="866"/>
          <tpl fld="6" item="2"/>
          <tpl hier="236" item="1"/>
          <tpl fld="1" item="0"/>
        </tpls>
      </m>
      <m>
        <tpls c="4">
          <tpl fld="7" item="663"/>
          <tpl fld="6" item="1"/>
          <tpl hier="236" item="1"/>
          <tpl fld="4" item="5"/>
        </tpls>
      </m>
      <m>
        <tpls c="4">
          <tpl fld="7" item="670"/>
          <tpl fld="6" item="2"/>
          <tpl hier="236" item="1"/>
          <tpl fld="1" item="0"/>
        </tpls>
      </m>
      <m>
        <tpls c="4">
          <tpl fld="7" item="114"/>
          <tpl fld="6" item="2"/>
          <tpl hier="236" item="1"/>
          <tpl fld="4" item="5"/>
        </tpls>
      </m>
      <m>
        <tpls c="4">
          <tpl fld="7" item="479"/>
          <tpl fld="6" item="1"/>
          <tpl hier="236" item="1"/>
          <tpl fld="4" item="1"/>
        </tpls>
      </m>
      <m>
        <tpls c="4">
          <tpl fld="7" item="444"/>
          <tpl fld="6" item="2"/>
          <tpl hier="236" item="1"/>
          <tpl fld="4" item="5"/>
        </tpls>
      </m>
      <m>
        <tpls c="4">
          <tpl fld="7" item="381"/>
          <tpl fld="6" item="2"/>
          <tpl hier="236" item="1"/>
          <tpl fld="4" item="6"/>
        </tpls>
      </m>
      <m>
        <tpls c="4">
          <tpl fld="7" item="509"/>
          <tpl fld="6" item="1"/>
          <tpl hier="236" item="1"/>
          <tpl fld="4" item="5"/>
        </tpls>
      </m>
      <m>
        <tpls c="4">
          <tpl fld="7" item="1128"/>
          <tpl fld="6" item="1"/>
          <tpl hier="236" item="1"/>
          <tpl fld="4" item="1"/>
        </tpls>
      </m>
      <m>
        <tpls c="4">
          <tpl fld="7" item="410"/>
          <tpl fld="6" item="1"/>
          <tpl hier="236" item="1"/>
          <tpl fld="4" item="1"/>
        </tpls>
      </m>
      <m>
        <tpls c="4">
          <tpl fld="7" item="823"/>
          <tpl fld="6" item="2"/>
          <tpl hier="236" item="1"/>
          <tpl fld="4" item="4"/>
        </tpls>
      </m>
      <m>
        <tpls c="4">
          <tpl fld="7" item="263"/>
          <tpl fld="6" item="2"/>
          <tpl hier="236" item="1"/>
          <tpl fld="1" item="0"/>
        </tpls>
      </m>
      <m>
        <tpls c="4">
          <tpl fld="7" item="176"/>
          <tpl fld="6" item="2"/>
          <tpl hier="236" item="1"/>
          <tpl fld="4" item="5"/>
        </tpls>
      </m>
      <m>
        <tpls c="4">
          <tpl fld="7" item="511"/>
          <tpl fld="6" item="2"/>
          <tpl hier="236" item="1"/>
          <tpl fld="4" item="6"/>
        </tpls>
      </m>
      <n v="3" in="1">
        <tpls c="4">
          <tpl fld="7" item="1002"/>
          <tpl fld="6" item="1"/>
          <tpl hier="236" item="1"/>
          <tpl fld="4" item="5"/>
        </tpls>
      </n>
      <m>
        <tpls c="4">
          <tpl fld="7" item="386"/>
          <tpl fld="6" item="2"/>
          <tpl hier="236" item="1"/>
          <tpl fld="4" item="5"/>
        </tpls>
      </m>
      <m>
        <tpls c="4">
          <tpl fld="7" item="952"/>
          <tpl fld="6" item="2"/>
          <tpl hier="236" item="1"/>
          <tpl fld="4" item="4"/>
        </tpls>
      </m>
      <m>
        <tpls c="4">
          <tpl fld="7" item="592"/>
          <tpl fld="6" item="2"/>
          <tpl hier="236" item="1"/>
          <tpl fld="4" item="6"/>
        </tpls>
      </m>
      <m>
        <tpls c="4">
          <tpl fld="7" item="279"/>
          <tpl fld="6" item="1"/>
          <tpl hier="236" item="1"/>
          <tpl fld="4" item="6"/>
        </tpls>
      </m>
      <m>
        <tpls c="4">
          <tpl fld="7" item="278"/>
          <tpl fld="6" item="2"/>
          <tpl hier="236" item="1"/>
          <tpl fld="1" item="0"/>
        </tpls>
      </m>
      <m>
        <tpls c="4">
          <tpl fld="7" item="694"/>
          <tpl fld="6" item="2"/>
          <tpl hier="236" item="1"/>
          <tpl fld="1" item="0"/>
        </tpls>
      </m>
      <n v="10.076054054054053" in="2">
        <tpls c="4">
          <tpl fld="7" item="356"/>
          <tpl fld="6" item="2"/>
          <tpl hier="236" item="1"/>
          <tpl fld="1" item="0"/>
        </tpls>
      </n>
      <m>
        <tpls c="4">
          <tpl fld="7" item="1271"/>
          <tpl fld="6" item="2"/>
          <tpl hier="236" item="1"/>
          <tpl fld="4" item="5"/>
        </tpls>
      </m>
      <n v="2" in="1">
        <tpls c="4">
          <tpl fld="7" item="383"/>
          <tpl fld="6" item="1"/>
          <tpl hier="236" item="1"/>
          <tpl fld="1" item="0"/>
        </tpls>
      </n>
      <m>
        <tpls c="4">
          <tpl fld="7" item="286"/>
          <tpl fld="6" item="2"/>
          <tpl hier="236" item="1"/>
          <tpl fld="4" item="6"/>
        </tpls>
      </m>
      <m>
        <tpls c="4">
          <tpl fld="7" item="679"/>
          <tpl fld="6" item="1"/>
          <tpl hier="236" item="1"/>
          <tpl fld="4" item="1"/>
        </tpls>
      </m>
      <m>
        <tpls c="3">
          <tpl fld="7" item="864"/>
          <tpl fld="6" item="3"/>
          <tpl hier="236" item="1"/>
        </tpls>
      </m>
      <m>
        <tpls c="4">
          <tpl fld="7" item="867"/>
          <tpl fld="6" item="2"/>
          <tpl hier="236" item="1"/>
          <tpl fld="4" item="6"/>
        </tpls>
      </m>
      <m>
        <tpls c="4">
          <tpl fld="7" item="343"/>
          <tpl fld="6" item="1"/>
          <tpl hier="236" item="1"/>
          <tpl fld="4" item="5"/>
        </tpls>
      </m>
      <m>
        <tpls c="4">
          <tpl fld="7" item="476"/>
          <tpl fld="6" item="1"/>
          <tpl hier="236" item="1"/>
          <tpl fld="4" item="1"/>
        </tpls>
      </m>
      <m>
        <tpls c="4">
          <tpl fld="7" item="1012"/>
          <tpl fld="6" item="2"/>
          <tpl hier="236" item="1"/>
          <tpl fld="1" item="0"/>
        </tpls>
      </m>
      <m>
        <tpls c="4">
          <tpl fld="7" item="73"/>
          <tpl fld="6" item="1"/>
          <tpl hier="236" item="1"/>
          <tpl fld="1" item="0"/>
        </tpls>
      </m>
      <m>
        <tpls c="4">
          <tpl fld="7" item="1172"/>
          <tpl fld="6" item="1"/>
          <tpl hier="236" item="1"/>
          <tpl fld="4" item="1"/>
        </tpls>
      </m>
      <m>
        <tpls c="4">
          <tpl fld="7" item="140"/>
          <tpl fld="6" item="2"/>
          <tpl hier="236" item="1"/>
          <tpl fld="4" item="6"/>
        </tpls>
      </m>
      <m>
        <tpls c="3">
          <tpl fld="7" item="627"/>
          <tpl fld="6" item="3"/>
          <tpl hier="236" item="1"/>
        </tpls>
      </m>
      <m>
        <tpls c="4">
          <tpl fld="7" item="667"/>
          <tpl fld="6" item="2"/>
          <tpl hier="236" item="1"/>
          <tpl fld="4" item="4"/>
        </tpls>
      </m>
      <n v="5" in="1">
        <tpls c="4">
          <tpl fld="7" item="1124"/>
          <tpl fld="6" item="1"/>
          <tpl hier="236" item="1"/>
          <tpl fld="4" item="1"/>
        </tpls>
      </n>
      <m>
        <tpls c="4">
          <tpl fld="7" item="240"/>
          <tpl fld="6" item="1"/>
          <tpl hier="236" item="1"/>
          <tpl fld="4" item="6"/>
        </tpls>
      </m>
      <m>
        <tpls c="4">
          <tpl fld="7" item="1240"/>
          <tpl fld="6" item="2"/>
          <tpl hier="236" item="1"/>
          <tpl fld="4" item="1"/>
        </tpls>
      </m>
      <m>
        <tpls c="4">
          <tpl fld="7" item="327"/>
          <tpl fld="6" item="1"/>
          <tpl hier="236" item="1"/>
          <tpl fld="4" item="6"/>
        </tpls>
      </m>
      <m>
        <tpls c="3">
          <tpl fld="7" item="894"/>
          <tpl fld="6" item="3"/>
          <tpl hier="236" item="1"/>
        </tpls>
      </m>
      <m>
        <tpls c="4">
          <tpl fld="7" item="1104"/>
          <tpl fld="6" item="1"/>
          <tpl hier="236" item="1"/>
          <tpl fld="4" item="6"/>
        </tpls>
      </m>
      <m>
        <tpls c="4">
          <tpl fld="7" item="631"/>
          <tpl fld="6" item="2"/>
          <tpl hier="236" item="1"/>
          <tpl fld="1" item="0"/>
        </tpls>
      </m>
      <m>
        <tpls c="4">
          <tpl fld="7" item="1126"/>
          <tpl fld="6" item="1"/>
          <tpl hier="236" item="1"/>
          <tpl fld="4" item="6"/>
        </tpls>
      </m>
      <n v="0.44000000000000006" in="2">
        <tpls c="4">
          <tpl fld="7" item="825"/>
          <tpl fld="6" item="2"/>
          <tpl hier="236" item="1"/>
          <tpl fld="4" item="4"/>
        </tpls>
      </n>
      <m>
        <tpls c="4">
          <tpl fld="7" item="1004"/>
          <tpl fld="6" item="1"/>
          <tpl hier="236" item="1"/>
          <tpl fld="4" item="5"/>
        </tpls>
      </m>
      <m>
        <tpls c="4">
          <tpl fld="7" item="664"/>
          <tpl fld="6" item="2"/>
          <tpl hier="236" item="1"/>
          <tpl fld="4" item="4"/>
        </tpls>
      </m>
      <m>
        <tpls c="4">
          <tpl fld="7" item="168"/>
          <tpl fld="6" item="2"/>
          <tpl hier="236" item="1"/>
          <tpl fld="4" item="5"/>
        </tpls>
      </m>
      <m>
        <tpls c="4">
          <tpl fld="7" item="283"/>
          <tpl fld="6" item="2"/>
          <tpl hier="236" item="1"/>
          <tpl fld="4" item="6"/>
        </tpls>
      </m>
      <m>
        <tpls c="4">
          <tpl fld="7" item="474"/>
          <tpl fld="6" item="1"/>
          <tpl hier="236" item="1"/>
          <tpl fld="4" item="5"/>
        </tpls>
      </m>
      <n v="15" in="1">
        <tpls c="4">
          <tpl fld="7" item="982"/>
          <tpl fld="6" item="1"/>
          <tpl hier="236" item="1"/>
          <tpl fld="4" item="1"/>
        </tpls>
      </n>
      <n v="9" in="1">
        <tpls c="4">
          <tpl fld="7" item="787"/>
          <tpl fld="6" item="1"/>
          <tpl hier="236" item="1"/>
          <tpl fld="4" item="6"/>
        </tpls>
      </n>
      <m>
        <tpls c="4">
          <tpl fld="7" item="917"/>
          <tpl fld="6" item="2"/>
          <tpl hier="236" item="1"/>
          <tpl fld="4" item="1"/>
        </tpls>
      </m>
      <m>
        <tpls c="4">
          <tpl fld="7" item="1192"/>
          <tpl fld="6" item="2"/>
          <tpl hier="236" item="1"/>
          <tpl fld="4" item="5"/>
        </tpls>
      </m>
      <m>
        <tpls c="4">
          <tpl fld="7" item="119"/>
          <tpl fld="6" item="2"/>
          <tpl hier="236" item="1"/>
          <tpl fld="4" item="5"/>
        </tpls>
      </m>
      <m>
        <tpls c="4">
          <tpl fld="7" item="343"/>
          <tpl fld="6" item="2"/>
          <tpl hier="236" item="1"/>
          <tpl fld="4" item="6"/>
        </tpls>
      </m>
      <m>
        <tpls c="4">
          <tpl fld="7" item="320"/>
          <tpl fld="6" item="1"/>
          <tpl hier="236" item="1"/>
          <tpl fld="4" item="5"/>
        </tpls>
      </m>
      <m>
        <tpls c="4">
          <tpl fld="7" item="1262"/>
          <tpl fld="6" item="1"/>
          <tpl hier="236" item="1"/>
          <tpl fld="4" item="1"/>
        </tpls>
      </m>
      <m>
        <tpls c="4">
          <tpl fld="7" item="274"/>
          <tpl fld="6" item="1"/>
          <tpl hier="236" item="1"/>
          <tpl fld="4" item="1"/>
        </tpls>
      </m>
      <m>
        <tpls c="4">
          <tpl fld="7" item="597"/>
          <tpl fld="6" item="1"/>
          <tpl hier="236" item="1"/>
          <tpl fld="1" item="0"/>
        </tpls>
      </m>
      <m>
        <tpls c="4">
          <tpl fld="7" item="734"/>
          <tpl fld="6" item="2"/>
          <tpl hier="236" item="1"/>
          <tpl fld="4" item="6"/>
        </tpls>
      </m>
      <m>
        <tpls c="4">
          <tpl fld="7" item="862"/>
          <tpl fld="6" item="1"/>
          <tpl hier="236" item="1"/>
          <tpl fld="4" item="5"/>
        </tpls>
      </m>
      <n v="15" in="1">
        <tpls c="4">
          <tpl fld="7" item="520"/>
          <tpl fld="6" item="1"/>
          <tpl hier="236" item="1"/>
          <tpl fld="1" item="0"/>
        </tpls>
      </n>
      <m>
        <tpls c="3">
          <tpl fld="7" item="568"/>
          <tpl fld="6" item="3"/>
          <tpl hier="236" item="1"/>
        </tpls>
      </m>
      <m>
        <tpls c="4">
          <tpl fld="7" item="112"/>
          <tpl fld="6" item="2"/>
          <tpl hier="236" item="1"/>
          <tpl fld="4" item="4"/>
        </tpls>
      </m>
      <m>
        <tpls c="4">
          <tpl fld="7" item="1171"/>
          <tpl fld="6" item="2"/>
          <tpl hier="236" item="1"/>
          <tpl fld="4" item="4"/>
        </tpls>
      </m>
      <m>
        <tpls c="4">
          <tpl fld="7" item="8"/>
          <tpl fld="6" item="2"/>
          <tpl hier="236" item="1"/>
          <tpl fld="4" item="5"/>
        </tpls>
      </m>
      <m>
        <tpls c="4">
          <tpl fld="7" item="160"/>
          <tpl fld="6" item="1"/>
          <tpl hier="236" item="1"/>
          <tpl fld="4" item="1"/>
        </tpls>
      </m>
      <m>
        <tpls c="4">
          <tpl fld="7" item="118"/>
          <tpl fld="6" item="1"/>
          <tpl hier="236" item="1"/>
          <tpl fld="1" item="0"/>
        </tpls>
      </m>
      <m>
        <tpls c="4">
          <tpl fld="7" item="932"/>
          <tpl fld="6" item="2"/>
          <tpl hier="236" item="1"/>
          <tpl fld="4" item="4"/>
        </tpls>
      </m>
      <m>
        <tpls c="4">
          <tpl fld="7" item="120"/>
          <tpl fld="6" item="1"/>
          <tpl hier="236" item="1"/>
          <tpl fld="1" item="0"/>
        </tpls>
      </m>
      <m>
        <tpls c="4">
          <tpl fld="7" item="844"/>
          <tpl fld="6" item="2"/>
          <tpl hier="236" item="1"/>
          <tpl fld="4" item="5"/>
        </tpls>
      </m>
      <m>
        <tpls c="4">
          <tpl fld="7" item="351"/>
          <tpl fld="6" item="1"/>
          <tpl hier="236" item="1"/>
          <tpl fld="4" item="5"/>
        </tpls>
      </m>
      <n v="4" in="1">
        <tpls c="4">
          <tpl fld="7" item="1028"/>
          <tpl fld="6" item="1"/>
          <tpl hier="236" item="1"/>
          <tpl fld="1" item="0"/>
        </tpls>
      </n>
      <m>
        <tpls c="4">
          <tpl fld="7" item="405"/>
          <tpl fld="6" item="1"/>
          <tpl hier="236" item="1"/>
          <tpl fld="1" item="0"/>
        </tpls>
      </m>
      <m>
        <tpls c="3">
          <tpl fld="7" item="242"/>
          <tpl fld="6" item="3"/>
          <tpl hier="236" item="1"/>
        </tpls>
      </m>
      <m>
        <tpls c="4">
          <tpl fld="7" item="166"/>
          <tpl fld="6" item="2"/>
          <tpl hier="236" item="1"/>
          <tpl fld="4" item="4"/>
        </tpls>
      </m>
      <m>
        <tpls c="4">
          <tpl fld="7" item="141"/>
          <tpl fld="6" item="2"/>
          <tpl hier="236" item="1"/>
          <tpl fld="1" item="0"/>
        </tpls>
      </m>
      <m>
        <tpls c="4">
          <tpl fld="7" item="60"/>
          <tpl fld="6" item="1"/>
          <tpl hier="236" item="1"/>
          <tpl fld="4" item="1"/>
        </tpls>
      </m>
      <m>
        <tpls c="4">
          <tpl fld="7" item="746"/>
          <tpl fld="6" item="2"/>
          <tpl hier="236" item="1"/>
          <tpl fld="4" item="4"/>
        </tpls>
      </m>
      <m>
        <tpls c="4">
          <tpl fld="7" item="1274"/>
          <tpl fld="6" item="2"/>
          <tpl hier="236" item="1"/>
          <tpl fld="4" item="1"/>
        </tpls>
      </m>
      <m>
        <tpls c="4">
          <tpl fld="7" item="1115"/>
          <tpl fld="6" item="2"/>
          <tpl hier="236" item="1"/>
          <tpl fld="4" item="1"/>
        </tpls>
      </m>
      <m>
        <tpls c="4">
          <tpl fld="7" item="804"/>
          <tpl fld="6" item="2"/>
          <tpl hier="236" item="1"/>
          <tpl fld="4" item="5"/>
        </tpls>
      </m>
      <m>
        <tpls c="4">
          <tpl fld="7" item="939"/>
          <tpl fld="6" item="2"/>
          <tpl hier="236" item="1"/>
          <tpl fld="4" item="1"/>
        </tpls>
      </m>
      <m>
        <tpls c="4">
          <tpl fld="7" item="1254"/>
          <tpl fld="6" item="1"/>
          <tpl hier="236" item="1"/>
          <tpl fld="4" item="4"/>
        </tpls>
      </m>
      <m>
        <tpls c="4">
          <tpl fld="7" item="78"/>
          <tpl fld="6" item="1"/>
          <tpl hier="236" item="1"/>
          <tpl fld="4" item="5"/>
        </tpls>
      </m>
      <n v="4" in="1">
        <tpls c="4">
          <tpl fld="7" item="1052"/>
          <tpl fld="6" item="1"/>
          <tpl hier="236" item="1"/>
          <tpl fld="4" item="4"/>
        </tpls>
      </n>
      <m>
        <tpls c="4">
          <tpl fld="7" item="248"/>
          <tpl fld="6" item="2"/>
          <tpl hier="236" item="1"/>
          <tpl fld="4" item="5"/>
        </tpls>
      </m>
      <m>
        <tpls c="4">
          <tpl fld="7" item="27"/>
          <tpl fld="6" item="2"/>
          <tpl hier="236" item="1"/>
          <tpl fld="4" item="6"/>
        </tpls>
      </m>
      <m>
        <tpls c="4">
          <tpl fld="7" item="15"/>
          <tpl fld="6" item="1"/>
          <tpl hier="236" item="1"/>
          <tpl fld="4" item="5"/>
        </tpls>
      </m>
      <m>
        <tpls c="4">
          <tpl fld="7" item="676"/>
          <tpl fld="6" item="1"/>
          <tpl hier="236" item="1"/>
          <tpl fld="4" item="1"/>
        </tpls>
      </m>
      <n v="1" in="1">
        <tpls c="4">
          <tpl fld="7" item="641"/>
          <tpl fld="6" item="1"/>
          <tpl hier="236" item="1"/>
          <tpl fld="4" item="1"/>
        </tpls>
      </n>
      <m>
        <tpls c="4">
          <tpl fld="7" item="1273"/>
          <tpl fld="6" item="1"/>
          <tpl hier="236" item="1"/>
          <tpl fld="4" item="4"/>
        </tpls>
      </m>
      <m>
        <tpls c="4">
          <tpl fld="7" item="1085"/>
          <tpl fld="6" item="2"/>
          <tpl hier="236" item="1"/>
          <tpl fld="4" item="5"/>
        </tpls>
      </m>
      <m>
        <tpls c="4">
          <tpl fld="7" item="871"/>
          <tpl fld="6" item="2"/>
          <tpl hier="236" item="1"/>
          <tpl fld="4" item="6"/>
        </tpls>
      </m>
      <m>
        <tpls c="4">
          <tpl fld="7" item="42"/>
          <tpl fld="6" item="2"/>
          <tpl hier="236" item="1"/>
          <tpl fld="4" item="6"/>
        </tpls>
      </m>
      <m>
        <tpls c="4">
          <tpl fld="7" item="302"/>
          <tpl fld="6" item="1"/>
          <tpl hier="236" item="1"/>
          <tpl fld="4" item="5"/>
        </tpls>
      </m>
      <n v="1" in="1">
        <tpls c="4">
          <tpl fld="7" item="856"/>
          <tpl fld="6" item="1"/>
          <tpl hier="236" item="1"/>
          <tpl fld="4" item="1"/>
        </tpls>
      </n>
      <m>
        <tpls c="4">
          <tpl fld="7" item="242"/>
          <tpl fld="6" item="1"/>
          <tpl hier="236" item="1"/>
          <tpl fld="4" item="1"/>
        </tpls>
      </m>
      <m>
        <tpls c="4">
          <tpl fld="7" item="420"/>
          <tpl fld="6" item="1"/>
          <tpl hier="236" item="1"/>
          <tpl fld="1" item="0"/>
        </tpls>
      </m>
      <m>
        <tpls c="4">
          <tpl fld="7" item="1021"/>
          <tpl fld="6" item="1"/>
          <tpl hier="236" item="1"/>
          <tpl fld="4" item="4"/>
        </tpls>
      </m>
      <m>
        <tpls c="4">
          <tpl fld="7" item="756"/>
          <tpl fld="6" item="1"/>
          <tpl hier="236" item="1"/>
          <tpl fld="4" item="5"/>
        </tpls>
      </m>
      <n v="46" in="1">
        <tpls c="4">
          <tpl fld="7" item="496"/>
          <tpl fld="6" item="1"/>
          <tpl hier="236" item="1"/>
          <tpl fld="1" item="0"/>
        </tpls>
      </n>
      <m>
        <tpls c="3">
          <tpl fld="7" item="241"/>
          <tpl fld="6" item="3"/>
          <tpl hier="236" item="1"/>
        </tpls>
      </m>
      <m>
        <tpls c="4">
          <tpl fld="7" item="418"/>
          <tpl fld="6" item="2"/>
          <tpl hier="236" item="1"/>
          <tpl fld="4" item="6"/>
        </tpls>
      </m>
      <m>
        <tpls c="4">
          <tpl fld="7" item="60"/>
          <tpl fld="6" item="2"/>
          <tpl hier="236" item="1"/>
          <tpl fld="4" item="4"/>
        </tpls>
      </m>
      <m>
        <tpls c="4">
          <tpl fld="7" item="601"/>
          <tpl fld="6" item="2"/>
          <tpl hier="236" item="1"/>
          <tpl fld="4" item="6"/>
        </tpls>
      </m>
      <m>
        <tpls c="4">
          <tpl fld="7" item="231"/>
          <tpl fld="6" item="1"/>
          <tpl hier="236" item="1"/>
          <tpl fld="4" item="1"/>
        </tpls>
      </m>
      <m>
        <tpls c="4">
          <tpl fld="7" item="232"/>
          <tpl fld="6" item="1"/>
          <tpl hier="236" item="1"/>
          <tpl fld="4" item="6"/>
        </tpls>
      </m>
      <m>
        <tpls c="4">
          <tpl fld="7" item="411"/>
          <tpl fld="6" item="2"/>
          <tpl hier="236" item="1"/>
          <tpl fld="4" item="4"/>
        </tpls>
      </m>
      <m>
        <tpls c="3">
          <tpl fld="7" item="168"/>
          <tpl fld="6" item="3"/>
          <tpl hier="236" item="1"/>
        </tpls>
      </m>
      <m>
        <tpls c="4">
          <tpl fld="7" item="74"/>
          <tpl fld="6" item="2"/>
          <tpl hier="236" item="1"/>
          <tpl fld="4" item="5"/>
        </tpls>
      </m>
      <m>
        <tpls c="4">
          <tpl fld="7" item="166"/>
          <tpl fld="6" item="1"/>
          <tpl hier="236" item="1"/>
          <tpl fld="4" item="5"/>
        </tpls>
      </m>
      <n v="2" in="1">
        <tpls c="4">
          <tpl fld="7" item="1010"/>
          <tpl fld="6" item="1"/>
          <tpl hier="236" item="1"/>
          <tpl fld="1" item="0"/>
        </tpls>
      </n>
      <m>
        <tpls c="4">
          <tpl fld="7" item="22"/>
          <tpl fld="6" item="1"/>
          <tpl hier="236" item="1"/>
          <tpl fld="1" item="0"/>
        </tpls>
      </m>
      <m>
        <tpls c="3">
          <tpl fld="7" item="325"/>
          <tpl fld="6" item="3"/>
          <tpl hier="236" item="1"/>
        </tpls>
      </m>
      <m>
        <tpls c="4">
          <tpl fld="7" item="20"/>
          <tpl fld="6" item="2"/>
          <tpl hier="236" item="1"/>
          <tpl fld="4" item="4"/>
        </tpls>
      </m>
      <m>
        <tpls c="4">
          <tpl fld="7" item="93"/>
          <tpl fld="6" item="2"/>
          <tpl hier="236" item="1"/>
          <tpl fld="4" item="5"/>
        </tpls>
      </m>
      <n v="10" in="1">
        <tpls c="4">
          <tpl fld="7" item="1002"/>
          <tpl fld="6" item="1"/>
          <tpl hier="236" item="1"/>
          <tpl fld="1" item="0"/>
        </tpls>
      </n>
      <m>
        <tpls c="4">
          <tpl fld="7" item="225"/>
          <tpl fld="6" item="2"/>
          <tpl hier="236" item="1"/>
          <tpl fld="4" item="4"/>
        </tpls>
      </m>
      <n v="3" in="1">
        <tpls c="4">
          <tpl fld="7" item="830"/>
          <tpl fld="6" item="1"/>
          <tpl hier="236" item="1"/>
          <tpl fld="4" item="1"/>
        </tpls>
      </n>
      <m>
        <tpls c="4">
          <tpl fld="7" item="750"/>
          <tpl fld="6" item="1"/>
          <tpl hier="236" item="1"/>
          <tpl fld="4" item="1"/>
        </tpls>
      </m>
      <m>
        <tpls c="4">
          <tpl fld="7" item="180"/>
          <tpl fld="6" item="1"/>
          <tpl hier="236" item="1"/>
          <tpl fld="1" item="0"/>
        </tpls>
      </m>
      <m>
        <tpls c="4">
          <tpl fld="7" item="230"/>
          <tpl fld="6" item="2"/>
          <tpl hier="236" item="1"/>
          <tpl fld="1" item="0"/>
        </tpls>
      </m>
      <n v="1" in="1">
        <tpls c="4">
          <tpl fld="7" item="1155"/>
          <tpl fld="6" item="1"/>
          <tpl hier="236" item="1"/>
          <tpl fld="4" item="1"/>
        </tpls>
      </n>
      <m>
        <tpls c="4">
          <tpl fld="7" item="292"/>
          <tpl fld="6" item="1"/>
          <tpl hier="236" item="1"/>
          <tpl fld="1" item="0"/>
        </tpls>
      </m>
      <m>
        <tpls c="4">
          <tpl fld="7" item="1065"/>
          <tpl fld="6" item="2"/>
          <tpl hier="236" item="1"/>
          <tpl fld="4" item="4"/>
        </tpls>
      </m>
      <m>
        <tpls c="4">
          <tpl fld="7" item="152"/>
          <tpl fld="6" item="1"/>
          <tpl hier="236" item="1"/>
          <tpl fld="4" item="1"/>
        </tpls>
      </m>
      <m>
        <tpls c="4">
          <tpl fld="7" item="925"/>
          <tpl fld="6" item="1"/>
          <tpl hier="236" item="1"/>
          <tpl fld="4" item="6"/>
        </tpls>
      </m>
      <m>
        <tpls c="4">
          <tpl fld="7" item="211"/>
          <tpl fld="6" item="1"/>
          <tpl hier="236" item="1"/>
          <tpl fld="4" item="1"/>
        </tpls>
      </m>
      <m>
        <tpls c="3">
          <tpl fld="7" item="277"/>
          <tpl fld="6" item="3"/>
          <tpl hier="236" item="1"/>
        </tpls>
      </m>
      <m>
        <tpls c="4">
          <tpl fld="7" item="31"/>
          <tpl fld="6" item="1"/>
          <tpl hier="236" item="1"/>
          <tpl fld="1" item="0"/>
        </tpls>
      </m>
      <n v="1.3027027027027027" in="2">
        <tpls c="4">
          <tpl fld="7" item="878"/>
          <tpl fld="6" item="2"/>
          <tpl hier="236" item="1"/>
          <tpl fld="4" item="6"/>
        </tpls>
      </n>
      <n v="14" in="1">
        <tpls c="4">
          <tpl fld="7" item="1016"/>
          <tpl fld="6" item="1"/>
          <tpl hier="236" item="1"/>
          <tpl fld="1" item="0"/>
        </tpls>
      </n>
      <m>
        <tpls c="4">
          <tpl fld="7" item="6"/>
          <tpl fld="6" item="1"/>
          <tpl hier="236" item="1"/>
          <tpl fld="4" item="6"/>
        </tpls>
      </m>
      <n v="11" in="1">
        <tpls c="4">
          <tpl fld="7" item="543"/>
          <tpl fld="6" item="1"/>
          <tpl hier="236" item="1"/>
          <tpl fld="1" item="0"/>
        </tpls>
      </n>
      <m>
        <tpls c="4">
          <tpl fld="7" item="76"/>
          <tpl fld="6" item="1"/>
          <tpl hier="236" item="1"/>
          <tpl fld="4" item="1"/>
        </tpls>
      </m>
      <m>
        <tpls c="3">
          <tpl fld="7" item="624"/>
          <tpl fld="6" item="3"/>
          <tpl hier="236" item="1"/>
        </tpls>
      </m>
      <n v="4" in="1">
        <tpls c="4">
          <tpl fld="7" item="970"/>
          <tpl fld="6" item="1"/>
          <tpl hier="236" item="1"/>
          <tpl fld="4" item="4"/>
        </tpls>
      </n>
      <m>
        <tpls c="4">
          <tpl fld="7" item="45"/>
          <tpl fld="6" item="2"/>
          <tpl hier="236" item="1"/>
          <tpl fld="1" item="0"/>
        </tpls>
      </m>
      <n v="6" in="1">
        <tpls c="4">
          <tpl fld="7" item="504"/>
          <tpl fld="6" item="1"/>
          <tpl hier="236" item="1"/>
          <tpl fld="4" item="1"/>
        </tpls>
      </n>
      <m>
        <tpls c="4">
          <tpl fld="7" item="1222"/>
          <tpl fld="6" item="2"/>
          <tpl hier="236" item="1"/>
          <tpl fld="4" item="6"/>
        </tpls>
      </m>
      <m>
        <tpls c="4">
          <tpl fld="7" item="954"/>
          <tpl fld="6" item="1"/>
          <tpl hier="236" item="1"/>
          <tpl fld="4" item="1"/>
        </tpls>
      </m>
      <n v="1" in="1">
        <tpls c="4">
          <tpl fld="7" item="804"/>
          <tpl fld="6" item="1"/>
          <tpl hier="236" item="1"/>
          <tpl fld="4" item="5"/>
        </tpls>
      </n>
      <m>
        <tpls c="4">
          <tpl fld="7" item="445"/>
          <tpl fld="6" item="2"/>
          <tpl hier="236" item="1"/>
          <tpl fld="4" item="5"/>
        </tpls>
      </m>
      <m>
        <tpls c="4">
          <tpl fld="7" item="168"/>
          <tpl fld="6" item="2"/>
          <tpl hier="236" item="1"/>
          <tpl fld="4" item="6"/>
        </tpls>
      </m>
      <m>
        <tpls c="4">
          <tpl fld="7" item="860"/>
          <tpl fld="6" item="1"/>
          <tpl hier="236" item="1"/>
          <tpl fld="4" item="1"/>
        </tpls>
      </m>
      <n v="39" in="1">
        <tpls c="4">
          <tpl fld="7" item="757"/>
          <tpl fld="6" item="1"/>
          <tpl hier="236" item="1"/>
          <tpl fld="1" item="0"/>
        </tpls>
      </n>
      <m>
        <tpls c="4">
          <tpl fld="7" item="870"/>
          <tpl fld="6" item="1"/>
          <tpl hier="236" item="1"/>
          <tpl fld="4" item="5"/>
        </tpls>
      </m>
      <m>
        <tpls c="4">
          <tpl fld="7" item="3"/>
          <tpl fld="6" item="1"/>
          <tpl hier="236" item="1"/>
          <tpl fld="4" item="6"/>
        </tpls>
      </m>
      <m>
        <tpls c="3">
          <tpl fld="7" item="131"/>
          <tpl fld="6" item="3"/>
          <tpl hier="236" item="1"/>
        </tpls>
      </m>
      <n v="69" in="1">
        <tpls c="4">
          <tpl fld="7" item="215"/>
          <tpl fld="6" item="1"/>
          <tpl hier="236" item="1"/>
          <tpl fld="4" item="1"/>
        </tpls>
      </n>
      <m>
        <tpls c="4">
          <tpl fld="7" item="934"/>
          <tpl fld="6" item="2"/>
          <tpl hier="236" item="1"/>
          <tpl fld="4" item="4"/>
        </tpls>
      </m>
      <n v="3" in="2">
        <tpls c="4">
          <tpl fld="7" item="683"/>
          <tpl fld="6" item="2"/>
          <tpl hier="236" item="1"/>
          <tpl fld="1" item="0"/>
        </tpls>
      </n>
      <m>
        <tpls c="4">
          <tpl fld="7" item="401"/>
          <tpl fld="6" item="1"/>
          <tpl hier="236" item="1"/>
          <tpl fld="4" item="1"/>
        </tpls>
      </m>
      <m>
        <tpls c="3">
          <tpl fld="7" item="481"/>
          <tpl fld="6" item="3"/>
          <tpl hier="236" item="1"/>
        </tpls>
      </m>
      <m>
        <tpls c="4">
          <tpl fld="7" item="1030"/>
          <tpl fld="6" item="1"/>
          <tpl hier="236" item="1"/>
          <tpl fld="4" item="4"/>
        </tpls>
      </m>
      <m>
        <tpls c="3">
          <tpl fld="7" item="169"/>
          <tpl fld="6" item="3"/>
          <tpl hier="236" item="1"/>
        </tpls>
      </m>
      <n v="1.4035135135135135" in="2">
        <tpls c="4">
          <tpl fld="7" item="494"/>
          <tpl fld="6" item="2"/>
          <tpl hier="236" item="1"/>
          <tpl fld="4" item="5"/>
        </tpls>
      </n>
      <n v="1" in="1">
        <tpls c="4">
          <tpl fld="7" item="1105"/>
          <tpl fld="6" item="1"/>
          <tpl hier="236" item="1"/>
          <tpl fld="4" item="5"/>
        </tpls>
      </n>
      <n v="1" in="1">
        <tpls c="4">
          <tpl fld="7" item="682"/>
          <tpl fld="6" item="1"/>
          <tpl hier="236" item="1"/>
          <tpl fld="4" item="1"/>
        </tpls>
      </n>
      <m>
        <tpls c="3">
          <tpl fld="7" item="655"/>
          <tpl fld="6" item="3"/>
          <tpl hier="236" item="1"/>
        </tpls>
      </m>
      <m>
        <tpls c="4">
          <tpl fld="7" item="1245"/>
          <tpl fld="6" item="2"/>
          <tpl hier="236" item="1"/>
          <tpl fld="4" item="5"/>
        </tpls>
      </m>
      <m>
        <tpls c="4">
          <tpl fld="7" item="497"/>
          <tpl fld="6" item="2"/>
          <tpl hier="236" item="1"/>
          <tpl fld="4" item="6"/>
        </tpls>
      </m>
      <m>
        <tpls c="4">
          <tpl fld="7" item="344"/>
          <tpl fld="6" item="1"/>
          <tpl hier="236" item="1"/>
          <tpl fld="4" item="5"/>
        </tpls>
      </m>
      <m>
        <tpls c="4">
          <tpl fld="7" item="475"/>
          <tpl fld="6" item="1"/>
          <tpl hier="236" item="1"/>
          <tpl fld="4" item="1"/>
        </tpls>
      </m>
      <m>
        <tpls c="4">
          <tpl fld="7" item="398"/>
          <tpl fld="6" item="1"/>
          <tpl hier="236" item="1"/>
          <tpl fld="1" item="0"/>
        </tpls>
      </m>
      <m>
        <tpls c="4">
          <tpl fld="7" item="179"/>
          <tpl fld="6" item="1"/>
          <tpl hier="236" item="1"/>
          <tpl fld="4" item="5"/>
        </tpls>
      </m>
      <m>
        <tpls c="4">
          <tpl fld="7" item="170"/>
          <tpl fld="6" item="1"/>
          <tpl hier="236" item="1"/>
          <tpl fld="4" item="6"/>
        </tpls>
      </m>
      <m>
        <tpls c="4">
          <tpl fld="7" item="226"/>
          <tpl fld="6" item="1"/>
          <tpl hier="236" item="1"/>
          <tpl fld="4" item="1"/>
        </tpls>
      </m>
      <m>
        <tpls c="4">
          <tpl fld="7" item="261"/>
          <tpl fld="6" item="2"/>
          <tpl hier="236" item="1"/>
          <tpl fld="4" item="5"/>
        </tpls>
      </m>
      <n v="9" in="1">
        <tpls c="4">
          <tpl fld="7" item="505"/>
          <tpl fld="6" item="1"/>
          <tpl hier="236" item="1"/>
          <tpl fld="1" item="0"/>
        </tpls>
      </n>
      <m>
        <tpls c="4">
          <tpl fld="7" item="24"/>
          <tpl fld="6" item="2"/>
          <tpl hier="236" item="1"/>
          <tpl fld="4" item="4"/>
        </tpls>
      </m>
      <m>
        <tpls c="4">
          <tpl fld="7" item="1108"/>
          <tpl fld="6" item="2"/>
          <tpl hier="236" item="1"/>
          <tpl fld="4" item="4"/>
        </tpls>
      </m>
      <m>
        <tpls c="4">
          <tpl fld="7" item="329"/>
          <tpl fld="6" item="1"/>
          <tpl hier="236" item="1"/>
          <tpl fld="4" item="5"/>
        </tpls>
      </m>
      <m>
        <tpls c="4">
          <tpl fld="7" item="60"/>
          <tpl fld="6" item="1"/>
          <tpl hier="236" item="1"/>
          <tpl fld="1" item="0"/>
        </tpls>
      </m>
      <m>
        <tpls c="4">
          <tpl fld="7" item="1231"/>
          <tpl fld="6" item="2"/>
          <tpl hier="236" item="1"/>
          <tpl fld="4" item="4"/>
        </tpls>
      </m>
      <m>
        <tpls c="4">
          <tpl fld="7" item="269"/>
          <tpl fld="6" item="2"/>
          <tpl hier="236" item="1"/>
          <tpl fld="1" item="0"/>
        </tpls>
      </m>
      <m>
        <tpls c="4">
          <tpl fld="7" item="234"/>
          <tpl fld="6" item="1"/>
          <tpl hier="236" item="1"/>
          <tpl fld="1" item="0"/>
        </tpls>
      </m>
      <m>
        <tpls c="4">
          <tpl fld="7" item="912"/>
          <tpl fld="6" item="1"/>
          <tpl hier="236" item="1"/>
          <tpl fld="1" item="0"/>
        </tpls>
      </m>
      <m>
        <tpls c="4">
          <tpl fld="7" item="170"/>
          <tpl fld="6" item="1"/>
          <tpl hier="236" item="1"/>
          <tpl fld="1" item="0"/>
        </tpls>
      </m>
      <m>
        <tpls c="4">
          <tpl fld="7" item="80"/>
          <tpl fld="6" item="2"/>
          <tpl hier="236" item="1"/>
          <tpl fld="1" item="0"/>
        </tpls>
      </m>
      <m>
        <tpls c="4">
          <tpl fld="7" item="669"/>
          <tpl fld="6" item="1"/>
          <tpl hier="236" item="1"/>
          <tpl fld="4" item="5"/>
        </tpls>
      </m>
      <m>
        <tpls c="4">
          <tpl fld="7" item="500"/>
          <tpl fld="6" item="1"/>
          <tpl hier="236" item="1"/>
          <tpl fld="1" item="0"/>
        </tpls>
      </m>
      <m>
        <tpls c="4">
          <tpl fld="7" item="1"/>
          <tpl fld="6" item="1"/>
          <tpl hier="236" item="1"/>
          <tpl fld="4" item="6"/>
        </tpls>
      </m>
      <m>
        <tpls c="4">
          <tpl fld="7" item="120"/>
          <tpl fld="6" item="2"/>
          <tpl hier="236" item="1"/>
          <tpl fld="4" item="4"/>
        </tpls>
      </m>
      <n v="0" in="1">
        <tpls c="4">
          <tpl fld="7" item="169"/>
          <tpl fld="6" item="1"/>
          <tpl hier="236" item="1"/>
          <tpl fld="4" item="6"/>
        </tpls>
      </n>
      <m>
        <tpls c="4">
          <tpl fld="7" item="680"/>
          <tpl fld="6" item="2"/>
          <tpl hier="236" item="1"/>
          <tpl fld="1" item="0"/>
        </tpls>
      </m>
      <m>
        <tpls c="4">
          <tpl fld="7" item="149"/>
          <tpl fld="6" item="1"/>
          <tpl hier="236" item="1"/>
          <tpl fld="4" item="5"/>
        </tpls>
      </m>
      <m>
        <tpls c="4">
          <tpl fld="7" item="509"/>
          <tpl fld="6" item="1"/>
          <tpl hier="236" item="1"/>
          <tpl fld="1" item="0"/>
        </tpls>
      </m>
      <m>
        <tpls c="4">
          <tpl fld="7" item="397"/>
          <tpl fld="6" item="1"/>
          <tpl hier="236" item="1"/>
          <tpl fld="4" item="6"/>
        </tpls>
      </m>
      <m>
        <tpls c="4">
          <tpl fld="7" item="230"/>
          <tpl fld="6" item="2"/>
          <tpl hier="236" item="1"/>
          <tpl fld="4" item="4"/>
        </tpls>
      </m>
      <m>
        <tpls c="3">
          <tpl fld="7" item="792"/>
          <tpl fld="6" item="3"/>
          <tpl hier="236" item="1"/>
        </tpls>
      </m>
      <m>
        <tpls c="4">
          <tpl fld="7" item="143"/>
          <tpl fld="6" item="2"/>
          <tpl hier="236" item="1"/>
          <tpl fld="1" item="0"/>
        </tpls>
      </m>
      <m>
        <tpls c="4">
          <tpl fld="7" item="815"/>
          <tpl fld="6" item="1"/>
          <tpl hier="236" item="1"/>
          <tpl fld="4" item="5"/>
        </tpls>
      </m>
      <m>
        <tpls c="4">
          <tpl fld="7" item="1215"/>
          <tpl fld="6" item="2"/>
          <tpl hier="236" item="1"/>
          <tpl fld="4" item="6"/>
        </tpls>
      </m>
      <m>
        <tpls c="4">
          <tpl fld="7" item="846"/>
          <tpl fld="6" item="2"/>
          <tpl hier="236" item="1"/>
          <tpl fld="1" item="0"/>
        </tpls>
      </m>
      <n v="24" in="1">
        <tpls c="4">
          <tpl fld="7" item="745"/>
          <tpl fld="6" item="1"/>
          <tpl hier="236" item="1"/>
          <tpl fld="4" item="4"/>
        </tpls>
      </n>
      <n v="1.952" in="2">
        <tpls c="4">
          <tpl fld="7" item="499"/>
          <tpl fld="6" item="2"/>
          <tpl hier="236" item="1"/>
          <tpl fld="1" item="0"/>
        </tpls>
      </n>
      <m>
        <tpls c="4">
          <tpl fld="7" item="329"/>
          <tpl fld="6" item="2"/>
          <tpl hier="236" item="1"/>
          <tpl fld="1" item="0"/>
        </tpls>
      </m>
      <n v="6" in="1">
        <tpls c="4">
          <tpl fld="7" item="1055"/>
          <tpl fld="6" item="1"/>
          <tpl hier="236" item="1"/>
          <tpl fld="4" item="1"/>
        </tpls>
      </n>
      <n v="1" in="1">
        <tpls c="4">
          <tpl fld="7" item="1044"/>
          <tpl fld="6" item="1"/>
          <tpl hier="236" item="1"/>
          <tpl fld="4" item="4"/>
        </tpls>
      </n>
      <m>
        <tpls c="4">
          <tpl fld="7" item="50"/>
          <tpl fld="6" item="2"/>
          <tpl hier="236" item="1"/>
          <tpl fld="4" item="5"/>
        </tpls>
      </m>
      <m>
        <tpls c="4">
          <tpl fld="7" item="293"/>
          <tpl fld="6" item="2"/>
          <tpl hier="236" item="1"/>
          <tpl fld="4" item="6"/>
        </tpls>
      </m>
      <m>
        <tpls c="4">
          <tpl fld="7" item="101"/>
          <tpl fld="6" item="1"/>
          <tpl hier="236" item="1"/>
          <tpl fld="4" item="5"/>
        </tpls>
      </m>
      <m>
        <tpls c="4">
          <tpl fld="7" item="947"/>
          <tpl fld="6" item="1"/>
          <tpl hier="236" item="1"/>
          <tpl fld="4" item="1"/>
        </tpls>
      </m>
      <m>
        <tpls c="4">
          <tpl fld="7" item="759"/>
          <tpl fld="6" item="1"/>
          <tpl hier="236" item="1"/>
          <tpl fld="4" item="1"/>
        </tpls>
      </m>
      <m>
        <tpls c="4">
          <tpl fld="7" item="253"/>
          <tpl fld="6" item="1"/>
          <tpl hier="236" item="1"/>
          <tpl fld="4" item="1"/>
        </tpls>
      </m>
      <m>
        <tpls c="4">
          <tpl fld="7" item="730"/>
          <tpl fld="6" item="1"/>
          <tpl hier="236" item="1"/>
          <tpl fld="4" item="6"/>
        </tpls>
      </m>
      <m>
        <tpls c="4">
          <tpl fld="7" item="1223"/>
          <tpl fld="6" item="2"/>
          <tpl hier="236" item="1"/>
          <tpl fld="4" item="4"/>
        </tpls>
      </m>
      <m>
        <tpls c="4">
          <tpl fld="7" item="246"/>
          <tpl fld="6" item="2"/>
          <tpl hier="236" item="1"/>
          <tpl fld="1" item="0"/>
        </tpls>
      </m>
      <m>
        <tpls c="4">
          <tpl fld="7" item="210"/>
          <tpl fld="6" item="2"/>
          <tpl hier="236" item="1"/>
          <tpl fld="4" item="5"/>
        </tpls>
      </m>
      <m>
        <tpls c="4">
          <tpl fld="7" item="979"/>
          <tpl fld="6" item="2"/>
          <tpl hier="236" item="1"/>
          <tpl fld="4" item="5"/>
        </tpls>
      </m>
      <n v="3.5200000000000005" in="2">
        <tpls c="4">
          <tpl fld="7" item="494"/>
          <tpl fld="6" item="2"/>
          <tpl hier="236" item="1"/>
          <tpl fld="4" item="6"/>
        </tpls>
      </n>
      <m>
        <tpls c="4">
          <tpl fld="7" item="120"/>
          <tpl fld="6" item="2"/>
          <tpl hier="236" item="1"/>
          <tpl fld="4" item="6"/>
        </tpls>
      </m>
      <m>
        <tpls c="4">
          <tpl fld="7" item="307"/>
          <tpl fld="6" item="1"/>
          <tpl hier="236" item="1"/>
          <tpl fld="4" item="5"/>
        </tpls>
      </m>
      <m>
        <tpls c="4">
          <tpl fld="7" item="1206"/>
          <tpl fld="6" item="1"/>
          <tpl hier="236" item="1"/>
          <tpl fld="4" item="1"/>
        </tpls>
      </m>
      <n v="2" in="1">
        <tpls c="4">
          <tpl fld="7" item="212"/>
          <tpl fld="6" item="1"/>
          <tpl hier="236" item="1"/>
          <tpl fld="4" item="1"/>
        </tpls>
      </n>
      <m>
        <tpls c="4">
          <tpl fld="7" item="259"/>
          <tpl fld="6" item="1"/>
          <tpl hier="236" item="1"/>
          <tpl fld="4" item="1"/>
        </tpls>
      </m>
      <m>
        <tpls c="4">
          <tpl fld="7" item="1108"/>
          <tpl fld="6" item="1"/>
          <tpl hier="236" item="1"/>
          <tpl fld="1" item="0"/>
        </tpls>
      </m>
      <n v="0" in="1">
        <tpls c="4">
          <tpl fld="7" item="179"/>
          <tpl fld="6" item="1"/>
          <tpl hier="236" item="1"/>
          <tpl fld="1" item="0"/>
        </tpls>
      </n>
      <m>
        <tpls c="4">
          <tpl fld="7" item="1009"/>
          <tpl fld="6" item="1"/>
          <tpl hier="236" item="1"/>
          <tpl fld="4" item="4"/>
        </tpls>
      </m>
      <m>
        <tpls c="4">
          <tpl fld="7" item="1010"/>
          <tpl fld="6" item="2"/>
          <tpl hier="236" item="1"/>
          <tpl fld="4" item="6"/>
        </tpls>
      </m>
      <m>
        <tpls c="4">
          <tpl fld="7" item="1151"/>
          <tpl fld="6" item="1"/>
          <tpl hier="236" item="1"/>
          <tpl fld="4" item="1"/>
        </tpls>
      </m>
      <n v="9" in="1">
        <tpls c="4">
          <tpl fld="7" item="432"/>
          <tpl fld="6" item="1"/>
          <tpl hier="236" item="1"/>
          <tpl fld="1" item="0"/>
        </tpls>
      </n>
      <m>
        <tpls c="4">
          <tpl fld="7" item="16"/>
          <tpl fld="6" item="1"/>
          <tpl hier="236" item="1"/>
          <tpl fld="1" item="0"/>
        </tpls>
      </m>
      <m>
        <tpls c="3">
          <tpl fld="7" item="21"/>
          <tpl fld="6" item="3"/>
          <tpl hier="236" item="1"/>
        </tpls>
      </m>
      <m>
        <tpls c="4">
          <tpl fld="7" item="1040"/>
          <tpl fld="6" item="2"/>
          <tpl hier="236" item="1"/>
          <tpl fld="4" item="4"/>
        </tpls>
      </m>
      <m>
        <tpls c="4">
          <tpl fld="7" item="913"/>
          <tpl fld="6" item="2"/>
          <tpl hier="236" item="1"/>
          <tpl fld="4" item="6"/>
        </tpls>
      </m>
      <n v="1" in="1">
        <tpls c="4">
          <tpl fld="7" item="318"/>
          <tpl fld="6" item="1"/>
          <tpl hier="236" item="1"/>
          <tpl fld="1" item="0"/>
        </tpls>
      </n>
      <m>
        <tpls c="4">
          <tpl fld="7" item="1133"/>
          <tpl fld="6" item="2"/>
          <tpl hier="236" item="1"/>
          <tpl fld="4" item="4"/>
        </tpls>
      </m>
      <m>
        <tpls c="4">
          <tpl fld="7" item="1009"/>
          <tpl fld="6" item="2"/>
          <tpl hier="236" item="1"/>
          <tpl fld="1" item="0"/>
        </tpls>
      </m>
      <m>
        <tpls c="4">
          <tpl fld="7" item="1109"/>
          <tpl fld="6" item="2"/>
          <tpl hier="236" item="1"/>
          <tpl fld="4" item="6"/>
        </tpls>
      </m>
      <m>
        <tpls c="4">
          <tpl fld="7" item="258"/>
          <tpl fld="6" item="1"/>
          <tpl hier="236" item="1"/>
          <tpl fld="4" item="5"/>
        </tpls>
      </m>
      <m>
        <tpls c="4">
          <tpl fld="7" item="397"/>
          <tpl fld="6" item="1"/>
          <tpl hier="236" item="1"/>
          <tpl fld="4" item="1"/>
        </tpls>
      </m>
      <m>
        <tpls c="4">
          <tpl fld="7" item="202"/>
          <tpl fld="6" item="1"/>
          <tpl hier="236" item="1"/>
          <tpl fld="1" item="0"/>
        </tpls>
      </m>
      <m>
        <tpls c="4">
          <tpl fld="7" item="400"/>
          <tpl fld="6" item="1"/>
          <tpl hier="236" item="1"/>
          <tpl fld="4" item="6"/>
        </tpls>
      </m>
      <m>
        <tpls c="3">
          <tpl fld="7" item="0"/>
          <tpl fld="6" item="3"/>
          <tpl hier="236" item="1"/>
        </tpls>
      </m>
      <m>
        <tpls c="4">
          <tpl fld="7" item="710"/>
          <tpl fld="6" item="2"/>
          <tpl hier="236" item="1"/>
          <tpl fld="4" item="4"/>
        </tpls>
      </m>
      <n v="1" in="1">
        <tpls c="4">
          <tpl fld="7" item="1221"/>
          <tpl fld="6" item="1"/>
          <tpl hier="236" item="1"/>
          <tpl fld="4" item="1"/>
        </tpls>
      </n>
      <m>
        <tpls c="4">
          <tpl fld="7" item="325"/>
          <tpl fld="6" item="1"/>
          <tpl hier="236" item="1"/>
          <tpl fld="4" item="6"/>
        </tpls>
      </m>
      <m>
        <tpls c="4">
          <tpl fld="7" item="652"/>
          <tpl fld="6" item="2"/>
          <tpl hier="236" item="1"/>
          <tpl fld="1" item="0"/>
        </tpls>
      </m>
      <m>
        <tpls c="4">
          <tpl fld="7" item="350"/>
          <tpl fld="6" item="2"/>
          <tpl hier="236" item="1"/>
          <tpl fld="4" item="5"/>
        </tpls>
      </m>
      <m>
        <tpls c="4">
          <tpl fld="7" item="868"/>
          <tpl fld="6" item="1"/>
          <tpl hier="236" item="1"/>
          <tpl fld="4" item="5"/>
        </tpls>
      </m>
      <n v="3" in="1">
        <tpls c="4">
          <tpl fld="7" item="386"/>
          <tpl fld="6" item="1"/>
          <tpl hier="236" item="1"/>
          <tpl fld="4" item="1"/>
        </tpls>
      </n>
      <n v="2" in="1">
        <tpls c="4">
          <tpl fld="7" item="522"/>
          <tpl fld="6" item="1"/>
          <tpl hier="236" item="1"/>
          <tpl fld="1" item="0"/>
        </tpls>
      </n>
      <m>
        <tpls c="4">
          <tpl fld="7" item="1082"/>
          <tpl fld="6" item="1"/>
          <tpl hier="236" item="1"/>
          <tpl fld="1" item="0"/>
        </tpls>
      </m>
      <m>
        <tpls c="3">
          <tpl fld="7" item="709"/>
          <tpl fld="6" item="3"/>
          <tpl hier="236" item="1"/>
        </tpls>
      </m>
      <m>
        <tpls c="4">
          <tpl fld="7" item="1280"/>
          <tpl fld="6" item="2"/>
          <tpl hier="236" item="1"/>
          <tpl fld="4" item="4"/>
        </tpls>
      </m>
      <m>
        <tpls c="4">
          <tpl fld="7" item="115"/>
          <tpl fld="6" item="2"/>
          <tpl hier="236" item="1"/>
          <tpl fld="4" item="4"/>
        </tpls>
      </m>
      <m>
        <tpls c="4">
          <tpl fld="7" item="4"/>
          <tpl fld="6" item="2"/>
          <tpl hier="236" item="1"/>
          <tpl fld="1" item="0"/>
        </tpls>
      </m>
      <m>
        <tpls c="4">
          <tpl fld="7" item="184"/>
          <tpl fld="6" item="1"/>
          <tpl hier="236" item="1"/>
          <tpl fld="4" item="5"/>
        </tpls>
      </m>
      <m>
        <tpls c="4">
          <tpl fld="7" item="589"/>
          <tpl fld="6" item="1"/>
          <tpl hier="236" item="1"/>
          <tpl fld="4" item="6"/>
        </tpls>
      </m>
      <m>
        <tpls c="4">
          <tpl fld="7" item="715"/>
          <tpl fld="6" item="2"/>
          <tpl hier="236" item="1"/>
          <tpl fld="4" item="5"/>
        </tpls>
      </m>
      <m>
        <tpls c="4">
          <tpl fld="7" item="641"/>
          <tpl fld="6" item="1"/>
          <tpl hier="236" item="1"/>
          <tpl fld="4" item="5"/>
        </tpls>
      </m>
      <m>
        <tpls c="4">
          <tpl fld="7" item="950"/>
          <tpl fld="6" item="1"/>
          <tpl hier="236" item="1"/>
          <tpl fld="4" item="4"/>
        </tpls>
      </m>
      <m>
        <tpls c="3">
          <tpl fld="7" item="737"/>
          <tpl fld="6" item="3"/>
          <tpl hier="236" item="1"/>
        </tpls>
      </m>
      <m>
        <tpls c="4">
          <tpl fld="7" item="91"/>
          <tpl fld="6" item="2"/>
          <tpl hier="236" item="1"/>
          <tpl fld="1" item="0"/>
        </tpls>
      </m>
      <m>
        <tpls c="4">
          <tpl fld="7" item="295"/>
          <tpl fld="6" item="2"/>
          <tpl hier="236" item="1"/>
          <tpl fld="4" item="5"/>
        </tpls>
      </m>
      <n v="3" in="1">
        <tpls c="4">
          <tpl fld="7" item="512"/>
          <tpl fld="6" item="1"/>
          <tpl hier="236" item="1"/>
          <tpl fld="4" item="1"/>
        </tpls>
      </n>
      <m>
        <tpls c="4">
          <tpl fld="7" item="903"/>
          <tpl fld="6" item="2"/>
          <tpl hier="236" item="1"/>
          <tpl fld="4" item="5"/>
        </tpls>
      </m>
      <m>
        <tpls c="4">
          <tpl fld="7" item="1113"/>
          <tpl fld="6" item="2"/>
          <tpl hier="236" item="1"/>
          <tpl fld="4" item="6"/>
        </tpls>
      </m>
      <m>
        <tpls c="4">
          <tpl fld="7" item="1000"/>
          <tpl fld="6" item="1"/>
          <tpl hier="236" item="1"/>
          <tpl fld="4" item="5"/>
        </tpls>
      </m>
      <n v="0" in="1">
        <tpls c="4">
          <tpl fld="7" item="932"/>
          <tpl fld="6" item="1"/>
          <tpl hier="236" item="1"/>
          <tpl fld="4" item="1"/>
        </tpls>
      </n>
      <m>
        <tpls c="4">
          <tpl fld="7" item="412"/>
          <tpl fld="6" item="1"/>
          <tpl hier="236" item="1"/>
          <tpl fld="4" item="1"/>
        </tpls>
      </m>
      <m>
        <tpls c="4">
          <tpl fld="7" item="892"/>
          <tpl fld="6" item="2"/>
          <tpl hier="236" item="1"/>
          <tpl fld="4" item="1"/>
        </tpls>
      </m>
      <m>
        <tpls c="4">
          <tpl fld="7" item="759"/>
          <tpl fld="6" item="2"/>
          <tpl hier="236" item="1"/>
          <tpl fld="1" item="0"/>
        </tpls>
      </m>
      <m>
        <tpls c="4">
          <tpl fld="7" item="171"/>
          <tpl fld="6" item="2"/>
          <tpl hier="236" item="1"/>
          <tpl fld="4" item="5"/>
        </tpls>
      </m>
      <m>
        <tpls c="4">
          <tpl fld="7" item="527"/>
          <tpl fld="6" item="2"/>
          <tpl hier="236" item="1"/>
          <tpl fld="4" item="6"/>
        </tpls>
      </m>
      <m>
        <tpls c="4">
          <tpl fld="7" item="1014"/>
          <tpl fld="6" item="1"/>
          <tpl hier="236" item="1"/>
          <tpl fld="4" item="5"/>
        </tpls>
      </m>
      <n v="12" in="1">
        <tpls c="4">
          <tpl fld="7" item="379"/>
          <tpl fld="6" item="1"/>
          <tpl hier="236" item="1"/>
          <tpl fld="1" item="0"/>
        </tpls>
      </n>
      <m>
        <tpls c="3">
          <tpl fld="7" item="20"/>
          <tpl fld="6" item="3"/>
          <tpl hier="236" item="1"/>
        </tpls>
      </m>
      <m>
        <tpls c="4">
          <tpl fld="7" item="1221"/>
          <tpl fld="6" item="2"/>
          <tpl hier="236" item="1"/>
          <tpl fld="4" item="6"/>
        </tpls>
      </m>
      <m>
        <tpls c="4">
          <tpl fld="7" item="254"/>
          <tpl fld="6" item="1"/>
          <tpl hier="236" item="1"/>
          <tpl fld="1" item="0"/>
        </tpls>
      </m>
      <m>
        <tpls c="4">
          <tpl fld="7" item="893"/>
          <tpl fld="6" item="1"/>
          <tpl hier="236" item="1"/>
          <tpl fld="4" item="5"/>
        </tpls>
      </m>
      <m>
        <tpls c="4">
          <tpl fld="7" item="419"/>
          <tpl fld="6" item="2"/>
          <tpl hier="236" item="1"/>
          <tpl fld="4" item="1"/>
        </tpls>
      </m>
      <m>
        <tpls c="4">
          <tpl fld="7" item="954"/>
          <tpl fld="6" item="1"/>
          <tpl hier="236" item="1"/>
          <tpl fld="4" item="4"/>
        </tpls>
      </m>
      <m>
        <tpls c="4">
          <tpl fld="7" item="491"/>
          <tpl fld="6" item="2"/>
          <tpl hier="236" item="1"/>
          <tpl fld="1" item="0"/>
        </tpls>
      </m>
      <m>
        <tpls c="4">
          <tpl fld="7" item="298"/>
          <tpl fld="6" item="1"/>
          <tpl hier="236" item="1"/>
          <tpl fld="4" item="1"/>
        </tpls>
      </m>
      <n v="1.8800000000000001" in="2">
        <tpls c="4">
          <tpl fld="7" item="357"/>
          <tpl fld="6" item="2"/>
          <tpl hier="236" item="1"/>
          <tpl fld="4" item="6"/>
        </tpls>
      </n>
      <m>
        <tpls c="4">
          <tpl fld="7" item="908"/>
          <tpl fld="6" item="1"/>
          <tpl hier="236" item="1"/>
          <tpl fld="4" item="1"/>
        </tpls>
      </m>
      <m>
        <tpls c="4">
          <tpl fld="7" item="1108"/>
          <tpl fld="6" item="1"/>
          <tpl hier="236" item="1"/>
          <tpl fld="4" item="4"/>
        </tpls>
      </m>
      <m>
        <tpls c="4">
          <tpl fld="7" item="332"/>
          <tpl fld="6" item="2"/>
          <tpl hier="236" item="1"/>
          <tpl fld="4" item="5"/>
        </tpls>
      </m>
      <m>
        <tpls c="4">
          <tpl fld="7" item="322"/>
          <tpl fld="6" item="1"/>
          <tpl hier="236" item="1"/>
          <tpl fld="4" item="5"/>
        </tpls>
      </m>
      <m>
        <tpls c="4">
          <tpl fld="7" item="177"/>
          <tpl fld="6" item="1"/>
          <tpl hier="236" item="1"/>
          <tpl fld="4" item="1"/>
        </tpls>
      </m>
      <n v="4" in="1">
        <tpls c="4">
          <tpl fld="7" item="813"/>
          <tpl fld="6" item="1"/>
          <tpl hier="236" item="1"/>
          <tpl fld="4" item="4"/>
        </tpls>
      </n>
      <n v="7" in="1">
        <tpls c="4">
          <tpl fld="7" item="360"/>
          <tpl fld="6" item="1"/>
          <tpl hier="236" item="1"/>
          <tpl fld="1" item="0"/>
        </tpls>
      </n>
      <m>
        <tpls c="4">
          <tpl fld="7" item="764"/>
          <tpl fld="6" item="2"/>
          <tpl hier="236" item="1"/>
          <tpl fld="4" item="6"/>
        </tpls>
      </m>
      <m>
        <tpls c="4">
          <tpl fld="7" item="1130"/>
          <tpl fld="6" item="2"/>
          <tpl hier="236" item="1"/>
          <tpl fld="4" item="6"/>
        </tpls>
      </m>
      <m>
        <tpls c="4">
          <tpl fld="7" item="134"/>
          <tpl fld="6" item="1"/>
          <tpl hier="236" item="1"/>
          <tpl fld="4" item="6"/>
        </tpls>
      </m>
      <m>
        <tpls c="3">
          <tpl fld="7" item="826"/>
          <tpl fld="6" item="3"/>
          <tpl hier="236" item="1"/>
        </tpls>
      </m>
      <m>
        <tpls c="4">
          <tpl fld="7" item="145"/>
          <tpl fld="6" item="1"/>
          <tpl hier="236" item="1"/>
          <tpl fld="4" item="5"/>
        </tpls>
      </m>
      <m>
        <tpls c="4">
          <tpl fld="7" item="26"/>
          <tpl fld="6" item="1"/>
          <tpl hier="236" item="1"/>
          <tpl fld="1" item="0"/>
        </tpls>
      </m>
      <m>
        <tpls c="4">
          <tpl fld="7" item="3"/>
          <tpl fld="6" item="2"/>
          <tpl hier="236" item="1"/>
          <tpl fld="4" item="4"/>
        </tpls>
      </m>
      <m>
        <tpls c="4">
          <tpl fld="7" item="302"/>
          <tpl fld="6" item="1"/>
          <tpl hier="236" item="1"/>
          <tpl fld="1" item="0"/>
        </tpls>
      </m>
      <m>
        <tpls c="4">
          <tpl fld="7" item="641"/>
          <tpl fld="6" item="2"/>
          <tpl hier="236" item="1"/>
          <tpl fld="4" item="5"/>
        </tpls>
      </m>
      <m>
        <tpls c="4">
          <tpl fld="7" item="1241"/>
          <tpl fld="6" item="2"/>
          <tpl hier="236" item="1"/>
          <tpl fld="4" item="6"/>
        </tpls>
      </m>
      <m>
        <tpls c="4">
          <tpl fld="7" item="545"/>
          <tpl fld="6" item="2"/>
          <tpl hier="236" item="1"/>
          <tpl fld="4" item="5"/>
        </tpls>
      </m>
      <m>
        <tpls c="3">
          <tpl fld="7" item="910"/>
          <tpl fld="6" item="3"/>
          <tpl hier="236" item="1"/>
        </tpls>
      </m>
      <n v="1" in="1">
        <tpls c="4">
          <tpl fld="7" item="992"/>
          <tpl fld="6" item="1"/>
          <tpl hier="236" item="1"/>
          <tpl fld="4" item="1"/>
        </tpls>
      </n>
      <m>
        <tpls c="4">
          <tpl fld="7" item="33"/>
          <tpl fld="6" item="2"/>
          <tpl hier="236" item="1"/>
          <tpl fld="4" item="6"/>
        </tpls>
      </m>
      <m>
        <tpls c="3">
          <tpl fld="7" item="584"/>
          <tpl fld="6" item="3"/>
          <tpl hier="236" item="1"/>
        </tpls>
      </m>
      <m>
        <tpls c="4">
          <tpl fld="7" item="343"/>
          <tpl fld="6" item="2"/>
          <tpl hier="236" item="1"/>
          <tpl fld="4" item="5"/>
        </tpls>
      </m>
      <m>
        <tpls c="4">
          <tpl fld="7" item="89"/>
          <tpl fld="6" item="2"/>
          <tpl hier="236" item="1"/>
          <tpl fld="4" item="6"/>
        </tpls>
      </m>
      <m>
        <tpls c="4">
          <tpl fld="7" item="292"/>
          <tpl fld="6" item="1"/>
          <tpl hier="236" item="1"/>
          <tpl fld="4" item="5"/>
        </tpls>
      </m>
      <n v="8" in="1">
        <tpls c="4">
          <tpl fld="7" item="213"/>
          <tpl fld="6" item="1"/>
          <tpl hier="236" item="1"/>
          <tpl fld="4" item="1"/>
        </tpls>
      </n>
      <m>
        <tpls c="3">
          <tpl fld="7" item="527"/>
          <tpl fld="6" item="3"/>
          <tpl hier="236" item="1"/>
        </tpls>
      </m>
      <n v="3" in="1">
        <tpls c="4">
          <tpl fld="7" item="1114"/>
          <tpl fld="6" item="1"/>
          <tpl hier="236" item="1"/>
          <tpl fld="4" item="4"/>
        </tpls>
      </n>
      <m>
        <tpls c="4">
          <tpl fld="7" item="863"/>
          <tpl fld="6" item="2"/>
          <tpl hier="236" item="1"/>
          <tpl fld="4" item="5"/>
        </tpls>
      </m>
      <m>
        <tpls c="4">
          <tpl fld="7" item="670"/>
          <tpl fld="6" item="2"/>
          <tpl hier="236" item="1"/>
          <tpl fld="4" item="5"/>
        </tpls>
      </m>
      <m>
        <tpls c="4">
          <tpl fld="7" item="306"/>
          <tpl fld="6" item="2"/>
          <tpl hier="236" item="1"/>
          <tpl fld="4" item="6"/>
        </tpls>
      </m>
      <m>
        <tpls c="4">
          <tpl fld="7" item="1084"/>
          <tpl fld="6" item="1"/>
          <tpl hier="236" item="1"/>
          <tpl fld="4" item="5"/>
        </tpls>
      </m>
      <m>
        <tpls c="4">
          <tpl fld="7" item="1227"/>
          <tpl fld="6" item="1"/>
          <tpl hier="236" item="1"/>
          <tpl fld="4" item="1"/>
        </tpls>
      </m>
      <m>
        <tpls c="4">
          <tpl fld="7" item="183"/>
          <tpl fld="6" item="1"/>
          <tpl hier="236" item="1"/>
          <tpl fld="4" item="1"/>
        </tpls>
      </m>
      <n v="2" in="1">
        <tpls c="4">
          <tpl fld="7" item="601"/>
          <tpl fld="6" item="1"/>
          <tpl hier="236" item="1"/>
          <tpl fld="1" item="0"/>
        </tpls>
      </n>
      <m>
        <tpls c="3">
          <tpl fld="7" item="617"/>
          <tpl fld="6" item="3"/>
          <tpl hier="236" item="1"/>
        </tpls>
      </m>
      <m>
        <tpls c="4">
          <tpl fld="7" item="189"/>
          <tpl fld="6" item="2"/>
          <tpl hier="236" item="1"/>
          <tpl fld="4" item="6"/>
        </tpls>
      </m>
      <n v="29" in="1">
        <tpls c="4">
          <tpl fld="7" item="1118"/>
          <tpl fld="6" item="1"/>
          <tpl hier="236" item="1"/>
          <tpl fld="1" item="0"/>
        </tpls>
      </n>
      <m>
        <tpls c="4">
          <tpl fld="7" item="112"/>
          <tpl fld="6" item="1"/>
          <tpl hier="236" item="1"/>
          <tpl fld="4" item="6"/>
        </tpls>
      </m>
      <m>
        <tpls c="4">
          <tpl fld="7" item="232"/>
          <tpl fld="6" item="2"/>
          <tpl hier="236" item="1"/>
          <tpl fld="4" item="4"/>
        </tpls>
      </m>
      <m>
        <tpls c="3">
          <tpl fld="7" item="565"/>
          <tpl fld="6" item="3"/>
          <tpl hier="236" item="1"/>
        </tpls>
      </m>
      <m>
        <tpls c="4">
          <tpl fld="7" item="83"/>
          <tpl fld="6" item="2"/>
          <tpl hier="236" item="1"/>
          <tpl fld="4" item="5"/>
        </tpls>
      </m>
      <n v="27" in="1">
        <tpls c="4">
          <tpl fld="7" item="375"/>
          <tpl fld="6" item="1"/>
          <tpl hier="236" item="1"/>
          <tpl fld="4" item="1"/>
        </tpls>
      </n>
      <m>
        <tpls c="4">
          <tpl fld="7" item="245"/>
          <tpl fld="6" item="1"/>
          <tpl hier="236" item="1"/>
          <tpl fld="1" item="0"/>
        </tpls>
      </m>
      <m>
        <tpls c="4">
          <tpl fld="7" item="948"/>
          <tpl fld="6" item="2"/>
          <tpl hier="236" item="1"/>
          <tpl fld="4" item="4"/>
        </tpls>
      </m>
      <m>
        <tpls c="4">
          <tpl fld="7" item="200"/>
          <tpl fld="6" item="1"/>
          <tpl hier="236" item="1"/>
          <tpl fld="1" item="0"/>
        </tpls>
      </m>
      <n v="33.30594594594595" in="2">
        <tpls c="4">
          <tpl fld="7" item="675"/>
          <tpl fld="6" item="2"/>
          <tpl hier="236" item="1"/>
          <tpl fld="1" item="0"/>
        </tpls>
      </n>
      <m>
        <tpls c="4">
          <tpl fld="7" item="832"/>
          <tpl fld="6" item="1"/>
          <tpl hier="236" item="1"/>
          <tpl fld="4" item="5"/>
        </tpls>
      </m>
      <m>
        <tpls c="4">
          <tpl fld="7" item="109"/>
          <tpl fld="6" item="1"/>
          <tpl hier="236" item="1"/>
          <tpl fld="4" item="1"/>
        </tpls>
      </m>
      <m>
        <tpls c="4">
          <tpl fld="7" item="483"/>
          <tpl fld="6" item="1"/>
          <tpl hier="236" item="1"/>
          <tpl fld="1" item="0"/>
        </tpls>
      </m>
      <m>
        <tpls c="3">
          <tpl fld="7" item="410"/>
          <tpl fld="6" item="3"/>
          <tpl hier="236" item="1"/>
        </tpls>
      </m>
      <m>
        <tpls c="4">
          <tpl fld="7" item="570"/>
          <tpl fld="6" item="2"/>
          <tpl hier="236" item="1"/>
          <tpl fld="4" item="4"/>
        </tpls>
      </m>
      <n v="24" in="1">
        <tpls c="4">
          <tpl fld="7" item="1077"/>
          <tpl fld="6" item="1"/>
          <tpl hier="236" item="1"/>
          <tpl fld="4" item="4"/>
        </tpls>
      </n>
      <m>
        <tpls c="4">
          <tpl fld="7" item="1196"/>
          <tpl fld="6" item="1"/>
          <tpl hier="236" item="1"/>
          <tpl fld="4" item="1"/>
        </tpls>
      </m>
      <m>
        <tpls c="4">
          <tpl fld="7" item="1164"/>
          <tpl fld="6" item="2"/>
          <tpl hier="236" item="1"/>
          <tpl fld="4" item="4"/>
        </tpls>
      </m>
      <m>
        <tpls c="4">
          <tpl fld="7" item="829"/>
          <tpl fld="6" item="2"/>
          <tpl hier="236" item="1"/>
          <tpl fld="4" item="5"/>
        </tpls>
      </m>
      <m>
        <tpls c="4">
          <tpl fld="7" item="835"/>
          <tpl fld="6" item="1"/>
          <tpl hier="236" item="1"/>
          <tpl fld="4" item="4"/>
        </tpls>
      </m>
      <n v="8" in="1">
        <tpls c="4">
          <tpl fld="7" item="713"/>
          <tpl fld="6" item="1"/>
          <tpl hier="236" item="1"/>
          <tpl fld="1" item="0"/>
        </tpls>
      </n>
      <m>
        <tpls c="4">
          <tpl fld="7" item="1222"/>
          <tpl fld="6" item="1"/>
          <tpl hier="236" item="1"/>
          <tpl fld="4" item="4"/>
        </tpls>
      </m>
      <n v="5" in="1">
        <tpls c="4">
          <tpl fld="7" item="747"/>
          <tpl fld="6" item="1"/>
          <tpl hier="236" item="1"/>
          <tpl fld="4" item="1"/>
        </tpls>
      </n>
      <m>
        <tpls c="4">
          <tpl fld="7" item="386"/>
          <tpl fld="6" item="1"/>
          <tpl hier="236" item="1"/>
          <tpl fld="4" item="5"/>
        </tpls>
      </m>
      <m>
        <tpls c="3">
          <tpl fld="7" item="999"/>
          <tpl fld="6" item="3"/>
          <tpl hier="236" item="1"/>
        </tpls>
      </m>
      <m>
        <tpls c="4">
          <tpl fld="7" item="409"/>
          <tpl fld="6" item="2"/>
          <tpl hier="236" item="1"/>
          <tpl fld="4" item="5"/>
        </tpls>
      </m>
      <m>
        <tpls c="4">
          <tpl fld="7" item="281"/>
          <tpl fld="6" item="2"/>
          <tpl hier="236" item="1"/>
          <tpl fld="4" item="6"/>
        </tpls>
      </m>
      <m>
        <tpls c="4">
          <tpl fld="7" item="248"/>
          <tpl fld="6" item="1"/>
          <tpl hier="236" item="1"/>
          <tpl fld="4" item="5"/>
        </tpls>
      </m>
      <n v="3" in="1">
        <tpls c="4">
          <tpl fld="7" item="680"/>
          <tpl fld="6" item="1"/>
          <tpl hier="236" item="1"/>
          <tpl fld="4" item="1"/>
        </tpls>
      </n>
      <n v="9" in="1">
        <tpls c="4">
          <tpl fld="7" item="566"/>
          <tpl fld="6" item="1"/>
          <tpl hier="236" item="1"/>
          <tpl fld="1" item="0"/>
        </tpls>
      </n>
      <n v="1" in="1">
        <tpls c="4">
          <tpl fld="7" item="1022"/>
          <tpl fld="6" item="1"/>
          <tpl hier="236" item="1"/>
          <tpl fld="4" item="6"/>
        </tpls>
      </n>
      <n v="0.6" in="2">
        <tpls c="4">
          <tpl fld="7" item="839"/>
          <tpl fld="6" item="2"/>
          <tpl hier="236" item="1"/>
          <tpl fld="4" item="5"/>
        </tpls>
      </n>
      <m>
        <tpls c="4">
          <tpl fld="7" item="112"/>
          <tpl fld="6" item="2"/>
          <tpl hier="236" item="1"/>
          <tpl fld="4" item="5"/>
        </tpls>
      </m>
      <m>
        <tpls c="4">
          <tpl fld="7" item="754"/>
          <tpl fld="6" item="2"/>
          <tpl hier="236" item="1"/>
          <tpl fld="4" item="6"/>
        </tpls>
      </m>
      <m>
        <tpls c="4">
          <tpl fld="7" item="318"/>
          <tpl fld="6" item="1"/>
          <tpl hier="236" item="1"/>
          <tpl fld="4" item="5"/>
        </tpls>
      </m>
      <n v="2" in="1">
        <tpls c="4">
          <tpl fld="7" item="1181"/>
          <tpl fld="6" item="1"/>
          <tpl hier="236" item="1"/>
          <tpl fld="4" item="1"/>
        </tpls>
      </n>
      <m>
        <tpls c="4">
          <tpl fld="7" item="408"/>
          <tpl fld="6" item="1"/>
          <tpl hier="236" item="1"/>
          <tpl fld="4" item="1"/>
        </tpls>
      </m>
      <n v="7" in="1">
        <tpls c="4">
          <tpl fld="7" item="758"/>
          <tpl fld="6" item="1"/>
          <tpl hier="236" item="1"/>
          <tpl fld="1" item="0"/>
        </tpls>
      </n>
      <m>
        <tpls c="4">
          <tpl fld="7" item="737"/>
          <tpl fld="6" item="1"/>
          <tpl hier="236" item="1"/>
          <tpl fld="4" item="6"/>
        </tpls>
      </m>
      <m>
        <tpls c="4">
          <tpl fld="7" item="854"/>
          <tpl fld="6" item="1"/>
          <tpl hier="236" item="1"/>
          <tpl fld="4" item="5"/>
        </tpls>
      </m>
      <n v="58" in="1">
        <tpls c="4">
          <tpl fld="7" item="376"/>
          <tpl fld="6" item="1"/>
          <tpl hier="236" item="1"/>
          <tpl fld="1" item="0"/>
        </tpls>
      </n>
      <m>
        <tpls c="3">
          <tpl fld="7" item="628"/>
          <tpl fld="6" item="3"/>
          <tpl hier="236" item="1"/>
        </tpls>
      </m>
      <m>
        <tpls c="4">
          <tpl fld="7" item="108"/>
          <tpl fld="6" item="2"/>
          <tpl hier="236" item="1"/>
          <tpl fld="4" item="4"/>
        </tpls>
      </m>
      <m>
        <tpls c="4">
          <tpl fld="7" item="1165"/>
          <tpl fld="6" item="2"/>
          <tpl hier="236" item="1"/>
          <tpl fld="4" item="4"/>
        </tpls>
      </m>
      <m>
        <tpls c="4">
          <tpl fld="7" item="235"/>
          <tpl fld="6" item="2"/>
          <tpl hier="236" item="1"/>
          <tpl fld="4" item="5"/>
        </tpls>
      </m>
      <m>
        <tpls c="4">
          <tpl fld="7" item="62"/>
          <tpl fld="6" item="1"/>
          <tpl hier="236" item="1"/>
          <tpl fld="4" item="1"/>
        </tpls>
      </m>
      <m>
        <tpls c="4">
          <tpl fld="7" item="895"/>
          <tpl fld="6" item="1"/>
          <tpl hier="236" item="1"/>
          <tpl fld="4" item="6"/>
        </tpls>
      </m>
      <n v="717" in="1">
        <tpls c="6">
          <tpl fld="11" item="0"/>
          <tpl fld="2" item="1"/>
          <tpl fld="6" item="1"/>
          <tpl hier="236" item="1"/>
          <tpl fld="4" item="3"/>
          <tpl fld="10" item="7"/>
        </tpls>
      </n>
      <n v="0.32" in="2">
        <tpls c="4">
          <tpl fld="7" item="389"/>
          <tpl fld="6" item="2"/>
          <tpl hier="236" item="1"/>
          <tpl fld="4" item="1"/>
        </tpls>
      </n>
      <m>
        <tpls c="3">
          <tpl fld="7" item="1096"/>
          <tpl fld="6" item="3"/>
          <tpl hier="236" item="1"/>
        </tpls>
      </m>
      <m>
        <tpls c="4">
          <tpl fld="7" item="781"/>
          <tpl fld="6" item="2"/>
          <tpl hier="236" item="1"/>
          <tpl fld="4" item="1"/>
        </tpls>
      </m>
      <m>
        <tpls c="4">
          <tpl fld="7" item="665"/>
          <tpl fld="6" item="1"/>
          <tpl hier="236" item="1"/>
          <tpl fld="4" item="5"/>
        </tpls>
      </m>
      <m>
        <tpls c="4">
          <tpl fld="7" item="779"/>
          <tpl fld="6" item="2"/>
          <tpl hier="236" item="1"/>
          <tpl fld="4" item="4"/>
        </tpls>
      </m>
      <m>
        <tpls c="4">
          <tpl fld="7" item="849"/>
          <tpl fld="6" item="2"/>
          <tpl hier="236" item="1"/>
          <tpl fld="1" item="0"/>
        </tpls>
      </m>
      <n v="5" in="1">
        <tpls c="4">
          <tpl fld="7" item="1100"/>
          <tpl fld="6" item="1"/>
          <tpl hier="236" item="1"/>
          <tpl fld="4" item="4"/>
        </tpls>
      </n>
      <m>
        <tpls c="4">
          <tpl fld="7" item="1168"/>
          <tpl fld="6" item="2"/>
          <tpl hier="236" item="1"/>
          <tpl fld="4" item="1"/>
        </tpls>
      </m>
      <m>
        <tpls c="4">
          <tpl fld="7" item="889"/>
          <tpl fld="6" item="2"/>
          <tpl hier="236" item="1"/>
          <tpl fld="4" item="4"/>
        </tpls>
      </m>
      <m>
        <tpls c="4">
          <tpl fld="7" item="33"/>
          <tpl fld="6" item="2"/>
          <tpl hier="236" item="1"/>
          <tpl fld="4" item="5"/>
        </tpls>
      </m>
      <m>
        <tpls c="4">
          <tpl fld="7" item="144"/>
          <tpl fld="6" item="1"/>
          <tpl hier="236" item="1"/>
          <tpl fld="4" item="5"/>
        </tpls>
      </m>
      <m>
        <tpls c="4">
          <tpl fld="7" item="3"/>
          <tpl fld="6" item="1"/>
          <tpl hier="236" item="1"/>
          <tpl fld="4" item="1"/>
        </tpls>
      </m>
      <n v="2" in="2">
        <tpls c="4">
          <tpl fld="7" item="1084"/>
          <tpl fld="6" item="2"/>
          <tpl hier="236" item="1"/>
          <tpl fld="1" item="0"/>
        </tpls>
      </n>
      <m>
        <tpls c="4">
          <tpl fld="7" item="628"/>
          <tpl fld="6" item="1"/>
          <tpl hier="236" item="1"/>
          <tpl fld="4" item="5"/>
        </tpls>
      </m>
      <m>
        <tpls c="4">
          <tpl fld="7" item="449"/>
          <tpl fld="6" item="2"/>
          <tpl hier="236" item="1"/>
          <tpl fld="1" item="0"/>
        </tpls>
      </m>
      <m>
        <tpls c="4">
          <tpl fld="7" item="816"/>
          <tpl fld="6" item="2"/>
          <tpl hier="236" item="1"/>
          <tpl fld="1" item="0"/>
        </tpls>
      </m>
      <m>
        <tpls c="4">
          <tpl fld="7" item="913"/>
          <tpl fld="6" item="2"/>
          <tpl hier="236" item="1"/>
          <tpl fld="4" item="1"/>
        </tpls>
      </m>
      <n v="2.2800000000000002" in="2">
        <tpls c="4">
          <tpl fld="7" item="374"/>
          <tpl fld="6" item="2"/>
          <tpl hier="236" item="1"/>
          <tpl fld="1" item="0"/>
        </tpls>
      </n>
      <n v="17" in="1">
        <tpls c="4">
          <tpl fld="7" item="993"/>
          <tpl fld="6" item="1"/>
          <tpl hier="236" item="1"/>
          <tpl fld="4" item="4"/>
        </tpls>
      </n>
      <m>
        <tpls c="3">
          <tpl fld="7" item="1103"/>
          <tpl fld="6" item="3"/>
          <tpl hier="236" item="1"/>
        </tpls>
      </m>
      <m>
        <tpls c="4">
          <tpl fld="7" item="954"/>
          <tpl fld="6" item="2"/>
          <tpl hier="236" item="1"/>
          <tpl fld="4" item="1"/>
        </tpls>
      </m>
      <m>
        <tpls c="4">
          <tpl fld="7" item="1016"/>
          <tpl fld="6" item="2"/>
          <tpl hier="236" item="1"/>
          <tpl fld="4" item="5"/>
        </tpls>
      </m>
      <m>
        <tpls c="4">
          <tpl fld="7" item="602"/>
          <tpl fld="6" item="2"/>
          <tpl hier="236" item="1"/>
          <tpl fld="1" item="0"/>
        </tpls>
      </m>
      <m>
        <tpls c="4">
          <tpl fld="7" item="1242"/>
          <tpl fld="6" item="2"/>
          <tpl hier="236" item="1"/>
          <tpl fld="4" item="6"/>
        </tpls>
      </m>
      <m>
        <tpls c="4">
          <tpl fld="7" item="33"/>
          <tpl fld="6" item="1"/>
          <tpl hier="236" item="1"/>
          <tpl fld="4" item="5"/>
        </tpls>
      </m>
      <m>
        <tpls c="4">
          <tpl fld="7" item="120"/>
          <tpl fld="6" item="1"/>
          <tpl hier="236" item="1"/>
          <tpl fld="4" item="1"/>
        </tpls>
      </m>
      <n v="1.2" in="2">
        <tpls c="4">
          <tpl fld="7" item="982"/>
          <tpl fld="6" item="2"/>
          <tpl hier="236" item="1"/>
          <tpl fld="1" item="0"/>
        </tpls>
      </n>
      <m>
        <tpls c="4">
          <tpl fld="7" item="711"/>
          <tpl fld="6" item="2"/>
          <tpl hier="236" item="1"/>
          <tpl fld="1" item="0"/>
        </tpls>
      </m>
      <m>
        <tpls c="4">
          <tpl fld="7" item="206"/>
          <tpl fld="6" item="2"/>
          <tpl hier="236" item="1"/>
          <tpl fld="1" item="0"/>
        </tpls>
      </m>
      <m>
        <tpls c="3">
          <tpl fld="7" item="817"/>
          <tpl fld="6" item="3"/>
          <tpl hier="236" item="1"/>
        </tpls>
      </m>
      <m>
        <tpls c="3">
          <tpl fld="7" item="1018"/>
          <tpl fld="6" item="3"/>
          <tpl hier="236" item="1"/>
        </tpls>
      </m>
      <n v="0.52" in="2">
        <tpls c="4">
          <tpl fld="7" item="365"/>
          <tpl fld="6" item="2"/>
          <tpl hier="236" item="1"/>
          <tpl fld="1" item="0"/>
        </tpls>
      </n>
      <m>
        <tpls c="4">
          <tpl fld="7" item="807"/>
          <tpl fld="6" item="1"/>
          <tpl hier="236" item="1"/>
          <tpl fld="4" item="6"/>
        </tpls>
      </m>
      <n v="3" in="1">
        <tpls c="4">
          <tpl fld="7" item="1242"/>
          <tpl fld="6" item="1"/>
          <tpl hier="236" item="1"/>
          <tpl fld="4" item="6"/>
        </tpls>
      </n>
      <m>
        <tpls c="4">
          <tpl fld="7" item="1165"/>
          <tpl fld="6" item="2"/>
          <tpl hier="236" item="1"/>
          <tpl fld="4" item="1"/>
        </tpls>
      </m>
      <m>
        <tpls c="4">
          <tpl fld="7" item="1112"/>
          <tpl fld="6" item="2"/>
          <tpl hier="236" item="1"/>
          <tpl fld="4" item="5"/>
        </tpls>
      </m>
      <m>
        <tpls c="4">
          <tpl fld="7" item="86"/>
          <tpl fld="6" item="2"/>
          <tpl hier="236" item="1"/>
          <tpl fld="1" item="0"/>
        </tpls>
      </m>
      <m>
        <tpls c="4">
          <tpl fld="7" item="452"/>
          <tpl fld="6" item="2"/>
          <tpl hier="236" item="1"/>
          <tpl fld="4" item="6"/>
        </tpls>
      </m>
      <m>
        <tpls c="4">
          <tpl fld="7" item="131"/>
          <tpl fld="6" item="1"/>
          <tpl hier="236" item="1"/>
          <tpl fld="4" item="5"/>
        </tpls>
      </m>
      <n v="1" in="1">
        <tpls c="4">
          <tpl fld="7" item="867"/>
          <tpl fld="6" item="1"/>
          <tpl hier="236" item="1"/>
          <tpl fld="1" item="0"/>
        </tpls>
      </n>
      <m>
        <tpls c="4">
          <tpl fld="7" item="195"/>
          <tpl fld="6" item="2"/>
          <tpl hier="236" item="1"/>
          <tpl fld="1" item="0"/>
        </tpls>
      </m>
      <m>
        <tpls c="4">
          <tpl fld="7" item="380"/>
          <tpl fld="6" item="2"/>
          <tpl hier="236" item="1"/>
          <tpl fld="4" item="6"/>
        </tpls>
      </m>
      <m>
        <tpls c="4">
          <tpl fld="7" item="22"/>
          <tpl fld="6" item="1"/>
          <tpl hier="236" item="1"/>
          <tpl fld="4" item="5"/>
        </tpls>
      </m>
      <m>
        <tpls c="4">
          <tpl fld="7" item="839"/>
          <tpl fld="6" item="1"/>
          <tpl hier="236" item="1"/>
          <tpl fld="4" item="4"/>
        </tpls>
      </m>
      <m>
        <tpls c="4">
          <tpl fld="7" item="1197"/>
          <tpl fld="6" item="1"/>
          <tpl hier="236" item="1"/>
          <tpl fld="4" item="4"/>
        </tpls>
      </m>
      <m>
        <tpls c="4">
          <tpl fld="7" item="366"/>
          <tpl fld="6" item="1"/>
          <tpl hier="236" item="1"/>
          <tpl fld="4" item="5"/>
        </tpls>
      </m>
      <m>
        <tpls c="4">
          <tpl fld="7" item="263"/>
          <tpl fld="6" item="2"/>
          <tpl hier="236" item="1"/>
          <tpl fld="4" item="5"/>
        </tpls>
      </m>
      <m>
        <tpls c="4">
          <tpl fld="7" item="143"/>
          <tpl fld="6" item="1"/>
          <tpl hier="236" item="1"/>
          <tpl fld="4" item="5"/>
        </tpls>
      </m>
      <m>
        <tpls c="4">
          <tpl fld="7" item="714"/>
          <tpl fld="6" item="1"/>
          <tpl hier="236" item="1"/>
          <tpl fld="4" item="6"/>
        </tpls>
      </m>
      <m>
        <tpls c="4">
          <tpl fld="7" item="1216"/>
          <tpl fld="6" item="2"/>
          <tpl hier="236" item="1"/>
          <tpl fld="4" item="5"/>
        </tpls>
      </m>
      <m>
        <tpls c="4">
          <tpl fld="7" item="412"/>
          <tpl fld="6" item="2"/>
          <tpl hier="236" item="1"/>
          <tpl fld="4" item="6"/>
        </tpls>
      </m>
      <m>
        <tpls c="4">
          <tpl fld="7" item="486"/>
          <tpl fld="6" item="1"/>
          <tpl hier="236" item="1"/>
          <tpl fld="4" item="5"/>
        </tpls>
      </m>
      <m>
        <tpls c="4">
          <tpl fld="7" item="1253"/>
          <tpl fld="6" item="1"/>
          <tpl hier="236" item="1"/>
          <tpl fld="4" item="1"/>
        </tpls>
      </m>
      <m>
        <tpls c="4">
          <tpl fld="7" item="440"/>
          <tpl fld="6" item="1"/>
          <tpl hier="236" item="1"/>
          <tpl fld="4" item="1"/>
        </tpls>
      </m>
      <m>
        <tpls c="4">
          <tpl fld="7" item="752"/>
          <tpl fld="6" item="1"/>
          <tpl hier="236" item="1"/>
          <tpl fld="4" item="1"/>
        </tpls>
      </m>
      <n v="31" in="1">
        <tpls c="4">
          <tpl fld="7" item="681"/>
          <tpl fld="6" item="1"/>
          <tpl hier="236" item="1"/>
          <tpl fld="1" item="0"/>
        </tpls>
      </n>
      <m>
        <tpls c="4">
          <tpl fld="7" item="252"/>
          <tpl fld="6" item="1"/>
          <tpl hier="236" item="1"/>
          <tpl fld="1" item="0"/>
        </tpls>
      </m>
      <n v="1" in="1">
        <tpls c="4">
          <tpl fld="7" item="1039"/>
          <tpl fld="6" item="1"/>
          <tpl hier="236" item="1"/>
          <tpl fld="4" item="4"/>
        </tpls>
      </n>
      <m>
        <tpls c="4">
          <tpl fld="7" item="346"/>
          <tpl fld="6" item="2"/>
          <tpl hier="236" item="1"/>
          <tpl fld="4" item="6"/>
        </tpls>
      </m>
      <n v="0" in="1">
        <tpls c="4">
          <tpl fld="7" item="368"/>
          <tpl fld="6" item="1"/>
          <tpl hier="236" item="1"/>
          <tpl fld="4" item="1"/>
        </tpls>
      </n>
      <n v="1" in="1">
        <tpls c="4">
          <tpl fld="7" item="104"/>
          <tpl fld="6" item="1"/>
          <tpl hier="236" item="1"/>
          <tpl fld="1" item="0"/>
        </tpls>
      </n>
      <m>
        <tpls c="4">
          <tpl fld="7" item="114"/>
          <tpl fld="6" item="1"/>
          <tpl hier="236" item="1"/>
          <tpl fld="4" item="6"/>
        </tpls>
      </m>
      <m>
        <tpls c="4">
          <tpl fld="7" item="1050"/>
          <tpl fld="6" item="2"/>
          <tpl hier="236" item="1"/>
          <tpl fld="4" item="4"/>
        </tpls>
      </m>
      <m>
        <tpls c="4">
          <tpl fld="7" item="126"/>
          <tpl fld="6" item="2"/>
          <tpl hier="236" item="1"/>
          <tpl fld="4" item="6"/>
        </tpls>
      </m>
      <m>
        <tpls c="3">
          <tpl fld="7" item="789"/>
          <tpl fld="6" item="3"/>
          <tpl hier="236" item="1"/>
        </tpls>
      </m>
      <m>
        <tpls c="4">
          <tpl fld="7" item="1129"/>
          <tpl fld="6" item="2"/>
          <tpl hier="236" item="1"/>
          <tpl fld="4" item="4"/>
        </tpls>
      </m>
      <n v="1" in="2">
        <tpls c="4">
          <tpl fld="7" item="596"/>
          <tpl fld="6" item="2"/>
          <tpl hier="236" item="1"/>
          <tpl fld="4" item="6"/>
        </tpls>
      </n>
      <n v="5" in="1">
        <tpls c="4">
          <tpl fld="7" item="379"/>
          <tpl fld="6" item="1"/>
          <tpl hier="236" item="1"/>
          <tpl fld="4" item="1"/>
        </tpls>
      </n>
      <n v="37" in="1">
        <tpls c="4">
          <tpl fld="7" item="493"/>
          <tpl fld="6" item="1"/>
          <tpl hier="236" item="1"/>
          <tpl fld="1" item="0"/>
        </tpls>
      </n>
      <m>
        <tpls c="4">
          <tpl fld="7" item="22"/>
          <tpl fld="6" item="1"/>
          <tpl hier="236" item="1"/>
          <tpl fld="4" item="6"/>
        </tpls>
      </m>
      <m>
        <tpls c="4">
          <tpl fld="7" item="949"/>
          <tpl fld="6" item="2"/>
          <tpl hier="236" item="1"/>
          <tpl fld="4" item="4"/>
        </tpls>
      </m>
      <m>
        <tpls c="4">
          <tpl fld="7" item="188"/>
          <tpl fld="6" item="1"/>
          <tpl hier="236" item="1"/>
          <tpl fld="4" item="5"/>
        </tpls>
      </m>
      <m>
        <tpls c="3">
          <tpl fld="7" item="400"/>
          <tpl fld="6" item="3"/>
          <tpl hier="236" item="1"/>
        </tpls>
      </m>
      <m>
        <tpls c="4">
          <tpl fld="7" item="679"/>
          <tpl fld="6" item="2"/>
          <tpl hier="236" item="1"/>
          <tpl fld="1" item="0"/>
        </tpls>
      </m>
      <m>
        <tpls c="4">
          <tpl fld="7" item="717"/>
          <tpl fld="6" item="2"/>
          <tpl hier="236" item="1"/>
          <tpl fld="4" item="1"/>
        </tpls>
      </m>
      <m>
        <tpls c="4">
          <tpl fld="7" item="457"/>
          <tpl fld="6" item="2"/>
          <tpl hier="236" item="1"/>
          <tpl fld="1" item="0"/>
        </tpls>
      </m>
      <m>
        <tpls c="4">
          <tpl fld="7" item="743"/>
          <tpl fld="6" item="2"/>
          <tpl hier="236" item="1"/>
          <tpl fld="4" item="1"/>
        </tpls>
      </m>
      <n v="3" in="1">
        <tpls c="4">
          <tpl fld="7" item="968"/>
          <tpl fld="6" item="1"/>
          <tpl hier="236" item="1"/>
          <tpl fld="4" item="4"/>
        </tpls>
      </n>
      <n v="5" in="1">
        <tpls c="4">
          <tpl fld="7" item="806"/>
          <tpl fld="6" item="1"/>
          <tpl hier="236" item="1"/>
          <tpl fld="4" item="6"/>
        </tpls>
      </n>
      <n v="2" in="1">
        <tpls c="4">
          <tpl fld="7" item="1117"/>
          <tpl fld="6" item="1"/>
          <tpl hier="236" item="1"/>
          <tpl fld="4" item="6"/>
        </tpls>
      </n>
      <m>
        <tpls c="4">
          <tpl fld="7" item="262"/>
          <tpl fld="6" item="2"/>
          <tpl hier="236" item="1"/>
          <tpl fld="1" item="0"/>
        </tpls>
      </m>
      <m>
        <tpls c="4">
          <tpl fld="7" item="309"/>
          <tpl fld="6" item="2"/>
          <tpl hier="236" item="1"/>
          <tpl fld="1" item="0"/>
        </tpls>
      </m>
      <m>
        <tpls c="4">
          <tpl fld="7" item="139"/>
          <tpl fld="6" item="2"/>
          <tpl hier="236" item="1"/>
          <tpl fld="4" item="6"/>
        </tpls>
      </m>
      <m>
        <tpls c="4">
          <tpl fld="7" item="90"/>
          <tpl fld="6" item="1"/>
          <tpl hier="236" item="1"/>
          <tpl fld="4" item="1"/>
        </tpls>
      </m>
      <m>
        <tpls c="4">
          <tpl fld="7" item="1263"/>
          <tpl fld="6" item="2"/>
          <tpl hier="236" item="1"/>
          <tpl fld="1" item="0"/>
        </tpls>
      </m>
      <m>
        <tpls c="4">
          <tpl fld="7" item="484"/>
          <tpl fld="6" item="2"/>
          <tpl hier="236" item="1"/>
          <tpl fld="4" item="5"/>
        </tpls>
      </m>
      <m>
        <tpls c="4">
          <tpl fld="7" item="1104"/>
          <tpl fld="6" item="2"/>
          <tpl hier="236" item="1"/>
          <tpl fld="4" item="6"/>
        </tpls>
      </m>
      <m>
        <tpls c="4">
          <tpl fld="7" item="234"/>
          <tpl fld="6" item="2"/>
          <tpl hier="236" item="1"/>
          <tpl fld="4" item="6"/>
        </tpls>
      </m>
      <m>
        <tpls c="4">
          <tpl fld="7" item="91"/>
          <tpl fld="6" item="1"/>
          <tpl hier="236" item="1"/>
          <tpl fld="4" item="5"/>
        </tpls>
      </m>
      <n v="2" in="1">
        <tpls c="4">
          <tpl fld="7" item="955"/>
          <tpl fld="6" item="1"/>
          <tpl hier="236" item="1"/>
          <tpl fld="4" item="1"/>
        </tpls>
      </n>
      <n v="1" in="1">
        <tpls c="4">
          <tpl fld="7" item="1277"/>
          <tpl fld="6" item="1"/>
          <tpl hier="236" item="1"/>
          <tpl fld="4" item="1"/>
        </tpls>
      </n>
      <m>
        <tpls c="4">
          <tpl fld="7" item="105"/>
          <tpl fld="6" item="1"/>
          <tpl hier="236" item="1"/>
          <tpl fld="4" item="1"/>
        </tpls>
      </m>
      <m>
        <tpls c="4">
          <tpl fld="7" item="245"/>
          <tpl fld="6" item="1"/>
          <tpl hier="236" item="1"/>
          <tpl fld="4" item="1"/>
        </tpls>
      </m>
      <m>
        <tpls c="4">
          <tpl fld="7" item="727"/>
          <tpl fld="6" item="2"/>
          <tpl hier="236" item="1"/>
          <tpl fld="4" item="6"/>
        </tpls>
      </m>
      <n v="0.8" in="2">
        <tpls c="4">
          <tpl fld="7" item="1217"/>
          <tpl fld="6" item="2"/>
          <tpl hier="236" item="1"/>
          <tpl fld="4" item="4"/>
        </tpls>
      </n>
      <m>
        <tpls c="4">
          <tpl fld="7" item="1234"/>
          <tpl fld="6" item="1"/>
          <tpl hier="236" item="1"/>
          <tpl fld="4" item="4"/>
        </tpls>
      </m>
      <m>
        <tpls c="4">
          <tpl fld="7" item="400"/>
          <tpl fld="6" item="2"/>
          <tpl hier="236" item="1"/>
          <tpl fld="1" item="0"/>
        </tpls>
      </m>
      <m>
        <tpls c="4">
          <tpl fld="7" item="596"/>
          <tpl fld="6" item="2"/>
          <tpl hier="236" item="1"/>
          <tpl fld="4" item="5"/>
        </tpls>
      </m>
      <m>
        <tpls c="4">
          <tpl fld="7" item="262"/>
          <tpl fld="6" item="2"/>
          <tpl hier="236" item="1"/>
          <tpl fld="4" item="5"/>
        </tpls>
      </m>
      <m>
        <tpls c="4">
          <tpl fld="7" item="852"/>
          <tpl fld="6" item="2"/>
          <tpl hier="236" item="1"/>
          <tpl fld="4" item="6"/>
        </tpls>
      </m>
      <m>
        <tpls c="4">
          <tpl fld="7" item="317"/>
          <tpl fld="6" item="2"/>
          <tpl hier="236" item="1"/>
          <tpl fld="4" item="6"/>
        </tpls>
      </m>
      <m>
        <tpls c="4">
          <tpl fld="7" item="471"/>
          <tpl fld="6" item="2"/>
          <tpl hier="236" item="1"/>
          <tpl fld="4" item="6"/>
        </tpls>
      </m>
      <m>
        <tpls c="4">
          <tpl fld="7" item="762"/>
          <tpl fld="6" item="1"/>
          <tpl hier="236" item="1"/>
          <tpl fld="4" item="5"/>
        </tpls>
      </m>
      <m>
        <tpls c="4">
          <tpl fld="7" item="412"/>
          <tpl fld="6" item="1"/>
          <tpl hier="236" item="1"/>
          <tpl fld="4" item="5"/>
        </tpls>
      </m>
      <m>
        <tpls c="4">
          <tpl fld="7" item="1204"/>
          <tpl fld="6" item="1"/>
          <tpl hier="236" item="1"/>
          <tpl fld="4" item="1"/>
        </tpls>
      </m>
      <n v="1" in="1">
        <tpls c="4">
          <tpl fld="7" item="837"/>
          <tpl fld="6" item="1"/>
          <tpl hier="236" item="1"/>
          <tpl fld="4" item="1"/>
        </tpls>
      </n>
      <m>
        <tpls c="4">
          <tpl fld="7" item="92"/>
          <tpl fld="6" item="1"/>
          <tpl hier="236" item="1"/>
          <tpl fld="4" item="1"/>
        </tpls>
      </m>
      <m>
        <tpls c="4">
          <tpl fld="7" item="25"/>
          <tpl fld="6" item="1"/>
          <tpl hier="236" item="1"/>
          <tpl fld="4" item="1"/>
        </tpls>
      </m>
      <n v="7" in="1">
        <tpls c="4">
          <tpl fld="7" item="1190"/>
          <tpl fld="6" item="1"/>
          <tpl hier="236" item="1"/>
          <tpl fld="1" item="0"/>
        </tpls>
      </n>
      <m>
        <tpls c="4">
          <tpl fld="7" item="187"/>
          <tpl fld="6" item="1"/>
          <tpl hier="236" item="1"/>
          <tpl fld="1" item="0"/>
        </tpls>
      </m>
      <m>
        <tpls c="4">
          <tpl fld="7" item="63"/>
          <tpl fld="6" item="1"/>
          <tpl hier="236" item="1"/>
          <tpl fld="4" item="6"/>
        </tpls>
      </m>
      <m>
        <tpls c="4">
          <tpl fld="7" item="261"/>
          <tpl fld="6" item="2"/>
          <tpl hier="236" item="1"/>
          <tpl fld="1" item="0"/>
        </tpls>
      </m>
      <m>
        <tpls c="4">
          <tpl fld="7" item="679"/>
          <tpl fld="6" item="2"/>
          <tpl hier="236" item="1"/>
          <tpl fld="4" item="6"/>
        </tpls>
      </m>
      <m>
        <tpls c="4">
          <tpl fld="7" item="979"/>
          <tpl fld="6" item="1"/>
          <tpl hier="236" item="1"/>
          <tpl fld="4" item="5"/>
        </tpls>
      </m>
      <m>
        <tpls c="4">
          <tpl fld="7" item="6"/>
          <tpl fld="6" item="1"/>
          <tpl hier="236" item="1"/>
          <tpl fld="4" item="1"/>
        </tpls>
      </m>
      <m>
        <tpls c="4">
          <tpl fld="7" item="193"/>
          <tpl fld="6" item="1"/>
          <tpl hier="236" item="1"/>
          <tpl fld="1" item="0"/>
        </tpls>
      </m>
      <m>
        <tpls c="4">
          <tpl fld="7" item="18"/>
          <tpl fld="6" item="1"/>
          <tpl hier="236" item="1"/>
          <tpl fld="4" item="6"/>
        </tpls>
      </m>
      <m>
        <tpls c="4">
          <tpl fld="7" item="1080"/>
          <tpl fld="6" item="2"/>
          <tpl hier="236" item="1"/>
          <tpl fld="4" item="4"/>
        </tpls>
      </m>
      <m>
        <tpls c="4">
          <tpl fld="7" item="277"/>
          <tpl fld="6" item="2"/>
          <tpl hier="236" item="1"/>
          <tpl fld="4" item="4"/>
        </tpls>
      </m>
      <m>
        <tpls c="4">
          <tpl fld="7" item="469"/>
          <tpl fld="6" item="1"/>
          <tpl hier="236" item="1"/>
          <tpl fld="4" item="5"/>
        </tpls>
      </m>
      <m>
        <tpls c="4">
          <tpl fld="7" item="131"/>
          <tpl fld="6" item="1"/>
          <tpl hier="236" item="1"/>
          <tpl fld="4" item="6"/>
        </tpls>
      </m>
      <n v="1" in="1">
        <tpls c="4">
          <tpl fld="7" item="992"/>
          <tpl fld="6" item="1"/>
          <tpl hier="236" item="1"/>
          <tpl fld="4" item="6"/>
        </tpls>
      </n>
      <m>
        <tpls c="4">
          <tpl fld="7" item="602"/>
          <tpl fld="6" item="2"/>
          <tpl hier="236" item="1"/>
          <tpl fld="4" item="5"/>
        </tpls>
      </m>
      <m>
        <tpls c="4">
          <tpl fld="7" item="37"/>
          <tpl fld="6" item="2"/>
          <tpl hier="236" item="1"/>
          <tpl fld="4" item="6"/>
        </tpls>
      </m>
      <n v="1" in="1">
        <tpls c="4">
          <tpl fld="7" item="1019"/>
          <tpl fld="6" item="1"/>
          <tpl hier="236" item="1"/>
          <tpl fld="4" item="1"/>
        </tpls>
      </n>
      <m>
        <tpls c="4">
          <tpl fld="7" item="902"/>
          <tpl fld="6" item="1"/>
          <tpl hier="236" item="1"/>
          <tpl fld="1" item="0"/>
        </tpls>
      </m>
      <m>
        <tpls c="4">
          <tpl fld="7" item="148"/>
          <tpl fld="6" item="1"/>
          <tpl hier="236" item="1"/>
          <tpl fld="1" item="0"/>
        </tpls>
      </m>
      <m>
        <tpls c="4">
          <tpl fld="7" item="396"/>
          <tpl fld="6" item="1"/>
          <tpl hier="236" item="1"/>
          <tpl fld="4" item="6"/>
        </tpls>
      </m>
      <m>
        <tpls c="4">
          <tpl fld="7" item="959"/>
          <tpl fld="6" item="2"/>
          <tpl hier="236" item="1"/>
          <tpl fld="4" item="4"/>
        </tpls>
      </m>
      <m>
        <tpls c="4">
          <tpl fld="7" item="326"/>
          <tpl fld="6" item="2"/>
          <tpl hier="236" item="1"/>
          <tpl fld="4" item="4"/>
        </tpls>
      </m>
      <n v="1" in="1">
        <tpls c="4">
          <tpl fld="7" item="523"/>
          <tpl fld="6" item="1"/>
          <tpl hier="236" item="1"/>
          <tpl fld="1" item="0"/>
        </tpls>
      </n>
      <m>
        <tpls c="4">
          <tpl fld="7" item="1157"/>
          <tpl fld="6" item="2"/>
          <tpl hier="236" item="1"/>
          <tpl fld="4" item="4"/>
        </tpls>
      </m>
      <n v="1" in="1">
        <tpls c="4">
          <tpl fld="7" item="1035"/>
          <tpl fld="6" item="1"/>
          <tpl hier="236" item="1"/>
          <tpl fld="4" item="4"/>
        </tpls>
      </n>
      <n v="0.4" in="2">
        <tpls c="4">
          <tpl fld="7" item="1249"/>
          <tpl fld="6" item="2"/>
          <tpl hier="236" item="1"/>
          <tpl fld="4" item="6"/>
        </tpls>
      </n>
      <m>
        <tpls c="4">
          <tpl fld="7" item="346"/>
          <tpl fld="6" item="1"/>
          <tpl hier="236" item="1"/>
          <tpl fld="4" item="5"/>
        </tpls>
      </m>
      <m>
        <tpls c="4">
          <tpl fld="7" item="240"/>
          <tpl fld="6" item="1"/>
          <tpl hier="236" item="1"/>
          <tpl fld="4" item="1"/>
        </tpls>
      </m>
      <m>
        <tpls c="4">
          <tpl fld="7" item="321"/>
          <tpl fld="6" item="1"/>
          <tpl hier="236" item="1"/>
          <tpl fld="1" item="0"/>
        </tpls>
      </m>
      <n v="1" in="1">
        <tpls c="4">
          <tpl fld="7" item="789"/>
          <tpl fld="6" item="1"/>
          <tpl hier="236" item="1"/>
          <tpl fld="4" item="6"/>
        </tpls>
      </n>
      <m>
        <tpls c="3">
          <tpl fld="7" item="123"/>
          <tpl fld="6" item="3"/>
          <tpl hier="236" item="1"/>
        </tpls>
      </m>
      <m>
        <tpls c="4">
          <tpl fld="7" item="873"/>
          <tpl fld="6" item="2"/>
          <tpl hier="236" item="1"/>
          <tpl fld="4" item="4"/>
        </tpls>
      </m>
      <n v="6" in="1">
        <tpls c="4">
          <tpl fld="7" item="817"/>
          <tpl fld="6" item="1"/>
          <tpl hier="236" item="1"/>
          <tpl fld="4" item="4"/>
        </tpls>
      </n>
      <m>
        <tpls c="4">
          <tpl fld="7" item="77"/>
          <tpl fld="6" item="2"/>
          <tpl hier="236" item="1"/>
          <tpl fld="4" item="5"/>
        </tpls>
      </m>
      <m>
        <tpls c="4">
          <tpl fld="7" item="229"/>
          <tpl fld="6" item="1"/>
          <tpl hier="236" item="1"/>
          <tpl fld="4" item="1"/>
        </tpls>
      </m>
      <m>
        <tpls c="4">
          <tpl fld="7" item="1183"/>
          <tpl fld="6" item="2"/>
          <tpl hier="236" item="1"/>
          <tpl fld="4" item="4"/>
        </tpls>
      </m>
      <m>
        <tpls c="4">
          <tpl fld="7" item="566"/>
          <tpl fld="6" item="2"/>
          <tpl hier="236" item="1"/>
          <tpl fld="1" item="0"/>
        </tpls>
      </m>
      <m>
        <tpls c="4">
          <tpl fld="7" item="741"/>
          <tpl fld="6" item="2"/>
          <tpl hier="236" item="1"/>
          <tpl fld="4" item="5"/>
        </tpls>
      </m>
      <m>
        <tpls c="3">
          <tpl fld="7" item="458"/>
          <tpl fld="6" item="3"/>
          <tpl hier="236" item="1"/>
        </tpls>
      </m>
      <m>
        <tpls c="4">
          <tpl fld="7" item="1114"/>
          <tpl fld="6" item="1"/>
          <tpl hier="236" item="1"/>
          <tpl fld="4" item="6"/>
        </tpls>
      </m>
      <n v="0" in="1">
        <tpls c="4">
          <tpl fld="7" item="565"/>
          <tpl fld="6" item="1"/>
          <tpl hier="236" item="1"/>
          <tpl fld="1" item="0"/>
        </tpls>
      </n>
      <m>
        <tpls c="4">
          <tpl fld="7" item="72"/>
          <tpl fld="6" item="2"/>
          <tpl hier="236" item="1"/>
          <tpl fld="4" item="6"/>
        </tpls>
      </m>
      <n v="0" in="1">
        <tpls c="4">
          <tpl fld="7" item="629"/>
          <tpl fld="6" item="1"/>
          <tpl hier="236" item="1"/>
          <tpl fld="1" item="0"/>
        </tpls>
      </n>
      <m>
        <tpls c="4">
          <tpl fld="7" item="593"/>
          <tpl fld="6" item="2"/>
          <tpl hier="236" item="1"/>
          <tpl fld="4" item="5"/>
        </tpls>
      </m>
      <m>
        <tpls c="4">
          <tpl fld="7" item="94"/>
          <tpl fld="6" item="2"/>
          <tpl hier="236" item="1"/>
          <tpl fld="4" item="6"/>
        </tpls>
      </m>
      <m>
        <tpls c="4">
          <tpl fld="7" item="297"/>
          <tpl fld="6" item="1"/>
          <tpl hier="236" item="1"/>
          <tpl fld="4" item="5"/>
        </tpls>
      </m>
      <m>
        <tpls c="4">
          <tpl fld="7" item="1104"/>
          <tpl fld="6" item="1"/>
          <tpl hier="236" item="1"/>
          <tpl fld="4" item="1"/>
        </tpls>
      </m>
      <m>
        <tpls c="4">
          <tpl fld="7" item="60"/>
          <tpl fld="6" item="1"/>
          <tpl hier="236" item="1"/>
          <tpl fld="4" item="4"/>
        </tpls>
      </m>
      <m>
        <tpls c="4">
          <tpl fld="7" item="905"/>
          <tpl fld="6" item="2"/>
          <tpl hier="236" item="1"/>
          <tpl fld="4" item="1"/>
        </tpls>
      </m>
      <m>
        <tpls c="4">
          <tpl fld="7" item="871"/>
          <tpl fld="6" item="2"/>
          <tpl hier="236" item="1"/>
          <tpl fld="4" item="5"/>
        </tpls>
      </m>
      <m>
        <tpls c="4">
          <tpl fld="7" item="752"/>
          <tpl fld="6" item="2"/>
          <tpl hier="236" item="1"/>
          <tpl fld="4" item="5"/>
        </tpls>
      </m>
      <m>
        <tpls c="4">
          <tpl fld="7" item="310"/>
          <tpl fld="6" item="2"/>
          <tpl hier="236" item="1"/>
          <tpl fld="4" item="6"/>
        </tpls>
      </m>
      <m>
        <tpls c="4">
          <tpl fld="7" item="324"/>
          <tpl fld="6" item="1"/>
          <tpl hier="236" item="1"/>
          <tpl fld="4" item="5"/>
        </tpls>
      </m>
      <m>
        <tpls c="4">
          <tpl fld="7" item="1150"/>
          <tpl fld="6" item="1"/>
          <tpl hier="236" item="1"/>
          <tpl fld="4" item="1"/>
        </tpls>
      </m>
      <m>
        <tpls c="4">
          <tpl fld="7" item="176"/>
          <tpl fld="6" item="1"/>
          <tpl hier="236" item="1"/>
          <tpl fld="4" item="5"/>
        </tpls>
      </m>
      <n v="1" in="1">
        <tpls c="4">
          <tpl fld="7" item="1141"/>
          <tpl fld="6" item="1"/>
          <tpl hier="236" item="1"/>
          <tpl fld="4" item="1"/>
        </tpls>
      </n>
      <m>
        <tpls c="3">
          <tpl fld="7" item="669"/>
          <tpl fld="6" item="3"/>
          <tpl hier="236" item="1"/>
        </tpls>
      </m>
      <n v="1.2" in="2">
        <tpls c="4">
          <tpl fld="7" item="323"/>
          <tpl fld="6" item="2"/>
          <tpl hier="236" item="1"/>
          <tpl fld="4" item="6"/>
        </tpls>
      </n>
      <m>
        <tpls c="3">
          <tpl fld="7" item="923"/>
          <tpl fld="6" item="3"/>
          <tpl hier="236" item="1"/>
        </tpls>
      </m>
      <n v="6" in="1">
        <tpls c="4">
          <tpl fld="7" item="726"/>
          <tpl fld="6" item="1"/>
          <tpl hier="236" item="1"/>
          <tpl fld="1" item="0"/>
        </tpls>
      </n>
      <m>
        <tpls c="4">
          <tpl fld="7" item="341"/>
          <tpl fld="6" item="2"/>
          <tpl hier="236" item="1"/>
          <tpl fld="1" item="0"/>
        </tpls>
      </m>
      <m>
        <tpls c="4">
          <tpl fld="7" item="8"/>
          <tpl fld="6" item="2"/>
          <tpl hier="236" item="1"/>
          <tpl fld="1" item="0"/>
        </tpls>
      </m>
      <m>
        <tpls c="4">
          <tpl fld="7" item="1006"/>
          <tpl fld="6" item="1"/>
          <tpl hier="236" item="1"/>
          <tpl fld="4" item="5"/>
        </tpls>
      </m>
      <m>
        <tpls c="4">
          <tpl fld="7" item="591"/>
          <tpl fld="6" item="1"/>
          <tpl hier="236" item="1"/>
          <tpl fld="4" item="1"/>
        </tpls>
      </m>
      <m>
        <tpls c="4">
          <tpl fld="7" item="46"/>
          <tpl fld="6" item="2"/>
          <tpl hier="236" item="1"/>
          <tpl fld="1" item="0"/>
        </tpls>
      </m>
      <n v="1" in="2">
        <tpls c="4">
          <tpl fld="7" item="501"/>
          <tpl fld="6" item="2"/>
          <tpl hier="236" item="1"/>
          <tpl fld="4" item="6"/>
        </tpls>
      </n>
      <m>
        <tpls c="4">
          <tpl fld="7" item="1268"/>
          <tpl fld="6" item="1"/>
          <tpl hier="236" item="1"/>
          <tpl fld="4" item="1"/>
        </tpls>
      </m>
      <n v="2" in="1">
        <tpls c="4">
          <tpl fld="7" item="1217"/>
          <tpl fld="6" item="1"/>
          <tpl hier="236" item="1"/>
          <tpl fld="1" item="0"/>
        </tpls>
      </n>
      <m>
        <tpls c="4">
          <tpl fld="7" item="678"/>
          <tpl fld="6" item="2"/>
          <tpl hier="236" item="1"/>
          <tpl fld="4" item="6"/>
        </tpls>
      </m>
      <m>
        <tpls c="4">
          <tpl fld="7" item="116"/>
          <tpl fld="6" item="1"/>
          <tpl hier="236" item="1"/>
          <tpl fld="4" item="6"/>
        </tpls>
      </m>
      <m>
        <tpls c="3">
          <tpl fld="7" item="667"/>
          <tpl fld="6" item="3"/>
          <tpl hier="236" item="1"/>
        </tpls>
      </m>
      <n v="5" in="1">
        <tpls c="4">
          <tpl fld="7" item="383"/>
          <tpl fld="6" item="1"/>
          <tpl hier="236" item="1"/>
          <tpl fld="4" item="1"/>
        </tpls>
      </n>
      <m>
        <tpls c="4">
          <tpl fld="7" item="958"/>
          <tpl fld="6" item="2"/>
          <tpl hier="236" item="1"/>
          <tpl fld="4" item="4"/>
        </tpls>
      </m>
      <m>
        <tpls c="4">
          <tpl fld="7" item="240"/>
          <tpl fld="6" item="2"/>
          <tpl hier="236" item="1"/>
          <tpl fld="1" item="0"/>
        </tpls>
      </m>
      <m>
        <tpls c="4">
          <tpl fld="7" item="234"/>
          <tpl fld="6" item="1"/>
          <tpl hier="236" item="1"/>
          <tpl fld="4" item="1"/>
        </tpls>
      </m>
      <m>
        <tpls c="3">
          <tpl fld="7" item="24"/>
          <tpl fld="6" item="3"/>
          <tpl hier="236" item="1"/>
        </tpls>
      </m>
      <m>
        <tpls c="4">
          <tpl fld="7" item="1269"/>
          <tpl fld="6" item="2"/>
          <tpl hier="236" item="1"/>
          <tpl fld="4" item="5"/>
        </tpls>
      </m>
      <m>
        <tpls c="4">
          <tpl fld="7" item="399"/>
          <tpl fld="6" item="2"/>
          <tpl hier="236" item="1"/>
          <tpl fld="4" item="4"/>
        </tpls>
      </m>
      <m>
        <tpls c="4">
          <tpl fld="7" item="28"/>
          <tpl fld="6" item="2"/>
          <tpl hier="236" item="1"/>
          <tpl fld="1" item="0"/>
        </tpls>
      </m>
      <n v="4" in="1">
        <tpls c="4">
          <tpl fld="7" item="859"/>
          <tpl fld="6" item="1"/>
          <tpl hier="236" item="1"/>
          <tpl fld="4" item="4"/>
        </tpls>
      </n>
      <m>
        <tpls c="4">
          <tpl fld="7" item="647"/>
          <tpl fld="6" item="1"/>
          <tpl hier="236" item="1"/>
          <tpl fld="4" item="5"/>
        </tpls>
      </m>
      <m>
        <tpls c="4">
          <tpl fld="7" item="967"/>
          <tpl fld="6" item="2"/>
          <tpl hier="236" item="1"/>
          <tpl fld="4" item="1"/>
        </tpls>
      </m>
      <m>
        <tpls c="4">
          <tpl fld="7" item="162"/>
          <tpl fld="6" item="2"/>
          <tpl hier="236" item="1"/>
          <tpl fld="1" item="0"/>
        </tpls>
      </m>
      <n v="3" in="1">
        <tpls c="4">
          <tpl fld="7" item="1075"/>
          <tpl fld="6" item="1"/>
          <tpl hier="236" item="1"/>
          <tpl fld="4" item="1"/>
        </tpls>
      </n>
      <m>
        <tpls c="4">
          <tpl fld="7" item="152"/>
          <tpl fld="6" item="2"/>
          <tpl hier="236" item="1"/>
          <tpl fld="1" item="0"/>
        </tpls>
      </m>
      <m>
        <tpls c="4">
          <tpl fld="7" item="125"/>
          <tpl fld="6" item="2"/>
          <tpl hier="236" item="1"/>
          <tpl fld="4" item="5"/>
        </tpls>
      </m>
      <n v="1" in="1">
        <tpls c="4">
          <tpl fld="7" item="1223"/>
          <tpl fld="6" item="1"/>
          <tpl hier="236" item="1"/>
          <tpl fld="4" item="5"/>
        </tpls>
      </n>
      <m>
        <tpls c="4">
          <tpl fld="7" item="961"/>
          <tpl fld="6" item="1"/>
          <tpl hier="236" item="1"/>
          <tpl fld="4" item="1"/>
        </tpls>
      </m>
      <n v="3" in="1">
        <tpls c="4">
          <tpl fld="7" item="320"/>
          <tpl fld="6" item="1"/>
          <tpl hier="236" item="1"/>
          <tpl fld="4" item="1"/>
        </tpls>
      </n>
      <m>
        <tpls c="4">
          <tpl fld="7" item="807"/>
          <tpl fld="6" item="2"/>
          <tpl hier="236" item="1"/>
          <tpl fld="4" item="4"/>
        </tpls>
      </m>
      <n v="5" in="1">
        <tpls c="4">
          <tpl fld="7" item="1268"/>
          <tpl fld="6" item="1"/>
          <tpl hier="236" item="1"/>
          <tpl fld="4" item="4"/>
        </tpls>
      </n>
      <m>
        <tpls c="4">
          <tpl fld="7" item="677"/>
          <tpl fld="6" item="2"/>
          <tpl hier="236" item="1"/>
          <tpl fld="4" item="5"/>
        </tpls>
      </m>
      <m>
        <tpls c="4">
          <tpl fld="7" item="857"/>
          <tpl fld="6" item="2"/>
          <tpl hier="236" item="1"/>
          <tpl fld="4" item="6"/>
        </tpls>
      </m>
      <m>
        <tpls c="4">
          <tpl fld="7" item="331"/>
          <tpl fld="6" item="2"/>
          <tpl hier="236" item="1"/>
          <tpl fld="4" item="6"/>
        </tpls>
      </m>
      <m>
        <tpls c="4">
          <tpl fld="7" item="754"/>
          <tpl fld="6" item="1"/>
          <tpl hier="236" item="1"/>
          <tpl fld="4" item="5"/>
        </tpls>
      </m>
      <m>
        <tpls c="4">
          <tpl fld="7" item="842"/>
          <tpl fld="6" item="1"/>
          <tpl hier="236" item="1"/>
          <tpl fld="4" item="1"/>
        </tpls>
      </m>
      <m>
        <tpls c="4">
          <tpl fld="7" item="403"/>
          <tpl fld="6" item="1"/>
          <tpl hier="236" item="1"/>
          <tpl fld="4" item="1"/>
        </tpls>
      </m>
      <m>
        <tpls c="4">
          <tpl fld="7" item="487"/>
          <tpl fld="6" item="1"/>
          <tpl hier="236" item="1"/>
          <tpl fld="1" item="0"/>
        </tpls>
      </m>
      <n v="2.4" in="2">
        <tpls c="4">
          <tpl fld="7" item="681"/>
          <tpl fld="6" item="2"/>
          <tpl hier="236" item="1"/>
          <tpl fld="1" item="0"/>
        </tpls>
      </n>
      <m>
        <tpls c="4">
          <tpl fld="7" item="30"/>
          <tpl fld="6" item="1"/>
          <tpl hier="236" item="1"/>
          <tpl fld="4" item="5"/>
        </tpls>
      </m>
      <m>
        <tpls c="4">
          <tpl fld="7" item="92"/>
          <tpl fld="6" item="1"/>
          <tpl hier="236" item="1"/>
          <tpl fld="1" item="0"/>
        </tpls>
      </m>
      <m>
        <tpls c="3">
          <tpl fld="7" item="223"/>
          <tpl fld="6" item="3"/>
          <tpl hier="236" item="1"/>
        </tpls>
      </m>
      <m>
        <tpls c="4">
          <tpl fld="7" item="487"/>
          <tpl fld="6" item="1"/>
          <tpl hier="236" item="1"/>
          <tpl fld="4" item="5"/>
        </tpls>
      </m>
      <n v="2" in="1">
        <tpls c="4">
          <tpl fld="7" item="784"/>
          <tpl fld="6" item="1"/>
          <tpl hier="236" item="1"/>
          <tpl fld="4" item="6"/>
        </tpls>
      </n>
      <m>
        <tpls c="4">
          <tpl fld="7" item="184"/>
          <tpl fld="6" item="2"/>
          <tpl hier="236" item="1"/>
          <tpl fld="4" item="6"/>
        </tpls>
      </m>
      <n v="50" in="1">
        <tpls c="4">
          <tpl fld="7" item="1116"/>
          <tpl fld="6" item="1"/>
          <tpl hier="236" item="1"/>
          <tpl fld="1" item="0"/>
        </tpls>
      </n>
      <m>
        <tpls c="4">
          <tpl fld="7" item="218"/>
          <tpl fld="6" item="1"/>
          <tpl hier="236" item="1"/>
          <tpl fld="4" item="6"/>
        </tpls>
      </m>
      <m>
        <tpls c="4">
          <tpl fld="7" item="133"/>
          <tpl fld="6" item="2"/>
          <tpl hier="236" item="1"/>
          <tpl fld="4" item="4"/>
        </tpls>
      </m>
      <m>
        <tpls c="4">
          <tpl fld="7" item="1172"/>
          <tpl fld="6" item="2"/>
          <tpl hier="236" item="1"/>
          <tpl fld="4" item="4"/>
        </tpls>
      </m>
      <m>
        <tpls c="4">
          <tpl fld="7" item="231"/>
          <tpl fld="6" item="2"/>
          <tpl hier="236" item="1"/>
          <tpl fld="4" item="5"/>
        </tpls>
      </m>
      <n v="0" in="1">
        <tpls c="4">
          <tpl fld="7" item="1173"/>
          <tpl fld="6" item="1"/>
          <tpl hier="236" item="1"/>
          <tpl fld="4" item="1"/>
        </tpls>
      </n>
      <n v="12" in="1">
        <tpls c="4">
          <tpl fld="7" item="525"/>
          <tpl fld="6" item="1"/>
          <tpl hier="236" item="1"/>
          <tpl fld="1" item="0"/>
        </tpls>
      </n>
      <m>
        <tpls c="4">
          <tpl fld="7" item="1184"/>
          <tpl fld="6" item="1"/>
          <tpl hier="236" item="1"/>
          <tpl fld="4" item="6"/>
        </tpls>
      </m>
      <m>
        <tpls c="4">
          <tpl fld="7" item="1261"/>
          <tpl fld="6" item="2"/>
          <tpl hier="236" item="1"/>
          <tpl fld="4" item="4"/>
        </tpls>
      </m>
      <m>
        <tpls c="4">
          <tpl fld="7" item="1"/>
          <tpl fld="6" item="2"/>
          <tpl hier="236" item="1"/>
          <tpl fld="4" item="4"/>
        </tpls>
      </m>
      <m>
        <tpls c="4">
          <tpl fld="7" item="201"/>
          <tpl fld="6" item="2"/>
          <tpl hier="236" item="1"/>
          <tpl fld="4" item="5"/>
        </tpls>
      </m>
      <m>
        <tpls c="4">
          <tpl fld="7" item="103"/>
          <tpl fld="6" item="1"/>
          <tpl hier="236" item="1"/>
          <tpl fld="1" item="0"/>
        </tpls>
      </m>
      <m>
        <tpls c="4">
          <tpl fld="7" item="531"/>
          <tpl fld="6" item="2"/>
          <tpl hier="236" item="1"/>
          <tpl fld="4" item="6"/>
        </tpls>
      </m>
      <n v="1" in="1">
        <tpls c="4">
          <tpl fld="7" item="571"/>
          <tpl fld="6" item="1"/>
          <tpl hier="236" item="1"/>
          <tpl fld="4" item="5"/>
        </tpls>
      </n>
      <n v="2" in="1">
        <tpls c="4">
          <tpl fld="7" item="930"/>
          <tpl fld="6" item="1"/>
          <tpl hier="236" item="1"/>
          <tpl fld="4" item="4"/>
        </tpls>
      </n>
      <m>
        <tpls c="4">
          <tpl fld="7" item="815"/>
          <tpl fld="6" item="2"/>
          <tpl hier="236" item="1"/>
          <tpl fld="4" item="6"/>
        </tpls>
      </m>
      <m>
        <tpls c="4">
          <tpl fld="7" item="527"/>
          <tpl fld="6" item="2"/>
          <tpl hier="236" item="1"/>
          <tpl fld="1" item="0"/>
        </tpls>
      </m>
      <m>
        <tpls c="4">
          <tpl fld="7" item="679"/>
          <tpl fld="6" item="2"/>
          <tpl hier="236" item="1"/>
          <tpl fld="4" item="5"/>
        </tpls>
      </m>
      <n v="6" in="1">
        <tpls c="4">
          <tpl fld="7" item="909"/>
          <tpl fld="6" item="1"/>
          <tpl hier="236" item="1"/>
          <tpl fld="4" item="1"/>
        </tpls>
      </n>
      <m>
        <tpls c="4">
          <tpl fld="7" item="858"/>
          <tpl fld="6" item="2"/>
          <tpl hier="236" item="1"/>
          <tpl fld="4" item="5"/>
        </tpls>
      </m>
      <m>
        <tpls c="4">
          <tpl fld="7" item="1020"/>
          <tpl fld="6" item="2"/>
          <tpl hier="236" item="1"/>
          <tpl fld="4" item="6"/>
        </tpls>
      </m>
      <m>
        <tpls c="4">
          <tpl fld="7" item="1284"/>
          <tpl fld="6" item="1"/>
          <tpl hier="236" item="1"/>
          <tpl fld="4" item="5"/>
        </tpls>
      </m>
      <m>
        <tpls c="4">
          <tpl fld="7" item="942"/>
          <tpl fld="6" item="1"/>
          <tpl hier="236" item="1"/>
          <tpl fld="4" item="1"/>
        </tpls>
      </m>
      <n v="0" in="1">
        <tpls c="4">
          <tpl fld="7" item="485"/>
          <tpl fld="6" item="1"/>
          <tpl hier="236" item="1"/>
          <tpl fld="4" item="1"/>
        </tpls>
      </n>
      <n v="6" in="1">
        <tpls c="4">
          <tpl fld="7" item="652"/>
          <tpl fld="6" item="1"/>
          <tpl hier="236" item="1"/>
          <tpl fld="1" item="0"/>
        </tpls>
      </n>
      <m>
        <tpls c="4">
          <tpl fld="7" item="903"/>
          <tpl fld="6" item="2"/>
          <tpl hier="236" item="1"/>
          <tpl fld="1" item="0"/>
        </tpls>
      </m>
      <m>
        <tpls c="4">
          <tpl fld="7" item="421"/>
          <tpl fld="6" item="2"/>
          <tpl hier="236" item="1"/>
          <tpl fld="4" item="5"/>
        </tpls>
      </m>
      <m>
        <tpls c="4">
          <tpl fld="7" item="839"/>
          <tpl fld="6" item="2"/>
          <tpl hier="236" item="1"/>
          <tpl fld="4" item="6"/>
        </tpls>
      </m>
      <m>
        <tpls c="4">
          <tpl fld="7" item="1197"/>
          <tpl fld="6" item="1"/>
          <tpl hier="236" item="1"/>
          <tpl fld="4" item="5"/>
        </tpls>
      </m>
      <m>
        <tpls c="4">
          <tpl fld="7" item="255"/>
          <tpl fld="6" item="1"/>
          <tpl hier="236" item="1"/>
          <tpl fld="4" item="5"/>
        </tpls>
      </m>
      <n v="3" in="1">
        <tpls c="4">
          <tpl fld="7" item="457"/>
          <tpl fld="6" item="1"/>
          <tpl hier="236" item="1"/>
          <tpl fld="4" item="1"/>
        </tpls>
      </n>
      <m>
        <tpls c="4">
          <tpl fld="7" item="470"/>
          <tpl fld="6" item="1"/>
          <tpl hier="236" item="1"/>
          <tpl fld="4" item="1"/>
        </tpls>
      </m>
      <m>
        <tpls c="4">
          <tpl fld="7" item="174"/>
          <tpl fld="6" item="1"/>
          <tpl hier="236" item="1"/>
          <tpl fld="1" item="0"/>
        </tpls>
      </m>
      <m>
        <tpls c="4">
          <tpl fld="7" item="1110"/>
          <tpl fld="6" item="2"/>
          <tpl hier="236" item="1"/>
          <tpl fld="4" item="5"/>
        </tpls>
      </m>
      <m>
        <tpls c="4">
          <tpl fld="7" item="1081"/>
          <tpl fld="6" item="1"/>
          <tpl hier="236" item="1"/>
          <tpl fld="4" item="1"/>
        </tpls>
      </m>
      <m>
        <tpls c="4">
          <tpl fld="7" item="284"/>
          <tpl fld="6" item="1"/>
          <tpl hier="236" item="1"/>
          <tpl fld="1" item="0"/>
        </tpls>
      </m>
      <m>
        <tpls c="4">
          <tpl fld="7" item="1067"/>
          <tpl fld="6" item="2"/>
          <tpl hier="236" item="1"/>
          <tpl fld="4" item="4"/>
        </tpls>
      </m>
      <n v="1" in="1">
        <tpls c="4">
          <tpl fld="7" item="84"/>
          <tpl fld="6" item="1"/>
          <tpl hier="236" item="1"/>
          <tpl fld="4" item="1"/>
        </tpls>
      </n>
      <n v="2" in="1">
        <tpls c="4">
          <tpl fld="7" item="659"/>
          <tpl fld="6" item="1"/>
          <tpl hier="236" item="1"/>
          <tpl fld="1" item="0"/>
        </tpls>
      </n>
      <m>
        <tpls c="4">
          <tpl fld="7" item="849"/>
          <tpl fld="6" item="1"/>
          <tpl hier="236" item="1"/>
          <tpl fld="4" item="5"/>
        </tpls>
      </m>
      <n v="8" in="1">
        <tpls c="4">
          <tpl fld="7" item="445"/>
          <tpl fld="6" item="1"/>
          <tpl hier="236" item="1"/>
          <tpl fld="1" item="0"/>
        </tpls>
      </n>
      <m>
        <tpls c="3">
          <tpl fld="7" item="279"/>
          <tpl fld="6" item="3"/>
          <tpl hier="236" item="1"/>
        </tpls>
      </m>
      <m>
        <tpls c="4">
          <tpl fld="7" item="761"/>
          <tpl fld="6" item="2"/>
          <tpl hier="236" item="1"/>
          <tpl fld="4" item="6"/>
        </tpls>
      </m>
      <m>
        <tpls c="4">
          <tpl fld="7" item="61"/>
          <tpl fld="6" item="2"/>
          <tpl hier="236" item="1"/>
          <tpl fld="4" item="4"/>
        </tpls>
      </m>
      <m>
        <tpls c="4">
          <tpl fld="7" item="1218"/>
          <tpl fld="6" item="2"/>
          <tpl hier="236" item="1"/>
          <tpl fld="4" item="6"/>
        </tpls>
      </m>
      <n v="1" in="1">
        <tpls c="4">
          <tpl fld="7" item="1130"/>
          <tpl fld="6" item="1"/>
          <tpl hier="236" item="1"/>
          <tpl fld="4" item="1"/>
        </tpls>
      </n>
      <n v="4" in="1">
        <tpls c="4">
          <tpl fld="7" item="438"/>
          <tpl fld="6" item="1"/>
          <tpl hier="236" item="1"/>
          <tpl fld="1" item="0"/>
        </tpls>
      </n>
      <m>
        <tpls c="4">
          <tpl fld="7" item="470"/>
          <tpl fld="6" item="1"/>
          <tpl hier="236" item="1"/>
          <tpl fld="4" item="6"/>
        </tpls>
      </m>
      <m>
        <tpls c="4">
          <tpl fld="7" item="1258"/>
          <tpl fld="6" item="2"/>
          <tpl hier="236" item="1"/>
          <tpl fld="4" item="4"/>
        </tpls>
      </m>
      <n v="5" in="1">
        <tpls c="4">
          <tpl fld="7" item="1092"/>
          <tpl fld="6" item="1"/>
          <tpl hier="236" item="1"/>
          <tpl fld="1" item="0"/>
        </tpls>
      </n>
      <m>
        <tpls c="4">
          <tpl fld="7" item="479"/>
          <tpl fld="6" item="2"/>
          <tpl hier="236" item="1"/>
          <tpl fld="4" item="5"/>
        </tpls>
      </m>
      <m>
        <tpls c="4">
          <tpl fld="7" item="334"/>
          <tpl fld="6" item="1"/>
          <tpl hier="236" item="1"/>
          <tpl fld="1" item="0"/>
        </tpls>
      </m>
      <m>
        <tpls c="4">
          <tpl fld="7" item="980"/>
          <tpl fld="6" item="1"/>
          <tpl hier="236" item="1"/>
          <tpl fld="4" item="5"/>
        </tpls>
      </m>
      <n v="11" in="1">
        <tpls c="4">
          <tpl fld="7" item="431"/>
          <tpl fld="6" item="1"/>
          <tpl hier="236" item="1"/>
          <tpl fld="4" item="1"/>
        </tpls>
      </n>
      <n v="10" in="1">
        <tpls c="4">
          <tpl fld="7" item="1018"/>
          <tpl fld="6" item="1"/>
          <tpl hier="236" item="1"/>
          <tpl fld="1" item="0"/>
        </tpls>
      </n>
      <m>
        <tpls c="4">
          <tpl fld="7" item="472"/>
          <tpl fld="6" item="1"/>
          <tpl hier="236" item="1"/>
          <tpl fld="1" item="0"/>
        </tpls>
      </m>
      <m>
        <tpls c="4">
          <tpl fld="7" item="1"/>
          <tpl fld="6" item="2"/>
          <tpl hier="236" item="1"/>
          <tpl fld="4" item="5"/>
        </tpls>
      </m>
      <m>
        <tpls c="4">
          <tpl fld="7" item="83"/>
          <tpl fld="6" item="1"/>
          <tpl hier="236" item="1"/>
          <tpl fld="4" item="1"/>
        </tpls>
      </m>
      <n v="19" in="1">
        <tpls c="4">
          <tpl fld="7" item="667"/>
          <tpl fld="6" item="1"/>
          <tpl hier="236" item="1"/>
          <tpl fld="4" item="6"/>
        </tpls>
      </n>
      <m>
        <tpls c="4">
          <tpl fld="7" item="1033"/>
          <tpl fld="6" item="2"/>
          <tpl hier="236" item="1"/>
          <tpl fld="4" item="4"/>
        </tpls>
      </m>
      <m>
        <tpls c="4">
          <tpl fld="7" item="136"/>
          <tpl fld="6" item="1"/>
          <tpl hier="236" item="1"/>
          <tpl fld="1" item="0"/>
        </tpls>
      </m>
      <m>
        <tpls c="4">
          <tpl fld="7" item="209"/>
          <tpl fld="6" item="2"/>
          <tpl hier="236" item="1"/>
          <tpl fld="4" item="5"/>
        </tpls>
      </m>
      <n v="9" in="1">
        <tpls c="4">
          <tpl fld="7" item="1122"/>
          <tpl fld="6" item="1"/>
          <tpl hier="236" item="1"/>
          <tpl fld="1" item="0"/>
        </tpls>
      </n>
      <m>
        <tpls c="4">
          <tpl fld="7" item="960"/>
          <tpl fld="6" item="2"/>
          <tpl hier="236" item="1"/>
          <tpl fld="4" item="4"/>
        </tpls>
      </m>
      <m>
        <tpls c="4">
          <tpl fld="7" item="1136"/>
          <tpl fld="6" item="2"/>
          <tpl hier="236" item="1"/>
          <tpl fld="4" item="4"/>
        </tpls>
      </m>
      <n v="0" in="1">
        <tpls c="4">
          <tpl fld="7" item="452"/>
          <tpl fld="6" item="1"/>
          <tpl hier="236" item="1"/>
          <tpl fld="4" item="5"/>
        </tpls>
      </n>
      <n v="28" in="1">
        <tpls c="4">
          <tpl fld="7" item="1211"/>
          <tpl fld="6" item="1"/>
          <tpl hier="236" item="1"/>
          <tpl fld="1" item="0"/>
        </tpls>
      </n>
      <m>
        <tpls c="3">
          <tpl fld="7" item="327"/>
          <tpl fld="6" item="3"/>
          <tpl hier="236" item="1"/>
        </tpls>
      </m>
      <m>
        <tpls c="3">
          <tpl fld="7" item="849"/>
          <tpl fld="6" item="3"/>
          <tpl hier="236" item="1"/>
        </tpls>
      </m>
      <m>
        <tpls c="4">
          <tpl fld="7" item="253"/>
          <tpl fld="6" item="1"/>
          <tpl hier="236" item="1"/>
          <tpl fld="1" item="0"/>
        </tpls>
      </m>
      <m>
        <tpls c="4">
          <tpl fld="7" item="976"/>
          <tpl fld="6" item="2"/>
          <tpl hier="236" item="1"/>
          <tpl fld="1" item="0"/>
        </tpls>
      </m>
      <m>
        <tpls c="4">
          <tpl fld="7" item="579"/>
          <tpl fld="6" item="2"/>
          <tpl hier="236" item="1"/>
          <tpl fld="4" item="5"/>
        </tpls>
      </m>
      <m>
        <tpls c="4">
          <tpl fld="7" item="1110"/>
          <tpl fld="6" item="2"/>
          <tpl hier="236" item="1"/>
          <tpl fld="4" item="1"/>
        </tpls>
      </m>
      <m>
        <tpls c="4">
          <tpl fld="7" item="661"/>
          <tpl fld="6" item="1"/>
          <tpl hier="236" item="1"/>
          <tpl fld="1" item="0"/>
        </tpls>
      </m>
      <m>
        <tpls c="4">
          <tpl fld="7" item="102"/>
          <tpl fld="6" item="2"/>
          <tpl hier="236" item="1"/>
          <tpl fld="4" item="6"/>
        </tpls>
      </m>
      <m>
        <tpls c="4">
          <tpl fld="7" item="902"/>
          <tpl fld="6" item="1"/>
          <tpl hier="236" item="1"/>
          <tpl fld="4" item="1"/>
        </tpls>
      </m>
      <m>
        <tpls c="3">
          <tpl fld="7" item="832"/>
          <tpl fld="6" item="3"/>
          <tpl hier="236" item="1"/>
        </tpls>
      </m>
      <m>
        <tpls c="4">
          <tpl fld="7" item="174"/>
          <tpl fld="6" item="2"/>
          <tpl hier="236" item="1"/>
          <tpl fld="4" item="5"/>
        </tpls>
      </m>
      <m>
        <tpls c="4">
          <tpl fld="7" item="1219"/>
          <tpl fld="6" item="1"/>
          <tpl hier="236" item="1"/>
          <tpl fld="4" item="5"/>
        </tpls>
      </m>
      <n v="12" in="1">
        <tpls c="4">
          <tpl fld="7" item="429"/>
          <tpl fld="6" item="1"/>
          <tpl hier="236" item="1"/>
          <tpl fld="4" item="1"/>
        </tpls>
      </n>
      <m>
        <tpls c="4">
          <tpl fld="7" item="40"/>
          <tpl fld="6" item="1"/>
          <tpl hier="236" item="1"/>
          <tpl fld="1" item="0"/>
        </tpls>
      </m>
      <n v="1" in="1">
        <tpls c="4">
          <tpl fld="7" item="916"/>
          <tpl fld="6" item="1"/>
          <tpl hier="236" item="1"/>
          <tpl fld="4" item="1"/>
        </tpls>
      </n>
      <m>
        <tpls c="4">
          <tpl fld="7" item="1063"/>
          <tpl fld="6" item="2"/>
          <tpl hier="236" item="1"/>
          <tpl fld="4" item="4"/>
        </tpls>
      </m>
      <m>
        <tpls c="4">
          <tpl fld="7" item="745"/>
          <tpl fld="6" item="2"/>
          <tpl hier="236" item="1"/>
          <tpl fld="4" item="1"/>
        </tpls>
      </m>
      <n v="3" in="1">
        <tpls c="4">
          <tpl fld="7" item="369"/>
          <tpl fld="6" item="1"/>
          <tpl hier="236" item="1"/>
          <tpl fld="1" item="0"/>
        </tpls>
      </n>
      <n v="3" in="1">
        <tpls c="4">
          <tpl fld="7" item="455"/>
          <tpl fld="6" item="1"/>
          <tpl hier="236" item="1"/>
          <tpl fld="4" item="5"/>
        </tpls>
      </n>
      <m>
        <tpls c="4">
          <tpl fld="7" item="749"/>
          <tpl fld="6" item="2"/>
          <tpl hier="236" item="1"/>
          <tpl fld="4" item="6"/>
        </tpls>
      </m>
      <m>
        <tpls c="4">
          <tpl fld="7" item="442"/>
          <tpl fld="6" item="1"/>
          <tpl hier="236" item="1"/>
          <tpl fld="1" item="0"/>
        </tpls>
      </m>
      <m>
        <tpls c="4">
          <tpl fld="7" item="1260"/>
          <tpl fld="6" item="2"/>
          <tpl hier="236" item="1"/>
          <tpl fld="4" item="4"/>
        </tpls>
      </m>
      <m>
        <tpls c="4">
          <tpl fld="7" item="422"/>
          <tpl fld="6" item="2"/>
          <tpl hier="236" item="1"/>
          <tpl fld="4" item="5"/>
        </tpls>
      </m>
      <n v="43" in="1">
        <tpls c="4">
          <tpl fld="7" item="787"/>
          <tpl fld="6" item="1"/>
          <tpl hier="236" item="1"/>
          <tpl fld="4" item="4"/>
        </tpls>
      </n>
      <m>
        <tpls c="4">
          <tpl fld="7" item="230"/>
          <tpl fld="6" item="2"/>
          <tpl hier="236" item="1"/>
          <tpl fld="4" item="5"/>
        </tpls>
      </m>
      <m>
        <tpls c="4">
          <tpl fld="7" item="105"/>
          <tpl fld="6" item="1"/>
          <tpl hier="236" item="1"/>
          <tpl fld="4" item="5"/>
        </tpls>
      </m>
      <m>
        <tpls c="4">
          <tpl fld="7" item="483"/>
          <tpl fld="6" item="1"/>
          <tpl hier="236" item="1"/>
          <tpl fld="4" item="1"/>
        </tpls>
      </m>
      <n v="3" in="1">
        <tpls c="4">
          <tpl fld="7" item="1120"/>
          <tpl fld="6" item="1"/>
          <tpl hier="236" item="1"/>
          <tpl fld="4" item="4"/>
        </tpls>
      </n>
      <m>
        <tpls c="4">
          <tpl fld="7" item="308"/>
          <tpl fld="6" item="2"/>
          <tpl hier="236" item="1"/>
          <tpl fld="4" item="5"/>
        </tpls>
      </m>
      <m>
        <tpls c="4">
          <tpl fld="7" item="593"/>
          <tpl fld="6" item="2"/>
          <tpl hier="236" item="1"/>
          <tpl fld="4" item="6"/>
        </tpls>
      </m>
      <m>
        <tpls c="4">
          <tpl fld="7" item="1273"/>
          <tpl fld="6" item="1"/>
          <tpl hier="236" item="1"/>
          <tpl fld="4" item="1"/>
        </tpls>
      </m>
      <m>
        <tpls c="4">
          <tpl fld="7" item="5"/>
          <tpl fld="6" item="1"/>
          <tpl hier="236" item="1"/>
          <tpl fld="4" item="1"/>
        </tpls>
      </m>
      <n v="7" in="1">
        <tpls c="4">
          <tpl fld="7" item="1063"/>
          <tpl fld="6" item="1"/>
          <tpl hier="236" item="1"/>
          <tpl fld="4" item="4"/>
        </tpls>
      </n>
      <m>
        <tpls c="4">
          <tpl fld="7" item="138"/>
          <tpl fld="6" item="1"/>
          <tpl hier="236" item="1"/>
          <tpl fld="4" item="1"/>
        </tpls>
      </m>
      <m>
        <tpls c="3">
          <tpl fld="7" item="468"/>
          <tpl fld="6" item="3"/>
          <tpl hier="236" item="1"/>
        </tpls>
      </m>
      <m>
        <tpls c="4">
          <tpl fld="7" item="258"/>
          <tpl fld="6" item="1"/>
          <tpl hier="236" item="1"/>
          <tpl fld="1" item="0"/>
        </tpls>
      </m>
      <m>
        <tpls c="4">
          <tpl fld="7" item="491"/>
          <tpl fld="6" item="2"/>
          <tpl hier="236" item="1"/>
          <tpl fld="4" item="6"/>
        </tpls>
      </m>
      <m>
        <tpls c="4">
          <tpl fld="7" item="126"/>
          <tpl fld="6" item="1"/>
          <tpl hier="236" item="1"/>
          <tpl fld="1" item="0"/>
        </tpls>
      </m>
      <m>
        <tpls c="4">
          <tpl fld="7" item="14"/>
          <tpl fld="6" item="2"/>
          <tpl hier="236" item="1"/>
          <tpl fld="4" item="6"/>
        </tpls>
      </m>
      <m>
        <tpls c="4">
          <tpl fld="7" item="16"/>
          <tpl fld="6" item="2"/>
          <tpl hier="236" item="1"/>
          <tpl fld="1" item="0"/>
        </tpls>
      </m>
      <m>
        <tpls c="4">
          <tpl fld="7" item="77"/>
          <tpl fld="6" item="1"/>
          <tpl hier="236" item="1"/>
          <tpl fld="4" item="1"/>
        </tpls>
      </m>
      <m>
        <tpls c="4">
          <tpl fld="7" item="123"/>
          <tpl fld="6" item="1"/>
          <tpl hier="236" item="1"/>
          <tpl fld="1" item="0"/>
        </tpls>
      </m>
      <m>
        <tpls c="4">
          <tpl fld="7" item="170"/>
          <tpl fld="6" item="2"/>
          <tpl hier="236" item="1"/>
          <tpl fld="4" item="4"/>
        </tpls>
      </m>
      <m>
        <tpls c="4">
          <tpl fld="7" item="131"/>
          <tpl fld="6" item="2"/>
          <tpl hier="236" item="1"/>
          <tpl fld="4" item="5"/>
        </tpls>
      </m>
      <m>
        <tpls c="4">
          <tpl fld="7" item="1143"/>
          <tpl fld="6" item="2"/>
          <tpl hier="236" item="1"/>
          <tpl fld="4" item="4"/>
        </tpls>
      </m>
      <n v="14" in="1">
        <tpls c="4">
          <tpl fld="7" item="897"/>
          <tpl fld="6" item="1"/>
          <tpl hier="236" item="1"/>
          <tpl fld="1" item="0"/>
        </tpls>
      </n>
      <m>
        <tpls c="4">
          <tpl fld="7" item="330"/>
          <tpl fld="6" item="1"/>
          <tpl hier="236" item="1"/>
          <tpl fld="1" item="0"/>
        </tpls>
      </m>
      <m>
        <tpls c="4">
          <tpl fld="7" item="139"/>
          <tpl fld="6" item="2"/>
          <tpl hier="236" item="1"/>
          <tpl fld="4" item="5"/>
        </tpls>
      </m>
      <m>
        <tpls c="4">
          <tpl fld="7" item="913"/>
          <tpl fld="6" item="1"/>
          <tpl hier="236" item="1"/>
          <tpl fld="4" item="1"/>
        </tpls>
      </m>
      <n v="0" in="1">
        <tpls c="4">
          <tpl fld="7" item="88"/>
          <tpl fld="6" item="1"/>
          <tpl hier="236" item="1"/>
          <tpl fld="1" item="0"/>
        </tpls>
      </n>
      <m>
        <tpls c="3">
          <tpl fld="7" item="217"/>
          <tpl fld="6" item="3"/>
          <tpl hier="236" item="1"/>
        </tpls>
      </m>
      <m>
        <tpls c="4">
          <tpl fld="7" item="760"/>
          <tpl fld="6" item="2"/>
          <tpl hier="236" item="1"/>
          <tpl fld="4" item="6"/>
        </tpls>
      </m>
      <m>
        <tpls c="3">
          <tpl fld="7" item="231"/>
          <tpl fld="6" item="3"/>
          <tpl hier="236" item="1"/>
        </tpls>
      </m>
      <m>
        <tpls c="4">
          <tpl fld="7" item="279"/>
          <tpl fld="6" item="2"/>
          <tpl hier="236" item="1"/>
          <tpl fld="4" item="5"/>
        </tpls>
      </m>
      <m>
        <tpls c="4">
          <tpl fld="7" item="1025"/>
          <tpl fld="6" item="1"/>
          <tpl hier="236" item="1"/>
          <tpl fld="4" item="1"/>
        </tpls>
      </m>
      <n v="0" in="1">
        <tpls c="4">
          <tpl fld="7" item="308"/>
          <tpl fld="6" item="1"/>
          <tpl hier="236" item="1"/>
          <tpl fld="1" item="0"/>
        </tpls>
      </n>
      <m>
        <tpls c="3">
          <tpl fld="7" item="114"/>
          <tpl fld="6" item="3"/>
          <tpl hier="236" item="1"/>
        </tpls>
      </m>
      <m>
        <tpls c="4">
          <tpl fld="7" item="39"/>
          <tpl fld="6" item="2"/>
          <tpl hier="236" item="1"/>
          <tpl fld="4" item="6"/>
        </tpls>
      </m>
      <m>
        <tpls c="4">
          <tpl fld="7" item="1163"/>
          <tpl fld="6" item="2"/>
          <tpl hier="236" item="1"/>
          <tpl fld="4" item="4"/>
        </tpls>
      </m>
      <m>
        <tpls c="4">
          <tpl fld="7" item="980"/>
          <tpl fld="6" item="2"/>
          <tpl hier="236" item="1"/>
          <tpl fld="4" item="4"/>
        </tpls>
      </m>
      <m>
        <tpls c="4">
          <tpl fld="7" item="1287"/>
          <tpl fld="6" item="2"/>
          <tpl hier="236" item="1"/>
          <tpl fld="4" item="1"/>
        </tpls>
      </m>
      <m>
        <tpls c="4">
          <tpl fld="7" item="1264"/>
          <tpl fld="6" item="2"/>
          <tpl hier="236" item="1"/>
          <tpl fld="1" item="0"/>
        </tpls>
      </m>
      <m>
        <tpls c="4">
          <tpl fld="7" item="702"/>
          <tpl fld="6" item="2"/>
          <tpl hier="236" item="1"/>
          <tpl fld="1" item="0"/>
        </tpls>
      </m>
      <m>
        <tpls c="4">
          <tpl fld="7" item="841"/>
          <tpl fld="6" item="2"/>
          <tpl hier="236" item="1"/>
          <tpl fld="4" item="1"/>
        </tpls>
      </m>
      <m>
        <tpls c="4">
          <tpl fld="7" item="128"/>
          <tpl fld="6" item="2"/>
          <tpl hier="236" item="1"/>
          <tpl fld="1" item="0"/>
        </tpls>
      </m>
      <m>
        <tpls c="4">
          <tpl fld="7" item="1027"/>
          <tpl fld="6" item="2"/>
          <tpl hier="236" item="1"/>
          <tpl fld="4" item="6"/>
        </tpls>
      </m>
      <n v="12" in="1">
        <tpls c="4">
          <tpl fld="7" item="524"/>
          <tpl fld="6" item="1"/>
          <tpl hier="236" item="1"/>
          <tpl fld="4" item="1"/>
        </tpls>
      </n>
      <m>
        <tpls c="4">
          <tpl fld="7" item="218"/>
          <tpl fld="6" item="2"/>
          <tpl hier="236" item="1"/>
          <tpl fld="1" item="0"/>
        </tpls>
      </m>
      <m>
        <tpls c="4">
          <tpl fld="7" item="12"/>
          <tpl fld="6" item="2"/>
          <tpl hier="236" item="1"/>
          <tpl fld="4" item="5"/>
        </tpls>
      </m>
      <m>
        <tpls c="4">
          <tpl fld="7" item="250"/>
          <tpl fld="6" item="2"/>
          <tpl hier="236" item="1"/>
          <tpl fld="4" item="6"/>
        </tpls>
      </m>
      <m>
        <tpls c="4">
          <tpl fld="7" item="296"/>
          <tpl fld="6" item="1"/>
          <tpl hier="236" item="1"/>
          <tpl fld="4" item="5"/>
        </tpls>
      </m>
      <m>
        <tpls c="4">
          <tpl fld="7" item="1222"/>
          <tpl fld="6" item="1"/>
          <tpl hier="236" item="1"/>
          <tpl fld="4" item="1"/>
        </tpls>
      </m>
      <m>
        <tpls c="4">
          <tpl fld="7" item="419"/>
          <tpl fld="6" item="1"/>
          <tpl hier="236" item="1"/>
          <tpl fld="4" item="1"/>
        </tpls>
      </m>
      <m>
        <tpls c="4">
          <tpl fld="7" item="756"/>
          <tpl fld="6" item="1"/>
          <tpl hier="236" item="1"/>
          <tpl fld="4" item="6"/>
        </tpls>
      </m>
      <m>
        <tpls c="4">
          <tpl fld="7" item="1100"/>
          <tpl fld="6" item="2"/>
          <tpl hier="236" item="1"/>
          <tpl fld="4" item="5"/>
        </tpls>
      </m>
      <n v="1" in="1">
        <tpls c="4">
          <tpl fld="7" item="1230"/>
          <tpl fld="6" item="1"/>
          <tpl hier="236" item="1"/>
          <tpl fld="4" item="4"/>
        </tpls>
      </n>
      <m>
        <tpls c="4">
          <tpl fld="7" item="869"/>
          <tpl fld="6" item="2"/>
          <tpl hier="236" item="1"/>
          <tpl fld="4" item="5"/>
        </tpls>
      </m>
      <m>
        <tpls c="4">
          <tpl fld="7" item="175"/>
          <tpl fld="6" item="2"/>
          <tpl hier="236" item="1"/>
          <tpl fld="4" item="5"/>
        </tpls>
      </m>
      <m>
        <tpls c="4">
          <tpl fld="7" item="860"/>
          <tpl fld="6" item="2"/>
          <tpl hier="236" item="1"/>
          <tpl fld="4" item="6"/>
        </tpls>
      </m>
      <m>
        <tpls c="4">
          <tpl fld="7" item="309"/>
          <tpl fld="6" item="2"/>
          <tpl hier="236" item="1"/>
          <tpl fld="4" item="6"/>
        </tpls>
      </m>
      <m>
        <tpls c="4">
          <tpl fld="7" item="1110"/>
          <tpl fld="6" item="1"/>
          <tpl hier="236" item="1"/>
          <tpl fld="4" item="5"/>
        </tpls>
      </m>
      <m>
        <tpls c="4">
          <tpl fld="7" item="414"/>
          <tpl fld="6" item="1"/>
          <tpl hier="236" item="1"/>
          <tpl fld="4" item="5"/>
        </tpls>
      </m>
      <m>
        <tpls c="4">
          <tpl fld="7" item="1202"/>
          <tpl fld="6" item="1"/>
          <tpl hier="236" item="1"/>
          <tpl fld="4" item="1"/>
        </tpls>
      </m>
      <n v="9" in="1">
        <tpls c="4">
          <tpl fld="7" item="430"/>
          <tpl fld="6" item="1"/>
          <tpl hier="236" item="1"/>
          <tpl fld="4" item="1"/>
        </tpls>
      </n>
      <m>
        <tpls c="4">
          <tpl fld="7" item="333"/>
          <tpl fld="6" item="1"/>
          <tpl hier="236" item="1"/>
          <tpl fld="4" item="1"/>
        </tpls>
      </m>
      <n v="14" in="1">
        <tpls c="4">
          <tpl fld="7" item="1085"/>
          <tpl fld="6" item="1"/>
          <tpl hier="236" item="1"/>
          <tpl fld="1" item="0"/>
        </tpls>
      </n>
      <m>
        <tpls c="4">
          <tpl fld="7" item="751"/>
          <tpl fld="6" item="1"/>
          <tpl hier="236" item="1"/>
          <tpl fld="1" item="0"/>
        </tpls>
      </m>
      <m>
        <tpls c="4">
          <tpl fld="7" item="1024"/>
          <tpl fld="6" item="2"/>
          <tpl hier="236" item="1"/>
          <tpl fld="1" item="0"/>
        </tpls>
      </m>
      <m>
        <tpls c="4">
          <tpl fld="7" item="348"/>
          <tpl fld="6" item="2"/>
          <tpl hier="236" item="1"/>
          <tpl fld="4" item="6"/>
        </tpls>
      </m>
      <m>
        <tpls c="4">
          <tpl fld="7" item="79"/>
          <tpl fld="6" item="1"/>
          <tpl hier="236" item="1"/>
          <tpl fld="4" item="1"/>
        </tpls>
      </m>
      <m>
        <tpls c="4">
          <tpl fld="7" item="96"/>
          <tpl fld="6" item="1"/>
          <tpl hier="236" item="1"/>
          <tpl fld="1" item="0"/>
        </tpls>
      </m>
      <m>
        <tpls c="4">
          <tpl fld="7" item="166"/>
          <tpl fld="6" item="1"/>
          <tpl hier="236" item="1"/>
          <tpl fld="4" item="6"/>
        </tpls>
      </m>
      <m>
        <tpls c="3">
          <tpl fld="7" item="396"/>
          <tpl fld="6" item="3"/>
          <tpl hier="236" item="1"/>
        </tpls>
      </m>
      <m>
        <tpls c="4">
          <tpl fld="7" item="568"/>
          <tpl fld="6" item="2"/>
          <tpl hier="236" item="1"/>
          <tpl fld="4" item="4"/>
        </tpls>
      </m>
      <m>
        <tpls c="4">
          <tpl fld="7" item="439"/>
          <tpl fld="6" item="1"/>
          <tpl hier="236" item="1"/>
          <tpl fld="4" item="5"/>
        </tpls>
      </m>
      <m>
        <tpls c="4">
          <tpl fld="7" item="23"/>
          <tpl fld="6" item="1"/>
          <tpl hier="236" item="1"/>
          <tpl fld="1" item="0"/>
        </tpls>
      </m>
      <n v="0.04" in="2">
        <tpls c="4">
          <tpl fld="7" item="464"/>
          <tpl fld="6" item="2"/>
          <tpl hier="236" item="1"/>
          <tpl fld="1" item="0"/>
        </tpls>
      </n>
      <m>
        <tpls c="4">
          <tpl fld="7" item="1125"/>
          <tpl fld="6" item="2"/>
          <tpl hier="236" item="1"/>
          <tpl fld="4" item="5"/>
        </tpls>
      </m>
      <m>
        <tpls c="4">
          <tpl fld="7" item="488"/>
          <tpl fld="6" item="2"/>
          <tpl hier="236" item="1"/>
          <tpl fld="4" item="6"/>
        </tpls>
      </m>
      <m>
        <tpls c="4">
          <tpl fld="7" item="1146"/>
          <tpl fld="6" item="1"/>
          <tpl hier="236" item="1"/>
          <tpl fld="4" item="1"/>
        </tpls>
      </m>
      <n v="7" in="1">
        <tpls c="4">
          <tpl fld="7" item="914"/>
          <tpl fld="6" item="1"/>
          <tpl hier="236" item="1"/>
          <tpl fld="1" item="0"/>
        </tpls>
      </n>
      <m>
        <tpls c="4">
          <tpl fld="7" item="289"/>
          <tpl fld="6" item="1"/>
          <tpl hier="236" item="1"/>
          <tpl fld="1" item="0"/>
        </tpls>
      </m>
      <m>
        <tpls c="4">
          <tpl fld="7" item="224"/>
          <tpl fld="6" item="1"/>
          <tpl hier="236" item="1"/>
          <tpl fld="4" item="6"/>
        </tpls>
      </m>
      <m>
        <tpls c="4">
          <tpl fld="7" item="967"/>
          <tpl fld="6" item="2"/>
          <tpl hier="236" item="1"/>
          <tpl fld="4" item="4"/>
        </tpls>
      </m>
      <m>
        <tpls c="4">
          <tpl fld="7" item="328"/>
          <tpl fld="6" item="2"/>
          <tpl hier="236" item="1"/>
          <tpl fld="4" item="4"/>
        </tpls>
      </m>
      <m>
        <tpls c="4">
          <tpl fld="7" item="0"/>
          <tpl fld="6" item="1"/>
          <tpl hier="236" item="1"/>
          <tpl fld="4" item="1"/>
        </tpls>
      </m>
      <m>
        <tpls c="4">
          <tpl fld="7" item="1181"/>
          <tpl fld="6" item="2"/>
          <tpl hier="236" item="1"/>
          <tpl fld="4" item="4"/>
        </tpls>
      </m>
      <m>
        <tpls c="4">
          <tpl fld="7" item="1219"/>
          <tpl fld="6" item="2"/>
          <tpl hier="236" item="1"/>
          <tpl fld="4" item="1"/>
        </tpls>
      </m>
      <m>
        <tpls c="4">
          <tpl fld="7" item="141"/>
          <tpl fld="6" item="2"/>
          <tpl hier="236" item="1"/>
          <tpl fld="4" item="5"/>
        </tpls>
      </m>
      <n v="1" in="1">
        <tpls c="4">
          <tpl fld="7" item="432"/>
          <tpl fld="6" item="1"/>
          <tpl hier="236" item="1"/>
          <tpl fld="4" item="5"/>
        </tpls>
      </n>
      <m>
        <tpls c="4">
          <tpl fld="7" item="73"/>
          <tpl fld="6" item="1"/>
          <tpl hier="236" item="1"/>
          <tpl fld="4" item="1"/>
        </tpls>
      </m>
      <n v="14" in="1">
        <tpls c="4">
          <tpl fld="7" item="430"/>
          <tpl fld="6" item="1"/>
          <tpl hier="236" item="1"/>
          <tpl fld="1" item="0"/>
        </tpls>
      </n>
      <m>
        <tpls c="4">
          <tpl fld="7" item="14"/>
          <tpl fld="6" item="1"/>
          <tpl hier="236" item="1"/>
          <tpl fld="1" item="0"/>
        </tpls>
      </m>
      <m>
        <tpls c="3">
          <tpl fld="7" item="14"/>
          <tpl fld="6" item="3"/>
          <tpl hier="236" item="1"/>
        </tpls>
      </m>
      <m>
        <tpls c="4">
          <tpl fld="7" item="1279"/>
          <tpl fld="6" item="2"/>
          <tpl hier="236" item="1"/>
          <tpl fld="4" item="4"/>
        </tpls>
      </m>
      <m>
        <tpls c="4">
          <tpl fld="7" item="644"/>
          <tpl fld="6" item="1"/>
          <tpl hier="236" item="1"/>
          <tpl fld="4" item="5"/>
        </tpls>
      </m>
      <n v="1.6" in="2">
        <tpls c="4">
          <tpl fld="7" item="429"/>
          <tpl fld="6" item="2"/>
          <tpl hier="236" item="1"/>
          <tpl fld="4" item="5"/>
        </tpls>
      </n>
      <m>
        <tpls c="4">
          <tpl fld="7" item="99"/>
          <tpl fld="6" item="1"/>
          <tpl hier="236" item="1"/>
          <tpl fld="4" item="1"/>
        </tpls>
      </m>
      <m>
        <tpls c="3">
          <tpl fld="7" item="18"/>
          <tpl fld="6" item="3"/>
          <tpl hier="236" item="1"/>
        </tpls>
      </m>
      <m>
        <tpls c="4">
          <tpl fld="7" item="571"/>
          <tpl fld="6" item="2"/>
          <tpl hier="236" item="1"/>
          <tpl fld="4" item="4"/>
        </tpls>
      </m>
      <n v="6" in="1">
        <tpls c="4">
          <tpl fld="7" item="817"/>
          <tpl fld="6" item="1"/>
          <tpl hier="236" item="1"/>
          <tpl fld="1" item="0"/>
        </tpls>
      </n>
      <m>
        <tpls c="4">
          <tpl fld="7" item="364"/>
          <tpl fld="6" item="2"/>
          <tpl hier="236" item="1"/>
          <tpl fld="1" item="0"/>
        </tpls>
      </m>
      <m>
        <tpls c="3">
          <tpl fld="7" item="898"/>
          <tpl fld="6" item="3"/>
          <tpl hier="236" item="1"/>
        </tpls>
      </m>
      <m>
        <tpls c="4">
          <tpl fld="7" item="1218"/>
          <tpl fld="6" item="2"/>
          <tpl hier="236" item="1"/>
          <tpl fld="4" item="5"/>
        </tpls>
      </m>
      <m>
        <tpls c="4">
          <tpl fld="7" item="451"/>
          <tpl fld="6" item="2"/>
          <tpl hier="236" item="1"/>
          <tpl fld="4" item="6"/>
        </tpls>
      </m>
      <m>
        <tpls c="4">
          <tpl fld="7" item="866"/>
          <tpl fld="6" item="1"/>
          <tpl hier="236" item="1"/>
          <tpl fld="1" item="0"/>
        </tpls>
      </m>
      <m>
        <tpls c="4">
          <tpl fld="7" item="106"/>
          <tpl fld="6" item="2"/>
          <tpl hier="236" item="1"/>
          <tpl fld="4" item="5"/>
        </tpls>
      </m>
      <m>
        <tpls c="4">
          <tpl fld="7" item="359"/>
          <tpl fld="6" item="2"/>
          <tpl hier="236" item="1"/>
          <tpl fld="4" item="6"/>
        </tpls>
      </m>
      <m>
        <tpls c="4">
          <tpl fld="7" item="103"/>
          <tpl fld="6" item="1"/>
          <tpl hier="236" item="1"/>
          <tpl fld="4" item="5"/>
        </tpls>
      </m>
      <n v="4" in="1">
        <tpls c="4">
          <tpl fld="7" item="1116"/>
          <tpl fld="6" item="1"/>
          <tpl hier="236" item="1"/>
          <tpl fld="4" item="1"/>
        </tpls>
      </n>
      <m>
        <tpls c="4">
          <tpl fld="7" item="254"/>
          <tpl fld="6" item="1"/>
          <tpl hier="236" item="1"/>
          <tpl fld="4" item="1"/>
        </tpls>
      </m>
      <n v="3" in="1">
        <tpls c="4">
          <tpl fld="7" item="1190"/>
          <tpl fld="6" item="1"/>
          <tpl hier="236" item="1"/>
          <tpl fld="4" item="4"/>
        </tpls>
      </n>
      <m>
        <tpls c="4">
          <tpl fld="7" item="248"/>
          <tpl fld="6" item="2"/>
          <tpl hier="236" item="1"/>
          <tpl fld="1" item="0"/>
        </tpls>
      </m>
      <m>
        <tpls c="4">
          <tpl fld="7" item="60"/>
          <tpl fld="6" item="2"/>
          <tpl hier="236" item="1"/>
          <tpl fld="4" item="5"/>
        </tpls>
      </m>
      <m>
        <tpls c="4">
          <tpl fld="7" item="495"/>
          <tpl fld="6" item="2"/>
          <tpl hier="236" item="1"/>
          <tpl fld="4" item="6"/>
        </tpls>
      </m>
      <n v="3" in="1">
        <tpls c="4">
          <tpl fld="7" item="982"/>
          <tpl fld="6" item="1"/>
          <tpl hier="236" item="1"/>
          <tpl fld="4" item="5"/>
        </tpls>
      </n>
      <m>
        <tpls c="4">
          <tpl fld="7" item="61"/>
          <tpl fld="6" item="2"/>
          <tpl hier="236" item="1"/>
          <tpl fld="4" item="6"/>
        </tpls>
      </m>
      <m>
        <tpls c="4">
          <tpl fld="7" item="481"/>
          <tpl fld="6" item="2"/>
          <tpl hier="236" item="1"/>
          <tpl fld="4" item="4"/>
        </tpls>
      </m>
      <m>
        <tpls c="4">
          <tpl fld="7" item="348"/>
          <tpl fld="6" item="1"/>
          <tpl hier="236" item="1"/>
          <tpl fld="4" item="5"/>
        </tpls>
      </m>
      <m>
        <tpls c="3">
          <tpl fld="7" item="827"/>
          <tpl fld="6" item="3"/>
          <tpl hier="236" item="1"/>
        </tpls>
      </m>
      <m>
        <tpls c="4">
          <tpl fld="7" item="303"/>
          <tpl fld="6" item="2"/>
          <tpl hier="236" item="1"/>
          <tpl fld="4" item="5"/>
        </tpls>
      </m>
      <m>
        <tpls c="4">
          <tpl fld="7" item="579"/>
          <tpl fld="6" item="2"/>
          <tpl hier="236" item="1"/>
          <tpl fld="4" item="1"/>
        </tpls>
      </m>
      <n v="0.52" in="2">
        <tpls c="4">
          <tpl fld="7" item="628"/>
          <tpl fld="6" item="2"/>
          <tpl hier="236" item="1"/>
          <tpl fld="1" item="0"/>
        </tpls>
      </n>
      <n v="1" in="1">
        <tpls c="4">
          <tpl fld="7" item="822"/>
          <tpl fld="6" item="1"/>
          <tpl hier="236" item="1"/>
          <tpl fld="4" item="1"/>
        </tpls>
      </n>
      <m>
        <tpls c="4">
          <tpl fld="7" item="1008"/>
          <tpl fld="6" item="2"/>
          <tpl hier="236" item="1"/>
          <tpl fld="4" item="1"/>
        </tpls>
      </m>
      <m>
        <tpls c="4">
          <tpl fld="7" item="238"/>
          <tpl fld="6" item="2"/>
          <tpl hier="236" item="1"/>
          <tpl fld="4" item="6"/>
        </tpls>
      </m>
      <n v="2" in="1">
        <tpls c="4">
          <tpl fld="7" item="101"/>
          <tpl fld="6" item="1"/>
          <tpl hier="236" item="1"/>
          <tpl fld="4" item="1"/>
        </tpls>
      </n>
      <m>
        <tpls c="4">
          <tpl fld="7" item="915"/>
          <tpl fld="6" item="2"/>
          <tpl hier="236" item="1"/>
          <tpl fld="1" item="0"/>
        </tpls>
      </m>
      <m>
        <tpls c="4">
          <tpl fld="7" item="835"/>
          <tpl fld="6" item="2"/>
          <tpl hier="236" item="1"/>
          <tpl fld="4" item="6"/>
        </tpls>
      </m>
      <m>
        <tpls c="4">
          <tpl fld="7" item="242"/>
          <tpl fld="6" item="1"/>
          <tpl hier="236" item="1"/>
          <tpl fld="4" item="5"/>
        </tpls>
      </m>
      <n v="0" in="1">
        <tpls c="4">
          <tpl fld="7" item="1223"/>
          <tpl fld="6" item="1"/>
          <tpl hier="236" item="1"/>
          <tpl fld="1" item="0"/>
        </tpls>
      </n>
      <m>
        <tpls c="4">
          <tpl fld="7" item="197"/>
          <tpl fld="6" item="2"/>
          <tpl hier="236" item="1"/>
          <tpl fld="4" item="5"/>
        </tpls>
      </m>
      <m>
        <tpls c="4">
          <tpl fld="7" item="231"/>
          <tpl fld="6" item="1"/>
          <tpl hier="236" item="1"/>
          <tpl fld="1" item="0"/>
        </tpls>
      </m>
      <m>
        <tpls c="4">
          <tpl fld="7" item="314"/>
          <tpl fld="6" item="1"/>
          <tpl hier="236" item="1"/>
          <tpl fld="1" item="0"/>
        </tpls>
      </m>
      <m>
        <tpls c="4">
          <tpl fld="7" item="42"/>
          <tpl fld="6" item="1"/>
          <tpl hier="236" item="1"/>
          <tpl fld="4" item="5"/>
        </tpls>
      </m>
      <m>
        <tpls c="3">
          <tpl fld="7" item="230"/>
          <tpl fld="6" item="3"/>
          <tpl hier="236" item="1"/>
        </tpls>
      </m>
      <m>
        <tpls c="4">
          <tpl fld="7" item="815"/>
          <tpl fld="6" item="1"/>
          <tpl hier="236" item="1"/>
          <tpl fld="4" item="1"/>
        </tpls>
      </m>
      <m>
        <tpls c="4">
          <tpl fld="7" item="87"/>
          <tpl fld="6" item="1"/>
          <tpl hier="236" item="1"/>
          <tpl fld="4" item="1"/>
        </tpls>
      </m>
      <m>
        <tpls c="4">
          <tpl fld="7" item="4"/>
          <tpl fld="6" item="1"/>
          <tpl hier="236" item="1"/>
          <tpl fld="4" item="6"/>
        </tpls>
      </m>
      <m>
        <tpls c="4">
          <tpl fld="7" item="1194"/>
          <tpl fld="6" item="2"/>
          <tpl hier="236" item="1"/>
          <tpl fld="4" item="1"/>
        </tpls>
      </m>
      <m>
        <tpls c="4">
          <tpl fld="7" item="1167"/>
          <tpl fld="6" item="2"/>
          <tpl hier="236" item="1"/>
          <tpl fld="4" item="4"/>
        </tpls>
      </m>
      <m>
        <tpls c="4">
          <tpl fld="7" item="1273"/>
          <tpl fld="6" item="2"/>
          <tpl hier="236" item="1"/>
          <tpl fld="4" item="1"/>
        </tpls>
      </m>
      <m>
        <tpls c="4">
          <tpl fld="7" item="846"/>
          <tpl fld="6" item="2"/>
          <tpl hier="236" item="1"/>
          <tpl fld="4" item="4"/>
        </tpls>
      </m>
      <n v="21" in="1">
        <tpls c="4">
          <tpl fld="7" item="642"/>
          <tpl fld="6" item="1"/>
          <tpl hier="236" item="1"/>
          <tpl fld="4" item="4"/>
        </tpls>
      </n>
      <m>
        <tpls c="4">
          <tpl fld="7" item="935"/>
          <tpl fld="6" item="2"/>
          <tpl hier="236" item="1"/>
          <tpl fld="4" item="1"/>
        </tpls>
      </m>
      <n v="4" in="1">
        <tpls c="4">
          <tpl fld="7" item="1250"/>
          <tpl fld="6" item="1"/>
          <tpl hier="236" item="1"/>
          <tpl fld="4" item="4"/>
        </tpls>
      </n>
      <m>
        <tpls c="4">
          <tpl fld="7" item="194"/>
          <tpl fld="6" item="1"/>
          <tpl hier="236" item="1"/>
          <tpl fld="4" item="5"/>
        </tpls>
      </m>
      <m>
        <tpls c="4">
          <tpl fld="7" item="1036"/>
          <tpl fld="6" item="1"/>
          <tpl hier="236" item="1"/>
          <tpl fld="4" item="4"/>
        </tpls>
      </m>
      <m>
        <tpls c="4">
          <tpl fld="7" item="251"/>
          <tpl fld="6" item="2"/>
          <tpl hier="236" item="1"/>
          <tpl fld="4" item="5"/>
        </tpls>
      </m>
      <m>
        <tpls c="4">
          <tpl fld="7" item="254"/>
          <tpl fld="6" item="2"/>
          <tpl hier="236" item="1"/>
          <tpl fld="4" item="6"/>
        </tpls>
      </m>
      <m>
        <tpls c="4">
          <tpl fld="7" item="17"/>
          <tpl fld="6" item="1"/>
          <tpl hier="236" item="1"/>
          <tpl fld="4" item="5"/>
        </tpls>
      </m>
      <n v="8" in="1">
        <tpls c="4">
          <tpl fld="7" item="981"/>
          <tpl fld="6" item="1"/>
          <tpl hier="236" item="1"/>
          <tpl fld="4" item="1"/>
        </tpls>
      </n>
      <m>
        <tpls c="4">
          <tpl fld="7" item="720"/>
          <tpl fld="6" item="2"/>
          <tpl hier="236" item="1"/>
          <tpl fld="4" item="5"/>
        </tpls>
      </m>
      <n v="39" in="1">
        <tpls c="4">
          <tpl fld="7" item="873"/>
          <tpl fld="6" item="1"/>
          <tpl hier="236" item="1"/>
          <tpl fld="4" item="4"/>
        </tpls>
      </n>
      <n v="0.2" in="2">
        <tpls c="4">
          <tpl fld="7" item="453"/>
          <tpl fld="6" item="2"/>
          <tpl hier="236" item="1"/>
          <tpl fld="4" item="5"/>
        </tpls>
      </n>
      <m>
        <tpls c="4">
          <tpl fld="7" item="217"/>
          <tpl fld="6" item="2"/>
          <tpl hier="236" item="1"/>
          <tpl fld="4" item="5"/>
        </tpls>
      </m>
      <m>
        <tpls c="4">
          <tpl fld="7" item="166"/>
          <tpl fld="6" item="2"/>
          <tpl hier="236" item="1"/>
          <tpl fld="4" item="6"/>
        </tpls>
      </m>
      <m>
        <tpls c="4">
          <tpl fld="7" item="304"/>
          <tpl fld="6" item="1"/>
          <tpl hier="236" item="1"/>
          <tpl fld="4" item="5"/>
        </tpls>
      </m>
      <n v="3" in="1">
        <tpls c="4">
          <tpl fld="7" item="858"/>
          <tpl fld="6" item="1"/>
          <tpl hier="236" item="1"/>
          <tpl fld="4" item="1"/>
        </tpls>
      </n>
      <n v="0" in="1">
        <tpls c="4">
          <tpl fld="7" item="46"/>
          <tpl fld="6" item="1"/>
          <tpl hier="236" item="1"/>
          <tpl fld="4" item="1"/>
        </tpls>
      </n>
      <n v="2" in="1">
        <tpls c="4">
          <tpl fld="7" item="491"/>
          <tpl fld="6" item="1"/>
          <tpl hier="236" item="1"/>
          <tpl fld="1" item="0"/>
        </tpls>
      </n>
      <m>
        <tpls c="3">
          <tpl fld="7" item="853"/>
          <tpl fld="6" item="3"/>
          <tpl hier="236" item="1"/>
        </tpls>
      </m>
      <n v="3" in="1">
        <tpls c="4">
          <tpl fld="7" item="426"/>
          <tpl fld="6" item="1"/>
          <tpl hier="236" item="1"/>
          <tpl fld="4" item="5"/>
        </tpls>
      </n>
      <m>
        <tpls c="4">
          <tpl fld="7" item="428"/>
          <tpl fld="6" item="1"/>
          <tpl hier="236" item="1"/>
          <tpl fld="1" item="0"/>
        </tpls>
      </m>
      <m>
        <tpls c="3">
          <tpl fld="7" item="125"/>
          <tpl fld="6" item="3"/>
          <tpl hier="236" item="1"/>
        </tpls>
      </m>
      <n v="1.2" in="2">
        <tpls c="4">
          <tpl fld="7" item="757"/>
          <tpl fld="6" item="2"/>
          <tpl hier="236" item="1"/>
          <tpl fld="4" item="6"/>
        </tpls>
      </n>
      <m>
        <tpls c="4">
          <tpl fld="7" item="1239"/>
          <tpl fld="6" item="2"/>
          <tpl hier="236" item="1"/>
          <tpl fld="4" item="4"/>
        </tpls>
      </m>
      <m>
        <tpls c="4">
          <tpl fld="7" item="603"/>
          <tpl fld="6" item="2"/>
          <tpl hier="236" item="1"/>
          <tpl fld="4" item="6"/>
        </tpls>
      </m>
      <m>
        <tpls c="4">
          <tpl fld="7" item="124"/>
          <tpl fld="6" item="1"/>
          <tpl hier="236" item="1"/>
          <tpl fld="4" item="1"/>
        </tpls>
      </m>
      <m>
        <tpls c="4">
          <tpl fld="7" item="130"/>
          <tpl fld="6" item="1"/>
          <tpl hier="236" item="1"/>
          <tpl fld="4" item="6"/>
        </tpls>
      </m>
      <m>
        <tpls c="4">
          <tpl fld="7" item="709"/>
          <tpl fld="6" item="2"/>
          <tpl hier="236" item="1"/>
          <tpl fld="4" item="4"/>
        </tpls>
      </m>
      <m>
        <tpls c="3">
          <tpl fld="7" item="569"/>
          <tpl fld="6" item="3"/>
          <tpl hier="236" item="1"/>
        </tpls>
      </m>
      <m>
        <tpls c="4">
          <tpl fld="7" item="82"/>
          <tpl fld="6" item="2"/>
          <tpl hier="236" item="1"/>
          <tpl fld="4" item="5"/>
        </tpls>
      </m>
      <m>
        <tpls c="4">
          <tpl fld="7" item="332"/>
          <tpl fld="6" item="1"/>
          <tpl hier="236" item="1"/>
          <tpl fld="4" item="5"/>
        </tpls>
      </m>
      <m>
        <tpls c="4">
          <tpl fld="7" item="1013"/>
          <tpl fld="6" item="1"/>
          <tpl hier="236" item="1"/>
          <tpl fld="1" item="0"/>
        </tpls>
      </m>
      <m>
        <tpls c="4">
          <tpl fld="7" item="131"/>
          <tpl fld="6" item="1"/>
          <tpl hier="236" item="1"/>
          <tpl fld="1" item="0"/>
        </tpls>
      </m>
      <m>
        <tpls c="3">
          <tpl fld="7" item="668"/>
          <tpl fld="6" item="3"/>
          <tpl hier="236" item="1"/>
        </tpls>
      </m>
      <m>
        <tpls c="4">
          <tpl fld="7" item="241"/>
          <tpl fld="6" item="2"/>
          <tpl hier="236" item="1"/>
          <tpl fld="4" item="4"/>
        </tpls>
      </m>
      <m>
        <tpls c="4">
          <tpl fld="7" item="832"/>
          <tpl fld="6" item="2"/>
          <tpl hier="236" item="1"/>
          <tpl fld="4" item="5"/>
        </tpls>
      </m>
      <n v="2" in="1">
        <tpls c="4">
          <tpl fld="7" item="1277"/>
          <tpl fld="6" item="1"/>
          <tpl hier="236" item="1"/>
          <tpl fld="1" item="0"/>
        </tpls>
      </n>
      <m>
        <tpls c="4">
          <tpl fld="7" item="227"/>
          <tpl fld="6" item="2"/>
          <tpl hier="236" item="1"/>
          <tpl fld="4" item="4"/>
        </tpls>
      </m>
      <m>
        <tpls c="4">
          <tpl fld="7" item="923"/>
          <tpl fld="6" item="2"/>
          <tpl hier="236" item="1"/>
          <tpl fld="4" item="5"/>
        </tpls>
      </m>
      <m>
        <tpls c="3">
          <tpl fld="7" item="918"/>
          <tpl fld="6" item="3"/>
          <tpl hier="236" item="1"/>
        </tpls>
      </m>
      <m>
        <tpls c="4">
          <tpl fld="7" item="890"/>
          <tpl fld="6" item="2"/>
          <tpl hier="236" item="1"/>
          <tpl fld="4" item="4"/>
        </tpls>
      </m>
      <m>
        <tpls c="4">
          <tpl fld="7" item="971"/>
          <tpl fld="6" item="2"/>
          <tpl hier="236" item="1"/>
          <tpl fld="4" item="1"/>
        </tpls>
      </m>
      <m>
        <tpls c="4">
          <tpl fld="7" item="253"/>
          <tpl fld="6" item="2"/>
          <tpl hier="236" item="1"/>
          <tpl fld="1" item="0"/>
        </tpls>
      </m>
      <m>
        <tpls c="4">
          <tpl fld="7" item="1067"/>
          <tpl fld="6" item="1"/>
          <tpl hier="236" item="1"/>
          <tpl fld="4" item="1"/>
        </tpls>
      </m>
      <m>
        <tpls c="4">
          <tpl fld="7" item="142"/>
          <tpl fld="6" item="2"/>
          <tpl hier="236" item="1"/>
          <tpl fld="1" item="0"/>
        </tpls>
      </m>
      <m>
        <tpls c="4">
          <tpl fld="7" item="327"/>
          <tpl fld="6" item="2"/>
          <tpl hier="236" item="1"/>
          <tpl fld="4" item="5"/>
        </tpls>
      </m>
      <m>
        <tpls c="4">
          <tpl fld="7" item="1129"/>
          <tpl fld="6" item="1"/>
          <tpl hier="236" item="1"/>
          <tpl fld="4" item="5"/>
        </tpls>
      </m>
      <m>
        <tpls c="4">
          <tpl fld="7" item="958"/>
          <tpl fld="6" item="1"/>
          <tpl hier="236" item="1"/>
          <tpl fld="4" item="1"/>
        </tpls>
      </m>
      <m>
        <tpls c="4">
          <tpl fld="7" item="312"/>
          <tpl fld="6" item="1"/>
          <tpl hier="236" item="1"/>
          <tpl fld="4" item="1"/>
        </tpls>
      </m>
      <m>
        <tpls c="4">
          <tpl fld="7" item="726"/>
          <tpl fld="6" item="1"/>
          <tpl hier="236" item="1"/>
          <tpl fld="4" item="6"/>
        </tpls>
      </m>
      <n v="7" in="1">
        <tpls c="4">
          <tpl fld="7" item="1275"/>
          <tpl fld="6" item="1"/>
          <tpl hier="236" item="1"/>
          <tpl fld="4" item="4"/>
        </tpls>
      </n>
      <m>
        <tpls c="4">
          <tpl fld="7" item="981"/>
          <tpl fld="6" item="2"/>
          <tpl hier="236" item="1"/>
          <tpl fld="4" item="5"/>
        </tpls>
      </m>
      <m>
        <tpls c="4">
          <tpl fld="7" item="855"/>
          <tpl fld="6" item="2"/>
          <tpl hier="236" item="1"/>
          <tpl fld="4" item="6"/>
        </tpls>
      </m>
      <m>
        <tpls c="4">
          <tpl fld="7" item="751"/>
          <tpl fld="6" item="2"/>
          <tpl hier="236" item="1"/>
          <tpl fld="4" item="6"/>
        </tpls>
      </m>
      <m>
        <tpls c="4">
          <tpl fld="7" item="342"/>
          <tpl fld="6" item="1"/>
          <tpl hier="236" item="1"/>
          <tpl fld="4" item="5"/>
        </tpls>
      </m>
      <n v="1" in="1">
        <tpls c="4">
          <tpl fld="7" item="840"/>
          <tpl fld="6" item="1"/>
          <tpl hier="236" item="1"/>
          <tpl fld="4" item="1"/>
        </tpls>
      </n>
      <m>
        <tpls c="4">
          <tpl fld="7" item="473"/>
          <tpl fld="6" item="1"/>
          <tpl hier="236" item="1"/>
          <tpl fld="4" item="1"/>
        </tpls>
      </m>
      <m>
        <tpls c="4">
          <tpl fld="7" item="190"/>
          <tpl fld="6" item="1"/>
          <tpl hier="236" item="1"/>
          <tpl fld="1" item="0"/>
        </tpls>
      </m>
      <m>
        <tpls c="4">
          <tpl fld="7" item="90"/>
          <tpl fld="6" item="2"/>
          <tpl hier="236" item="1"/>
          <tpl fld="1" item="0"/>
        </tpls>
      </m>
      <m>
        <tpls c="4">
          <tpl fld="7" item="751"/>
          <tpl fld="6" item="1"/>
          <tpl hier="236" item="1"/>
          <tpl fld="4" item="5"/>
        </tpls>
      </m>
      <m>
        <tpls c="4">
          <tpl fld="7" item="197"/>
          <tpl fld="6" item="1"/>
          <tpl hier="236" item="1"/>
          <tpl fld="1" item="0"/>
        </tpls>
      </m>
      <m>
        <tpls c="3">
          <tpl fld="7" item="219"/>
          <tpl fld="6" item="3"/>
          <tpl hier="236" item="1"/>
        </tpls>
      </m>
      <m>
        <tpls c="4">
          <tpl fld="7" item="172"/>
          <tpl fld="6" item="1"/>
          <tpl hier="236" item="1"/>
          <tpl fld="4" item="5"/>
        </tpls>
      </m>
      <m>
        <tpls c="4">
          <tpl fld="7" item="572"/>
          <tpl fld="6" item="2"/>
          <tpl hier="236" item="1"/>
          <tpl fld="4" item="1"/>
        </tpls>
      </m>
      <m>
        <tpls c="4">
          <tpl fld="7" item="176"/>
          <tpl fld="6" item="2"/>
          <tpl hier="236" item="1"/>
          <tpl fld="4" item="6"/>
        </tpls>
      </m>
      <m>
        <tpls c="4">
          <tpl fld="7" item="1113"/>
          <tpl fld="6" item="1"/>
          <tpl hier="236" item="1"/>
          <tpl fld="1" item="0"/>
        </tpls>
      </m>
      <m>
        <tpls c="4">
          <tpl fld="7" item="468"/>
          <tpl fld="6" item="1"/>
          <tpl hier="236" item="1"/>
          <tpl fld="4" item="6"/>
        </tpls>
      </m>
      <n v="7" in="1">
        <tpls c="4">
          <tpl fld="7" item="607"/>
          <tpl fld="6" item="1"/>
          <tpl hier="236" item="1"/>
          <tpl fld="4" item="6"/>
        </tpls>
      </n>
      <m>
        <tpls c="4">
          <tpl fld="7" item="631"/>
          <tpl fld="6" item="2"/>
          <tpl hier="236" item="1"/>
          <tpl fld="4" item="5"/>
        </tpls>
      </m>
      <n v="26" in="1">
        <tpls c="4">
          <tpl fld="7" item="1118"/>
          <tpl fld="6" item="1"/>
          <tpl hier="236" item="1"/>
          <tpl fld="4" item="4"/>
        </tpls>
      </n>
      <n v="1" in="1">
        <tpls c="4">
          <tpl fld="7" item="553"/>
          <tpl fld="6" item="1"/>
          <tpl hier="236" item="1"/>
          <tpl fld="4" item="6"/>
        </tpls>
      </n>
      <m>
        <tpls c="4">
          <tpl fld="7" item="1040"/>
          <tpl fld="6" item="2"/>
          <tpl hier="236" item="1"/>
          <tpl fld="4" item="1"/>
        </tpls>
      </m>
      <m>
        <tpls c="4">
          <tpl fld="7" item="1225"/>
          <tpl fld="6" item="2"/>
          <tpl hier="236" item="1"/>
          <tpl fld="4" item="1"/>
        </tpls>
      </m>
      <m>
        <tpls c="4">
          <tpl fld="7" item="639"/>
          <tpl fld="6" item="2"/>
          <tpl hier="236" item="1"/>
          <tpl fld="1" item="0"/>
        </tpls>
      </m>
      <m>
        <tpls c="3">
          <tpl fld="7" item="1271"/>
          <tpl fld="6" item="3"/>
          <tpl hier="236" item="1"/>
        </tpls>
      </m>
      <m>
        <tpls c="4">
          <tpl fld="7" item="526"/>
          <tpl fld="6" item="2"/>
          <tpl hier="236" item="1"/>
          <tpl fld="1" item="0"/>
        </tpls>
      </m>
      <n v="9" in="1">
        <tpls c="4">
          <tpl fld="7" item="909"/>
          <tpl fld="6" item="1"/>
          <tpl hier="236" item="1"/>
          <tpl fld="4" item="4"/>
        </tpls>
      </n>
      <n v="0.16" in="2">
        <tpls c="4">
          <tpl fld="7" item="446"/>
          <tpl fld="6" item="2"/>
          <tpl hier="236" item="1"/>
          <tpl fld="4" item="6"/>
        </tpls>
      </n>
      <m>
        <tpls c="4">
          <tpl fld="7" item="1034"/>
          <tpl fld="6" item="1"/>
          <tpl hier="236" item="1"/>
          <tpl fld="4" item="1"/>
        </tpls>
      </m>
      <n v="1" in="1">
        <tpls c="4">
          <tpl fld="7" item="987"/>
          <tpl fld="6" item="1"/>
          <tpl hier="236" item="1"/>
          <tpl fld="1" item="0"/>
        </tpls>
      </n>
      <n v="3" in="1">
        <tpls c="4">
          <tpl fld="7" item="527"/>
          <tpl fld="6" item="1"/>
          <tpl hier="236" item="1"/>
          <tpl fld="4" item="6"/>
        </tpls>
      </n>
      <n v="1" in="2">
        <tpls c="4">
          <tpl fld="7" item="986"/>
          <tpl fld="6" item="2"/>
          <tpl hier="236" item="1"/>
          <tpl fld="4" item="1"/>
        </tpls>
      </n>
      <m>
        <tpls c="4">
          <tpl fld="7" item="618"/>
          <tpl fld="6" item="1"/>
          <tpl hier="236" item="1"/>
          <tpl fld="4" item="6"/>
        </tpls>
      </m>
      <m>
        <tpls c="3">
          <tpl fld="7" item="822"/>
          <tpl fld="6" item="3"/>
          <tpl hier="236" item="1"/>
        </tpls>
      </m>
      <m>
        <tpls c="3">
          <tpl fld="7" item="1129"/>
          <tpl fld="6" item="3"/>
          <tpl hier="236" item="1"/>
        </tpls>
      </m>
      <n v="19" in="1">
        <tpls c="4">
          <tpl fld="7" item="427"/>
          <tpl fld="6" item="1"/>
          <tpl hier="236" item="1"/>
          <tpl fld="4" item="4"/>
        </tpls>
      </n>
      <m>
        <tpls c="4">
          <tpl fld="7" item="812"/>
          <tpl fld="6" item="1"/>
          <tpl hier="236" item="1"/>
          <tpl fld="4" item="6"/>
        </tpls>
      </m>
      <m>
        <tpls c="4">
          <tpl fld="7" item="906"/>
          <tpl fld="6" item="1"/>
          <tpl hier="236" item="1"/>
          <tpl fld="4" item="6"/>
        </tpls>
      </m>
      <m>
        <tpls c="4">
          <tpl fld="7" item="916"/>
          <tpl fld="6" item="2"/>
          <tpl hier="236" item="1"/>
          <tpl fld="1" item="0"/>
        </tpls>
      </m>
      <m>
        <tpls c="4">
          <tpl fld="7" item="616"/>
          <tpl fld="6" item="2"/>
          <tpl hier="236" item="1"/>
          <tpl fld="4" item="5"/>
        </tpls>
      </m>
      <n v="0.52" in="2">
        <tpls c="4">
          <tpl fld="7" item="853"/>
          <tpl fld="6" item="2"/>
          <tpl hier="236" item="1"/>
          <tpl fld="4" item="5"/>
        </tpls>
      </n>
      <m>
        <tpls c="4">
          <tpl fld="7" item="82"/>
          <tpl fld="6" item="2"/>
          <tpl hier="236" item="1"/>
          <tpl fld="4" item="6"/>
        </tpls>
      </m>
      <m>
        <tpls c="4">
          <tpl fld="7" item="1037"/>
          <tpl fld="6" item="1"/>
          <tpl hier="236" item="1"/>
          <tpl fld="4" item="1"/>
        </tpls>
      </m>
      <m>
        <tpls c="4">
          <tpl fld="7" item="779"/>
          <tpl fld="6" item="2"/>
          <tpl hier="236" item="1"/>
          <tpl fld="4" item="1"/>
        </tpls>
      </m>
      <m>
        <tpls c="4">
          <tpl fld="7" item="392"/>
          <tpl fld="6" item="2"/>
          <tpl hier="236" item="1"/>
          <tpl fld="4" item="6"/>
        </tpls>
      </m>
      <m>
        <tpls c="4">
          <tpl fld="7" item="788"/>
          <tpl fld="6" item="1"/>
          <tpl hier="236" item="1"/>
          <tpl fld="4" item="5"/>
        </tpls>
      </m>
      <n v="1" in="1">
        <tpls c="4">
          <tpl fld="7" item="557"/>
          <tpl fld="6" item="1"/>
          <tpl hier="236" item="1"/>
          <tpl fld="4" item="1"/>
        </tpls>
      </n>
      <m>
        <tpls c="4">
          <tpl fld="7" item="741"/>
          <tpl fld="6" item="1"/>
          <tpl hier="236" item="1"/>
          <tpl fld="4" item="5"/>
        </tpls>
      </m>
      <m>
        <tpls c="4">
          <tpl fld="7" item="1197"/>
          <tpl fld="6" item="1"/>
          <tpl hier="236" item="1"/>
          <tpl fld="4" item="6"/>
        </tpls>
      </m>
      <m>
        <tpls c="4">
          <tpl fld="7" item="385"/>
          <tpl fld="6" item="2"/>
          <tpl hier="236" item="1"/>
          <tpl fld="4" item="1"/>
        </tpls>
      </m>
      <n v="2" in="1">
        <tpls c="4">
          <tpl fld="7" item="731"/>
          <tpl fld="6" item="1"/>
          <tpl hier="236" item="1"/>
          <tpl fld="1" item="0"/>
        </tpls>
      </n>
      <m>
        <tpls c="4">
          <tpl fld="7" item="1011"/>
          <tpl fld="6" item="2"/>
          <tpl hier="236" item="1"/>
          <tpl fld="4" item="4"/>
        </tpls>
      </m>
      <m>
        <tpls c="4">
          <tpl fld="7" item="1013"/>
          <tpl fld="6" item="2"/>
          <tpl hier="236" item="1"/>
          <tpl fld="1" item="0"/>
        </tpls>
      </m>
      <m>
        <tpls c="3">
          <tpl fld="7" item="626"/>
          <tpl fld="6" item="3"/>
          <tpl hier="236" item="1"/>
        </tpls>
      </m>
      <m>
        <tpls c="4">
          <tpl fld="7" item="841"/>
          <tpl fld="6" item="2"/>
          <tpl hier="236" item="1"/>
          <tpl fld="4" item="5"/>
        </tpls>
      </m>
      <m>
        <tpls c="4">
          <tpl fld="7" item="73"/>
          <tpl fld="6" item="2"/>
          <tpl hier="236" item="1"/>
          <tpl fld="4" item="6"/>
        </tpls>
      </m>
      <n v="1" in="1">
        <tpls c="4">
          <tpl fld="7" item="977"/>
          <tpl fld="6" item="1"/>
          <tpl hier="236" item="1"/>
          <tpl fld="4" item="1"/>
        </tpls>
      </n>
      <n v="15" in="1">
        <tpls c="4">
          <tpl fld="7" item="789"/>
          <tpl fld="6" item="1"/>
          <tpl hier="236" item="1"/>
          <tpl fld="1" item="0"/>
        </tpls>
      </n>
      <m>
        <tpls c="4">
          <tpl fld="7" item="902"/>
          <tpl fld="6" item="2"/>
          <tpl hier="236" item="1"/>
          <tpl fld="4" item="5"/>
        </tpls>
      </m>
      <m>
        <tpls c="4">
          <tpl fld="7" item="288"/>
          <tpl fld="6" item="2"/>
          <tpl hier="236" item="1"/>
          <tpl fld="4" item="6"/>
        </tpls>
      </m>
      <m>
        <tpls c="3">
          <tpl fld="7" item="300"/>
          <tpl fld="6" item="3"/>
          <tpl hier="236" item="1"/>
        </tpls>
      </m>
      <n v="33" in="1">
        <tpls c="4">
          <tpl fld="7" item="972"/>
          <tpl fld="6" item="1"/>
          <tpl hier="236" item="1"/>
          <tpl fld="4" item="4"/>
        </tpls>
      </n>
      <m>
        <tpls c="4">
          <tpl fld="7" item="60"/>
          <tpl fld="6" item="2"/>
          <tpl hier="236" item="1"/>
          <tpl fld="1" item="0"/>
        </tpls>
      </m>
      <m>
        <tpls c="4">
          <tpl fld="7" item="294"/>
          <tpl fld="6" item="1"/>
          <tpl hier="236" item="1"/>
          <tpl fld="4" item="1"/>
        </tpls>
      </m>
      <m>
        <tpls c="4">
          <tpl fld="7" item="1102"/>
          <tpl fld="6" item="2"/>
          <tpl hier="236" item="1"/>
          <tpl fld="4" item="6"/>
        </tpls>
      </m>
      <n v="1" in="1">
        <tpls c="4">
          <tpl fld="7" item="1029"/>
          <tpl fld="6" item="1"/>
          <tpl hier="236" item="1"/>
          <tpl fld="4" item="1"/>
        </tpls>
      </n>
      <m>
        <tpls c="4">
          <tpl fld="7" item="893"/>
          <tpl fld="6" item="2"/>
          <tpl hier="236" item="1"/>
          <tpl fld="4" item="1"/>
        </tpls>
      </m>
      <m>
        <tpls c="4">
          <tpl fld="7" item="181"/>
          <tpl fld="6" item="2"/>
          <tpl hier="236" item="1"/>
          <tpl fld="4" item="5"/>
        </tpls>
      </m>
      <m>
        <tpls c="4">
          <tpl fld="7" item="908"/>
          <tpl fld="6" item="1"/>
          <tpl hier="236" item="1"/>
          <tpl fld="4" item="5"/>
        </tpls>
      </m>
      <m>
        <tpls c="4">
          <tpl fld="7" item="404"/>
          <tpl fld="6" item="1"/>
          <tpl hier="236" item="1"/>
          <tpl fld="4" item="5"/>
        </tpls>
      </m>
      <n v="3" in="1">
        <tpls c="4">
          <tpl fld="7" item="871"/>
          <tpl fld="6" item="1"/>
          <tpl hier="236" item="1"/>
          <tpl fld="4" item="1"/>
        </tpls>
      </n>
      <n v="10" in="1">
        <tpls c="4">
          <tpl fld="7" item="351"/>
          <tpl fld="6" item="1"/>
          <tpl hier="236" item="1"/>
          <tpl fld="4" item="1"/>
        </tpls>
      </n>
      <m>
        <tpls c="4">
          <tpl fld="7" item="669"/>
          <tpl fld="6" item="1"/>
          <tpl hier="236" item="1"/>
          <tpl fld="4" item="1"/>
        </tpls>
      </m>
      <m>
        <tpls c="4">
          <tpl fld="7" item="676"/>
          <tpl fld="6" item="1"/>
          <tpl hier="236" item="1"/>
          <tpl fld="1" item="0"/>
        </tpls>
      </m>
      <m>
        <tpls c="4">
          <tpl fld="7" item="328"/>
          <tpl fld="6" item="1"/>
          <tpl hier="236" item="1"/>
          <tpl fld="1" item="0"/>
        </tpls>
      </m>
      <m>
        <tpls c="4">
          <tpl fld="7" item="1122"/>
          <tpl fld="6" item="2"/>
          <tpl hier="236" item="1"/>
          <tpl fld="4" item="5"/>
        </tpls>
      </m>
      <n v="1" in="1">
        <tpls c="4">
          <tpl fld="7" item="850"/>
          <tpl fld="6" item="1"/>
          <tpl hier="236" item="1"/>
          <tpl fld="4" item="5"/>
        </tpls>
      </n>
      <m>
        <tpls c="4">
          <tpl fld="7" item="237"/>
          <tpl fld="6" item="1"/>
          <tpl hier="236" item="1"/>
          <tpl fld="4" item="1"/>
        </tpls>
      </m>
      <m>
        <tpls c="4">
          <tpl fld="7" item="288"/>
          <tpl fld="6" item="1"/>
          <tpl hier="236" item="1"/>
          <tpl fld="1" item="0"/>
        </tpls>
      </m>
      <m>
        <tpls c="3">
          <tpl fld="7" item="63"/>
          <tpl fld="6" item="3"/>
          <tpl hier="236" item="1"/>
        </tpls>
      </m>
      <m>
        <tpls c="4">
          <tpl fld="7" item="927"/>
          <tpl fld="6" item="2"/>
          <tpl hier="236" item="1"/>
          <tpl fld="4" item="4"/>
        </tpls>
      </m>
      <n v="2" in="1">
        <tpls c="4">
          <tpl fld="7" item="369"/>
          <tpl fld="6" item="1"/>
          <tpl hier="236" item="1"/>
          <tpl fld="4" item="1"/>
        </tpls>
      </n>
      <m>
        <tpls c="4">
          <tpl fld="7" item="1162"/>
          <tpl fld="6" item="2"/>
          <tpl hier="236" item="1"/>
          <tpl fld="4" item="4"/>
        </tpls>
      </m>
      <m>
        <tpls c="4">
          <tpl fld="7" item="145"/>
          <tpl fld="6" item="2"/>
          <tpl hier="236" item="1"/>
          <tpl fld="1" item="0"/>
        </tpls>
      </m>
      <n v="1" in="1">
        <tpls c="4">
          <tpl fld="7" item="861"/>
          <tpl fld="6" item="1"/>
          <tpl hier="236" item="1"/>
          <tpl fld="4" item="5"/>
        </tpls>
      </n>
      <m>
        <tpls c="4">
          <tpl fld="7" item="58"/>
          <tpl fld="6" item="1"/>
          <tpl hier="236" item="1"/>
          <tpl fld="4" item="1"/>
        </tpls>
      </m>
      <m>
        <tpls c="4">
          <tpl fld="7" item="297"/>
          <tpl fld="6" item="1"/>
          <tpl hier="236" item="1"/>
          <tpl fld="1" item="0"/>
        </tpls>
      </m>
      <m>
        <tpls c="3">
          <tpl fld="7" item="567"/>
          <tpl fld="6" item="3"/>
          <tpl hier="236" item="1"/>
        </tpls>
      </m>
      <m>
        <tpls c="4">
          <tpl fld="7" item="929"/>
          <tpl fld="6" item="2"/>
          <tpl hier="236" item="1"/>
          <tpl fld="4" item="4"/>
        </tpls>
      </m>
      <m>
        <tpls c="4">
          <tpl fld="7" item="336"/>
          <tpl fld="6" item="1"/>
          <tpl hier="236" item="1"/>
          <tpl fld="4" item="1"/>
        </tpls>
      </m>
      <m>
        <tpls c="4">
          <tpl fld="7" item="1264"/>
          <tpl fld="6" item="2"/>
          <tpl hier="236" item="1"/>
          <tpl fld="4" item="4"/>
        </tpls>
      </m>
      <m>
        <tpls c="4">
          <tpl fld="7" item="99"/>
          <tpl fld="6" item="2"/>
          <tpl hier="236" item="1"/>
          <tpl fld="4" item="5"/>
        </tpls>
      </m>
      <m>
        <tpls c="4">
          <tpl fld="7" item="707"/>
          <tpl fld="6" item="1"/>
          <tpl hier="236" item="1"/>
          <tpl fld="4" item="5"/>
        </tpls>
      </m>
      <m>
        <tpls c="4">
          <tpl fld="7" item="791"/>
          <tpl fld="6" item="1"/>
          <tpl hier="236" item="1"/>
          <tpl fld="1" item="0"/>
        </tpls>
      </m>
      <m>
        <tpls c="4">
          <tpl fld="7" item="1107"/>
          <tpl fld="6" item="1"/>
          <tpl hier="236" item="1"/>
          <tpl fld="4" item="6"/>
        </tpls>
      </m>
      <n v="5.8854054054054048" in="2">
        <tpls c="4">
          <tpl fld="7" item="376"/>
          <tpl fld="6" item="2"/>
          <tpl hier="236" item="1"/>
          <tpl fld="1" item="0"/>
        </tpls>
      </n>
      <m>
        <tpls c="3">
          <tpl fld="7" item="733"/>
          <tpl fld="6" item="3"/>
          <tpl hier="236" item="1"/>
        </tpls>
      </m>
      <m>
        <tpls c="4">
          <tpl fld="7" item="1129"/>
          <tpl fld="6" item="1"/>
          <tpl hier="236" item="1"/>
          <tpl fld="4" item="6"/>
        </tpls>
      </m>
      <n v="0.27999999999999997" in="2">
        <tpls c="4">
          <tpl fld="7" item="1246"/>
          <tpl fld="6" item="2"/>
          <tpl hier="236" item="1"/>
          <tpl fld="4" item="5"/>
        </tpls>
      </n>
      <m>
        <tpls c="4">
          <tpl fld="7" item="375"/>
          <tpl fld="6" item="2"/>
          <tpl hier="236" item="1"/>
          <tpl fld="4" item="5"/>
        </tpls>
      </m>
      <n v="7" in="1">
        <tpls c="4">
          <tpl fld="7" item="374"/>
          <tpl fld="6" item="1"/>
          <tpl hier="236" item="1"/>
          <tpl fld="4" item="5"/>
        </tpls>
      </n>
      <m>
        <tpls c="4">
          <tpl fld="7" item="217"/>
          <tpl fld="6" item="1"/>
          <tpl hier="236" item="1"/>
          <tpl fld="4" item="1"/>
        </tpls>
      </m>
      <m>
        <tpls c="4">
          <tpl fld="7" item="917"/>
          <tpl fld="6" item="2"/>
          <tpl hier="236" item="1"/>
          <tpl fld="4" item="5"/>
        </tpls>
      </m>
      <m>
        <tpls c="4">
          <tpl fld="7" item="271"/>
          <tpl fld="6" item="2"/>
          <tpl hier="236" item="1"/>
          <tpl fld="4" item="5"/>
        </tpls>
      </m>
      <n v="0.8" in="2">
        <tpls c="4">
          <tpl fld="7" item="363"/>
          <tpl fld="6" item="2"/>
          <tpl hier="236" item="1"/>
          <tpl fld="4" item="6"/>
        </tpls>
      </n>
      <m>
        <tpls c="4">
          <tpl fld="7" item="1114"/>
          <tpl fld="6" item="1"/>
          <tpl hier="236" item="1"/>
          <tpl fld="4" item="5"/>
        </tpls>
      </m>
      <m>
        <tpls c="4">
          <tpl fld="7" item="285"/>
          <tpl fld="6" item="1"/>
          <tpl hier="236" item="1"/>
          <tpl fld="4" item="5"/>
        </tpls>
      </m>
      <n v="1" in="1">
        <tpls c="4">
          <tpl fld="7" item="939"/>
          <tpl fld="6" item="1"/>
          <tpl hier="236" item="1"/>
          <tpl fld="4" item="1"/>
        </tpls>
      </n>
      <m>
        <tpls c="4">
          <tpl fld="7" item="193"/>
          <tpl fld="6" item="1"/>
          <tpl hier="236" item="1"/>
          <tpl fld="4" item="1"/>
        </tpls>
      </m>
      <m>
        <tpls c="4">
          <tpl fld="7" item="343"/>
          <tpl fld="6" item="1"/>
          <tpl hier="236" item="1"/>
          <tpl fld="4" item="1"/>
        </tpls>
      </m>
      <m>
        <tpls c="4">
          <tpl fld="7" item="775"/>
          <tpl fld="6" item="2"/>
          <tpl hier="236" item="1"/>
          <tpl fld="4" item="1"/>
        </tpls>
      </m>
      <m>
        <tpls c="4">
          <tpl fld="7" item="653"/>
          <tpl fld="6" item="2"/>
          <tpl hier="236" item="1"/>
          <tpl fld="1" item="0"/>
        </tpls>
      </m>
      <m>
        <tpls c="4">
          <tpl fld="7" item="1117"/>
          <tpl fld="6" item="1"/>
          <tpl hier="236" item="1"/>
          <tpl fld="4" item="4"/>
        </tpls>
      </m>
      <m>
        <tpls c="4">
          <tpl fld="7" item="317"/>
          <tpl fld="6" item="2"/>
          <tpl hier="236" item="1"/>
          <tpl fld="1" item="0"/>
        </tpls>
      </m>
      <m>
        <tpls c="4">
          <tpl fld="7" item="1272"/>
          <tpl fld="6" item="2"/>
          <tpl hier="236" item="1"/>
          <tpl fld="4" item="5"/>
        </tpls>
      </m>
      <m>
        <tpls c="4">
          <tpl fld="7" item="418"/>
          <tpl fld="6" item="2"/>
          <tpl hier="236" item="1"/>
          <tpl fld="4" item="5"/>
        </tpls>
      </m>
      <m>
        <tpls c="4">
          <tpl fld="7" item="403"/>
          <tpl fld="6" item="2"/>
          <tpl hier="236" item="1"/>
          <tpl fld="4" item="5"/>
        </tpls>
      </m>
      <m>
        <tpls c="4">
          <tpl fld="7" item="836"/>
          <tpl fld="6" item="2"/>
          <tpl hier="236" item="1"/>
          <tpl fld="4" item="6"/>
        </tpls>
      </m>
      <m>
        <tpls c="4">
          <tpl fld="7" item="301"/>
          <tpl fld="6" item="2"/>
          <tpl hier="236" item="1"/>
          <tpl fld="4" item="6"/>
        </tpls>
      </m>
      <m>
        <tpls c="4">
          <tpl fld="7" item="1128"/>
          <tpl fld="6" item="1"/>
          <tpl hier="236" item="1"/>
          <tpl fld="4" item="5"/>
        </tpls>
      </m>
      <m>
        <tpls c="4">
          <tpl fld="7" item="758"/>
          <tpl fld="6" item="1"/>
          <tpl hier="236" item="1"/>
          <tpl fld="4" item="5"/>
        </tpls>
      </m>
      <m>
        <tpls c="4">
          <tpl fld="7" item="243"/>
          <tpl fld="6" item="1"/>
          <tpl hier="236" item="1"/>
          <tpl fld="4" item="5"/>
        </tpls>
      </m>
      <m>
        <tpls c="4">
          <tpl fld="7" item="1200"/>
          <tpl fld="6" item="1"/>
          <tpl hier="236" item="1"/>
          <tpl fld="4" item="1"/>
        </tpls>
      </m>
      <m>
        <tpls c="4">
          <tpl fld="7" item="454"/>
          <tpl fld="6" item="1"/>
          <tpl hier="236" item="1"/>
          <tpl fld="4" item="1"/>
        </tpls>
      </m>
      <m>
        <tpls c="4">
          <tpl fld="7" item="178"/>
          <tpl fld="6" item="1"/>
          <tpl hier="236" item="1"/>
          <tpl fld="4" item="1"/>
        </tpls>
      </m>
      <m>
        <tpls c="4">
          <tpl fld="7" item="219"/>
          <tpl fld="6" item="1"/>
          <tpl hier="236" item="1"/>
          <tpl fld="4" item="1"/>
        </tpls>
      </m>
      <n v="17" in="1">
        <tpls c="4">
          <tpl fld="7" item="878"/>
          <tpl fld="6" item="1"/>
          <tpl hier="236" item="1"/>
          <tpl fld="1" item="0"/>
        </tpls>
      </n>
      <m>
        <tpls c="4">
          <tpl fld="7" item="592"/>
          <tpl fld="6" item="1"/>
          <tpl hier="236" item="1"/>
          <tpl fld="1" item="0"/>
        </tpls>
      </m>
      <m>
        <tpls c="4">
          <tpl fld="7" item="639"/>
          <tpl fld="6" item="1"/>
          <tpl hier="236" item="1"/>
          <tpl fld="1" item="0"/>
        </tpls>
      </m>
      <m>
        <tpls c="4">
          <tpl fld="7" item="88"/>
          <tpl fld="6" item="2"/>
          <tpl hier="236" item="1"/>
          <tpl fld="4" item="5"/>
        </tpls>
      </m>
      <m>
        <tpls c="4">
          <tpl fld="7" item="62"/>
          <tpl fld="6" item="2"/>
          <tpl hier="236" item="1"/>
          <tpl fld="4" item="6"/>
        </tpls>
      </m>
      <n v="1" in="1">
        <tpls c="4">
          <tpl fld="7" item="919"/>
          <tpl fld="6" item="1"/>
          <tpl hier="236" item="1"/>
          <tpl fld="4" item="1"/>
        </tpls>
      </n>
      <m>
        <tpls c="4">
          <tpl fld="7" item="904"/>
          <tpl fld="6" item="1"/>
          <tpl hier="236" item="1"/>
          <tpl fld="1" item="0"/>
        </tpls>
      </m>
      <m>
        <tpls c="4">
          <tpl fld="7" item="280"/>
          <tpl fld="6" item="1"/>
          <tpl hier="236" item="1"/>
          <tpl fld="1" item="0"/>
        </tpls>
      </m>
      <m>
        <tpls c="4">
          <tpl fld="7" item="5"/>
          <tpl fld="6" item="1"/>
          <tpl hier="236" item="1"/>
          <tpl fld="4" item="6"/>
        </tpls>
      </m>
      <m>
        <tpls c="4">
          <tpl fld="7" item="1064"/>
          <tpl fld="6" item="2"/>
          <tpl hier="236" item="1"/>
          <tpl fld="4" item="4"/>
        </tpls>
      </m>
      <m>
        <tpls c="4">
          <tpl fld="7" item="469"/>
          <tpl fld="6" item="2"/>
          <tpl hier="236" item="1"/>
          <tpl fld="4" item="4"/>
        </tpls>
      </m>
      <m>
        <tpls c="4">
          <tpl fld="7" item="266"/>
          <tpl fld="6" item="1"/>
          <tpl hier="236" item="1"/>
          <tpl fld="4" item="1"/>
        </tpls>
      </m>
      <m>
        <tpls c="3">
          <tpl fld="7" item="126"/>
          <tpl fld="6" item="3"/>
          <tpl hier="236" item="1"/>
        </tpls>
      </m>
      <n v="23" in="1">
        <tpls c="4">
          <tpl fld="7" item="825"/>
          <tpl fld="6" item="1"/>
          <tpl hier="236" item="1"/>
          <tpl fld="4" item="4"/>
        </tpls>
      </n>
      <m>
        <tpls c="4">
          <tpl fld="7" item="56"/>
          <tpl fld="6" item="2"/>
          <tpl hier="236" item="1"/>
          <tpl fld="4" item="5"/>
        </tpls>
      </m>
      <m>
        <tpls c="4">
          <tpl fld="7" item="837"/>
          <tpl fld="6" item="1"/>
          <tpl hier="236" item="1"/>
          <tpl fld="4" item="5"/>
        </tpls>
      </m>
      <n v="17" in="1">
        <tpls c="4">
          <tpl fld="7" item="355"/>
          <tpl fld="6" item="1"/>
          <tpl hier="236" item="1"/>
          <tpl fld="4" item="1"/>
        </tpls>
      </n>
      <n v="4" in="1">
        <tpls c="4">
          <tpl fld="7" item="441"/>
          <tpl fld="6" item="1"/>
          <tpl hier="236" item="1"/>
          <tpl fld="1" item="0"/>
        </tpls>
      </n>
      <m>
        <tpls c="4">
          <tpl fld="7" item="25"/>
          <tpl fld="6" item="1"/>
          <tpl hier="236" item="1"/>
          <tpl fld="1" item="0"/>
        </tpls>
      </m>
      <m>
        <tpls c="3">
          <tpl fld="7" item="276"/>
          <tpl fld="6" item="3"/>
          <tpl hier="236" item="1"/>
        </tpls>
      </m>
      <m>
        <tpls c="4">
          <tpl fld="7" item="943"/>
          <tpl fld="6" item="2"/>
          <tpl hier="236" item="1"/>
          <tpl fld="4" item="4"/>
        </tpls>
      </m>
      <m>
        <tpls c="4">
          <tpl fld="7" item="417"/>
          <tpl fld="6" item="2"/>
          <tpl hier="236" item="1"/>
          <tpl fld="4" item="6"/>
        </tpls>
      </m>
      <m>
        <tpls c="4">
          <tpl fld="7" item="72"/>
          <tpl fld="6" item="1"/>
          <tpl hier="236" item="1"/>
          <tpl fld="1" item="0"/>
        </tpls>
      </m>
      <m>
        <tpls c="4">
          <tpl fld="7" item="233"/>
          <tpl fld="6" item="2"/>
          <tpl hier="236" item="1"/>
          <tpl fld="4" item="4"/>
        </tpls>
      </m>
      <m>
        <tpls c="4">
          <tpl fld="7" item="156"/>
          <tpl fld="6" item="2"/>
          <tpl hier="236" item="1"/>
          <tpl fld="1" item="0"/>
        </tpls>
      </m>
      <m>
        <tpls c="4">
          <tpl fld="7" item="1084"/>
          <tpl fld="6" item="2"/>
          <tpl hier="236" item="1"/>
          <tpl fld="4" item="6"/>
        </tpls>
      </m>
      <n v="3" in="1">
        <tpls c="4">
          <tpl fld="7" item="1177"/>
          <tpl fld="6" item="1"/>
          <tpl hier="236" item="1"/>
          <tpl fld="4" item="1"/>
        </tpls>
      </n>
      <n v="29" in="1">
        <tpls c="4">
          <tpl fld="7" item="1249"/>
          <tpl fld="6" item="1"/>
          <tpl hier="236" item="1"/>
          <tpl fld="1" item="0"/>
        </tpls>
      </n>
      <m>
        <tpls c="4">
          <tpl fld="7" item="83"/>
          <tpl fld="6" item="1"/>
          <tpl hier="236" item="1"/>
          <tpl fld="1" item="0"/>
        </tpls>
      </m>
      <m>
        <tpls c="4">
          <tpl fld="7" item="331"/>
          <tpl fld="6" item="1"/>
          <tpl hier="236" item="1"/>
          <tpl fld="4" item="6"/>
        </tpls>
      </m>
      <m>
        <tpls c="4">
          <tpl fld="7" item="1269"/>
          <tpl fld="6" item="2"/>
          <tpl hier="236" item="1"/>
          <tpl fld="4" item="4"/>
        </tpls>
      </m>
      <m>
        <tpls c="4">
          <tpl fld="7" item="167"/>
          <tpl fld="6" item="2"/>
          <tpl hier="236" item="1"/>
          <tpl fld="4" item="4"/>
        </tpls>
      </m>
      <n v="7" in="1">
        <tpls c="4">
          <tpl fld="7" item="1018"/>
          <tpl fld="6" item="1"/>
          <tpl hier="236" item="1"/>
          <tpl fld="4" item="4"/>
        </tpls>
      </n>
      <m>
        <tpls c="4">
          <tpl fld="7" item="233"/>
          <tpl fld="6" item="2"/>
          <tpl hier="236" item="1"/>
          <tpl fld="4" item="5"/>
        </tpls>
      </m>
      <n v="99" in="1">
        <tpls c="4">
          <tpl fld="7" item="215"/>
          <tpl fld="6" item="1"/>
          <tpl hier="236" item="1"/>
          <tpl fld="1" item="0"/>
        </tpls>
      </n>
      <m>
        <tpls c="4">
          <tpl fld="7" item="928"/>
          <tpl fld="6" item="2"/>
          <tpl hier="236" item="1"/>
          <tpl fld="4" item="4"/>
        </tpls>
      </m>
      <m>
        <tpls c="4">
          <tpl fld="7" item="1022"/>
          <tpl fld="6" item="2"/>
          <tpl hier="236" item="1"/>
          <tpl fld="4" item="4"/>
        </tpls>
      </m>
      <m>
        <tpls c="4">
          <tpl fld="7" item="843"/>
          <tpl fld="6" item="1"/>
          <tpl hier="236" item="1"/>
          <tpl fld="4" item="4"/>
        </tpls>
      </m>
      <m>
        <tpls c="3">
          <tpl fld="7" item="802"/>
          <tpl fld="6" item="3"/>
          <tpl hier="236" item="1"/>
        </tpls>
      </m>
      <m>
        <tpls c="4">
          <tpl fld="7" item="1134"/>
          <tpl fld="6" item="2"/>
          <tpl hier="236" item="1"/>
          <tpl fld="4" item="1"/>
        </tpls>
      </m>
      <n v="2" in="1">
        <tpls c="4">
          <tpl fld="7" item="918"/>
          <tpl fld="6" item="1"/>
          <tpl hier="236" item="1"/>
          <tpl fld="4" item="4"/>
        </tpls>
      </n>
      <m>
        <tpls c="4">
          <tpl fld="7" item="210"/>
          <tpl fld="6" item="1"/>
          <tpl hier="236" item="1"/>
          <tpl fld="4" item="5"/>
        </tpls>
      </m>
      <n v="2" in="1">
        <tpls c="4">
          <tpl fld="7" item="1278"/>
          <tpl fld="6" item="1"/>
          <tpl hier="236" item="1"/>
          <tpl fld="4" item="4"/>
        </tpls>
      </n>
      <m>
        <tpls c="4">
          <tpl fld="7" item="256"/>
          <tpl fld="6" item="2"/>
          <tpl hier="236" item="1"/>
          <tpl fld="4" item="5"/>
        </tpls>
      </m>
      <m>
        <tpls c="4">
          <tpl fld="7" item="402"/>
          <tpl fld="6" item="2"/>
          <tpl hier="236" item="1"/>
          <tpl fld="4" item="6"/>
        </tpls>
      </m>
      <m>
        <tpls c="4">
          <tpl fld="7" item="23"/>
          <tpl fld="6" item="1"/>
          <tpl hier="236" item="1"/>
          <tpl fld="4" item="5"/>
        </tpls>
      </m>
      <n v="2" in="1">
        <tpls c="4">
          <tpl fld="7" item="1084"/>
          <tpl fld="6" item="1"/>
          <tpl hier="236" item="1"/>
          <tpl fld="4" item="1"/>
        </tpls>
      </n>
      <m>
        <tpls c="4">
          <tpl fld="7" item="639"/>
          <tpl fld="6" item="2"/>
          <tpl hier="236" item="1"/>
          <tpl fld="4" item="1"/>
        </tpls>
      </m>
      <n v="2" in="1">
        <tpls c="4">
          <tpl fld="7" item="1028"/>
          <tpl fld="6" item="1"/>
          <tpl hier="236" item="1"/>
          <tpl fld="4" item="6"/>
        </tpls>
      </n>
      <m>
        <tpls c="4">
          <tpl fld="7" item="89"/>
          <tpl fld="6" item="2"/>
          <tpl hier="236" item="1"/>
          <tpl fld="4" item="5"/>
        </tpls>
      </m>
      <m>
        <tpls c="4">
          <tpl fld="7" item="328"/>
          <tpl fld="6" item="2"/>
          <tpl hier="236" item="1"/>
          <tpl fld="4" item="5"/>
        </tpls>
      </m>
      <m>
        <tpls c="4">
          <tpl fld="7" item="145"/>
          <tpl fld="6" item="2"/>
          <tpl hier="236" item="1"/>
          <tpl fld="4" item="6"/>
        </tpls>
      </m>
      <m>
        <tpls c="4">
          <tpl fld="7" item="236"/>
          <tpl fld="6" item="1"/>
          <tpl hier="236" item="1"/>
          <tpl fld="4" item="5"/>
        </tpls>
      </m>
      <n v="14" in="1">
        <tpls c="4">
          <tpl fld="7" item="513"/>
          <tpl fld="6" item="1"/>
          <tpl hier="236" item="1"/>
          <tpl fld="1" item="0"/>
        </tpls>
      </n>
      <m>
        <tpls c="4">
          <tpl fld="7" item="1184"/>
          <tpl fld="6" item="2"/>
          <tpl hier="236" item="1"/>
          <tpl fld="4" item="4"/>
        </tpls>
      </m>
      <n v="0" in="1">
        <tpls c="4">
          <tpl fld="7" item="1025"/>
          <tpl fld="6" item="1"/>
          <tpl hier="236" item="1"/>
          <tpl fld="1" item="0"/>
        </tpls>
      </n>
      <m>
        <tpls c="4">
          <tpl fld="7" item="1228"/>
          <tpl fld="6" item="2"/>
          <tpl hier="236" item="1"/>
          <tpl fld="4" item="4"/>
        </tpls>
      </m>
      <m>
        <tpls c="4">
          <tpl fld="7" item="359"/>
          <tpl fld="6" item="1"/>
          <tpl hier="236" item="1"/>
          <tpl fld="1" item="0"/>
        </tpls>
      </m>
      <m>
        <tpls c="4">
          <tpl fld="7" item="653"/>
          <tpl fld="6" item="2"/>
          <tpl hier="236" item="1"/>
          <tpl fld="4" item="4"/>
        </tpls>
      </m>
      <n v="1" in="2">
        <tpls c="4">
          <tpl fld="7" item="899"/>
          <tpl fld="6" item="2"/>
          <tpl hier="236" item="1"/>
          <tpl fld="4" item="4"/>
        </tpls>
      </n>
      <m>
        <tpls c="4">
          <tpl fld="7" item="204"/>
          <tpl fld="6" item="2"/>
          <tpl hier="236" item="1"/>
          <tpl fld="4" item="6"/>
        </tpls>
      </m>
      <m>
        <tpls c="4">
          <tpl fld="7" item="485"/>
          <tpl fld="6" item="2"/>
          <tpl hier="236" item="1"/>
          <tpl fld="4" item="5"/>
        </tpls>
      </m>
      <m>
        <tpls c="4">
          <tpl fld="7" item="405"/>
          <tpl fld="6" item="1"/>
          <tpl hier="236" item="1"/>
          <tpl fld="4" item="5"/>
        </tpls>
      </m>
      <n v="1" in="1">
        <tpls c="4">
          <tpl fld="7" item="888"/>
          <tpl fld="6" item="1"/>
          <tpl hier="236" item="1"/>
          <tpl fld="4" item="4"/>
        </tpls>
      </n>
      <m>
        <tpls c="4">
          <tpl fld="7" item="385"/>
          <tpl fld="6" item="2"/>
          <tpl hier="236" item="1"/>
          <tpl fld="4" item="5"/>
        </tpls>
      </m>
      <m>
        <tpls c="4">
          <tpl fld="7" item="137"/>
          <tpl fld="6" item="2"/>
          <tpl hier="236" item="1"/>
          <tpl fld="4" item="6"/>
        </tpls>
      </m>
      <n v="2" in="1">
        <tpls c="4">
          <tpl fld="7" item="852"/>
          <tpl fld="6" item="1"/>
          <tpl hier="236" item="1"/>
          <tpl fld="4" item="1"/>
        </tpls>
      </n>
      <m>
        <tpls c="4">
          <tpl fld="7" item="417"/>
          <tpl fld="6" item="1"/>
          <tpl hier="236" item="1"/>
          <tpl fld="1" item="0"/>
        </tpls>
      </m>
      <m>
        <tpls c="4">
          <tpl fld="7" item="1179"/>
          <tpl fld="6" item="1"/>
          <tpl hier="236" item="1"/>
          <tpl fld="4" item="1"/>
        </tpls>
      </m>
      <m>
        <tpls c="4">
          <tpl fld="7" item="1071"/>
          <tpl fld="6" item="2"/>
          <tpl hier="236" item="1"/>
          <tpl fld="4" item="4"/>
        </tpls>
      </m>
      <m>
        <tpls c="4">
          <tpl fld="7" item="733"/>
          <tpl fld="6" item="1"/>
          <tpl hier="236" item="1"/>
          <tpl fld="4" item="6"/>
        </tpls>
      </m>
      <m>
        <tpls c="4">
          <tpl fld="7" item="521"/>
          <tpl fld="6" item="1"/>
          <tpl hier="236" item="1"/>
          <tpl fld="1" item="0"/>
        </tpls>
      </m>
      <m>
        <tpls c="4">
          <tpl fld="7" item="325"/>
          <tpl fld="6" item="2"/>
          <tpl hier="236" item="1"/>
          <tpl fld="4" item="4"/>
        </tpls>
      </m>
      <m>
        <tpls c="4">
          <tpl fld="7" item="1265"/>
          <tpl fld="6" item="2"/>
          <tpl hier="236" item="1"/>
          <tpl fld="4" item="6"/>
        </tpls>
      </m>
      <n v="12" in="1">
        <tpls c="4">
          <tpl fld="7" item="434"/>
          <tpl fld="6" item="1"/>
          <tpl hier="236" item="1"/>
          <tpl fld="1" item="0"/>
        </tpls>
      </n>
      <m>
        <tpls c="4">
          <tpl fld="7" item="1256"/>
          <tpl fld="6" item="2"/>
          <tpl hier="236" item="1"/>
          <tpl fld="4" item="4"/>
        </tpls>
      </m>
      <m>
        <tpls c="4">
          <tpl fld="7" item="901"/>
          <tpl fld="6" item="2"/>
          <tpl hier="236" item="1"/>
          <tpl fld="4" item="6"/>
        </tpls>
      </m>
      <m>
        <tpls c="4">
          <tpl fld="7" item="778"/>
          <tpl fld="6" item="2"/>
          <tpl hier="236" item="1"/>
          <tpl fld="4" item="1"/>
        </tpls>
      </m>
      <m>
        <tpls c="4">
          <tpl fld="7" item="586"/>
          <tpl fld="6" item="1"/>
          <tpl hier="236" item="1"/>
          <tpl fld="4" item="5"/>
        </tpls>
      </m>
      <n v="7" in="1">
        <tpls c="4">
          <tpl fld="7" item="958"/>
          <tpl fld="6" item="1"/>
          <tpl hier="236" item="1"/>
          <tpl fld="4" item="4"/>
        </tpls>
      </n>
      <m>
        <tpls c="4">
          <tpl fld="7" item="1215"/>
          <tpl fld="6" item="1"/>
          <tpl hier="236" item="1"/>
          <tpl fld="4" item="4"/>
        </tpls>
      </m>
      <m>
        <tpls c="4">
          <tpl fld="7" item="188"/>
          <tpl fld="6" item="2"/>
          <tpl hier="236" item="1"/>
          <tpl fld="1" item="0"/>
        </tpls>
      </m>
      <m>
        <tpls c="4">
          <tpl fld="7" item="55"/>
          <tpl fld="6" item="2"/>
          <tpl hier="236" item="1"/>
          <tpl fld="4" item="5"/>
        </tpls>
      </m>
      <n v="23" in="1">
        <tpls c="4">
          <tpl fld="7" item="496"/>
          <tpl fld="6" item="1"/>
          <tpl hier="236" item="1"/>
          <tpl fld="4" item="1"/>
        </tpls>
      </n>
      <m>
        <tpls c="4">
          <tpl fld="7" item="897"/>
          <tpl fld="6" item="2"/>
          <tpl hier="236" item="1"/>
          <tpl fld="4" item="5"/>
        </tpls>
      </m>
      <m>
        <tpls c="4">
          <tpl fld="7" item="1277"/>
          <tpl fld="6" item="2"/>
          <tpl hier="236" item="1"/>
          <tpl fld="4" item="6"/>
        </tpls>
      </m>
      <n v="5" in="1">
        <tpls c="4">
          <tpl fld="7" item="525"/>
          <tpl fld="6" item="1"/>
          <tpl hier="236" item="1"/>
          <tpl fld="4" item="5"/>
        </tpls>
      </n>
      <n v="4" in="1">
        <tpls c="4">
          <tpl fld="7" item="1032"/>
          <tpl fld="6" item="1"/>
          <tpl hier="236" item="1"/>
          <tpl fld="4" item="1"/>
        </tpls>
      </n>
      <m>
        <tpls c="4">
          <tpl fld="7" item="162"/>
          <tpl fld="6" item="1"/>
          <tpl hier="236" item="1"/>
          <tpl fld="4" item="1"/>
        </tpls>
      </m>
      <m>
        <tpls c="4">
          <tpl fld="7" item="657"/>
          <tpl fld="6" item="2"/>
          <tpl hier="236" item="1"/>
          <tpl fld="1" item="0"/>
        </tpls>
      </m>
      <m>
        <tpls c="4">
          <tpl fld="7" item="94"/>
          <tpl fld="6" item="2"/>
          <tpl hier="236" item="1"/>
          <tpl fld="1" item="0"/>
        </tpls>
      </m>
      <m>
        <tpls c="4">
          <tpl fld="7" item="188"/>
          <tpl fld="6" item="2"/>
          <tpl hier="236" item="1"/>
          <tpl fld="4" item="5"/>
        </tpls>
      </m>
      <m>
        <tpls c="4">
          <tpl fld="7" item="523"/>
          <tpl fld="6" item="2"/>
          <tpl hier="236" item="1"/>
          <tpl fld="4" item="6"/>
        </tpls>
      </m>
      <m>
        <tpls c="4">
          <tpl fld="7" item="1017"/>
          <tpl fld="6" item="1"/>
          <tpl hier="236" item="1"/>
          <tpl fld="4" item="5"/>
        </tpls>
      </m>
      <m>
        <tpls c="4">
          <tpl fld="7" item="240"/>
          <tpl fld="6" item="1"/>
          <tpl hier="236" item="1"/>
          <tpl fld="4" item="5"/>
        </tpls>
      </m>
      <n v="4" in="1">
        <tpls c="4">
          <tpl fld="7" item="443"/>
          <tpl fld="6" item="1"/>
          <tpl hier="236" item="1"/>
          <tpl fld="4" item="1"/>
        </tpls>
      </n>
      <n v="1" in="1">
        <tpls c="4">
          <tpl fld="7" item="1027"/>
          <tpl fld="6" item="1"/>
          <tpl hier="236" item="1"/>
          <tpl fld="1" item="0"/>
        </tpls>
      </n>
      <m>
        <tpls c="4">
          <tpl fld="7" item="474"/>
          <tpl fld="6" item="1"/>
          <tpl hier="236" item="1"/>
          <tpl fld="1" item="0"/>
        </tpls>
      </m>
      <m>
        <tpls c="4">
          <tpl fld="7" item="315"/>
          <tpl fld="6" item="2"/>
          <tpl hier="236" item="1"/>
          <tpl fld="4" item="5"/>
        </tpls>
      </m>
      <m>
        <tpls c="4">
          <tpl fld="7" item="380"/>
          <tpl fld="6" item="1"/>
          <tpl hier="236" item="1"/>
          <tpl fld="4" item="1"/>
        </tpls>
      </m>
      <m>
        <tpls c="4">
          <tpl fld="7" item="251"/>
          <tpl fld="6" item="1"/>
          <tpl hier="236" item="1"/>
          <tpl fld="1" item="0"/>
        </tpls>
      </m>
      <m>
        <tpls c="4">
          <tpl fld="7" item="1053"/>
          <tpl fld="6" item="2"/>
          <tpl hier="236" item="1"/>
          <tpl fld="4" item="4"/>
        </tpls>
      </m>
      <n v="2" in="1">
        <tpls c="4">
          <tpl fld="7" item="1244"/>
          <tpl fld="6" item="1"/>
          <tpl hier="236" item="1"/>
          <tpl fld="1" item="0"/>
        </tpls>
      </n>
      <m>
        <tpls c="3">
          <tpl fld="7" item="857"/>
          <tpl fld="6" item="3"/>
          <tpl hier="236" item="1"/>
        </tpls>
      </m>
      <m>
        <tpls c="4">
          <tpl fld="7" item="422"/>
          <tpl fld="6" item="1"/>
          <tpl hier="236" item="1"/>
          <tpl fld="4" item="5"/>
        </tpls>
      </m>
      <m>
        <tpls c="4">
          <tpl fld="7" item="497"/>
          <tpl fld="6" item="1"/>
          <tpl hier="236" item="1"/>
          <tpl fld="1" item="0"/>
        </tpls>
      </m>
      <m>
        <tpls c="3">
          <tpl fld="7" item="26"/>
          <tpl fld="6" item="3"/>
          <tpl hier="236" item="1"/>
        </tpls>
      </m>
      <n v="1" in="1">
        <tpls c="4">
          <tpl fld="7" item="431"/>
          <tpl fld="6" item="1"/>
          <tpl hier="236" item="1"/>
          <tpl fld="4" item="5"/>
        </tpls>
      </n>
      <m>
        <tpls c="4">
          <tpl fld="7" item="785"/>
          <tpl fld="6" item="2"/>
          <tpl hier="236" item="1"/>
          <tpl fld="4" item="1"/>
        </tpls>
      </m>
      <m>
        <tpls c="4">
          <tpl fld="7" item="981"/>
          <tpl fld="6" item="2"/>
          <tpl hier="236" item="1"/>
          <tpl fld="4" item="6"/>
        </tpls>
      </m>
      <n v="1" in="1">
        <tpls c="4">
          <tpl fld="7" item="1103"/>
          <tpl fld="6" item="1"/>
          <tpl hier="236" item="1"/>
          <tpl fld="4" item="1"/>
        </tpls>
      </n>
      <n v="38" in="1">
        <tpls c="4">
          <tpl fld="7" item="426"/>
          <tpl fld="6" item="1"/>
          <tpl hier="236" item="1"/>
          <tpl fld="1" item="0"/>
        </tpls>
      </n>
      <m>
        <tpls c="4">
          <tpl fld="7" item="751"/>
          <tpl fld="6" item="1"/>
          <tpl hier="236" item="1"/>
          <tpl fld="4" item="6"/>
        </tpls>
      </m>
      <m>
        <tpls c="4">
          <tpl fld="7" item="1230"/>
          <tpl fld="6" item="2"/>
          <tpl hier="236" item="1"/>
          <tpl fld="4" item="4"/>
        </tpls>
      </m>
      <m>
        <tpls c="4">
          <tpl fld="7" item="648"/>
          <tpl fld="6" item="2"/>
          <tpl hier="236" item="1"/>
          <tpl fld="1" item="0"/>
        </tpls>
      </m>
      <m>
        <tpls c="4">
          <tpl fld="7" item="220"/>
          <tpl fld="6" item="2"/>
          <tpl hier="236" item="1"/>
          <tpl fld="4" item="5"/>
        </tpls>
      </m>
      <m>
        <tpls c="4">
          <tpl fld="7" item="565"/>
          <tpl fld="6" item="1"/>
          <tpl hier="236" item="1"/>
          <tpl fld="4" item="6"/>
        </tpls>
      </m>
      <m>
        <tpls c="4">
          <tpl fld="7" item="781"/>
          <tpl fld="6" item="2"/>
          <tpl hier="236" item="1"/>
          <tpl fld="1" item="0"/>
        </tpls>
      </m>
      <m>
        <tpls c="4">
          <tpl fld="7" item="651"/>
          <tpl fld="6" item="2"/>
          <tpl hier="236" item="1"/>
          <tpl fld="4" item="4"/>
        </tpls>
      </m>
      <m>
        <tpls c="4">
          <tpl fld="7" item="842"/>
          <tpl fld="6" item="2"/>
          <tpl hier="236" item="1"/>
          <tpl fld="1" item="0"/>
        </tpls>
      </m>
      <n v="23" in="1">
        <tpls c="4">
          <tpl fld="7" item="1101"/>
          <tpl fld="6" item="1"/>
          <tpl hier="236" item="1"/>
          <tpl fld="4" item="4"/>
        </tpls>
      </n>
      <m>
        <tpls c="4">
          <tpl fld="7" item="124"/>
          <tpl fld="6" item="2"/>
          <tpl hier="236" item="1"/>
          <tpl fld="1" item="0"/>
        </tpls>
      </m>
      <m>
        <tpls c="4">
          <tpl fld="7" item="1024"/>
          <tpl fld="6" item="2"/>
          <tpl hier="236" item="1"/>
          <tpl fld="4" item="6"/>
        </tpls>
      </m>
      <m>
        <tpls c="4">
          <tpl fld="7" item="37"/>
          <tpl fld="6" item="1"/>
          <tpl hier="236" item="1"/>
          <tpl fld="4" item="1"/>
        </tpls>
      </m>
      <m>
        <tpls c="4">
          <tpl fld="7" item="504"/>
          <tpl fld="6" item="2"/>
          <tpl hier="236" item="1"/>
          <tpl fld="4" item="5"/>
        </tpls>
      </m>
      <m>
        <tpls c="4">
          <tpl fld="7" item="373"/>
          <tpl fld="6" item="2"/>
          <tpl hier="236" item="1"/>
          <tpl fld="4" item="6"/>
        </tpls>
      </m>
      <m>
        <tpls c="4">
          <tpl fld="7" item="501"/>
          <tpl fld="6" item="1"/>
          <tpl hier="236" item="1"/>
          <tpl fld="4" item="5"/>
        </tpls>
      </m>
      <m>
        <tpls c="4">
          <tpl fld="7" item="917"/>
          <tpl fld="6" item="1"/>
          <tpl hier="236" item="1"/>
          <tpl fld="4" item="1"/>
        </tpls>
      </m>
      <m>
        <tpls c="4">
          <tpl fld="7" item="51"/>
          <tpl fld="6" item="1"/>
          <tpl hier="236" item="1"/>
          <tpl fld="4" item="1"/>
        </tpls>
      </m>
      <m>
        <tpls c="4">
          <tpl fld="7" item="894"/>
          <tpl fld="6" item="2"/>
          <tpl hier="236" item="1"/>
          <tpl fld="4" item="1"/>
        </tpls>
      </m>
      <m>
        <tpls c="4">
          <tpl fld="7" item="158"/>
          <tpl fld="6" item="2"/>
          <tpl hier="236" item="1"/>
          <tpl fld="1" item="0"/>
        </tpls>
      </m>
      <m>
        <tpls c="4">
          <tpl fld="7" item="53"/>
          <tpl fld="6" item="2"/>
          <tpl hier="236" item="1"/>
          <tpl fld="4" item="5"/>
        </tpls>
      </m>
      <m>
        <tpls c="4">
          <tpl fld="7" item="505"/>
          <tpl fld="6" item="2"/>
          <tpl hier="236" item="1"/>
          <tpl fld="4" item="6"/>
        </tpls>
      </m>
      <m>
        <tpls c="4">
          <tpl fld="7" item="1191"/>
          <tpl fld="6" item="1"/>
          <tpl hier="236" item="1"/>
          <tpl fld="4" item="5"/>
        </tpls>
      </m>
      <n v="1" in="1">
        <tpls c="4">
          <tpl fld="7" item="1285"/>
          <tpl fld="6" item="1"/>
          <tpl hier="236" item="1"/>
          <tpl fld="4" item="1"/>
        </tpls>
      </n>
      <n v="36" in="1">
        <tpls c="4">
          <tpl fld="7" item="425"/>
          <tpl fld="6" item="1"/>
          <tpl hier="236" item="1"/>
          <tpl fld="4" item="1"/>
        </tpls>
      </n>
      <n v="39" in="1">
        <tpls c="4">
          <tpl fld="7" item="1245"/>
          <tpl fld="6" item="1"/>
          <tpl hier="236" item="1"/>
          <tpl fld="1" item="0"/>
        </tpls>
      </n>
      <m>
        <tpls c="4">
          <tpl fld="7" item="400"/>
          <tpl fld="6" item="1"/>
          <tpl hier="236" item="1"/>
          <tpl fld="1" item="0"/>
        </tpls>
      </m>
      <m>
        <tpls c="4">
          <tpl fld="7" item="227"/>
          <tpl fld="6" item="2"/>
          <tpl hier="236" item="1"/>
          <tpl fld="4" item="5"/>
        </tpls>
      </m>
      <m>
        <tpls c="4">
          <tpl fld="7" item="339"/>
          <tpl fld="6" item="1"/>
          <tpl hier="236" item="1"/>
          <tpl fld="4" item="1"/>
        </tpls>
      </m>
      <n v="4" in="1">
        <tpls c="4">
          <tpl fld="7" item="745"/>
          <tpl fld="6" item="1"/>
          <tpl hier="236" item="1"/>
          <tpl fld="4" item="6"/>
        </tpls>
      </n>
      <m>
        <tpls c="4">
          <tpl fld="7" item="1035"/>
          <tpl fld="6" item="2"/>
          <tpl hier="236" item="1"/>
          <tpl fld="4" item="4"/>
        </tpls>
      </m>
      <m>
        <tpls c="4">
          <tpl fld="7" item="299"/>
          <tpl fld="6" item="1"/>
          <tpl hier="236" item="1"/>
          <tpl fld="1" item="0"/>
        </tpls>
      </m>
      <m>
        <tpls c="4">
          <tpl fld="7" item="76"/>
          <tpl fld="6" item="2"/>
          <tpl hier="236" item="1"/>
          <tpl fld="1" item="0"/>
        </tpls>
      </m>
      <m>
        <tpls c="4">
          <tpl fld="7" item="400"/>
          <tpl fld="6" item="1"/>
          <tpl hier="236" item="1"/>
          <tpl fld="4" item="5"/>
        </tpls>
      </m>
      <m>
        <tpls c="4">
          <tpl fld="7" item="304"/>
          <tpl fld="6" item="1"/>
          <tpl hier="236" item="1"/>
          <tpl fld="1" item="0"/>
        </tpls>
      </m>
      <m>
        <tpls c="3">
          <tpl fld="7" item="108"/>
          <tpl fld="6" item="3"/>
          <tpl hier="236" item="1"/>
        </tpls>
      </m>
      <n v="2" in="1">
        <tpls c="4">
          <tpl fld="7" item="365"/>
          <tpl fld="6" item="1"/>
          <tpl hier="236" item="1"/>
          <tpl fld="4" item="1"/>
        </tpls>
      </n>
      <m>
        <tpls c="4">
          <tpl fld="7" item="821"/>
          <tpl fld="6" item="1"/>
          <tpl hier="236" item="1"/>
          <tpl fld="4" item="4"/>
        </tpls>
      </m>
      <m>
        <tpls c="4">
          <tpl fld="7" item="175"/>
          <tpl fld="6" item="2"/>
          <tpl hier="236" item="1"/>
          <tpl fld="4" item="6"/>
        </tpls>
      </m>
      <m>
        <tpls c="4">
          <tpl fld="7" item="489"/>
          <tpl fld="6" item="1"/>
          <tpl hier="236" item="1"/>
          <tpl fld="4" item="1"/>
        </tpls>
      </m>
      <m>
        <tpls c="4">
          <tpl fld="7" item="203"/>
          <tpl fld="6" item="1"/>
          <tpl hier="236" item="1"/>
          <tpl fld="1" item="0"/>
        </tpls>
      </m>
      <m>
        <tpls c="4">
          <tpl fld="7" item="8"/>
          <tpl fld="6" item="1"/>
          <tpl hier="236" item="1"/>
          <tpl fld="4" item="6"/>
        </tpls>
      </m>
      <m>
        <tpls c="4">
          <tpl fld="7" item="1227"/>
          <tpl fld="6" item="2"/>
          <tpl hier="236" item="1"/>
          <tpl fld="4" item="4"/>
        </tpls>
      </m>
      <m>
        <tpls c="4">
          <tpl fld="7" item="746"/>
          <tpl fld="6" item="2"/>
          <tpl hier="236" item="1"/>
          <tpl fld="4" item="1"/>
        </tpls>
      </m>
      <m>
        <tpls c="4">
          <tpl fld="7" item="476"/>
          <tpl fld="6" item="2"/>
          <tpl hier="236" item="1"/>
          <tpl fld="4" item="6"/>
        </tpls>
      </m>
      <m>
        <tpls c="3">
          <tpl fld="7" item="747"/>
          <tpl fld="6" item="3"/>
          <tpl hier="236" item="1"/>
        </tpls>
      </m>
      <m>
        <tpls c="4">
          <tpl fld="7" item="228"/>
          <tpl fld="6" item="1"/>
          <tpl hier="236" item="1"/>
          <tpl fld="4" item="5"/>
        </tpls>
      </m>
      <m>
        <tpls c="4">
          <tpl fld="7" item="187"/>
          <tpl fld="6" item="1"/>
          <tpl hier="236" item="1"/>
          <tpl fld="4" item="1"/>
        </tpls>
      </m>
      <n v="4" in="1">
        <tpls c="4">
          <tpl fld="7" item="602"/>
          <tpl fld="6" item="1"/>
          <tpl hier="236" item="1"/>
          <tpl fld="1" item="0"/>
        </tpls>
      </n>
      <m>
        <tpls c="4">
          <tpl fld="7" item="669"/>
          <tpl fld="6" item="1"/>
          <tpl hier="236" item="1"/>
          <tpl fld="4" item="6"/>
        </tpls>
      </m>
      <m>
        <tpls c="4">
          <tpl fld="7" item="349"/>
          <tpl fld="6" item="2"/>
          <tpl hier="236" item="1"/>
          <tpl fld="4" item="6"/>
        </tpls>
      </m>
      <n v="2" in="1">
        <tpls c="4">
          <tpl fld="7" item="1124"/>
          <tpl fld="6" item="1"/>
          <tpl hier="236" item="1"/>
          <tpl fld="1" item="0"/>
        </tpls>
      </n>
      <m>
        <tpls c="4">
          <tpl fld="7" item="7"/>
          <tpl fld="6" item="1"/>
          <tpl hier="236" item="1"/>
          <tpl fld="4" item="6"/>
        </tpls>
      </m>
      <m>
        <tpls c="4">
          <tpl fld="7" item="18"/>
          <tpl fld="6" item="2"/>
          <tpl hier="236" item="1"/>
          <tpl fld="4" item="4"/>
        </tpls>
      </m>
      <m>
        <tpls c="4">
          <tpl fld="7" item="1182"/>
          <tpl fld="6" item="2"/>
          <tpl hier="236" item="1"/>
          <tpl fld="4" item="4"/>
        </tpls>
      </m>
      <m>
        <tpls c="4">
          <tpl fld="7" item="599"/>
          <tpl fld="6" item="2"/>
          <tpl hier="236" item="1"/>
          <tpl fld="4" item="6"/>
        </tpls>
      </m>
      <m>
        <tpls c="4">
          <tpl fld="7" item="85"/>
          <tpl fld="6" item="1"/>
          <tpl hier="236" item="1"/>
          <tpl fld="1" item="0"/>
        </tpls>
      </m>
      <m>
        <tpls c="4">
          <tpl fld="7" item="669"/>
          <tpl fld="6" item="2"/>
          <tpl hier="236" item="1"/>
          <tpl fld="4" item="4"/>
        </tpls>
      </m>
      <m>
        <tpls c="3">
          <tpl fld="7" item="845"/>
          <tpl fld="6" item="3"/>
          <tpl hier="236" item="1"/>
        </tpls>
      </m>
      <m>
        <tpls c="4">
          <tpl fld="7" item="1165"/>
          <tpl fld="6" item="1"/>
          <tpl hier="236" item="1"/>
          <tpl fld="4" item="1"/>
        </tpls>
      </m>
      <m>
        <tpls c="4">
          <tpl fld="7" item="482"/>
          <tpl fld="6" item="1"/>
          <tpl hier="236" item="1"/>
          <tpl fld="1" item="0"/>
        </tpls>
      </m>
      <m>
        <tpls c="4">
          <tpl fld="7" item="1255"/>
          <tpl fld="6" item="2"/>
          <tpl hier="236" item="1"/>
          <tpl fld="4" item="4"/>
        </tpls>
      </m>
      <m>
        <tpls c="4">
          <tpl fld="7" item="454"/>
          <tpl fld="6" item="2"/>
          <tpl hier="236" item="1"/>
          <tpl fld="4" item="5"/>
        </tpls>
      </m>
      <m>
        <tpls c="3">
          <tpl fld="7" item="117"/>
          <tpl fld="6" item="3"/>
          <tpl hier="236" item="1"/>
        </tpls>
      </m>
      <m>
        <tpls c="4">
          <tpl fld="7" item="649"/>
          <tpl fld="6" item="1"/>
          <tpl hier="236" item="1"/>
          <tpl fld="4" item="1"/>
        </tpls>
      </m>
      <m>
        <tpls c="4">
          <tpl fld="7" item="997"/>
          <tpl fld="6" item="1"/>
          <tpl hier="236" item="1"/>
          <tpl fld="4" item="1"/>
        </tpls>
      </m>
      <m>
        <tpls c="4">
          <tpl fld="7" item="42"/>
          <tpl fld="6" item="2"/>
          <tpl hier="236" item="1"/>
          <tpl fld="4" item="5"/>
        </tpls>
      </m>
      <m>
        <tpls c="4">
          <tpl fld="7" item="900"/>
          <tpl fld="6" item="2"/>
          <tpl hier="236" item="1"/>
          <tpl fld="4" item="5"/>
        </tpls>
      </m>
      <m>
        <tpls c="4">
          <tpl fld="7" item="1117"/>
          <tpl fld="6" item="1"/>
          <tpl hier="236" item="1"/>
          <tpl fld="4" item="5"/>
        </tpls>
      </m>
      <m>
        <tpls c="4">
          <tpl fld="7" item="418"/>
          <tpl fld="6" item="1"/>
          <tpl hier="236" item="1"/>
          <tpl fld="4" item="1"/>
        </tpls>
      </m>
      <n v="2" in="1">
        <tpls c="4">
          <tpl fld="7" item="1287"/>
          <tpl fld="6" item="1"/>
          <tpl hier="236" item="1"/>
          <tpl fld="4" item="4"/>
        </tpls>
      </n>
      <m>
        <tpls c="4">
          <tpl fld="7" item="225"/>
          <tpl fld="6" item="2"/>
          <tpl hier="236" item="1"/>
          <tpl fld="4" item="5"/>
        </tpls>
      </m>
      <m>
        <tpls c="4">
          <tpl fld="7" item="314"/>
          <tpl fld="6" item="1"/>
          <tpl hier="236" item="1"/>
          <tpl fld="4" item="5"/>
        </tpls>
      </m>
      <m>
        <tpls c="4">
          <tpl fld="7" item="54"/>
          <tpl fld="6" item="1"/>
          <tpl hier="236" item="1"/>
          <tpl fld="4" item="1"/>
        </tpls>
      </m>
      <n v="3" in="1">
        <tpls c="4">
          <tpl fld="7" item="663"/>
          <tpl fld="6" item="1"/>
          <tpl hier="236" item="1"/>
          <tpl fld="1" item="0"/>
        </tpls>
      </n>
      <n v="2" in="1">
        <tpls c="4">
          <tpl fld="7" item="1109"/>
          <tpl fld="6" item="1"/>
          <tpl hier="236" item="1"/>
          <tpl fld="1" item="0"/>
        </tpls>
      </n>
      <m>
        <tpls c="4">
          <tpl fld="7" item="122"/>
          <tpl fld="6" item="2"/>
          <tpl hier="236" item="1"/>
          <tpl fld="4" item="4"/>
        </tpls>
      </m>
      <m>
        <tpls c="4">
          <tpl fld="7" item="138"/>
          <tpl fld="6" item="2"/>
          <tpl hier="236" item="1"/>
          <tpl fld="4" item="5"/>
        </tpls>
      </m>
      <m>
        <tpls c="4">
          <tpl fld="7" item="240"/>
          <tpl fld="6" item="1"/>
          <tpl hier="236" item="1"/>
          <tpl fld="1" item="0"/>
        </tpls>
      </m>
      <m>
        <tpls c="4">
          <tpl fld="7" item="68"/>
          <tpl fld="6" item="1"/>
          <tpl hier="236" item="1"/>
          <tpl fld="1" item="0"/>
        </tpls>
      </m>
      <m>
        <tpls c="4">
          <tpl fld="7" item="444"/>
          <tpl fld="6" item="1"/>
          <tpl hier="236" item="1"/>
          <tpl fld="4" item="5"/>
        </tpls>
      </m>
      <m>
        <tpls c="4">
          <tpl fld="7" item="279"/>
          <tpl fld="6" item="1"/>
          <tpl hier="236" item="1"/>
          <tpl fld="1" item="0"/>
        </tpls>
      </m>
      <n v="0.6" in="2">
        <tpls c="4">
          <tpl fld="7" item="874"/>
          <tpl fld="6" item="2"/>
          <tpl hier="236" item="1"/>
          <tpl fld="4" item="4"/>
        </tpls>
      </n>
      <n v="1" in="1">
        <tpls c="4">
          <tpl fld="7" item="423"/>
          <tpl fld="6" item="1"/>
          <tpl hier="236" item="1"/>
          <tpl fld="4" item="5"/>
        </tpls>
      </n>
      <n v="5" in="1">
        <tpls c="4">
          <tpl fld="7" item="520"/>
          <tpl fld="6" item="1"/>
          <tpl hier="236" item="1"/>
          <tpl fld="4" item="1"/>
        </tpls>
      </n>
      <m>
        <tpls c="4">
          <tpl fld="7" item="362"/>
          <tpl fld="6" item="2"/>
          <tpl hier="236" item="1"/>
          <tpl fld="4" item="6"/>
        </tpls>
      </m>
      <m>
        <tpls c="4">
          <tpl fld="7" item="969"/>
          <tpl fld="6" item="1"/>
          <tpl hier="236" item="1"/>
          <tpl fld="4" item="1"/>
        </tpls>
      </m>
      <m>
        <tpls c="4">
          <tpl fld="7" item="256"/>
          <tpl fld="6" item="1"/>
          <tpl hier="236" item="1"/>
          <tpl fld="4" item="1"/>
        </tpls>
      </m>
      <n v="4" in="1">
        <tpls c="4">
          <tpl fld="7" item="1274"/>
          <tpl fld="6" item="1"/>
          <tpl hier="236" item="1"/>
          <tpl fld="4" item="4"/>
        </tpls>
      </n>
      <m>
        <tpls c="4">
          <tpl fld="7" item="242"/>
          <tpl fld="6" item="2"/>
          <tpl hier="236" item="1"/>
          <tpl fld="4" item="5"/>
        </tpls>
      </m>
      <n v="1" in="1">
        <tpls c="4">
          <tpl fld="7" item="1247"/>
          <tpl fld="6" item="1"/>
          <tpl hier="236" item="1"/>
          <tpl fld="4" item="5"/>
        </tpls>
      </n>
      <n v="1" in="1">
        <tpls c="4">
          <tpl fld="7" item="449"/>
          <tpl fld="6" item="1"/>
          <tpl hier="236" item="1"/>
          <tpl fld="4" item="1"/>
        </tpls>
      </n>
      <n v="3" in="1">
        <tpls c="4">
          <tpl fld="7" item="760"/>
          <tpl fld="6" item="1"/>
          <tpl hier="236" item="1"/>
          <tpl fld="1" item="0"/>
        </tpls>
      </n>
      <m>
        <tpls c="4">
          <tpl fld="7" item="432"/>
          <tpl fld="6" item="2"/>
          <tpl hier="236" item="1"/>
          <tpl fld="4" item="5"/>
        </tpls>
      </m>
      <m>
        <tpls c="4">
          <tpl fld="7" item="1103"/>
          <tpl fld="6" item="1"/>
          <tpl hier="236" item="1"/>
          <tpl fld="1" item="0"/>
        </tpls>
      </m>
      <m>
        <tpls c="4">
          <tpl fld="7" item="745"/>
          <tpl fld="6" item="2"/>
          <tpl hier="236" item="1"/>
          <tpl fld="4" item="4"/>
        </tpls>
      </m>
      <m>
        <tpls c="4">
          <tpl fld="7" item="466"/>
          <tpl fld="6" item="2"/>
          <tpl hier="236" item="1"/>
          <tpl fld="4" item="4"/>
        </tpls>
      </m>
      <m>
        <tpls c="4">
          <tpl fld="7" item="1158"/>
          <tpl fld="6" item="1"/>
          <tpl hier="236" item="1"/>
          <tpl fld="4" item="1"/>
        </tpls>
      </m>
      <m>
        <tpls c="4">
          <tpl fld="7" item="14"/>
          <tpl fld="6" item="1"/>
          <tpl hier="236" item="1"/>
          <tpl fld="4" item="6"/>
        </tpls>
      </m>
      <m>
        <tpls c="4">
          <tpl fld="7" item="590"/>
          <tpl fld="6" item="1"/>
          <tpl hier="236" item="1"/>
          <tpl fld="1" item="0"/>
        </tpls>
      </m>
      <n v="1" in="2">
        <tpls c="4">
          <tpl fld="7" item="982"/>
          <tpl fld="6" item="2"/>
          <tpl hier="236" item="1"/>
          <tpl fld="4" item="6"/>
        </tpls>
      </n>
      <m>
        <tpls c="4">
          <tpl fld="7" item="230"/>
          <tpl fld="6" item="1"/>
          <tpl hier="236" item="1"/>
          <tpl fld="4" item="1"/>
        </tpls>
      </m>
      <m>
        <tpls c="3">
          <tpl fld="7" item="1262"/>
          <tpl fld="6" item="3"/>
          <tpl hier="236" item="1"/>
        </tpls>
      </m>
      <m>
        <tpls c="4">
          <tpl fld="7" item="9"/>
          <tpl fld="6" item="2"/>
          <tpl hier="236" item="1"/>
          <tpl fld="4" item="4"/>
        </tpls>
      </m>
      <m>
        <tpls c="4">
          <tpl fld="7" item="831"/>
          <tpl fld="6" item="1"/>
          <tpl hier="236" item="1"/>
          <tpl fld="4" item="5"/>
        </tpls>
      </m>
      <m>
        <tpls c="4">
          <tpl fld="7" item="302"/>
          <tpl fld="6" item="2"/>
          <tpl hier="236" item="1"/>
          <tpl fld="4" item="6"/>
        </tpls>
      </m>
      <m>
        <tpls c="4">
          <tpl fld="7" item="179"/>
          <tpl fld="6" item="1"/>
          <tpl hier="236" item="1"/>
          <tpl fld="4" item="1"/>
        </tpls>
      </m>
      <m>
        <tpls c="4">
          <tpl fld="7" item="172"/>
          <tpl fld="6" item="1"/>
          <tpl hier="236" item="1"/>
          <tpl fld="1" item="0"/>
        </tpls>
      </m>
      <m>
        <tpls c="4">
          <tpl fld="7" item="594"/>
          <tpl fld="6" item="1"/>
          <tpl hier="236" item="1"/>
          <tpl fld="4" item="5"/>
        </tpls>
      </m>
      <m>
        <tpls c="4">
          <tpl fld="7" item="876"/>
          <tpl fld="6" item="1"/>
          <tpl hier="236" item="1"/>
          <tpl fld="4" item="6"/>
        </tpls>
      </m>
      <m>
        <tpls c="4">
          <tpl fld="7" item="1091"/>
          <tpl fld="6" item="2"/>
          <tpl hier="236" item="1"/>
          <tpl fld="4" item="6"/>
        </tpls>
      </m>
      <m>
        <tpls c="4">
          <tpl fld="7" item="552"/>
          <tpl fld="6" item="2"/>
          <tpl hier="236" item="1"/>
          <tpl fld="1" item="0"/>
        </tpls>
      </m>
      <m>
        <tpls c="4">
          <tpl fld="7" item="1093"/>
          <tpl fld="6" item="2"/>
          <tpl hier="236" item="1"/>
          <tpl fld="4" item="4"/>
        </tpls>
      </m>
      <m>
        <tpls c="4">
          <tpl fld="7" item="1248"/>
          <tpl fld="6" item="2"/>
          <tpl hier="236" item="1"/>
          <tpl fld="1" item="0"/>
        </tpls>
      </m>
      <m>
        <tpls c="3">
          <tpl fld="7" item="1117"/>
          <tpl fld="6" item="3"/>
          <tpl hier="236" item="1"/>
        </tpls>
      </m>
      <m>
        <tpls c="4">
          <tpl fld="7" item="946"/>
          <tpl fld="6" item="2"/>
          <tpl hier="236" item="1"/>
          <tpl fld="4" item="1"/>
        </tpls>
      </m>
      <m>
        <tpls c="4">
          <tpl fld="7" item="64"/>
          <tpl fld="6" item="1"/>
          <tpl hier="236" item="1"/>
          <tpl fld="4" item="5"/>
        </tpls>
      </m>
      <m>
        <tpls c="4">
          <tpl fld="7" item="1244"/>
          <tpl fld="6" item="2"/>
          <tpl hier="236" item="1"/>
          <tpl fld="1" item="0"/>
        </tpls>
      </m>
      <m>
        <tpls c="4">
          <tpl fld="7" item="724"/>
          <tpl fld="6" item="1"/>
          <tpl hier="236" item="1"/>
          <tpl fld="4" item="5"/>
        </tpls>
      </m>
      <m>
        <tpls c="4">
          <tpl fld="7" item="1114"/>
          <tpl fld="6" item="2"/>
          <tpl hier="236" item="1"/>
          <tpl fld="1" item="0"/>
        </tpls>
      </m>
      <m>
        <tpls c="4">
          <tpl fld="7" item="1192"/>
          <tpl fld="6" item="2"/>
          <tpl hier="236" item="1"/>
          <tpl fld="1" item="0"/>
        </tpls>
      </m>
      <m>
        <tpls c="4">
          <tpl fld="7" item="914"/>
          <tpl fld="6" item="2"/>
          <tpl hier="236" item="1"/>
          <tpl fld="4" item="4"/>
        </tpls>
      </m>
      <m>
        <tpls c="4">
          <tpl fld="7" item="777"/>
          <tpl fld="6" item="2"/>
          <tpl hier="236" item="1"/>
          <tpl fld="1" item="0"/>
        </tpls>
      </m>
      <m>
        <tpls c="4">
          <tpl fld="7" item="1255"/>
          <tpl fld="6" item="1"/>
          <tpl hier="236" item="1"/>
          <tpl fld="4" item="1"/>
        </tpls>
      </m>
      <m>
        <tpls c="4">
          <tpl fld="7" item="475"/>
          <tpl fld="6" item="1"/>
          <tpl hier="236" item="1"/>
          <tpl fld="1" item="0"/>
        </tpls>
      </m>
      <n v="59" in="1">
        <tpls c="4">
          <tpl fld="7" item="424"/>
          <tpl fld="6" item="1"/>
          <tpl hier="236" item="1"/>
          <tpl fld="1" item="0"/>
        </tpls>
      </n>
      <m>
        <tpls c="4">
          <tpl fld="7" item="25"/>
          <tpl fld="6" item="1"/>
          <tpl hier="236" item="1"/>
          <tpl fld="4" item="6"/>
        </tpls>
      </m>
      <n v="3" in="1">
        <tpls c="4">
          <tpl fld="7" item="357"/>
          <tpl fld="6" item="1"/>
          <tpl hier="236" item="1"/>
          <tpl fld="1" item="0"/>
        </tpls>
      </n>
      <m>
        <tpls c="3">
          <tpl fld="7" item="234"/>
          <tpl fld="6" item="3"/>
          <tpl hier="236" item="1"/>
        </tpls>
      </m>
      <m>
        <tpls c="4">
          <tpl fld="7" item="740"/>
          <tpl fld="6" item="1"/>
          <tpl hier="236" item="1"/>
          <tpl fld="4" item="5"/>
        </tpls>
      </m>
      <m>
        <tpls c="4">
          <tpl fld="7" item="184"/>
          <tpl fld="6" item="2"/>
          <tpl hier="236" item="1"/>
          <tpl fld="1" item="0"/>
        </tpls>
      </m>
      <m>
        <tpls c="4">
          <tpl fld="7" item="1076"/>
          <tpl fld="6" item="1"/>
          <tpl hier="236" item="1"/>
          <tpl fld="4" item="4"/>
        </tpls>
      </m>
      <m>
        <tpls c="4">
          <tpl fld="7" item="96"/>
          <tpl fld="6" item="1"/>
          <tpl hier="236" item="1"/>
          <tpl fld="4" item="5"/>
        </tpls>
      </m>
      <m>
        <tpls c="4">
          <tpl fld="7" item="249"/>
          <tpl fld="6" item="1"/>
          <tpl hier="236" item="1"/>
          <tpl fld="4" item="1"/>
        </tpls>
      </m>
      <m>
        <tpls c="4">
          <tpl fld="7" item="219"/>
          <tpl fld="6" item="2"/>
          <tpl hier="236" item="1"/>
          <tpl fld="1" item="0"/>
        </tpls>
      </m>
      <m>
        <tpls c="4">
          <tpl fld="7" item="321"/>
          <tpl fld="6" item="2"/>
          <tpl hier="236" item="1"/>
          <tpl fld="4" item="6"/>
        </tpls>
      </m>
      <m>
        <tpls c="4">
          <tpl fld="7" item="1205"/>
          <tpl fld="6" item="1"/>
          <tpl hier="236" item="1"/>
          <tpl fld="4" item="1"/>
        </tpls>
      </m>
      <n v="7" in="1">
        <tpls c="4">
          <tpl fld="7" item="1105"/>
          <tpl fld="6" item="1"/>
          <tpl hier="236" item="1"/>
          <tpl fld="1" item="0"/>
        </tpls>
      </n>
      <n v="2" in="2">
        <tpls c="4">
          <tpl fld="7" item="683"/>
          <tpl fld="6" item="2"/>
          <tpl hier="236" item="1"/>
          <tpl fld="4" item="6"/>
        </tpls>
      </n>
      <m>
        <tpls c="4">
          <tpl fld="7" item="239"/>
          <tpl fld="6" item="1"/>
          <tpl hier="236" item="1"/>
          <tpl fld="4" item="6"/>
        </tpls>
      </m>
      <m>
        <tpls c="4">
          <tpl fld="7" item="631"/>
          <tpl fld="6" item="1"/>
          <tpl hier="236" item="1"/>
          <tpl fld="4" item="6"/>
        </tpls>
      </m>
      <m>
        <tpls c="4">
          <tpl fld="7" item="1182"/>
          <tpl fld="6" item="1"/>
          <tpl hier="236" item="1"/>
          <tpl fld="4" item="1"/>
        </tpls>
      </m>
      <m>
        <tpls c="4">
          <tpl fld="7" item="963"/>
          <tpl fld="6" item="2"/>
          <tpl hier="236" item="1"/>
          <tpl fld="4" item="4"/>
        </tpls>
      </m>
      <m>
        <tpls c="3">
          <tpl fld="7" item="861"/>
          <tpl fld="6" item="3"/>
          <tpl hier="236" item="1"/>
        </tpls>
      </m>
      <n v="1" in="1">
        <tpls c="4">
          <tpl fld="7" item="354"/>
          <tpl fld="6" item="1"/>
          <tpl hier="236" item="1"/>
          <tpl fld="1" item="0"/>
        </tpls>
      </n>
      <n v="3" in="1">
        <tpls c="4">
          <tpl fld="7" item="811"/>
          <tpl fld="6" item="1"/>
          <tpl hier="236" item="1"/>
          <tpl fld="4" item="1"/>
        </tpls>
      </n>
      <m>
        <tpls c="4">
          <tpl fld="7" item="720"/>
          <tpl fld="6" item="2"/>
          <tpl hier="236" item="1"/>
          <tpl fld="1" item="0"/>
        </tpls>
      </m>
      <m>
        <tpls c="4">
          <tpl fld="7" item="514"/>
          <tpl fld="6" item="2"/>
          <tpl hier="236" item="1"/>
          <tpl fld="4" item="5"/>
        </tpls>
      </m>
      <m>
        <tpls c="4">
          <tpl fld="7" item="105"/>
          <tpl fld="6" item="2"/>
          <tpl hier="236" item="1"/>
          <tpl fld="4" item="6"/>
        </tpls>
      </m>
      <m>
        <tpls c="4">
          <tpl fld="7" item="1004"/>
          <tpl fld="6" item="1"/>
          <tpl hier="236" item="1"/>
          <tpl fld="4" item="6"/>
        </tpls>
      </m>
      <m>
        <tpls c="4">
          <tpl fld="7" item="1237"/>
          <tpl fld="6" item="1"/>
          <tpl hier="236" item="1"/>
          <tpl fld="4" item="5"/>
        </tpls>
      </m>
      <m>
        <tpls c="3">
          <tpl fld="7" item="340"/>
          <tpl fld="6" item="3"/>
          <tpl hier="236" item="1"/>
        </tpls>
      </m>
      <n v="1" in="1">
        <tpls c="4">
          <tpl fld="7" item="1286"/>
          <tpl fld="6" item="1"/>
          <tpl hier="236" item="1"/>
          <tpl fld="4" item="6"/>
        </tpls>
      </n>
      <n v="21.796216216216216" in="2">
        <tpls c="4">
          <tpl fld="7" item="757"/>
          <tpl fld="6" item="2"/>
          <tpl hier="236" item="1"/>
          <tpl fld="1" item="0"/>
        </tpls>
      </n>
      <m>
        <tpls c="4">
          <tpl fld="7" item="143"/>
          <tpl fld="6" item="2"/>
          <tpl hier="236" item="1"/>
          <tpl fld="4" item="5"/>
        </tpls>
      </m>
      <m>
        <tpls c="4">
          <tpl fld="7" item="974"/>
          <tpl fld="6" item="2"/>
          <tpl hier="236" item="1"/>
          <tpl fld="4" item="4"/>
        </tpls>
      </m>
      <m>
        <tpls c="4">
          <tpl fld="7" item="682"/>
          <tpl fld="6" item="2"/>
          <tpl hier="236" item="1"/>
          <tpl fld="1" item="0"/>
        </tpls>
      </m>
      <m>
        <tpls c="4">
          <tpl fld="7" item="724"/>
          <tpl fld="6" item="2"/>
          <tpl hier="236" item="1"/>
          <tpl fld="4" item="5"/>
        </tpls>
      </m>
      <n v="0.8" in="2">
        <tpls c="4">
          <tpl fld="7" item="1217"/>
          <tpl fld="6" item="2"/>
          <tpl hier="236" item="1"/>
          <tpl fld="1" item="0"/>
        </tpls>
      </n>
      <n v="27" in="1">
        <tpls c="4">
          <tpl fld="7" item="324"/>
          <tpl fld="6" item="1"/>
          <tpl hier="236" item="1"/>
          <tpl fld="4" item="1"/>
        </tpls>
      </n>
      <m>
        <tpls c="4">
          <tpl fld="7" item="865"/>
          <tpl fld="6" item="2"/>
          <tpl hier="236" item="1"/>
          <tpl fld="4" item="6"/>
        </tpls>
      </m>
      <m>
        <tpls c="4">
          <tpl fld="7" item="405"/>
          <tpl fld="6" item="1"/>
          <tpl hier="236" item="1"/>
          <tpl fld="4" item="1"/>
        </tpls>
      </m>
      <n v="3" in="1">
        <tpls c="4">
          <tpl fld="7" item="319"/>
          <tpl fld="6" item="1"/>
          <tpl hier="236" item="1"/>
          <tpl fld="1" item="0"/>
        </tpls>
      </n>
      <n v="1.24" in="2">
        <tpls c="4">
          <tpl fld="7" item="595"/>
          <tpl fld="6" item="2"/>
          <tpl hier="236" item="1"/>
          <tpl fld="4" item="6"/>
        </tpls>
      </n>
      <m>
        <tpls c="4">
          <tpl fld="7" item="480"/>
          <tpl fld="6" item="2"/>
          <tpl hier="236" item="1"/>
          <tpl fld="4" item="5"/>
        </tpls>
      </m>
      <m>
        <tpls c="3">
          <tpl fld="7" item="220"/>
          <tpl fld="6" item="3"/>
          <tpl hier="236" item="1"/>
        </tpls>
      </m>
      <n v="1" in="1">
        <tpls c="4">
          <tpl fld="7" item="539"/>
          <tpl fld="6" item="1"/>
          <tpl hier="236" item="1"/>
          <tpl fld="4" item="5"/>
        </tpls>
      </n>
      <m>
        <tpls c="4">
          <tpl fld="7" item="1131"/>
          <tpl fld="6" item="2"/>
          <tpl hier="236" item="1"/>
          <tpl fld="4" item="6"/>
        </tpls>
      </m>
      <m>
        <tpls c="4">
          <tpl fld="7" item="182"/>
          <tpl fld="6" item="1"/>
          <tpl hier="236" item="1"/>
          <tpl fld="1" item="0"/>
        </tpls>
      </m>
      <n v="2.6756756756756759" in="2">
        <tpls c="4">
          <tpl fld="7" item="426"/>
          <tpl fld="6" item="2"/>
          <tpl hier="236" item="1"/>
          <tpl fld="4" item="5"/>
        </tpls>
      </n>
      <m>
        <tpls c="4">
          <tpl fld="7" item="21"/>
          <tpl fld="6" item="2"/>
          <tpl hier="236" item="1"/>
          <tpl fld="4" item="4"/>
        </tpls>
      </m>
      <m>
        <tpls c="4">
          <tpl fld="7" item="1073"/>
          <tpl fld="6" item="2"/>
          <tpl hier="236" item="1"/>
          <tpl fld="4" item="4"/>
        </tpls>
      </m>
      <m>
        <tpls c="4">
          <tpl fld="7" item="936"/>
          <tpl fld="6" item="2"/>
          <tpl hier="236" item="1"/>
          <tpl fld="4" item="4"/>
        </tpls>
      </m>
      <n v="3" in="1">
        <tpls c="4">
          <tpl fld="7" item="725"/>
          <tpl fld="6" item="1"/>
          <tpl hier="236" item="1"/>
          <tpl fld="4" item="6"/>
        </tpls>
      </n>
      <m>
        <tpls c="4">
          <tpl fld="7" item="64"/>
          <tpl fld="6" item="2"/>
          <tpl hier="236" item="1"/>
          <tpl fld="4" item="6"/>
        </tpls>
      </m>
      <m>
        <tpls c="4">
          <tpl fld="7" item="870"/>
          <tpl fld="6" item="1"/>
          <tpl hier="236" item="1"/>
          <tpl fld="4" item="1"/>
        </tpls>
      </m>
      <m>
        <tpls c="4">
          <tpl fld="7" item="490"/>
          <tpl fld="6" item="1"/>
          <tpl hier="236" item="1"/>
          <tpl fld="1" item="0"/>
        </tpls>
      </m>
      <m>
        <tpls c="4">
          <tpl fld="7" item="922"/>
          <tpl fld="6" item="1"/>
          <tpl hier="236" item="1"/>
          <tpl fld="4" item="1"/>
        </tpls>
      </m>
      <m>
        <tpls c="4">
          <tpl fld="7" item="1057"/>
          <tpl fld="6" item="2"/>
          <tpl hier="236" item="1"/>
          <tpl fld="4" item="4"/>
        </tpls>
      </m>
      <m>
        <tpls c="4">
          <tpl fld="7" item="1215"/>
          <tpl fld="6" item="2"/>
          <tpl hier="236" item="1"/>
          <tpl fld="1" item="0"/>
        </tpls>
      </m>
      <m>
        <tpls c="4">
          <tpl fld="7" item="340"/>
          <tpl fld="6" item="2"/>
          <tpl hier="236" item="1"/>
          <tpl fld="4" item="5"/>
        </tpls>
      </m>
      <m>
        <tpls c="4">
          <tpl fld="7" item="1269"/>
          <tpl fld="6" item="2"/>
          <tpl hier="236" item="1"/>
          <tpl fld="4" item="1"/>
        </tpls>
      </m>
      <n v="24" in="1">
        <tpls c="4">
          <tpl fld="7" item="829"/>
          <tpl fld="6" item="1"/>
          <tpl hier="236" item="1"/>
          <tpl fld="4" item="4"/>
        </tpls>
      </n>
      <m>
        <tpls c="4">
          <tpl fld="7" item="112"/>
          <tpl fld="6" item="1"/>
          <tpl hier="236" item="1"/>
          <tpl fld="4" item="1"/>
        </tpls>
      </m>
      <m>
        <tpls c="4">
          <tpl fld="7" item="1194"/>
          <tpl fld="6" item="1"/>
          <tpl hier="236" item="1"/>
          <tpl fld="4" item="6"/>
        </tpls>
      </m>
      <m>
        <tpls c="4">
          <tpl fld="7" item="1124"/>
          <tpl fld="6" item="2"/>
          <tpl hier="236" item="1"/>
          <tpl fld="4" item="5"/>
        </tpls>
      </m>
      <m>
        <tpls c="4">
          <tpl fld="7" item="902"/>
          <tpl fld="6" item="2"/>
          <tpl hier="236" item="1"/>
          <tpl fld="4" item="6"/>
        </tpls>
      </m>
      <m>
        <tpls c="4">
          <tpl fld="7" item="482"/>
          <tpl fld="6" item="2"/>
          <tpl hier="236" item="1"/>
          <tpl fld="4" item="5"/>
        </tpls>
      </m>
      <m>
        <tpls c="4">
          <tpl fld="7" item="301"/>
          <tpl fld="6" item="1"/>
          <tpl hier="236" item="1"/>
          <tpl fld="4" item="5"/>
        </tpls>
      </m>
      <m>
        <tpls c="4">
          <tpl fld="7" item="1126"/>
          <tpl fld="6" item="2"/>
          <tpl hier="236" item="1"/>
          <tpl fld="4" item="4"/>
        </tpls>
      </m>
      <m>
        <tpls c="4">
          <tpl fld="7" item="1054"/>
          <tpl fld="6" item="2"/>
          <tpl hier="236" item="1"/>
          <tpl fld="4" item="4"/>
        </tpls>
      </m>
      <m>
        <tpls c="4">
          <tpl fld="7" item="1013"/>
          <tpl fld="6" item="1"/>
          <tpl hier="236" item="1"/>
          <tpl fld="4" item="1"/>
        </tpls>
      </m>
      <n v="3" in="1">
        <tpls c="4">
          <tpl fld="7" item="1051"/>
          <tpl fld="6" item="1"/>
          <tpl hier="236" item="1"/>
          <tpl fld="4" item="4"/>
        </tpls>
      </n>
      <n v="1" in="1">
        <tpls c="4">
          <tpl fld="7" item="805"/>
          <tpl fld="6" item="1"/>
          <tpl hier="236" item="1"/>
          <tpl fld="4" item="5"/>
        </tpls>
      </n>
      <n v="34" in="1">
        <tpls c="4">
          <tpl fld="7" item="107"/>
          <tpl fld="6" item="1"/>
          <tpl hier="236" item="1"/>
          <tpl fld="4" item="1"/>
        </tpls>
      </n>
      <m>
        <tpls c="4">
          <tpl fld="7" item="960"/>
          <tpl fld="6" item="1"/>
          <tpl hier="236" item="1"/>
          <tpl fld="4" item="1"/>
        </tpls>
      </m>
      <n v="6" in="1">
        <tpls c="4">
          <tpl fld="7" item="1105"/>
          <tpl fld="6" item="1"/>
          <tpl hier="236" item="1"/>
          <tpl fld="4" item="4"/>
        </tpls>
      </n>
      <m>
        <tpls c="4">
          <tpl fld="7" item="856"/>
          <tpl fld="6" item="2"/>
          <tpl hier="236" item="1"/>
          <tpl fld="4" item="6"/>
        </tpls>
      </m>
      <m>
        <tpls c="4">
          <tpl fld="7" item="841"/>
          <tpl fld="6" item="1"/>
          <tpl hier="236" item="1"/>
          <tpl fld="4" item="1"/>
        </tpls>
      </m>
      <m>
        <tpls c="4">
          <tpl fld="7" item="708"/>
          <tpl fld="6" item="1"/>
          <tpl hier="236" item="1"/>
          <tpl fld="4" item="6"/>
        </tpls>
      </m>
      <m>
        <tpls c="4">
          <tpl fld="7" item="307"/>
          <tpl fld="6" item="1"/>
          <tpl hier="236" item="1"/>
          <tpl fld="1" item="0"/>
        </tpls>
      </m>
      <n v="30" in="1">
        <tpls c="4">
          <tpl fld="7" item="1213"/>
          <tpl fld="6" item="1"/>
          <tpl hier="236" item="1"/>
          <tpl fld="1" item="0"/>
        </tpls>
      </n>
      <m>
        <tpls c="4">
          <tpl fld="7" item="672"/>
          <tpl fld="6" item="1"/>
          <tpl hier="236" item="1"/>
          <tpl fld="1" item="0"/>
        </tpls>
      </m>
      <m>
        <tpls c="4">
          <tpl fld="7" item="1169"/>
          <tpl fld="6" item="2"/>
          <tpl hier="236" item="1"/>
          <tpl fld="4" item="4"/>
        </tpls>
      </m>
      <n v="4" in="1">
        <tpls c="4">
          <tpl fld="7" item="829"/>
          <tpl fld="6" item="1"/>
          <tpl hier="236" item="1"/>
          <tpl fld="4" item="6"/>
        </tpls>
      </n>
      <m>
        <tpls c="4">
          <tpl fld="7" item="130"/>
          <tpl fld="6" item="1"/>
          <tpl hier="236" item="1"/>
          <tpl fld="4" item="1"/>
        </tpls>
      </m>
      <n v="1" in="1">
        <tpls c="4">
          <tpl fld="7" item="1277"/>
          <tpl fld="6" item="1"/>
          <tpl hier="236" item="1"/>
          <tpl fld="4" item="4"/>
        </tpls>
      </n>
      <m>
        <tpls c="4">
          <tpl fld="7" item="92"/>
          <tpl fld="6" item="1"/>
          <tpl hier="236" item="1"/>
          <tpl fld="4" item="5"/>
        </tpls>
      </m>
      <m>
        <tpls c="4">
          <tpl fld="7" item="266"/>
          <tpl fld="6" item="2"/>
          <tpl hier="236" item="1"/>
          <tpl fld="4" item="5"/>
        </tpls>
      </m>
      <m>
        <tpls c="4">
          <tpl fld="7" item="38"/>
          <tpl fld="6" item="1"/>
          <tpl hier="236" item="1"/>
          <tpl fld="4" item="5"/>
        </tpls>
      </m>
      <m>
        <tpls c="4">
          <tpl fld="7" item="1223"/>
          <tpl fld="6" item="2"/>
          <tpl hier="236" item="1"/>
          <tpl fld="1" item="0"/>
        </tpls>
      </m>
      <m>
        <tpls c="4">
          <tpl fld="7" item="1184"/>
          <tpl fld="6" item="1"/>
          <tpl hier="236" item="1"/>
          <tpl fld="4" item="1"/>
        </tpls>
      </m>
      <n v="1" in="1">
        <tpls c="4">
          <tpl fld="7" item="1142"/>
          <tpl fld="6" item="1"/>
          <tpl hier="236" item="1"/>
          <tpl fld="4" item="1"/>
        </tpls>
      </n>
      <m>
        <tpls c="4">
          <tpl fld="7" item="1137"/>
          <tpl fld="6" item="2"/>
          <tpl hier="236" item="1"/>
          <tpl fld="4" item="4"/>
        </tpls>
      </m>
      <m>
        <tpls c="4">
          <tpl fld="7" item="1111"/>
          <tpl fld="6" item="2"/>
          <tpl hier="236" item="1"/>
          <tpl fld="1" item="0"/>
        </tpls>
      </m>
      <n v="3" in="1">
        <tpls c="4">
          <tpl fld="7" item="972"/>
          <tpl fld="6" item="1"/>
          <tpl hier="236" item="1"/>
          <tpl fld="4" item="1"/>
        </tpls>
      </n>
      <m>
        <tpls c="4">
          <tpl fld="7" item="334"/>
          <tpl fld="6" item="2"/>
          <tpl hier="236" item="1"/>
          <tpl fld="4" item="6"/>
        </tpls>
      </m>
      <m>
        <tpls c="4">
          <tpl fld="7" item="1047"/>
          <tpl fld="6" item="1"/>
          <tpl hier="236" item="1"/>
          <tpl fld="4" item="4"/>
        </tpls>
      </m>
      <m>
        <tpls c="4">
          <tpl fld="7" item="229"/>
          <tpl fld="6" item="2"/>
          <tpl hier="236" item="1"/>
          <tpl fld="4" item="4"/>
        </tpls>
      </m>
      <m>
        <tpls c="4">
          <tpl fld="7" item="331"/>
          <tpl fld="6" item="1"/>
          <tpl hier="236" item="1"/>
          <tpl fld="4" item="5"/>
        </tpls>
      </m>
      <m>
        <tpls c="4">
          <tpl fld="7" item="438"/>
          <tpl fld="6" item="2"/>
          <tpl hier="236" item="1"/>
          <tpl fld="4" item="5"/>
        </tpls>
      </m>
      <m>
        <tpls c="4">
          <tpl fld="7" item="1014"/>
          <tpl fld="6" item="2"/>
          <tpl hier="236" item="1"/>
          <tpl fld="4" item="5"/>
        </tpls>
      </m>
      <m>
        <tpls c="4">
          <tpl fld="7" item="1075"/>
          <tpl fld="6" item="2"/>
          <tpl hier="236" item="1"/>
          <tpl fld="4" item="4"/>
        </tpls>
      </m>
      <m>
        <tpls c="3">
          <tpl fld="7" item="119"/>
          <tpl fld="6" item="3"/>
          <tpl hier="236" item="1"/>
        </tpls>
      </m>
      <m>
        <tpls c="4">
          <tpl fld="7" item="228"/>
          <tpl fld="6" item="1"/>
          <tpl hier="236" item="1"/>
          <tpl fld="4" item="1"/>
        </tpls>
      </m>
      <m>
        <tpls c="4">
          <tpl fld="7" item="603"/>
          <tpl fld="6" item="2"/>
          <tpl hier="236" item="1"/>
          <tpl fld="4" item="5"/>
        </tpls>
      </m>
      <n v="50" in="1">
        <tpls c="4">
          <tpl fld="7" item="804"/>
          <tpl fld="6" item="1"/>
          <tpl hier="236" item="1"/>
          <tpl fld="1" item="0"/>
        </tpls>
      </n>
      <m>
        <tpls c="4">
          <tpl fld="7" item="890"/>
          <tpl fld="6" item="2"/>
          <tpl hier="236" item="1"/>
          <tpl fld="4" item="1"/>
        </tpls>
      </m>
      <m>
        <tpls c="4">
          <tpl fld="7" item="62"/>
          <tpl fld="6" item="1"/>
          <tpl hier="236" item="1"/>
          <tpl fld="4" item="6"/>
        </tpls>
      </m>
      <m>
        <tpls c="4">
          <tpl fld="7" item="466"/>
          <tpl fld="6" item="1"/>
          <tpl hier="236" item="1"/>
          <tpl fld="4" item="6"/>
        </tpls>
      </m>
      <m>
        <tpls c="4">
          <tpl fld="7" item="1069"/>
          <tpl fld="6" item="1"/>
          <tpl hier="236" item="1"/>
          <tpl fld="4" item="4"/>
        </tpls>
      </m>
      <m>
        <tpls c="4">
          <tpl fld="7" item="11"/>
          <tpl fld="6" item="2"/>
          <tpl hier="236" item="1"/>
          <tpl fld="4" item="4"/>
        </tpls>
      </m>
      <m>
        <tpls c="4">
          <tpl fld="7" item="655"/>
          <tpl fld="6" item="1"/>
          <tpl hier="236" item="1"/>
          <tpl fld="4" item="5"/>
        </tpls>
      </m>
      <n v="8" in="1">
        <tpls c="4">
          <tpl fld="7" item="973"/>
          <tpl fld="6" item="1"/>
          <tpl hier="236" item="1"/>
          <tpl fld="4" item="1"/>
        </tpls>
      </n>
      <m>
        <tpls c="4">
          <tpl fld="7" item="676"/>
          <tpl fld="6" item="1"/>
          <tpl hier="236" item="1"/>
          <tpl fld="4" item="5"/>
        </tpls>
      </m>
      <m>
        <tpls c="4">
          <tpl fld="7" item="276"/>
          <tpl fld="6" item="2"/>
          <tpl hier="236" item="1"/>
          <tpl fld="4" item="4"/>
        </tpls>
      </m>
      <m>
        <tpls c="4">
          <tpl fld="7" item="346"/>
          <tpl fld="6" item="2"/>
          <tpl hier="236" item="1"/>
          <tpl fld="4" item="5"/>
        </tpls>
      </m>
      <m>
        <tpls c="4">
          <tpl fld="7" item="341"/>
          <tpl fld="6" item="1"/>
          <tpl hier="236" item="1"/>
          <tpl fld="1" item="0"/>
        </tpls>
      </m>
      <n v="6" in="1">
        <tpls c="4">
          <tpl fld="7" item="780"/>
          <tpl fld="6" item="1"/>
          <tpl hier="236" item="1"/>
          <tpl fld="1" item="0"/>
        </tpls>
      </n>
      <m>
        <tpls c="4">
          <tpl fld="7" item="639"/>
          <tpl fld="6" item="2"/>
          <tpl hier="236" item="1"/>
          <tpl fld="4" item="4"/>
        </tpls>
      </m>
      <m>
        <tpls c="4">
          <tpl fld="7" item="756"/>
          <tpl fld="6" item="2"/>
          <tpl hier="236" item="1"/>
          <tpl fld="4" item="5"/>
        </tpls>
      </m>
      <m>
        <tpls c="4">
          <tpl fld="7" item="592"/>
          <tpl fld="6" item="1"/>
          <tpl hier="236" item="1"/>
          <tpl fld="4" item="1"/>
        </tpls>
      </m>
      <m>
        <tpls c="4">
          <tpl fld="7" item="370"/>
          <tpl fld="6" item="2"/>
          <tpl hier="236" item="1"/>
          <tpl fld="4" item="5"/>
        </tpls>
      </m>
      <m>
        <tpls c="4">
          <tpl fld="7" item="659"/>
          <tpl fld="6" item="1"/>
          <tpl hier="236" item="1"/>
          <tpl fld="4" item="5"/>
        </tpls>
      </m>
      <m>
        <tpls c="4">
          <tpl fld="7" item="158"/>
          <tpl fld="6" item="1"/>
          <tpl hier="236" item="1"/>
          <tpl fld="4" item="1"/>
        </tpls>
      </m>
      <m>
        <tpls c="4">
          <tpl fld="7" item="239"/>
          <tpl fld="6" item="1"/>
          <tpl hier="236" item="1"/>
          <tpl fld="4" item="5"/>
        </tpls>
      </m>
      <m>
        <tpls c="3">
          <tpl fld="7" item="631"/>
          <tpl fld="6" item="3"/>
          <tpl hier="236" item="1"/>
        </tpls>
      </m>
      <m>
        <tpls c="4">
          <tpl fld="7" item="492"/>
          <tpl fld="6" item="1"/>
          <tpl hier="236" item="1"/>
          <tpl fld="4" item="5"/>
        </tpls>
      </m>
      <m>
        <tpls c="4">
          <tpl fld="7" item="174"/>
          <tpl fld="6" item="2"/>
          <tpl hier="236" item="1"/>
          <tpl fld="4" item="6"/>
        </tpls>
      </m>
      <m>
        <tpls c="4">
          <tpl fld="7" item="304"/>
          <tpl fld="6" item="1"/>
          <tpl hier="236" item="1"/>
          <tpl fld="4" item="1"/>
        </tpls>
      </m>
      <m>
        <tpls c="4">
          <tpl fld="7" item="923"/>
          <tpl fld="6" item="2"/>
          <tpl hier="236" item="1"/>
          <tpl fld="4" item="4"/>
        </tpls>
      </m>
      <m>
        <tpls c="4">
          <tpl fld="7" item="68"/>
          <tpl fld="6" item="1"/>
          <tpl hier="236" item="1"/>
          <tpl fld="4" item="1"/>
        </tpls>
      </m>
      <n v="1.8924324324324326" in="2">
        <tpls c="4">
          <tpl fld="7" item="496"/>
          <tpl fld="6" item="2"/>
          <tpl hier="236" item="1"/>
          <tpl fld="4" item="5"/>
        </tpls>
      </n>
      <m>
        <tpls c="4">
          <tpl fld="7" item="469"/>
          <tpl fld="6" item="1"/>
          <tpl hier="236" item="1"/>
          <tpl fld="1" item="0"/>
        </tpls>
      </m>
      <m>
        <tpls c="4">
          <tpl fld="7" item="136"/>
          <tpl fld="6" item="2"/>
          <tpl hier="236" item="1"/>
          <tpl fld="4" item="6"/>
        </tpls>
      </m>
      <m>
        <tpls c="4">
          <tpl fld="7" item="80"/>
          <tpl fld="6" item="2"/>
          <tpl hier="236" item="1"/>
          <tpl fld="4" item="6"/>
        </tpls>
      </m>
      <m>
        <tpls c="4">
          <tpl fld="7" item="189"/>
          <tpl fld="6" item="1"/>
          <tpl hier="236" item="1"/>
          <tpl fld="4" item="1"/>
        </tpls>
      </m>
      <m>
        <tpls c="4">
          <tpl fld="7" item="136"/>
          <tpl fld="6" item="2"/>
          <tpl hier="236" item="1"/>
          <tpl fld="4" item="5"/>
        </tpls>
      </m>
      <n v="1" in="1">
        <tpls c="4">
          <tpl fld="7" item="447"/>
          <tpl fld="6" item="1"/>
          <tpl hier="236" item="1"/>
          <tpl fld="4" item="4"/>
        </tpls>
      </n>
      <m>
        <tpls c="4">
          <tpl fld="7" item="248"/>
          <tpl fld="6" item="1"/>
          <tpl hier="236" item="1"/>
          <tpl fld="1" item="0"/>
        </tpls>
      </m>
      <m>
        <tpls c="3">
          <tpl fld="7" item="662"/>
          <tpl fld="6" item="3"/>
          <tpl hier="236" item="1"/>
        </tpls>
      </m>
      <n v="0.27999999999999997" in="2">
        <tpls c="4">
          <tpl fld="7" item="1018"/>
          <tpl fld="6" item="2"/>
          <tpl hier="236" item="1"/>
          <tpl fld="1" item="0"/>
        </tpls>
      </n>
      <m>
        <tpls c="4">
          <tpl fld="7" item="169"/>
          <tpl fld="6" item="1"/>
          <tpl hier="236" item="1"/>
          <tpl fld="4" item="5"/>
        </tpls>
      </m>
      <m>
        <tpls c="4">
          <tpl fld="7" item="122"/>
          <tpl fld="6" item="1"/>
          <tpl hier="236" item="1"/>
          <tpl fld="4" item="5"/>
        </tpls>
      </m>
      <m>
        <tpls c="4">
          <tpl fld="7" item="855"/>
          <tpl fld="6" item="2"/>
          <tpl hier="236" item="1"/>
          <tpl fld="4" item="5"/>
        </tpls>
      </m>
      <m>
        <tpls c="4">
          <tpl fld="7" item="1007"/>
          <tpl fld="6" item="2"/>
          <tpl hier="236" item="1"/>
          <tpl fld="4" item="6"/>
        </tpls>
      </m>
      <m>
        <tpls c="4">
          <tpl fld="7" item="966"/>
          <tpl fld="6" item="2"/>
          <tpl hier="236" item="1"/>
          <tpl fld="4" item="4"/>
        </tpls>
      </m>
      <m>
        <tpls c="3">
          <tpl fld="7" item="654"/>
          <tpl fld="6" item="3"/>
          <tpl hier="236" item="1"/>
        </tpls>
      </m>
      <n v="1" in="1">
        <tpls c="4">
          <tpl fld="7" item="834"/>
          <tpl fld="6" item="1"/>
          <tpl hier="236" item="1"/>
          <tpl fld="4" item="6"/>
        </tpls>
      </n>
      <n v="0.8" in="2">
        <tpls c="4">
          <tpl fld="7" item="793"/>
          <tpl fld="6" item="2"/>
          <tpl hier="236" item="1"/>
          <tpl fld="4" item="4"/>
        </tpls>
      </n>
      <m>
        <tpls c="4">
          <tpl fld="7" item="1108"/>
          <tpl fld="6" item="2"/>
          <tpl hier="236" item="1"/>
          <tpl fld="4" item="6"/>
        </tpls>
      </m>
      <n v="1" in="2">
        <tpls c="4">
          <tpl fld="7" item="642"/>
          <tpl fld="6" item="2"/>
          <tpl hier="236" item="1"/>
          <tpl fld="4" item="6"/>
        </tpls>
      </n>
      <m>
        <tpls c="4">
          <tpl fld="7" item="485"/>
          <tpl fld="6" item="2"/>
          <tpl hier="236" item="1"/>
          <tpl fld="1" item="0"/>
        </tpls>
      </m>
      <m>
        <tpls c="4">
          <tpl fld="7" item="508"/>
          <tpl fld="6" item="2"/>
          <tpl hier="236" item="1"/>
          <tpl fld="4" item="5"/>
        </tpls>
      </m>
      <m>
        <tpls c="4">
          <tpl fld="7" item="385"/>
          <tpl fld="6" item="1"/>
          <tpl hier="236" item="1"/>
          <tpl fld="1" item="0"/>
        </tpls>
      </m>
      <m>
        <tpls c="4">
          <tpl fld="7" item="893"/>
          <tpl fld="6" item="2"/>
          <tpl hier="236" item="1"/>
          <tpl fld="4" item="6"/>
        </tpls>
      </m>
      <m>
        <tpls c="4">
          <tpl fld="7" item="905"/>
          <tpl fld="6" item="1"/>
          <tpl hier="236" item="1"/>
          <tpl fld="4" item="4"/>
        </tpls>
      </m>
      <m>
        <tpls c="4">
          <tpl fld="7" item="197"/>
          <tpl fld="6" item="2"/>
          <tpl hier="236" item="1"/>
          <tpl fld="4" item="6"/>
        </tpls>
      </m>
      <m>
        <tpls c="4">
          <tpl fld="7" item="88"/>
          <tpl fld="6" item="2"/>
          <tpl hier="236" item="1"/>
          <tpl fld="4" item="6"/>
        </tpls>
      </m>
      <n v="3" in="1">
        <tpls c="4">
          <tpl fld="7" item="210"/>
          <tpl fld="6" item="1"/>
          <tpl hier="236" item="1"/>
          <tpl fld="4" item="1"/>
        </tpls>
      </n>
      <m>
        <tpls c="4">
          <tpl fld="7" item="320"/>
          <tpl fld="6" item="2"/>
          <tpl hier="236" item="1"/>
          <tpl fld="4" item="5"/>
        </tpls>
      </m>
      <n v="32" in="1">
        <tpls c="4">
          <tpl fld="7" item="424"/>
          <tpl fld="6" item="1"/>
          <tpl hier="236" item="1"/>
          <tpl fld="4" item="1"/>
        </tpls>
      </n>
      <m>
        <tpls c="4">
          <tpl fld="7" item="478"/>
          <tpl fld="6" item="2"/>
          <tpl hier="236" item="1"/>
          <tpl fld="1" item="0"/>
        </tpls>
      </m>
      <m>
        <tpls c="3">
          <tpl fld="7" item="885"/>
          <tpl fld="6" item="3"/>
          <tpl hier="236" item="1"/>
        </tpls>
      </m>
      <m>
        <tpls c="4">
          <tpl fld="7" item="66"/>
          <tpl fld="6" item="2"/>
          <tpl hier="236" item="1"/>
          <tpl fld="1" item="0"/>
        </tpls>
      </m>
      <m>
        <tpls c="3">
          <tpl fld="7" item="978"/>
          <tpl fld="6" item="3"/>
          <tpl hier="236" item="1"/>
        </tpls>
      </m>
      <m>
        <tpls c="4">
          <tpl fld="7" item="1116"/>
          <tpl fld="6" item="2"/>
          <tpl hier="236" item="1"/>
          <tpl fld="4" item="5"/>
        </tpls>
      </m>
      <n v="1" in="2">
        <tpls c="4">
          <tpl fld="7" item="830"/>
          <tpl fld="6" item="2"/>
          <tpl hier="236" item="1"/>
          <tpl fld="1" item="0"/>
        </tpls>
      </n>
      <m>
        <tpls c="4">
          <tpl fld="7" item="1018"/>
          <tpl fld="6" item="2"/>
          <tpl hier="236" item="1"/>
          <tpl fld="4" item="5"/>
        </tpls>
      </m>
      <m>
        <tpls c="4">
          <tpl fld="7" item="167"/>
          <tpl fld="6" item="2"/>
          <tpl hier="236" item="1"/>
          <tpl fld="4" item="5"/>
        </tpls>
      </m>
      <m>
        <tpls c="4">
          <tpl fld="7" item="943"/>
          <tpl fld="6" item="1"/>
          <tpl hier="236" item="1"/>
          <tpl fld="4" item="1"/>
        </tpls>
      </m>
      <m>
        <tpls c="4">
          <tpl fld="7" item="891"/>
          <tpl fld="6" item="2"/>
          <tpl hier="236" item="1"/>
          <tpl fld="4" item="1"/>
        </tpls>
      </m>
      <m>
        <tpls c="4">
          <tpl fld="7" item="194"/>
          <tpl fld="6" item="2"/>
          <tpl hier="236" item="1"/>
          <tpl fld="4" item="5"/>
        </tpls>
      </m>
      <m>
        <tpls c="4">
          <tpl fld="7" item="1131"/>
          <tpl fld="6" item="1"/>
          <tpl hier="236" item="1"/>
          <tpl fld="4" item="5"/>
        </tpls>
      </m>
      <m>
        <tpls c="4">
          <tpl fld="7" item="196"/>
          <tpl fld="6" item="1"/>
          <tpl hier="236" item="1"/>
          <tpl fld="4" item="1"/>
        </tpls>
      </m>
      <m>
        <tpls c="4">
          <tpl fld="7" item="175"/>
          <tpl fld="6" item="1"/>
          <tpl hier="236" item="1"/>
          <tpl fld="1" item="0"/>
        </tpls>
      </m>
      <n v="2" in="1">
        <tpls c="4">
          <tpl fld="7" item="1224"/>
          <tpl fld="6" item="1"/>
          <tpl hier="236" item="1"/>
          <tpl fld="4" item="1"/>
        </tpls>
      </n>
      <m>
        <tpls c="4">
          <tpl fld="7" item="1068"/>
          <tpl fld="6" item="2"/>
          <tpl hier="236" item="1"/>
          <tpl fld="4" item="4"/>
        </tpls>
      </m>
      <m>
        <tpls c="4">
          <tpl fld="7" item="819"/>
          <tpl fld="6" item="1"/>
          <tpl hier="236" item="1"/>
          <tpl fld="4" item="1"/>
        </tpls>
      </m>
      <n v="27" in="1">
        <tpls c="4">
          <tpl fld="7" item="517"/>
          <tpl fld="6" item="1"/>
          <tpl hier="236" item="1"/>
          <tpl fld="1" item="0"/>
        </tpls>
      </n>
      <m>
        <tpls c="4">
          <tpl fld="7" item="763"/>
          <tpl fld="6" item="2"/>
          <tpl hier="236" item="1"/>
          <tpl fld="4" item="6"/>
        </tpls>
      </m>
      <m>
        <tpls c="4">
          <tpl fld="7" item="1085"/>
          <tpl fld="6" item="2"/>
          <tpl hier="236" item="1"/>
          <tpl fld="4" item="6"/>
        </tpls>
      </m>
      <m>
        <tpls c="4">
          <tpl fld="7" item="235"/>
          <tpl fld="6" item="1"/>
          <tpl hier="236" item="1"/>
          <tpl fld="4" item="6"/>
        </tpls>
      </m>
      <m>
        <tpls c="4">
          <tpl fld="7" item="140"/>
          <tpl fld="6" item="2"/>
          <tpl hier="236" item="1"/>
          <tpl fld="4" item="5"/>
        </tpls>
      </m>
      <m>
        <tpls c="3">
          <tpl fld="7" item="900"/>
          <tpl fld="6" item="3"/>
          <tpl hier="236" item="1"/>
        </tpls>
      </m>
      <m>
        <tpls c="4">
          <tpl fld="7" item="378"/>
          <tpl fld="6" item="1"/>
          <tpl hier="236" item="1"/>
          <tpl fld="4" item="5"/>
        </tpls>
      </m>
      <m>
        <tpls c="4">
          <tpl fld="7" item="36"/>
          <tpl fld="6" item="1"/>
          <tpl hier="236" item="1"/>
          <tpl fld="4" item="5"/>
        </tpls>
      </m>
      <m>
        <tpls c="4">
          <tpl fld="7" item="1191"/>
          <tpl fld="6" item="2"/>
          <tpl hier="236" item="1"/>
          <tpl fld="4" item="5"/>
        </tpls>
      </m>
      <n v="1" in="1">
        <tpls c="4">
          <tpl fld="7" item="1110"/>
          <tpl fld="6" item="1"/>
          <tpl hier="236" item="1"/>
          <tpl fld="1" item="0"/>
        </tpls>
      </n>
      <m>
        <tpls c="4">
          <tpl fld="7" item="398"/>
          <tpl fld="6" item="1"/>
          <tpl hier="236" item="1"/>
          <tpl fld="4" item="1"/>
        </tpls>
      </m>
      <m>
        <tpls c="4">
          <tpl fld="7" item="203"/>
          <tpl fld="6" item="2"/>
          <tpl hier="236" item="1"/>
          <tpl fld="4" item="5"/>
        </tpls>
      </m>
      <m>
        <tpls c="4">
          <tpl fld="7" item="672"/>
          <tpl fld="6" item="2"/>
          <tpl hier="236" item="1"/>
          <tpl fld="4" item="6"/>
        </tpls>
      </m>
      <m>
        <tpls c="3">
          <tpl fld="7" item="466"/>
          <tpl fld="6" item="3"/>
          <tpl hier="236" item="1"/>
        </tpls>
      </m>
      <m>
        <tpls c="4">
          <tpl fld="7" item="224"/>
          <tpl fld="6" item="2"/>
          <tpl hier="236" item="1"/>
          <tpl fld="4" item="5"/>
        </tpls>
      </m>
      <m>
        <tpls c="4">
          <tpl fld="7" item="551"/>
          <tpl fld="6" item="1"/>
          <tpl hier="236" item="1"/>
          <tpl fld="4" item="5"/>
        </tpls>
      </m>
      <n v="0.95675675675675675" in="2">
        <tpls c="4">
          <tpl fld="7" item="503"/>
          <tpl fld="6" item="2"/>
          <tpl hier="236" item="1"/>
          <tpl fld="1" item="0"/>
        </tpls>
      </n>
      <m>
        <tpls c="4">
          <tpl fld="7" item="1014"/>
          <tpl fld="6" item="2"/>
          <tpl hier="236" item="1"/>
          <tpl fld="4" item="6"/>
        </tpls>
      </m>
      <m>
        <tpls c="4">
          <tpl fld="7" item="734"/>
          <tpl fld="6" item="1"/>
          <tpl hier="236" item="1"/>
          <tpl fld="4" item="6"/>
        </tpls>
      </m>
      <m>
        <tpls c="4">
          <tpl fld="7" item="1023"/>
          <tpl fld="6" item="1"/>
          <tpl hier="236" item="1"/>
          <tpl fld="4" item="5"/>
        </tpls>
      </m>
      <n v="1" in="1">
        <tpls c="4">
          <tpl fld="7" item="169"/>
          <tpl fld="6" item="1"/>
          <tpl hier="236" item="1"/>
          <tpl fld="1" item="0"/>
        </tpls>
      </n>
      <n v="0.12" in="2">
        <tpls c="4">
          <tpl fld="7" item="1061"/>
          <tpl fld="6" item="2"/>
          <tpl hier="236" item="1"/>
          <tpl fld="4" item="4"/>
        </tpls>
      </n>
      <n v="14" in="1">
        <tpls c="4">
          <tpl fld="7" item="437"/>
          <tpl fld="6" item="1"/>
          <tpl hier="236" item="1"/>
          <tpl fld="1" item="0"/>
        </tpls>
      </n>
      <m>
        <tpls c="4">
          <tpl fld="7" item="1263"/>
          <tpl fld="6" item="2"/>
          <tpl hier="236" item="1"/>
          <tpl fld="4" item="6"/>
        </tpls>
      </m>
      <m>
        <tpls c="4">
          <tpl fld="7" item="1257"/>
          <tpl fld="6" item="2"/>
          <tpl hier="236" item="1"/>
          <tpl fld="4" item="4"/>
        </tpls>
      </m>
      <m>
        <tpls c="4">
          <tpl fld="7" item="604"/>
          <tpl fld="6" item="2"/>
          <tpl hier="236" item="1"/>
          <tpl fld="4" item="6"/>
        </tpls>
      </m>
      <m>
        <tpls c="4">
          <tpl fld="7" item="242"/>
          <tpl fld="6" item="2"/>
          <tpl hier="236" item="1"/>
          <tpl fld="1" item="0"/>
        </tpls>
      </m>
      <m>
        <tpls c="4">
          <tpl fld="7" item="383"/>
          <tpl fld="6" item="2"/>
          <tpl hier="236" item="1"/>
          <tpl fld="4" item="6"/>
        </tpls>
      </m>
      <m>
        <tpls c="4">
          <tpl fld="7" item="997"/>
          <tpl fld="6" item="1"/>
          <tpl hier="236" item="1"/>
          <tpl fld="4" item="5"/>
        </tpls>
      </m>
      <m>
        <tpls c="4">
          <tpl fld="7" item="1244"/>
          <tpl fld="6" item="1"/>
          <tpl hier="236" item="1"/>
          <tpl fld="4" item="5"/>
        </tpls>
      </m>
      <m>
        <tpls c="4">
          <tpl fld="7" item="402"/>
          <tpl fld="6" item="1"/>
          <tpl hier="236" item="1"/>
          <tpl fld="1" item="0"/>
        </tpls>
      </m>
      <m>
        <tpls c="4">
          <tpl fld="7" item="1043"/>
          <tpl fld="6" item="2"/>
          <tpl hier="236" item="1"/>
          <tpl fld="4" item="4"/>
        </tpls>
      </m>
      <m>
        <tpls c="4">
          <tpl fld="7" item="206"/>
          <tpl fld="6" item="1"/>
          <tpl hier="236" item="1"/>
          <tpl fld="1" item="0"/>
        </tpls>
      </m>
      <m>
        <tpls c="4">
          <tpl fld="7" item="1166"/>
          <tpl fld="6" item="2"/>
          <tpl hier="236" item="1"/>
          <tpl fld="4" item="4"/>
        </tpls>
      </m>
      <m>
        <tpls c="4">
          <tpl fld="7" item="1169"/>
          <tpl fld="6" item="1"/>
          <tpl hier="236" item="1"/>
          <tpl fld="4" item="1"/>
        </tpls>
      </m>
      <n v="10" in="1">
        <tpls c="4">
          <tpl fld="7" item="1101"/>
          <tpl fld="6" item="1"/>
          <tpl hier="236" item="1"/>
          <tpl fld="4" item="6"/>
        </tpls>
      </n>
      <m>
        <tpls c="4">
          <tpl fld="7" item="117"/>
          <tpl fld="6" item="2"/>
          <tpl hier="236" item="1"/>
          <tpl fld="4" item="4"/>
        </tpls>
      </m>
      <m>
        <tpls c="4">
          <tpl fld="7" item="99"/>
          <tpl fld="6" item="1"/>
          <tpl hier="236" item="1"/>
          <tpl fld="1" item="0"/>
        </tpls>
      </m>
      <m>
        <tpls c="4">
          <tpl fld="7" item="447"/>
          <tpl fld="6" item="1"/>
          <tpl hier="236" item="1"/>
          <tpl fld="4" item="1"/>
        </tpls>
      </m>
      <m>
        <tpls c="4">
          <tpl fld="7" item="137"/>
          <tpl fld="6" item="1"/>
          <tpl hier="236" item="1"/>
          <tpl fld="1" item="0"/>
        </tpls>
      </m>
      <n v="2" in="1">
        <tpls c="4">
          <tpl fld="7" item="898"/>
          <tpl fld="6" item="1"/>
          <tpl hier="236" item="1"/>
          <tpl fld="4" item="1"/>
        </tpls>
      </n>
      <m>
        <tpls c="4">
          <tpl fld="7" item="1049"/>
          <tpl fld="6" item="2"/>
          <tpl hier="236" item="1"/>
          <tpl fld="4" item="4"/>
        </tpls>
      </m>
      <m>
        <tpls c="3">
          <tpl fld="7" item="330"/>
          <tpl fld="6" item="3"/>
          <tpl hier="236" item="1"/>
        </tpls>
      </m>
      <m>
        <tpls c="4">
          <tpl fld="7" item="167"/>
          <tpl fld="6" item="1"/>
          <tpl hier="236" item="1"/>
          <tpl fld="4" item="5"/>
        </tpls>
      </m>
      <m>
        <tpls c="4">
          <tpl fld="7" item="310"/>
          <tpl fld="6" item="1"/>
          <tpl hier="236" item="1"/>
          <tpl fld="4" item="1"/>
        </tpls>
      </m>
      <m>
        <tpls c="4">
          <tpl fld="7" item="244"/>
          <tpl fld="6" item="2"/>
          <tpl hier="236" item="1"/>
          <tpl fld="4" item="6"/>
        </tpls>
      </m>
      <m>
        <tpls c="3">
          <tpl fld="7" item="790"/>
          <tpl fld="6" item="3"/>
          <tpl hier="236" item="1"/>
        </tpls>
      </m>
      <m>
        <tpls c="4">
          <tpl fld="7" item="244"/>
          <tpl fld="6" item="1"/>
          <tpl hier="236" item="1"/>
          <tpl fld="4" item="1"/>
        </tpls>
      </m>
      <m>
        <tpls c="4">
          <tpl fld="7" item="133"/>
          <tpl fld="6" item="1"/>
          <tpl hier="236" item="1"/>
          <tpl fld="1" item="0"/>
        </tpls>
      </m>
      <n v="0" in="1">
        <tpls c="4">
          <tpl fld="7" item="485"/>
          <tpl fld="6" item="1"/>
          <tpl hier="236" item="1"/>
          <tpl fld="1" item="0"/>
        </tpls>
      </n>
      <m>
        <tpls c="4">
          <tpl fld="7" item="294"/>
          <tpl fld="6" item="2"/>
          <tpl hier="236" item="1"/>
          <tpl fld="1" item="0"/>
        </tpls>
      </m>
      <m>
        <tpls c="4">
          <tpl fld="7" item="179"/>
          <tpl fld="6" item="2"/>
          <tpl hier="236" item="1"/>
          <tpl fld="1" item="0"/>
        </tpls>
      </m>
      <m>
        <tpls c="4">
          <tpl fld="7" item="1017"/>
          <tpl fld="6" item="1"/>
          <tpl hier="236" item="1"/>
          <tpl fld="4" item="4"/>
        </tpls>
      </m>
      <n v="0" in="1">
        <tpls c="4">
          <tpl fld="7" item="892"/>
          <tpl fld="6" item="1"/>
          <tpl hier="236" item="1"/>
          <tpl fld="4" item="4"/>
        </tpls>
      </n>
      <m>
        <tpls c="4">
          <tpl fld="7" item="1282"/>
          <tpl fld="6" item="2"/>
          <tpl hier="236" item="1"/>
          <tpl fld="4" item="5"/>
        </tpls>
      </m>
      <m>
        <tpls c="4">
          <tpl fld="7" item="348"/>
          <tpl fld="6" item="2"/>
          <tpl hier="236" item="1"/>
          <tpl fld="4" item="5"/>
        </tpls>
      </m>
      <m>
        <tpls c="4">
          <tpl fld="7" item="340"/>
          <tpl fld="6" item="2"/>
          <tpl hier="236" item="1"/>
          <tpl fld="4" item="4"/>
        </tpls>
      </m>
      <m>
        <tpls c="4">
          <tpl fld="7" item="695"/>
          <tpl fld="6" item="1"/>
          <tpl hier="236" item="1"/>
          <tpl fld="4" item="5"/>
        </tpls>
      </m>
      <m>
        <tpls c="4">
          <tpl fld="7" item="207"/>
          <tpl fld="6" item="2"/>
          <tpl hier="236" item="1"/>
          <tpl fld="1" item="0"/>
        </tpls>
      </m>
      <n v="8" in="1">
        <tpls c="4">
          <tpl fld="7" item="981"/>
          <tpl fld="6" item="1"/>
          <tpl hier="236" item="1"/>
          <tpl fld="1" item="0"/>
        </tpls>
      </n>
      <m>
        <tpls c="4">
          <tpl fld="7" item="1168"/>
          <tpl fld="6" item="2"/>
          <tpl hier="236" item="1"/>
          <tpl fld="4" item="4"/>
        </tpls>
      </m>
      <m>
        <tpls c="4">
          <tpl fld="7" item="179"/>
          <tpl fld="6" item="2"/>
          <tpl hier="236" item="1"/>
          <tpl fld="4" item="6"/>
        </tpls>
      </m>
      <m>
        <tpls c="4">
          <tpl fld="7" item="862"/>
          <tpl fld="6" item="2"/>
          <tpl hier="236" item="1"/>
          <tpl fld="4" item="4"/>
        </tpls>
      </m>
      <m>
        <tpls c="4">
          <tpl fld="7" item="853"/>
          <tpl fld="6" item="2"/>
          <tpl hier="236" item="1"/>
          <tpl fld="4" item="6"/>
        </tpls>
      </m>
      <m>
        <tpls c="4">
          <tpl fld="7" item="815"/>
          <tpl fld="6" item="2"/>
          <tpl hier="236" item="1"/>
          <tpl fld="4" item="4"/>
        </tpls>
      </m>
      <n v="6" in="1">
        <tpls c="4">
          <tpl fld="7" item="377"/>
          <tpl fld="6" item="1"/>
          <tpl hier="236" item="1"/>
          <tpl fld="4" item="1"/>
        </tpls>
      </n>
      <m>
        <tpls c="4">
          <tpl fld="7" item="828"/>
          <tpl fld="6" item="1"/>
          <tpl hier="236" item="1"/>
          <tpl fld="4" item="1"/>
        </tpls>
      </m>
      <m>
        <tpls c="4">
          <tpl fld="7" item="1030"/>
          <tpl fld="6" item="2"/>
          <tpl hier="236" item="1"/>
          <tpl fld="4" item="4"/>
        </tpls>
      </m>
      <n v="1" in="1">
        <tpls c="4">
          <tpl fld="7" item="1006"/>
          <tpl fld="6" item="1"/>
          <tpl hier="236" item="1"/>
          <tpl fld="4" item="4"/>
        </tpls>
      </n>
      <n v="5" in="1">
        <tpls c="4">
          <tpl fld="7" item="899"/>
          <tpl fld="6" item="1"/>
          <tpl hier="236" item="1"/>
          <tpl fld="4" item="1"/>
        </tpls>
      </n>
      <n v="1" in="1">
        <tpls c="4">
          <tpl fld="7" item="1127"/>
          <tpl fld="6" item="1"/>
          <tpl hier="236" item="1"/>
          <tpl fld="1" item="0"/>
        </tpls>
      </n>
      <m>
        <tpls c="4">
          <tpl fld="7" item="1196"/>
          <tpl fld="6" item="2"/>
          <tpl hier="236" item="1"/>
          <tpl fld="4" item="6"/>
        </tpls>
      </m>
      <m>
        <tpls c="4">
          <tpl fld="7" item="69"/>
          <tpl fld="6" item="2"/>
          <tpl hier="236" item="1"/>
          <tpl fld="4" item="5"/>
        </tpls>
      </m>
      <m>
        <tpls c="4">
          <tpl fld="7" item="72"/>
          <tpl fld="6" item="2"/>
          <tpl hier="236" item="1"/>
          <tpl fld="4" item="5"/>
        </tpls>
      </m>
      <m>
        <tpls c="4">
          <tpl fld="7" item="489"/>
          <tpl fld="6" item="2"/>
          <tpl hier="236" item="1"/>
          <tpl fld="4" item="6"/>
        </tpls>
      </m>
      <n v="6" in="1">
        <tpls c="4">
          <tpl fld="7" item="366"/>
          <tpl fld="6" item="1"/>
          <tpl hier="236" item="1"/>
          <tpl fld="1" item="0"/>
        </tpls>
      </n>
      <m>
        <tpls c="4">
          <tpl fld="7" item="904"/>
          <tpl fld="6" item="1"/>
          <tpl hier="236" item="1"/>
          <tpl fld="4" item="4"/>
        </tpls>
      </m>
      <m>
        <tpls c="4">
          <tpl fld="7" item="367"/>
          <tpl fld="6" item="2"/>
          <tpl hier="236" item="1"/>
          <tpl fld="4" item="6"/>
        </tpls>
      </m>
      <m>
        <tpls c="4">
          <tpl fld="7" item="1222"/>
          <tpl fld="6" item="1"/>
          <tpl hier="236" item="1"/>
          <tpl fld="4" item="5"/>
        </tpls>
      </m>
      <m>
        <tpls c="4">
          <tpl fld="7" item="1079"/>
          <tpl fld="6" item="2"/>
          <tpl hier="236" item="1"/>
          <tpl fld="4" item="4"/>
        </tpls>
      </m>
      <m>
        <tpls c="4">
          <tpl fld="7" item="347"/>
          <tpl fld="6" item="1"/>
          <tpl hier="236" item="1"/>
          <tpl fld="4" item="5"/>
        </tpls>
      </m>
      <n v="0.71621621621621623" in="2">
        <tpls c="4">
          <tpl fld="7" item="532"/>
          <tpl fld="6" item="2"/>
          <tpl hier="236" item="1"/>
          <tpl fld="4" item="6"/>
        </tpls>
      </n>
      <m>
        <tpls c="4">
          <tpl fld="7" item="642"/>
          <tpl fld="6" item="2"/>
          <tpl hier="236" item="1"/>
          <tpl fld="4" item="4"/>
        </tpls>
      </m>
      <m>
        <tpls c="4">
          <tpl fld="7" item="916"/>
          <tpl fld="6" item="2"/>
          <tpl hier="236" item="1"/>
          <tpl fld="4" item="5"/>
        </tpls>
      </m>
      <m>
        <tpls c="3">
          <tpl fld="7" item="843"/>
          <tpl fld="6" item="3"/>
          <tpl hier="236" item="1"/>
        </tpls>
      </m>
      <m>
        <tpls c="4">
          <tpl fld="7" item="901"/>
          <tpl fld="6" item="2"/>
          <tpl hier="236" item="1"/>
          <tpl fld="4" item="1"/>
        </tpls>
      </m>
      <m>
        <tpls c="4">
          <tpl fld="7" item="867"/>
          <tpl fld="6" item="2"/>
          <tpl hier="236" item="1"/>
          <tpl fld="4" item="1"/>
        </tpls>
      </m>
      <m>
        <tpls c="4">
          <tpl fld="7" item="372"/>
          <tpl fld="6" item="1"/>
          <tpl hier="236" item="1"/>
          <tpl fld="4" item="5"/>
        </tpls>
      </m>
      <m>
        <tpls c="3">
          <tpl fld="7" item="908"/>
          <tpl fld="6" item="3"/>
          <tpl hier="236" item="1"/>
        </tpls>
      </m>
      <m>
        <tpls c="4">
          <tpl fld="7" item="639"/>
          <tpl fld="6" item="1"/>
          <tpl hier="236" item="1"/>
          <tpl fld="4" item="4"/>
        </tpls>
      </m>
      <n v="2" in="1">
        <tpls c="4">
          <tpl fld="7" item="1193"/>
          <tpl fld="6" item="1"/>
          <tpl hier="236" item="1"/>
          <tpl fld="4" item="6"/>
        </tpls>
      </n>
      <n v="5" in="1">
        <tpls c="4">
          <tpl fld="7" item="1115"/>
          <tpl fld="6" item="1"/>
          <tpl hier="236" item="1"/>
          <tpl fld="4" item="6"/>
        </tpls>
      </n>
      <m>
        <tpls c="4">
          <tpl fld="7" item="735"/>
          <tpl fld="6" item="2"/>
          <tpl hier="236" item="1"/>
          <tpl fld="1" item="0"/>
        </tpls>
      </m>
      <m>
        <tpls c="4">
          <tpl fld="7" item="754"/>
          <tpl fld="6" item="1"/>
          <tpl hier="236" item="1"/>
          <tpl fld="4" item="1"/>
        </tpls>
      </m>
      <m>
        <tpls c="4">
          <tpl fld="7" item="1260"/>
          <tpl fld="6" item="1"/>
          <tpl hier="236" item="1"/>
          <tpl fld="4" item="1"/>
        </tpls>
      </m>
      <n v="0" in="1">
        <tpls c="4">
          <tpl fld="7" item="185"/>
          <tpl fld="6" item="1"/>
          <tpl hier="236" item="1"/>
          <tpl fld="1" item="0"/>
        </tpls>
      </n>
      <m>
        <tpls c="4">
          <tpl fld="7" item="380"/>
          <tpl fld="6" item="1"/>
          <tpl hier="236" item="1"/>
          <tpl fld="1" item="0"/>
        </tpls>
      </m>
      <m>
        <tpls c="4">
          <tpl fld="7" item="295"/>
          <tpl fld="6" item="1"/>
          <tpl hier="236" item="1"/>
          <tpl fld="1" item="0"/>
        </tpls>
      </m>
      <n v="6" in="1">
        <tpls c="4">
          <tpl fld="7" item="899"/>
          <tpl fld="6" item="1"/>
          <tpl hier="236" item="1"/>
          <tpl fld="1" item="0"/>
        </tpls>
      </n>
      <m>
        <tpls c="4">
          <tpl fld="7" item="124"/>
          <tpl fld="6" item="1"/>
          <tpl hier="236" item="1"/>
          <tpl fld="1" item="0"/>
        </tpls>
      </m>
      <m>
        <tpls c="3">
          <tpl fld="7" item="814"/>
          <tpl fld="6" item="3"/>
          <tpl hier="236" item="1"/>
        </tpls>
      </m>
      <m>
        <tpls c="4">
          <tpl fld="7" item="1124"/>
          <tpl fld="6" item="2"/>
          <tpl hier="236" item="1"/>
          <tpl fld="1" item="0"/>
        </tpls>
      </m>
      <n v="0.88000000000000012" in="2">
        <tpls c="4">
          <tpl fld="7" item="666"/>
          <tpl fld="6" item="2"/>
          <tpl hier="236" item="1"/>
          <tpl fld="4" item="1"/>
        </tpls>
      </n>
      <n v="1" in="1">
        <tpls c="4">
          <tpl fld="7" item="502"/>
          <tpl fld="6" item="1"/>
          <tpl hier="236" item="1"/>
          <tpl fld="4" item="5"/>
        </tpls>
      </n>
      <m>
        <tpls c="4">
          <tpl fld="7" item="55"/>
          <tpl fld="6" item="1"/>
          <tpl hier="236" item="1"/>
          <tpl fld="4" item="1"/>
        </tpls>
      </m>
      <m>
        <tpls c="4">
          <tpl fld="7" item="166"/>
          <tpl fld="6" item="2"/>
          <tpl hier="236" item="1"/>
          <tpl fld="1" item="0"/>
        </tpls>
      </m>
      <m>
        <tpls c="4">
          <tpl fld="7" item="506"/>
          <tpl fld="6" item="2"/>
          <tpl hier="236" item="1"/>
          <tpl fld="4" item="6"/>
        </tpls>
      </m>
      <n v="3" in="1">
        <tpls c="4">
          <tpl fld="7" item="1209"/>
          <tpl fld="6" item="1"/>
          <tpl hier="236" item="1"/>
          <tpl fld="4" item="1"/>
        </tpls>
      </n>
      <n v="2" in="1">
        <tpls c="4">
          <tpl fld="7" item="1117"/>
          <tpl fld="6" item="1"/>
          <tpl hier="236" item="1"/>
          <tpl fld="1" item="0"/>
        </tpls>
      </n>
      <m>
        <tpls c="4">
          <tpl fld="7" item="129"/>
          <tpl fld="6" item="2"/>
          <tpl hier="236" item="1"/>
          <tpl fld="4" item="5"/>
        </tpls>
      </m>
      <m>
        <tpls c="4">
          <tpl fld="7" item="227"/>
          <tpl fld="6" item="1"/>
          <tpl hier="236" item="1"/>
          <tpl fld="1" item="0"/>
        </tpls>
      </m>
      <m>
        <tpls c="4">
          <tpl fld="7" item="87"/>
          <tpl fld="6" item="1"/>
          <tpl hier="236" item="1"/>
          <tpl fld="1" item="0"/>
        </tpls>
      </m>
      <m>
        <tpls c="4">
          <tpl fld="7" item="401"/>
          <tpl fld="6" item="1"/>
          <tpl hier="236" item="1"/>
          <tpl fld="4" item="5"/>
        </tpls>
      </m>
      <m>
        <tpls c="3">
          <tpl fld="7" item="110"/>
          <tpl fld="6" item="3"/>
          <tpl hier="236" item="1"/>
        </tpls>
      </m>
      <m>
        <tpls c="3">
          <tpl fld="7" item="658"/>
          <tpl fld="6" item="3"/>
          <tpl hier="236" item="1"/>
        </tpls>
      </m>
      <n v="44" in="1">
        <tpls c="4">
          <tpl fld="7" item="446"/>
          <tpl fld="6" item="1"/>
          <tpl hier="236" item="1"/>
          <tpl fld="1" item="0"/>
        </tpls>
      </n>
      <m>
        <tpls c="3">
          <tpl fld="7" item="246"/>
          <tpl fld="6" item="3"/>
          <tpl hier="236" item="1"/>
        </tpls>
      </m>
      <m>
        <tpls c="4">
          <tpl fld="7" item="635"/>
          <tpl fld="6" item="1"/>
          <tpl hier="236" item="1"/>
          <tpl fld="4" item="5"/>
        </tpls>
      </m>
      <m>
        <tpls c="4">
          <tpl fld="7" item="172"/>
          <tpl fld="6" item="2"/>
          <tpl hier="236" item="1"/>
          <tpl fld="1" item="0"/>
        </tpls>
      </m>
      <m>
        <tpls c="4">
          <tpl fld="7" item="1002"/>
          <tpl fld="6" item="2"/>
          <tpl hier="236" item="1"/>
          <tpl fld="4" item="6"/>
        </tpls>
      </m>
      <m>
        <tpls c="4">
          <tpl fld="7" item="820"/>
          <tpl fld="6" item="1"/>
          <tpl hier="236" item="1"/>
          <tpl fld="4" item="1"/>
        </tpls>
      </m>
      <m>
        <tpls c="4">
          <tpl fld="7" item="1008"/>
          <tpl fld="6" item="1"/>
          <tpl hier="236" item="1"/>
          <tpl fld="4" item="5"/>
        </tpls>
      </m>
      <m>
        <tpls c="4">
          <tpl fld="7" item="237"/>
          <tpl fld="6" item="1"/>
          <tpl hier="236" item="1"/>
          <tpl fld="1" item="0"/>
        </tpls>
      </m>
      <m>
        <tpls c="4">
          <tpl fld="7" item="1082"/>
          <tpl fld="6" item="2"/>
          <tpl hier="236" item="1"/>
          <tpl fld="1" item="0"/>
        </tpls>
      </m>
      <m>
        <tpls c="4">
          <tpl fld="7" item="911"/>
          <tpl fld="6" item="2"/>
          <tpl hier="236" item="1"/>
          <tpl fld="4" item="1"/>
        </tpls>
      </m>
      <m>
        <tpls c="4">
          <tpl fld="7" item="1114"/>
          <tpl fld="6" item="2"/>
          <tpl hier="236" item="1"/>
          <tpl fld="4" item="4"/>
        </tpls>
      </m>
      <m>
        <tpls c="4">
          <tpl fld="7" item="222"/>
          <tpl fld="6" item="1"/>
          <tpl hier="236" item="1"/>
          <tpl fld="4" item="6"/>
        </tpls>
      </m>
      <m>
        <tpls c="4">
          <tpl fld="7" item="550"/>
          <tpl fld="6" item="2"/>
          <tpl hier="236" item="1"/>
          <tpl fld="4" item="4"/>
        </tpls>
      </m>
      <m>
        <tpls c="4">
          <tpl fld="7" item="701"/>
          <tpl fld="6" item="2"/>
          <tpl hier="236" item="1"/>
          <tpl fld="4" item="1"/>
        </tpls>
      </m>
      <m>
        <tpls c="4">
          <tpl fld="7" item="732"/>
          <tpl fld="6" item="2"/>
          <tpl hier="236" item="1"/>
          <tpl fld="4" item="6"/>
        </tpls>
      </m>
      <m>
        <tpls c="4">
          <tpl fld="7" item="1263"/>
          <tpl fld="6" item="1"/>
          <tpl hier="236" item="1"/>
          <tpl fld="4" item="1"/>
        </tpls>
      </m>
      <m>
        <tpls c="4">
          <tpl fld="7" item="1082"/>
          <tpl fld="6" item="2"/>
          <tpl hier="236" item="1"/>
          <tpl fld="4" item="5"/>
        </tpls>
      </m>
      <m>
        <tpls c="4">
          <tpl fld="7" item="175"/>
          <tpl fld="6" item="1"/>
          <tpl hier="236" item="1"/>
          <tpl fld="4" item="1"/>
        </tpls>
      </m>
      <n v="2" in="1">
        <tpls c="4">
          <tpl fld="7" item="1106"/>
          <tpl fld="6" item="1"/>
          <tpl hier="236" item="1"/>
          <tpl fld="1" item="0"/>
        </tpls>
      </n>
      <m>
        <tpls c="4">
          <tpl fld="7" item="275"/>
          <tpl fld="6" item="2"/>
          <tpl hier="236" item="1"/>
          <tpl fld="4" item="5"/>
        </tpls>
      </m>
      <n v="0" in="1">
        <tpls c="4">
          <tpl fld="7" item="61"/>
          <tpl fld="6" item="1"/>
          <tpl hier="236" item="1"/>
          <tpl fld="1" item="0"/>
        </tpls>
      </n>
      <m>
        <tpls c="4">
          <tpl fld="7" item="340"/>
          <tpl fld="6" item="1"/>
          <tpl hier="236" item="1"/>
          <tpl fld="1" item="0"/>
        </tpls>
      </m>
      <n v="7" in="1">
        <tpls c="4">
          <tpl fld="7" item="361"/>
          <tpl fld="6" item="1"/>
          <tpl hier="236" item="1"/>
          <tpl fld="4" item="1"/>
        </tpls>
      </n>
      <m>
        <tpls c="4">
          <tpl fld="7" item="888"/>
          <tpl fld="6" item="2"/>
          <tpl hier="236" item="1"/>
          <tpl fld="4" item="4"/>
        </tpls>
      </m>
      <m>
        <tpls c="3">
          <tpl fld="7" item="855"/>
          <tpl fld="6" item="3"/>
          <tpl hier="236" item="1"/>
        </tpls>
      </m>
      <n v="3" in="1">
        <tpls c="4">
          <tpl fld="7" item="678"/>
          <tpl fld="6" item="1"/>
          <tpl hier="236" item="1"/>
          <tpl fld="4" item="1"/>
        </tpls>
      </n>
      <m>
        <tpls c="4">
          <tpl fld="7" item="467"/>
          <tpl fld="6" item="2"/>
          <tpl hier="236" item="1"/>
          <tpl fld="4" item="5"/>
        </tpls>
      </m>
      <m>
        <tpls c="4">
          <tpl fld="7" item="271"/>
          <tpl fld="6" item="1"/>
          <tpl hier="236" item="1"/>
          <tpl fld="4" item="1"/>
        </tpls>
      </m>
      <n v="2" in="1">
        <tpls c="4">
          <tpl fld="7" item="436"/>
          <tpl fld="6" item="1"/>
          <tpl hier="236" item="1"/>
          <tpl fld="1" item="0"/>
        </tpls>
      </n>
      <m>
        <tpls c="4">
          <tpl fld="7" item="1118"/>
          <tpl fld="6" item="2"/>
          <tpl hier="236" item="1"/>
          <tpl fld="4" item="6"/>
        </tpls>
      </m>
      <m>
        <tpls c="4">
          <tpl fld="7" item="489"/>
          <tpl fld="6" item="1"/>
          <tpl hier="236" item="1"/>
          <tpl fld="4" item="5"/>
        </tpls>
      </m>
      <m>
        <tpls c="4">
          <tpl fld="7" item="877"/>
          <tpl fld="6" item="2"/>
          <tpl hier="236" item="1"/>
          <tpl fld="4" item="6"/>
        </tpls>
      </m>
      <n v="48" in="1">
        <tpls c="4">
          <tpl fld="7" item="494"/>
          <tpl fld="6" item="1"/>
          <tpl hier="236" item="1"/>
          <tpl fld="1" item="0"/>
        </tpls>
      </n>
      <m>
        <tpls c="4">
          <tpl fld="7" item="1204"/>
          <tpl fld="6" item="2"/>
          <tpl hier="236" item="1"/>
          <tpl fld="4" item="4"/>
        </tpls>
      </m>
      <m>
        <tpls c="4">
          <tpl fld="7" item="922"/>
          <tpl fld="6" item="2"/>
          <tpl hier="236" item="1"/>
          <tpl fld="4" item="6"/>
        </tpls>
      </m>
      <m>
        <tpls c="4">
          <tpl fld="7" item="247"/>
          <tpl fld="6" item="1"/>
          <tpl hier="236" item="1"/>
          <tpl fld="4" item="5"/>
        </tpls>
      </m>
      <n v="1" in="1">
        <tpls c="4">
          <tpl fld="7" item="1006"/>
          <tpl fld="6" item="1"/>
          <tpl hier="236" item="1"/>
          <tpl fld="1" item="0"/>
        </tpls>
      </n>
      <m>
        <tpls c="4">
          <tpl fld="7" item="1013"/>
          <tpl fld="6" item="2"/>
          <tpl hier="236" item="1"/>
          <tpl fld="4" item="6"/>
        </tpls>
      </m>
      <m>
        <tpls c="4">
          <tpl fld="7" item="227"/>
          <tpl fld="6" item="1"/>
          <tpl hier="236" item="1"/>
          <tpl fld="4" item="6"/>
        </tpls>
      </m>
      <n v="1" in="1">
        <tpls c="4">
          <tpl fld="7" item="1218"/>
          <tpl fld="6" item="1"/>
          <tpl hier="236" item="1"/>
          <tpl fld="4" item="1"/>
        </tpls>
      </n>
      <m>
        <tpls c="4">
          <tpl fld="7" item="67"/>
          <tpl fld="6" item="2"/>
          <tpl hier="236" item="1"/>
          <tpl fld="4" item="5"/>
        </tpls>
      </m>
      <m>
        <tpls c="4">
          <tpl fld="7" item="404"/>
          <tpl fld="6" item="1"/>
          <tpl hier="236" item="1"/>
          <tpl fld="1" item="0"/>
        </tpls>
      </m>
      <n v="7" in="1">
        <tpls c="4">
          <tpl fld="7" item="423"/>
          <tpl fld="6" item="1"/>
          <tpl hier="236" item="1"/>
          <tpl fld="1" item="0"/>
        </tpls>
      </n>
      <m>
        <tpls c="4">
          <tpl fld="7" item="428"/>
          <tpl fld="6" item="1"/>
          <tpl hier="236" item="1"/>
          <tpl fld="4" item="5"/>
        </tpls>
      </m>
      <m>
        <tpls c="4">
          <tpl fld="7" item="27"/>
          <tpl fld="6" item="1"/>
          <tpl hier="236" item="1"/>
          <tpl fld="1" item="0"/>
        </tpls>
      </m>
      <m>
        <tpls c="4">
          <tpl fld="7" item="113"/>
          <tpl fld="6" item="2"/>
          <tpl hier="236" item="1"/>
          <tpl fld="4" item="4"/>
        </tpls>
      </m>
      <m>
        <tpls c="4">
          <tpl fld="7" item="230"/>
          <tpl fld="6" item="1"/>
          <tpl hier="236" item="1"/>
          <tpl fld="1" item="0"/>
        </tpls>
      </m>
      <n v="1" in="1">
        <tpls c="4">
          <tpl fld="7" item="662"/>
          <tpl fld="6" item="1"/>
          <tpl hier="236" item="1"/>
          <tpl fld="4" item="1"/>
        </tpls>
      </n>
      <m>
        <tpls c="4">
          <tpl fld="7" item="511"/>
          <tpl fld="6" item="2"/>
          <tpl hier="236" item="1"/>
          <tpl fld="1" item="0"/>
        </tpls>
      </m>
      <m>
        <tpls c="4">
          <tpl fld="7" item="1130"/>
          <tpl fld="6" item="1"/>
          <tpl hier="236" item="1"/>
          <tpl fld="4" item="6"/>
        </tpls>
      </m>
      <m>
        <tpls c="4">
          <tpl fld="7" item="506"/>
          <tpl fld="6" item="1"/>
          <tpl hier="236" item="1"/>
          <tpl fld="4" item="5"/>
        </tpls>
      </m>
      <n v="2" in="1">
        <tpls c="4">
          <tpl fld="7" item="573"/>
          <tpl fld="6" item="1"/>
          <tpl hier="236" item="1"/>
          <tpl fld="4" item="5"/>
        </tpls>
      </n>
      <m>
        <tpls c="4">
          <tpl fld="7" item="339"/>
          <tpl fld="6" item="2"/>
          <tpl hier="236" item="1"/>
          <tpl fld="4" item="5"/>
        </tpls>
      </m>
      <m>
        <tpls c="4">
          <tpl fld="7" item="341"/>
          <tpl fld="6" item="1"/>
          <tpl hier="236" item="1"/>
          <tpl fld="4" item="5"/>
        </tpls>
      </m>
      <n v="4" in="1">
        <tpls c="4">
          <tpl fld="7" item="761"/>
          <tpl fld="6" item="1"/>
          <tpl hier="236" item="1"/>
          <tpl fld="1" item="0"/>
        </tpls>
      </n>
      <n v="5" in="1">
        <tpls c="4">
          <tpl fld="7" item="356"/>
          <tpl fld="6" item="1"/>
          <tpl hier="236" item="1"/>
          <tpl fld="4" item="1"/>
        </tpls>
      </n>
      <m>
        <tpls c="4">
          <tpl fld="7" item="256"/>
          <tpl fld="6" item="2"/>
          <tpl hier="236" item="1"/>
          <tpl fld="4" item="6"/>
        </tpls>
      </m>
      <n v="5" in="1">
        <tpls c="4">
          <tpl fld="7" item="1016"/>
          <tpl fld="6" item="1"/>
          <tpl hier="236" item="1"/>
          <tpl fld="4" item="1"/>
        </tpls>
      </n>
      <n v="1" in="1">
        <tpls c="4">
          <tpl fld="7" item="1193"/>
          <tpl fld="6" item="1"/>
          <tpl hier="236" item="1"/>
          <tpl fld="4" item="1"/>
        </tpls>
      </n>
      <m>
        <tpls c="4">
          <tpl fld="7" item="173"/>
          <tpl fld="6" item="1"/>
          <tpl hier="236" item="1"/>
          <tpl fld="4" item="5"/>
        </tpls>
      </m>
      <m>
        <tpls c="3">
          <tpl fld="7" item="664"/>
          <tpl fld="6" item="3"/>
          <tpl hier="236" item="1"/>
        </tpls>
      </m>
      <m>
        <tpls c="4">
          <tpl fld="7" item="156"/>
          <tpl fld="6" item="2"/>
          <tpl hier="236" item="1"/>
          <tpl fld="4" item="5"/>
        </tpls>
      </m>
      <n v="1" in="1">
        <tpls c="4">
          <tpl fld="7" item="867"/>
          <tpl fld="6" item="1"/>
          <tpl hier="236" item="1"/>
          <tpl fld="4" item="4"/>
        </tpls>
      </n>
      <m>
        <tpls c="4">
          <tpl fld="7" item="1018"/>
          <tpl fld="6" item="1"/>
          <tpl hier="236" item="1"/>
          <tpl fld="4" item="5"/>
        </tpls>
      </m>
      <m>
        <tpls c="4">
          <tpl fld="7" item="847"/>
          <tpl fld="6" item="2"/>
          <tpl hier="236" item="1"/>
          <tpl fld="4" item="6"/>
        </tpls>
      </m>
      <m>
        <tpls c="4">
          <tpl fld="7" item="330"/>
          <tpl fld="6" item="2"/>
          <tpl hier="236" item="1"/>
          <tpl fld="1" item="0"/>
        </tpls>
      </m>
      <m>
        <tpls c="4">
          <tpl fld="7" item="809"/>
          <tpl fld="6" item="1"/>
          <tpl hier="236" item="1"/>
          <tpl fld="4" item="4"/>
        </tpls>
      </m>
      <m>
        <tpls c="4">
          <tpl fld="7" item="11"/>
          <tpl fld="6" item="1"/>
          <tpl hier="236" item="1"/>
          <tpl fld="4" item="6"/>
        </tpls>
      </m>
      <n v="2" in="1">
        <tpls c="4">
          <tpl fld="7" item="366"/>
          <tpl fld="6" item="1"/>
          <tpl hier="236" item="1"/>
          <tpl fld="4" item="1"/>
        </tpls>
      </n>
      <m>
        <tpls c="4">
          <tpl fld="7" item="1254"/>
          <tpl fld="6" item="2"/>
          <tpl hier="236" item="1"/>
          <tpl fld="4" item="4"/>
        </tpls>
      </m>
      <m>
        <tpls c="4">
          <tpl fld="7" item="1222"/>
          <tpl fld="6" item="1"/>
          <tpl hier="236" item="1"/>
          <tpl fld="1" item="0"/>
        </tpls>
      </m>
      <m>
        <tpls c="4">
          <tpl fld="7" item="96"/>
          <tpl fld="6" item="1"/>
          <tpl hier="236" item="1"/>
          <tpl fld="4" item="1"/>
        </tpls>
      </m>
      <m>
        <tpls c="4">
          <tpl fld="7" item="680"/>
          <tpl fld="6" item="2"/>
          <tpl hier="236" item="1"/>
          <tpl fld="4" item="6"/>
        </tpls>
      </m>
      <m>
        <tpls c="4">
          <tpl fld="7" item="278"/>
          <tpl fld="6" item="2"/>
          <tpl hier="236" item="1"/>
          <tpl fld="4" item="4"/>
        </tpls>
      </m>
      <m>
        <tpls c="4">
          <tpl fld="7" item="146"/>
          <tpl fld="6" item="2"/>
          <tpl hier="236" item="1"/>
          <tpl fld="4" item="5"/>
        </tpls>
      </m>
      <m>
        <tpls c="3">
          <tpl fld="7" item="470"/>
          <tpl fld="6" item="3"/>
          <tpl hier="236" item="1"/>
        </tpls>
      </m>
      <m>
        <tpls c="4">
          <tpl fld="7" item="191"/>
          <tpl fld="6" item="2"/>
          <tpl hier="236" item="1"/>
          <tpl fld="4" item="6"/>
        </tpls>
      </m>
      <m>
        <tpls c="3">
          <tpl fld="7" item="570"/>
          <tpl fld="6" item="3"/>
          <tpl hier="236" item="1"/>
        </tpls>
      </m>
      <m>
        <tpls c="4">
          <tpl fld="7" item="229"/>
          <tpl fld="6" item="2"/>
          <tpl hier="236" item="1"/>
          <tpl fld="4" item="5"/>
        </tpls>
      </m>
      <m>
        <tpls c="4">
          <tpl fld="7" item="1103"/>
          <tpl fld="6" item="2"/>
          <tpl hier="236" item="1"/>
          <tpl fld="4" item="1"/>
        </tpls>
      </m>
      <m>
        <tpls c="4">
          <tpl fld="7" item="397"/>
          <tpl fld="6" item="2"/>
          <tpl hier="236" item="1"/>
          <tpl fld="1" item="0"/>
        </tpls>
      </m>
      <m>
        <tpls c="4">
          <tpl fld="7" item="404"/>
          <tpl fld="6" item="2"/>
          <tpl hier="236" item="1"/>
          <tpl fld="4" item="6"/>
        </tpls>
      </m>
      <m>
        <tpls c="4">
          <tpl fld="7" item="1195"/>
          <tpl fld="6" item="2"/>
          <tpl hier="236" item="1"/>
          <tpl fld="4" item="4"/>
        </tpls>
      </m>
      <m>
        <tpls c="4">
          <tpl fld="7" item="680"/>
          <tpl fld="6" item="1"/>
          <tpl hier="236" item="1"/>
          <tpl fld="4" item="5"/>
        </tpls>
      </m>
      <m>
        <tpls c="4">
          <tpl fld="7" item="419"/>
          <tpl fld="6" item="1"/>
          <tpl hier="236" item="1"/>
          <tpl fld="1" item="0"/>
        </tpls>
      </m>
      <m>
        <tpls c="3">
          <tpl fld="7" item="60"/>
          <tpl fld="6" item="3"/>
          <tpl hier="236" item="1"/>
        </tpls>
      </m>
      <m>
        <tpls c="4">
          <tpl fld="7" item="149"/>
          <tpl fld="6" item="1"/>
          <tpl hier="236" item="1"/>
          <tpl fld="4" item="1"/>
        </tpls>
      </m>
      <m>
        <tpls c="4">
          <tpl fld="7" item="1120"/>
          <tpl fld="6" item="2"/>
          <tpl hier="236" item="1"/>
          <tpl fld="4" item="5"/>
        </tpls>
      </m>
      <m>
        <tpls c="3">
          <tpl fld="7" item="399"/>
          <tpl fld="6" item="3"/>
          <tpl hier="236" item="1"/>
        </tpls>
      </m>
      <n v="2" in="1">
        <tpls c="4">
          <tpl fld="7" item="1011"/>
          <tpl fld="6" item="1"/>
          <tpl hier="236" item="1"/>
          <tpl fld="1" item="0"/>
        </tpls>
      </n>
      <m>
        <tpls c="4">
          <tpl fld="7" item="79"/>
          <tpl fld="6" item="1"/>
          <tpl hier="236" item="1"/>
          <tpl fld="1" item="0"/>
        </tpls>
      </m>
      <n v="6" in="1">
        <tpls c="4">
          <tpl fld="7" item="729"/>
          <tpl fld="6" item="1"/>
          <tpl hier="236" item="1"/>
          <tpl fld="4" item="4"/>
        </tpls>
      </n>
      <n v="3" in="1">
        <tpls c="4">
          <tpl fld="7" item="858"/>
          <tpl fld="6" item="1"/>
          <tpl hier="236" item="1"/>
          <tpl fld="1" item="0"/>
        </tpls>
      </n>
      <n v="9" in="1">
        <tpls c="4">
          <tpl fld="7" item="1132"/>
          <tpl fld="6" item="1"/>
          <tpl hier="236" item="1"/>
          <tpl fld="4" item="4"/>
        </tpls>
      </n>
      <n v="1" in="1">
        <tpls c="4">
          <tpl fld="7" item="1284"/>
          <tpl fld="6" item="1"/>
          <tpl hier="236" item="1"/>
          <tpl fld="1" item="0"/>
        </tpls>
      </n>
      <n v="6" in="1">
        <tpls c="4">
          <tpl fld="7" item="443"/>
          <tpl fld="6" item="1"/>
          <tpl hier="236" item="1"/>
          <tpl fld="1" item="0"/>
        </tpls>
      </n>
      <m>
        <tpls c="4">
          <tpl fld="7" item="860"/>
          <tpl fld="6" item="1"/>
          <tpl hier="236" item="1"/>
          <tpl fld="4" item="5"/>
        </tpls>
      </m>
      <m>
        <tpls c="4">
          <tpl fld="7" item="419"/>
          <tpl fld="6" item="2"/>
          <tpl hier="236" item="1"/>
          <tpl fld="4" item="6"/>
        </tpls>
      </m>
      <n v="4" in="1">
        <tpls c="4">
          <tpl fld="7" item="1097"/>
          <tpl fld="6" item="1"/>
          <tpl hier="236" item="1"/>
          <tpl fld="4" item="5"/>
        </tpls>
      </n>
      <m>
        <tpls c="4">
          <tpl fld="7" item="728"/>
          <tpl fld="6" item="1"/>
          <tpl hier="236" item="1"/>
          <tpl fld="4" item="6"/>
        </tpls>
      </m>
      <m>
        <tpls c="4">
          <tpl fld="7" item="856"/>
          <tpl fld="6" item="2"/>
          <tpl hier="236" item="1"/>
          <tpl fld="4" item="1"/>
        </tpls>
      </m>
      <m>
        <tpls c="4">
          <tpl fld="7" item="812"/>
          <tpl fld="6" item="1"/>
          <tpl hier="236" item="1"/>
          <tpl fld="4" item="4"/>
        </tpls>
      </m>
      <m>
        <tpls c="4">
          <tpl fld="7" item="349"/>
          <tpl fld="6" item="1"/>
          <tpl hier="236" item="1"/>
          <tpl fld="1" item="0"/>
        </tpls>
      </m>
      <n v="3" in="1">
        <tpls c="4">
          <tpl fld="7" item="425"/>
          <tpl fld="6" item="1"/>
          <tpl hier="236" item="1"/>
          <tpl fld="4" item="5"/>
        </tpls>
      </n>
      <m>
        <tpls c="3">
          <tpl fld="7" item="106"/>
          <tpl fld="6" item="3"/>
          <tpl hier="236" item="1"/>
        </tpls>
      </m>
      <n v="1" in="1">
        <tpls c="4">
          <tpl fld="7" item="524"/>
          <tpl fld="6" item="1"/>
          <tpl hier="236" item="1"/>
          <tpl fld="4" item="5"/>
        </tpls>
      </n>
      <m>
        <tpls c="4">
          <tpl fld="7" item="116"/>
          <tpl fld="6" item="2"/>
          <tpl hier="236" item="1"/>
          <tpl fld="4" item="5"/>
        </tpls>
      </m>
      <m>
        <tpls c="4">
          <tpl fld="7" item="473"/>
          <tpl fld="6" item="1"/>
          <tpl hier="236" item="1"/>
          <tpl fld="1" item="0"/>
        </tpls>
      </m>
      <m>
        <tpls c="4">
          <tpl fld="7" item="1247"/>
          <tpl fld="6" item="2"/>
          <tpl hier="236" item="1"/>
          <tpl fld="4" item="1"/>
        </tpls>
      </m>
      <n v="1" in="1">
        <tpls c="4">
          <tpl fld="7" item="708"/>
          <tpl fld="6" item="1"/>
          <tpl hier="236" item="1"/>
          <tpl fld="1" item="0"/>
        </tpls>
      </n>
      <m>
        <tpls c="4">
          <tpl fld="7" item="467"/>
          <tpl fld="6" item="2"/>
          <tpl hier="236" item="1"/>
          <tpl fld="4" item="4"/>
        </tpls>
      </m>
      <m>
        <tpls c="4">
          <tpl fld="7" item="956"/>
          <tpl fld="6" item="1"/>
          <tpl hier="236" item="1"/>
          <tpl fld="4" item="1"/>
        </tpls>
      </m>
      <n v="5" in="1">
        <tpls c="4">
          <tpl fld="7" item="358"/>
          <tpl fld="6" item="1"/>
          <tpl hier="236" item="1"/>
          <tpl fld="1" item="0"/>
        </tpls>
      </n>
      <m>
        <tpls c="4">
          <tpl fld="7" item="401"/>
          <tpl fld="6" item="1"/>
          <tpl hier="236" item="1"/>
          <tpl fld="1" item="0"/>
        </tpls>
      </m>
      <n v="0.88000000000000012" in="2">
        <tpls c="4">
          <tpl fld="7" item="626"/>
          <tpl fld="6" item="2"/>
          <tpl hier="236" item="1"/>
          <tpl fld="4" item="5"/>
        </tpls>
      </n>
      <n v="1" in="1">
        <tpls c="4">
          <tpl fld="7" item="1119"/>
          <tpl fld="6" item="1"/>
          <tpl hier="236" item="1"/>
          <tpl fld="4" item="1"/>
        </tpls>
      </n>
      <n v="1" in="1">
        <tpls c="4">
          <tpl fld="7" item="146"/>
          <tpl fld="6" item="1"/>
          <tpl hier="236" item="1"/>
          <tpl fld="4" item="1"/>
        </tpls>
      </n>
      <m>
        <tpls c="4">
          <tpl fld="7" item="81"/>
          <tpl fld="6" item="1"/>
          <tpl hier="236" item="1"/>
          <tpl fld="4" item="1"/>
        </tpls>
      </m>
      <m>
        <tpls c="4">
          <tpl fld="7" item="845"/>
          <tpl fld="6" item="2"/>
          <tpl hier="236" item="1"/>
          <tpl fld="4" item="1"/>
        </tpls>
      </m>
      <m>
        <tpls c="4">
          <tpl fld="7" item="335"/>
          <tpl fld="6" item="2"/>
          <tpl hier="236" item="1"/>
          <tpl fld="4" item="5"/>
        </tpls>
      </m>
      <n v="0.75945945945945947" in="2">
        <tpls c="4">
          <tpl fld="7" item="427"/>
          <tpl fld="6" item="2"/>
          <tpl hier="236" item="1"/>
          <tpl fld="4" item="5"/>
        </tpls>
      </n>
      <m>
        <tpls c="4">
          <tpl fld="7" item="144"/>
          <tpl fld="6" item="1"/>
          <tpl hier="236" item="1"/>
          <tpl fld="4" item="1"/>
        </tpls>
      </m>
      <m>
        <tpls c="4">
          <tpl fld="7" item="344"/>
          <tpl fld="6" item="1"/>
          <tpl hier="236" item="1"/>
          <tpl fld="1" item="0"/>
        </tpls>
      </m>
      <m>
        <tpls c="4">
          <tpl fld="7" item="364"/>
          <tpl fld="6" item="1"/>
          <tpl hier="236" item="1"/>
          <tpl fld="4" item="1"/>
        </tpls>
      </m>
      <m>
        <tpls c="4">
          <tpl fld="7" item="924"/>
          <tpl fld="6" item="2"/>
          <tpl hier="236" item="1"/>
          <tpl fld="4" item="5"/>
        </tpls>
      </m>
      <m>
        <tpls c="4">
          <tpl fld="7" item="668"/>
          <tpl fld="6" item="2"/>
          <tpl hier="236" item="1"/>
          <tpl fld="4" item="5"/>
        </tpls>
      </m>
      <n v="1.2" in="2">
        <tpls c="4">
          <tpl fld="7" item="425"/>
          <tpl fld="6" item="2"/>
          <tpl hier="236" item="1"/>
          <tpl fld="4" item="5"/>
        </tpls>
      </n>
      <m>
        <tpls c="4">
          <tpl fld="7" item="397"/>
          <tpl fld="6" item="2"/>
          <tpl hier="236" item="1"/>
          <tpl fld="4" item="5"/>
        </tpls>
      </m>
      <n v="8" in="1">
        <tpls c="4">
          <tpl fld="7" item="1285"/>
          <tpl fld="6" item="1"/>
          <tpl hier="236" item="1"/>
          <tpl fld="4" item="4"/>
        </tpls>
      </n>
      <n v="3" in="1">
        <tpls c="4">
          <tpl fld="7" item="1198"/>
          <tpl fld="6" item="1"/>
          <tpl hier="236" item="1"/>
          <tpl fld="4" item="4"/>
        </tpls>
      </n>
      <m>
        <tpls c="4">
          <tpl fld="7" item="790"/>
          <tpl fld="6" item="1"/>
          <tpl hier="236" item="1"/>
          <tpl fld="4" item="6"/>
        </tpls>
      </m>
      <m>
        <tpls c="3">
          <tpl fld="7" item="222"/>
          <tpl fld="6" item="3"/>
          <tpl hier="236" item="1"/>
        </tpls>
      </m>
      <n v="0" in="1">
        <tpls c="4">
          <tpl fld="7" item="1140"/>
          <tpl fld="6" item="1"/>
          <tpl hier="236" item="1"/>
          <tpl fld="4" item="5"/>
        </tpls>
      </n>
      <n v="1" in="1">
        <tpls c="4">
          <tpl fld="7" item="1037"/>
          <tpl fld="6" item="1"/>
          <tpl hier="236" item="1"/>
          <tpl fld="1" item="0"/>
        </tpls>
      </n>
      <m>
        <tpls c="4">
          <tpl fld="7" item="1047"/>
          <tpl fld="6" item="1"/>
          <tpl hier="236" item="1"/>
          <tpl fld="1" item="0"/>
        </tpls>
      </m>
      <n v="1" in="1">
        <tpls c="4">
          <tpl fld="7" item="1041"/>
          <tpl fld="6" item="1"/>
          <tpl hier="236" item="1"/>
          <tpl fld="1" item="0"/>
        </tpls>
      </n>
      <n v="2" in="1">
        <tpls c="4">
          <tpl fld="7" item="1035"/>
          <tpl fld="6" item="1"/>
          <tpl hier="236" item="1"/>
          <tpl fld="1" item="0"/>
        </tpls>
      </n>
      <m>
        <tpls c="4">
          <tpl fld="7" item="1273"/>
          <tpl fld="6" item="1"/>
          <tpl hier="236" item="1"/>
          <tpl fld="4" item="6"/>
        </tpls>
      </m>
      <m>
        <tpls c="4">
          <tpl fld="7" item="1274"/>
          <tpl fld="6" item="1"/>
          <tpl hier="236" item="1"/>
          <tpl fld="4" item="5"/>
        </tpls>
      </m>
      <m>
        <tpls c="4">
          <tpl fld="7" item="1260"/>
          <tpl fld="6" item="2"/>
          <tpl hier="236" item="1"/>
          <tpl fld="1" item="0"/>
        </tpls>
      </m>
      <m>
        <tpls c="4">
          <tpl fld="7" item="1210"/>
          <tpl fld="6" item="2"/>
          <tpl hier="236" item="1"/>
          <tpl fld="1" item="0"/>
        </tpls>
      </m>
      <m>
        <tpls c="4">
          <tpl fld="7" item="1258"/>
          <tpl fld="6" item="2"/>
          <tpl hier="236" item="1"/>
          <tpl fld="1" item="0"/>
        </tpls>
      </m>
      <m>
        <tpls c="4">
          <tpl fld="7" item="953"/>
          <tpl fld="6" item="2"/>
          <tpl hier="236" item="1"/>
          <tpl fld="1" item="0"/>
        </tpls>
      </m>
      <m>
        <tpls c="4">
          <tpl fld="7" item="1204"/>
          <tpl fld="6" item="2"/>
          <tpl hier="236" item="1"/>
          <tpl fld="1" item="0"/>
        </tpls>
      </m>
      <m>
        <tpls c="4">
          <tpl fld="7" item="1267"/>
          <tpl fld="6" item="2"/>
          <tpl hier="236" item="1"/>
          <tpl fld="1" item="0"/>
        </tpls>
      </m>
      <m>
        <tpls c="4">
          <tpl fld="7" item="1036"/>
          <tpl fld="6" item="2"/>
          <tpl hier="236" item="1"/>
          <tpl fld="1" item="0"/>
        </tpls>
      </m>
      <m>
        <tpls c="4">
          <tpl fld="7" item="1050"/>
          <tpl fld="6" item="2"/>
          <tpl hier="236" item="1"/>
          <tpl fld="1" item="0"/>
        </tpls>
      </m>
      <m>
        <tpls c="4">
          <tpl fld="7" item="1135"/>
          <tpl fld="6" item="2"/>
          <tpl hier="236" item="1"/>
          <tpl fld="1" item="0"/>
        </tpls>
      </m>
      <m>
        <tpls c="4">
          <tpl fld="7" item="943"/>
          <tpl fld="6" item="2"/>
          <tpl hier="236" item="1"/>
          <tpl fld="1" item="0"/>
        </tpls>
      </m>
      <m>
        <tpls c="4">
          <tpl fld="7" item="1174"/>
          <tpl fld="6" item="2"/>
          <tpl hier="236" item="1"/>
          <tpl fld="1" item="0"/>
        </tpls>
      </m>
      <m>
        <tpls c="4">
          <tpl fld="7" item="942"/>
          <tpl fld="6" item="2"/>
          <tpl hier="236" item="1"/>
          <tpl fld="1" item="0"/>
        </tpls>
      </m>
      <m>
        <tpls c="4">
          <tpl fld="7" item="1253"/>
          <tpl fld="6" item="2"/>
          <tpl hier="236" item="1"/>
          <tpl fld="1" item="0"/>
        </tpls>
      </m>
      <m>
        <tpls c="4">
          <tpl fld="7" item="926"/>
          <tpl fld="6" item="2"/>
          <tpl hier="236" item="1"/>
          <tpl fld="1" item="0"/>
        </tpls>
      </m>
      <m>
        <tpls c="4">
          <tpl fld="7" item="1138"/>
          <tpl fld="6" item="2"/>
          <tpl hier="236" item="1"/>
          <tpl fld="1" item="0"/>
        </tpls>
      </m>
      <m>
        <tpls c="4">
          <tpl fld="7" item="1035"/>
          <tpl fld="6" item="2"/>
          <tpl hier="236" item="1"/>
          <tpl fld="1" item="0"/>
        </tpls>
      </m>
      <m>
        <tpls c="4">
          <tpl fld="7" item="1250"/>
          <tpl fld="6" item="2"/>
          <tpl hier="236" item="1"/>
          <tpl fld="1" item="0"/>
        </tpls>
      </m>
      <m>
        <tpls c="4">
          <tpl fld="7" item="1065"/>
          <tpl fld="6" item="2"/>
          <tpl hier="236" item="1"/>
          <tpl fld="1" item="0"/>
        </tpls>
      </m>
      <m>
        <tpls c="4">
          <tpl fld="7" item="1173"/>
          <tpl fld="6" item="2"/>
          <tpl hier="236" item="1"/>
          <tpl fld="1" item="0"/>
        </tpls>
      </m>
      <m>
        <tpls c="4">
          <tpl fld="7" item="933"/>
          <tpl fld="6" item="2"/>
          <tpl hier="236" item="1"/>
          <tpl fld="1" item="0"/>
        </tpls>
      </m>
      <m>
        <tpls c="4">
          <tpl fld="7" item="1225"/>
          <tpl fld="6" item="2"/>
          <tpl hier="236" item="1"/>
          <tpl fld="1" item="0"/>
        </tpls>
      </m>
      <m>
        <tpls c="4">
          <tpl fld="7" item="948"/>
          <tpl fld="6" item="2"/>
          <tpl hier="236" item="1"/>
          <tpl fld="1" item="0"/>
        </tpls>
      </m>
      <m>
        <tpls c="4">
          <tpl fld="7" item="1203"/>
          <tpl fld="6" item="2"/>
          <tpl hier="236" item="1"/>
          <tpl fld="1" item="0"/>
        </tpls>
      </m>
      <m>
        <tpls c="4">
          <tpl fld="7" item="963"/>
          <tpl fld="6" item="2"/>
          <tpl hier="236" item="1"/>
          <tpl fld="1" item="0"/>
        </tpls>
      </m>
      <m>
        <tpls c="4">
          <tpl fld="7" item="1136"/>
          <tpl fld="6" item="2"/>
          <tpl hier="236" item="1"/>
          <tpl fld="1" item="0"/>
        </tpls>
      </m>
      <m>
        <tpls c="4">
          <tpl fld="7" item="1033"/>
          <tpl fld="6" item="2"/>
          <tpl hier="236" item="1"/>
          <tpl fld="1" item="0"/>
        </tpls>
      </m>
      <m>
        <tpls c="4">
          <tpl fld="7" item="1063"/>
          <tpl fld="6" item="2"/>
          <tpl hier="236" item="1"/>
          <tpl fld="1" item="0"/>
        </tpls>
      </m>
      <m>
        <tpls c="4">
          <tpl fld="7" item="1048"/>
          <tpl fld="6" item="2"/>
          <tpl hier="236" item="1"/>
          <tpl fld="1" item="0"/>
        </tpls>
      </m>
      <m>
        <tpls c="4">
          <tpl fld="7" item="947"/>
          <tpl fld="6" item="2"/>
          <tpl hier="236" item="1"/>
          <tpl fld="1" item="0"/>
        </tpls>
      </m>
      <m>
        <tpls c="4">
          <tpl fld="7" item="1170"/>
          <tpl fld="6" item="2"/>
          <tpl hier="236" item="1"/>
          <tpl fld="1" item="0"/>
        </tpls>
      </m>
      <m>
        <tpls c="4">
          <tpl fld="7" item="930"/>
          <tpl fld="6" item="2"/>
          <tpl hier="236" item="1"/>
          <tpl fld="1" item="0"/>
        </tpls>
      </m>
      <m>
        <tpls c="4">
          <tpl fld="7" item="1150"/>
          <tpl fld="6" item="2"/>
          <tpl hier="236" item="1"/>
          <tpl fld="1" item="0"/>
        </tpls>
      </m>
      <m>
        <tpls c="4">
          <tpl fld="7" item="1047"/>
          <tpl fld="6" item="2"/>
          <tpl hier="236" item="1"/>
          <tpl fld="1" item="0"/>
        </tpls>
      </m>
      <m>
        <tpls c="4">
          <tpl fld="7" item="1279"/>
          <tpl fld="6" item="2"/>
          <tpl hier="236" item="1"/>
          <tpl fld="4" item="6"/>
        </tpls>
      </m>
      <m>
        <tpls c="3">
          <tpl fld="7" item="948"/>
          <tpl fld="6" item="3"/>
          <tpl hier="236" item="1"/>
        </tpls>
      </m>
      <m>
        <tpls c="3">
          <tpl fld="7" item="1038"/>
          <tpl fld="6" item="3"/>
          <tpl hier="236" item="1"/>
        </tpls>
      </m>
      <m>
        <tpls c="3">
          <tpl fld="7" item="1059"/>
          <tpl fld="6" item="3"/>
          <tpl hier="236" item="1"/>
        </tpls>
      </m>
      <m>
        <tpls c="3">
          <tpl fld="7" item="936"/>
          <tpl fld="6" item="3"/>
          <tpl hier="236" item="1"/>
        </tpls>
      </m>
      <m>
        <tpls c="3">
          <tpl fld="7" item="1133"/>
          <tpl fld="6" item="3"/>
          <tpl hier="236" item="1"/>
        </tpls>
      </m>
      <m>
        <tpls c="3">
          <tpl fld="7" item="926"/>
          <tpl fld="6" item="3"/>
          <tpl hier="236" item="1"/>
        </tpls>
      </m>
      <m>
        <tpls c="3">
          <tpl fld="7" item="958"/>
          <tpl fld="6" item="3"/>
          <tpl hier="236" item="1"/>
        </tpls>
      </m>
      <m>
        <tpls c="3">
          <tpl fld="7" item="944"/>
          <tpl fld="6" item="3"/>
          <tpl hier="236" item="1"/>
        </tpls>
      </m>
      <m>
        <tpls c="3">
          <tpl fld="7" item="875"/>
          <tpl fld="6" item="3"/>
          <tpl hier="236" item="1"/>
        </tpls>
      </m>
      <m>
        <tpls c="3">
          <tpl fld="7" item="1283"/>
          <tpl fld="6" item="3"/>
          <tpl hier="236" item="1"/>
        </tpls>
      </m>
      <m>
        <tpls c="4">
          <tpl fld="7" item="1283"/>
          <tpl fld="6" item="2"/>
          <tpl hier="236" item="1"/>
          <tpl fld="1" item="0"/>
        </tpls>
      </m>
      <m>
        <tpls c="4">
          <tpl fld="7" item="1285"/>
          <tpl fld="6" item="2"/>
          <tpl hier="236" item="1"/>
          <tpl fld="1" item="0"/>
        </tpls>
      </m>
      <n v="0" in="1">
        <tpls c="6">
          <tpl fld="11" item="0"/>
          <tpl fld="5" item="4"/>
          <tpl fld="6" item="1"/>
          <tpl hier="236" item="1"/>
          <tpl fld="4" item="3"/>
          <tpl fld="10" item="0"/>
        </tpls>
      </n>
      <n v="0" in="1">
        <tpls c="6">
          <tpl fld="11" item="0"/>
          <tpl fld="5" item="3"/>
          <tpl fld="6" item="1"/>
          <tpl hier="236" item="1"/>
          <tpl fld="4" item="7"/>
          <tpl fld="10" item="4"/>
        </tpls>
      </n>
      <n v="69" in="1">
        <tpls c="6">
          <tpl fld="3" item="3"/>
          <tpl fld="11" item="0"/>
          <tpl fld="6" item="1"/>
          <tpl hier="236" item="1"/>
          <tpl fld="4" item="6"/>
          <tpl fld="10" item="0"/>
        </tpls>
      </n>
      <n v="62" in="1">
        <tpls c="6">
          <tpl fld="3" item="3"/>
          <tpl fld="11" item="0"/>
          <tpl fld="6" item="1"/>
          <tpl hier="236" item="1"/>
          <tpl fld="4" item="1"/>
          <tpl fld="9" item="4"/>
        </tpls>
      </n>
      <n v="2" in="1">
        <tpls c="6">
          <tpl fld="3" item="3"/>
          <tpl fld="11" item="0"/>
          <tpl fld="6" item="1"/>
          <tpl hier="236" item="1"/>
          <tpl fld="4" item="4"/>
          <tpl fld="10" item="6"/>
        </tpls>
      </n>
      <m>
        <tpls c="6">
          <tpl fld="3" item="3"/>
          <tpl fld="11" item="0"/>
          <tpl fld="6" item="1"/>
          <tpl hier="236" item="1"/>
          <tpl fld="4" item="3"/>
          <tpl fld="10" item="6"/>
        </tpls>
      </m>
      <n v="3.96" in="2">
        <tpls c="6">
          <tpl fld="3" item="3"/>
          <tpl fld="11" item="0"/>
          <tpl fld="6" item="2"/>
          <tpl hier="236" item="1"/>
          <tpl fld="4" item="3"/>
          <tpl fld="10" item="0"/>
        </tpls>
      </n>
      <n v="7" in="1">
        <tpls c="6">
          <tpl fld="3" item="3"/>
          <tpl fld="11" item="0"/>
          <tpl fld="6" item="1"/>
          <tpl hier="236" item="1"/>
          <tpl fld="4" item="6"/>
          <tpl fld="10" item="5"/>
        </tpls>
      </n>
      <n v="18.889189189189185" in="2">
        <tpls c="6">
          <tpl fld="3" item="3"/>
          <tpl fld="11" item="0"/>
          <tpl fld="6" item="2"/>
          <tpl hier="236" item="1"/>
          <tpl fld="4" item="3"/>
          <tpl fld="10" item="2"/>
        </tpls>
      </n>
      <n v="1" in="1">
        <tpls c="4">
          <tpl fld="7" item="423"/>
          <tpl fld="6" item="1"/>
          <tpl hier="236" item="1"/>
          <tpl fld="4" item="1"/>
        </tpls>
      </n>
      <n v="10" in="1">
        <tpls c="4">
          <tpl fld="7" item="797"/>
          <tpl fld="6" item="1"/>
          <tpl hier="236" item="1"/>
          <tpl fld="1" item="0"/>
        </tpls>
      </n>
      <n v="1" in="1">
        <tpls c="4">
          <tpl fld="7" item="1112"/>
          <tpl fld="6" item="1"/>
          <tpl hier="236" item="1"/>
          <tpl fld="1" item="0"/>
        </tpls>
      </n>
      <m>
        <tpls c="4">
          <tpl fld="7" item="534"/>
          <tpl fld="6" item="2"/>
          <tpl hier="236" item="1"/>
          <tpl fld="4" item="5"/>
        </tpls>
      </m>
      <m>
        <tpls c="4">
          <tpl fld="7" item="1165"/>
          <tpl fld="6" item="1"/>
          <tpl hier="236" item="1"/>
          <tpl fld="4" item="4"/>
        </tpls>
      </m>
      <m>
        <tpls c="4">
          <tpl fld="7" item="62"/>
          <tpl fld="6" item="1"/>
          <tpl hier="236" item="1"/>
          <tpl fld="4" item="5"/>
        </tpls>
      </m>
      <m>
        <tpls c="4">
          <tpl fld="7" item="995"/>
          <tpl fld="6" item="1"/>
          <tpl hier="236" item="1"/>
          <tpl fld="4" item="6"/>
        </tpls>
      </m>
      <m>
        <tpls c="4">
          <tpl fld="7" item="1028"/>
          <tpl fld="6" item="2"/>
          <tpl hier="236" item="1"/>
          <tpl fld="4" item="5"/>
        </tpls>
      </m>
      <n v="3" in="1">
        <tpls c="4">
          <tpl fld="7" item="1080"/>
          <tpl fld="6" item="1"/>
          <tpl hier="236" item="1"/>
          <tpl fld="4" item="4"/>
        </tpls>
      </n>
      <n v="0.2" in="2">
        <tpls c="4">
          <tpl fld="7" item="381"/>
          <tpl fld="6" item="2"/>
          <tpl hier="236" item="1"/>
          <tpl fld="1" item="0"/>
        </tpls>
      </n>
      <m>
        <tpls c="4">
          <tpl fld="7" item="903"/>
          <tpl fld="6" item="2"/>
          <tpl hier="236" item="1"/>
          <tpl fld="4" item="6"/>
        </tpls>
      </m>
      <m>
        <tpls c="4">
          <tpl fld="7" item="256"/>
          <tpl fld="6" item="1"/>
          <tpl hier="236" item="1"/>
          <tpl fld="4" item="5"/>
        </tpls>
      </m>
      <m>
        <tpls c="4">
          <tpl fld="7" item="283"/>
          <tpl fld="6" item="1"/>
          <tpl hier="236" item="1"/>
          <tpl fld="4" item="5"/>
        </tpls>
      </m>
      <n v="4" in="1">
        <tpls c="4">
          <tpl fld="7" item="444"/>
          <tpl fld="6" item="1"/>
          <tpl hier="236" item="1"/>
          <tpl fld="4" item="1"/>
        </tpls>
      </n>
      <n v="1" in="2">
        <tpls c="4">
          <tpl fld="7" item="677"/>
          <tpl fld="6" item="2"/>
          <tpl hier="236" item="1"/>
          <tpl fld="4" item="6"/>
        </tpls>
      </n>
      <m>
        <tpls c="4">
          <tpl fld="7" item="186"/>
          <tpl fld="6" item="2"/>
          <tpl hier="236" item="1"/>
          <tpl fld="4" item="6"/>
        </tpls>
      </m>
      <m>
        <tpls c="4">
          <tpl fld="7" item="26"/>
          <tpl fld="6" item="1"/>
          <tpl hier="236" item="1"/>
          <tpl fld="4" item="6"/>
        </tpls>
      </m>
      <m>
        <tpls c="4">
          <tpl fld="7" item="987"/>
          <tpl fld="6" item="2"/>
          <tpl hier="236" item="1"/>
          <tpl fld="4" item="4"/>
        </tpls>
      </m>
      <n v="2" in="1">
        <tpls c="4">
          <tpl fld="7" item="1244"/>
          <tpl fld="6" item="1"/>
          <tpl hier="236" item="1"/>
          <tpl fld="4" item="4"/>
        </tpls>
      </n>
      <m>
        <tpls c="4">
          <tpl fld="7" item="673"/>
          <tpl fld="6" item="2"/>
          <tpl hier="236" item="1"/>
          <tpl fld="4" item="5"/>
        </tpls>
      </m>
      <m>
        <tpls c="4">
          <tpl fld="7" item="1244"/>
          <tpl fld="6" item="1"/>
          <tpl hier="236" item="1"/>
          <tpl fld="4" item="1"/>
        </tpls>
      </m>
      <n v="4" in="1">
        <tpls c="4">
          <tpl fld="7" item="1232"/>
          <tpl fld="6" item="1"/>
          <tpl hier="236" item="1"/>
          <tpl fld="4" item="4"/>
        </tpls>
      </n>
      <m>
        <tpls c="4">
          <tpl fld="7" item="472"/>
          <tpl fld="6" item="2"/>
          <tpl hier="236" item="1"/>
          <tpl fld="4" item="6"/>
        </tpls>
      </m>
      <m>
        <tpls c="4">
          <tpl fld="7" item="303"/>
          <tpl fld="6" item="1"/>
          <tpl hier="236" item="1"/>
          <tpl fld="4" item="1"/>
        </tpls>
      </m>
      <n v="3" in="2">
        <tpls c="4">
          <tpl fld="7" item="677"/>
          <tpl fld="6" item="2"/>
          <tpl hier="236" item="1"/>
          <tpl fld="1" item="0"/>
        </tpls>
      </n>
      <m>
        <tpls c="3">
          <tpl fld="7" item="221"/>
          <tpl fld="6" item="3"/>
          <tpl hier="236" item="1"/>
        </tpls>
      </m>
      <m>
        <tpls c="4">
          <tpl fld="7" item="840"/>
          <tpl fld="6" item="2"/>
          <tpl hier="236" item="1"/>
          <tpl fld="4" item="5"/>
        </tpls>
      </m>
      <m>
        <tpls c="4">
          <tpl fld="7" item="216"/>
          <tpl fld="6" item="1"/>
          <tpl hier="236" item="1"/>
          <tpl fld="4" item="6"/>
        </tpls>
      </m>
      <m>
        <tpls c="4">
          <tpl fld="7" item="111"/>
          <tpl fld="6" item="2"/>
          <tpl hier="236" item="1"/>
          <tpl fld="4" item="5"/>
        </tpls>
      </m>
      <m>
        <tpls c="3">
          <tpl fld="7" item="240"/>
          <tpl fld="6" item="3"/>
          <tpl hier="236" item="1"/>
        </tpls>
      </m>
      <m>
        <tpls c="3">
          <tpl fld="7" item="227"/>
          <tpl fld="6" item="3"/>
          <tpl hier="236" item="1"/>
        </tpls>
      </m>
      <m>
        <tpls c="4">
          <tpl fld="7" item="212"/>
          <tpl fld="6" item="2"/>
          <tpl hier="236" item="1"/>
          <tpl fld="4" item="6"/>
        </tpls>
      </m>
      <n v="0" in="1">
        <tpls c="4">
          <tpl fld="7" item="1110"/>
          <tpl fld="6" item="1"/>
          <tpl hier="236" item="1"/>
          <tpl fld="4" item="1"/>
        </tpls>
      </n>
      <m>
        <tpls c="4">
          <tpl fld="7" item="318"/>
          <tpl fld="6" item="2"/>
          <tpl hier="236" item="1"/>
          <tpl fld="4" item="6"/>
        </tpls>
      </m>
      <m>
        <tpls c="4">
          <tpl fld="7" item="401"/>
          <tpl fld="6" item="2"/>
          <tpl hier="236" item="1"/>
          <tpl fld="4" item="5"/>
        </tpls>
      </m>
      <m>
        <tpls c="4">
          <tpl fld="7" item="1278"/>
          <tpl fld="6" item="1"/>
          <tpl hier="236" item="1"/>
          <tpl fld="4" item="5"/>
        </tpls>
      </m>
      <n v="3" in="1">
        <tpls c="4">
          <tpl fld="7" item="1220"/>
          <tpl fld="6" item="1"/>
          <tpl hier="236" item="1"/>
          <tpl fld="1" item="0"/>
        </tpls>
      </n>
      <n v="24" in="1">
        <tpls c="4">
          <tpl fld="7" item="1015"/>
          <tpl fld="6" item="1"/>
          <tpl hier="236" item="1"/>
          <tpl fld="4" item="4"/>
        </tpls>
      </n>
      <m>
        <tpls c="4">
          <tpl fld="7" item="1277"/>
          <tpl fld="6" item="2"/>
          <tpl hier="236" item="1"/>
          <tpl fld="1" item="0"/>
        </tpls>
      </m>
      <m>
        <tpls c="4">
          <tpl fld="7" item="257"/>
          <tpl fld="6" item="1"/>
          <tpl hier="236" item="1"/>
          <tpl fld="4" item="5"/>
        </tpls>
      </m>
      <n v="17" in="1">
        <tpls c="4">
          <tpl fld="7" item="643"/>
          <tpl fld="6" item="1"/>
          <tpl hier="236" item="1"/>
          <tpl fld="4" item="1"/>
        </tpls>
      </n>
      <m>
        <tpls c="4">
          <tpl fld="7" item="593"/>
          <tpl fld="6" item="1"/>
          <tpl hier="236" item="1"/>
          <tpl fld="4" item="5"/>
        </tpls>
      </m>
      <m>
        <tpls c="4">
          <tpl fld="7" item="187"/>
          <tpl fld="6" item="1"/>
          <tpl hier="236" item="1"/>
          <tpl fld="4" item="5"/>
        </tpls>
      </m>
      <m>
        <tpls c="4">
          <tpl fld="7" item="1128"/>
          <tpl fld="6" item="1"/>
          <tpl hier="236" item="1"/>
          <tpl fld="1" item="0"/>
        </tpls>
      </m>
      <m>
        <tpls c="4">
          <tpl fld="7" item="1004"/>
          <tpl fld="6" item="1"/>
          <tpl hier="236" item="1"/>
          <tpl fld="1" item="0"/>
        </tpls>
      </m>
      <m>
        <tpls c="4">
          <tpl fld="7" item="371"/>
          <tpl fld="6" item="1"/>
          <tpl hier="236" item="1"/>
          <tpl fld="1" item="0"/>
        </tpls>
      </m>
      <m>
        <tpls c="4">
          <tpl fld="7" item="85"/>
          <tpl fld="6" item="1"/>
          <tpl hier="236" item="1"/>
          <tpl fld="4" item="1"/>
        </tpls>
      </m>
      <m>
        <tpls c="4">
          <tpl fld="7" item="128"/>
          <tpl fld="6" item="2"/>
          <tpl hier="236" item="1"/>
          <tpl fld="4" item="6"/>
        </tpls>
      </m>
      <m>
        <tpls c="4">
          <tpl fld="7" item="1119"/>
          <tpl fld="6" item="2"/>
          <tpl hier="236" item="1"/>
          <tpl fld="4" item="5"/>
        </tpls>
      </m>
      <m>
        <tpls c="4">
          <tpl fld="7" item="1197"/>
          <tpl fld="6" item="1"/>
          <tpl hier="236" item="1"/>
          <tpl fld="1" item="0"/>
        </tpls>
      </m>
      <n v="2" in="1">
        <tpls c="4">
          <tpl fld="7" item="362"/>
          <tpl fld="6" item="1"/>
          <tpl hier="236" item="1"/>
          <tpl fld="4" item="1"/>
        </tpls>
      </n>
      <m>
        <tpls c="3">
          <tpl fld="7" item="729"/>
          <tpl fld="6" item="3"/>
          <tpl hier="236" item="1"/>
        </tpls>
      </m>
      <m>
        <tpls c="4">
          <tpl fld="7" item="877"/>
          <tpl fld="6" item="2"/>
          <tpl hier="236" item="1"/>
          <tpl fld="4" item="5"/>
        </tpls>
      </m>
      <m>
        <tpls c="4">
          <tpl fld="7" item="45"/>
          <tpl fld="6" item="1"/>
          <tpl hier="236" item="1"/>
          <tpl fld="4" item="1"/>
        </tpls>
      </m>
      <m>
        <tpls c="4">
          <tpl fld="7" item="1154"/>
          <tpl fld="6" item="2"/>
          <tpl hier="236" item="1"/>
          <tpl fld="4" item="4"/>
        </tpls>
      </m>
      <m>
        <tpls c="3">
          <tpl fld="7" item="2"/>
          <tpl fld="6" item="3"/>
          <tpl hier="236" item="1"/>
        </tpls>
      </m>
      <m>
        <tpls c="4">
          <tpl fld="7" item="130"/>
          <tpl fld="6" item="2"/>
          <tpl hier="236" item="1"/>
          <tpl fld="4" item="6"/>
        </tpls>
      </m>
      <m>
        <tpls c="4">
          <tpl fld="7" item="352"/>
          <tpl fld="6" item="2"/>
          <tpl hier="236" item="1"/>
          <tpl fld="4" item="5"/>
        </tpls>
      </m>
      <n v="1" in="1">
        <tpls c="4">
          <tpl fld="7" item="818"/>
          <tpl fld="6" item="1"/>
          <tpl hier="236" item="1"/>
          <tpl fld="4" item="4"/>
        </tpls>
      </n>
      <m>
        <tpls c="4">
          <tpl fld="7" item="157"/>
          <tpl fld="6" item="1"/>
          <tpl hier="236" item="1"/>
          <tpl fld="4" item="1"/>
        </tpls>
      </m>
      <m>
        <tpls c="4">
          <tpl fld="7" item="347"/>
          <tpl fld="6" item="2"/>
          <tpl hier="236" item="1"/>
          <tpl fld="4" item="5"/>
        </tpls>
      </m>
      <n v="2" in="1">
        <tpls c="4">
          <tpl fld="7" item="1106"/>
          <tpl fld="6" item="1"/>
          <tpl hier="236" item="1"/>
          <tpl fld="4" item="1"/>
        </tpls>
      </n>
      <m>
        <tpls c="4">
          <tpl fld="7" item="1212"/>
          <tpl fld="6" item="2"/>
          <tpl hier="236" item="1"/>
          <tpl fld="4" item="6"/>
        </tpls>
      </m>
      <n v="0.6" in="2">
        <tpls c="4">
          <tpl fld="7" item="513"/>
          <tpl fld="6" item="2"/>
          <tpl hier="236" item="1"/>
          <tpl fld="1" item="0"/>
        </tpls>
      </n>
      <m>
        <tpls c="4">
          <tpl fld="7" item="621"/>
          <tpl fld="6" item="2"/>
          <tpl hier="236" item="1"/>
          <tpl fld="4" item="6"/>
        </tpls>
      </m>
      <m>
        <tpls c="4">
          <tpl fld="7" item="700"/>
          <tpl fld="6" item="1"/>
          <tpl hier="236" item="1"/>
          <tpl fld="4" item="6"/>
        </tpls>
      </m>
      <m>
        <tpls c="4">
          <tpl fld="7" item="61"/>
          <tpl fld="6" item="1"/>
          <tpl hier="236" item="1"/>
          <tpl fld="4" item="6"/>
        </tpls>
      </m>
      <m>
        <tpls c="3">
          <tpl fld="7" item="124"/>
          <tpl fld="6" item="3"/>
          <tpl hier="236" item="1"/>
        </tpls>
      </m>
      <m>
        <tpls c="4">
          <tpl fld="7" item="163"/>
          <tpl fld="6" item="2"/>
          <tpl hier="236" item="1"/>
          <tpl fld="4" item="5"/>
        </tpls>
      </m>
      <m>
        <tpls c="3">
          <tpl fld="7" item="860"/>
          <tpl fld="6" item="3"/>
          <tpl hier="236" item="1"/>
        </tpls>
      </m>
      <m>
        <tpls c="4">
          <tpl fld="7" item="1129"/>
          <tpl fld="6" item="1"/>
          <tpl hier="236" item="1"/>
          <tpl fld="1" item="0"/>
        </tpls>
      </m>
      <m>
        <tpls c="4">
          <tpl fld="7" item="1005"/>
          <tpl fld="6" item="1"/>
          <tpl hier="236" item="1"/>
          <tpl fld="1" item="0"/>
        </tpls>
      </m>
      <m>
        <tpls c="4">
          <tpl fld="7" item="1108"/>
          <tpl fld="6" item="2"/>
          <tpl hier="236" item="1"/>
          <tpl fld="4" item="5"/>
        </tpls>
      </m>
      <m>
        <tpls c="4">
          <tpl fld="7" item="606"/>
          <tpl fld="6" item="2"/>
          <tpl hier="236" item="1"/>
          <tpl fld="4" item="6"/>
        </tpls>
      </m>
      <m>
        <tpls c="4">
          <tpl fld="7" item="676"/>
          <tpl fld="6" item="2"/>
          <tpl hier="236" item="1"/>
          <tpl fld="4" item="5"/>
        </tpls>
      </m>
      <m>
        <tpls c="4">
          <tpl fld="7" item="946"/>
          <tpl fld="6" item="1"/>
          <tpl hier="236" item="1"/>
          <tpl fld="4" item="1"/>
        </tpls>
      </m>
      <m>
        <tpls c="4">
          <tpl fld="7" item="895"/>
          <tpl fld="6" item="2"/>
          <tpl hier="236" item="1"/>
          <tpl fld="4" item="4"/>
        </tpls>
      </m>
      <m>
        <tpls c="4">
          <tpl fld="7" item="258"/>
          <tpl fld="6" item="1"/>
          <tpl hier="236" item="1"/>
          <tpl fld="4" item="1"/>
        </tpls>
      </m>
      <n v="0" in="1">
        <tpls c="4">
          <tpl fld="7" item="569"/>
          <tpl fld="6" item="1"/>
          <tpl hier="236" item="1"/>
          <tpl fld="4" item="6"/>
        </tpls>
      </n>
      <m>
        <tpls c="4">
          <tpl fld="7" item="1226"/>
          <tpl fld="6" item="2"/>
          <tpl hier="236" item="1"/>
          <tpl fld="4" item="4"/>
        </tpls>
      </m>
      <m>
        <tpls c="4">
          <tpl fld="7" item="300"/>
          <tpl fld="6" item="1"/>
          <tpl hier="236" item="1"/>
          <tpl fld="4" item="5"/>
        </tpls>
      </m>
      <m>
        <tpls c="4">
          <tpl fld="7" item="322"/>
          <tpl fld="6" item="2"/>
          <tpl hier="236" item="1"/>
          <tpl fld="4" item="6"/>
        </tpls>
      </m>
      <n v="27" in="1">
        <tpls c="4">
          <tpl fld="7" item="1075"/>
          <tpl fld="6" item="1"/>
          <tpl hier="236" item="1"/>
          <tpl fld="4" item="4"/>
        </tpls>
      </n>
      <m>
        <tpls c="4">
          <tpl fld="7" item="1168"/>
          <tpl fld="6" item="1"/>
          <tpl hier="236" item="1"/>
          <tpl fld="4" item="1"/>
        </tpls>
      </m>
      <m>
        <tpls c="4">
          <tpl fld="7" item="846"/>
          <tpl fld="6" item="1"/>
          <tpl hier="236" item="1"/>
          <tpl fld="4" item="5"/>
        </tpls>
      </m>
      <m>
        <tpls c="4">
          <tpl fld="7" item="398"/>
          <tpl fld="6" item="1"/>
          <tpl hier="236" item="1"/>
          <tpl fld="4" item="5"/>
        </tpls>
      </m>
      <n v="1" in="1">
        <tpls c="4">
          <tpl fld="7" item="1127"/>
          <tpl fld="6" item="1"/>
          <tpl hier="236" item="1"/>
          <tpl fld="4" item="1"/>
        </tpls>
      </n>
      <m>
        <tpls c="4">
          <tpl fld="7" item="456"/>
          <tpl fld="6" item="1"/>
          <tpl hier="236" item="1"/>
          <tpl fld="4" item="4"/>
        </tpls>
      </m>
      <m>
        <tpls c="4">
          <tpl fld="7" item="253"/>
          <tpl fld="6" item="2"/>
          <tpl hier="236" item="1"/>
          <tpl fld="4" item="5"/>
        </tpls>
      </m>
      <m>
        <tpls c="4">
          <tpl fld="7" item="308"/>
          <tpl fld="6" item="2"/>
          <tpl hier="236" item="1"/>
          <tpl fld="4" item="6"/>
        </tpls>
      </m>
      <n v="3" in="1">
        <tpls c="4">
          <tpl fld="7" item="1092"/>
          <tpl fld="6" item="1"/>
          <tpl hier="236" item="1"/>
          <tpl fld="4" item="6"/>
        </tpls>
      </n>
      <m>
        <tpls c="4">
          <tpl fld="7" item="1101"/>
          <tpl fld="6" item="2"/>
          <tpl hier="236" item="1"/>
          <tpl fld="4" item="1"/>
        </tpls>
      </m>
      <m>
        <tpls c="4">
          <tpl fld="7" item="1144"/>
          <tpl fld="6" item="1"/>
          <tpl hier="236" item="1"/>
          <tpl fld="4" item="1"/>
        </tpls>
      </m>
      <n v="5" in="1">
        <tpls c="4">
          <tpl fld="7" item="612"/>
          <tpl fld="6" item="1"/>
          <tpl hier="236" item="1"/>
          <tpl fld="4" item="1"/>
        </tpls>
      </n>
      <m>
        <tpls c="3">
          <tpl fld="7" item="749"/>
          <tpl fld="6" item="3"/>
          <tpl hier="236" item="1"/>
        </tpls>
      </m>
      <m>
        <tpls c="4">
          <tpl fld="7" item="1050"/>
          <tpl fld="6" item="1"/>
          <tpl hier="236" item="1"/>
          <tpl fld="4" item="1"/>
        </tpls>
      </m>
      <m>
        <tpls c="4">
          <tpl fld="7" item="881"/>
          <tpl fld="6" item="2"/>
          <tpl hier="236" item="1"/>
          <tpl fld="4" item="4"/>
        </tpls>
      </m>
      <m>
        <tpls c="4">
          <tpl fld="7" item="649"/>
          <tpl fld="6" item="1"/>
          <tpl hier="236" item="1"/>
          <tpl fld="4" item="5"/>
        </tpls>
      </m>
      <m>
        <tpls c="4">
          <tpl fld="7" item="110"/>
          <tpl fld="6" item="2"/>
          <tpl hier="236" item="1"/>
          <tpl fld="1" item="0"/>
        </tpls>
      </m>
      <m>
        <tpls c="4">
          <tpl fld="7" item="189"/>
          <tpl fld="6" item="1"/>
          <tpl hier="236" item="1"/>
          <tpl fld="4" item="6"/>
        </tpls>
      </m>
      <m>
        <tpls c="4">
          <tpl fld="7" item="865"/>
          <tpl fld="6" item="2"/>
          <tpl hier="236" item="1"/>
          <tpl fld="4" item="4"/>
        </tpls>
      </m>
      <m>
        <tpls c="4">
          <tpl fld="7" item="1025"/>
          <tpl fld="6" item="2"/>
          <tpl hier="236" item="1"/>
          <tpl fld="1" item="0"/>
        </tpls>
      </m>
      <m>
        <tpls c="4">
          <tpl fld="7" item="1044"/>
          <tpl fld="6" item="1"/>
          <tpl hier="236" item="1"/>
          <tpl fld="4" item="1"/>
        </tpls>
      </m>
      <n v="6" in="1">
        <tpls c="4">
          <tpl fld="7" item="612"/>
          <tpl fld="6" item="1"/>
          <tpl hier="236" item="1"/>
          <tpl fld="4" item="4"/>
        </tpls>
      </n>
      <m>
        <tpls c="4">
          <tpl fld="7" item="1194"/>
          <tpl fld="6" item="2"/>
          <tpl hier="236" item="1"/>
          <tpl fld="4" item="6"/>
        </tpls>
      </m>
      <n v="1" in="1">
        <tpls c="4">
          <tpl fld="7" item="920"/>
          <tpl fld="6" item="1"/>
          <tpl hier="236" item="1"/>
          <tpl fld="4" item="5"/>
        </tpls>
      </n>
      <m>
        <tpls c="4">
          <tpl fld="7" item="21"/>
          <tpl fld="6" item="1"/>
          <tpl hier="236" item="1"/>
          <tpl fld="4" item="1"/>
        </tpls>
      </m>
      <m>
        <tpls c="4">
          <tpl fld="7" item="866"/>
          <tpl fld="6" item="1"/>
          <tpl hier="236" item="1"/>
          <tpl fld="4" item="5"/>
        </tpls>
      </m>
      <m>
        <tpls c="4">
          <tpl fld="7" item="1034"/>
          <tpl fld="6" item="2"/>
          <tpl hier="236" item="1"/>
          <tpl fld="4" item="4"/>
        </tpls>
      </m>
      <m>
        <tpls c="4">
          <tpl fld="7" item="474"/>
          <tpl fld="6" item="2"/>
          <tpl hier="236" item="1"/>
          <tpl fld="4" item="6"/>
        </tpls>
      </m>
      <m>
        <tpls c="4">
          <tpl fld="7" item="933"/>
          <tpl fld="6" item="2"/>
          <tpl hier="236" item="1"/>
          <tpl fld="4" item="4"/>
        </tpls>
      </m>
      <m>
        <tpls c="4">
          <tpl fld="7" item="1187"/>
          <tpl fld="6" item="2"/>
          <tpl hier="236" item="1"/>
          <tpl fld="4" item="4"/>
        </tpls>
      </m>
      <n v="7" in="1">
        <tpls c="4">
          <tpl fld="7" item="730"/>
          <tpl fld="6" item="1"/>
          <tpl hier="236" item="1"/>
          <tpl fld="1" item="0"/>
        </tpls>
      </n>
      <m>
        <tpls c="4">
          <tpl fld="7" item="1001"/>
          <tpl fld="6" item="1"/>
          <tpl hier="236" item="1"/>
          <tpl fld="4" item="5"/>
        </tpls>
      </m>
      <m>
        <tpls c="4">
          <tpl fld="7" item="369"/>
          <tpl fld="6" item="2"/>
          <tpl hier="236" item="1"/>
          <tpl fld="4" item="6"/>
        </tpls>
      </m>
      <n v="1" in="1">
        <tpls c="4">
          <tpl fld="7" item="209"/>
          <tpl fld="6" item="1"/>
          <tpl hier="236" item="1"/>
          <tpl fld="4" item="1"/>
        </tpls>
      </n>
      <m>
        <tpls c="4">
          <tpl fld="7" item="908"/>
          <tpl fld="6" item="2"/>
          <tpl hier="236" item="1"/>
          <tpl fld="4" item="1"/>
        </tpls>
      </m>
      <m>
        <tpls c="4">
          <tpl fld="7" item="404"/>
          <tpl fld="6" item="2"/>
          <tpl hier="236" item="1"/>
          <tpl fld="4" item="5"/>
        </tpls>
      </m>
      <m>
        <tpls c="4">
          <tpl fld="7" item="759"/>
          <tpl fld="6" item="1"/>
          <tpl hier="236" item="1"/>
          <tpl fld="4" item="5"/>
        </tpls>
      </m>
      <m>
        <tpls c="4">
          <tpl fld="7" item="182"/>
          <tpl fld="6" item="1"/>
          <tpl hier="236" item="1"/>
          <tpl fld="4" item="1"/>
        </tpls>
      </m>
      <m>
        <tpls c="4">
          <tpl fld="7" item="701"/>
          <tpl fld="6" item="1"/>
          <tpl hier="236" item="1"/>
          <tpl fld="4" item="5"/>
        </tpls>
      </m>
      <n v="27" in="1">
        <tpls c="4">
          <tpl fld="7" item="910"/>
          <tpl fld="6" item="1"/>
          <tpl hier="236" item="1"/>
          <tpl fld="1" item="0"/>
        </tpls>
      </n>
      <m>
        <tpls c="4">
          <tpl fld="7" item="242"/>
          <tpl fld="6" item="2"/>
          <tpl hier="236" item="1"/>
          <tpl fld="4" item="4"/>
        </tpls>
      </m>
      <m>
        <tpls c="4">
          <tpl fld="7" item="79"/>
          <tpl fld="6" item="2"/>
          <tpl hier="236" item="1"/>
          <tpl fld="4" item="5"/>
        </tpls>
      </m>
      <m>
        <tpls c="4">
          <tpl fld="7" item="39"/>
          <tpl fld="6" item="1"/>
          <tpl hier="236" item="1"/>
          <tpl fld="1" item="0"/>
        </tpls>
      </m>
      <m>
        <tpls c="4">
          <tpl fld="7" item="196"/>
          <tpl fld="6" item="1"/>
          <tpl hier="236" item="1"/>
          <tpl fld="1" item="0"/>
        </tpls>
      </m>
      <m>
        <tpls c="4">
          <tpl fld="7" item="330"/>
          <tpl fld="6" item="1"/>
          <tpl hier="236" item="1"/>
          <tpl fld="4" item="5"/>
        </tpls>
      </m>
      <m>
        <tpls c="3">
          <tpl fld="7" item="218"/>
          <tpl fld="6" item="3"/>
          <tpl hier="236" item="1"/>
        </tpls>
      </m>
      <n v="5" in="1">
        <tpls c="4">
          <tpl fld="7" item="367"/>
          <tpl fld="6" item="1"/>
          <tpl hier="236" item="1"/>
          <tpl fld="1" item="0"/>
        </tpls>
      </n>
      <m>
        <tpls c="3">
          <tpl fld="7" item="797"/>
          <tpl fld="6" item="3"/>
          <tpl hier="236" item="1"/>
        </tpls>
      </m>
      <n v="0" in="1">
        <tpls c="4">
          <tpl fld="7" item="1106"/>
          <tpl fld="6" item="1"/>
          <tpl hier="236" item="1"/>
          <tpl fld="4" item="6"/>
        </tpls>
      </n>
      <n v="6" in="1">
        <tpls c="4">
          <tpl fld="7" item="878"/>
          <tpl fld="6" item="1"/>
          <tpl hier="236" item="1"/>
          <tpl fld="4" item="1"/>
        </tpls>
      </n>
      <m>
        <tpls c="4">
          <tpl fld="7" item="20"/>
          <tpl fld="6" item="2"/>
          <tpl hier="236" item="1"/>
          <tpl fld="4" item="5"/>
        </tpls>
      </m>
      <m>
        <tpls c="4">
          <tpl fld="7" item="750"/>
          <tpl fld="6" item="1"/>
          <tpl hier="236" item="1"/>
          <tpl fld="4" item="6"/>
        </tpls>
      </m>
      <m>
        <tpls c="4">
          <tpl fld="7" item="725"/>
          <tpl fld="6" item="2"/>
          <tpl hier="236" item="1"/>
          <tpl fld="4" item="1"/>
        </tpls>
      </m>
      <m>
        <tpls c="4">
          <tpl fld="7" item="295"/>
          <tpl fld="6" item="1"/>
          <tpl hier="236" item="1"/>
          <tpl fld="4" item="5"/>
        </tpls>
      </m>
      <m>
        <tpls c="4">
          <tpl fld="7" item="868"/>
          <tpl fld="6" item="1"/>
          <tpl hier="236" item="1"/>
          <tpl fld="4" item="1"/>
        </tpls>
      </m>
      <n v="1" in="1">
        <tpls c="4">
          <tpl fld="7" item="547"/>
          <tpl fld="6" item="1"/>
          <tpl hier="236" item="1"/>
          <tpl fld="4" item="1"/>
        </tpls>
      </n>
      <n v="1" in="1">
        <tpls c="4">
          <tpl fld="7" item="378"/>
          <tpl fld="6" item="1"/>
          <tpl hier="236" item="1"/>
          <tpl fld="1" item="0"/>
        </tpls>
      </n>
      <m>
        <tpls c="4">
          <tpl fld="7" item="581"/>
          <tpl fld="6" item="1"/>
          <tpl hier="236" item="1"/>
          <tpl fld="4" item="6"/>
        </tpls>
      </m>
      <m>
        <tpls c="4">
          <tpl fld="7" item="492"/>
          <tpl fld="6" item="2"/>
          <tpl hier="236" item="1"/>
          <tpl fld="4" item="5"/>
        </tpls>
      </m>
      <m>
        <tpls c="4">
          <tpl fld="7" item="1217"/>
          <tpl fld="6" item="1"/>
          <tpl hier="236" item="1"/>
          <tpl fld="4" item="5"/>
        </tpls>
      </m>
      <n v="1" in="2">
        <tpls c="4">
          <tpl fld="7" item="763"/>
          <tpl fld="6" item="2"/>
          <tpl hier="236" item="1"/>
          <tpl fld="1" item="0"/>
        </tpls>
      </n>
      <m>
        <tpls c="4">
          <tpl fld="7" item="31"/>
          <tpl fld="6" item="1"/>
          <tpl hier="236" item="1"/>
          <tpl fld="4" item="5"/>
        </tpls>
      </m>
      <m>
        <tpls c="4">
          <tpl fld="7" item="442"/>
          <tpl fld="6" item="2"/>
          <tpl hier="236" item="1"/>
          <tpl fld="4" item="5"/>
        </tpls>
      </m>
      <m>
        <tpls c="4">
          <tpl fld="7" item="399"/>
          <tpl fld="6" item="1"/>
          <tpl hier="236" item="1"/>
          <tpl fld="4" item="1"/>
        </tpls>
      </m>
      <m>
        <tpls c="3">
          <tpl fld="7" item="979"/>
          <tpl fld="6" item="3"/>
          <tpl hier="236" item="1"/>
        </tpls>
      </m>
      <n v="3" in="1">
        <tpls c="4">
          <tpl fld="7" item="1118"/>
          <tpl fld="6" item="1"/>
          <tpl hier="236" item="1"/>
          <tpl fld="4" item="1"/>
        </tpls>
      </n>
      <m>
        <tpls c="3">
          <tpl fld="7" item="803"/>
          <tpl fld="6" item="3"/>
          <tpl hier="236" item="1"/>
        </tpls>
      </m>
      <m>
        <tpls c="4">
          <tpl fld="7" item="727"/>
          <tpl fld="6" item="2"/>
          <tpl hier="236" item="1"/>
          <tpl fld="4" item="1"/>
        </tpls>
      </m>
      <m>
        <tpls c="4">
          <tpl fld="7" item="2"/>
          <tpl fld="6" item="2"/>
          <tpl hier="236" item="1"/>
          <tpl fld="4" item="5"/>
        </tpls>
      </m>
      <m>
        <tpls c="4">
          <tpl fld="7" item="512"/>
          <tpl fld="6" item="1"/>
          <tpl hier="236" item="1"/>
          <tpl fld="4" item="5"/>
        </tpls>
      </m>
      <m>
        <tpls c="4">
          <tpl fld="7" item="482"/>
          <tpl fld="6" item="2"/>
          <tpl hier="236" item="1"/>
          <tpl fld="1" item="0"/>
        </tpls>
      </m>
      <m>
        <tpls c="4">
          <tpl fld="7" item="230"/>
          <tpl fld="6" item="1"/>
          <tpl hier="236" item="1"/>
          <tpl fld="4" item="5"/>
        </tpls>
      </m>
      <m>
        <tpls c="4">
          <tpl fld="7" item="478"/>
          <tpl fld="6" item="2"/>
          <tpl hier="236" item="1"/>
          <tpl fld="4" item="5"/>
        </tpls>
      </m>
      <n v="5" in="1">
        <tpls c="4">
          <tpl fld="7" item="499"/>
          <tpl fld="6" item="1"/>
          <tpl hier="236" item="1"/>
          <tpl fld="1" item="0"/>
        </tpls>
      </n>
      <m>
        <tpls c="3">
          <tpl fld="7" item="6"/>
          <tpl fld="6" item="3"/>
          <tpl hier="236" item="1"/>
        </tpls>
      </m>
      <m>
        <tpls c="4">
          <tpl fld="7" item="1222"/>
          <tpl fld="6" item="2"/>
          <tpl hier="236" item="1"/>
          <tpl fld="4" item="1"/>
        </tpls>
      </m>
      <n v="0" in="1">
        <tpls c="4">
          <tpl fld="7" item="61"/>
          <tpl fld="6" item="1"/>
          <tpl hier="236" item="1"/>
          <tpl fld="4" item="1"/>
        </tpls>
      </n>
      <m>
        <tpls c="3">
          <tpl fld="7" item="708"/>
          <tpl fld="6" item="3"/>
          <tpl hier="236" item="1"/>
        </tpls>
      </m>
      <m>
        <tpls c="4">
          <tpl fld="7" item="919"/>
          <tpl fld="6" item="1"/>
          <tpl hier="236" item="1"/>
          <tpl fld="4" item="6"/>
        </tpls>
      </m>
      <m>
        <tpls c="3">
          <tpl fld="7" item="5"/>
          <tpl fld="6" item="3"/>
          <tpl hier="236" item="1"/>
        </tpls>
      </m>
      <m>
        <tpls c="4">
          <tpl fld="7" item="165"/>
          <tpl fld="6" item="1"/>
          <tpl hier="236" item="1"/>
          <tpl fld="4" item="1"/>
        </tpls>
      </m>
      <m>
        <tpls c="4">
          <tpl fld="7" item="810"/>
          <tpl fld="6" item="2"/>
          <tpl hier="236" item="1"/>
          <tpl fld="4" item="4"/>
        </tpls>
      </m>
      <n v="8" in="1">
        <tpls c="4">
          <tpl fld="7" item="526"/>
          <tpl fld="6" item="1"/>
          <tpl hier="236" item="1"/>
          <tpl fld="1" item="0"/>
        </tpls>
      </n>
      <m>
        <tpls c="4">
          <tpl fld="7" item="401"/>
          <tpl fld="6" item="2"/>
          <tpl hier="236" item="1"/>
          <tpl fld="4" item="4"/>
        </tpls>
      </m>
      <n v="2" in="1">
        <tpls c="4">
          <tpl fld="7" item="719"/>
          <tpl fld="6" item="1"/>
          <tpl hier="236" item="1"/>
          <tpl fld="1" item="0"/>
        </tpls>
      </n>
      <m>
        <tpls c="4">
          <tpl fld="7" item="57"/>
          <tpl fld="6" item="1"/>
          <tpl hier="236" item="1"/>
          <tpl fld="4" item="1"/>
        </tpls>
      </m>
      <m>
        <tpls c="3">
          <tpl fld="7" item="751"/>
          <tpl fld="6" item="3"/>
          <tpl hier="236" item="1"/>
        </tpls>
      </m>
      <n v="7" in="1">
        <tpls c="4">
          <tpl fld="7" item="450"/>
          <tpl fld="6" item="1"/>
          <tpl hier="236" item="1"/>
          <tpl fld="1" item="0"/>
        </tpls>
      </n>
      <m>
        <tpls c="4">
          <tpl fld="7" item="414"/>
          <tpl fld="6" item="2"/>
          <tpl hier="236" item="1"/>
          <tpl fld="1" item="0"/>
        </tpls>
      </m>
      <m>
        <tpls c="4">
          <tpl fld="7" item="123"/>
          <tpl fld="6" item="2"/>
          <tpl hier="236" item="1"/>
          <tpl fld="4" item="5"/>
        </tpls>
      </m>
      <m>
        <tpls c="4">
          <tpl fld="7" item="402"/>
          <tpl fld="6" item="2"/>
          <tpl hier="236" item="1"/>
          <tpl fld="4" item="4"/>
        </tpls>
      </m>
      <m>
        <tpls c="4">
          <tpl fld="7" item="149"/>
          <tpl fld="6" item="2"/>
          <tpl hier="236" item="1"/>
          <tpl fld="1" item="0"/>
        </tpls>
      </m>
      <m>
        <tpls c="3">
          <tpl fld="7" item="643"/>
          <tpl fld="6" item="3"/>
          <tpl hier="236" item="1"/>
        </tpls>
      </m>
      <m>
        <tpls c="4">
          <tpl fld="7" item="1000"/>
          <tpl fld="6" item="1"/>
          <tpl hier="236" item="1"/>
          <tpl fld="4" item="1"/>
        </tpls>
      </m>
      <m>
        <tpls c="4">
          <tpl fld="7" item="354"/>
          <tpl fld="6" item="2"/>
          <tpl hier="236" item="1"/>
          <tpl fld="4" item="5"/>
        </tpls>
      </m>
      <m>
        <tpls c="4">
          <tpl fld="7" item="813"/>
          <tpl fld="6" item="2"/>
          <tpl hier="236" item="1"/>
          <tpl fld="4" item="4"/>
        </tpls>
      </m>
      <m>
        <tpls c="3">
          <tpl fld="7" item="852"/>
          <tpl fld="6" item="3"/>
          <tpl hier="236" item="1"/>
        </tpls>
      </m>
      <m>
        <tpls c="4">
          <tpl fld="7" item="257"/>
          <tpl fld="6" item="1"/>
          <tpl hier="236" item="1"/>
          <tpl fld="1" item="0"/>
        </tpls>
      </m>
      <m>
        <tpls c="4">
          <tpl fld="7" item="70"/>
          <tpl fld="6" item="2"/>
          <tpl hier="236" item="1"/>
          <tpl fld="4" item="5"/>
        </tpls>
      </m>
      <m>
        <tpls c="4">
          <tpl fld="7" item="98"/>
          <tpl fld="6" item="2"/>
          <tpl hier="236" item="1"/>
          <tpl fld="4" item="6"/>
        </tpls>
      </m>
      <m>
        <tpls c="4">
          <tpl fld="7" item="522"/>
          <tpl fld="6" item="2"/>
          <tpl hier="236" item="1"/>
          <tpl fld="4" item="6"/>
        </tpls>
      </m>
      <m>
        <tpls c="4">
          <tpl fld="7" item="84"/>
          <tpl fld="6" item="2"/>
          <tpl hier="236" item="1"/>
          <tpl fld="4" item="5"/>
        </tpls>
      </m>
      <m>
        <tpls c="4">
          <tpl fld="7" item="338"/>
          <tpl fld="6" item="1"/>
          <tpl hier="236" item="1"/>
          <tpl fld="4" item="1"/>
        </tpls>
      </m>
      <m>
        <tpls c="4">
          <tpl fld="7" item="67"/>
          <tpl fld="6" item="1"/>
          <tpl hier="236" item="1"/>
          <tpl fld="1" item="0"/>
        </tpls>
      </m>
      <m>
        <tpls c="4">
          <tpl fld="7" item="14"/>
          <tpl fld="6" item="2"/>
          <tpl hier="236" item="1"/>
          <tpl fld="1" item="0"/>
        </tpls>
      </m>
      <m>
        <tpls c="4">
          <tpl fld="7" item="1132"/>
          <tpl fld="6" item="2"/>
          <tpl hier="236" item="1"/>
          <tpl fld="4" item="4"/>
        </tpls>
      </m>
      <n v="2" in="1">
        <tpls c="4">
          <tpl fld="7" item="437"/>
          <tpl fld="6" item="1"/>
          <tpl hier="236" item="1"/>
          <tpl fld="4" item="1"/>
        </tpls>
      </n>
      <m>
        <tpls c="4">
          <tpl fld="7" item="380"/>
          <tpl fld="6" item="2"/>
          <tpl hier="236" item="1"/>
          <tpl fld="1" item="0"/>
        </tpls>
      </m>
      <n v="1" in="2">
        <tpls c="4">
          <tpl fld="7" item="499"/>
          <tpl fld="6" item="2"/>
          <tpl hier="236" item="1"/>
          <tpl fld="4" item="6"/>
        </tpls>
      </n>
      <n v="0" in="1">
        <tpls c="4">
          <tpl fld="7" item="1166"/>
          <tpl fld="6" item="1"/>
          <tpl hier="236" item="1"/>
          <tpl fld="4" item="1"/>
        </tpls>
      </n>
      <m>
        <tpls c="4">
          <tpl fld="7" item="554"/>
          <tpl fld="6" item="1"/>
          <tpl hier="236" item="1"/>
          <tpl fld="4" item="1"/>
        </tpls>
      </m>
      <m>
        <tpls c="4">
          <tpl fld="7" item="396"/>
          <tpl fld="6" item="2"/>
          <tpl hier="236" item="1"/>
          <tpl fld="1" item="0"/>
        </tpls>
      </m>
      <m>
        <tpls c="4">
          <tpl fld="7" item="221"/>
          <tpl fld="6" item="1"/>
          <tpl hier="236" item="1"/>
          <tpl fld="4" item="6"/>
        </tpls>
      </m>
      <n v="31" in="1">
        <tpls c="4">
          <tpl fld="7" item="374"/>
          <tpl fld="6" item="1"/>
          <tpl hier="236" item="1"/>
          <tpl fld="1" item="0"/>
        </tpls>
      </n>
      <m>
        <tpls c="4">
          <tpl fld="7" item="1177"/>
          <tpl fld="6" item="2"/>
          <tpl hier="236" item="1"/>
          <tpl fld="4" item="4"/>
        </tpls>
      </m>
      <n v="26" in="1">
        <tpls c="4">
          <tpl fld="7" item="444"/>
          <tpl fld="6" item="1"/>
          <tpl hier="236" item="1"/>
          <tpl fld="1" item="0"/>
        </tpls>
      </n>
      <m>
        <tpls c="4">
          <tpl fld="7" item="226"/>
          <tpl fld="6" item="1"/>
          <tpl hier="236" item="1"/>
          <tpl fld="4" item="6"/>
        </tpls>
      </m>
      <m>
        <tpls c="3">
          <tpl fld="7" item="127"/>
          <tpl fld="6" item="3"/>
          <tpl hier="236" item="1"/>
        </tpls>
      </m>
      <m>
        <tpls c="4">
          <tpl fld="7" item="619"/>
          <tpl fld="6" item="1"/>
          <tpl hier="236" item="1"/>
          <tpl fld="4" item="5"/>
        </tpls>
      </m>
      <n v="3" in="1">
        <tpls c="4">
          <tpl fld="7" item="914"/>
          <tpl fld="6" item="1"/>
          <tpl hier="236" item="1"/>
          <tpl fld="4" item="1"/>
        </tpls>
      </n>
      <n v="12" in="1">
        <tpls c="4">
          <tpl fld="7" item="445"/>
          <tpl fld="6" item="1"/>
          <tpl hier="236" item="1"/>
          <tpl fld="4" item="1"/>
        </tpls>
      </n>
      <n v="33" in="1">
        <tpls c="4">
          <tpl fld="7" item="722"/>
          <tpl fld="6" item="1"/>
          <tpl hier="236" item="1"/>
          <tpl fld="4" item="4"/>
        </tpls>
      </n>
      <m>
        <tpls c="4">
          <tpl fld="7" item="249"/>
          <tpl fld="6" item="1"/>
          <tpl hier="236" item="1"/>
          <tpl fld="1" item="0"/>
        </tpls>
      </m>
      <m>
        <tpls c="4">
          <tpl fld="7" item="689"/>
          <tpl fld="6" item="2"/>
          <tpl hier="236" item="1"/>
          <tpl fld="4" item="1"/>
        </tpls>
      </m>
      <m>
        <tpls c="3">
          <tpl fld="7" item="1242"/>
          <tpl fld="6" item="3"/>
          <tpl hier="236" item="1"/>
        </tpls>
      </m>
      <m>
        <tpls c="4">
          <tpl fld="7" item="833"/>
          <tpl fld="6" item="2"/>
          <tpl hier="236" item="1"/>
          <tpl fld="4" item="5"/>
        </tpls>
      </m>
      <m>
        <tpls c="4">
          <tpl fld="7" item="1094"/>
          <tpl fld="6" item="1"/>
          <tpl hier="236" item="1"/>
          <tpl fld="4" item="1"/>
        </tpls>
      </m>
      <m>
        <tpls c="4">
          <tpl fld="7" item="969"/>
          <tpl fld="6" item="1"/>
          <tpl hier="236" item="1"/>
          <tpl fld="4" item="4"/>
        </tpls>
      </m>
      <m>
        <tpls c="4">
          <tpl fld="7" item="53"/>
          <tpl fld="6" item="2"/>
          <tpl hier="236" item="1"/>
          <tpl fld="1" item="0"/>
        </tpls>
      </m>
      <m>
        <tpls c="4">
          <tpl fld="7" item="300"/>
          <tpl fld="6" item="1"/>
          <tpl hier="236" item="1"/>
          <tpl fld="4" item="1"/>
        </tpls>
      </m>
      <n v="2" in="1">
        <tpls c="4">
          <tpl fld="7" item="646"/>
          <tpl fld="6" item="1"/>
          <tpl hier="236" item="1"/>
          <tpl fld="4" item="1"/>
        </tpls>
      </n>
      <n v="1" in="1">
        <tpls c="4">
          <tpl fld="7" item="823"/>
          <tpl fld="6" item="1"/>
          <tpl hier="236" item="1"/>
          <tpl fld="4" item="6"/>
        </tpls>
      </n>
      <m>
        <tpls c="4">
          <tpl fld="7" item="35"/>
          <tpl fld="6" item="2"/>
          <tpl hier="236" item="1"/>
          <tpl fld="4" item="5"/>
        </tpls>
      </m>
      <m>
        <tpls c="4">
          <tpl fld="7" item="250"/>
          <tpl fld="6" item="2"/>
          <tpl hier="236" item="1"/>
          <tpl fld="4" item="5"/>
        </tpls>
      </m>
      <m>
        <tpls c="4">
          <tpl fld="7" item="208"/>
          <tpl fld="6" item="2"/>
          <tpl hier="236" item="1"/>
          <tpl fld="4" item="5"/>
        </tpls>
      </m>
      <n v="0.8" in="2">
        <tpls c="4">
          <tpl fld="7" item="764"/>
          <tpl fld="6" item="2"/>
          <tpl hier="236" item="1"/>
          <tpl fld="1" item="0"/>
        </tpls>
      </n>
      <m>
        <tpls c="4">
          <tpl fld="7" item="835"/>
          <tpl fld="6" item="1"/>
          <tpl hier="236" item="1"/>
          <tpl fld="4" item="1"/>
        </tpls>
      </m>
      <m>
        <tpls c="4">
          <tpl fld="7" item="995"/>
          <tpl fld="6" item="2"/>
          <tpl hier="236" item="1"/>
          <tpl fld="4" item="5"/>
        </tpls>
      </m>
      <n v="1" in="1">
        <tpls c="4">
          <tpl fld="7" item="826"/>
          <tpl fld="6" item="1"/>
          <tpl hier="236" item="1"/>
          <tpl fld="4" item="6"/>
        </tpls>
      </n>
      <n v="45" in="1">
        <tpls c="4">
          <tpl fld="7" item="805"/>
          <tpl fld="6" item="1"/>
          <tpl hier="236" item="1"/>
          <tpl fld="1" item="0"/>
        </tpls>
      </n>
      <m>
        <tpls c="4">
          <tpl fld="7" item="228"/>
          <tpl fld="6" item="1"/>
          <tpl hier="236" item="1"/>
          <tpl fld="1" item="0"/>
        </tpls>
      </m>
      <m>
        <tpls c="4">
          <tpl fld="7" item="997"/>
          <tpl fld="6" item="2"/>
          <tpl hier="236" item="1"/>
          <tpl fld="4" item="5"/>
        </tpls>
      </m>
      <m>
        <tpls c="4">
          <tpl fld="7" item="866"/>
          <tpl fld="6" item="2"/>
          <tpl hier="236" item="1"/>
          <tpl fld="4" item="4"/>
        </tpls>
      </m>
      <n v="5" in="1">
        <tpls c="4">
          <tpl fld="7" item="745"/>
          <tpl fld="6" item="1"/>
          <tpl hier="236" item="1"/>
          <tpl fld="4" item="1"/>
        </tpls>
      </n>
      <m>
        <tpls c="4">
          <tpl fld="7" item="500"/>
          <tpl fld="6" item="2"/>
          <tpl hier="236" item="1"/>
          <tpl fld="4" item="5"/>
        </tpls>
      </m>
      <m>
        <tpls c="4">
          <tpl fld="7" item="16"/>
          <tpl fld="6" item="1"/>
          <tpl hier="236" item="1"/>
          <tpl fld="4" item="5"/>
        </tpls>
      </m>
      <m>
        <tpls c="4">
          <tpl fld="7" item="583"/>
          <tpl fld="6" item="2"/>
          <tpl hier="236" item="1"/>
          <tpl fld="4" item="5"/>
        </tpls>
      </m>
      <m>
        <tpls c="4">
          <tpl fld="7" item="381"/>
          <tpl fld="6" item="2"/>
          <tpl hier="236" item="1"/>
          <tpl fld="4" item="5"/>
        </tpls>
      </m>
      <m>
        <tpls c="4">
          <tpl fld="7" item="41"/>
          <tpl fld="6" item="2"/>
          <tpl hier="236" item="1"/>
          <tpl fld="4" item="6"/>
        </tpls>
      </m>
      <m>
        <tpls c="4">
          <tpl fld="7" item="857"/>
          <tpl fld="6" item="1"/>
          <tpl hier="236" item="1"/>
          <tpl fld="4" item="1"/>
        </tpls>
      </m>
      <n v="0" in="1">
        <tpls c="4">
          <tpl fld="7" item="674"/>
          <tpl fld="6" item="1"/>
          <tpl hier="236" item="1"/>
          <tpl fld="1" item="0"/>
        </tpls>
      </n>
      <n v="3" in="1">
        <tpls c="4">
          <tpl fld="7" item="1211"/>
          <tpl fld="6" item="1"/>
          <tpl hier="236" item="1"/>
          <tpl fld="4" item="5"/>
        </tpls>
      </n>
      <m>
        <tpls c="3">
          <tpl fld="7" item="398"/>
          <tpl fld="6" item="3"/>
          <tpl hier="236" item="1"/>
        </tpls>
      </m>
      <m>
        <tpls c="4">
          <tpl fld="7" item="62"/>
          <tpl fld="6" item="2"/>
          <tpl hier="236" item="1"/>
          <tpl fld="4" item="4"/>
        </tpls>
      </m>
      <m>
        <tpls c="4">
          <tpl fld="7" item="222"/>
          <tpl fld="6" item="1"/>
          <tpl hier="236" item="1"/>
          <tpl fld="4" item="1"/>
        </tpls>
      </m>
      <m>
        <tpls c="4">
          <tpl fld="7" item="592"/>
          <tpl fld="6" item="2"/>
          <tpl hier="236" item="1"/>
          <tpl fld="4" item="4"/>
        </tpls>
      </m>
      <m>
        <tpls c="4">
          <tpl fld="7" item="78"/>
          <tpl fld="6" item="2"/>
          <tpl hier="236" item="1"/>
          <tpl fld="4" item="5"/>
        </tpls>
      </m>
      <m>
        <tpls c="4">
          <tpl fld="7" item="38"/>
          <tpl fld="6" item="1"/>
          <tpl hier="236" item="1"/>
          <tpl fld="1" item="0"/>
        </tpls>
      </m>
      <m>
        <tpls c="4">
          <tpl fld="7" item="1123"/>
          <tpl fld="6" item="2"/>
          <tpl hier="236" item="1"/>
          <tpl fld="4" item="5"/>
        </tpls>
      </m>
      <n v="1" in="1">
        <tpls c="4">
          <tpl fld="7" item="588"/>
          <tpl fld="6" item="1"/>
          <tpl hier="236" item="1"/>
          <tpl fld="4" item="5"/>
        </tpls>
      </n>
      <m>
        <tpls c="4">
          <tpl fld="7" item="1185"/>
          <tpl fld="6" item="2"/>
          <tpl hier="236" item="1"/>
          <tpl fld="4" item="5"/>
        </tpls>
      </m>
      <m>
        <tpls c="4">
          <tpl fld="7" item="520"/>
          <tpl fld="6" item="1"/>
          <tpl hier="236" item="1"/>
          <tpl fld="4" item="5"/>
        </tpls>
      </m>
      <m>
        <tpls c="4">
          <tpl fld="7" item="81"/>
          <tpl fld="6" item="2"/>
          <tpl hier="236" item="1"/>
          <tpl fld="1" item="0"/>
        </tpls>
      </m>
      <m>
        <tpls c="4">
          <tpl fld="7" item="730"/>
          <tpl fld="6" item="2"/>
          <tpl hier="236" item="1"/>
          <tpl fld="4" item="6"/>
        </tpls>
      </m>
      <m>
        <tpls c="3">
          <tpl fld="7" item="865"/>
          <tpl fld="6" item="3"/>
          <tpl hier="236" item="1"/>
        </tpls>
      </m>
      <m>
        <tpls c="4">
          <tpl fld="7" item="14"/>
          <tpl fld="6" item="1"/>
          <tpl hier="236" item="1"/>
          <tpl fld="4" item="1"/>
        </tpls>
      </m>
      <m>
        <tpls c="4">
          <tpl fld="7" item="18"/>
          <tpl fld="6" item="2"/>
          <tpl hier="236" item="1"/>
          <tpl fld="4" item="5"/>
        </tpls>
      </m>
      <m>
        <tpls c="4">
          <tpl fld="7" item="311"/>
          <tpl fld="6" item="1"/>
          <tpl hier="236" item="1"/>
          <tpl fld="1" item="0"/>
        </tpls>
      </m>
      <m>
        <tpls c="4">
          <tpl fld="7" item="1178"/>
          <tpl fld="6" item="2"/>
          <tpl hier="236" item="1"/>
          <tpl fld="4" item="4"/>
        </tpls>
      </m>
      <m>
        <tpls c="4">
          <tpl fld="7" item="37"/>
          <tpl fld="6" item="1"/>
          <tpl hier="236" item="1"/>
          <tpl fld="1" item="0"/>
        </tpls>
      </m>
      <n v="5" in="1">
        <tpls c="4">
          <tpl fld="7" item="1272"/>
          <tpl fld="6" item="1"/>
          <tpl hier="236" item="1"/>
          <tpl fld="4" item="4"/>
        </tpls>
      </n>
      <m>
        <tpls c="4">
          <tpl fld="7" item="592"/>
          <tpl fld="6" item="2"/>
          <tpl hier="236" item="1"/>
          <tpl fld="4" item="5"/>
        </tpls>
      </m>
      <m>
        <tpls c="4">
          <tpl fld="7" item="551"/>
          <tpl fld="6" item="1"/>
          <tpl hier="236" item="1"/>
          <tpl fld="4" item="1"/>
        </tpls>
      </m>
      <m>
        <tpls c="4">
          <tpl fld="7" item="345"/>
          <tpl fld="6" item="2"/>
          <tpl hier="236" item="1"/>
          <tpl fld="4" item="6"/>
        </tpls>
      </m>
      <n v="1" in="1">
        <tpls c="4">
          <tpl fld="7" item="599"/>
          <tpl fld="6" item="1"/>
          <tpl hier="236" item="1"/>
          <tpl fld="1" item="0"/>
        </tpls>
      </n>
      <m>
        <tpls c="3">
          <tpl fld="7" item="1081"/>
          <tpl fld="6" item="3"/>
          <tpl hier="236" item="1"/>
        </tpls>
      </m>
      <n v="2" in="1">
        <tpls c="4">
          <tpl fld="7" item="318"/>
          <tpl fld="6" item="1"/>
          <tpl hier="236" item="1"/>
          <tpl fld="4" item="1"/>
        </tpls>
      </n>
      <m>
        <tpls c="4">
          <tpl fld="7" item="135"/>
          <tpl fld="6" item="2"/>
          <tpl hier="236" item="1"/>
          <tpl fld="1" item="0"/>
        </tpls>
      </m>
      <m>
        <tpls c="3">
          <tpl fld="7" item="22"/>
          <tpl fld="6" item="3"/>
          <tpl hier="236" item="1"/>
        </tpls>
      </m>
      <m>
        <tpls c="4">
          <tpl fld="7" item="1149"/>
          <tpl fld="6" item="2"/>
          <tpl hier="236" item="1"/>
          <tpl fld="4" item="4"/>
        </tpls>
      </m>
      <n v="3" in="1">
        <tpls c="4">
          <tpl fld="7" item="1132"/>
          <tpl fld="6" item="1"/>
          <tpl hier="236" item="1"/>
          <tpl fld="4" item="6"/>
        </tpls>
      </n>
      <m>
        <tpls c="4">
          <tpl fld="7" item="751"/>
          <tpl fld="6" item="2"/>
          <tpl hier="236" item="1"/>
          <tpl fld="4" item="5"/>
        </tpls>
      </m>
      <m>
        <tpls c="4">
          <tpl fld="7" item="799"/>
          <tpl fld="6" item="1"/>
          <tpl hier="236" item="1"/>
          <tpl fld="4" item="1"/>
        </tpls>
      </m>
      <m>
        <tpls c="4">
          <tpl fld="7" item="63"/>
          <tpl fld="6" item="2"/>
          <tpl hier="236" item="1"/>
          <tpl fld="4" item="6"/>
        </tpls>
      </m>
      <n v="2" in="1">
        <tpls c="4">
          <tpl fld="7" item="323"/>
          <tpl fld="6" item="1"/>
          <tpl hier="236" item="1"/>
          <tpl fld="1" item="0"/>
        </tpls>
      </n>
      <m>
        <tpls c="3">
          <tpl fld="7" item="328"/>
          <tpl fld="6" item="3"/>
          <tpl hier="236" item="1"/>
        </tpls>
      </m>
      <m>
        <tpls c="4">
          <tpl fld="7" item="472"/>
          <tpl fld="6" item="1"/>
          <tpl hier="236" item="1"/>
          <tpl fld="4" item="1"/>
        </tpls>
      </m>
      <n v="4" in="1">
        <tpls c="4">
          <tpl fld="7" item="998"/>
          <tpl fld="6" item="1"/>
          <tpl hier="236" item="1"/>
          <tpl fld="4" item="6"/>
        </tpls>
      </n>
      <m>
        <tpls c="4">
          <tpl fld="7" item="349"/>
          <tpl fld="6" item="1"/>
          <tpl hier="236" item="1"/>
          <tpl fld="4" item="5"/>
        </tpls>
      </m>
      <m>
        <tpls c="4">
          <tpl fld="7" item="333"/>
          <tpl fld="6" item="1"/>
          <tpl hier="236" item="1"/>
          <tpl fld="1" item="0"/>
        </tpls>
      </m>
      <m>
        <tpls c="4">
          <tpl fld="7" item="128"/>
          <tpl fld="6" item="2"/>
          <tpl hier="236" item="1"/>
          <tpl fld="4" item="4"/>
        </tpls>
      </m>
      <m>
        <tpls c="4">
          <tpl fld="7" item="139"/>
          <tpl fld="6" item="1"/>
          <tpl hier="236" item="1"/>
          <tpl fld="4" item="1"/>
        </tpls>
      </m>
      <n v="1" in="1">
        <tpls c="4">
          <tpl fld="7" item="854"/>
          <tpl fld="6" item="1"/>
          <tpl hier="236" item="1"/>
          <tpl fld="4" item="1"/>
        </tpls>
      </n>
      <m>
        <tpls c="4">
          <tpl fld="7" item="488"/>
          <tpl fld="6" item="1"/>
          <tpl hier="236" item="1"/>
          <tpl fld="1" item="0"/>
        </tpls>
      </m>
      <m>
        <tpls c="4">
          <tpl fld="7" item="411"/>
          <tpl fld="6" item="1"/>
          <tpl hier="236" item="1"/>
          <tpl fld="4" item="5"/>
        </tpls>
      </m>
      <m>
        <tpls c="4">
          <tpl fld="7" item="1081"/>
          <tpl fld="6" item="2"/>
          <tpl hier="236" item="1"/>
          <tpl fld="4" item="4"/>
        </tpls>
      </m>
      <m>
        <tpls c="4">
          <tpl fld="7" item="120"/>
          <tpl fld="6" item="1"/>
          <tpl hier="236" item="1"/>
          <tpl fld="4" item="6"/>
        </tpls>
      </m>
      <m>
        <tpls c="4">
          <tpl fld="7" item="12"/>
          <tpl fld="6" item="2"/>
          <tpl hier="236" item="1"/>
          <tpl fld="4" item="6"/>
        </tpls>
      </m>
      <m>
        <tpls c="3">
          <tpl fld="7" item="629"/>
          <tpl fld="6" item="3"/>
          <tpl hier="236" item="1"/>
        </tpls>
      </m>
      <n v="1" in="2">
        <tpls c="4">
          <tpl fld="7" item="434"/>
          <tpl fld="6" item="2"/>
          <tpl hier="236" item="1"/>
          <tpl fld="4" item="4"/>
        </tpls>
      </n>
      <m>
        <tpls c="4">
          <tpl fld="7" item="1112"/>
          <tpl fld="6" item="1"/>
          <tpl hier="236" item="1"/>
          <tpl fld="4" item="1"/>
        </tpls>
      </m>
      <m>
        <tpls c="4">
          <tpl fld="7" item="113"/>
          <tpl fld="6" item="1"/>
          <tpl hier="236" item="1"/>
          <tpl fld="4" item="6"/>
        </tpls>
      </m>
      <n v="7" in="1">
        <tpls c="4">
          <tpl fld="7" item="1061"/>
          <tpl fld="6" item="1"/>
          <tpl hier="236" item="1"/>
          <tpl fld="4" item="4"/>
        </tpls>
      </n>
      <m>
        <tpls c="4">
          <tpl fld="7" item="1140"/>
          <tpl fld="6" item="2"/>
          <tpl hier="236" item="1"/>
          <tpl fld="4" item="4"/>
        </tpls>
      </m>
      <n v="5" in="1">
        <tpls c="4">
          <tpl fld="7" item="938"/>
          <tpl fld="6" item="1"/>
          <tpl hier="236" item="1"/>
          <tpl fld="4" item="4"/>
        </tpls>
      </n>
      <m>
        <tpls c="4">
          <tpl fld="7" item="1262"/>
          <tpl fld="6" item="1"/>
          <tpl hier="236" item="1"/>
          <tpl fld="4" item="4"/>
        </tpls>
      </m>
      <m>
        <tpls c="4">
          <tpl fld="7" item="499"/>
          <tpl fld="6" item="2"/>
          <tpl hier="236" item="1"/>
          <tpl fld="4" item="5"/>
        </tpls>
      </m>
      <n v="1" in="1">
        <tpls c="4">
          <tpl fld="7" item="1210"/>
          <tpl fld="6" item="1"/>
          <tpl hier="236" item="1"/>
          <tpl fld="4" item="1"/>
        </tpls>
      </n>
      <n v="2" in="1">
        <tpls c="4">
          <tpl fld="7" item="1010"/>
          <tpl fld="6" item="1"/>
          <tpl hier="236" item="1"/>
          <tpl fld="4" item="6"/>
        </tpls>
      </n>
      <m>
        <tpls c="4">
          <tpl fld="7" item="843"/>
          <tpl fld="6" item="2"/>
          <tpl hier="236" item="1"/>
          <tpl fld="4" item="6"/>
        </tpls>
      </m>
      <n v="6" in="1">
        <tpls c="4">
          <tpl fld="7" item="873"/>
          <tpl fld="6" item="1"/>
          <tpl hier="236" item="1"/>
          <tpl fld="4" item="1"/>
        </tpls>
      </n>
      <m>
        <tpls c="4">
          <tpl fld="7" item="399"/>
          <tpl fld="6" item="1"/>
          <tpl hier="236" item="1"/>
          <tpl fld="1" item="0"/>
        </tpls>
      </m>
      <n v="20" in="1">
        <tpls c="4">
          <tpl fld="7" item="213"/>
          <tpl fld="6" item="1"/>
          <tpl hier="236" item="1"/>
          <tpl fld="1" item="0"/>
        </tpls>
      </n>
      <m>
        <tpls c="4">
          <tpl fld="7" item="229"/>
          <tpl fld="6" item="1"/>
          <tpl hier="236" item="1"/>
          <tpl fld="4" item="6"/>
        </tpls>
      </m>
      <n v="9" in="1">
        <tpls c="4">
          <tpl fld="7" item="320"/>
          <tpl fld="6" item="1"/>
          <tpl hier="236" item="1"/>
          <tpl fld="1" item="0"/>
        </tpls>
      </n>
      <m>
        <tpls c="3">
          <tpl fld="7" item="133"/>
          <tpl fld="6" item="3"/>
          <tpl hier="236" item="1"/>
        </tpls>
      </m>
      <m>
        <tpls c="4">
          <tpl fld="7" item="65"/>
          <tpl fld="6" item="1"/>
          <tpl hier="236" item="1"/>
          <tpl fld="4" item="1"/>
        </tpls>
      </m>
      <m>
        <tpls c="4">
          <tpl fld="7" item="1206"/>
          <tpl fld="6" item="2"/>
          <tpl hier="236" item="1"/>
          <tpl fld="4" item="4"/>
        </tpls>
      </m>
      <m>
        <tpls c="4">
          <tpl fld="7" item="64"/>
          <tpl fld="6" item="1"/>
          <tpl hier="236" item="1"/>
          <tpl fld="4" item="1"/>
        </tpls>
      </m>
      <m>
        <tpls c="4">
          <tpl fld="7" item="1121"/>
          <tpl fld="6" item="2"/>
          <tpl hier="236" item="1"/>
          <tpl fld="1" item="0"/>
        </tpls>
      </m>
      <m>
        <tpls c="4">
          <tpl fld="7" item="950"/>
          <tpl fld="6" item="1"/>
          <tpl hier="236" item="1"/>
          <tpl fld="4" item="1"/>
        </tpls>
      </m>
      <m>
        <tpls c="4">
          <tpl fld="7" item="123"/>
          <tpl fld="6" item="2"/>
          <tpl hier="236" item="1"/>
          <tpl fld="4" item="6"/>
        </tpls>
      </m>
      <m>
        <tpls c="4">
          <tpl fld="7" item="1163"/>
          <tpl fld="6" item="1"/>
          <tpl hier="236" item="1"/>
          <tpl fld="4" item="1"/>
        </tpls>
      </m>
      <n v="3" in="1">
        <tpls c="4">
          <tpl fld="7" item="457"/>
          <tpl fld="6" item="1"/>
          <tpl hier="236" item="1"/>
          <tpl fld="1" item="0"/>
        </tpls>
      </n>
      <m>
        <tpls c="4">
          <tpl fld="7" item="890"/>
          <tpl fld="6" item="1"/>
          <tpl hier="236" item="1"/>
          <tpl fld="4" item="5"/>
        </tpls>
      </m>
      <n v="1" in="1">
        <tpls c="4">
          <tpl fld="7" item="102"/>
          <tpl fld="6" item="1"/>
          <tpl hier="236" item="1"/>
          <tpl fld="1" item="0"/>
        </tpls>
      </n>
      <m>
        <tpls c="4">
          <tpl fld="7" item="400"/>
          <tpl fld="6" item="2"/>
          <tpl hier="236" item="1"/>
          <tpl fld="4" item="4"/>
        </tpls>
      </m>
      <m>
        <tpls c="4">
          <tpl fld="7" item="13"/>
          <tpl fld="6" item="1"/>
          <tpl hier="236" item="1"/>
          <tpl fld="4" item="6"/>
        </tpls>
      </m>
      <m>
        <tpls c="4">
          <tpl fld="7" item="1000"/>
          <tpl fld="6" item="1"/>
          <tpl hier="236" item="1"/>
          <tpl fld="1" item="0"/>
        </tpls>
      </m>
      <m>
        <tpls c="4">
          <tpl fld="7" item="589"/>
          <tpl fld="6" item="1"/>
          <tpl hier="236" item="1"/>
          <tpl fld="4" item="5"/>
        </tpls>
      </m>
      <m>
        <tpls c="4">
          <tpl fld="7" item="84"/>
          <tpl fld="6" item="2"/>
          <tpl hier="236" item="1"/>
          <tpl fld="1" item="0"/>
        </tpls>
      </m>
      <m>
        <tpls c="4">
          <tpl fld="7" item="841"/>
          <tpl fld="6" item="1"/>
          <tpl hier="236" item="1"/>
          <tpl fld="4" item="5"/>
        </tpls>
      </m>
      <m>
        <tpls c="4">
          <tpl fld="7" item="851"/>
          <tpl fld="6" item="1"/>
          <tpl hier="236" item="1"/>
          <tpl fld="4" item="5"/>
        </tpls>
      </m>
      <m>
        <tpls c="4">
          <tpl fld="7" item="181"/>
          <tpl fld="6" item="1"/>
          <tpl hier="236" item="1"/>
          <tpl fld="4" item="5"/>
        </tpls>
      </m>
      <m>
        <tpls c="4">
          <tpl fld="7" item="1259"/>
          <tpl fld="6" item="2"/>
          <tpl hier="236" item="1"/>
          <tpl fld="4" item="4"/>
        </tpls>
      </m>
      <m>
        <tpls c="4">
          <tpl fld="7" item="223"/>
          <tpl fld="6" item="1"/>
          <tpl hier="236" item="1"/>
          <tpl fld="4" item="6"/>
        </tpls>
      </m>
      <m>
        <tpls c="4">
          <tpl fld="7" item="307"/>
          <tpl fld="6" item="2"/>
          <tpl hier="236" item="1"/>
          <tpl fld="1" item="0"/>
        </tpls>
      </m>
      <m>
        <tpls c="4">
          <tpl fld="7" item="273"/>
          <tpl fld="6" item="1"/>
          <tpl hier="236" item="1"/>
          <tpl fld="4" item="1"/>
        </tpls>
      </m>
      <n v="0" in="1">
        <tpls c="4">
          <tpl fld="7" item="938"/>
          <tpl fld="6" item="1"/>
          <tpl hier="236" item="1"/>
          <tpl fld="4" item="1"/>
        </tpls>
      </n>
      <m>
        <tpls c="4">
          <tpl fld="7" item="73"/>
          <tpl fld="6" item="2"/>
          <tpl hier="236" item="1"/>
          <tpl fld="1" item="0"/>
        </tpls>
      </m>
      <m>
        <tpls c="4">
          <tpl fld="7" item="39"/>
          <tpl fld="6" item="1"/>
          <tpl hier="236" item="1"/>
          <tpl fld="4" item="5"/>
        </tpls>
      </m>
      <m>
        <tpls c="4">
          <tpl fld="7" item="382"/>
          <tpl fld="6" item="2"/>
          <tpl hier="236" item="1"/>
          <tpl fld="4" item="5"/>
        </tpls>
      </m>
      <n v="5" in="1">
        <tpls c="4">
          <tpl fld="7" item="381"/>
          <tpl fld="6" item="1"/>
          <tpl hier="236" item="1"/>
          <tpl fld="4" item="1"/>
        </tpls>
      </n>
      <m>
        <tpls c="4">
          <tpl fld="7" item="82"/>
          <tpl fld="6" item="1"/>
          <tpl hier="236" item="1"/>
          <tpl fld="1" item="0"/>
        </tpls>
      </m>
      <m>
        <tpls c="4">
          <tpl fld="7" item="60"/>
          <tpl fld="6" item="2"/>
          <tpl hier="236" item="1"/>
          <tpl fld="4" item="6"/>
        </tpls>
      </m>
      <m>
        <tpls c="4">
          <tpl fld="7" item="1229"/>
          <tpl fld="6" item="2"/>
          <tpl hier="236" item="1"/>
          <tpl fld="4" item="4"/>
        </tpls>
      </m>
      <m>
        <tpls c="3">
          <tpl fld="7" item="111"/>
          <tpl fld="6" item="3"/>
          <tpl hier="236" item="1"/>
        </tpls>
      </m>
      <m>
        <tpls c="4">
          <tpl fld="7" item="1232"/>
          <tpl fld="6" item="2"/>
          <tpl hier="236" item="1"/>
          <tpl fld="4" item="4"/>
        </tpls>
      </m>
      <n v="30" in="1">
        <tpls c="4">
          <tpl fld="7" item="851"/>
          <tpl fld="6" item="1"/>
          <tpl hier="236" item="1"/>
          <tpl fld="4" item="4"/>
        </tpls>
      </n>
      <m>
        <tpls c="4">
          <tpl fld="7" item="267"/>
          <tpl fld="6" item="2"/>
          <tpl hier="236" item="1"/>
          <tpl fld="4" item="5"/>
        </tpls>
      </m>
      <m>
        <tpls c="4">
          <tpl fld="7" item="417"/>
          <tpl fld="6" item="2"/>
          <tpl hier="236" item="1"/>
          <tpl fld="4" item="5"/>
        </tpls>
      </m>
      <m>
        <tpls c="4">
          <tpl fld="7" item="216"/>
          <tpl fld="6" item="2"/>
          <tpl hier="236" item="1"/>
          <tpl fld="4" item="5"/>
        </tpls>
      </m>
      <m>
        <tpls c="4">
          <tpl fld="7" item="190"/>
          <tpl fld="6" item="1"/>
          <tpl hier="236" item="1"/>
          <tpl fld="4" item="5"/>
        </tpls>
      </m>
      <m>
        <tpls c="4">
          <tpl fld="7" item="1265"/>
          <tpl fld="6" item="1"/>
          <tpl hier="236" item="1"/>
          <tpl fld="1" item="0"/>
        </tpls>
      </m>
      <m>
        <tpls c="4">
          <tpl fld="7" item="1152"/>
          <tpl fld="6" item="2"/>
          <tpl hier="236" item="1"/>
          <tpl fld="4" item="4"/>
        </tpls>
      </m>
      <m>
        <tpls c="4">
          <tpl fld="7" item="810"/>
          <tpl fld="6" item="2"/>
          <tpl hier="236" item="1"/>
          <tpl fld="4" item="1"/>
        </tpls>
      </m>
      <m>
        <tpls c="4">
          <tpl fld="7" item="1105"/>
          <tpl fld="6" item="1"/>
          <tpl hier="236" item="1"/>
          <tpl fld="4" item="1"/>
        </tpls>
      </m>
      <m>
        <tpls c="4">
          <tpl fld="7" item="196"/>
          <tpl fld="6" item="2"/>
          <tpl hier="236" item="1"/>
          <tpl fld="4" item="5"/>
        </tpls>
      </m>
      <n v="5" in="1">
        <tpls c="4">
          <tpl fld="7" item="603"/>
          <tpl fld="6" item="1"/>
          <tpl hier="236" item="1"/>
          <tpl fld="4" item="1"/>
        </tpls>
      </n>
      <m>
        <tpls c="4">
          <tpl fld="7" item="674"/>
          <tpl fld="6" item="1"/>
          <tpl hier="236" item="1"/>
          <tpl fld="4" item="5"/>
        </tpls>
      </m>
      <m>
        <tpls c="4">
          <tpl fld="7" item="481"/>
          <tpl fld="6" item="1"/>
          <tpl hier="236" item="1"/>
          <tpl fld="1" item="0"/>
        </tpls>
      </m>
      <m>
        <tpls c="3">
          <tpl fld="7" item="614"/>
          <tpl fld="6" item="3"/>
          <tpl hier="236" item="1"/>
        </tpls>
      </m>
      <m>
        <tpls c="4">
          <tpl fld="7" item="762"/>
          <tpl fld="6" item="1"/>
          <tpl hier="236" item="1"/>
          <tpl fld="4" item="1"/>
        </tpls>
      </m>
      <n v="1" in="1">
        <tpls c="4">
          <tpl fld="7" item="1119"/>
          <tpl fld="6" item="1"/>
          <tpl hier="236" item="1"/>
          <tpl fld="4" item="5"/>
        </tpls>
      </n>
      <m>
        <tpls c="4">
          <tpl fld="7" item="858"/>
          <tpl fld="6" item="1"/>
          <tpl hier="236" item="1"/>
          <tpl fld="4" item="5"/>
        </tpls>
      </m>
      <m>
        <tpls c="4">
          <tpl fld="7" item="421"/>
          <tpl fld="6" item="1"/>
          <tpl hier="236" item="1"/>
          <tpl fld="4" item="5"/>
        </tpls>
      </m>
      <n v="2" in="1">
        <tpls c="4">
          <tpl fld="7" item="1261"/>
          <tpl fld="6" item="1"/>
          <tpl hier="236" item="1"/>
          <tpl fld="4" item="1"/>
        </tpls>
      </n>
      <m>
        <tpls c="4">
          <tpl fld="7" item="810"/>
          <tpl fld="6" item="1"/>
          <tpl hier="236" item="1"/>
          <tpl fld="4" item="6"/>
        </tpls>
      </m>
      <m>
        <tpls c="4">
          <tpl fld="7" item="1281"/>
          <tpl fld="6" item="1"/>
          <tpl hier="236" item="1"/>
          <tpl fld="4" item="4"/>
        </tpls>
      </m>
      <m>
        <tpls c="4">
          <tpl fld="7" item="838"/>
          <tpl fld="6" item="2"/>
          <tpl hier="236" item="1"/>
          <tpl fld="4" item="4"/>
        </tpls>
      </m>
      <m>
        <tpls c="4">
          <tpl fld="7" item="631"/>
          <tpl fld="6" item="2"/>
          <tpl hier="236" item="1"/>
          <tpl fld="4" item="4"/>
        </tpls>
      </m>
      <n v="4" in="1">
        <tpls c="4">
          <tpl fld="7" item="1190"/>
          <tpl fld="6" item="1"/>
          <tpl hier="236" item="1"/>
          <tpl fld="4" item="6"/>
        </tpls>
      </n>
      <m>
        <tpls c="4">
          <tpl fld="7" item="256"/>
          <tpl fld="6" item="2"/>
          <tpl hier="236" item="1"/>
          <tpl fld="1" item="0"/>
        </tpls>
      </m>
      <m>
        <tpls c="4">
          <tpl fld="7" item="276"/>
          <tpl fld="6" item="1"/>
          <tpl hier="236" item="1"/>
          <tpl fld="1" item="0"/>
        </tpls>
      </m>
      <m>
        <tpls c="4">
          <tpl fld="7" item="0"/>
          <tpl fld="6" item="1"/>
          <tpl hier="236" item="1"/>
          <tpl fld="4" item="6"/>
        </tpls>
      </m>
      <n v="0" in="1">
        <tpls c="4">
          <tpl fld="7" item="555"/>
          <tpl fld="6" item="1"/>
          <tpl hier="236" item="1"/>
          <tpl fld="4" item="1"/>
        </tpls>
      </n>
      <m>
        <tpls c="4">
          <tpl fld="7" item="1274"/>
          <tpl fld="6" item="1"/>
          <tpl hier="236" item="1"/>
          <tpl fld="4" item="1"/>
        </tpls>
      </m>
      <m>
        <tpls c="4">
          <tpl fld="7" item="954"/>
          <tpl fld="6" item="2"/>
          <tpl hier="236" item="1"/>
          <tpl fld="4" item="4"/>
        </tpls>
      </m>
      <m>
        <tpls c="4">
          <tpl fld="7" item="290"/>
          <tpl fld="6" item="1"/>
          <tpl hier="236" item="1"/>
          <tpl fld="1" item="0"/>
        </tpls>
      </m>
      <m>
        <tpls c="4">
          <tpl fld="7" item="1228"/>
          <tpl fld="6" item="1"/>
          <tpl hier="236" item="1"/>
          <tpl fld="4" item="1"/>
        </tpls>
      </m>
      <m>
        <tpls c="3">
          <tpl fld="7" item="23"/>
          <tpl fld="6" item="3"/>
          <tpl hier="236" item="1"/>
        </tpls>
      </m>
      <m>
        <tpls c="4">
          <tpl fld="7" item="4"/>
          <tpl fld="6" item="1"/>
          <tpl hier="236" item="1"/>
          <tpl fld="4" item="1"/>
        </tpls>
      </m>
      <m>
        <tpls c="4">
          <tpl fld="7" item="236"/>
          <tpl fld="6" item="1"/>
          <tpl hier="236" item="1"/>
          <tpl fld="4" item="1"/>
        </tpls>
      </m>
      <n v="1" in="2">
        <tpls c="4">
          <tpl fld="7" item="1155"/>
          <tpl fld="6" item="2"/>
          <tpl hier="236" item="1"/>
          <tpl fld="4" item="4"/>
        </tpls>
      </n>
      <m>
        <tpls c="4">
          <tpl fld="7" item="384"/>
          <tpl fld="6" item="2"/>
          <tpl hier="236" item="1"/>
          <tpl fld="4" item="5"/>
        </tpls>
      </m>
      <m>
        <tpls c="4">
          <tpl fld="7" item="859"/>
          <tpl fld="6" item="2"/>
          <tpl hier="236" item="1"/>
          <tpl fld="4" item="6"/>
        </tpls>
      </m>
      <n v="3" in="1">
        <tpls c="4">
          <tpl fld="7" item="512"/>
          <tpl fld="6" item="1"/>
          <tpl hier="236" item="1"/>
          <tpl fld="1" item="0"/>
        </tpls>
      </n>
      <m>
        <tpls c="4">
          <tpl fld="7" item="910"/>
          <tpl fld="6" item="2"/>
          <tpl hier="236" item="1"/>
          <tpl fld="4" item="6"/>
        </tpls>
      </m>
      <m>
        <tpls c="4">
          <tpl fld="7" item="1111"/>
          <tpl fld="6" item="2"/>
          <tpl hier="236" item="1"/>
          <tpl fld="4" item="5"/>
        </tpls>
      </m>
      <m>
        <tpls c="4">
          <tpl fld="7" item="1150"/>
          <tpl fld="6" item="1"/>
          <tpl hier="236" item="1"/>
          <tpl fld="4" item="5"/>
        </tpls>
      </m>
      <n v="8" in="1">
        <tpls c="4">
          <tpl fld="7" item="940"/>
          <tpl fld="6" item="1"/>
          <tpl hier="236" item="1"/>
          <tpl fld="1" item="0"/>
        </tpls>
      </n>
      <n v="3" in="1">
        <tpls c="4">
          <tpl fld="7" item="1198"/>
          <tpl fld="6" item="1"/>
          <tpl hier="236" item="1"/>
          <tpl fld="1" item="0"/>
        </tpls>
      </n>
      <n v="4" in="1">
        <tpls c="4">
          <tpl fld="7" item="1048"/>
          <tpl fld="6" item="1"/>
          <tpl hier="236" item="1"/>
          <tpl fld="1" item="0"/>
        </tpls>
      </n>
      <n v="42" in="1">
        <tpls c="4">
          <tpl fld="7" item="1266"/>
          <tpl fld="6" item="1"/>
          <tpl hier="236" item="1"/>
          <tpl fld="1" item="0"/>
        </tpls>
      </n>
      <m>
        <tpls c="4">
          <tpl fld="7" item="1273"/>
          <tpl fld="6" item="2"/>
          <tpl hier="236" item="1"/>
          <tpl fld="4" item="6"/>
        </tpls>
      </m>
      <m>
        <tpls c="4">
          <tpl fld="7" item="1274"/>
          <tpl fld="6" item="2"/>
          <tpl hier="236" item="1"/>
          <tpl fld="1" item="0"/>
        </tpls>
      </m>
      <n v="1" in="2">
        <tpls c="4">
          <tpl fld="7" item="1141"/>
          <tpl fld="6" item="2"/>
          <tpl hier="236" item="1"/>
          <tpl fld="1" item="0"/>
        </tpls>
      </n>
      <m>
        <tpls c="4">
          <tpl fld="7" item="1066"/>
          <tpl fld="6" item="2"/>
          <tpl hier="236" item="1"/>
          <tpl fld="1" item="0"/>
        </tpls>
      </m>
      <m>
        <tpls c="4">
          <tpl fld="7" item="1161"/>
          <tpl fld="6" item="2"/>
          <tpl hier="236" item="1"/>
          <tpl fld="1" item="0"/>
        </tpls>
      </m>
      <m>
        <tpls c="4">
          <tpl fld="7" item="1230"/>
          <tpl fld="6" item="2"/>
          <tpl hier="236" item="1"/>
          <tpl fld="1" item="0"/>
        </tpls>
      </m>
      <m>
        <tpls c="4">
          <tpl fld="7" item="967"/>
          <tpl fld="6" item="2"/>
          <tpl hier="236" item="1"/>
          <tpl fld="1" item="0"/>
        </tpls>
      </m>
      <m>
        <tpls c="4">
          <tpl fld="7" item="1076"/>
          <tpl fld="6" item="2"/>
          <tpl hier="236" item="1"/>
          <tpl fld="1" item="0"/>
        </tpls>
      </m>
      <m>
        <tpls c="4">
          <tpl fld="7" item="1206"/>
          <tpl fld="6" item="2"/>
          <tpl hier="236" item="1"/>
          <tpl fld="1" item="0"/>
        </tpls>
      </m>
      <m>
        <tpls c="4">
          <tpl fld="7" item="1075"/>
          <tpl fld="6" item="2"/>
          <tpl hier="236" item="1"/>
          <tpl fld="1" item="0"/>
        </tpls>
      </m>
      <m>
        <tpls c="4">
          <tpl fld="7" item="1175"/>
          <tpl fld="6" item="2"/>
          <tpl hier="236" item="1"/>
          <tpl fld="1" item="0"/>
        </tpls>
      </m>
      <m>
        <tpls c="4">
          <tpl fld="7" item="935"/>
          <tpl fld="6" item="2"/>
          <tpl hier="236" item="1"/>
          <tpl fld="1" item="0"/>
        </tpls>
      </m>
      <m>
        <tpls c="4">
          <tpl fld="7" item="1166"/>
          <tpl fld="6" item="2"/>
          <tpl hier="236" item="1"/>
          <tpl fld="1" item="0"/>
        </tpls>
      </m>
      <m>
        <tpls c="4">
          <tpl fld="7" item="934"/>
          <tpl fld="6" item="2"/>
          <tpl hier="236" item="1"/>
          <tpl fld="1" item="0"/>
        </tpls>
      </m>
      <m>
        <tpls c="4">
          <tpl fld="7" item="1251"/>
          <tpl fld="6" item="2"/>
          <tpl hier="236" item="1"/>
          <tpl fld="1" item="0"/>
        </tpls>
      </m>
      <m>
        <tpls c="4">
          <tpl fld="7" item="1162"/>
          <tpl fld="6" item="2"/>
          <tpl hier="236" item="1"/>
          <tpl fld="1" item="0"/>
        </tpls>
      </m>
      <m>
        <tpls c="4">
          <tpl fld="7" item="1059"/>
          <tpl fld="6" item="2"/>
          <tpl hier="236" item="1"/>
          <tpl fld="1" item="0"/>
        </tpls>
      </m>
      <m>
        <tpls c="4">
          <tpl fld="7" item="1256"/>
          <tpl fld="6" item="2"/>
          <tpl hier="236" item="1"/>
          <tpl fld="1" item="0"/>
        </tpls>
      </m>
      <m>
        <tpls c="4">
          <tpl fld="7" item="1145"/>
          <tpl fld="6" item="2"/>
          <tpl hier="236" item="1"/>
          <tpl fld="1" item="0"/>
        </tpls>
      </m>
      <m>
        <tpls c="4">
          <tpl fld="7" item="970"/>
          <tpl fld="6" item="2"/>
          <tpl hier="236" item="1"/>
          <tpl fld="1" item="0"/>
        </tpls>
      </m>
      <m>
        <tpls c="4">
          <tpl fld="7" item="957"/>
          <tpl fld="6" item="2"/>
          <tpl hier="236" item="1"/>
          <tpl fld="1" item="0"/>
        </tpls>
      </m>
      <m>
        <tpls c="4">
          <tpl fld="7" item="1231"/>
          <tpl fld="6" item="2"/>
          <tpl hier="236" item="1"/>
          <tpl fld="1" item="0"/>
        </tpls>
      </m>
      <m>
        <tpls c="4">
          <tpl fld="7" item="974"/>
          <tpl fld="6" item="2"/>
          <tpl hier="236" item="1"/>
          <tpl fld="1" item="0"/>
        </tpls>
      </m>
      <m>
        <tpls c="4">
          <tpl fld="7" item="940"/>
          <tpl fld="6" item="2"/>
          <tpl hier="236" item="1"/>
          <tpl fld="1" item="0"/>
        </tpls>
      </m>
      <m>
        <tpls c="4">
          <tpl fld="7" item="1201"/>
          <tpl fld="6" item="2"/>
          <tpl hier="236" item="1"/>
          <tpl fld="1" item="0"/>
        </tpls>
      </m>
      <m>
        <tpls c="4">
          <tpl fld="7" item="1160"/>
          <tpl fld="6" item="2"/>
          <tpl hier="236" item="1"/>
          <tpl fld="1" item="0"/>
        </tpls>
      </m>
      <m>
        <tpls c="4">
          <tpl fld="7" item="1057"/>
          <tpl fld="6" item="2"/>
          <tpl hier="236" item="1"/>
          <tpl fld="1" item="0"/>
        </tpls>
      </m>
      <m>
        <tpls c="4">
          <tpl fld="7" item="1137"/>
          <tpl fld="6" item="2"/>
          <tpl hier="236" item="1"/>
          <tpl fld="1" item="0"/>
        </tpls>
      </m>
      <m>
        <tpls c="4">
          <tpl fld="7" item="1077"/>
          <tpl fld="6" item="2"/>
          <tpl hier="236" item="1"/>
          <tpl fld="1" item="0"/>
        </tpls>
      </m>
      <m>
        <tpls c="4">
          <tpl fld="7" item="1179"/>
          <tpl fld="6" item="2"/>
          <tpl hier="236" item="1"/>
          <tpl fld="1" item="0"/>
        </tpls>
      </m>
      <m>
        <tpls c="4">
          <tpl fld="7" item="939"/>
          <tpl fld="6" item="2"/>
          <tpl hier="236" item="1"/>
          <tpl fld="1" item="0"/>
        </tpls>
      </m>
      <m>
        <tpls c="4">
          <tpl fld="7" item="954"/>
          <tpl fld="6" item="2"/>
          <tpl hier="236" item="1"/>
          <tpl fld="1" item="0"/>
        </tpls>
      </m>
      <m>
        <tpls c="4">
          <tpl fld="7" item="969"/>
          <tpl fld="6" item="2"/>
          <tpl hier="236" item="1"/>
          <tpl fld="1" item="0"/>
        </tpls>
      </m>
      <m>
        <tpls c="4">
          <tpl fld="7" item="1142"/>
          <tpl fld="6" item="2"/>
          <tpl hier="236" item="1"/>
          <tpl fld="1" item="0"/>
        </tpls>
      </m>
      <m>
        <tpls c="4">
          <tpl fld="7" item="1039"/>
          <tpl fld="6" item="2"/>
          <tpl hier="236" item="1"/>
          <tpl fld="1" item="0"/>
        </tpls>
      </m>
      <n v="40" in="1">
        <tpls c="4">
          <tpl fld="7" item="1280"/>
          <tpl fld="6" item="1"/>
          <tpl hier="236" item="1"/>
          <tpl fld="1" item="0"/>
        </tpls>
      </n>
      <m>
        <tpls c="3">
          <tpl fld="7" item="934"/>
          <tpl fld="6" item="3"/>
          <tpl hier="236" item="1"/>
        </tpls>
      </m>
      <m>
        <tpls c="3">
          <tpl fld="7" item="1176"/>
          <tpl fld="6" item="3"/>
          <tpl hier="236" item="1"/>
        </tpls>
      </m>
      <m>
        <tpls c="3">
          <tpl fld="7" item="1048"/>
          <tpl fld="6" item="3"/>
          <tpl hier="236" item="1"/>
        </tpls>
      </m>
      <m>
        <tpls c="3">
          <tpl fld="7" item="1274"/>
          <tpl fld="6" item="3"/>
          <tpl hier="236" item="1"/>
        </tpls>
      </m>
      <m>
        <tpls c="3">
          <tpl fld="7" item="1057"/>
          <tpl fld="6" item="3"/>
          <tpl hier="236" item="1"/>
        </tpls>
      </m>
      <m>
        <tpls c="3">
          <tpl fld="7" item="1182"/>
          <tpl fld="6" item="3"/>
          <tpl hier="236" item="1"/>
        </tpls>
      </m>
      <m>
        <tpls c="3">
          <tpl fld="7" item="1056"/>
          <tpl fld="6" item="3"/>
          <tpl hier="236" item="1"/>
        </tpls>
      </m>
      <m>
        <tpls c="3">
          <tpl fld="7" item="1230"/>
          <tpl fld="6" item="3"/>
          <tpl hier="236" item="1"/>
        </tpls>
      </m>
      <m>
        <tpls c="3">
          <tpl fld="7" item="1137"/>
          <tpl fld="6" item="3"/>
          <tpl hier="236" item="1"/>
        </tpls>
      </m>
      <m>
        <tpls c="4">
          <tpl fld="7" item="1283"/>
          <tpl fld="6" item="1"/>
          <tpl hier="236" item="1"/>
          <tpl fld="4" item="6"/>
        </tpls>
      </m>
      <n v="40" in="1">
        <tpls c="5">
          <tpl fld="11" item="0"/>
          <tpl fld="5" item="0"/>
          <tpl fld="6" item="1"/>
          <tpl hier="236" item="1"/>
          <tpl fld="4" item="2"/>
        </tpls>
      </n>
      <n v="43" in="1">
        <tpls c="4">
          <tpl fld="7" item="1285"/>
          <tpl fld="6" item="1"/>
          <tpl hier="236" item="1"/>
          <tpl fld="1" item="0"/>
        </tpls>
      </n>
      <n v="1469" in="1">
        <tpls c="6">
          <tpl fld="11" item="0"/>
          <tpl fld="5" item="3"/>
          <tpl fld="6" item="1"/>
          <tpl hier="236" item="1"/>
          <tpl fld="4" item="4"/>
          <tpl fld="10" item="0"/>
        </tpls>
      </n>
      <n v="1024" in="1">
        <tpls c="6">
          <tpl fld="11" item="0"/>
          <tpl fld="2" item="0"/>
          <tpl fld="6" item="1"/>
          <tpl hier="236" item="1"/>
          <tpl fld="4" item="4"/>
          <tpl fld="10" item="8"/>
        </tpls>
      </n>
      <m>
        <tpls c="6">
          <tpl fld="11" item="0"/>
          <tpl fld="5" item="3"/>
          <tpl fld="6" item="2"/>
          <tpl hier="236" item="1"/>
          <tpl fld="4" item="3"/>
          <tpl fld="10" item="0"/>
        </tpls>
      </m>
      <n v="3" in="1">
        <tpls c="4">
          <tpl fld="7" item="1287"/>
          <tpl fld="6" item="1"/>
          <tpl hier="236" item="1"/>
          <tpl fld="1" item="0"/>
        </tpls>
      </n>
      <m>
        <tpls c="4">
          <tpl fld="7" item="1287"/>
          <tpl fld="6" item="2"/>
          <tpl hier="236" item="1"/>
          <tpl fld="1" item="0"/>
        </tpls>
      </m>
      <n v="69" in="1">
        <tpls c="6">
          <tpl fld="11" item="0"/>
          <tpl fld="5" item="0"/>
          <tpl fld="6" item="1"/>
          <tpl hier="236" item="1"/>
          <tpl fld="4" item="1"/>
          <tpl fld="9" item="1"/>
        </tpls>
      </n>
      <m>
        <tpls c="6">
          <tpl fld="11" item="0"/>
          <tpl fld="5" item="3"/>
          <tpl fld="6" item="2"/>
          <tpl hier="236" item="1"/>
          <tpl fld="4" item="7"/>
          <tpl fld="10" item="4"/>
        </tpls>
      </m>
      <n v="1.4" in="2">
        <tpls c="6">
          <tpl fld="3" item="3"/>
          <tpl fld="11" item="0"/>
          <tpl fld="6" item="2"/>
          <tpl hier="236" item="1"/>
          <tpl fld="4" item="6"/>
          <tpl fld="10" item="4"/>
        </tpls>
      </n>
      <n v="8.2108108108108109" in="2">
        <tpls c="6">
          <tpl fld="3" item="3"/>
          <tpl fld="11" item="0"/>
          <tpl fld="6" item="2"/>
          <tpl hier="236" item="1"/>
          <tpl fld="4" item="6"/>
          <tpl fld="10" item="8"/>
        </tpls>
      </n>
      <m>
        <tpls c="4">
          <tpl fld="7" item="223"/>
          <tpl fld="6" item="1"/>
          <tpl hier="236" item="1"/>
          <tpl fld="4" item="1"/>
        </tpls>
      </m>
      <m>
        <tpls c="4">
          <tpl fld="7" item="1190"/>
          <tpl fld="6" item="2"/>
          <tpl hier="236" item="1"/>
          <tpl fld="4" item="5"/>
        </tpls>
      </m>
      <n v="1" in="1">
        <tpls c="4">
          <tpl fld="7" item="352"/>
          <tpl fld="6" item="1"/>
          <tpl hier="236" item="1"/>
          <tpl fld="1" item="0"/>
        </tpls>
      </n>
      <n v="0" in="1">
        <tpls c="4">
          <tpl fld="7" item="1188"/>
          <tpl fld="6" item="1"/>
          <tpl hier="236" item="1"/>
          <tpl fld="4" item="6"/>
        </tpls>
      </n>
      <m>
        <tpls c="4">
          <tpl fld="7" item="821"/>
          <tpl fld="6" item="1"/>
          <tpl hier="236" item="1"/>
          <tpl fld="4" item="6"/>
        </tpls>
      </m>
      <m>
        <tpls c="4">
          <tpl fld="7" item="12"/>
          <tpl fld="6" item="1"/>
          <tpl hier="236" item="1"/>
          <tpl fld="4" item="1"/>
        </tpls>
      </m>
      <m>
        <tpls c="4">
          <tpl fld="7" item="315"/>
          <tpl fld="6" item="2"/>
          <tpl hier="236" item="1"/>
          <tpl fld="1" item="0"/>
        </tpls>
      </m>
      <n v="31" in="1">
        <tpls c="4">
          <tpl fld="7" item="1261"/>
          <tpl fld="6" item="1"/>
          <tpl hier="236" item="1"/>
          <tpl fld="4" item="4"/>
        </tpls>
      </n>
      <m>
        <tpls c="4">
          <tpl fld="7" item="1091"/>
          <tpl fld="6" item="2"/>
          <tpl hier="236" item="1"/>
          <tpl fld="4" item="4"/>
        </tpls>
      </m>
      <m>
        <tpls c="4">
          <tpl fld="7" item="1102"/>
          <tpl fld="6" item="2"/>
          <tpl hier="236" item="1"/>
          <tpl fld="4" item="4"/>
        </tpls>
      </m>
      <m>
        <tpls c="4">
          <tpl fld="7" item="475"/>
          <tpl fld="6" item="1"/>
          <tpl hier="236" item="1"/>
          <tpl fld="4" item="5"/>
        </tpls>
      </m>
      <m>
        <tpls c="4">
          <tpl fld="7" item="1101"/>
          <tpl fld="6" item="2"/>
          <tpl hier="236" item="1"/>
          <tpl fld="1" item="0"/>
        </tpls>
      </m>
      <m>
        <tpls c="4">
          <tpl fld="7" item="1220"/>
          <tpl fld="6" item="2"/>
          <tpl hier="236" item="1"/>
          <tpl fld="4" item="5"/>
        </tpls>
      </m>
      <m>
        <tpls c="4">
          <tpl fld="7" item="132"/>
          <tpl fld="6" item="1"/>
          <tpl hier="236" item="1"/>
          <tpl fld="4" item="1"/>
        </tpls>
      </m>
      <n v="3" in="1">
        <tpls c="4">
          <tpl fld="7" item="384"/>
          <tpl fld="6" item="1"/>
          <tpl hier="236" item="1"/>
          <tpl fld="4" item="1"/>
        </tpls>
      </n>
      <n v="2" in="1">
        <tpls c="4">
          <tpl fld="7" item="913"/>
          <tpl fld="6" item="1"/>
          <tpl hier="236" item="1"/>
          <tpl fld="4" item="6"/>
        </tpls>
      </n>
      <m>
        <tpls c="4">
          <tpl fld="7" item="957"/>
          <tpl fld="6" item="2"/>
          <tpl hier="236" item="1"/>
          <tpl fld="4" item="4"/>
        </tpls>
      </m>
      <m>
        <tpls c="4">
          <tpl fld="7" item="1285"/>
          <tpl fld="6" item="2"/>
          <tpl hier="236" item="1"/>
          <tpl fld="4" item="1"/>
        </tpls>
      </m>
      <n v="1" in="1">
        <tpls c="4">
          <tpl fld="7" item="1260"/>
          <tpl fld="6" item="1"/>
          <tpl hier="236" item="1"/>
          <tpl fld="4" item="4"/>
        </tpls>
      </n>
      <m>
        <tpls c="4">
          <tpl fld="7" item="1005"/>
          <tpl fld="6" item="2"/>
          <tpl hier="236" item="1"/>
          <tpl fld="4" item="6"/>
        </tpls>
      </m>
      <m>
        <tpls c="4">
          <tpl fld="7" item="316"/>
          <tpl fld="6" item="1"/>
          <tpl hier="236" item="1"/>
          <tpl fld="4" item="1"/>
        </tpls>
      </m>
      <m>
        <tpls c="4">
          <tpl fld="7" item="597"/>
          <tpl fld="6" item="2"/>
          <tpl hier="236" item="1"/>
          <tpl fld="4" item="5"/>
        </tpls>
      </m>
      <m>
        <tpls c="4">
          <tpl fld="7" item="763"/>
          <tpl fld="6" item="1"/>
          <tpl hier="236" item="1"/>
          <tpl fld="4" item="5"/>
        </tpls>
      </m>
      <m>
        <tpls c="4">
          <tpl fld="7" item="332"/>
          <tpl fld="6" item="1"/>
          <tpl hier="236" item="1"/>
          <tpl fld="4" item="1"/>
        </tpls>
      </m>
      <m>
        <tpls c="4">
          <tpl fld="7" item="137"/>
          <tpl fld="6" item="1"/>
          <tpl hier="236" item="1"/>
          <tpl fld="4" item="5"/>
        </tpls>
      </m>
      <m>
        <tpls c="4">
          <tpl fld="7" item="630"/>
          <tpl fld="6" item="2"/>
          <tpl hier="236" item="1"/>
          <tpl fld="4" item="4"/>
        </tpls>
      </m>
      <m>
        <tpls c="4">
          <tpl fld="7" item="180"/>
          <tpl fld="6" item="2"/>
          <tpl hier="236" item="1"/>
          <tpl fld="4" item="6"/>
        </tpls>
      </m>
      <m>
        <tpls c="4">
          <tpl fld="7" item="131"/>
          <tpl fld="6" item="2"/>
          <tpl hier="236" item="1"/>
          <tpl fld="4" item="4"/>
        </tpls>
      </m>
      <m>
        <tpls c="4">
          <tpl fld="7" item="350"/>
          <tpl fld="6" item="1"/>
          <tpl hier="236" item="1"/>
          <tpl fld="4" item="5"/>
        </tpls>
      </m>
      <m>
        <tpls c="4">
          <tpl fld="7" item="1273"/>
          <tpl fld="6" item="2"/>
          <tpl hier="236" item="1"/>
          <tpl fld="4" item="4"/>
        </tpls>
      </m>
      <m>
        <tpls c="3">
          <tpl fld="7" item="820"/>
          <tpl fld="6" item="3"/>
          <tpl hier="236" item="1"/>
        </tpls>
      </m>
      <n v="4" in="1">
        <tpls c="4">
          <tpl fld="7" item="834"/>
          <tpl fld="6" item="1"/>
          <tpl hier="236" item="1"/>
          <tpl fld="1" item="0"/>
        </tpls>
      </n>
      <m>
        <tpls c="4">
          <tpl fld="7" item="246"/>
          <tpl fld="6" item="1"/>
          <tpl hier="236" item="1"/>
          <tpl fld="4" item="1"/>
        </tpls>
      </m>
      <m>
        <tpls c="4">
          <tpl fld="7" item="437"/>
          <tpl fld="6" item="1"/>
          <tpl hier="236" item="1"/>
          <tpl fld="4" item="5"/>
        </tpls>
      </m>
      <n v="4" in="1">
        <tpls c="4">
          <tpl fld="7" item="997"/>
          <tpl fld="6" item="1"/>
          <tpl hier="236" item="1"/>
          <tpl fld="1" item="0"/>
        </tpls>
      </n>
      <m>
        <tpls c="4">
          <tpl fld="7" item="484"/>
          <tpl fld="6" item="1"/>
          <tpl hier="236" item="1"/>
          <tpl fld="4" item="1"/>
        </tpls>
      </m>
      <m>
        <tpls c="4">
          <tpl fld="7" item="122"/>
          <tpl fld="6" item="1"/>
          <tpl hier="236" item="1"/>
          <tpl fld="4" item="6"/>
        </tpls>
      </m>
      <m>
        <tpls c="4">
          <tpl fld="7" item="53"/>
          <tpl fld="6" item="1"/>
          <tpl hier="236" item="1"/>
          <tpl fld="4" item="1"/>
        </tpls>
      </m>
      <m>
        <tpls c="3">
          <tpl fld="7" item="912"/>
          <tpl fld="6" item="3"/>
          <tpl hier="236" item="1"/>
        </tpls>
      </m>
      <m>
        <tpls c="4">
          <tpl fld="7" item="130"/>
          <tpl fld="6" item="2"/>
          <tpl hier="236" item="1"/>
          <tpl fld="4" item="5"/>
        </tpls>
      </m>
      <m>
        <tpls c="4">
          <tpl fld="7" item="1267"/>
          <tpl fld="6" item="1"/>
          <tpl hier="236" item="1"/>
          <tpl fld="4" item="4"/>
        </tpls>
      </m>
      <n v="1" in="1">
        <tpls c="4">
          <tpl fld="7" item="850"/>
          <tpl fld="6" item="1"/>
          <tpl hier="236" item="1"/>
          <tpl fld="4" item="1"/>
        </tpls>
      </n>
      <m>
        <tpls c="3">
          <tpl fld="7" item="120"/>
          <tpl fld="6" item="3"/>
          <tpl hier="236" item="1"/>
        </tpls>
      </m>
      <m>
        <tpls c="4">
          <tpl fld="7" item="127"/>
          <tpl fld="6" item="1"/>
          <tpl hier="236" item="1"/>
          <tpl fld="4" item="6"/>
        </tpls>
      </m>
      <m>
        <tpls c="4">
          <tpl fld="7" item="233"/>
          <tpl fld="6" item="1"/>
          <tpl hier="236" item="1"/>
          <tpl fld="1" item="0"/>
        </tpls>
      </m>
      <m>
        <tpls c="4">
          <tpl fld="7" item="1270"/>
          <tpl fld="6" item="2"/>
          <tpl hier="236" item="1"/>
          <tpl fld="4" item="6"/>
        </tpls>
      </m>
      <m>
        <tpls c="4">
          <tpl fld="7" item="324"/>
          <tpl fld="6" item="2"/>
          <tpl hier="236" item="1"/>
          <tpl fld="4" item="5"/>
        </tpls>
      </m>
      <m>
        <tpls c="4">
          <tpl fld="7" item="1152"/>
          <tpl fld="6" item="1"/>
          <tpl hier="236" item="1"/>
          <tpl fld="4" item="1"/>
        </tpls>
      </m>
      <m>
        <tpls c="4">
          <tpl fld="7" item="26"/>
          <tpl fld="6" item="1"/>
          <tpl hier="236" item="1"/>
          <tpl fld="4" item="1"/>
        </tpls>
      </m>
      <m>
        <tpls c="4">
          <tpl fld="7" item="1021"/>
          <tpl fld="6" item="2"/>
          <tpl hier="236" item="1"/>
          <tpl fld="1" item="0"/>
        </tpls>
      </m>
      <m>
        <tpls c="4">
          <tpl fld="7" item="229"/>
          <tpl fld="6" item="1"/>
          <tpl hier="236" item="1"/>
          <tpl fld="1" item="0"/>
        </tpls>
      </m>
      <m>
        <tpls c="4">
          <tpl fld="7" item="313"/>
          <tpl fld="6" item="2"/>
          <tpl hier="236" item="1"/>
          <tpl fld="4" item="5"/>
        </tpls>
      </m>
      <m>
        <tpls c="4">
          <tpl fld="7" item="245"/>
          <tpl fld="6" item="2"/>
          <tpl hier="236" item="1"/>
          <tpl fld="4" item="6"/>
        </tpls>
      </m>
      <m>
        <tpls c="4">
          <tpl fld="7" item="1198"/>
          <tpl fld="6" item="2"/>
          <tpl hier="236" item="1"/>
          <tpl fld="4" item="4"/>
        </tpls>
      </m>
      <n v="1" in="1">
        <tpls c="4">
          <tpl fld="7" item="1236"/>
          <tpl fld="6" item="1"/>
          <tpl hier="236" item="1"/>
          <tpl fld="4" item="1"/>
        </tpls>
      </n>
      <m>
        <tpls c="4">
          <tpl fld="7" item="328"/>
          <tpl fld="6" item="1"/>
          <tpl hier="236" item="1"/>
          <tpl fld="4" item="5"/>
        </tpls>
      </m>
      <m>
        <tpls c="4">
          <tpl fld="7" item="88"/>
          <tpl fld="6" item="2"/>
          <tpl hier="236" item="1"/>
          <tpl fld="4" item="1"/>
        </tpls>
      </m>
      <m>
        <tpls c="4">
          <tpl fld="7" item="1248"/>
          <tpl fld="6" item="2"/>
          <tpl hier="236" item="1"/>
          <tpl fld="4" item="5"/>
        </tpls>
      </m>
      <m>
        <tpls c="4">
          <tpl fld="7" item="470"/>
          <tpl fld="6" item="2"/>
          <tpl hier="236" item="1"/>
          <tpl fld="1" item="0"/>
        </tpls>
      </m>
      <m>
        <tpls c="4">
          <tpl fld="7" item="802"/>
          <tpl fld="6" item="2"/>
          <tpl hier="236" item="1"/>
          <tpl fld="4" item="4"/>
        </tpls>
      </m>
      <n v="4" in="1">
        <tpls c="4">
          <tpl fld="7" item="1131"/>
          <tpl fld="6" item="1"/>
          <tpl hier="236" item="1"/>
          <tpl fld="1" item="0"/>
        </tpls>
      </n>
      <m>
        <tpls c="4">
          <tpl fld="7" item="16"/>
          <tpl fld="6" item="1"/>
          <tpl hier="236" item="1"/>
          <tpl fld="4" item="6"/>
        </tpls>
      </m>
      <m>
        <tpls c="4">
          <tpl fld="7" item="67"/>
          <tpl fld="6" item="2"/>
          <tpl hier="236" item="1"/>
          <tpl fld="4" item="6"/>
        </tpls>
      </m>
      <m>
        <tpls c="4">
          <tpl fld="7" item="18"/>
          <tpl fld="6" item="2"/>
          <tpl hier="236" item="1"/>
          <tpl fld="4" item="6"/>
        </tpls>
      </m>
      <n v="0.44000000000000006" in="2">
        <tpls c="4">
          <tpl fld="7" item="504"/>
          <tpl fld="6" item="2"/>
          <tpl hier="236" item="1"/>
          <tpl fld="1" item="0"/>
        </tpls>
      </n>
      <m>
        <tpls c="4">
          <tpl fld="7" item="295"/>
          <tpl fld="6" item="2"/>
          <tpl hier="236" item="1"/>
          <tpl fld="4" item="6"/>
        </tpls>
      </m>
      <m>
        <tpls c="4">
          <tpl fld="7" item="925"/>
          <tpl fld="6" item="1"/>
          <tpl hier="236" item="1"/>
          <tpl fld="1" item="0"/>
        </tpls>
      </m>
      <m>
        <tpls c="4">
          <tpl fld="7" item="619"/>
          <tpl fld="6" item="2"/>
          <tpl hier="236" item="1"/>
          <tpl fld="4" item="5"/>
        </tpls>
      </m>
      <m>
        <tpls c="4">
          <tpl fld="7" item="896"/>
          <tpl fld="6" item="2"/>
          <tpl hier="236" item="1"/>
          <tpl fld="4" item="5"/>
        </tpls>
      </m>
      <m>
        <tpls c="4">
          <tpl fld="7" item="187"/>
          <tpl fld="6" item="2"/>
          <tpl hier="236" item="1"/>
          <tpl fld="4" item="5"/>
        </tpls>
      </m>
      <m>
        <tpls c="4">
          <tpl fld="7" item="892"/>
          <tpl fld="6" item="1"/>
          <tpl hier="236" item="1"/>
          <tpl fld="4" item="5"/>
        </tpls>
      </m>
      <m>
        <tpls c="4">
          <tpl fld="7" item="115"/>
          <tpl fld="6" item="2"/>
          <tpl hier="236" item="1"/>
          <tpl fld="4" item="5"/>
        </tpls>
      </m>
      <n v="5" in="1">
        <tpls c="4">
          <tpl fld="7" item="1193"/>
          <tpl fld="6" item="1"/>
          <tpl hier="236" item="1"/>
          <tpl fld="1" item="0"/>
        </tpls>
      </n>
      <m>
        <tpls c="4">
          <tpl fld="7" item="975"/>
          <tpl fld="6" item="2"/>
          <tpl hier="236" item="1"/>
          <tpl fld="4" item="1"/>
        </tpls>
      </m>
      <m>
        <tpls c="4">
          <tpl fld="7" item="862"/>
          <tpl fld="6" item="1"/>
          <tpl hier="236" item="1"/>
          <tpl fld="4" item="1"/>
        </tpls>
      </m>
      <m>
        <tpls c="4">
          <tpl fld="7" item="1277"/>
          <tpl fld="6" item="1"/>
          <tpl hier="236" item="1"/>
          <tpl fld="4" item="5"/>
        </tpls>
      </m>
      <m>
        <tpls c="4">
          <tpl fld="7" item="654"/>
          <tpl fld="6" item="1"/>
          <tpl hier="236" item="1"/>
          <tpl fld="4" item="4"/>
        </tpls>
      </m>
      <m>
        <tpls c="4">
          <tpl fld="7" item="153"/>
          <tpl fld="6" item="2"/>
          <tpl hier="236" item="1"/>
          <tpl fld="4" item="5"/>
        </tpls>
      </m>
      <m>
        <tpls c="4">
          <tpl fld="7" item="137"/>
          <tpl fld="6" item="2"/>
          <tpl hier="236" item="1"/>
          <tpl fld="1" item="0"/>
        </tpls>
      </m>
      <m>
        <tpls c="3">
          <tpl fld="7" item="166"/>
          <tpl fld="6" item="3"/>
          <tpl hier="236" item="1"/>
        </tpls>
      </m>
      <m>
        <tpls c="4">
          <tpl fld="7" item="1192"/>
          <tpl fld="6" item="2"/>
          <tpl hier="236" item="1"/>
          <tpl fld="4" item="4"/>
        </tpls>
      </m>
      <m>
        <tpls c="4">
          <tpl fld="7" item="13"/>
          <tpl fld="6" item="2"/>
          <tpl hier="236" item="1"/>
          <tpl fld="4" item="4"/>
        </tpls>
      </m>
      <m>
        <tpls c="4">
          <tpl fld="7" item="1149"/>
          <tpl fld="6" item="1"/>
          <tpl hier="236" item="1"/>
          <tpl fld="4" item="1"/>
        </tpls>
      </m>
      <n v="0" in="1">
        <tpls c="4">
          <tpl fld="7" item="308"/>
          <tpl fld="6" item="1"/>
          <tpl hier="236" item="1"/>
          <tpl fld="4" item="5"/>
        </tpls>
      </n>
      <m>
        <tpls c="4">
          <tpl fld="7" item="125"/>
          <tpl fld="6" item="1"/>
          <tpl hier="236" item="1"/>
          <tpl fld="1" item="0"/>
        </tpls>
      </m>
      <m>
        <tpls c="4">
          <tpl fld="7" item="411"/>
          <tpl fld="6" item="1"/>
          <tpl hier="236" item="1"/>
          <tpl fld="1" item="0"/>
        </tpls>
      </m>
      <m>
        <tpls c="4">
          <tpl fld="7" item="20"/>
          <tpl fld="6" item="1"/>
          <tpl hier="236" item="1"/>
          <tpl fld="4" item="6"/>
        </tpls>
      </m>
      <m>
        <tpls c="4">
          <tpl fld="7" item="1127"/>
          <tpl fld="6" item="2"/>
          <tpl hier="236" item="1"/>
          <tpl fld="4" item="1"/>
        </tpls>
      </m>
      <m>
        <tpls c="4">
          <tpl fld="7" item="28"/>
          <tpl fld="6" item="1"/>
          <tpl hier="236" item="1"/>
          <tpl fld="4" item="5"/>
        </tpls>
      </m>
      <n v="4" in="1">
        <tpls c="4">
          <tpl fld="7" item="1280"/>
          <tpl fld="6" item="1"/>
          <tpl hier="236" item="1"/>
          <tpl fld="4" item="1"/>
        </tpls>
      </n>
      <m>
        <tpls c="4">
          <tpl fld="7" item="283"/>
          <tpl fld="6" item="1"/>
          <tpl hier="236" item="1"/>
          <tpl fld="1" item="0"/>
        </tpls>
      </m>
      <m>
        <tpls c="4">
          <tpl fld="7" item="358"/>
          <tpl fld="6" item="1"/>
          <tpl hier="236" item="1"/>
          <tpl fld="4" item="1"/>
        </tpls>
      </m>
      <m>
        <tpls c="4">
          <tpl fld="7" item="636"/>
          <tpl fld="6" item="2"/>
          <tpl hier="236" item="1"/>
          <tpl fld="4" item="1"/>
        </tpls>
      </m>
      <m>
        <tpls c="4">
          <tpl fld="7" item="863"/>
          <tpl fld="6" item="1"/>
          <tpl hier="236" item="1"/>
          <tpl fld="4" item="6"/>
        </tpls>
      </m>
      <m>
        <tpls c="4">
          <tpl fld="7" item="1218"/>
          <tpl fld="6" item="2"/>
          <tpl hier="236" item="1"/>
          <tpl fld="1" item="0"/>
        </tpls>
      </m>
      <m>
        <tpls c="4">
          <tpl fld="7" item="408"/>
          <tpl fld="6" item="2"/>
          <tpl hier="236" item="1"/>
          <tpl fld="4" item="1"/>
        </tpls>
      </m>
      <m>
        <tpls c="4">
          <tpl fld="7" item="659"/>
          <tpl fld="6" item="2"/>
          <tpl hier="236" item="1"/>
          <tpl fld="4" item="4"/>
        </tpls>
      </m>
      <m>
        <tpls c="4">
          <tpl fld="7" item="1110"/>
          <tpl fld="6" item="2"/>
          <tpl hier="236" item="1"/>
          <tpl fld="4" item="4"/>
        </tpls>
      </m>
      <m>
        <tpls c="4">
          <tpl fld="7" item="206"/>
          <tpl fld="6" item="2"/>
          <tpl hier="236" item="1"/>
          <tpl fld="4" item="6"/>
        </tpls>
      </m>
      <m>
        <tpls c="4">
          <tpl fld="7" item="463"/>
          <tpl fld="6" item="1"/>
          <tpl hier="236" item="1"/>
          <tpl fld="1" item="0"/>
        </tpls>
      </m>
      <m>
        <tpls c="4">
          <tpl fld="7" item="480"/>
          <tpl fld="6" item="2"/>
          <tpl hier="236" item="1"/>
          <tpl fld="4" item="1"/>
        </tpls>
      </m>
      <n v="1" in="1">
        <tpls c="4">
          <tpl fld="7" item="389"/>
          <tpl fld="6" item="1"/>
          <tpl hier="236" item="1"/>
          <tpl fld="4" item="5"/>
        </tpls>
      </n>
      <n v="3" in="1">
        <tpls c="4">
          <tpl fld="7" item="768"/>
          <tpl fld="6" item="1"/>
          <tpl hier="236" item="1"/>
          <tpl fld="1" item="0"/>
        </tpls>
      </n>
      <n v="5" in="1">
        <tpls c="4">
          <tpl fld="7" item="940"/>
          <tpl fld="6" item="1"/>
          <tpl hier="236" item="1"/>
          <tpl fld="4" item="4"/>
        </tpls>
      </n>
      <n v="1" in="1">
        <tpls c="4">
          <tpl fld="7" item="937"/>
          <tpl fld="6" item="1"/>
          <tpl hier="236" item="1"/>
          <tpl fld="4" item="1"/>
        </tpls>
      </n>
      <m>
        <tpls c="4">
          <tpl fld="7" item="482"/>
          <tpl fld="6" item="1"/>
          <tpl hier="236" item="1"/>
          <tpl fld="4" item="5"/>
        </tpls>
      </m>
      <n v="12" in="1">
        <tpls c="4">
          <tpl fld="7" item="677"/>
          <tpl fld="6" item="1"/>
          <tpl hier="236" item="1"/>
          <tpl fld="1" item="0"/>
        </tpls>
      </n>
      <m>
        <tpls c="4">
          <tpl fld="7" item="63"/>
          <tpl fld="6" item="1"/>
          <tpl hier="236" item="1"/>
          <tpl fld="4" item="1"/>
        </tpls>
      </m>
      <m>
        <tpls c="4">
          <tpl fld="7" item="1160"/>
          <tpl fld="6" item="1"/>
          <tpl hier="236" item="1"/>
          <tpl fld="4" item="1"/>
        </tpls>
      </m>
      <m>
        <tpls c="4">
          <tpl fld="7" item="66"/>
          <tpl fld="6" item="1"/>
          <tpl hier="236" item="1"/>
          <tpl fld="4" item="1"/>
        </tpls>
      </m>
      <n v="31" in="1">
        <tpls c="4">
          <tpl fld="7" item="353"/>
          <tpl fld="6" item="1"/>
          <tpl hier="236" item="1"/>
          <tpl fld="4" item="1"/>
        </tpls>
      </n>
      <m>
        <tpls c="4">
          <tpl fld="7" item="552"/>
          <tpl fld="6" item="2"/>
          <tpl hier="236" item="1"/>
          <tpl fld="4" item="4"/>
        </tpls>
      </m>
      <m>
        <tpls c="4">
          <tpl fld="7" item="920"/>
          <tpl fld="6" item="2"/>
          <tpl hier="236" item="1"/>
          <tpl fld="4" item="4"/>
        </tpls>
      </m>
      <m>
        <tpls c="4">
          <tpl fld="7" item="24"/>
          <tpl fld="6" item="1"/>
          <tpl hier="236" item="1"/>
          <tpl fld="4" item="1"/>
        </tpls>
      </m>
      <m>
        <tpls c="4">
          <tpl fld="7" item="1195"/>
          <tpl fld="6" item="1"/>
          <tpl hier="236" item="1"/>
          <tpl fld="4" item="5"/>
        </tpls>
      </m>
      <m>
        <tpls c="4">
          <tpl fld="7" item="344"/>
          <tpl fld="6" item="1"/>
          <tpl hier="236" item="1"/>
          <tpl fld="4" item="1"/>
        </tpls>
      </m>
      <m>
        <tpls c="4">
          <tpl fld="7" item="906"/>
          <tpl fld="6" item="2"/>
          <tpl hier="236" item="1"/>
          <tpl fld="1" item="0"/>
        </tpls>
      </m>
      <m>
        <tpls c="4">
          <tpl fld="7" item="840"/>
          <tpl fld="6" item="2"/>
          <tpl hier="236" item="1"/>
          <tpl fld="4" item="6"/>
        </tpls>
      </m>
      <m>
        <tpls c="4">
          <tpl fld="7" item="473"/>
          <tpl fld="6" item="1"/>
          <tpl hier="236" item="1"/>
          <tpl fld="4" item="5"/>
        </tpls>
      </m>
      <m>
        <tpls c="4">
          <tpl fld="7" item="329"/>
          <tpl fld="6" item="1"/>
          <tpl hier="236" item="1"/>
          <tpl fld="4" item="1"/>
        </tpls>
      </m>
      <m>
        <tpls c="4">
          <tpl fld="7" item="1114"/>
          <tpl fld="6" item="2"/>
          <tpl hier="236" item="1"/>
          <tpl fld="4" item="5"/>
        </tpls>
      </m>
      <m>
        <tpls c="4">
          <tpl fld="7" item="69"/>
          <tpl fld="6" item="1"/>
          <tpl hier="236" item="1"/>
          <tpl fld="1" item="0"/>
        </tpls>
      </m>
      <m>
        <tpls c="4">
          <tpl fld="7" item="488"/>
          <tpl fld="6" item="1"/>
          <tpl hier="236" item="1"/>
          <tpl fld="4" item="1"/>
        </tpls>
      </m>
      <n v="3" in="1">
        <tpls c="4">
          <tpl fld="7" item="853"/>
          <tpl fld="6" item="1"/>
          <tpl hier="236" item="1"/>
          <tpl fld="4" item="5"/>
        </tpls>
      </n>
      <m>
        <tpls c="3">
          <tpl fld="7" item="707"/>
          <tpl fld="6" item="3"/>
          <tpl hier="236" item="1"/>
        </tpls>
      </m>
      <m>
        <tpls c="4">
          <tpl fld="7" item="885"/>
          <tpl fld="6" item="2"/>
          <tpl hier="236" item="1"/>
          <tpl fld="4" item="4"/>
        </tpls>
      </m>
      <m>
        <tpls c="4">
          <tpl fld="7" item="220"/>
          <tpl fld="6" item="1"/>
          <tpl hier="236" item="1"/>
          <tpl fld="4" item="1"/>
        </tpls>
      </m>
      <m>
        <tpls c="4">
          <tpl fld="7" item="171"/>
          <tpl fld="6" item="2"/>
          <tpl hier="236" item="1"/>
          <tpl fld="4" item="4"/>
        </tpls>
      </m>
      <m>
        <tpls c="4">
          <tpl fld="7" item="1146"/>
          <tpl fld="6" item="2"/>
          <tpl hier="236" item="1"/>
          <tpl fld="4" item="4"/>
        </tpls>
      </m>
      <m>
        <tpls c="3">
          <tpl fld="7" item="922"/>
          <tpl fld="6" item="3"/>
          <tpl hier="236" item="1"/>
        </tpls>
      </m>
      <m>
        <tpls c="4">
          <tpl fld="7" item="407"/>
          <tpl fld="6" item="2"/>
          <tpl hier="236" item="1"/>
          <tpl fld="4" item="5"/>
        </tpls>
      </m>
      <m>
        <tpls c="4">
          <tpl fld="7" item="570"/>
          <tpl fld="6" item="1"/>
          <tpl hier="236" item="1"/>
          <tpl fld="1" item="0"/>
        </tpls>
      </m>
      <m>
        <tpls c="4">
          <tpl fld="7" item="170"/>
          <tpl fld="6" item="2"/>
          <tpl hier="236" item="1"/>
          <tpl fld="4" item="6"/>
        </tpls>
      </m>
      <m>
        <tpls c="4">
          <tpl fld="7" item="140"/>
          <tpl fld="6" item="1"/>
          <tpl hier="236" item="1"/>
          <tpl fld="4" item="1"/>
        </tpls>
      </m>
      <m>
        <tpls c="4">
          <tpl fld="7" item="894"/>
          <tpl fld="6" item="2"/>
          <tpl hier="236" item="1"/>
          <tpl fld="4" item="4"/>
        </tpls>
      </m>
      <m>
        <tpls c="4">
          <tpl fld="7" item="703"/>
          <tpl fld="6" item="2"/>
          <tpl hier="236" item="1"/>
          <tpl fld="4" item="6"/>
        </tpls>
      </m>
      <m>
        <tpls c="4">
          <tpl fld="7" item="421"/>
          <tpl fld="6" item="1"/>
          <tpl hier="236" item="1"/>
          <tpl fld="1" item="0"/>
        </tpls>
      </m>
      <n v="3" in="1">
        <tpls c="4">
          <tpl fld="7" item="1119"/>
          <tpl fld="6" item="1"/>
          <tpl hier="236" item="1"/>
          <tpl fld="1" item="0"/>
        </tpls>
      </n>
      <m>
        <tpls c="4">
          <tpl fld="7" item="1233"/>
          <tpl fld="6" item="2"/>
          <tpl hier="236" item="1"/>
          <tpl fld="4" item="4"/>
        </tpls>
      </m>
      <n v="1" in="1">
        <tpls c="4">
          <tpl fld="7" item="942"/>
          <tpl fld="6" item="1"/>
          <tpl hier="236" item="1"/>
          <tpl fld="4" item="4"/>
        </tpls>
      </n>
      <m>
        <tpls c="4">
          <tpl fld="7" item="194"/>
          <tpl fld="6" item="1"/>
          <tpl hier="236" item="1"/>
          <tpl fld="4" item="1"/>
        </tpls>
      </m>
      <m>
        <tpls c="4">
          <tpl fld="7" item="936"/>
          <tpl fld="6" item="1"/>
          <tpl hier="236" item="1"/>
          <tpl fld="4" item="1"/>
        </tpls>
      </m>
      <m>
        <tpls c="4">
          <tpl fld="7" item="316"/>
          <tpl fld="6" item="2"/>
          <tpl hier="236" item="1"/>
          <tpl fld="4" item="5"/>
        </tpls>
      </m>
      <n v="1" in="1">
        <tpls c="4">
          <tpl fld="7" item="451"/>
          <tpl fld="6" item="1"/>
          <tpl hier="236" item="1"/>
          <tpl fld="4" item="1"/>
        </tpls>
      </n>
      <n v="8" in="1">
        <tpls c="4">
          <tpl fld="7" item="910"/>
          <tpl fld="6" item="1"/>
          <tpl hier="236" item="1"/>
          <tpl fld="4" item="1"/>
        </tpls>
      </n>
      <m>
        <tpls c="4">
          <tpl fld="7" item="1000"/>
          <tpl fld="6" item="1"/>
          <tpl hier="236" item="1"/>
          <tpl fld="4" item="4"/>
        </tpls>
      </m>
      <m>
        <tpls c="4">
          <tpl fld="7" item="148"/>
          <tpl fld="6" item="2"/>
          <tpl hier="236" item="1"/>
          <tpl fld="4" item="6"/>
        </tpls>
      </m>
      <n v="5" in="1">
        <tpls c="4">
          <tpl fld="7" item="362"/>
          <tpl fld="6" item="1"/>
          <tpl hier="236" item="1"/>
          <tpl fld="1" item="0"/>
        </tpls>
      </n>
      <m>
        <tpls c="4">
          <tpl fld="7" item="144"/>
          <tpl fld="6" item="2"/>
          <tpl hier="236" item="1"/>
          <tpl fld="4" item="5"/>
        </tpls>
      </m>
      <n v="10" in="1">
        <tpls c="4">
          <tpl fld="7" item="978"/>
          <tpl fld="6" item="1"/>
          <tpl hier="236" item="1"/>
          <tpl fld="4" item="4"/>
        </tpls>
      </n>
      <m>
        <tpls c="4">
          <tpl fld="7" item="282"/>
          <tpl fld="6" item="1"/>
          <tpl hier="236" item="1"/>
          <tpl fld="4" item="1"/>
        </tpls>
      </m>
      <m>
        <tpls c="4">
          <tpl fld="7" item="923"/>
          <tpl fld="6" item="1"/>
          <tpl hier="236" item="1"/>
          <tpl fld="4" item="1"/>
        </tpls>
      </m>
      <m>
        <tpls c="4">
          <tpl fld="7" item="178"/>
          <tpl fld="6" item="2"/>
          <tpl hier="236" item="1"/>
          <tpl fld="4" item="5"/>
        </tpls>
      </m>
      <m>
        <tpls c="4">
          <tpl fld="7" item="433"/>
          <tpl fld="6" item="1"/>
          <tpl hier="236" item="1"/>
          <tpl fld="4" item="1"/>
        </tpls>
      </m>
      <m>
        <tpls c="4">
          <tpl fld="7" item="306"/>
          <tpl fld="6" item="1"/>
          <tpl hier="236" item="1"/>
          <tpl fld="4" item="1"/>
        </tpls>
      </m>
      <n v="4" in="1">
        <tpls c="4">
          <tpl fld="7" item="1073"/>
          <tpl fld="6" item="1"/>
          <tpl hier="236" item="1"/>
          <tpl fld="4" item="4"/>
        </tpls>
      </n>
      <m>
        <tpls c="4">
          <tpl fld="7" item="17"/>
          <tpl fld="6" item="2"/>
          <tpl hier="236" item="1"/>
          <tpl fld="4" item="4"/>
        </tpls>
      </m>
      <m>
        <tpls c="4">
          <tpl fld="7" item="234"/>
          <tpl fld="6" item="2"/>
          <tpl hier="236" item="1"/>
          <tpl fld="4" item="5"/>
        </tpls>
      </m>
      <n v="13" in="1">
        <tpls c="4">
          <tpl fld="7" item="382"/>
          <tpl fld="6" item="1"/>
          <tpl hier="236" item="1"/>
          <tpl fld="1" item="0"/>
        </tpls>
      </n>
      <m>
        <tpls c="4">
          <tpl fld="7" item="1235"/>
          <tpl fld="6" item="2"/>
          <tpl hier="236" item="1"/>
          <tpl fld="4" item="4"/>
        </tpls>
      </m>
      <m>
        <tpls c="4">
          <tpl fld="7" item="319"/>
          <tpl fld="6" item="2"/>
          <tpl hier="236" item="1"/>
          <tpl fld="4" item="5"/>
        </tpls>
      </m>
      <m>
        <tpls c="4">
          <tpl fld="7" item="981"/>
          <tpl fld="6" item="1"/>
          <tpl hier="236" item="1"/>
          <tpl fld="4" item="5"/>
        </tpls>
      </m>
      <m>
        <tpls c="4">
          <tpl fld="7" item="1184"/>
          <tpl fld="6" item="1"/>
          <tpl hier="236" item="1"/>
          <tpl fld="1" item="0"/>
        </tpls>
      </m>
      <n v="2.6799999999999997" in="2">
        <tpls c="4">
          <tpl fld="7" item="424"/>
          <tpl fld="6" item="2"/>
          <tpl hier="236" item="1"/>
          <tpl fld="4" item="5"/>
        </tpls>
      </n>
      <m>
        <tpls c="4">
          <tpl fld="7" item="30"/>
          <tpl fld="6" item="1"/>
          <tpl hier="236" item="1"/>
          <tpl fld="1" item="0"/>
        </tpls>
      </m>
      <m>
        <tpls c="4">
          <tpl fld="7" item="451"/>
          <tpl fld="6" item="1"/>
          <tpl hier="236" item="1"/>
          <tpl fld="4" item="5"/>
        </tpls>
      </m>
      <m>
        <tpls c="4">
          <tpl fld="7" item="52"/>
          <tpl fld="6" item="2"/>
          <tpl hier="236" item="1"/>
          <tpl fld="1" item="0"/>
        </tpls>
      </m>
      <m>
        <tpls c="4">
          <tpl fld="7" item="17"/>
          <tpl fld="6" item="1"/>
          <tpl hier="236" item="1"/>
          <tpl fld="4" item="6"/>
        </tpls>
      </m>
      <m>
        <tpls c="4">
          <tpl fld="7" item="742"/>
          <tpl fld="6" item="2"/>
          <tpl hier="236" item="1"/>
          <tpl fld="4" item="6"/>
        </tpls>
      </m>
      <m>
        <tpls c="3">
          <tpl fld="7" item="236"/>
          <tpl fld="6" item="3"/>
          <tpl hier="236" item="1"/>
        </tpls>
      </m>
      <m>
        <tpls c="4">
          <tpl fld="7" item="202"/>
          <tpl fld="6" item="1"/>
          <tpl hier="236" item="1"/>
          <tpl fld="4" item="5"/>
        </tpls>
      </m>
      <m>
        <tpls c="4">
          <tpl fld="7" item="1281"/>
          <tpl fld="6" item="1"/>
          <tpl hier="236" item="1"/>
          <tpl fld="4" item="1"/>
        </tpls>
      </m>
      <m>
        <tpls c="4">
          <tpl fld="7" item="278"/>
          <tpl fld="6" item="1"/>
          <tpl hier="236" item="1"/>
          <tpl fld="1" item="0"/>
        </tpls>
      </m>
      <m>
        <tpls c="4">
          <tpl fld="7" item="455"/>
          <tpl fld="6" item="2"/>
          <tpl hier="236" item="1"/>
          <tpl fld="1" item="0"/>
        </tpls>
      </m>
      <m>
        <tpls c="3">
          <tpl fld="7" item="588"/>
          <tpl fld="6" item="3"/>
          <tpl hier="236" item="1"/>
        </tpls>
      </m>
      <n v="2" in="1">
        <tpls c="4">
          <tpl fld="7" item="981"/>
          <tpl fld="6" item="1"/>
          <tpl hier="236" item="1"/>
          <tpl fld="4" item="6"/>
        </tpls>
      </n>
      <m>
        <tpls c="4">
          <tpl fld="7" item="994"/>
          <tpl fld="6" item="2"/>
          <tpl hier="236" item="1"/>
          <tpl fld="4" item="1"/>
        </tpls>
      </m>
      <m>
        <tpls c="4">
          <tpl fld="7" item="198"/>
          <tpl fld="6" item="1"/>
          <tpl hier="236" item="1"/>
          <tpl fld="4" item="1"/>
        </tpls>
      </m>
      <m>
        <tpls c="4">
          <tpl fld="7" item="241"/>
          <tpl fld="6" item="1"/>
          <tpl hier="236" item="1"/>
          <tpl fld="4" item="5"/>
        </tpls>
      </m>
      <n v="29" in="1">
        <tpls c="4">
          <tpl fld="7" item="1014"/>
          <tpl fld="6" item="1"/>
          <tpl hier="236" item="1"/>
          <tpl fld="1" item="0"/>
        </tpls>
      </n>
      <m>
        <tpls c="4">
          <tpl fld="7" item="850"/>
          <tpl fld="6" item="2"/>
          <tpl hier="236" item="1"/>
          <tpl fld="4" item="4"/>
        </tpls>
      </m>
      <m>
        <tpls c="4">
          <tpl fld="7" item="1134"/>
          <tpl fld="6" item="1"/>
          <tpl hier="236" item="1"/>
          <tpl fld="4" item="1"/>
        </tpls>
      </m>
      <m>
        <tpls c="4">
          <tpl fld="7" item="319"/>
          <tpl fld="6" item="1"/>
          <tpl hier="236" item="1"/>
          <tpl fld="4" item="5"/>
        </tpls>
      </m>
      <n v="35" in="1">
        <tpls c="4">
          <tpl fld="7" item="448"/>
          <tpl fld="6" item="1"/>
          <tpl hier="236" item="1"/>
          <tpl fld="1" item="0"/>
        </tpls>
      </n>
      <m>
        <tpls c="3">
          <tpl fld="7" item="132"/>
          <tpl fld="6" item="3"/>
          <tpl hier="236" item="1"/>
        </tpls>
      </m>
      <m>
        <tpls c="4">
          <tpl fld="7" item="239"/>
          <tpl fld="6" item="2"/>
          <tpl hier="236" item="1"/>
          <tpl fld="4" item="4"/>
        </tpls>
      </m>
      <m>
        <tpls c="4">
          <tpl fld="7" item="1024"/>
          <tpl fld="6" item="1"/>
          <tpl hier="236" item="1"/>
          <tpl fld="4" item="5"/>
        </tpls>
      </m>
      <m>
        <tpls c="3">
          <tpl fld="7" item="469"/>
          <tpl fld="6" item="3"/>
          <tpl hier="236" item="1"/>
        </tpls>
      </m>
      <m>
        <tpls c="4">
          <tpl fld="7" item="239"/>
          <tpl fld="6" item="2"/>
          <tpl hier="236" item="1"/>
          <tpl fld="1" item="0"/>
        </tpls>
      </m>
      <m>
        <tpls c="4">
          <tpl fld="7" item="17"/>
          <tpl fld="6" item="1"/>
          <tpl hier="236" item="1"/>
          <tpl fld="4" item="1"/>
        </tpls>
      </m>
      <n v="1" in="1">
        <tpls c="4">
          <tpl fld="7" item="350"/>
          <tpl fld="6" item="1"/>
          <tpl hier="236" item="1"/>
          <tpl fld="4" item="1"/>
        </tpls>
      </n>
      <m>
        <tpls c="4">
          <tpl fld="7" item="1216"/>
          <tpl fld="6" item="2"/>
          <tpl hier="236" item="1"/>
          <tpl fld="4" item="1"/>
        </tpls>
      </m>
      <n v="3" in="1">
        <tpls c="4">
          <tpl fld="7" item="698"/>
          <tpl fld="6" item="1"/>
          <tpl hier="236" item="1"/>
          <tpl fld="4" item="5"/>
        </tpls>
      </n>
      <m>
        <tpls c="4">
          <tpl fld="7" item="679"/>
          <tpl fld="6" item="1"/>
          <tpl hier="236" item="1"/>
          <tpl fld="4" item="5"/>
        </tpls>
      </m>
      <m>
        <tpls c="4">
          <tpl fld="7" item="138"/>
          <tpl fld="6" item="1"/>
          <tpl hier="236" item="1"/>
          <tpl fld="1" item="0"/>
        </tpls>
      </m>
      <m>
        <tpls c="3">
          <tpl fld="7" item="411"/>
          <tpl fld="6" item="3"/>
          <tpl hier="236" item="1"/>
        </tpls>
      </m>
      <n v="2" in="1">
        <tpls c="4">
          <tpl fld="7" item="439"/>
          <tpl fld="6" item="1"/>
          <tpl hier="236" item="1"/>
          <tpl fld="4" item="1"/>
        </tpls>
      </n>
      <m>
        <tpls c="4">
          <tpl fld="7" item="1041"/>
          <tpl fld="6" item="2"/>
          <tpl hier="236" item="1"/>
          <tpl fld="4" item="4"/>
        </tpls>
      </m>
      <n v="7" in="1">
        <tpls c="4">
          <tpl fld="7" item="1102"/>
          <tpl fld="6" item="1"/>
          <tpl hier="236" item="1"/>
          <tpl fld="1" item="0"/>
        </tpls>
      </n>
      <m>
        <tpls c="3">
          <tpl fld="7" item="833"/>
          <tpl fld="6" item="3"/>
          <tpl hier="236" item="1"/>
        </tpls>
      </m>
      <m>
        <tpls c="3">
          <tpl fld="7" item="649"/>
          <tpl fld="6" item="3"/>
          <tpl hier="236" item="1"/>
        </tpls>
      </m>
      <m>
        <tpls c="4">
          <tpl fld="7" item="742"/>
          <tpl fld="6" item="1"/>
          <tpl hier="236" item="1"/>
          <tpl fld="4" item="6"/>
        </tpls>
      </m>
      <m>
        <tpls c="4">
          <tpl fld="7" item="58"/>
          <tpl fld="6" item="1"/>
          <tpl hier="236" item="1"/>
          <tpl fld="1" item="0"/>
        </tpls>
      </m>
      <n v="4" in="1">
        <tpls c="4">
          <tpl fld="7" item="1107"/>
          <tpl fld="6" item="1"/>
          <tpl hier="236" item="1"/>
          <tpl fld="1" item="0"/>
        </tpls>
      </n>
      <m>
        <tpls c="4">
          <tpl fld="7" item="789"/>
          <tpl fld="6" item="2"/>
          <tpl hier="236" item="1"/>
          <tpl fld="4" item="4"/>
        </tpls>
      </m>
      <m>
        <tpls c="4">
          <tpl fld="7" item="126"/>
          <tpl fld="6" item="1"/>
          <tpl hier="236" item="1"/>
          <tpl fld="4" item="4"/>
        </tpls>
      </m>
      <n v="2" in="1">
        <tpls c="4">
          <tpl fld="7" item="891"/>
          <tpl fld="6" item="1"/>
          <tpl hier="236" item="1"/>
          <tpl fld="4" item="1"/>
        </tpls>
      </n>
      <m>
        <tpls c="4">
          <tpl fld="7" item="385"/>
          <tpl fld="6" item="1"/>
          <tpl hier="236" item="1"/>
          <tpl fld="4" item="5"/>
        </tpls>
      </m>
      <n v="1" in="1">
        <tpls c="4">
          <tpl fld="7" item="840"/>
          <tpl fld="6" item="1"/>
          <tpl hier="236" item="1"/>
          <tpl fld="4" item="6"/>
        </tpls>
      </n>
      <m>
        <tpls c="4">
          <tpl fld="7" item="637"/>
          <tpl fld="6" item="2"/>
          <tpl hier="236" item="1"/>
          <tpl fld="1" item="0"/>
        </tpls>
      </m>
      <m>
        <tpls c="4">
          <tpl fld="7" item="1006"/>
          <tpl fld="6" item="2"/>
          <tpl hier="236" item="1"/>
          <tpl fld="4" item="4"/>
        </tpls>
      </m>
      <m>
        <tpls c="4">
          <tpl fld="7" item="903"/>
          <tpl fld="6" item="2"/>
          <tpl hier="236" item="1"/>
          <tpl fld="4" item="4"/>
        </tpls>
      </m>
      <m>
        <tpls c="3">
          <tpl fld="7" item="1006"/>
          <tpl fld="6" item="3"/>
          <tpl hier="236" item="1"/>
        </tpls>
      </m>
      <m>
        <tpls c="3">
          <tpl fld="7" item="1028"/>
          <tpl fld="6" item="3"/>
          <tpl hier="236" item="1"/>
        </tpls>
      </m>
      <n v="1" in="1">
        <tpls c="4">
          <tpl fld="7" item="363"/>
          <tpl fld="6" item="1"/>
          <tpl hier="236" item="1"/>
          <tpl fld="4" item="5"/>
        </tpls>
      </n>
      <n v="3" in="1">
        <tpls c="4">
          <tpl fld="7" item="503"/>
          <tpl fld="6" item="1"/>
          <tpl hier="236" item="1"/>
          <tpl fld="4" item="5"/>
        </tpls>
      </n>
      <m>
        <tpls c="4">
          <tpl fld="7" item="909"/>
          <tpl fld="6" item="2"/>
          <tpl hier="236" item="1"/>
          <tpl fld="4" item="5"/>
        </tpls>
      </m>
      <m>
        <tpls c="4">
          <tpl fld="7" item="834"/>
          <tpl fld="6" item="2"/>
          <tpl hier="236" item="1"/>
          <tpl fld="4" item="6"/>
        </tpls>
      </m>
      <m>
        <tpls c="4">
          <tpl fld="7" item="153"/>
          <tpl fld="6" item="1"/>
          <tpl hier="236" item="1"/>
          <tpl fld="4" item="1"/>
        </tpls>
      </m>
      <m>
        <tpls c="4">
          <tpl fld="7" item="236"/>
          <tpl fld="6" item="2"/>
          <tpl hier="236" item="1"/>
          <tpl fld="4" item="5"/>
        </tpls>
      </m>
      <m>
        <tpls c="4">
          <tpl fld="7" item="1078"/>
          <tpl fld="6" item="2"/>
          <tpl hier="236" item="1"/>
          <tpl fld="4" item="4"/>
        </tpls>
      </m>
      <m>
        <tpls c="4">
          <tpl fld="7" item="6"/>
          <tpl fld="6" item="2"/>
          <tpl hier="236" item="1"/>
          <tpl fld="4" item="5"/>
        </tpls>
      </m>
      <m>
        <tpls c="4">
          <tpl fld="7" item="977"/>
          <tpl fld="6" item="2"/>
          <tpl hier="236" item="1"/>
          <tpl fld="4" item="4"/>
        </tpls>
      </m>
      <n v="3.3131891891891896" in="2">
        <tpls c="4">
          <tpl fld="7" item="431"/>
          <tpl fld="6" item="2"/>
          <tpl hier="236" item="1"/>
          <tpl fld="4" item="1"/>
        </tpls>
      </n>
      <m>
        <tpls c="4">
          <tpl fld="7" item="712"/>
          <tpl fld="6" item="1"/>
          <tpl hier="236" item="1"/>
          <tpl fld="4" item="1"/>
        </tpls>
      </m>
      <m>
        <tpls c="4">
          <tpl fld="7" item="1015"/>
          <tpl fld="6" item="2"/>
          <tpl hier="236" item="1"/>
          <tpl fld="4" item="6"/>
        </tpls>
      </m>
      <m>
        <tpls c="4">
          <tpl fld="7" item="1029"/>
          <tpl fld="6" item="2"/>
          <tpl hier="236" item="1"/>
          <tpl fld="4" item="6"/>
        </tpls>
      </m>
      <n v="2" in="1">
        <tpls c="4">
          <tpl fld="7" item="1247"/>
          <tpl fld="6" item="1"/>
          <tpl hier="236" item="1"/>
          <tpl fld="4" item="1"/>
        </tpls>
      </n>
      <m>
        <tpls c="4">
          <tpl fld="7" item="743"/>
          <tpl fld="6" item="2"/>
          <tpl hier="236" item="1"/>
          <tpl fld="4" item="6"/>
        </tpls>
      </m>
      <m>
        <tpls c="4">
          <tpl fld="7" item="57"/>
          <tpl fld="6" item="2"/>
          <tpl hier="236" item="1"/>
          <tpl fld="4" item="5"/>
        </tpls>
      </m>
      <m>
        <tpls c="4">
          <tpl fld="7" item="1107"/>
          <tpl fld="6" item="1"/>
          <tpl hier="236" item="1"/>
          <tpl fld="4" item="5"/>
        </tpls>
      </m>
      <n v="11" in="1">
        <tpls c="4">
          <tpl fld="7" item="426"/>
          <tpl fld="6" item="1"/>
          <tpl hier="236" item="1"/>
          <tpl fld="4" item="1"/>
        </tpls>
      </n>
      <m>
        <tpls c="4">
          <tpl fld="7" item="669"/>
          <tpl fld="6" item="1"/>
          <tpl hier="236" item="1"/>
          <tpl fld="1" item="0"/>
        </tpls>
      </m>
      <m>
        <tpls c="4">
          <tpl fld="7" item="164"/>
          <tpl fld="6" item="1"/>
          <tpl hier="236" item="1"/>
          <tpl fld="4" item="1"/>
        </tpls>
      </m>
      <m>
        <tpls c="4">
          <tpl fld="7" item="1036"/>
          <tpl fld="6" item="2"/>
          <tpl hier="236" item="1"/>
          <tpl fld="4" item="4"/>
        </tpls>
      </m>
      <m>
        <tpls c="4">
          <tpl fld="7" item="203"/>
          <tpl fld="6" item="2"/>
          <tpl hier="236" item="1"/>
          <tpl fld="1" item="0"/>
        </tpls>
      </m>
      <m>
        <tpls c="4">
          <tpl fld="7" item="89"/>
          <tpl fld="6" item="1"/>
          <tpl hier="236" item="1"/>
          <tpl fld="1" item="0"/>
        </tpls>
      </m>
      <n v="1" in="1">
        <tpls c="4">
          <tpl fld="7" item="373"/>
          <tpl fld="6" item="1"/>
          <tpl hier="236" item="1"/>
          <tpl fld="4" item="1"/>
        </tpls>
      </n>
      <n v="0" in="1">
        <tpls c="4">
          <tpl fld="7" item="852"/>
          <tpl fld="6" item="1"/>
          <tpl hier="236" item="1"/>
          <tpl fld="4" item="5"/>
        </tpls>
      </n>
      <m>
        <tpls c="3">
          <tpl fld="7" item="592"/>
          <tpl fld="6" item="3"/>
          <tpl hier="236" item="1"/>
        </tpls>
      </m>
      <m>
        <tpls c="4">
          <tpl fld="7" item="1078"/>
          <tpl fld="6" item="1"/>
          <tpl hier="236" item="1"/>
          <tpl fld="4" item="1"/>
        </tpls>
      </m>
      <n v="1" in="1">
        <tpls c="4">
          <tpl fld="7" item="966"/>
          <tpl fld="6" item="1"/>
          <tpl hier="236" item="1"/>
          <tpl fld="4" item="4"/>
        </tpls>
      </n>
      <m>
        <tpls c="4">
          <tpl fld="7" item="301"/>
          <tpl fld="6" item="1"/>
          <tpl hier="236" item="1"/>
          <tpl fld="4" item="1"/>
        </tpls>
      </m>
      <n v="1" in="1">
        <tpls c="4">
          <tpl fld="7" item="1183"/>
          <tpl fld="6" item="1"/>
          <tpl hier="236" item="1"/>
          <tpl fld="4" item="1"/>
        </tpls>
      </n>
      <m>
        <tpls c="4">
          <tpl fld="7" item="184"/>
          <tpl fld="6" item="2"/>
          <tpl hier="236" item="1"/>
          <tpl fld="4" item="5"/>
        </tpls>
      </m>
      <m>
        <tpls c="4">
          <tpl fld="7" item="976"/>
          <tpl fld="6" item="2"/>
          <tpl hier="236" item="1"/>
          <tpl fld="4" item="4"/>
        </tpls>
      </m>
      <n v="7" in="1">
        <tpls c="4">
          <tpl fld="7" item="453"/>
          <tpl fld="6" item="1"/>
          <tpl hier="236" item="1"/>
          <tpl fld="4" item="4"/>
        </tpls>
      </n>
      <m>
        <tpls c="4">
          <tpl fld="7" item="91"/>
          <tpl fld="6" item="2"/>
          <tpl hier="236" item="1"/>
          <tpl fld="4" item="6"/>
        </tpls>
      </m>
      <m>
        <tpls c="4">
          <tpl fld="7" item="306"/>
          <tpl fld="6" item="1"/>
          <tpl hier="236" item="1"/>
          <tpl fld="4" item="5"/>
        </tpls>
      </m>
      <n v="1" in="1">
        <tpls c="4">
          <tpl fld="7" item="427"/>
          <tpl fld="6" item="1"/>
          <tpl hier="236" item="1"/>
          <tpl fld="4" item="5"/>
        </tpls>
      </n>
      <n v="5" in="1">
        <tpls c="4">
          <tpl fld="7" item="1157"/>
          <tpl fld="6" item="1"/>
          <tpl hier="236" item="1"/>
          <tpl fld="4" item="1"/>
        </tpls>
      </n>
      <m>
        <tpls c="4">
          <tpl fld="7" item="652"/>
          <tpl fld="6" item="2"/>
          <tpl hier="236" item="1"/>
          <tpl fld="4" item="6"/>
        </tpls>
      </m>
      <m>
        <tpls c="4">
          <tpl fld="7" item="891"/>
          <tpl fld="6" item="2"/>
          <tpl hier="236" item="1"/>
          <tpl fld="4" item="5"/>
        </tpls>
      </m>
      <m>
        <tpls c="4">
          <tpl fld="7" item="294"/>
          <tpl fld="6" item="2"/>
          <tpl hier="236" item="1"/>
          <tpl fld="4" item="6"/>
        </tpls>
      </m>
      <m>
        <tpls c="4">
          <tpl fld="7" item="1016"/>
          <tpl fld="6" item="1"/>
          <tpl hier="236" item="1"/>
          <tpl fld="4" item="6"/>
        </tpls>
      </m>
      <m>
        <tpls c="4">
          <tpl fld="7" item="877"/>
          <tpl fld="6" item="1"/>
          <tpl hier="236" item="1"/>
          <tpl fld="4" item="5"/>
        </tpls>
      </m>
      <m>
        <tpls c="4">
          <tpl fld="7" item="723"/>
          <tpl fld="6" item="2"/>
          <tpl hier="236" item="1"/>
          <tpl fld="4" item="1"/>
        </tpls>
      </m>
      <m>
        <tpls c="4">
          <tpl fld="7" item="10"/>
          <tpl fld="6" item="2"/>
          <tpl hier="236" item="1"/>
          <tpl fld="4" item="4"/>
        </tpls>
      </m>
      <m>
        <tpls c="4">
          <tpl fld="7" item="21"/>
          <tpl fld="6" item="1"/>
          <tpl hier="236" item="1"/>
          <tpl fld="1" item="0"/>
        </tpls>
      </m>
      <m>
        <tpls c="4">
          <tpl fld="7" item="440"/>
          <tpl fld="6" item="1"/>
          <tpl hier="236" item="1"/>
          <tpl fld="4" item="5"/>
        </tpls>
      </m>
      <m>
        <tpls c="4">
          <tpl fld="7" item="790"/>
          <tpl fld="6" item="2"/>
          <tpl hier="236" item="1"/>
          <tpl fld="4" item="4"/>
        </tpls>
      </m>
      <n v="0.8" in="2">
        <tpls c="4">
          <tpl fld="7" item="1120"/>
          <tpl fld="6" item="2"/>
          <tpl hier="236" item="1"/>
          <tpl fld="4" item="1"/>
        </tpls>
      </n>
      <m>
        <tpls c="3">
          <tpl fld="7" item="854"/>
          <tpl fld="6" item="3"/>
          <tpl hier="236" item="1"/>
        </tpls>
      </m>
      <m>
        <tpls c="4">
          <tpl fld="7" item="146"/>
          <tpl fld="6" item="2"/>
          <tpl hier="236" item="1"/>
          <tpl fld="4" item="6"/>
        </tpls>
      </m>
      <m>
        <tpls c="4">
          <tpl fld="7" item="923"/>
          <tpl fld="6" item="2"/>
          <tpl hier="236" item="1"/>
          <tpl fld="4" item="1"/>
        </tpls>
      </m>
      <m>
        <tpls c="4">
          <tpl fld="7" item="310"/>
          <tpl fld="6" item="1"/>
          <tpl hier="236" item="1"/>
          <tpl fld="4" item="5"/>
        </tpls>
      </m>
      <n v="0" in="1">
        <tpls c="4">
          <tpl fld="7" item="898"/>
          <tpl fld="6" item="1"/>
          <tpl hier="236" item="1"/>
          <tpl fld="4" item="6"/>
        </tpls>
      </n>
      <m>
        <tpls c="4">
          <tpl fld="7" item="218"/>
          <tpl fld="6" item="2"/>
          <tpl hier="236" item="1"/>
          <tpl fld="4" item="4"/>
        </tpls>
      </m>
      <m>
        <tpls c="4">
          <tpl fld="7" item="481"/>
          <tpl fld="6" item="1"/>
          <tpl hier="236" item="1"/>
          <tpl fld="4" item="6"/>
        </tpls>
      </m>
      <n v="1.4" in="2">
        <tpls c="4">
          <tpl fld="7" item="713"/>
          <tpl fld="6" item="2"/>
          <tpl hier="236" item="1"/>
          <tpl fld="1" item="0"/>
        </tpls>
      </n>
      <n v="0" in="1">
        <tpls c="4">
          <tpl fld="7" item="207"/>
          <tpl fld="6" item="1"/>
          <tpl hier="236" item="1"/>
          <tpl fld="4" item="1"/>
        </tpls>
      </n>
      <m>
        <tpls c="4">
          <tpl fld="7" item="330"/>
          <tpl fld="6" item="1"/>
          <tpl hier="236" item="1"/>
          <tpl fld="4" item="6"/>
        </tpls>
      </m>
      <n v="5" in="1">
        <tpls c="4">
          <tpl fld="7" item="651"/>
          <tpl fld="6" item="1"/>
          <tpl hier="236" item="1"/>
          <tpl fld="1" item="0"/>
        </tpls>
      </n>
      <m>
        <tpls c="4">
          <tpl fld="7" item="276"/>
          <tpl fld="6" item="1"/>
          <tpl hier="236" item="1"/>
          <tpl fld="4" item="6"/>
        </tpls>
      </m>
      <m>
        <tpls c="4">
          <tpl fld="7" item="346"/>
          <tpl fld="6" item="1"/>
          <tpl hier="236" item="1"/>
          <tpl fld="4" item="1"/>
        </tpls>
      </m>
      <m>
        <tpls c="4">
          <tpl fld="7" item="828"/>
          <tpl fld="6" item="1"/>
          <tpl hier="236" item="1"/>
          <tpl fld="4" item="6"/>
        </tpls>
      </m>
      <m>
        <tpls c="4">
          <tpl fld="7" item="108"/>
          <tpl fld="6" item="1"/>
          <tpl hier="236" item="1"/>
          <tpl fld="4" item="1"/>
        </tpls>
      </m>
      <m>
        <tpls c="4">
          <tpl fld="7" item="1101"/>
          <tpl fld="6" item="2"/>
          <tpl hier="236" item="1"/>
          <tpl fld="4" item="4"/>
        </tpls>
      </m>
      <n v="0.52" in="2">
        <tpls c="4">
          <tpl fld="7" item="1224"/>
          <tpl fld="6" item="2"/>
          <tpl hier="236" item="1"/>
          <tpl fld="4" item="4"/>
        </tpls>
      </n>
      <n v="1" in="1">
        <tpls c="4">
          <tpl fld="7" item="1022"/>
          <tpl fld="6" item="1"/>
          <tpl hier="236" item="1"/>
          <tpl fld="4" item="1"/>
        </tpls>
      </n>
      <m>
        <tpls c="4">
          <tpl fld="7" item="944"/>
          <tpl fld="6" item="2"/>
          <tpl hier="236" item="1"/>
          <tpl fld="4" item="4"/>
        </tpls>
      </m>
      <m>
        <tpls c="4">
          <tpl fld="7" item="44"/>
          <tpl fld="6" item="2"/>
          <tpl hier="236" item="1"/>
          <tpl fld="1" item="0"/>
        </tpls>
      </m>
      <m>
        <tpls c="4">
          <tpl fld="7" item="10"/>
          <tpl fld="6" item="1"/>
          <tpl hier="236" item="1"/>
          <tpl fld="4" item="1"/>
        </tpls>
      </m>
      <m>
        <tpls c="4">
          <tpl fld="7" item="1236"/>
          <tpl fld="6" item="2"/>
          <tpl hier="236" item="1"/>
          <tpl fld="4" item="4"/>
        </tpls>
      </m>
      <m>
        <tpls c="4">
          <tpl fld="7" item="65"/>
          <tpl fld="6" item="2"/>
          <tpl hier="236" item="1"/>
          <tpl fld="4" item="5"/>
        </tpls>
      </m>
      <m>
        <tpls c="4">
          <tpl fld="7" item="9"/>
          <tpl fld="6" item="2"/>
          <tpl hier="236" item="1"/>
          <tpl fld="4" item="6"/>
        </tpls>
      </m>
      <m>
        <tpls c="4">
          <tpl fld="7" item="587"/>
          <tpl fld="6" item="2"/>
          <tpl hier="236" item="1"/>
          <tpl fld="1" item="0"/>
        </tpls>
      </m>
      <n v="1" in="2">
        <tpls c="4">
          <tpl fld="7" item="443"/>
          <tpl fld="6" item="2"/>
          <tpl hier="236" item="1"/>
          <tpl fld="4" item="6"/>
        </tpls>
      </n>
      <m>
        <tpls c="4">
          <tpl fld="7" item="128"/>
          <tpl fld="6" item="2"/>
          <tpl hier="236" item="1"/>
          <tpl fld="4" item="5"/>
        </tpls>
      </m>
      <n v="5" in="1">
        <tpls c="4">
          <tpl fld="7" item="683"/>
          <tpl fld="6" item="1"/>
          <tpl hier="236" item="1"/>
          <tpl fld="4" item="1"/>
        </tpls>
      </n>
      <m>
        <tpls c="4">
          <tpl fld="7" item="301"/>
          <tpl fld="6" item="2"/>
          <tpl hier="236" item="1"/>
          <tpl fld="1" item="0"/>
        </tpls>
      </m>
      <m>
        <tpls c="4">
          <tpl fld="7" item="980"/>
          <tpl fld="6" item="2"/>
          <tpl hier="236" item="1"/>
          <tpl fld="4" item="6"/>
        </tpls>
      </m>
      <m>
        <tpls c="4">
          <tpl fld="7" item="315"/>
          <tpl fld="6" item="1"/>
          <tpl hier="236" item="1"/>
          <tpl fld="4" item="1"/>
        </tpls>
      </m>
      <m>
        <tpls c="4">
          <tpl fld="7" item="276"/>
          <tpl fld="6" item="2"/>
          <tpl hier="236" item="1"/>
          <tpl fld="1" item="0"/>
        </tpls>
      </m>
      <m>
        <tpls c="4">
          <tpl fld="7" item="121"/>
          <tpl fld="6" item="1"/>
          <tpl hier="236" item="1"/>
          <tpl fld="4" item="6"/>
        </tpls>
      </m>
      <m>
        <tpls c="4">
          <tpl fld="7" item="313"/>
          <tpl fld="6" item="2"/>
          <tpl hier="236" item="1"/>
          <tpl fld="1" item="0"/>
        </tpls>
      </m>
      <m>
        <tpls c="4">
          <tpl fld="7" item="24"/>
          <tpl fld="6" item="1"/>
          <tpl hier="236" item="1"/>
          <tpl fld="4" item="6"/>
        </tpls>
      </m>
      <m>
        <tpls c="4">
          <tpl fld="7" item="1043"/>
          <tpl fld="6" item="1"/>
          <tpl hier="236" item="1"/>
          <tpl fld="4" item="4"/>
        </tpls>
      </m>
      <n v="6" in="1">
        <tpls c="4">
          <tpl fld="7" item="498"/>
          <tpl fld="6" item="1"/>
          <tpl hier="236" item="1"/>
          <tpl fld="1" item="0"/>
        </tpls>
      </n>
      <m>
        <tpls c="4">
          <tpl fld="7" item="751"/>
          <tpl fld="6" item="2"/>
          <tpl hier="236" item="1"/>
          <tpl fld="4" item="4"/>
        </tpls>
      </m>
      <m>
        <tpls c="4">
          <tpl fld="7" item="19"/>
          <tpl fld="6" item="1"/>
          <tpl hier="236" item="1"/>
          <tpl fld="4" item="6"/>
        </tpls>
      </m>
      <n v="1" in="1">
        <tpls c="4">
          <tpl fld="7" item="1035"/>
          <tpl fld="6" item="1"/>
          <tpl hier="236" item="1"/>
          <tpl fld="4" item="1"/>
        </tpls>
      </n>
      <m>
        <tpls c="4">
          <tpl fld="7" item="649"/>
          <tpl fld="6" item="2"/>
          <tpl hier="236" item="1"/>
          <tpl fld="1" item="0"/>
        </tpls>
      </m>
      <m>
        <tpls c="4">
          <tpl fld="7" item="832"/>
          <tpl fld="6" item="1"/>
          <tpl hier="236" item="1"/>
          <tpl fld="4" item="1"/>
        </tpls>
      </m>
      <m>
        <tpls c="4">
          <tpl fld="7" item="415"/>
          <tpl fld="6" item="1"/>
          <tpl hier="236" item="1"/>
          <tpl fld="1" item="0"/>
        </tpls>
      </m>
      <m>
        <tpls c="3">
          <tpl fld="7" item="665"/>
          <tpl fld="6" item="3"/>
          <tpl hier="236" item="1"/>
        </tpls>
      </m>
      <m>
        <tpls c="4">
          <tpl fld="7" item="1083"/>
          <tpl fld="6" item="2"/>
          <tpl hier="236" item="1"/>
          <tpl fld="4" item="6"/>
        </tpls>
      </m>
      <m>
        <tpls c="4">
          <tpl fld="7" item="33"/>
          <tpl fld="6" item="1"/>
          <tpl hier="236" item="1"/>
          <tpl fld="1" item="0"/>
        </tpls>
      </m>
      <m>
        <tpls c="4">
          <tpl fld="7" item="738"/>
          <tpl fld="6" item="2"/>
          <tpl hier="236" item="1"/>
          <tpl fld="4" item="6"/>
        </tpls>
      </m>
      <m>
        <tpls c="4">
          <tpl fld="7" item="138"/>
          <tpl fld="6" item="1"/>
          <tpl hier="236" item="1"/>
          <tpl fld="4" item="5"/>
        </tpls>
      </m>
      <m>
        <tpls c="4">
          <tpl fld="7" item="188"/>
          <tpl fld="6" item="1"/>
          <tpl hier="236" item="1"/>
          <tpl fld="1" item="0"/>
        </tpls>
      </m>
      <m>
        <tpls c="4">
          <tpl fld="7" item="303"/>
          <tpl fld="6" item="1"/>
          <tpl hier="236" item="1"/>
          <tpl fld="1" item="0"/>
        </tpls>
      </m>
      <m>
        <tpls c="4">
          <tpl fld="7" item="326"/>
          <tpl fld="6" item="1"/>
          <tpl hier="236" item="1"/>
          <tpl fld="4" item="6"/>
        </tpls>
      </m>
      <n v="16" in="1">
        <tpls c="4">
          <tpl fld="7" item="361"/>
          <tpl fld="6" item="1"/>
          <tpl hier="236" item="1"/>
          <tpl fld="1" item="0"/>
        </tpls>
      </n>
      <m>
        <tpls c="4">
          <tpl fld="7" item="411"/>
          <tpl fld="6" item="1"/>
          <tpl hier="236" item="1"/>
          <tpl fld="4" item="6"/>
        </tpls>
      </m>
      <n v="1" in="1">
        <tpls c="4">
          <tpl fld="7" item="1218"/>
          <tpl fld="6" item="1"/>
          <tpl hier="236" item="1"/>
          <tpl fld="1" item="0"/>
        </tpls>
      </n>
      <n v="0.88000000000000012" in="2">
        <tpls c="4">
          <tpl fld="7" item="747"/>
          <tpl fld="6" item="2"/>
          <tpl hier="236" item="1"/>
          <tpl fld="4" item="4"/>
        </tpls>
      </n>
      <m>
        <tpls c="4">
          <tpl fld="7" item="132"/>
          <tpl fld="6" item="2"/>
          <tpl hier="236" item="1"/>
          <tpl fld="4" item="4"/>
        </tpls>
      </m>
      <m>
        <tpls c="4">
          <tpl fld="7" item="1120"/>
          <tpl fld="6" item="1"/>
          <tpl hier="236" item="1"/>
          <tpl fld="4" item="6"/>
        </tpls>
      </m>
      <m>
        <tpls c="4">
          <tpl fld="7" item="273"/>
          <tpl fld="6" item="2"/>
          <tpl hier="236" item="1"/>
          <tpl fld="1" item="0"/>
        </tpls>
      </m>
      <n v="6" in="1">
        <tpls c="4">
          <tpl fld="7" item="681"/>
          <tpl fld="6" item="1"/>
          <tpl hier="236" item="1"/>
          <tpl fld="4" item="1"/>
        </tpls>
      </n>
      <m>
        <tpls c="4">
          <tpl fld="7" item="334"/>
          <tpl fld="6" item="2"/>
          <tpl hier="236" item="1"/>
          <tpl fld="4" item="5"/>
        </tpls>
      </m>
      <n v="0" in="1">
        <tpls c="4">
          <tpl fld="7" item="185"/>
          <tpl fld="6" item="1"/>
          <tpl hier="236" item="1"/>
          <tpl fld="4" item="1"/>
        </tpls>
      </n>
      <m>
        <tpls c="4">
          <tpl fld="7" item="434"/>
          <tpl fld="6" item="1"/>
          <tpl hier="236" item="1"/>
          <tpl fld="4" item="5"/>
        </tpls>
      </m>
      <m>
        <tpls c="4">
          <tpl fld="7" item="1153"/>
          <tpl fld="6" item="2"/>
          <tpl hier="236" item="1"/>
          <tpl fld="4" item="4"/>
        </tpls>
      </m>
      <m>
        <tpls c="4">
          <tpl fld="7" item="707"/>
          <tpl fld="6" item="2"/>
          <tpl hier="236" item="1"/>
          <tpl fld="4" item="4"/>
        </tpls>
      </m>
      <m>
        <tpls c="4">
          <tpl fld="7" item="2"/>
          <tpl fld="6" item="1"/>
          <tpl hier="236" item="1"/>
          <tpl fld="4" item="1"/>
        </tpls>
      </m>
      <m>
        <tpls c="4">
          <tpl fld="7" item="123"/>
          <tpl fld="6" item="2"/>
          <tpl hier="236" item="1"/>
          <tpl fld="4" item="4"/>
        </tpls>
      </m>
      <n v="3" in="1">
        <tpls c="4">
          <tpl fld="7" item="422"/>
          <tpl fld="6" item="1"/>
          <tpl hier="236" item="1"/>
          <tpl fld="1" item="0"/>
        </tpls>
      </n>
      <m>
        <tpls c="4">
          <tpl fld="7" item="112"/>
          <tpl fld="6" item="2"/>
          <tpl hier="236" item="1"/>
          <tpl fld="1" item="0"/>
        </tpls>
      </m>
      <m>
        <tpls c="4">
          <tpl fld="7" item="963"/>
          <tpl fld="6" item="2"/>
          <tpl hier="236" item="1"/>
          <tpl fld="4" item="1"/>
        </tpls>
      </m>
      <m>
        <tpls c="4">
          <tpl fld="7" item="284"/>
          <tpl fld="6" item="1"/>
          <tpl hier="236" item="1"/>
          <tpl fld="4" item="5"/>
        </tpls>
      </m>
      <m>
        <tpls c="4">
          <tpl fld="7" item="669"/>
          <tpl fld="6" item="2"/>
          <tpl hier="236" item="1"/>
          <tpl fld="4" item="6"/>
        </tpls>
      </m>
      <m>
        <tpls c="4">
          <tpl fld="7" item="476"/>
          <tpl fld="6" item="1"/>
          <tpl hier="236" item="1"/>
          <tpl fld="4" item="5"/>
        </tpls>
      </m>
      <m>
        <tpls c="3">
          <tpl fld="7" item="116"/>
          <tpl fld="6" item="3"/>
          <tpl hier="236" item="1"/>
        </tpls>
      </m>
      <m>
        <tpls c="3">
          <tpl fld="7" item="589"/>
          <tpl fld="6" item="3"/>
          <tpl hier="236" item="1"/>
        </tpls>
      </m>
      <m>
        <tpls c="4">
          <tpl fld="7" item="1021"/>
          <tpl fld="6" item="2"/>
          <tpl hier="236" item="1"/>
          <tpl fld="4" item="1"/>
        </tpls>
      </m>
      <n v="1" in="2">
        <tpls c="4">
          <tpl fld="7" item="665"/>
          <tpl fld="6" item="2"/>
          <tpl hier="236" item="1"/>
          <tpl fld="1" item="0"/>
        </tpls>
      </n>
      <m>
        <tpls c="3">
          <tpl fld="7" item="891"/>
          <tpl fld="6" item="3"/>
          <tpl hier="236" item="1"/>
        </tpls>
      </m>
      <m>
        <tpls c="3">
          <tpl fld="7" item="652"/>
          <tpl fld="6" item="3"/>
          <tpl hier="236" item="1"/>
        </tpls>
      </m>
      <m>
        <tpls c="4">
          <tpl fld="7" item="473"/>
          <tpl fld="6" item="2"/>
          <tpl hier="236" item="1"/>
          <tpl fld="4" item="5"/>
        </tpls>
      </m>
      <m>
        <tpls c="3">
          <tpl fld="7" item="239"/>
          <tpl fld="6" item="3"/>
          <tpl hier="236" item="1"/>
        </tpls>
      </m>
      <n v="24" in="1">
        <tpls c="4">
          <tpl fld="7" item="515"/>
          <tpl fld="6" item="1"/>
          <tpl hier="236" item="1"/>
          <tpl fld="1" item="0"/>
        </tpls>
      </n>
      <m>
        <tpls c="4">
          <tpl fld="7" item="66"/>
          <tpl fld="6" item="1"/>
          <tpl hier="236" item="1"/>
          <tpl fld="4" item="5"/>
        </tpls>
      </m>
      <m>
        <tpls c="4">
          <tpl fld="7" item="819"/>
          <tpl fld="6" item="2"/>
          <tpl hier="236" item="1"/>
          <tpl fld="4" item="4"/>
        </tpls>
      </m>
      <n v="3" in="1">
        <tpls c="4">
          <tpl fld="7" item="1080"/>
          <tpl fld="6" item="1"/>
          <tpl hier="236" item="1"/>
          <tpl fld="4" item="1"/>
        </tpls>
      </n>
      <m>
        <tpls c="4">
          <tpl fld="7" item="246"/>
          <tpl fld="6" item="1"/>
          <tpl hier="236" item="1"/>
          <tpl fld="1" item="0"/>
        </tpls>
      </m>
      <n v="6" in="1">
        <tpls c="4">
          <tpl fld="7" item="744"/>
          <tpl fld="6" item="1"/>
          <tpl hier="236" item="1"/>
          <tpl fld="4" item="6"/>
        </tpls>
      </n>
      <m>
        <tpls c="4">
          <tpl fld="7" item="10"/>
          <tpl fld="6" item="1"/>
          <tpl hier="236" item="1"/>
          <tpl fld="4" item="6"/>
        </tpls>
      </m>
      <n v="1" in="1">
        <tpls c="4">
          <tpl fld="7" item="1059"/>
          <tpl fld="6" item="1"/>
          <tpl hier="236" item="1"/>
          <tpl fld="4" item="1"/>
        </tpls>
      </n>
      <m>
        <tpls c="4">
          <tpl fld="7" item="121"/>
          <tpl fld="6" item="2"/>
          <tpl hier="236" item="1"/>
          <tpl fld="4" item="6"/>
        </tpls>
      </m>
      <m>
        <tpls c="4">
          <tpl fld="7" item="222"/>
          <tpl fld="6" item="2"/>
          <tpl hier="236" item="1"/>
          <tpl fld="4" item="5"/>
        </tpls>
      </m>
      <m>
        <tpls c="4">
          <tpl fld="7" item="754"/>
          <tpl fld="6" item="1"/>
          <tpl hier="236" item="1"/>
          <tpl fld="1" item="0"/>
        </tpls>
      </m>
      <m>
        <tpls c="4">
          <tpl fld="7" item="1006"/>
          <tpl fld="6" item="2"/>
          <tpl hier="236" item="1"/>
          <tpl fld="4" item="6"/>
        </tpls>
      </m>
      <n v="4" in="1">
        <tpls c="4">
          <tpl fld="7" item="1102"/>
          <tpl fld="6" item="1"/>
          <tpl hier="236" item="1"/>
          <tpl fld="4" item="5"/>
        </tpls>
      </n>
      <m>
        <tpls c="4">
          <tpl fld="7" item="593"/>
          <tpl fld="6" item="1"/>
          <tpl hier="236" item="1"/>
          <tpl fld="1" item="0"/>
        </tpls>
      </m>
      <m>
        <tpls c="4">
          <tpl fld="7" item="843"/>
          <tpl fld="6" item="1"/>
          <tpl hier="236" item="1"/>
          <tpl fld="4" item="5"/>
        </tpls>
      </m>
      <m>
        <tpls c="4">
          <tpl fld="7" item="97"/>
          <tpl fld="6" item="2"/>
          <tpl hier="236" item="1"/>
          <tpl fld="4" item="6"/>
        </tpls>
      </m>
      <m>
        <tpls c="4">
          <tpl fld="7" item="274"/>
          <tpl fld="6" item="1"/>
          <tpl hier="236" item="1"/>
          <tpl fld="4" item="6"/>
        </tpls>
      </m>
      <m>
        <tpls c="4">
          <tpl fld="7" item="1142"/>
          <tpl fld="6" item="2"/>
          <tpl hier="236" item="1"/>
          <tpl fld="4" item="4"/>
        </tpls>
      </m>
      <m>
        <tpls c="4">
          <tpl fld="7" item="1208"/>
          <tpl fld="6" item="2"/>
          <tpl hier="236" item="1"/>
          <tpl fld="4" item="4"/>
        </tpls>
      </m>
      <n v="2" in="1">
        <tpls c="4">
          <tpl fld="7" item="1024"/>
          <tpl fld="6" item="1"/>
          <tpl hier="236" item="1"/>
          <tpl fld="1" item="0"/>
        </tpls>
      </n>
      <m>
        <tpls c="4">
          <tpl fld="7" item="472"/>
          <tpl fld="6" item="1"/>
          <tpl hier="236" item="1"/>
          <tpl fld="4" item="5"/>
        </tpls>
      </m>
      <m>
        <tpls c="4">
          <tpl fld="7" item="968"/>
          <tpl fld="6" item="2"/>
          <tpl hier="236" item="1"/>
          <tpl fld="4" item="4"/>
        </tpls>
      </m>
      <m>
        <tpls c="4">
          <tpl fld="7" item="275"/>
          <tpl fld="6" item="1"/>
          <tpl hier="236" item="1"/>
          <tpl fld="1" item="0"/>
        </tpls>
      </m>
      <m>
        <tpls c="4">
          <tpl fld="7" item="736"/>
          <tpl fld="6" item="1"/>
          <tpl hier="236" item="1"/>
          <tpl fld="4" item="5"/>
        </tpls>
      </m>
      <m>
        <tpls c="4">
          <tpl fld="7" item="999"/>
          <tpl fld="6" item="1"/>
          <tpl hier="236" item="1"/>
          <tpl fld="4" item="5"/>
        </tpls>
      </m>
      <m>
        <tpls c="4">
          <tpl fld="7" item="345"/>
          <tpl fld="6" item="1"/>
          <tpl hier="236" item="1"/>
          <tpl fld="4" item="5"/>
        </tpls>
      </m>
      <m>
        <tpls c="4">
          <tpl fld="7" item="750"/>
          <tpl fld="6" item="2"/>
          <tpl hier="236" item="1"/>
          <tpl fld="4" item="4"/>
        </tpls>
      </m>
      <m>
        <tpls c="4">
          <tpl fld="7" item="137"/>
          <tpl fld="6" item="2"/>
          <tpl hier="236" item="1"/>
          <tpl fld="4" item="5"/>
        </tpls>
      </m>
      <m>
        <tpls c="4">
          <tpl fld="7" item="59"/>
          <tpl fld="6" item="2"/>
          <tpl hier="236" item="1"/>
          <tpl fld="4" item="4"/>
        </tpls>
      </m>
      <m>
        <tpls c="4">
          <tpl fld="7" item="928"/>
          <tpl fld="6" item="1"/>
          <tpl hier="236" item="1"/>
          <tpl fld="4" item="5"/>
        </tpls>
      </m>
      <n v="1" in="1">
        <tpls c="4">
          <tpl fld="7" item="1044"/>
          <tpl fld="6" item="1"/>
          <tpl hier="236" item="1"/>
          <tpl fld="1" item="0"/>
        </tpls>
      </n>
      <n v="3" in="1">
        <tpls c="4">
          <tpl fld="7" item="944"/>
          <tpl fld="6" item="1"/>
          <tpl hier="236" item="1"/>
          <tpl fld="1" item="0"/>
        </tpls>
      </n>
      <n v="23" in="1">
        <tpls c="4">
          <tpl fld="7" item="1135"/>
          <tpl fld="6" item="1"/>
          <tpl hier="236" item="1"/>
          <tpl fld="1" item="0"/>
        </tpls>
      </n>
      <n v="1.6" in="2">
        <tpls c="4">
          <tpl fld="7" item="1266"/>
          <tpl fld="6" item="2"/>
          <tpl hier="236" item="1"/>
          <tpl fld="1" item="0"/>
        </tpls>
      </n>
      <m>
        <tpls c="4">
          <tpl fld="7" item="1273"/>
          <tpl fld="6" item="2"/>
          <tpl hier="236" item="1"/>
          <tpl fld="1" item="0"/>
        </tpls>
      </m>
      <n v="0.76" in="2">
        <tpls c="4">
          <tpl fld="7" item="973"/>
          <tpl fld="6" item="2"/>
          <tpl hier="236" item="1"/>
          <tpl fld="1" item="0"/>
        </tpls>
      </n>
      <m>
        <tpls c="4">
          <tpl fld="7" item="1234"/>
          <tpl fld="6" item="2"/>
          <tpl hier="236" item="1"/>
          <tpl fld="1" item="0"/>
        </tpls>
      </m>
      <m>
        <tpls c="4">
          <tpl fld="7" item="1147"/>
          <tpl fld="6" item="2"/>
          <tpl hier="236" item="1"/>
          <tpl fld="1" item="0"/>
        </tpls>
      </m>
      <m>
        <tpls c="4">
          <tpl fld="7" item="1143"/>
          <tpl fld="6" item="2"/>
          <tpl hier="236" item="1"/>
          <tpl fld="1" item="0"/>
        </tpls>
      </m>
      <m>
        <tpls c="4">
          <tpl fld="7" item="1176"/>
          <tpl fld="6" item="2"/>
          <tpl hier="236" item="1"/>
          <tpl fld="1" item="0"/>
        </tpls>
      </m>
      <m>
        <tpls c="4">
          <tpl fld="7" item="1156"/>
          <tpl fld="6" item="2"/>
          <tpl hier="236" item="1"/>
          <tpl fld="1" item="0"/>
        </tpls>
      </m>
      <m>
        <tpls c="4">
          <tpl fld="7" item="1068"/>
          <tpl fld="6" item="2"/>
          <tpl hier="236" item="1"/>
          <tpl fld="1" item="0"/>
        </tpls>
      </m>
      <m>
        <tpls c="4">
          <tpl fld="7" item="964"/>
          <tpl fld="6" item="2"/>
          <tpl hier="236" item="1"/>
          <tpl fld="1" item="0"/>
        </tpls>
      </m>
      <m>
        <tpls c="4">
          <tpl fld="7" item="1067"/>
          <tpl fld="6" item="2"/>
          <tpl hier="236" item="1"/>
          <tpl fld="1" item="0"/>
        </tpls>
      </m>
      <m>
        <tpls c="4">
          <tpl fld="7" item="1167"/>
          <tpl fld="6" item="2"/>
          <tpl hier="236" item="1"/>
          <tpl fld="1" item="0"/>
        </tpls>
      </m>
      <m>
        <tpls c="4">
          <tpl fld="7" item="1134"/>
          <tpl fld="6" item="2"/>
          <tpl hier="236" item="1"/>
          <tpl fld="1" item="0"/>
        </tpls>
      </m>
      <m>
        <tpls c="4">
          <tpl fld="7" item="958"/>
          <tpl fld="6" item="2"/>
          <tpl hier="236" item="1"/>
          <tpl fld="1" item="0"/>
        </tpls>
      </m>
      <m>
        <tpls c="4">
          <tpl fld="7" item="1257"/>
          <tpl fld="6" item="2"/>
          <tpl hier="236" item="1"/>
          <tpl fld="1" item="0"/>
        </tpls>
      </m>
      <m>
        <tpls c="4">
          <tpl fld="7" item="872"/>
          <tpl fld="6" item="2"/>
          <tpl hier="236" item="1"/>
          <tpl fld="1" item="0"/>
        </tpls>
      </m>
      <m>
        <tpls c="4">
          <tpl fld="7" item="1154"/>
          <tpl fld="6" item="2"/>
          <tpl hier="236" item="1"/>
          <tpl fld="1" item="0"/>
        </tpls>
      </m>
      <m>
        <tpls c="4">
          <tpl fld="7" item="1051"/>
          <tpl fld="6" item="2"/>
          <tpl hier="236" item="1"/>
          <tpl fld="1" item="0"/>
        </tpls>
      </m>
      <m>
        <tpls c="4">
          <tpl fld="7" item="1254"/>
          <tpl fld="6" item="2"/>
          <tpl hier="236" item="1"/>
          <tpl fld="1" item="0"/>
        </tpls>
      </m>
      <m>
        <tpls c="4">
          <tpl fld="7" item="1042"/>
          <tpl fld="6" item="2"/>
          <tpl hier="236" item="1"/>
          <tpl fld="1" item="0"/>
        </tpls>
      </m>
      <m>
        <tpls c="4">
          <tpl fld="7" item="1159"/>
          <tpl fld="6" item="2"/>
          <tpl hier="236" item="1"/>
          <tpl fld="1" item="0"/>
        </tpls>
      </m>
      <m>
        <tpls c="4">
          <tpl fld="7" item="949"/>
          <tpl fld="6" item="2"/>
          <tpl hier="236" item="1"/>
          <tpl fld="1" item="0"/>
        </tpls>
      </m>
      <m>
        <tpls c="4">
          <tpl fld="7" item="1229"/>
          <tpl fld="6" item="2"/>
          <tpl hier="236" item="1"/>
          <tpl fld="1" item="0"/>
        </tpls>
      </m>
      <m>
        <tpls c="4">
          <tpl fld="7" item="1172"/>
          <tpl fld="6" item="2"/>
          <tpl hier="236" item="1"/>
          <tpl fld="1" item="0"/>
        </tpls>
      </m>
      <m>
        <tpls c="4">
          <tpl fld="7" item="932"/>
          <tpl fld="6" item="2"/>
          <tpl hier="236" item="1"/>
          <tpl fld="1" item="0"/>
        </tpls>
      </m>
      <m>
        <tpls c="4">
          <tpl fld="7" item="1199"/>
          <tpl fld="6" item="2"/>
          <tpl hier="236" item="1"/>
          <tpl fld="1" item="0"/>
        </tpls>
      </m>
      <m>
        <tpls c="4">
          <tpl fld="7" item="1152"/>
          <tpl fld="6" item="2"/>
          <tpl hier="236" item="1"/>
          <tpl fld="1" item="0"/>
        </tpls>
      </m>
      <m>
        <tpls c="4">
          <tpl fld="7" item="1049"/>
          <tpl fld="6" item="2"/>
          <tpl hier="236" item="1"/>
          <tpl fld="1" item="0"/>
        </tpls>
      </m>
      <m>
        <tpls c="4">
          <tpl fld="7" item="1034"/>
          <tpl fld="6" item="2"/>
          <tpl hier="236" item="1"/>
          <tpl fld="1" item="0"/>
        </tpls>
      </m>
      <m>
        <tpls c="4">
          <tpl fld="7" item="962"/>
          <tpl fld="6" item="2"/>
          <tpl hier="236" item="1"/>
          <tpl fld="1" item="0"/>
        </tpls>
      </m>
      <m>
        <tpls c="4">
          <tpl fld="7" item="1171"/>
          <tpl fld="6" item="2"/>
          <tpl hier="236" item="1"/>
          <tpl fld="1" item="0"/>
        </tpls>
      </m>
      <m>
        <tpls c="4">
          <tpl fld="7" item="931"/>
          <tpl fld="6" item="2"/>
          <tpl hier="236" item="1"/>
          <tpl fld="1" item="0"/>
        </tpls>
      </m>
      <m>
        <tpls c="4">
          <tpl fld="7" item="946"/>
          <tpl fld="6" item="2"/>
          <tpl hier="236" item="1"/>
          <tpl fld="1" item="0"/>
        </tpls>
      </m>
      <m>
        <tpls c="4">
          <tpl fld="7" item="961"/>
          <tpl fld="6" item="2"/>
          <tpl hier="236" item="1"/>
          <tpl fld="1" item="0"/>
        </tpls>
      </m>
      <n v="1" in="2">
        <tpls c="4">
          <tpl fld="7" item="928"/>
          <tpl fld="6" item="2"/>
          <tpl hier="236" item="1"/>
          <tpl fld="1" item="0"/>
        </tpls>
      </n>
      <m>
        <tpls c="4">
          <tpl fld="7" item="1198"/>
          <tpl fld="6" item="2"/>
          <tpl hier="236" item="1"/>
          <tpl fld="1" item="0"/>
        </tpls>
      </m>
      <m>
        <tpls c="4">
          <tpl fld="7" item="1280"/>
          <tpl fld="6" item="2"/>
          <tpl hier="236" item="1"/>
          <tpl fld="4" item="6"/>
        </tpls>
      </m>
      <m>
        <tpls c="3">
          <tpl fld="7" item="1205"/>
          <tpl fld="6" item="3"/>
          <tpl hier="236" item="1"/>
        </tpls>
      </m>
      <m>
        <tpls c="3">
          <tpl fld="7" item="1168"/>
          <tpl fld="6" item="3"/>
          <tpl hier="236" item="1"/>
        </tpls>
      </m>
      <m>
        <tpls c="3">
          <tpl fld="7" item="1251"/>
          <tpl fld="6" item="3"/>
          <tpl hier="236" item="1"/>
        </tpls>
      </m>
      <m>
        <tpls c="3">
          <tpl fld="7" item="1273"/>
          <tpl fld="6" item="3"/>
          <tpl hier="236" item="1"/>
        </tpls>
      </m>
      <m>
        <tpls c="3">
          <tpl fld="7" item="1046"/>
          <tpl fld="6" item="3"/>
          <tpl hier="236" item="1"/>
        </tpls>
      </m>
      <m>
        <tpls c="3">
          <tpl fld="7" item="1174"/>
          <tpl fld="6" item="3"/>
          <tpl hier="236" item="1"/>
        </tpls>
      </m>
      <m>
        <tpls c="3">
          <tpl fld="7" item="1253"/>
          <tpl fld="6" item="3"/>
          <tpl hier="236" item="1"/>
        </tpls>
      </m>
      <m>
        <tpls c="3">
          <tpl fld="7" item="1228"/>
          <tpl fld="6" item="3"/>
          <tpl hier="236" item="1"/>
        </tpls>
      </m>
      <m>
        <tpls c="3">
          <tpl fld="7" item="932"/>
          <tpl fld="6" item="3"/>
          <tpl hier="236" item="1"/>
        </tpls>
      </m>
      <m>
        <tpls c="4">
          <tpl fld="7" item="1283"/>
          <tpl fld="6" item="1"/>
          <tpl hier="236" item="1"/>
          <tpl fld="4" item="5"/>
        </tpls>
      </m>
      <n v="4.4000000000000004" in="2">
        <tpls c="5">
          <tpl fld="11" item="0"/>
          <tpl fld="5" item="2"/>
          <tpl fld="6" item="2"/>
          <tpl hier="236" item="1"/>
          <tpl fld="4" item="2"/>
        </tpls>
      </n>
      <n v="3.3600000000000003" in="2">
        <tpls c="6">
          <tpl fld="3" item="2"/>
          <tpl fld="11" item="0"/>
          <tpl fld="6" item="2"/>
          <tpl hier="236" item="1"/>
          <tpl fld="4" item="1"/>
          <tpl fld="9" item="3"/>
        </tpls>
      </n>
      <n v="346" in="1">
        <tpls c="6">
          <tpl fld="3" item="4"/>
          <tpl fld="11" item="0"/>
          <tpl fld="6" item="1"/>
          <tpl hier="236" item="1"/>
          <tpl fld="4" item="4"/>
          <tpl fld="10" item="5"/>
        </tpls>
      </n>
      <n v="487" in="1">
        <tpls c="6">
          <tpl fld="11" item="0"/>
          <tpl fld="2" item="4"/>
          <tpl fld="6" item="1"/>
          <tpl hier="236" item="1"/>
          <tpl fld="4" item="4"/>
          <tpl fld="10" item="8"/>
        </tpls>
      </n>
      <m>
        <tpls c="6">
          <tpl fld="11" item="0"/>
          <tpl fld="5" item="2"/>
          <tpl fld="6" item="2"/>
          <tpl hier="236" item="1"/>
          <tpl fld="4" item="3"/>
          <tpl fld="10" item="0"/>
        </tpls>
      </m>
      <m>
        <tpls c="3">
          <tpl fld="7" item="1287"/>
          <tpl fld="6" item="3"/>
          <tpl hier="236" item="1"/>
        </tpls>
      </m>
      <n v="150" in="1">
        <tpls c="6">
          <tpl fld="11" item="0"/>
          <tpl fld="5" item="5"/>
          <tpl fld="6" item="1"/>
          <tpl hier="236" item="1"/>
          <tpl fld="4" item="1"/>
          <tpl fld="9" item="1"/>
        </tpls>
      </n>
      <n v="9.0017837837837842" in="2">
        <tpls c="6">
          <tpl fld="11" item="0"/>
          <tpl fld="5" item="3"/>
          <tpl fld="6" item="2"/>
          <tpl hier="236" item="1"/>
          <tpl fld="4" item="1"/>
          <tpl fld="9" item="1"/>
        </tpls>
      </n>
      <m>
        <tpls c="6">
          <tpl fld="11" item="0"/>
          <tpl fld="5" item="2"/>
          <tpl fld="6" item="2"/>
          <tpl hier="236" item="1"/>
          <tpl fld="4" item="7"/>
          <tpl fld="10" item="4"/>
        </tpls>
      </m>
      <m>
        <tpls c="6">
          <tpl fld="11" item="0"/>
          <tpl fld="5" item="4"/>
          <tpl fld="6" item="2"/>
          <tpl hier="236" item="1"/>
          <tpl fld="4" item="7"/>
          <tpl fld="10" item="4"/>
        </tpls>
      </m>
      <n v="540" in="1">
        <tpls c="6">
          <tpl fld="3" item="3"/>
          <tpl fld="11" item="0"/>
          <tpl fld="6" item="1"/>
          <tpl hier="236" item="1"/>
          <tpl fld="4" item="3"/>
          <tpl fld="10" item="4"/>
        </tpls>
      </n>
      <n v="27" in="1">
        <tpls c="6">
          <tpl fld="3" item="3"/>
          <tpl fld="11" item="0"/>
          <tpl fld="6" item="1"/>
          <tpl hier="236" item="1"/>
          <tpl fld="4" item="1"/>
          <tpl fld="9" item="2"/>
        </tpls>
      </n>
      <n v="14.584432432432433" in="2">
        <tpls c="6">
          <tpl fld="3" item="3"/>
          <tpl fld="11" item="0"/>
          <tpl fld="6" item="2"/>
          <tpl hier="236" item="1"/>
          <tpl fld="4" item="4"/>
          <tpl fld="10" item="3"/>
        </tpls>
      </n>
      <n v="195.33443243243244" in="2">
        <tpls c="5">
          <tpl fld="3" item="3"/>
          <tpl fld="11" item="0"/>
          <tpl fld="6" item="2"/>
          <tpl hier="236" item="1"/>
          <tpl fld="1" item="0"/>
        </tpls>
      </n>
      <n v="33" in="1">
        <tpls c="6">
          <tpl fld="3" item="3"/>
          <tpl fld="11" item="0"/>
          <tpl fld="6" item="1"/>
          <tpl hier="236" item="1"/>
          <tpl fld="4" item="1"/>
          <tpl fld="9" item="1"/>
        </tpls>
      </n>
      <n v="7.3629729729729734" in="2">
        <tpls c="6">
          <tpl fld="3" item="3"/>
          <tpl fld="11" item="0"/>
          <tpl fld="6" item="2"/>
          <tpl hier="236" item="1"/>
          <tpl fld="4" item="4"/>
          <tpl fld="10" item="7"/>
        </tpls>
      </n>
      <m>
        <tpls c="6">
          <tpl fld="3" item="3"/>
          <tpl fld="11" item="0"/>
          <tpl fld="6" item="1"/>
          <tpl hier="236" item="1"/>
          <tpl fld="4" item="7"/>
          <tpl fld="10" item="6"/>
        </tpls>
      </m>
      <n v="2.7600000000000002" in="2">
        <tpls c="6">
          <tpl fld="3" item="3"/>
          <tpl fld="11" item="0"/>
          <tpl fld="6" item="2"/>
          <tpl hier="236" item="1"/>
          <tpl fld="4" item="3"/>
          <tpl fld="10" item="3"/>
        </tpls>
      </n>
      <n v="1" in="2">
        <tpls c="6">
          <tpl fld="3" item="3"/>
          <tpl fld="11" item="0"/>
          <tpl fld="6" item="2"/>
          <tpl hier="236" item="1"/>
          <tpl fld="4" item="3"/>
          <tpl fld="10" item="1"/>
        </tpls>
      </n>
      <n v="30" in="1">
        <tpls c="5">
          <tpl fld="3" item="3"/>
          <tpl fld="11" item="0"/>
          <tpl fld="6" item="1"/>
          <tpl hier="236" item="1"/>
          <tpl fld="4" item="2"/>
        </tpls>
      </n>
      <m>
        <tpls c="6">
          <tpl fld="3" item="3"/>
          <tpl fld="11" item="0"/>
          <tpl fld="6" item="2"/>
          <tpl hier="236" item="1"/>
          <tpl fld="4" item="6"/>
          <tpl fld="10" item="6"/>
        </tpls>
      </m>
      <n v="3.6399999999999997" in="2">
        <tpls c="6">
          <tpl fld="3" item="3"/>
          <tpl fld="11" item="0"/>
          <tpl fld="6" item="2"/>
          <tpl hier="236" item="1"/>
          <tpl fld="4" item="7"/>
          <tpl fld="10" item="7"/>
        </tpls>
      </n>
      <m>
        <tpls c="4">
          <tpl fld="7" item="1255"/>
          <tpl fld="6" item="2"/>
          <tpl hier="236" item="1"/>
          <tpl fld="1" item="0"/>
        </tpls>
      </m>
      <m>
        <tpls c="4">
          <tpl fld="7" item="1252"/>
          <tpl fld="6" item="2"/>
          <tpl hier="236" item="1"/>
          <tpl fld="1" item="0"/>
        </tpls>
      </m>
      <m>
        <tpls c="4">
          <tpl fld="7" item="1056"/>
          <tpl fld="6" item="2"/>
          <tpl hier="236" item="1"/>
          <tpl fld="1" item="0"/>
        </tpls>
      </m>
      <m>
        <tpls c="4">
          <tpl fld="7" item="1227"/>
          <tpl fld="6" item="2"/>
          <tpl hier="236" item="1"/>
          <tpl fld="1" item="0"/>
        </tpls>
      </m>
      <m>
        <tpls c="4">
          <tpl fld="7" item="1205"/>
          <tpl fld="6" item="2"/>
          <tpl hier="236" item="1"/>
          <tpl fld="1" item="0"/>
        </tpls>
      </m>
      <m>
        <tpls c="4">
          <tpl fld="7" item="1144"/>
          <tpl fld="6" item="2"/>
          <tpl hier="236" item="1"/>
          <tpl fld="1" item="0"/>
        </tpls>
      </m>
      <m>
        <tpls c="4">
          <tpl fld="7" item="1041"/>
          <tpl fld="6" item="2"/>
          <tpl hier="236" item="1"/>
          <tpl fld="1" item="0"/>
        </tpls>
      </m>
      <m>
        <tpls c="4">
          <tpl fld="7" item="1151"/>
          <tpl fld="6" item="2"/>
          <tpl hier="236" item="1"/>
          <tpl fld="1" item="0"/>
        </tpls>
      </m>
      <m>
        <tpls c="4">
          <tpl fld="7" item="1178"/>
          <tpl fld="6" item="2"/>
          <tpl hier="236" item="1"/>
          <tpl fld="1" item="0"/>
        </tpls>
      </m>
      <m>
        <tpls c="4">
          <tpl fld="7" item="938"/>
          <tpl fld="6" item="2"/>
          <tpl hier="236" item="1"/>
          <tpl fld="1" item="0"/>
        </tpls>
      </m>
      <m>
        <tpls c="4">
          <tpl fld="7" item="1055"/>
          <tpl fld="6" item="2"/>
          <tpl hier="236" item="1"/>
          <tpl fld="1" item="0"/>
        </tpls>
      </m>
      <m>
        <tpls c="4">
          <tpl fld="7" item="1280"/>
          <tpl fld="6" item="2"/>
          <tpl hier="236" item="1"/>
          <tpl fld="1" item="0"/>
        </tpls>
      </m>
      <m>
        <tpls c="3">
          <tpl fld="7" item="1049"/>
          <tpl fld="6" item="3"/>
          <tpl hier="236" item="1"/>
        </tpls>
      </m>
      <m>
        <tpls c="3">
          <tpl fld="7" item="931"/>
          <tpl fld="6" item="3"/>
          <tpl hier="236" item="1"/>
        </tpls>
      </m>
      <m>
        <tpls c="3">
          <tpl fld="7" item="1199"/>
          <tpl fld="6" item="3"/>
          <tpl hier="236" item="1"/>
        </tpls>
      </m>
      <m>
        <tpls c="3">
          <tpl fld="7" item="1166"/>
          <tpl fld="6" item="3"/>
          <tpl hier="236" item="1"/>
        </tpls>
      </m>
      <m>
        <tpls c="3">
          <tpl fld="7" item="1226"/>
          <tpl fld="6" item="3"/>
          <tpl hier="236" item="1"/>
        </tpls>
      </m>
      <m>
        <tpls c="3">
          <tpl fld="7" item="1138"/>
          <tpl fld="6" item="3"/>
          <tpl hier="236" item="1"/>
        </tpls>
      </m>
      <m>
        <tpls c="4">
          <tpl fld="7" item="1285"/>
          <tpl fld="6" item="1"/>
          <tpl hier="236" item="1"/>
          <tpl fld="4" item="5"/>
        </tpls>
      </m>
      <m>
        <tpls c="6">
          <tpl fld="3" item="2"/>
          <tpl fld="11" item="0"/>
          <tpl fld="6" item="2"/>
          <tpl hier="236" item="1"/>
          <tpl fld="4" item="3"/>
          <tpl fld="10" item="4"/>
        </tpls>
      </m>
      <n v="0" in="1">
        <tpls c="6">
          <tpl fld="11" item="0"/>
          <tpl fld="5" item="0"/>
          <tpl fld="6" item="1"/>
          <tpl hier="236" item="1"/>
          <tpl fld="4" item="3"/>
          <tpl fld="10" item="0"/>
        </tpls>
      </n>
      <m>
        <tpls c="4">
          <tpl fld="7" item="1287"/>
          <tpl fld="6" item="1"/>
          <tpl hier="236" item="1"/>
          <tpl fld="4" item="5"/>
        </tpls>
      </m>
      <n v="0.8" in="2">
        <tpls c="6">
          <tpl fld="11" item="0"/>
          <tpl fld="5" item="0"/>
          <tpl fld="6" item="2"/>
          <tpl hier="236" item="1"/>
          <tpl fld="4" item="1"/>
          <tpl fld="9" item="1"/>
        </tpls>
      </n>
      <n v="0" in="1">
        <tpls c="6">
          <tpl fld="11" item="0"/>
          <tpl fld="5" item="0"/>
          <tpl fld="6" item="1"/>
          <tpl hier="236" item="1"/>
          <tpl fld="4" item="7"/>
          <tpl fld="10" item="4"/>
        </tpls>
      </n>
      <m>
        <tpls c="6">
          <tpl fld="11" item="0"/>
          <tpl fld="2" item="0"/>
          <tpl fld="6" item="2"/>
          <tpl hier="236" item="1"/>
          <tpl fld="4" item="3"/>
          <tpl fld="10" item="1"/>
        </tpls>
      </m>
      <n v="1" in="1">
        <tpls c="6">
          <tpl fld="3" item="3"/>
          <tpl fld="11" item="0"/>
          <tpl fld="6" item="1"/>
          <tpl hier="236" item="1"/>
          <tpl fld="4" item="1"/>
          <tpl fld="9" item="0"/>
        </tpls>
      </n>
      <n v="291" in="1">
        <tpls c="6">
          <tpl fld="3" item="3"/>
          <tpl fld="11" item="0"/>
          <tpl fld="6" item="1"/>
          <tpl hier="236" item="1"/>
          <tpl fld="4" item="3"/>
          <tpl fld="10" item="0"/>
        </tpls>
      </n>
      <m>
        <tpls c="6">
          <tpl fld="3" item="3"/>
          <tpl fld="11" item="0"/>
          <tpl fld="6" item="2"/>
          <tpl hier="236" item="1"/>
          <tpl fld="4" item="6"/>
          <tpl fld="10" item="7"/>
        </tpls>
      </m>
      <n v="1" in="2">
        <tpls c="6">
          <tpl fld="3" item="3"/>
          <tpl fld="11" item="0"/>
          <tpl fld="6" item="2"/>
          <tpl hier="236" item="1"/>
          <tpl fld="4" item="3"/>
          <tpl fld="10" item="5"/>
        </tpls>
      </n>
      <n v="11.340540540540541" in="2">
        <tpls c="6">
          <tpl fld="3" item="3"/>
          <tpl fld="11" item="0"/>
          <tpl fld="6" item="2"/>
          <tpl hier="236" item="1"/>
          <tpl fld="4" item="3"/>
          <tpl fld="10" item="4"/>
        </tpls>
      </n>
      <n v="875" in="1">
        <tpls c="6">
          <tpl fld="3" item="3"/>
          <tpl fld="11" item="0"/>
          <tpl fld="6" item="1"/>
          <tpl hier="236" item="1"/>
          <tpl fld="4" item="4"/>
          <tpl fld="10" item="2"/>
        </tpls>
      </n>
      <n v="16" in="1">
        <tpls c="6">
          <tpl fld="3" item="3"/>
          <tpl fld="11" item="0"/>
          <tpl fld="6" item="1"/>
          <tpl hier="236" item="1"/>
          <tpl fld="4" item="4"/>
          <tpl fld="10" item="5"/>
        </tpls>
      </n>
      <n v="1.6" in="2">
        <tpls c="6">
          <tpl fld="3" item="3"/>
          <tpl fld="11" item="0"/>
          <tpl fld="6" item="2"/>
          <tpl hier="236" item="1"/>
          <tpl fld="4" item="1"/>
          <tpl fld="9" item="2"/>
        </tpls>
      </n>
      <n v="34.431783783783786" in="2">
        <tpls c="6">
          <tpl fld="11" item="0"/>
          <tpl fld="5" item="2"/>
          <tpl fld="6" item="2"/>
          <tpl hier="236" item="1"/>
          <tpl fld="4" item="4"/>
          <tpl fld="10" item="0"/>
        </tpls>
      </n>
      <n v="1" in="1">
        <tpls c="4">
          <tpl fld="7" item="1287"/>
          <tpl fld="6" item="1"/>
          <tpl hier="236" item="1"/>
          <tpl fld="4" item="6"/>
        </tpls>
      </n>
      <n v="102" in="1">
        <tpls c="6">
          <tpl fld="11" item="0"/>
          <tpl fld="5" item="2"/>
          <tpl fld="6" item="1"/>
          <tpl hier="236" item="1"/>
          <tpl fld="4" item="1"/>
          <tpl fld="9" item="1"/>
        </tpls>
      </n>
      <n v="83" in="1">
        <tpls c="6">
          <tpl fld="11" item="0"/>
          <tpl fld="2" item="3"/>
          <tpl fld="6" item="1"/>
          <tpl hier="236" item="1"/>
          <tpl fld="4" item="3"/>
          <tpl fld="10" item="1"/>
        </tpls>
      </n>
      <n v="172" in="1">
        <tpls c="6">
          <tpl fld="3" item="3"/>
          <tpl fld="11" item="0"/>
          <tpl fld="6" item="1"/>
          <tpl hier="236" item="1"/>
          <tpl fld="4" item="6"/>
          <tpl fld="10" item="8"/>
        </tpls>
      </n>
      <n v="1" in="1">
        <tpls c="6">
          <tpl fld="3" item="3"/>
          <tpl fld="11" item="0"/>
          <tpl fld="6" item="1"/>
          <tpl hier="236" item="1"/>
          <tpl fld="4" item="7"/>
          <tpl fld="10" item="5"/>
        </tpls>
      </n>
      <n v="2.7600000000000002" in="2">
        <tpls c="5">
          <tpl fld="3" item="3"/>
          <tpl fld="11" item="0"/>
          <tpl fld="6" item="2"/>
          <tpl hier="236" item="1"/>
          <tpl fld="4" item="5"/>
        </tpls>
      </n>
      <n v="3.0259459459459457" in="2">
        <tpls c="5">
          <tpl fld="3" item="3"/>
          <tpl fld="11" item="0"/>
          <tpl fld="6" item="2"/>
          <tpl hier="236" item="1"/>
          <tpl fld="4" item="2"/>
        </tpls>
      </n>
      <m>
        <tpls c="6">
          <tpl fld="11" item="0"/>
          <tpl fld="5" item="0"/>
          <tpl fld="6" item="2"/>
          <tpl hier="236" item="1"/>
          <tpl fld="4" item="7"/>
          <tpl fld="10" item="4"/>
        </tpls>
      </m>
      <n v="7.2745945945945945" in="2">
        <tpls c="6">
          <tpl fld="3" item="3"/>
          <tpl fld="11" item="0"/>
          <tpl fld="6" item="2"/>
          <tpl hier="236" item="1"/>
          <tpl fld="4" item="4"/>
          <tpl fld="10" item="2"/>
        </tpls>
      </n>
      <m>
        <tpls c="6">
          <tpl fld="3" item="3"/>
          <tpl fld="11" item="0"/>
          <tpl fld="6" item="2"/>
          <tpl hier="236" item="1"/>
          <tpl fld="4" item="7"/>
          <tpl fld="10" item="5"/>
        </tpls>
      </m>
      <n v="681" in="1">
        <tpls c="6">
          <tpl fld="3" item="3"/>
          <tpl fld="11" item="0"/>
          <tpl fld="6" item="1"/>
          <tpl hier="236" item="1"/>
          <tpl fld="4" item="7"/>
          <tpl fld="10" item="8"/>
        </tpls>
      </n>
      <n v="0.8" in="2">
        <tpls c="6">
          <tpl fld="3" item="3"/>
          <tpl fld="11" item="0"/>
          <tpl fld="6" item="2"/>
          <tpl hier="236" item="1"/>
          <tpl fld="4" item="1"/>
          <tpl fld="9" item="0"/>
        </tpls>
      </n>
      <n v="12" in="1">
        <tpls c="4">
          <tpl fld="7" item="1012"/>
          <tpl fld="6" item="1"/>
          <tpl hier="236" item="1"/>
          <tpl fld="1" item="0"/>
        </tpls>
      </n>
      <m>
        <tpls c="4">
          <tpl fld="7" item="232"/>
          <tpl fld="6" item="2"/>
          <tpl hier="236" item="1"/>
          <tpl fld="4" item="5"/>
        </tpls>
      </m>
      <m>
        <tpls c="3">
          <tpl fld="7" item="467"/>
          <tpl fld="6" item="3"/>
          <tpl hier="236" item="1"/>
        </tpls>
      </m>
      <m>
        <tpls c="4">
          <tpl fld="7" item="718"/>
          <tpl fld="6" item="2"/>
          <tpl hier="236" item="1"/>
          <tpl fld="4" item="5"/>
        </tpls>
      </m>
      <m>
        <tpls c="4">
          <tpl fld="7" item="1158"/>
          <tpl fld="6" item="2"/>
          <tpl hier="236" item="1"/>
          <tpl fld="4" item="1"/>
        </tpls>
      </m>
      <n v="0" in="1">
        <tpls c="4">
          <tpl fld="7" item="560"/>
          <tpl fld="6" item="1"/>
          <tpl hier="236" item="1"/>
          <tpl fld="4" item="6"/>
        </tpls>
      </n>
      <m>
        <tpls c="3">
          <tpl fld="7" item="587"/>
          <tpl fld="6" item="3"/>
          <tpl hier="236" item="1"/>
        </tpls>
      </m>
      <n v="1" in="2">
        <tpls c="4">
          <tpl fld="7" item="1245"/>
          <tpl fld="6" item="2"/>
          <tpl hier="236" item="1"/>
          <tpl fld="4" item="6"/>
        </tpls>
      </n>
      <m>
        <tpls c="4">
          <tpl fld="7" item="1098"/>
          <tpl fld="6" item="2"/>
          <tpl hier="236" item="1"/>
          <tpl fld="4" item="6"/>
        </tpls>
      </m>
      <m>
        <tpls c="4">
          <tpl fld="7" item="1157"/>
          <tpl fld="6" item="2"/>
          <tpl hier="236" item="1"/>
          <tpl fld="4" item="1"/>
        </tpls>
      </m>
      <m>
        <tpls c="4">
          <tpl fld="7" item="18"/>
          <tpl fld="6" item="1"/>
          <tpl hier="236" item="1"/>
          <tpl fld="4" item="1"/>
        </tpls>
      </m>
      <m>
        <tpls c="4">
          <tpl fld="7" item="228"/>
          <tpl fld="6" item="2"/>
          <tpl hier="236" item="1"/>
          <tpl fld="4" item="6"/>
        </tpls>
      </m>
      <m>
        <tpls c="4">
          <tpl fld="7" item="416"/>
          <tpl fld="6" item="2"/>
          <tpl hier="236" item="1"/>
          <tpl fld="4" item="6"/>
        </tpls>
      </m>
      <n v="21" in="1">
        <tpls c="4">
          <tpl fld="7" item="683"/>
          <tpl fld="6" item="1"/>
          <tpl hier="236" item="1"/>
          <tpl fld="1" item="0"/>
        </tpls>
      </n>
      <m>
        <tpls c="4">
          <tpl fld="7" item="472"/>
          <tpl fld="6" item="1"/>
          <tpl hier="236" item="1"/>
          <tpl fld="4" item="6"/>
        </tpls>
      </m>
      <m>
        <tpls c="4">
          <tpl fld="7" item="600"/>
          <tpl fld="6" item="2"/>
          <tpl hier="236" item="1"/>
          <tpl fld="4" item="6"/>
        </tpls>
      </m>
      <m>
        <tpls c="4">
          <tpl fld="7" item="443"/>
          <tpl fld="6" item="1"/>
          <tpl hier="236" item="1"/>
          <tpl fld="4" item="5"/>
        </tpls>
      </m>
      <m>
        <tpls c="4">
          <tpl fld="7" item="960"/>
          <tpl fld="6" item="1"/>
          <tpl hier="236" item="1"/>
          <tpl fld="4" item="4"/>
        </tpls>
      </m>
      <m>
        <tpls c="4">
          <tpl fld="7" item="84"/>
          <tpl fld="6" item="2"/>
          <tpl hier="236" item="1"/>
          <tpl fld="4" item="6"/>
        </tpls>
      </m>
      <m>
        <tpls c="4">
          <tpl fld="7" item="239"/>
          <tpl fld="6" item="2"/>
          <tpl hier="236" item="1"/>
          <tpl fld="4" item="6"/>
        </tpls>
      </m>
      <m>
        <tpls c="4">
          <tpl fld="7" item="1096"/>
          <tpl fld="6" item="2"/>
          <tpl hier="236" item="1"/>
          <tpl fld="4" item="5"/>
        </tpls>
      </m>
      <m>
        <tpls c="4">
          <tpl fld="7" item="336"/>
          <tpl fld="6" item="2"/>
          <tpl hier="236" item="1"/>
          <tpl fld="4" item="5"/>
        </tpls>
      </m>
      <m>
        <tpls c="4">
          <tpl fld="7" item="413"/>
          <tpl fld="6" item="1"/>
          <tpl hier="236" item="1"/>
          <tpl fld="4" item="5"/>
        </tpls>
      </m>
      <m>
        <tpls c="4">
          <tpl fld="7" item="191"/>
          <tpl fld="6" item="1"/>
          <tpl hier="236" item="1"/>
          <tpl fld="1" item="0"/>
        </tpls>
      </m>
      <m>
        <tpls c="4">
          <tpl fld="7" item="233"/>
          <tpl fld="6" item="1"/>
          <tpl hier="236" item="1"/>
          <tpl fld="4" item="1"/>
        </tpls>
      </m>
      <m>
        <tpls c="4">
          <tpl fld="7" item="180"/>
          <tpl fld="6" item="1"/>
          <tpl hier="236" item="1"/>
          <tpl fld="4" item="5"/>
        </tpls>
      </m>
      <n v="1" in="1">
        <tpls c="4">
          <tpl fld="7" item="908"/>
          <tpl fld="6" item="1"/>
          <tpl hier="236" item="1"/>
          <tpl fld="1" item="0"/>
        </tpls>
      </n>
      <n v="11" in="1">
        <tpls c="4">
          <tpl fld="7" item="1219"/>
          <tpl fld="6" item="1"/>
          <tpl hier="236" item="1"/>
          <tpl fld="1" item="0"/>
        </tpls>
      </n>
      <m>
        <tpls c="4">
          <tpl fld="7" item="337"/>
          <tpl fld="6" item="1"/>
          <tpl hier="236" item="1"/>
          <tpl fld="4" item="1"/>
        </tpls>
      </m>
      <m>
        <tpls c="4">
          <tpl fld="7" item="349"/>
          <tpl fld="6" item="2"/>
          <tpl hier="236" item="1"/>
          <tpl fld="4" item="5"/>
        </tpls>
      </m>
      <m>
        <tpls c="4">
          <tpl fld="7" item="416"/>
          <tpl fld="6" item="2"/>
          <tpl hier="236" item="1"/>
          <tpl fld="1" item="0"/>
        </tpls>
      </m>
      <m>
        <tpls c="4">
          <tpl fld="7" item="321"/>
          <tpl fld="6" item="2"/>
          <tpl hier="236" item="1"/>
          <tpl fld="4" item="5"/>
        </tpls>
      </m>
      <m>
        <tpls c="4">
          <tpl fld="7" item="471"/>
          <tpl fld="6" item="2"/>
          <tpl hier="236" item="1"/>
          <tpl fld="1" item="0"/>
        </tpls>
      </m>
      <m>
        <tpls c="4">
          <tpl fld="7" item="925"/>
          <tpl fld="6" item="2"/>
          <tpl hier="236" item="1"/>
          <tpl fld="4" item="6"/>
        </tpls>
      </m>
      <m>
        <tpls c="4">
          <tpl fld="7" item="721"/>
          <tpl fld="6" item="2"/>
          <tpl hier="236" item="1"/>
          <tpl fld="4" item="1"/>
        </tpls>
      </m>
      <n v="1.9600000000000002" in="2">
        <tpls c="4">
          <tpl fld="7" item="517"/>
          <tpl fld="6" item="2"/>
          <tpl hier="236" item="1"/>
          <tpl fld="4" item="6"/>
        </tpls>
      </n>
      <m>
        <tpls c="4">
          <tpl fld="7" item="19"/>
          <tpl fld="6" item="1"/>
          <tpl hier="236" item="1"/>
          <tpl fld="1" item="0"/>
        </tpls>
      </m>
      <m>
        <tpls c="3">
          <tpl fld="7" item="566"/>
          <tpl fld="6" item="3"/>
          <tpl hier="236" item="1"/>
        </tpls>
      </m>
      <m>
        <tpls c="4">
          <tpl fld="7" item="951"/>
          <tpl fld="6" item="2"/>
          <tpl hier="236" item="1"/>
          <tpl fld="4" item="1"/>
        </tpls>
      </m>
      <m>
        <tpls c="4">
          <tpl fld="7" item="235"/>
          <tpl fld="6" item="2"/>
          <tpl hier="236" item="1"/>
          <tpl fld="4" item="6"/>
        </tpls>
      </m>
      <m>
        <tpls c="4">
          <tpl fld="7" item="878"/>
          <tpl fld="6" item="2"/>
          <tpl hier="236" item="1"/>
          <tpl fld="4" item="5"/>
        </tpls>
      </m>
      <m>
        <tpls c="4">
          <tpl fld="7" item="489"/>
          <tpl fld="6" item="1"/>
          <tpl hier="236" item="1"/>
          <tpl fld="1" item="0"/>
        </tpls>
      </m>
      <m>
        <tpls c="4">
          <tpl fld="7" item="867"/>
          <tpl fld="6" item="1"/>
          <tpl hier="236" item="1"/>
          <tpl fld="4" item="5"/>
        </tpls>
      </m>
      <m>
        <tpls c="4">
          <tpl fld="7" item="125"/>
          <tpl fld="6" item="2"/>
          <tpl hier="236" item="1"/>
          <tpl fld="4" item="4"/>
        </tpls>
      </m>
      <m>
        <tpls c="4">
          <tpl fld="7" item="119"/>
          <tpl fld="6" item="2"/>
          <tpl hier="236" item="1"/>
          <tpl fld="4" item="4"/>
        </tpls>
      </m>
      <m>
        <tpls c="4">
          <tpl fld="7" item="1282"/>
          <tpl fld="6" item="1"/>
          <tpl hier="236" item="1"/>
          <tpl fld="4" item="4"/>
        </tpls>
      </m>
      <m>
        <tpls c="4">
          <tpl fld="7" item="333"/>
          <tpl fld="6" item="1"/>
          <tpl hier="236" item="1"/>
          <tpl fld="4" item="5"/>
        </tpls>
      </m>
      <n v="6" in="1">
        <tpls c="4">
          <tpl fld="7" item="1019"/>
          <tpl fld="6" item="1"/>
          <tpl hier="236" item="1"/>
          <tpl fld="1" item="0"/>
        </tpls>
      </n>
      <n v="2" in="1">
        <tpls c="4">
          <tpl fld="7" item="566"/>
          <tpl fld="6" item="1"/>
          <tpl hier="236" item="1"/>
          <tpl fld="4" item="6"/>
        </tpls>
      </n>
      <m>
        <tpls c="4">
          <tpl fld="7" item="78"/>
          <tpl fld="6" item="1"/>
          <tpl hier="236" item="1"/>
          <tpl fld="4" item="1"/>
        </tpls>
      </m>
      <n v="5" in="1">
        <tpls c="4">
          <tpl fld="7" item="1020"/>
          <tpl fld="6" item="1"/>
          <tpl hier="236" item="1"/>
          <tpl fld="1" item="0"/>
        </tpls>
      </n>
      <m>
        <tpls c="4">
          <tpl fld="7" item="100"/>
          <tpl fld="6" item="1"/>
          <tpl hier="236" item="1"/>
          <tpl fld="4" item="5"/>
        </tpls>
      </m>
      <n v="1" in="1">
        <tpls c="4">
          <tpl fld="7" item="844"/>
          <tpl fld="6" item="1"/>
          <tpl hier="236" item="1"/>
          <tpl fld="4" item="1"/>
        </tpls>
      </n>
      <m>
        <tpls c="4">
          <tpl fld="7" item="856"/>
          <tpl fld="6" item="2"/>
          <tpl hier="236" item="1"/>
          <tpl fld="4" item="5"/>
        </tpls>
      </m>
      <m>
        <tpls c="4">
          <tpl fld="7" item="119"/>
          <tpl fld="6" item="1"/>
          <tpl hier="236" item="1"/>
          <tpl fld="1" item="0"/>
        </tpls>
      </m>
      <m>
        <tpls c="4">
          <tpl fld="7" item="242"/>
          <tpl fld="6" item="1"/>
          <tpl hier="236" item="1"/>
          <tpl fld="4" item="6"/>
        </tpls>
      </m>
      <n v="1" in="2">
        <tpls c="4">
          <tpl fld="7" item="642"/>
          <tpl fld="6" item="2"/>
          <tpl hier="236" item="1"/>
          <tpl fld="4" item="5"/>
        </tpls>
      </n>
      <m>
        <tpls c="4">
          <tpl fld="7" item="378"/>
          <tpl fld="6" item="2"/>
          <tpl hier="236" item="1"/>
          <tpl fld="4" item="6"/>
        </tpls>
      </m>
      <n v="2.5567567567567568" in="2">
        <tpls c="4">
          <tpl fld="7" item="493"/>
          <tpl fld="6" item="2"/>
          <tpl hier="236" item="1"/>
          <tpl fld="4" item="6"/>
        </tpls>
      </n>
      <n v="3" in="1">
        <tpls c="4">
          <tpl fld="7" item="1080"/>
          <tpl fld="6" item="1"/>
          <tpl hier="236" item="1"/>
          <tpl fld="1" item="0"/>
        </tpls>
      </n>
      <m>
        <tpls c="4">
          <tpl fld="7" item="235"/>
          <tpl fld="6" item="2"/>
          <tpl hier="236" item="1"/>
          <tpl fld="4" item="4"/>
        </tpls>
      </m>
      <m>
        <tpls c="4">
          <tpl fld="7" item="640"/>
          <tpl fld="6" item="2"/>
          <tpl hier="236" item="1"/>
          <tpl fld="4" item="4"/>
        </tpls>
      </m>
      <m>
        <tpls c="4">
          <tpl fld="7" item="798"/>
          <tpl fld="6" item="2"/>
          <tpl hier="236" item="1"/>
          <tpl fld="4" item="6"/>
        </tpls>
      </m>
      <m>
        <tpls c="4">
          <tpl fld="7" item="777"/>
          <tpl fld="6" item="2"/>
          <tpl hier="236" item="1"/>
          <tpl fld="4" item="6"/>
        </tpls>
      </m>
      <m>
        <tpls c="4">
          <tpl fld="7" item="925"/>
          <tpl fld="6" item="1"/>
          <tpl hier="236" item="1"/>
          <tpl fld="4" item="5"/>
        </tpls>
      </m>
      <m>
        <tpls c="4">
          <tpl fld="7" item="600"/>
          <tpl fld="6" item="1"/>
          <tpl hier="236" item="1"/>
          <tpl fld="4" item="5"/>
        </tpls>
      </m>
      <m>
        <tpls c="4">
          <tpl fld="7" item="275"/>
          <tpl fld="6" item="2"/>
          <tpl hier="236" item="1"/>
          <tpl fld="4" item="4"/>
        </tpls>
      </m>
      <m>
        <tpls c="4">
          <tpl fld="7" item="723"/>
          <tpl fld="6" item="2"/>
          <tpl hier="236" item="1"/>
          <tpl fld="4" item="6"/>
        </tpls>
      </m>
      <m>
        <tpls c="4">
          <tpl fld="7" item="252"/>
          <tpl fld="6" item="1"/>
          <tpl hier="236" item="1"/>
          <tpl fld="4" item="5"/>
        </tpls>
      </m>
      <m>
        <tpls c="4">
          <tpl fld="7" item="484"/>
          <tpl fld="6" item="2"/>
          <tpl hier="236" item="1"/>
          <tpl fld="4" item="6"/>
        </tpls>
      </m>
      <n v="27" in="1">
        <tpls c="4">
          <tpl fld="7" item="376"/>
          <tpl fld="6" item="1"/>
          <tpl hier="236" item="1"/>
          <tpl fld="4" item="1"/>
        </tpls>
      </n>
      <n v="35" in="1">
        <tpls c="4">
          <tpl fld="7" item="425"/>
          <tpl fld="6" item="1"/>
          <tpl hier="236" item="1"/>
          <tpl fld="1" item="0"/>
        </tpls>
      </n>
      <m>
        <tpls c="4">
          <tpl fld="7" item="1275"/>
          <tpl fld="6" item="2"/>
          <tpl hier="236" item="1"/>
          <tpl fld="4" item="4"/>
        </tpls>
      </m>
      <m>
        <tpls c="4">
          <tpl fld="7" item="221"/>
          <tpl fld="6" item="2"/>
          <tpl hier="236" item="1"/>
          <tpl fld="1" item="0"/>
        </tpls>
      </m>
      <m>
        <tpls c="4">
          <tpl fld="7" item="234"/>
          <tpl fld="6" item="2"/>
          <tpl hier="236" item="1"/>
          <tpl fld="4" item="4"/>
        </tpls>
      </m>
      <m>
        <tpls c="4">
          <tpl fld="7" item="468"/>
          <tpl fld="6" item="1"/>
          <tpl hier="236" item="1"/>
          <tpl fld="4" item="1"/>
        </tpls>
      </m>
      <m>
        <tpls c="4">
          <tpl fld="7" item="1221"/>
          <tpl fld="6" item="2"/>
          <tpl hier="236" item="1"/>
          <tpl fld="4" item="5"/>
        </tpls>
      </m>
      <m>
        <tpls c="4">
          <tpl fld="7" item="1233"/>
          <tpl fld="6" item="1"/>
          <tpl hier="236" item="1"/>
          <tpl fld="4" item="1"/>
        </tpls>
      </m>
      <n v="0.6" in="2">
        <tpls c="4">
          <tpl fld="7" item="972"/>
          <tpl fld="6" item="2"/>
          <tpl hier="236" item="1"/>
          <tpl fld="4" item="4"/>
        </tpls>
      </n>
      <n v="-1" in="1">
        <tpls c="4">
          <tpl fld="7" item="759"/>
          <tpl fld="6" item="1"/>
          <tpl hier="236" item="1"/>
          <tpl fld="4" item="6"/>
        </tpls>
      </n>
      <m>
        <tpls c="4">
          <tpl fld="7" item="312"/>
          <tpl fld="6" item="2"/>
          <tpl hier="236" item="1"/>
          <tpl fld="4" item="6"/>
        </tpls>
      </m>
      <m>
        <tpls c="4">
          <tpl fld="7" item="1004"/>
          <tpl fld="6" item="1"/>
          <tpl hier="236" item="1"/>
          <tpl fld="4" item="1"/>
        </tpls>
      </m>
      <m>
        <tpls c="4">
          <tpl fld="7" item="567"/>
          <tpl fld="6" item="1"/>
          <tpl hier="236" item="1"/>
          <tpl fld="4" item="6"/>
        </tpls>
      </m>
      <m>
        <tpls c="4">
          <tpl fld="7" item="406"/>
          <tpl fld="6" item="1"/>
          <tpl hier="236" item="1"/>
          <tpl fld="4" item="1"/>
        </tpls>
      </m>
      <m>
        <tpls c="4">
          <tpl fld="7" item="2"/>
          <tpl fld="6" item="2"/>
          <tpl hier="236" item="1"/>
          <tpl fld="4" item="4"/>
        </tpls>
      </m>
      <m>
        <tpls c="4">
          <tpl fld="7" item="327"/>
          <tpl fld="6" item="2"/>
          <tpl hier="236" item="1"/>
          <tpl fld="4" item="4"/>
        </tpls>
      </m>
      <m>
        <tpls c="4">
          <tpl fld="7" item="16"/>
          <tpl fld="6" item="2"/>
          <tpl hier="236" item="1"/>
          <tpl fld="4" item="4"/>
        </tpls>
      </m>
      <m>
        <tpls c="4">
          <tpl fld="7" item="1109"/>
          <tpl fld="6" item="2"/>
          <tpl hier="236" item="1"/>
          <tpl fld="1" item="0"/>
        </tpls>
      </m>
      <m>
        <tpls c="4">
          <tpl fld="7" item="776"/>
          <tpl fld="6" item="2"/>
          <tpl hier="236" item="1"/>
          <tpl fld="4" item="1"/>
        </tpls>
      </m>
      <m>
        <tpls c="4">
          <tpl fld="7" item="999"/>
          <tpl fld="6" item="1"/>
          <tpl hier="236" item="1"/>
          <tpl fld="1" item="0"/>
        </tpls>
      </m>
      <n v="2" in="1">
        <tpls c="4">
          <tpl fld="7" item="1174"/>
          <tpl fld="6" item="1"/>
          <tpl hier="236" item="1"/>
          <tpl fld="4" item="1"/>
        </tpls>
      </n>
      <m>
        <tpls c="4">
          <tpl fld="7" item="111"/>
          <tpl fld="6" item="1"/>
          <tpl hier="236" item="1"/>
          <tpl fld="4" item="6"/>
        </tpls>
      </m>
      <n v="1" in="2">
        <tpls c="4">
          <tpl fld="7" item="541"/>
          <tpl fld="6" item="2"/>
          <tpl hier="236" item="1"/>
          <tpl fld="4" item="4"/>
        </tpls>
      </n>
      <m>
        <tpls c="4">
          <tpl fld="7" item="664"/>
          <tpl fld="6" item="2"/>
          <tpl hier="236" item="1"/>
          <tpl fld="4" item="5"/>
        </tpls>
      </m>
      <m>
        <tpls c="4">
          <tpl fld="7" item="895"/>
          <tpl fld="6" item="2"/>
          <tpl hier="236" item="1"/>
          <tpl fld="4" item="5"/>
        </tpls>
      </m>
      <m>
        <tpls c="4">
          <tpl fld="7" item="270"/>
          <tpl fld="6" item="2"/>
          <tpl hier="236" item="1"/>
          <tpl fld="4" item="6"/>
        </tpls>
      </m>
      <m>
        <tpls c="4">
          <tpl fld="7" item="920"/>
          <tpl fld="6" item="1"/>
          <tpl hier="236" item="1"/>
          <tpl fld="4" item="6"/>
        </tpls>
      </m>
      <m>
        <tpls c="4">
          <tpl fld="7" item="978"/>
          <tpl fld="6" item="2"/>
          <tpl hier="236" item="1"/>
          <tpl fld="4" item="1"/>
        </tpls>
      </m>
      <n v="4" in="1">
        <tpls c="4">
          <tpl fld="7" item="1053"/>
          <tpl fld="6" item="1"/>
          <tpl hier="236" item="1"/>
          <tpl fld="4" item="1"/>
        </tpls>
      </n>
      <m>
        <tpls c="3">
          <tpl fld="7" item="777"/>
          <tpl fld="6" item="3"/>
          <tpl hier="236" item="1"/>
        </tpls>
      </m>
      <n v="1" in="1">
        <tpls c="4">
          <tpl fld="7" item="1097"/>
          <tpl fld="6" item="1"/>
          <tpl hier="236" item="1"/>
          <tpl fld="4" item="1"/>
        </tpls>
      </n>
      <m>
        <tpls c="4">
          <tpl fld="7" item="1023"/>
          <tpl fld="6" item="2"/>
          <tpl hier="236" item="1"/>
          <tpl fld="4" item="5"/>
        </tpls>
      </m>
      <m>
        <tpls c="4">
          <tpl fld="7" item="918"/>
          <tpl fld="6" item="2"/>
          <tpl hier="236" item="1"/>
          <tpl fld="4" item="5"/>
        </tpls>
      </m>
      <m>
        <tpls c="4">
          <tpl fld="7" item="507"/>
          <tpl fld="6" item="2"/>
          <tpl hier="236" item="1"/>
          <tpl fld="1" item="0"/>
        </tpls>
      </m>
      <m>
        <tpls c="4">
          <tpl fld="7" item="1098"/>
          <tpl fld="6" item="2"/>
          <tpl hier="236" item="1"/>
          <tpl fld="4" item="5"/>
        </tpls>
      </m>
      <n v="3" in="1">
        <tpls c="4">
          <tpl fld="7" item="872"/>
          <tpl fld="6" item="1"/>
          <tpl hier="236" item="1"/>
          <tpl fld="4" item="1"/>
        </tpls>
      </n>
      <m>
        <tpls c="4">
          <tpl fld="7" item="329"/>
          <tpl fld="6" item="1"/>
          <tpl hier="236" item="1"/>
          <tpl fld="1" item="0"/>
        </tpls>
      </m>
      <m>
        <tpls c="4">
          <tpl fld="7" item="416"/>
          <tpl fld="6" item="1"/>
          <tpl hier="236" item="1"/>
          <tpl fld="1" item="0"/>
        </tpls>
      </m>
      <m>
        <tpls c="4">
          <tpl fld="7" item="1173"/>
          <tpl fld="6" item="2"/>
          <tpl hier="236" item="1"/>
          <tpl fld="4" item="4"/>
        </tpls>
      </m>
      <m>
        <tpls c="4">
          <tpl fld="7" item="194"/>
          <tpl fld="6" item="1"/>
          <tpl hier="236" item="1"/>
          <tpl fld="1" item="0"/>
        </tpls>
      </m>
      <m>
        <tpls c="4">
          <tpl fld="7" item="1151"/>
          <tpl fld="6" item="2"/>
          <tpl hier="236" item="1"/>
          <tpl fld="4" item="4"/>
        </tpls>
      </m>
      <m>
        <tpls c="4">
          <tpl fld="7" item="834"/>
          <tpl fld="6" item="2"/>
          <tpl hier="236" item="1"/>
          <tpl fld="4" item="4"/>
        </tpls>
      </m>
      <m>
        <tpls c="4">
          <tpl fld="7" item="1249"/>
          <tpl fld="6" item="2"/>
          <tpl hier="236" item="1"/>
          <tpl fld="4" item="5"/>
        </tpls>
      </m>
      <m>
        <tpls c="4">
          <tpl fld="7" item="108"/>
          <tpl fld="6" item="2"/>
          <tpl hier="236" item="1"/>
          <tpl fld="1" item="0"/>
        </tpls>
      </m>
      <m>
        <tpls c="4">
          <tpl fld="7" item="291"/>
          <tpl fld="6" item="1"/>
          <tpl hier="236" item="1"/>
          <tpl fld="4" item="5"/>
        </tpls>
      </m>
      <m>
        <tpls c="4">
          <tpl fld="7" item="392"/>
          <tpl fld="6" item="2"/>
          <tpl hier="236" item="1"/>
          <tpl fld="4" item="1"/>
        </tpls>
      </m>
      <m>
        <tpls c="4">
          <tpl fld="7" item="1278"/>
          <tpl fld="6" item="2"/>
          <tpl hier="236" item="1"/>
          <tpl fld="4" item="5"/>
        </tpls>
      </m>
      <m>
        <tpls c="4">
          <tpl fld="7" item="305"/>
          <tpl fld="6" item="2"/>
          <tpl hier="236" item="1"/>
          <tpl fld="4" item="6"/>
        </tpls>
      </m>
      <n v="0" in="1">
        <tpls c="4">
          <tpl fld="7" item="1201"/>
          <tpl fld="6" item="1"/>
          <tpl hier="236" item="1"/>
          <tpl fld="4" item="1"/>
        </tpls>
      </n>
      <n v="31" in="1">
        <tpls c="4">
          <tpl fld="7" item="982"/>
          <tpl fld="6" item="1"/>
          <tpl hier="236" item="1"/>
          <tpl fld="1" item="0"/>
        </tpls>
      </n>
      <m>
        <tpls c="4">
          <tpl fld="7" item="185"/>
          <tpl fld="6" item="2"/>
          <tpl hier="236" item="1"/>
          <tpl fld="4" item="6"/>
        </tpls>
      </m>
      <m>
        <tpls c="4">
          <tpl fld="7" item="110"/>
          <tpl fld="6" item="1"/>
          <tpl hier="236" item="1"/>
          <tpl fld="4" item="6"/>
        </tpls>
      </m>
      <m>
        <tpls c="3">
          <tpl fld="7" item="170"/>
          <tpl fld="6" item="3"/>
          <tpl hier="236" item="1"/>
        </tpls>
      </m>
      <n v="1" in="1">
        <tpls c="4">
          <tpl fld="7" item="371"/>
          <tpl fld="6" item="1"/>
          <tpl hier="236" item="1"/>
          <tpl fld="4" item="1"/>
        </tpls>
      </n>
      <m>
        <tpls c="4">
          <tpl fld="7" item="947"/>
          <tpl fld="6" item="2"/>
          <tpl hier="236" item="1"/>
          <tpl fld="4" item="4"/>
        </tpls>
      </m>
      <m>
        <tpls c="4">
          <tpl fld="7" item="674"/>
          <tpl fld="6" item="2"/>
          <tpl hier="236" item="1"/>
          <tpl fld="1" item="0"/>
        </tpls>
      </m>
      <m>
        <tpls c="4">
          <tpl fld="7" item="305"/>
          <tpl fld="6" item="1"/>
          <tpl hier="236" item="1"/>
          <tpl fld="1" item="0"/>
        </tpls>
      </m>
      <m>
        <tpls c="4">
          <tpl fld="7" item="1111"/>
          <tpl fld="6" item="2"/>
          <tpl hier="236" item="1"/>
          <tpl fld="4" item="4"/>
        </tpls>
      </m>
      <m>
        <tpls c="3">
          <tpl fld="7" item="899"/>
          <tpl fld="6" item="3"/>
          <tpl hier="236" item="1"/>
        </tpls>
      </m>
      <m>
        <tpls c="4">
          <tpl fld="7" item="1271"/>
          <tpl fld="6" item="1"/>
          <tpl hier="236" item="1"/>
          <tpl fld="4" item="6"/>
        </tpls>
      </m>
      <m>
        <tpls c="4">
          <tpl fld="7" item="31"/>
          <tpl fld="6" item="2"/>
          <tpl hier="236" item="1"/>
          <tpl fld="4" item="6"/>
        </tpls>
      </m>
      <n v="1" in="1">
        <tpls c="4">
          <tpl fld="7" item="1126"/>
          <tpl fld="6" item="1"/>
          <tpl hier="236" item="1"/>
          <tpl fld="4" item="4"/>
        </tpls>
      </n>
      <m>
        <tpls c="4">
          <tpl fld="7" item="481"/>
          <tpl fld="6" item="1"/>
          <tpl hier="236" item="1"/>
          <tpl fld="4" item="5"/>
        </tpls>
      </m>
      <m>
        <tpls c="4">
          <tpl fld="7" item="1205"/>
          <tpl fld="6" item="2"/>
          <tpl hier="236" item="1"/>
          <tpl fld="4" item="4"/>
        </tpls>
      </m>
      <m>
        <tpls c="4">
          <tpl fld="7" item="1012"/>
          <tpl fld="6" item="2"/>
          <tpl hier="236" item="1"/>
          <tpl fld="4" item="6"/>
        </tpls>
      </m>
      <m>
        <tpls c="4">
          <tpl fld="7" item="1244"/>
          <tpl fld="6" item="2"/>
          <tpl hier="236" item="1"/>
          <tpl fld="4" item="5"/>
        </tpls>
      </m>
      <m>
        <tpls c="4">
          <tpl fld="7" item="755"/>
          <tpl fld="6" item="1"/>
          <tpl hier="236" item="1"/>
          <tpl fld="4" item="5"/>
        </tpls>
      </m>
      <m>
        <tpls c="4">
          <tpl fld="7" item="410"/>
          <tpl fld="6" item="2"/>
          <tpl hier="236" item="1"/>
          <tpl fld="4" item="4"/>
        </tpls>
      </m>
      <m>
        <tpls c="4">
          <tpl fld="7" item="148"/>
          <tpl fld="6" item="2"/>
          <tpl hier="236" item="1"/>
          <tpl fld="4" item="5"/>
        </tpls>
      </m>
      <m>
        <tpls c="4">
          <tpl fld="7" item="892"/>
          <tpl fld="6" item="2"/>
          <tpl hier="236" item="1"/>
          <tpl fld="4" item="4"/>
        </tpls>
      </m>
      <m>
        <tpls c="4">
          <tpl fld="7" item="908"/>
          <tpl fld="6" item="2"/>
          <tpl hier="236" item="1"/>
          <tpl fld="4" item="5"/>
        </tpls>
      </m>
      <m>
        <tpls c="4">
          <tpl fld="7" item="413"/>
          <tpl fld="6" item="1"/>
          <tpl hier="236" item="1"/>
          <tpl fld="4" item="1"/>
        </tpls>
      </m>
      <m>
        <tpls c="4">
          <tpl fld="7" item="833"/>
          <tpl fld="6" item="2"/>
          <tpl hier="236" item="1"/>
          <tpl fld="4" item="6"/>
        </tpls>
      </m>
      <m>
        <tpls c="4">
          <tpl fld="7" item="119"/>
          <tpl fld="6" item="1"/>
          <tpl hier="236" item="1"/>
          <tpl fld="4" item="1"/>
        </tpls>
      </m>
      <m>
        <tpls c="4">
          <tpl fld="7" item="277"/>
          <tpl fld="6" item="1"/>
          <tpl hier="236" item="1"/>
          <tpl fld="1" item="0"/>
        </tpls>
      </m>
      <n v="1" in="1">
        <tpls c="4">
          <tpl fld="7" item="453"/>
          <tpl fld="6" item="1"/>
          <tpl hier="236" item="1"/>
          <tpl fld="4" item="5"/>
        </tpls>
      </n>
      <m>
        <tpls c="4">
          <tpl fld="7" item="468"/>
          <tpl fld="6" item="2"/>
          <tpl hier="236" item="1"/>
          <tpl fld="4" item="4"/>
        </tpls>
      </m>
      <m>
        <tpls c="4">
          <tpl fld="7" item="238"/>
          <tpl fld="6" item="1"/>
          <tpl hier="236" item="1"/>
          <tpl fld="4" item="6"/>
        </tpls>
      </m>
      <m>
        <tpls c="4">
          <tpl fld="7" item="238"/>
          <tpl fld="6" item="1"/>
          <tpl hier="236" item="1"/>
          <tpl fld="1" item="0"/>
        </tpls>
      </m>
      <n v="4" in="1">
        <tpls c="4">
          <tpl fld="7" item="742"/>
          <tpl fld="6" item="1"/>
          <tpl hier="236" item="1"/>
          <tpl fld="1" item="0"/>
        </tpls>
      </n>
      <m>
        <tpls c="4">
          <tpl fld="7" item="448"/>
          <tpl fld="6" item="2"/>
          <tpl hier="236" item="1"/>
          <tpl fld="4" item="5"/>
        </tpls>
      </m>
      <m>
        <tpls c="4">
          <tpl fld="7" item="481"/>
          <tpl fld="6" item="1"/>
          <tpl hier="236" item="1"/>
          <tpl fld="4" item="1"/>
        </tpls>
      </m>
      <n v="0.6" in="2">
        <tpls c="4">
          <tpl fld="7" item="513"/>
          <tpl fld="6" item="2"/>
          <tpl hier="236" item="1"/>
          <tpl fld="4" item="6"/>
        </tpls>
      </n>
      <n v="1" in="1">
        <tpls c="4">
          <tpl fld="7" item="1195"/>
          <tpl fld="6" item="1"/>
          <tpl hier="236" item="1"/>
          <tpl fld="1" item="0"/>
        </tpls>
      </n>
      <m>
        <tpls c="4">
          <tpl fld="7" item="20"/>
          <tpl fld="6" item="1"/>
          <tpl hier="236" item="1"/>
          <tpl fld="1" item="0"/>
        </tpls>
      </m>
      <m>
        <tpls c="4">
          <tpl fld="7" item="174"/>
          <tpl fld="6" item="1"/>
          <tpl hier="236" item="1"/>
          <tpl fld="4" item="5"/>
        </tpls>
      </m>
      <n v="1" in="1">
        <tpls c="4">
          <tpl fld="7" item="1008"/>
          <tpl fld="6" item="1"/>
          <tpl hier="236" item="1"/>
          <tpl fld="1" item="0"/>
        </tpls>
      </n>
      <m>
        <tpls c="4">
          <tpl fld="7" item="11"/>
          <tpl fld="6" item="2"/>
          <tpl hier="236" item="1"/>
          <tpl fld="4" item="6"/>
        </tpls>
      </m>
      <m>
        <tpls c="4">
          <tpl fld="7" item="486"/>
          <tpl fld="6" item="1"/>
          <tpl hier="236" item="1"/>
          <tpl fld="1" item="0"/>
        </tpls>
      </m>
      <m>
        <tpls c="4">
          <tpl fld="7" item="1250"/>
          <tpl fld="6" item="2"/>
          <tpl hier="236" item="1"/>
          <tpl fld="4" item="4"/>
        </tpls>
      </m>
      <m>
        <tpls c="4">
          <tpl fld="7" item="488"/>
          <tpl fld="6" item="1"/>
          <tpl hier="236" item="1"/>
          <tpl fld="4" item="5"/>
        </tpls>
      </m>
      <n v="2" in="1">
        <tpls c="4">
          <tpl fld="7" item="1230"/>
          <tpl fld="6" item="1"/>
          <tpl hier="236" item="1"/>
          <tpl fld="4" item="1"/>
        </tpls>
      </n>
      <n v="7" in="1">
        <tpls c="4">
          <tpl fld="7" item="598"/>
          <tpl fld="6" item="1"/>
          <tpl hier="236" item="1"/>
          <tpl fld="1" item="0"/>
        </tpls>
      </n>
      <m>
        <tpls c="4">
          <tpl fld="7" item="125"/>
          <tpl fld="6" item="2"/>
          <tpl hier="236" item="1"/>
          <tpl fld="4" item="6"/>
        </tpls>
      </m>
      <m>
        <tpls c="3">
          <tpl fld="7" item="62"/>
          <tpl fld="6" item="3"/>
          <tpl hier="236" item="1"/>
        </tpls>
      </m>
      <n v="14" in="1">
        <tpls c="4">
          <tpl fld="7" item="106"/>
          <tpl fld="6" item="1"/>
          <tpl hier="236" item="1"/>
          <tpl fld="1" item="0"/>
        </tpls>
      </n>
      <m>
        <tpls c="4">
          <tpl fld="7" item="11"/>
          <tpl fld="6" item="2"/>
          <tpl hier="236" item="1"/>
          <tpl fld="4" item="5"/>
        </tpls>
      </m>
      <m>
        <tpls c="4">
          <tpl fld="7" item="567"/>
          <tpl fld="6" item="2"/>
          <tpl hier="236" item="1"/>
          <tpl fld="4" item="4"/>
        </tpls>
      </m>
      <m>
        <tpls c="4">
          <tpl fld="7" item="145"/>
          <tpl fld="6" item="2"/>
          <tpl hier="236" item="1"/>
          <tpl fld="4" item="5"/>
        </tpls>
      </m>
      <m>
        <tpls c="4">
          <tpl fld="7" item="814"/>
          <tpl fld="6" item="2"/>
          <tpl hier="236" item="1"/>
          <tpl fld="4" item="4"/>
        </tpls>
      </m>
      <m>
        <tpls c="4">
          <tpl fld="7" item="398"/>
          <tpl fld="6" item="2"/>
          <tpl hier="236" item="1"/>
          <tpl fld="4" item="6"/>
        </tpls>
      </m>
      <m>
        <tpls c="4">
          <tpl fld="7" item="186"/>
          <tpl fld="6" item="1"/>
          <tpl hier="236" item="1"/>
          <tpl fld="1" item="0"/>
        </tpls>
      </m>
      <m>
        <tpls c="4">
          <tpl fld="7" item="1214"/>
          <tpl fld="6" item="1"/>
          <tpl hier="236" item="1"/>
          <tpl fld="4" item="4"/>
        </tpls>
      </m>
      <m>
        <tpls c="4">
          <tpl fld="7" item="572"/>
          <tpl fld="6" item="2"/>
          <tpl hier="236" item="1"/>
          <tpl fld="4" item="4"/>
        </tpls>
      </m>
      <n v="3" in="1">
        <tpls c="4">
          <tpl fld="7" item="1012"/>
          <tpl fld="6" item="1"/>
          <tpl hier="236" item="1"/>
          <tpl fld="4" item="6"/>
        </tpls>
      </n>
      <n v="5" in="1">
        <tpls c="4">
          <tpl fld="7" item="937"/>
          <tpl fld="6" item="1"/>
          <tpl hier="236" item="1"/>
          <tpl fld="4" item="4"/>
        </tpls>
      </n>
      <n v="1" in="1">
        <tpls c="4">
          <tpl fld="7" item="746"/>
          <tpl fld="6" item="1"/>
          <tpl hier="236" item="1"/>
          <tpl fld="1" item="0"/>
        </tpls>
      </n>
      <m>
        <tpls c="4">
          <tpl fld="7" item="812"/>
          <tpl fld="6" item="2"/>
          <tpl hier="236" item="1"/>
          <tpl fld="4" item="5"/>
        </tpls>
      </m>
      <n v="2" in="1">
        <tpls c="4">
          <tpl fld="7" item="924"/>
          <tpl fld="6" item="1"/>
          <tpl hier="236" item="1"/>
          <tpl fld="1" item="0"/>
        </tpls>
      </n>
      <m>
        <tpls c="4">
          <tpl fld="7" item="227"/>
          <tpl fld="6" item="1"/>
          <tpl hier="236" item="1"/>
          <tpl fld="4" item="1"/>
        </tpls>
      </m>
      <m>
        <tpls c="4">
          <tpl fld="7" item="945"/>
          <tpl fld="6" item="2"/>
          <tpl hier="236" item="1"/>
          <tpl fld="4" item="1"/>
        </tpls>
      </m>
      <m>
        <tpls c="4">
          <tpl fld="7" item="788"/>
          <tpl fld="6" item="2"/>
          <tpl hier="236" item="1"/>
          <tpl fld="4" item="1"/>
        </tpls>
      </m>
      <m>
        <tpls c="4">
          <tpl fld="7" item="442"/>
          <tpl fld="6" item="1"/>
          <tpl hier="236" item="1"/>
          <tpl fld="4" item="1"/>
        </tpls>
      </m>
      <m>
        <tpls c="4">
          <tpl fld="7" item="1052"/>
          <tpl fld="6" item="2"/>
          <tpl hier="236" item="1"/>
          <tpl fld="4" item="4"/>
        </tpls>
      </m>
      <n v="8" in="1">
        <tpls c="4">
          <tpl fld="7" item="747"/>
          <tpl fld="6" item="1"/>
          <tpl hier="236" item="1"/>
          <tpl fld="4" item="6"/>
        </tpls>
      </n>
      <m>
        <tpls c="4">
          <tpl fld="7" item="410"/>
          <tpl fld="6" item="1"/>
          <tpl hier="236" item="1"/>
          <tpl fld="1" item="0"/>
        </tpls>
      </m>
      <m>
        <tpls c="3">
          <tpl fld="7" item="647"/>
          <tpl fld="6" item="3"/>
          <tpl hier="236" item="1"/>
        </tpls>
      </m>
      <m>
        <tpls c="4">
          <tpl fld="7" item="335"/>
          <tpl fld="6" item="1"/>
          <tpl hier="236" item="1"/>
          <tpl fld="4" item="5"/>
        </tpls>
      </m>
      <m>
        <tpls c="4">
          <tpl fld="7" item="127"/>
          <tpl fld="6" item="2"/>
          <tpl hier="236" item="1"/>
          <tpl fld="4" item="6"/>
        </tpls>
      </m>
      <n v="3" in="1">
        <tpls c="4">
          <tpl fld="7" item="493"/>
          <tpl fld="6" item="1"/>
          <tpl hier="236" item="1"/>
          <tpl fld="4" item="5"/>
        </tpls>
      </n>
      <m>
        <tpls c="4">
          <tpl fld="7" item="1025"/>
          <tpl fld="6" item="2"/>
          <tpl hier="236" item="1"/>
          <tpl fld="4" item="6"/>
        </tpls>
      </m>
      <m>
        <tpls c="4">
          <tpl fld="7" item="90"/>
          <tpl fld="6" item="1"/>
          <tpl hier="236" item="1"/>
          <tpl fld="1" item="0"/>
        </tpls>
      </m>
      <m>
        <tpls c="4">
          <tpl fld="7" item="345"/>
          <tpl fld="6" item="2"/>
          <tpl hier="236" item="1"/>
          <tpl fld="4" item="5"/>
        </tpls>
      </m>
      <n v="16" in="1">
        <tpls c="4">
          <tpl fld="7" item="764"/>
          <tpl fld="6" item="1"/>
          <tpl hier="236" item="1"/>
          <tpl fld="1" item="0"/>
        </tpls>
      </n>
      <n v="6" in="1">
        <tpls c="4">
          <tpl fld="7" item="431"/>
          <tpl fld="6" item="1"/>
          <tpl hier="236" item="1"/>
          <tpl fld="1" item="0"/>
        </tpls>
      </n>
      <m>
        <tpls c="4">
          <tpl fld="7" item="1262"/>
          <tpl fld="6" item="2"/>
          <tpl hier="236" item="1"/>
          <tpl fld="4" item="4"/>
        </tpls>
      </m>
      <n v="16" in="1">
        <tpls c="4">
          <tpl fld="7" item="596"/>
          <tpl fld="6" item="1"/>
          <tpl hier="236" item="1"/>
          <tpl fld="1" item="0"/>
        </tpls>
      </n>
      <m>
        <tpls c="4">
          <tpl fld="7" item="291"/>
          <tpl fld="6" item="1"/>
          <tpl hier="236" item="1"/>
          <tpl fld="1" item="0"/>
        </tpls>
      </m>
      <m>
        <tpls c="4">
          <tpl fld="7" item="864"/>
          <tpl fld="6" item="1"/>
          <tpl hier="236" item="1"/>
          <tpl fld="4" item="5"/>
        </tpls>
      </m>
      <m>
        <tpls c="4">
          <tpl fld="7" item="95"/>
          <tpl fld="6" item="1"/>
          <tpl hier="236" item="1"/>
          <tpl fld="1" item="0"/>
        </tpls>
      </m>
      <m>
        <tpls c="4">
          <tpl fld="7" item="580"/>
          <tpl fld="6" item="2"/>
          <tpl hier="236" item="1"/>
          <tpl fld="4" item="1"/>
        </tpls>
      </m>
      <m>
        <tpls c="4">
          <tpl fld="7" item="182"/>
          <tpl fld="6" item="2"/>
          <tpl hier="236" item="1"/>
          <tpl fld="4" item="5"/>
        </tpls>
      </m>
      <m>
        <tpls c="4">
          <tpl fld="7" item="1147"/>
          <tpl fld="6" item="1"/>
          <tpl hier="236" item="1"/>
          <tpl fld="4" item="1"/>
        </tpls>
      </m>
      <m>
        <tpls c="4">
          <tpl fld="7" item="133"/>
          <tpl fld="6" item="1"/>
          <tpl hier="236" item="1"/>
          <tpl fld="4" item="6"/>
        </tpls>
      </m>
      <n v="0" in="1">
        <tpls c="4">
          <tpl fld="7" item="792"/>
          <tpl fld="6" item="1"/>
          <tpl hier="236" item="1"/>
          <tpl fld="4" item="6"/>
        </tpls>
      </n>
      <n v="7" in="1">
        <tpls c="4">
          <tpl fld="7" item="886"/>
          <tpl fld="6" item="1"/>
          <tpl hier="236" item="1"/>
          <tpl fld="1" item="0"/>
        </tpls>
      </n>
      <m>
        <tpls c="4">
          <tpl fld="7" item="1222"/>
          <tpl fld="6" item="2"/>
          <tpl hier="236" item="1"/>
          <tpl fld="4" item="4"/>
        </tpls>
      </m>
      <m>
        <tpls c="4">
          <tpl fld="7" item="297"/>
          <tpl fld="6" item="1"/>
          <tpl hier="236" item="1"/>
          <tpl fld="4" item="1"/>
        </tpls>
      </m>
      <n v="0.52" in="2">
        <tpls c="4">
          <tpl fld="7" item="645"/>
          <tpl fld="6" item="2"/>
          <tpl hier="236" item="1"/>
          <tpl fld="4" item="4"/>
        </tpls>
      </n>
      <n v="4" in="1">
        <tpls c="4">
          <tpl fld="7" item="997"/>
          <tpl fld="6" item="1"/>
          <tpl hier="236" item="1"/>
          <tpl fld="4" item="4"/>
        </tpls>
      </n>
      <m>
        <tpls c="4">
          <tpl fld="7" item="25"/>
          <tpl fld="6" item="2"/>
          <tpl hier="236" item="1"/>
          <tpl fld="4" item="5"/>
        </tpls>
      </m>
      <m>
        <tpls c="3">
          <tpl fld="7" item="494"/>
          <tpl fld="6" item="3"/>
          <tpl hier="236" item="1"/>
        </tpls>
      </m>
      <n v="29" in="1">
        <tpls c="4">
          <tpl fld="7" item="1180"/>
          <tpl fld="6" item="1"/>
          <tpl hier="236" item="1"/>
          <tpl fld="4" item="4"/>
        </tpls>
      </n>
      <m>
        <tpls c="4">
          <tpl fld="7" item="161"/>
          <tpl fld="6" item="2"/>
          <tpl hier="236" item="1"/>
          <tpl fld="1" item="0"/>
        </tpls>
      </m>
      <m>
        <tpls c="4">
          <tpl fld="7" item="291"/>
          <tpl fld="6" item="1"/>
          <tpl hier="236" item="1"/>
          <tpl fld="4" item="1"/>
        </tpls>
      </m>
      <m>
        <tpls c="3">
          <tpl fld="7" item="800"/>
          <tpl fld="6" item="3"/>
          <tpl hier="236" item="1"/>
        </tpls>
      </m>
      <m>
        <tpls c="4">
          <tpl fld="7" item="1108"/>
          <tpl fld="6" item="1"/>
          <tpl hier="236" item="1"/>
          <tpl fld="4" item="5"/>
        </tpls>
      </m>
      <m>
        <tpls c="4">
          <tpl fld="7" item="321"/>
          <tpl fld="6" item="1"/>
          <tpl hier="236" item="1"/>
          <tpl fld="4" item="5"/>
        </tpls>
      </m>
      <n v="13" in="1">
        <tpls c="4">
          <tpl fld="7" item="909"/>
          <tpl fld="6" item="1"/>
          <tpl hier="236" item="1"/>
          <tpl fld="1" item="0"/>
        </tpls>
      </n>
      <m>
        <tpls c="4">
          <tpl fld="7" item="1175"/>
          <tpl fld="6" item="1"/>
          <tpl hier="236" item="1"/>
          <tpl fld="4" item="1"/>
        </tpls>
      </m>
      <m>
        <tpls c="4">
          <tpl fld="7" item="114"/>
          <tpl fld="6" item="2"/>
          <tpl hier="236" item="1"/>
          <tpl fld="4" item="4"/>
        </tpls>
      </m>
      <m>
        <tpls c="4">
          <tpl fld="7" item="399"/>
          <tpl fld="6" item="1"/>
          <tpl hier="236" item="1"/>
          <tpl fld="4" item="5"/>
        </tpls>
      </m>
      <m>
        <tpls c="4">
          <tpl fld="7" item="224"/>
          <tpl fld="6" item="2"/>
          <tpl hier="236" item="1"/>
          <tpl fld="4" item="4"/>
        </tpls>
      </m>
      <m>
        <tpls c="4">
          <tpl fld="7" item="827"/>
          <tpl fld="6" item="2"/>
          <tpl hier="236" item="1"/>
          <tpl fld="4" item="5"/>
        </tpls>
      </m>
      <n v="24" in="1">
        <tpls c="4">
          <tpl fld="7" item="747"/>
          <tpl fld="6" item="1"/>
          <tpl hier="236" item="1"/>
          <tpl fld="4" item="4"/>
        </tpls>
      </n>
      <m>
        <tpls c="4">
          <tpl fld="7" item="1039"/>
          <tpl fld="6" item="1"/>
          <tpl hier="236" item="1"/>
          <tpl fld="4" item="1"/>
        </tpls>
      </m>
      <m>
        <tpls c="4">
          <tpl fld="7" item="282"/>
          <tpl fld="6" item="2"/>
          <tpl hier="236" item="1"/>
          <tpl fld="4" item="6"/>
        </tpls>
      </m>
      <n v="15" in="1">
        <tpls c="4">
          <tpl fld="7" item="758"/>
          <tpl fld="6" item="1"/>
          <tpl hier="236" item="1"/>
          <tpl fld="4" item="1"/>
        </tpls>
      </n>
      <n v="2" in="1">
        <tpls c="4">
          <tpl fld="7" item="875"/>
          <tpl fld="6" item="1"/>
          <tpl hier="236" item="1"/>
          <tpl fld="4" item="4"/>
        </tpls>
      </n>
      <m>
        <tpls c="4">
          <tpl fld="7" item="977"/>
          <tpl fld="6" item="2"/>
          <tpl hier="236" item="1"/>
          <tpl fld="4" item="6"/>
        </tpls>
      </m>
      <m>
        <tpls c="4">
          <tpl fld="7" item="303"/>
          <tpl fld="6" item="1"/>
          <tpl hier="236" item="1"/>
          <tpl fld="4" item="5"/>
        </tpls>
      </m>
      <m>
        <tpls c="4">
          <tpl fld="7" item="133"/>
          <tpl fld="6" item="1"/>
          <tpl hier="236" item="1"/>
          <tpl fld="4" item="1"/>
        </tpls>
      </m>
      <m>
        <tpls c="4">
          <tpl fld="7" item="1272"/>
          <tpl fld="6" item="2"/>
          <tpl hier="236" item="1"/>
          <tpl fld="4" item="1"/>
        </tpls>
      </m>
      <n v="20" in="1">
        <tpls c="4">
          <tpl fld="7" item="356"/>
          <tpl fld="6" item="1"/>
          <tpl hier="236" item="1"/>
          <tpl fld="1" item="0"/>
        </tpls>
      </n>
      <m>
        <tpls c="4">
          <tpl fld="7" item="420"/>
          <tpl fld="6" item="2"/>
          <tpl hier="236" item="1"/>
          <tpl fld="4" item="6"/>
        </tpls>
      </m>
      <m>
        <tpls c="4">
          <tpl fld="7" item="602"/>
          <tpl fld="6" item="2"/>
          <tpl hier="236" item="1"/>
          <tpl fld="4" item="6"/>
        </tpls>
      </m>
      <m>
        <tpls c="4">
          <tpl fld="7" item="236"/>
          <tpl fld="6" item="1"/>
          <tpl hier="236" item="1"/>
          <tpl fld="4" item="6"/>
        </tpls>
      </m>
      <m>
        <tpls c="3">
          <tpl fld="7" item="171"/>
          <tpl fld="6" item="3"/>
          <tpl hier="236" item="1"/>
        </tpls>
      </m>
      <m>
        <tpls c="4">
          <tpl fld="7" item="370"/>
          <tpl fld="6" item="1"/>
          <tpl hier="236" item="1"/>
          <tpl fld="4" item="1"/>
        </tpls>
      </m>
      <m>
        <tpls c="4">
          <tpl fld="7" item="1274"/>
          <tpl fld="6" item="2"/>
          <tpl hier="236" item="1"/>
          <tpl fld="4" item="4"/>
        </tpls>
      </m>
      <m>
        <tpls c="4">
          <tpl fld="7" item="125"/>
          <tpl fld="6" item="1"/>
          <tpl hier="236" item="1"/>
          <tpl fld="4" item="6"/>
        </tpls>
      </m>
      <m>
        <tpls c="4">
          <tpl fld="7" item="660"/>
          <tpl fld="6" item="2"/>
          <tpl hier="236" item="1"/>
          <tpl fld="4" item="5"/>
        </tpls>
      </m>
      <m>
        <tpls c="4">
          <tpl fld="7" item="91"/>
          <tpl fld="6" item="2"/>
          <tpl hier="236" item="1"/>
          <tpl fld="4" item="5"/>
        </tpls>
      </m>
      <m>
        <tpls c="4">
          <tpl fld="7" item="753"/>
          <tpl fld="6" item="1"/>
          <tpl hier="236" item="1"/>
          <tpl fld="4" item="1"/>
        </tpls>
      </m>
      <n v="2" in="2">
        <tpls c="4">
          <tpl fld="7" item="519"/>
          <tpl fld="6" item="2"/>
          <tpl hier="236" item="1"/>
          <tpl fld="4" item="6"/>
        </tpls>
      </n>
      <n v="1.2" in="2">
        <tpls c="4">
          <tpl fld="7" item="324"/>
          <tpl fld="6" item="2"/>
          <tpl hier="236" item="1"/>
          <tpl fld="4" item="6"/>
        </tpls>
      </n>
      <m>
        <tpls c="4">
          <tpl fld="7" item="858"/>
          <tpl fld="6" item="2"/>
          <tpl hier="236" item="1"/>
          <tpl fld="1" item="0"/>
        </tpls>
      </m>
      <n v="1" in="1">
        <tpls c="4">
          <tpl fld="7" item="896"/>
          <tpl fld="6" item="1"/>
          <tpl hier="236" item="1"/>
          <tpl fld="4" item="1"/>
        </tpls>
      </n>
      <n v="1" in="1">
        <tpls c="4">
          <tpl fld="7" item="169"/>
          <tpl fld="6" item="1"/>
          <tpl hier="236" item="1"/>
          <tpl fld="4" item="1"/>
        </tpls>
      </n>
      <m>
        <tpls c="4">
          <tpl fld="7" item="597"/>
          <tpl fld="6" item="2"/>
          <tpl hier="236" item="1"/>
          <tpl fld="4" item="6"/>
        </tpls>
      </m>
      <n v="2" in="1">
        <tpls c="4">
          <tpl fld="7" item="628"/>
          <tpl fld="6" item="1"/>
          <tpl hier="236" item="1"/>
          <tpl fld="4" item="6"/>
        </tpls>
      </n>
      <m>
        <tpls c="4">
          <tpl fld="7" item="746"/>
          <tpl fld="6" item="2"/>
          <tpl hier="236" item="1"/>
          <tpl fld="1" item="0"/>
        </tpls>
      </m>
      <m>
        <tpls c="4">
          <tpl fld="7" item="1028"/>
          <tpl fld="6" item="1"/>
          <tpl hier="236" item="1"/>
          <tpl fld="4" item="5"/>
        </tpls>
      </m>
      <m>
        <tpls c="4">
          <tpl fld="7" item="281"/>
          <tpl fld="6" item="1"/>
          <tpl hier="236" item="1"/>
          <tpl fld="4" item="5"/>
        </tpls>
      </m>
      <m>
        <tpls c="4">
          <tpl fld="7" item="1194"/>
          <tpl fld="6" item="2"/>
          <tpl hier="236" item="1"/>
          <tpl fld="4" item="5"/>
        </tpls>
      </m>
      <n v="1" in="1">
        <tpls c="4">
          <tpl fld="7" item="1225"/>
          <tpl fld="6" item="1"/>
          <tpl hier="236" item="1"/>
          <tpl fld="4" item="1"/>
        </tpls>
      </n>
      <m>
        <tpls c="4">
          <tpl fld="7" item="475"/>
          <tpl fld="6" item="2"/>
          <tpl hier="236" item="1"/>
          <tpl fld="4" item="6"/>
        </tpls>
      </m>
      <m>
        <tpls c="3">
          <tpl fld="7" item="9"/>
          <tpl fld="6" item="3"/>
          <tpl hier="236" item="1"/>
        </tpls>
      </m>
      <m>
        <tpls c="4">
          <tpl fld="7" item="940"/>
          <tpl fld="6" item="2"/>
          <tpl hier="236" item="1"/>
          <tpl fld="4" item="4"/>
        </tpls>
      </m>
      <m>
        <tpls c="4">
          <tpl fld="7" item="232"/>
          <tpl fld="6" item="1"/>
          <tpl hier="236" item="1"/>
          <tpl fld="4" item="1"/>
        </tpls>
      </m>
      <m>
        <tpls c="4">
          <tpl fld="7" item="70"/>
          <tpl fld="6" item="2"/>
          <tpl hier="236" item="1"/>
          <tpl fld="1" item="0"/>
        </tpls>
      </m>
      <m>
        <tpls c="4">
          <tpl fld="7" item="1110"/>
          <tpl fld="6" item="1"/>
          <tpl hier="236" item="1"/>
          <tpl fld="4" item="6"/>
        </tpls>
      </m>
      <m>
        <tpls c="4">
          <tpl fld="7" item="354"/>
          <tpl fld="6" item="1"/>
          <tpl hier="236" item="1"/>
          <tpl fld="4" item="5"/>
        </tpls>
      </m>
      <m>
        <tpls c="4">
          <tpl fld="7" item="25"/>
          <tpl fld="6" item="1"/>
          <tpl hier="236" item="1"/>
          <tpl fld="4" item="5"/>
        </tpls>
      </m>
      <m>
        <tpls c="4">
          <tpl fld="7" item="100"/>
          <tpl fld="6" item="2"/>
          <tpl hier="236" item="1"/>
          <tpl fld="4" item="5"/>
        </tpls>
      </m>
      <m>
        <tpls c="4">
          <tpl fld="7" item="864"/>
          <tpl fld="6" item="1"/>
          <tpl hier="236" item="1"/>
          <tpl fld="4" item="1"/>
        </tpls>
      </m>
      <n v="1" in="1">
        <tpls c="4">
          <tpl fld="7" item="450"/>
          <tpl fld="6" item="1"/>
          <tpl hier="236" item="1"/>
          <tpl fld="4" item="5"/>
        </tpls>
      </n>
      <n v="1" in="2">
        <tpls c="4">
          <tpl fld="7" item="1141"/>
          <tpl fld="6" item="2"/>
          <tpl hier="236" item="1"/>
          <tpl fld="4" item="4"/>
        </tpls>
      </n>
      <m>
        <tpls c="4">
          <tpl fld="7" item="930"/>
          <tpl fld="6" item="2"/>
          <tpl hier="236" item="1"/>
          <tpl fld="4" item="4"/>
        </tpls>
      </m>
      <m>
        <tpls c="4">
          <tpl fld="7" item="1104"/>
          <tpl fld="6" item="2"/>
          <tpl hier="236" item="1"/>
          <tpl fld="4" item="5"/>
        </tpls>
      </m>
      <n v="5" in="1">
        <tpls c="4">
          <tpl fld="7" item="1286"/>
          <tpl fld="6" item="1"/>
          <tpl hier="236" item="1"/>
          <tpl fld="1" item="0"/>
        </tpls>
      </n>
      <m>
        <tpls c="3">
          <tpl fld="7" item="238"/>
          <tpl fld="6" item="3"/>
          <tpl hier="236" item="1"/>
        </tpls>
      </m>
      <m>
        <tpls c="4">
          <tpl fld="7" item="331"/>
          <tpl fld="6" item="2"/>
          <tpl hier="236" item="1"/>
          <tpl fld="1" item="0"/>
        </tpls>
      </m>
      <n v="1" in="2">
        <tpls c="4">
          <tpl fld="7" item="569"/>
          <tpl fld="6" item="2"/>
          <tpl hier="236" item="1"/>
          <tpl fld="4" item="4"/>
        </tpls>
      </n>
      <m>
        <tpls c="4">
          <tpl fld="7" item="404"/>
          <tpl fld="6" item="1"/>
          <tpl hier="236" item="1"/>
          <tpl fld="4" item="1"/>
        </tpls>
      </m>
      <n v="7" in="1">
        <tpls c="4">
          <tpl fld="7" item="1079"/>
          <tpl fld="6" item="1"/>
          <tpl hier="236" item="1"/>
          <tpl fld="4" item="4"/>
        </tpls>
      </n>
      <m>
        <tpls c="4">
          <tpl fld="7" item="205"/>
          <tpl fld="6" item="1"/>
          <tpl hier="236" item="1"/>
          <tpl fld="1" item="0"/>
        </tpls>
      </m>
      <m>
        <tpls c="4">
          <tpl fld="7" item="398"/>
          <tpl fld="6" item="2"/>
          <tpl hier="236" item="1"/>
          <tpl fld="4" item="4"/>
        </tpls>
      </m>
      <m>
        <tpls c="4">
          <tpl fld="7" item="1244"/>
          <tpl fld="6" item="2"/>
          <tpl hier="236" item="1"/>
          <tpl fld="4" item="1"/>
        </tpls>
      </m>
      <n v="7" in="1">
        <tpls c="4">
          <tpl fld="7" item="453"/>
          <tpl fld="6" item="1"/>
          <tpl hier="236" item="1"/>
          <tpl fld="1" item="0"/>
        </tpls>
      </n>
      <m>
        <tpls c="4">
          <tpl fld="7" item="421"/>
          <tpl fld="6" item="2"/>
          <tpl hier="236" item="1"/>
          <tpl fld="4" item="6"/>
        </tpls>
      </m>
      <m>
        <tpls c="4">
          <tpl fld="7" item="1271"/>
          <tpl fld="6" item="2"/>
          <tpl hier="236" item="1"/>
          <tpl fld="4" item="6"/>
        </tpls>
      </m>
      <m>
        <tpls c="4">
          <tpl fld="7" item="317"/>
          <tpl fld="6" item="1"/>
          <tpl hier="236" item="1"/>
          <tpl fld="1" item="0"/>
        </tpls>
      </m>
      <m>
        <tpls c="4">
          <tpl fld="7" item="1251"/>
          <tpl fld="6" item="2"/>
          <tpl hier="236" item="1"/>
          <tpl fld="4" item="4"/>
        </tpls>
      </m>
      <n v="5" in="1">
        <tpls c="4">
          <tpl fld="7" item="1156"/>
          <tpl fld="6" item="1"/>
          <tpl hier="236" item="1"/>
          <tpl fld="4" item="1"/>
        </tpls>
      </n>
      <m>
        <tpls c="3">
          <tpl fld="7" item="546"/>
          <tpl fld="6" item="3"/>
          <tpl hier="236" item="1"/>
        </tpls>
      </m>
      <m>
        <tpls c="3">
          <tpl fld="7" item="904"/>
          <tpl fld="6" item="3"/>
          <tpl hier="236" item="1"/>
        </tpls>
      </m>
      <m>
        <tpls c="4">
          <tpl fld="7" item="921"/>
          <tpl fld="6" item="1"/>
          <tpl hier="236" item="1"/>
          <tpl fld="4" item="1"/>
        </tpls>
      </m>
      <m>
        <tpls c="4">
          <tpl fld="7" item="297"/>
          <tpl fld="6" item="2"/>
          <tpl hier="236" item="1"/>
          <tpl fld="4" item="6"/>
        </tpls>
      </m>
      <m>
        <tpls c="4">
          <tpl fld="7" item="482"/>
          <tpl fld="6" item="1"/>
          <tpl hier="236" item="1"/>
          <tpl fld="4" item="1"/>
        </tpls>
      </m>
      <m>
        <tpls c="4">
          <tpl fld="7" item="1242"/>
          <tpl fld="6" item="2"/>
          <tpl hier="236" item="1"/>
          <tpl fld="4" item="5"/>
        </tpls>
      </m>
      <m>
        <tpls c="4">
          <tpl fld="7" item="1216"/>
          <tpl fld="6" item="1"/>
          <tpl hier="236" item="1"/>
          <tpl fld="4" item="5"/>
        </tpls>
      </m>
      <m>
        <tpls c="4">
          <tpl fld="7" item="23"/>
          <tpl fld="6" item="1"/>
          <tpl hier="236" item="1"/>
          <tpl fld="4" item="1"/>
        </tpls>
      </m>
      <m>
        <tpls c="4">
          <tpl fld="7" item="347"/>
          <tpl fld="6" item="2"/>
          <tpl hier="236" item="1"/>
          <tpl fld="4" item="6"/>
        </tpls>
      </m>
      <m>
        <tpls c="4">
          <tpl fld="7" item="1047"/>
          <tpl fld="6" item="2"/>
          <tpl hier="236" item="1"/>
          <tpl fld="4" item="4"/>
        </tpls>
      </m>
      <m>
        <tpls c="4">
          <tpl fld="7" item="487"/>
          <tpl fld="6" item="2"/>
          <tpl hier="236" item="1"/>
          <tpl fld="4" item="6"/>
        </tpls>
      </m>
      <m>
        <tpls c="4">
          <tpl fld="7" item="950"/>
          <tpl fld="6" item="2"/>
          <tpl hier="236" item="1"/>
          <tpl fld="4" item="4"/>
        </tpls>
      </m>
      <m>
        <tpls c="4">
          <tpl fld="7" item="674"/>
          <tpl fld="6" item="2"/>
          <tpl hier="236" item="1"/>
          <tpl fld="4" item="6"/>
        </tpls>
      </m>
      <m>
        <tpls c="4">
          <tpl fld="7" item="18"/>
          <tpl fld="6" item="1"/>
          <tpl hier="236" item="1"/>
          <tpl fld="1" item="0"/>
        </tpls>
      </m>
      <m>
        <tpls c="4">
          <tpl fld="7" item="1191"/>
          <tpl fld="6" item="2"/>
          <tpl hier="236" item="1"/>
          <tpl fld="4" item="1"/>
        </tpls>
      </m>
      <m>
        <tpls c="3">
          <tpl fld="7" item="229"/>
          <tpl fld="6" item="3"/>
          <tpl hier="236" item="1"/>
        </tpls>
      </m>
      <m>
        <tpls c="4">
          <tpl fld="7" item="228"/>
          <tpl fld="6" item="2"/>
          <tpl hier="236" item="1"/>
          <tpl fld="1" item="0"/>
        </tpls>
      </m>
      <m>
        <tpls c="4">
          <tpl fld="7" item="1080"/>
          <tpl fld="6" item="2"/>
          <tpl hier="236" item="1"/>
          <tpl fld="1" item="0"/>
        </tpls>
      </m>
      <m>
        <tpls c="4">
          <tpl fld="7" item="13"/>
          <tpl fld="6" item="1"/>
          <tpl hier="236" item="1"/>
          <tpl fld="4" item="1"/>
        </tpls>
      </m>
      <m>
        <tpls c="4">
          <tpl fld="7" item="1286"/>
          <tpl fld="6" item="1"/>
          <tpl hier="236" item="1"/>
          <tpl fld="4" item="1"/>
        </tpls>
      </m>
      <m>
        <tpls c="4">
          <tpl fld="7" item="826"/>
          <tpl fld="6" item="2"/>
          <tpl hier="236" item="1"/>
          <tpl fld="4" item="4"/>
        </tpls>
      </m>
      <m>
        <tpls c="4">
          <tpl fld="7" item="185"/>
          <tpl fld="6" item="1"/>
          <tpl hier="236" item="1"/>
          <tpl fld="4" item="5"/>
        </tpls>
      </m>
      <m>
        <tpls c="4">
          <tpl fld="7" item="117"/>
          <tpl fld="6" item="1"/>
          <tpl hier="236" item="1"/>
          <tpl fld="4" item="6"/>
        </tpls>
      </m>
      <m>
        <tpls c="4">
          <tpl fld="7" item="762"/>
          <tpl fld="6" item="2"/>
          <tpl hier="236" item="1"/>
          <tpl fld="4" item="6"/>
        </tpls>
      </m>
      <n v="2" in="1">
        <tpls c="4">
          <tpl fld="7" item="846"/>
          <tpl fld="6" item="1"/>
          <tpl hier="236" item="1"/>
          <tpl fld="4" item="1"/>
        </tpls>
      </n>
      <m>
        <tpls c="4">
          <tpl fld="7" item="68"/>
          <tpl fld="6" item="2"/>
          <tpl hier="236" item="1"/>
          <tpl fld="1" item="0"/>
        </tpls>
      </m>
      <m>
        <tpls c="4">
          <tpl fld="7" item="469"/>
          <tpl fld="6" item="1"/>
          <tpl hier="236" item="1"/>
          <tpl fld="4" item="6"/>
        </tpls>
      </m>
      <m>
        <tpls c="4">
          <tpl fld="7" item="23"/>
          <tpl fld="6" item="2"/>
          <tpl hier="236" item="1"/>
          <tpl fld="4" item="4"/>
        </tpls>
      </m>
      <m>
        <tpls c="4">
          <tpl fld="7" item="232"/>
          <tpl fld="6" item="1"/>
          <tpl hier="236" item="1"/>
          <tpl fld="1" item="0"/>
        </tpls>
      </m>
      <m>
        <tpls c="4">
          <tpl fld="7" item="888"/>
          <tpl fld="6" item="1"/>
          <tpl hier="236" item="1"/>
          <tpl fld="4" item="5"/>
        </tpls>
      </m>
      <m>
        <tpls c="4">
          <tpl fld="7" item="86"/>
          <tpl fld="6" item="1"/>
          <tpl hier="236" item="1"/>
          <tpl fld="1" item="0"/>
        </tpls>
      </m>
      <m>
        <tpls c="4">
          <tpl fld="7" item="1003"/>
          <tpl fld="6" item="2"/>
          <tpl hier="236" item="1"/>
          <tpl fld="1" item="0"/>
        </tpls>
      </m>
      <m>
        <tpls c="3">
          <tpl fld="7" item="786"/>
          <tpl fld="6" item="3"/>
          <tpl hier="236" item="1"/>
        </tpls>
      </m>
      <m>
        <tpls c="4">
          <tpl fld="7" item="1286"/>
          <tpl fld="6" item="2"/>
          <tpl hier="236" item="1"/>
          <tpl fld="4" item="5"/>
        </tpls>
      </m>
      <m>
        <tpls c="4">
          <tpl fld="7" item="1008"/>
          <tpl fld="6" item="2"/>
          <tpl hier="236" item="1"/>
          <tpl fld="4" item="6"/>
        </tpls>
      </m>
      <m>
        <tpls c="4">
          <tpl fld="7" item="268"/>
          <tpl fld="6" item="1"/>
          <tpl hier="236" item="1"/>
          <tpl fld="4" item="1"/>
        </tpls>
      </m>
      <m>
        <tpls c="4">
          <tpl fld="7" item="525"/>
          <tpl fld="6" item="2"/>
          <tpl hier="236" item="1"/>
          <tpl fld="4" item="6"/>
        </tpls>
      </m>
      <n v="0" in="1">
        <tpls c="4">
          <tpl fld="7" item="123"/>
          <tpl fld="6" item="1"/>
          <tpl hier="236" item="1"/>
          <tpl fld="4" item="1"/>
        </tpls>
      </n>
      <m>
        <tpls c="4">
          <tpl fld="7" item="300"/>
          <tpl fld="6" item="1"/>
          <tpl hier="236" item="1"/>
          <tpl fld="1" item="0"/>
        </tpls>
      </m>
      <m>
        <tpls c="4">
          <tpl fld="7" item="865"/>
          <tpl fld="6" item="1"/>
          <tpl hier="236" item="1"/>
          <tpl fld="4" item="5"/>
        </tpls>
      </m>
      <m>
        <tpls c="4">
          <tpl fld="7" item="1026"/>
          <tpl fld="6" item="1"/>
          <tpl hier="236" item="1"/>
          <tpl fld="1" item="0"/>
        </tpls>
      </m>
      <n v="0" in="1">
        <tpls c="4">
          <tpl fld="7" item="199"/>
          <tpl fld="6" item="1"/>
          <tpl hier="236" item="1"/>
          <tpl fld="1" item="0"/>
        </tpls>
      </n>
      <m>
        <tpls c="4">
          <tpl fld="7" item="237"/>
          <tpl fld="6" item="2"/>
          <tpl hier="236" item="1"/>
          <tpl fld="4" item="5"/>
        </tpls>
      </m>
      <m>
        <tpls c="4">
          <tpl fld="7" item="270"/>
          <tpl fld="6" item="1"/>
          <tpl hier="236" item="1"/>
          <tpl fld="4" item="1"/>
        </tpls>
      </m>
      <n v="2" in="1">
        <tpls c="4">
          <tpl fld="7" item="451"/>
          <tpl fld="6" item="1"/>
          <tpl hier="236" item="1"/>
          <tpl fld="1" item="0"/>
        </tpls>
      </n>
      <m>
        <tpls c="4">
          <tpl fld="7" item="506"/>
          <tpl fld="6" item="2"/>
          <tpl hier="236" item="1"/>
          <tpl fld="4" item="5"/>
        </tpls>
      </m>
      <n v="8" in="1">
        <tpls c="4">
          <tpl fld="7" item="677"/>
          <tpl fld="6" item="1"/>
          <tpl hier="236" item="1"/>
          <tpl fld="4" item="1"/>
        </tpls>
      </n>
      <m>
        <tpls c="4">
          <tpl fld="7" item="208"/>
          <tpl fld="6" item="1"/>
          <tpl hier="236" item="1"/>
          <tpl fld="4" item="1"/>
        </tpls>
      </m>
      <m>
        <tpls c="3">
          <tpl fld="7" item="13"/>
          <tpl fld="6" item="3"/>
          <tpl hier="236" item="1"/>
        </tpls>
      </m>
      <n v="31" in="1">
        <tpls c="4">
          <tpl fld="7" item="519"/>
          <tpl fld="6" item="1"/>
          <tpl hier="236" item="1"/>
          <tpl fld="1" item="0"/>
        </tpls>
      </n>
      <m>
        <tpls c="4">
          <tpl fld="7" item="1252"/>
          <tpl fld="6" item="2"/>
          <tpl hier="236" item="1"/>
          <tpl fld="4" item="4"/>
        </tpls>
      </m>
      <m>
        <tpls c="4">
          <tpl fld="7" item="1108"/>
          <tpl fld="6" item="2"/>
          <tpl hier="236" item="1"/>
          <tpl fld="1" item="0"/>
        </tpls>
      </m>
      <n v="1" in="1">
        <tpls c="4">
          <tpl fld="7" item="1189"/>
          <tpl fld="6" item="1"/>
          <tpl hier="236" item="1"/>
          <tpl fld="4" item="1"/>
        </tpls>
      </n>
      <n v="3" in="1">
        <tpls c="4">
          <tpl fld="7" item="1148"/>
          <tpl fld="6" item="1"/>
          <tpl hier="236" item="1"/>
          <tpl fld="4" item="4"/>
        </tpls>
      </n>
      <m>
        <tpls c="4">
          <tpl fld="7" item="924"/>
          <tpl fld="6" item="1"/>
          <tpl hier="236" item="1"/>
          <tpl fld="4" item="5"/>
        </tpls>
      </m>
      <n v="0" in="1">
        <tpls c="4">
          <tpl fld="7" item="855"/>
          <tpl fld="6" item="1"/>
          <tpl hier="236" item="1"/>
          <tpl fld="4" item="1"/>
        </tpls>
      </n>
      <m>
        <tpls c="4">
          <tpl fld="7" item="124"/>
          <tpl fld="6" item="2"/>
          <tpl hier="236" item="1"/>
          <tpl fld="4" item="4"/>
        </tpls>
      </m>
      <m>
        <tpls c="4">
          <tpl fld="7" item="776"/>
          <tpl fld="6" item="1"/>
          <tpl hier="236" item="1"/>
          <tpl fld="4" item="5"/>
        </tpls>
      </m>
      <m>
        <tpls c="4">
          <tpl fld="7" item="244"/>
          <tpl fld="6" item="2"/>
          <tpl hier="236" item="1"/>
          <tpl fld="4" item="5"/>
        </tpls>
      </m>
      <m>
        <tpls c="4">
          <tpl fld="7" item="1277"/>
          <tpl fld="6" item="2"/>
          <tpl hier="236" item="1"/>
          <tpl fld="4" item="5"/>
        </tpls>
      </m>
      <m>
        <tpls c="4">
          <tpl fld="7" item="409"/>
          <tpl fld="6" item="1"/>
          <tpl hier="236" item="1"/>
          <tpl fld="4" item="1"/>
        </tpls>
      </m>
      <m>
        <tpls c="4">
          <tpl fld="7" item="110"/>
          <tpl fld="6" item="2"/>
          <tpl hier="236" item="1"/>
          <tpl fld="4" item="4"/>
        </tpls>
      </m>
      <m>
        <tpls c="4">
          <tpl fld="7" item="931"/>
          <tpl fld="6" item="2"/>
          <tpl hier="236" item="1"/>
          <tpl fld="4" item="4"/>
        </tpls>
      </m>
      <m>
        <tpls c="4">
          <tpl fld="7" item="1027"/>
          <tpl fld="6" item="2"/>
          <tpl hier="236" item="1"/>
          <tpl fld="1" item="0"/>
        </tpls>
      </m>
      <m>
        <tpls c="4">
          <tpl fld="7" item="14"/>
          <tpl fld="6" item="2"/>
          <tpl hier="236" item="1"/>
          <tpl fld="4" item="5"/>
        </tpls>
      </m>
      <m>
        <tpls c="4">
          <tpl fld="7" item="134"/>
          <tpl fld="6" item="1"/>
          <tpl hier="236" item="1"/>
          <tpl fld="1" item="0"/>
        </tpls>
      </m>
      <m>
        <tpls c="4">
          <tpl fld="7" item="190"/>
          <tpl fld="6" item="2"/>
          <tpl hier="236" item="1"/>
          <tpl fld="4" item="5"/>
        </tpls>
      </m>
      <m>
        <tpls c="4">
          <tpl fld="7" item="301"/>
          <tpl fld="6" item="1"/>
          <tpl hier="236" item="1"/>
          <tpl fld="1" item="0"/>
        </tpls>
      </m>
      <m>
        <tpls c="4">
          <tpl fld="7" item="365"/>
          <tpl fld="6" item="2"/>
          <tpl hier="236" item="1"/>
          <tpl fld="4" item="6"/>
        </tpls>
      </m>
      <m>
        <tpls c="4">
          <tpl fld="7" item="1009"/>
          <tpl fld="6" item="1"/>
          <tpl hier="236" item="1"/>
          <tpl fld="1" item="0"/>
        </tpls>
      </m>
      <m>
        <tpls c="4">
          <tpl fld="7" item="49"/>
          <tpl fld="6" item="1"/>
          <tpl hier="236" item="1"/>
          <tpl fld="4" item="1"/>
        </tpls>
      </m>
      <m>
        <tpls c="4">
          <tpl fld="7" item="822"/>
          <tpl fld="6" item="2"/>
          <tpl hier="236" item="1"/>
          <tpl fld="1" item="0"/>
        </tpls>
      </m>
      <m>
        <tpls c="4">
          <tpl fld="7" item="330"/>
          <tpl fld="6" item="1"/>
          <tpl hier="236" item="1"/>
          <tpl fld="4" item="1"/>
        </tpls>
      </m>
      <m>
        <tpls c="4">
          <tpl fld="7" item="124"/>
          <tpl fld="6" item="1"/>
          <tpl hier="236" item="1"/>
          <tpl fld="4" item="6"/>
        </tpls>
      </m>
      <n v="2" in="1">
        <tpls c="4">
          <tpl fld="7" item="848"/>
          <tpl fld="6" item="1"/>
          <tpl hier="236" item="1"/>
          <tpl fld="4" item="5"/>
        </tpls>
      </n>
      <m>
        <tpls c="4">
          <tpl fld="7" item="1045"/>
          <tpl fld="6" item="1"/>
          <tpl hier="236" item="1"/>
          <tpl fld="4" item="4"/>
        </tpls>
      </m>
      <m>
        <tpls c="4">
          <tpl fld="7" item="660"/>
          <tpl fld="6" item="2"/>
          <tpl hier="236" item="1"/>
          <tpl fld="1" item="0"/>
        </tpls>
      </m>
      <m>
        <tpls c="4">
          <tpl fld="7" item="1159"/>
          <tpl fld="6" item="2"/>
          <tpl hier="236" item="1"/>
          <tpl fld="4" item="4"/>
        </tpls>
      </m>
      <m>
        <tpls c="4">
          <tpl fld="7" item="1160"/>
          <tpl fld="6" item="2"/>
          <tpl hier="236" item="1"/>
          <tpl fld="4" item="4"/>
        </tpls>
      </m>
      <m>
        <tpls c="4">
          <tpl fld="7" item="1201"/>
          <tpl fld="6" item="2"/>
          <tpl hier="236" item="1"/>
          <tpl fld="4" item="4"/>
        </tpls>
      </m>
      <n v="1" in="1">
        <tpls c="4">
          <tpl fld="7" item="895"/>
          <tpl fld="6" item="1"/>
          <tpl hier="236" item="1"/>
          <tpl fld="4" item="4"/>
        </tpls>
      </n>
      <m>
        <tpls c="4">
          <tpl fld="7" item="486"/>
          <tpl fld="6" item="1"/>
          <tpl hier="236" item="1"/>
          <tpl fld="4" item="1"/>
        </tpls>
      </m>
      <m>
        <tpls c="4">
          <tpl fld="7" item="474"/>
          <tpl fld="6" item="1"/>
          <tpl hier="236" item="1"/>
          <tpl fld="4" item="1"/>
        </tpls>
      </m>
      <m>
        <tpls c="4">
          <tpl fld="7" item="1106"/>
          <tpl fld="6" item="2"/>
          <tpl hier="236" item="1"/>
          <tpl fld="4" item="6"/>
        </tpls>
      </m>
      <n v="12" in="1">
        <tpls c="4">
          <tpl fld="7" item="527"/>
          <tpl fld="6" item="1"/>
          <tpl hier="236" item="1"/>
          <tpl fld="1" item="0"/>
        </tpls>
      </n>
      <n v="0" in="1">
        <tpls c="4">
          <tpl fld="7" item="1037"/>
          <tpl fld="6" item="1"/>
          <tpl hier="236" item="1"/>
          <tpl fld="4" item="5"/>
        </tpls>
      </n>
      <m>
        <tpls c="4">
          <tpl fld="7" item="1143"/>
          <tpl fld="6" item="1"/>
          <tpl hier="236" item="1"/>
          <tpl fld="4" item="5"/>
        </tpls>
      </m>
      <m>
        <tpls c="4">
          <tpl fld="7" item="1038"/>
          <tpl fld="6" item="1"/>
          <tpl hier="236" item="1"/>
          <tpl fld="1" item="0"/>
        </tpls>
      </m>
      <n v="48" in="1">
        <tpls c="4">
          <tpl fld="7" item="1032"/>
          <tpl fld="6" item="1"/>
          <tpl hier="236" item="1"/>
          <tpl fld="1" item="0"/>
        </tpls>
      </n>
      <n v="6" in="1">
        <tpls c="4">
          <tpl fld="7" item="1042"/>
          <tpl fld="6" item="1"/>
          <tpl hier="236" item="1"/>
          <tpl fld="1" item="0"/>
        </tpls>
      </n>
      <m>
        <tpls c="4">
          <tpl fld="7" item="1266"/>
          <tpl fld="6" item="2"/>
          <tpl hier="236" item="1"/>
          <tpl fld="4" item="6"/>
        </tpls>
      </m>
      <m>
        <tpls c="4">
          <tpl fld="7" item="1274"/>
          <tpl fld="6" item="2"/>
          <tpl hier="236" item="1"/>
          <tpl fld="4" item="6"/>
        </tpls>
      </m>
      <m>
        <tpls c="4">
          <tpl fld="7" item="960"/>
          <tpl fld="6" item="2"/>
          <tpl hier="236" item="1"/>
          <tpl fld="1" item="0"/>
        </tpls>
      </m>
      <n v="1" in="2">
        <tpls c="4">
          <tpl fld="7" item="1031"/>
          <tpl fld="6" item="2"/>
          <tpl hier="236" item="1"/>
          <tpl fld="1" item="0"/>
        </tpls>
      </n>
      <m>
        <tpls c="4">
          <tpl fld="7" item="1060"/>
          <tpl fld="6" item="2"/>
          <tpl hier="236" item="1"/>
          <tpl fld="1" item="0"/>
        </tpls>
      </m>
      <m>
        <tpls c="4">
          <tpl fld="7" item="1177"/>
          <tpl fld="6" item="2"/>
          <tpl hier="236" item="1"/>
          <tpl fld="1" item="0"/>
        </tpls>
      </m>
      <m>
        <tpls c="4">
          <tpl fld="7" item="952"/>
          <tpl fld="6" item="2"/>
          <tpl hier="236" item="1"/>
          <tpl fld="1" item="0"/>
        </tpls>
      </m>
      <m>
        <tpls c="4">
          <tpl fld="7" item="1053"/>
          <tpl fld="6" item="2"/>
          <tpl hier="236" item="1"/>
          <tpl fld="1" item="0"/>
        </tpls>
      </m>
      <m>
        <tpls c="4">
          <tpl fld="7" item="1139"/>
          <tpl fld="6" item="2"/>
          <tpl hier="236" item="1"/>
          <tpl fld="1" item="0"/>
        </tpls>
      </m>
      <m>
        <tpls c="4">
          <tpl fld="7" item="1153"/>
          <tpl fld="6" item="2"/>
          <tpl hier="236" item="1"/>
          <tpl fld="1" item="0"/>
        </tpls>
      </m>
      <n v="1.52" in="2">
        <tpls c="4">
          <tpl fld="7" item="1224"/>
          <tpl fld="6" item="2"/>
          <tpl hier="236" item="1"/>
          <tpl fld="1" item="0"/>
        </tpls>
      </n>
      <n v="0.6" in="2">
        <tpls c="4">
          <tpl fld="7" item="951"/>
          <tpl fld="6" item="2"/>
          <tpl hier="236" item="1"/>
          <tpl fld="1" item="0"/>
        </tpls>
      </n>
      <m>
        <tpls c="4">
          <tpl fld="7" item="873"/>
          <tpl fld="6" item="2"/>
          <tpl hier="236" item="1"/>
          <tpl fld="1" item="0"/>
        </tpls>
      </m>
      <m>
        <tpls c="4">
          <tpl fld="7" item="950"/>
          <tpl fld="6" item="2"/>
          <tpl hier="236" item="1"/>
          <tpl fld="1" item="0"/>
        </tpls>
      </m>
      <m>
        <tpls c="4">
          <tpl fld="7" item="965"/>
          <tpl fld="6" item="2"/>
          <tpl hier="236" item="1"/>
          <tpl fld="1" item="0"/>
        </tpls>
      </m>
      <m>
        <tpls c="4">
          <tpl fld="7" item="1146"/>
          <tpl fld="6" item="2"/>
          <tpl hier="236" item="1"/>
          <tpl fld="1" item="0"/>
        </tpls>
      </m>
      <m>
        <tpls c="4">
          <tpl fld="7" item="1043"/>
          <tpl fld="6" item="2"/>
          <tpl hier="236" item="1"/>
          <tpl fld="1" item="0"/>
        </tpls>
      </m>
      <m>
        <tpls c="4">
          <tpl fld="7" item="1073"/>
          <tpl fld="6" item="2"/>
          <tpl hier="236" item="1"/>
          <tpl fld="1" item="0"/>
        </tpls>
      </m>
      <m>
        <tpls c="4">
          <tpl fld="7" item="941"/>
          <tpl fld="6" item="2"/>
          <tpl hier="236" item="1"/>
          <tpl fld="1" item="0"/>
        </tpls>
      </m>
      <m>
        <tpls c="4">
          <tpl fld="7" item="956"/>
          <tpl fld="6" item="2"/>
          <tpl hier="236" item="1"/>
          <tpl fld="1" item="0"/>
        </tpls>
      </m>
      <n v="0.52" in="2">
        <tpls c="4">
          <tpl fld="7" item="971"/>
          <tpl fld="6" item="2"/>
          <tpl hier="236" item="1"/>
          <tpl fld="1" item="0"/>
        </tpls>
      </n>
      <m>
        <tpls c="4">
          <tpl fld="7" item="1071"/>
          <tpl fld="6" item="2"/>
          <tpl hier="236" item="1"/>
          <tpl fld="1" item="0"/>
        </tpls>
      </m>
      <m>
        <tpls c="4">
          <tpl fld="7" item="955"/>
          <tpl fld="6" item="2"/>
          <tpl hier="236" item="1"/>
          <tpl fld="1" item="0"/>
        </tpls>
      </m>
      <m>
        <tpls c="4">
          <tpl fld="7" item="1158"/>
          <tpl fld="6" item="2"/>
          <tpl hier="236" item="1"/>
          <tpl fld="1" item="0"/>
        </tpls>
      </m>
      <m>
        <tpls c="4">
          <tpl fld="7" item="1279"/>
          <tpl fld="6" item="2"/>
          <tpl hier="236" item="1"/>
          <tpl fld="1" item="0"/>
        </tpls>
      </m>
      <m>
        <tpls c="3">
          <tpl fld="7" item="1158"/>
          <tpl fld="6" item="3"/>
          <tpl hier="236" item="1"/>
        </tpls>
      </m>
      <m>
        <tpls c="3">
          <tpl fld="7" item="1266"/>
          <tpl fld="6" item="3"/>
          <tpl hier="236" item="1"/>
        </tpls>
      </m>
      <m>
        <tpls c="3">
          <tpl fld="7" item="1035"/>
          <tpl fld="6" item="3"/>
          <tpl hier="236" item="1"/>
        </tpls>
      </m>
      <m>
        <tpls c="4">
          <tpl fld="7" item="1283"/>
          <tpl fld="6" item="2"/>
          <tpl hier="236" item="1"/>
          <tpl fld="4" item="5"/>
        </tpls>
      </m>
      <m>
        <tpls c="6">
          <tpl fld="3" item="3"/>
          <tpl fld="11" item="0"/>
          <tpl fld="6" item="2"/>
          <tpl hier="236" item="1"/>
          <tpl fld="4" item="4"/>
          <tpl fld="10" item="5"/>
        </tpls>
      </m>
      <m>
        <tpls c="4">
          <tpl fld="7" item="1287"/>
          <tpl fld="6" item="2"/>
          <tpl hier="236" item="1"/>
          <tpl fld="4" item="5"/>
        </tpls>
      </m>
      <n v="100" in="1">
        <tpls c="6">
          <tpl fld="11" item="0"/>
          <tpl fld="5" item="5"/>
          <tpl fld="6" item="1"/>
          <tpl hier="236" item="1"/>
          <tpl fld="4" item="7"/>
          <tpl fld="10" item="4"/>
        </tpls>
      </n>
      <n v="1.2" in="2">
        <tpls c="5">
          <tpl fld="3" item="3"/>
          <tpl fld="11" item="0"/>
          <tpl fld="6" item="2"/>
          <tpl hier="236" item="1"/>
          <tpl fld="4" item="0"/>
        </tpls>
      </n>
      <n v="33.276756756756754" in="2">
        <tpls c="6">
          <tpl fld="3" item="3"/>
          <tpl fld="11" item="0"/>
          <tpl fld="6" item="2"/>
          <tpl hier="236" item="1"/>
          <tpl fld="4" item="3"/>
          <tpl fld="10" item="8"/>
        </tpls>
      </n>
      <n v="2204" in="1">
        <tpls c="6">
          <tpl fld="3" item="3"/>
          <tpl fld="11" item="0"/>
          <tpl fld="6" item="1"/>
          <tpl hier="236" item="1"/>
          <tpl fld="4" item="3"/>
          <tpl fld="10" item="2"/>
        </tpls>
      </n>
      <n v="52" in="1">
        <tpls c="5">
          <tpl fld="3" item="3"/>
          <tpl fld="11" item="0"/>
          <tpl fld="6" item="1"/>
          <tpl hier="236" item="1"/>
          <tpl fld="4" item="0"/>
        </tpls>
      </n>
      <n v="542" in="1">
        <tpls c="6">
          <tpl fld="11" item="0"/>
          <tpl fld="2" item="3"/>
          <tpl fld="6" item="1"/>
          <tpl hier="236" item="1"/>
          <tpl fld="4" item="4"/>
          <tpl fld="10" item="8"/>
        </tpls>
      </n>
      <m>
        <tpls c="4">
          <tpl fld="7" item="1287"/>
          <tpl fld="6" item="2"/>
          <tpl hier="236" item="1"/>
          <tpl fld="4" item="6"/>
        </tpls>
      </m>
      <n v="0" in="1">
        <tpls c="6">
          <tpl fld="11" item="0"/>
          <tpl fld="5" item="4"/>
          <tpl fld="6" item="1"/>
          <tpl hier="236" item="1"/>
          <tpl fld="4" item="7"/>
          <tpl fld="10" item="4"/>
        </tpls>
      </n>
      <n v="545" in="1">
        <tpls c="6">
          <tpl fld="3" item="3"/>
          <tpl fld="11" item="0"/>
          <tpl fld="6" item="1"/>
          <tpl hier="236" item="1"/>
          <tpl fld="4" item="7"/>
          <tpl fld="10" item="3"/>
        </tpls>
      </n>
      <n v="19.160000000000004" in="2">
        <tpls c="6">
          <tpl fld="3" item="3"/>
          <tpl fld="11" item="0"/>
          <tpl fld="6" item="2"/>
          <tpl hier="236" item="1"/>
          <tpl fld="4" item="4"/>
          <tpl fld="10" item="8"/>
        </tpls>
      </n>
      <n v="7.919999999999999" in="2">
        <tpls c="6">
          <tpl fld="3" item="3"/>
          <tpl fld="11" item="0"/>
          <tpl fld="6" item="2"/>
          <tpl hier="236" item="1"/>
          <tpl fld="4" item="7"/>
          <tpl fld="10" item="3"/>
        </tpls>
      </n>
      <n v="3" in="1">
        <tpls c="6">
          <tpl fld="3" item="3"/>
          <tpl fld="11" item="0"/>
          <tpl fld="6" item="1"/>
          <tpl hier="236" item="1"/>
          <tpl fld="4" item="6"/>
          <tpl fld="10" item="6"/>
        </tpls>
      </n>
      <m>
        <tpls c="6">
          <tpl fld="3" item="3"/>
          <tpl fld="11" item="0"/>
          <tpl fld="6" item="2"/>
          <tpl hier="236" item="1"/>
          <tpl fld="4" item="4"/>
          <tpl fld="10" item="6"/>
        </tpls>
      </m>
      <n v="1.52" in="2">
        <tpls c="6">
          <tpl fld="3" item="3"/>
          <tpl fld="11" item="0"/>
          <tpl fld="6" item="2"/>
          <tpl hier="236" item="1"/>
          <tpl fld="4" item="1"/>
          <tpl fld="9" item="3"/>
        </tpls>
      </n>
      <n v="24" in="1">
        <tpls c="6">
          <tpl fld="3" item="3"/>
          <tpl fld="11" item="0"/>
          <tpl fld="6" item="1"/>
          <tpl hier="236" item="1"/>
          <tpl fld="4" item="4"/>
          <tpl fld="10" item="1"/>
        </tpls>
      </n>
      <n v="15945" in="1">
        <tpls c="5">
          <tpl fld="3" item="3"/>
          <tpl fld="11" item="0"/>
          <tpl fld="6" item="1"/>
          <tpl hier="236" item="1"/>
          <tpl fld="1" item="0"/>
        </tpls>
      </n>
    </entries>
    <sets count="2">
      <set count="1" maxRank="1" setDefinition="{[Rapporteringsmåned].[Rapporteringsmåned].&amp;[Mar 2016]}">
        <tpls c="1">
          <tpl fld="0" item="0"/>
        </tpls>
      </set>
      <set count="1" maxRank="1" setDefinition="{[Rapporteringsmåned].[Rapporteringsmåned].&amp;[Jul 2016]}">
        <tpls c="1">
          <tpl fld="0" item="1"/>
        </tpls>
      </set>
    </sets>
    <queryCache count="1336">
      <query mdx="[Uddannelse].[IDA Gruppe Niveau1].&amp;[Ingeniører]">
        <tpls c="1">
          <tpl fld="1" item="0"/>
        </tpls>
      </query>
      <query mdx="[Kommune].[Region].[All].[Region Nordjylland]">
        <tpls c="1">
          <tpl fld="2" item="0"/>
        </tpls>
      </query>
      <query mdx="[Alder].[Aldersgruppe 10 års interval].[All].[&gt; 59 år]">
        <tpls c="1">
          <tpl fld="3" item="0"/>
        </tpls>
      </query>
      <query mdx="[Uddannelse].[IDA Gruppe].&amp;[Bachelorer]">
        <tpls c="1">
          <tpl fld="4" item="0"/>
        </tpls>
      </query>
      <query mdx="[Uddannelse].[IDA Gruppe].&amp;[Cand.scient]">
        <tpls c="1">
          <tpl fld="4" item="1"/>
        </tpls>
      </query>
      <query mdx="[Uddannelse].[IDA Gruppe].&amp;[Phd]">
        <tpls c="1">
          <tpl fld="4" item="2"/>
        </tpls>
      </query>
      <query mdx="[Uddannelse].[IDA Gruppe].&amp;[Teknikumingeniør]">
        <tpls c="1">
          <tpl fld="4" item="3"/>
        </tpls>
      </query>
      <query mdx="[Kandidatalder].[Kandidatalder Gruppe Niveau1].[All].[10-14 år]">
        <tpls c="1">
          <tpl fld="5" item="0"/>
        </tpls>
      </query>
      <query mdx="[Measures].[Fuldtidsledighed]">
        <tpls c="1">
          <tpl fld="6" item="0"/>
        </tpls>
      </query>
      <query mdx="[Uddannelse].[IDA Gruppe].&amp;[Civilingeniører]">
        <tpls c="1">
          <tpl fld="4" item="4"/>
        </tpls>
      </query>
      <query mdx="[Uddannelse].[IDA Gruppe].&amp;[Cand.it]">
        <tpls c="1">
          <tpl fld="4" item="5"/>
        </tpls>
      </query>
      <query mdx="[Measures].[Ledighedsmulige]">
        <tpls c="1">
          <tpl fld="6" item="1"/>
        </tpls>
      </query>
      <query mdx="[Uddannelse].[IDA Gruppe].&amp;[Diplomingeniør]">
        <tpls c="1">
          <tpl fld="4" item="6"/>
        </tpls>
      </query>
      <query mdx="[Alder].[Aldersgruppe 10 års interval].[All].[40-49 år]">
        <tpls c="1">
          <tpl fld="3" item="1"/>
        </tpls>
      </query>
      <query mdx="[Dimittenddato].[Dimittenddato].&amp;[2020-08-30T00:00:00]">
        <tpls c="1">
          <tpl fld="7" item="0"/>
        </tpls>
      </query>
      <query mdx="[Dimittenddato].[Dimittenddato].&amp;[2020-08-26T00:00:00]">
        <tpls c="1">
          <tpl fld="7" item="1"/>
        </tpls>
      </query>
      <query mdx="[Dimittenddato].[Dimittenddato].&amp;[2020-08-22T00:00:00]">
        <tpls c="1">
          <tpl fld="7" item="2"/>
        </tpls>
      </query>
      <query mdx="[Dimittenddato].[Dimittenddato].&amp;[2020-08-18T00:00:00]">
        <tpls c="1">
          <tpl fld="7" item="3"/>
        </tpls>
      </query>
      <query mdx="[Dimittenddato].[Dimittenddato].&amp;[2020-08-14T00:00:00]">
        <tpls c="1">
          <tpl fld="7" item="4"/>
        </tpls>
      </query>
      <query mdx="[Dimittenddato].[Dimittenddato].&amp;[2020-08-10T00:00:00]">
        <tpls c="1">
          <tpl fld="7" item="5"/>
        </tpls>
      </query>
      <query mdx="[Dimittenddato].[Dimittenddato].&amp;[2020-08-06T00:00:00]">
        <tpls c="1">
          <tpl fld="7" item="6"/>
        </tpls>
      </query>
      <query mdx="[Dimittenddato].[Dimittenddato].&amp;[2020-08-02T00:00:00]">
        <tpls c="1">
          <tpl fld="7" item="7"/>
        </tpls>
      </query>
      <query mdx="[Dimittenddato].[Dimittenddato].&amp;[2020-07-29T00:00:00]">
        <tpls c="1">
          <tpl fld="7" item="8"/>
        </tpls>
      </query>
      <query mdx="[Dimittenddato].[Dimittenddato].&amp;[2020-07-25T00:00:00]">
        <tpls c="1">
          <tpl fld="7" item="9"/>
        </tpls>
      </query>
      <query mdx="[Dimittenddato].[Dimittenddato].&amp;[2020-07-21T00:00:00]">
        <tpls c="1">
          <tpl fld="7" item="10"/>
        </tpls>
      </query>
      <query mdx="[Dimittenddato].[Dimittenddato].&amp;[2020-07-17T00:00:00]">
        <tpls c="1">
          <tpl fld="7" item="11"/>
        </tpls>
      </query>
      <query mdx="[Dimittenddato].[Dimittenddato].&amp;[2020-07-13T00:00:00]">
        <tpls c="1">
          <tpl fld="7" item="12"/>
        </tpls>
      </query>
      <query mdx="[Dimittenddato].[Dimittenddato].&amp;[2020-07-09T00:00:00]">
        <tpls c="1">
          <tpl fld="7" item="13"/>
        </tpls>
      </query>
      <query mdx="[Dimittenddato].[Dimittenddato].&amp;[2020-07-05T00:00:00]">
        <tpls c="1">
          <tpl fld="7" item="14"/>
        </tpls>
      </query>
      <query mdx="[Dimittenddato].[Dimittenddato].&amp;[2020-07-01T00:00:00]">
        <tpls c="1">
          <tpl fld="7" item="15"/>
        </tpls>
      </query>
      <query mdx="[Dimittenddato].[Dimittenddato].&amp;[2020-06-27T00:00:00]">
        <tpls c="1">
          <tpl fld="7" item="16"/>
        </tpls>
      </query>
      <query mdx="[Dimittenddato].[Dimittenddato].&amp;[2020-06-23T00:00:00]">
        <tpls c="1">
          <tpl fld="7" item="17"/>
        </tpls>
      </query>
      <query mdx="[Dimittenddato].[Dimittenddato].&amp;[2020-06-19T00:00:00]">
        <tpls c="1">
          <tpl fld="7" item="18"/>
        </tpls>
      </query>
      <query mdx="[Dimittenddato].[Dimittenddato].&amp;[2020-06-15T00:00:00]">
        <tpls c="1">
          <tpl fld="7" item="19"/>
        </tpls>
      </query>
      <query mdx="[Dimittenddato].[Dimittenddato].&amp;[2020-06-11T00:00:00]">
        <tpls c="1">
          <tpl fld="7" item="20"/>
        </tpls>
      </query>
      <query mdx="[Dimittenddato].[Dimittenddato].&amp;[2020-06-07T00:00:00]">
        <tpls c="1">
          <tpl fld="7" item="21"/>
        </tpls>
      </query>
      <query mdx="[Dimittenddato].[Dimittenddato].&amp;[2020-06-03T00:00:00]">
        <tpls c="1">
          <tpl fld="7" item="22"/>
        </tpls>
      </query>
      <query mdx="[Dimittenddato].[Dimittenddato].&amp;[2019-08-30T00:00:00]">
        <tpls c="1">
          <tpl fld="7" item="23"/>
        </tpls>
      </query>
      <query mdx="[Dimittenddato].[Dimittenddato].&amp;[2019-08-26T00:00:00]">
        <tpls c="1">
          <tpl fld="7" item="24"/>
        </tpls>
      </query>
      <query mdx="[Dimittenddato].[Dimittenddato].&amp;[2019-08-22T00:00:00]">
        <tpls c="1">
          <tpl fld="7" item="25"/>
        </tpls>
      </query>
      <query mdx="[Dimittenddato].[Dimittenddato].&amp;[2019-08-18T00:00:00]">
        <tpls c="1">
          <tpl fld="7" item="26"/>
        </tpls>
      </query>
      <query mdx="[Dimittenddato].[Dimittenddato].&amp;[2019-08-14T00:00:00]">
        <tpls c="1">
          <tpl fld="7" item="27"/>
        </tpls>
      </query>
      <query mdx="[Dimittenddato].[Dimittenddato].&amp;[2019-08-10T00:00:00]">
        <tpls c="1">
          <tpl fld="7" item="28"/>
        </tpls>
      </query>
      <query mdx="[Dimittenddato].[Dimittenddato].&amp;[2019-08-06T00:00:00]">
        <tpls c="1">
          <tpl fld="7" item="29"/>
        </tpls>
      </query>
      <query mdx="[Dimittenddato].[Dimittenddato].&amp;[2019-08-02T00:00:00]">
        <tpls c="1">
          <tpl fld="7" item="30"/>
        </tpls>
      </query>
      <query mdx="[Dimittenddato].[Dimittenddato].&amp;[2019-07-29T00:00:00]">
        <tpls c="1">
          <tpl fld="7" item="31"/>
        </tpls>
      </query>
      <query mdx="[Dimittenddato].[Dimittenddato].&amp;[2019-07-25T00:00:00]">
        <tpls c="1">
          <tpl fld="7" item="32"/>
        </tpls>
      </query>
      <query mdx="[Dimittenddato].[Dimittenddato].&amp;[2019-07-21T00:00:00]">
        <tpls c="1">
          <tpl fld="7" item="33"/>
        </tpls>
      </query>
      <query mdx="[Dimittenddato].[Dimittenddato].&amp;[2019-07-17T00:00:00]">
        <tpls c="1">
          <tpl fld="7" item="34"/>
        </tpls>
      </query>
      <query mdx="[Dimittenddato].[Dimittenddato].&amp;[2019-07-13T00:00:00]">
        <tpls c="1">
          <tpl fld="7" item="35"/>
        </tpls>
      </query>
      <query mdx="[Dimittenddato].[Dimittenddato].&amp;[2019-07-09T00:00:00]">
        <tpls c="1">
          <tpl fld="7" item="36"/>
        </tpls>
      </query>
      <query mdx="[Dimittenddato].[Dimittenddato].&amp;[2019-07-05T00:00:00]">
        <tpls c="1">
          <tpl fld="7" item="37"/>
        </tpls>
      </query>
      <query mdx="[Dimittenddato].[Dimittenddato].&amp;[2019-07-01T00:00:00]">
        <tpls c="1">
          <tpl fld="7" item="38"/>
        </tpls>
      </query>
      <query mdx="[Dimittenddato].[Dimittenddato].&amp;[2019-06-27T00:00:00]">
        <tpls c="1">
          <tpl fld="7" item="39"/>
        </tpls>
      </query>
      <query mdx="[Dimittenddato].[Dimittenddato].&amp;[2019-06-23T00:00:00]">
        <tpls c="1">
          <tpl fld="7" item="40"/>
        </tpls>
      </query>
      <query mdx="[Dimittenddato].[Dimittenddato].&amp;[2019-06-19T00:00:00]">
        <tpls c="1">
          <tpl fld="7" item="41"/>
        </tpls>
      </query>
      <query mdx="[Dimittenddato].[Dimittenddato].&amp;[2019-06-15T00:00:00]">
        <tpls c="1">
          <tpl fld="7" item="42"/>
        </tpls>
      </query>
      <query mdx="[Dimittenddato].[Dimittenddato].&amp;[2019-06-11T00:00:00]">
        <tpls c="1">
          <tpl fld="7" item="43"/>
        </tpls>
      </query>
      <query mdx="[Dimittenddato].[Dimittenddato].&amp;[2019-06-07T00:00:00]">
        <tpls c="1">
          <tpl fld="7" item="44"/>
        </tpls>
      </query>
      <query mdx="[Dimittenddato].[Dimittenddato].&amp;[2019-06-03T00:00:00]">
        <tpls c="1">
          <tpl fld="7" item="45"/>
        </tpls>
      </query>
      <query mdx="[Dimittenddato].[Dimittenddato].&amp;[2018-08-30T00:00:00]">
        <tpls c="1">
          <tpl fld="7" item="46"/>
        </tpls>
      </query>
      <query mdx="[Dimittenddato].[Dimittenddato].&amp;[2018-08-26T00:00:00]">
        <tpls c="1">
          <tpl fld="7" item="47"/>
        </tpls>
      </query>
      <query mdx="[Dimittenddato].[Dimittenddato].&amp;[2018-08-22T00:00:00]">
        <tpls c="1">
          <tpl fld="7" item="48"/>
        </tpls>
      </query>
      <query mdx="[Dimittenddato].[Dimittenddato].&amp;[2018-08-18T00:00:00]">
        <tpls c="1">
          <tpl fld="7" item="49"/>
        </tpls>
      </query>
      <query mdx="[Dimittenddato].[Dimittenddato].&amp;[2018-08-14T00:00:00]">
        <tpls c="1">
          <tpl fld="7" item="50"/>
        </tpls>
      </query>
      <query mdx="[Dimittenddato].[Dimittenddato].&amp;[2018-08-10T00:00:00]">
        <tpls c="1">
          <tpl fld="7" item="51"/>
        </tpls>
      </query>
      <query mdx="[Dimittenddato].[Dimittenddato].&amp;[2018-08-06T00:00:00]">
        <tpls c="1">
          <tpl fld="7" item="52"/>
        </tpls>
      </query>
      <query mdx="[Dimittenddato].[Dimittenddato].&amp;[2018-08-02T00:00:00]">
        <tpls c="1">
          <tpl fld="7" item="53"/>
        </tpls>
      </query>
      <query mdx="[Dimittenddato].[Dimittenddato].&amp;[2018-07-29T00:00:00]">
        <tpls c="1">
          <tpl fld="7" item="54"/>
        </tpls>
      </query>
      <query mdx="[Dimittenddato].[Dimittenddato].&amp;[2018-07-25T00:00:00]">
        <tpls c="1">
          <tpl fld="7" item="55"/>
        </tpls>
      </query>
      <query mdx="[Dimittenddato].[Dimittenddato].&amp;[2018-07-21T00:00:00]">
        <tpls c="1">
          <tpl fld="7" item="56"/>
        </tpls>
      </query>
      <query mdx="[Dimittenddato].[Dimittenddato].&amp;[2018-07-17T00:00:00]">
        <tpls c="1">
          <tpl fld="7" item="57"/>
        </tpls>
      </query>
      <query mdx="[Dimittenddato].[Dimittenddato].&amp;[2018-07-13T00:00:00]">
        <tpls c="1">
          <tpl fld="7" item="58"/>
        </tpls>
      </query>
      <query mdx="[Dimittenddato].[Dimittenddato].&amp;[2018-07-09T00:00:00]">
        <tpls c="1">
          <tpl fld="7" item="59"/>
        </tpls>
      </query>
      <query mdx="[Dimittenddato].[Dimittenddato].&amp;[2018-07-05T00:00:00]">
        <tpls c="1">
          <tpl fld="7" item="60"/>
        </tpls>
      </query>
      <query mdx="[Dimittenddato].[Dimittenddato].&amp;[2018-07-01T00:00:00]">
        <tpls c="1">
          <tpl fld="7" item="61"/>
        </tpls>
      </query>
      <query mdx="[Dimittenddato].[Dimittenddato].&amp;[2018-06-27T00:00:00]">
        <tpls c="1">
          <tpl fld="7" item="62"/>
        </tpls>
      </query>
      <query mdx="[Dimittenddato].[Dimittenddato].&amp;[2018-06-23T00:00:00]">
        <tpls c="1">
          <tpl fld="7" item="63"/>
        </tpls>
      </query>
      <query mdx="[Dimittenddato].[Dimittenddato].&amp;[2018-06-19T00:00:00]">
        <tpls c="1">
          <tpl fld="7" item="64"/>
        </tpls>
      </query>
      <query mdx="[Dimittenddato].[Dimittenddato].&amp;[2018-06-15T00:00:00]">
        <tpls c="1">
          <tpl fld="7" item="65"/>
        </tpls>
      </query>
      <query mdx="[Dimittenddato].[Dimittenddato].&amp;[2018-06-11T00:00:00]">
        <tpls c="1">
          <tpl fld="7" item="66"/>
        </tpls>
      </query>
      <query mdx="[Dimittenddato].[Dimittenddato].&amp;[2018-06-07T00:00:00]">
        <tpls c="1">
          <tpl fld="7" item="67"/>
        </tpls>
      </query>
      <query mdx="[Dimittenddato].[Dimittenddato].&amp;[2018-06-03T00:00:00]">
        <tpls c="1">
          <tpl fld="7" item="68"/>
        </tpls>
      </query>
      <query mdx="[Dimittenddato].[Dimittenddato].&amp;[2017-08-30T00:00:00]">
        <tpls c="1">
          <tpl fld="7" item="69"/>
        </tpls>
      </query>
      <query mdx="[Dimittenddato].[Dimittenddato].&amp;[2017-08-26T00:00:00]">
        <tpls c="1">
          <tpl fld="7" item="70"/>
        </tpls>
      </query>
      <query mdx="[Dimittenddato].[Dimittenddato].&amp;[2017-08-22T00:00:00]">
        <tpls c="1">
          <tpl fld="7" item="71"/>
        </tpls>
      </query>
      <query mdx="[Dimittenddato].[Dimittenddato].&amp;[2017-08-18T00:00:00]">
        <tpls c="1">
          <tpl fld="7" item="72"/>
        </tpls>
      </query>
      <query mdx="[Dimittenddato].[Dimittenddato].&amp;[2017-08-14T00:00:00]">
        <tpls c="1">
          <tpl fld="7" item="73"/>
        </tpls>
      </query>
      <query mdx="[Dimittenddato].[Dimittenddato].&amp;[2017-08-10T00:00:00]">
        <tpls c="1">
          <tpl fld="7" item="74"/>
        </tpls>
      </query>
      <query mdx="[Dimittenddato].[Dimittenddato].&amp;[2017-08-06T00:00:00]">
        <tpls c="1">
          <tpl fld="7" item="75"/>
        </tpls>
      </query>
      <query mdx="[Dimittenddato].[Dimittenddato].&amp;[2017-08-02T00:00:00]">
        <tpls c="1">
          <tpl fld="7" item="76"/>
        </tpls>
      </query>
      <query mdx="[Dimittenddato].[Dimittenddato].&amp;[2017-07-29T00:00:00]">
        <tpls c="1">
          <tpl fld="7" item="77"/>
        </tpls>
      </query>
      <query mdx="[Dimittenddato].[Dimittenddato].&amp;[2017-07-25T00:00:00]">
        <tpls c="1">
          <tpl fld="7" item="78"/>
        </tpls>
      </query>
      <query mdx="[Dimittenddato].[Dimittenddato].&amp;[2017-07-21T00:00:00]">
        <tpls c="1">
          <tpl fld="7" item="79"/>
        </tpls>
      </query>
      <query mdx="[Dimittenddato].[Dimittenddato].&amp;[2017-07-17T00:00:00]">
        <tpls c="1">
          <tpl fld="7" item="80"/>
        </tpls>
      </query>
      <query mdx="[Dimittenddato].[Dimittenddato].&amp;[2017-07-13T00:00:00]">
        <tpls c="1">
          <tpl fld="7" item="81"/>
        </tpls>
      </query>
      <query mdx="[Dimittenddato].[Dimittenddato].&amp;[2017-07-09T00:00:00]">
        <tpls c="1">
          <tpl fld="7" item="82"/>
        </tpls>
      </query>
      <query mdx="[Dimittenddato].[Dimittenddato].&amp;[2017-07-05T00:00:00]">
        <tpls c="1">
          <tpl fld="7" item="83"/>
        </tpls>
      </query>
      <query mdx="[Dimittenddato].[Dimittenddato].&amp;[2017-07-01T00:00:00]">
        <tpls c="1">
          <tpl fld="7" item="84"/>
        </tpls>
      </query>
      <query mdx="[Dimittenddato].[Dimittenddato].&amp;[2017-06-27T00:00:00]">
        <tpls c="1">
          <tpl fld="7" item="85"/>
        </tpls>
      </query>
      <query mdx="[Dimittenddato].[Dimittenddato].&amp;[2017-06-23T00:00:00]">
        <tpls c="1">
          <tpl fld="7" item="86"/>
        </tpls>
      </query>
      <query mdx="[Dimittenddato].[Dimittenddato].&amp;[2017-06-19T00:00:00]">
        <tpls c="1">
          <tpl fld="7" item="87"/>
        </tpls>
      </query>
      <query mdx="[Dimittenddato].[Dimittenddato].&amp;[2017-06-15T00:00:00]">
        <tpls c="1">
          <tpl fld="7" item="88"/>
        </tpls>
      </query>
      <query mdx="[Dimittenddato].[Dimittenddato].&amp;[2017-06-11T00:00:00]">
        <tpls c="1">
          <tpl fld="7" item="89"/>
        </tpls>
      </query>
      <query mdx="[Dimittenddato].[Dimittenddato].&amp;[2017-06-07T00:00:00]">
        <tpls c="1">
          <tpl fld="7" item="90"/>
        </tpls>
      </query>
      <query mdx="[Dimittenddato].[Dimittenddato].&amp;[2017-06-03T00:00:00]">
        <tpls c="1">
          <tpl fld="7" item="91"/>
        </tpls>
      </query>
      <query mdx="[Dimittenddato].[Dimittenddato].&amp;[2016-08-30T00:00:00]">
        <tpls c="1">
          <tpl fld="7" item="92"/>
        </tpls>
      </query>
      <query mdx="[Dimittenddato].[Dimittenddato].&amp;[2016-08-26T00:00:00]">
        <tpls c="1">
          <tpl fld="7" item="93"/>
        </tpls>
      </query>
      <query mdx="[Dimittenddato].[Dimittenddato].&amp;[2016-08-22T00:00:00]">
        <tpls c="1">
          <tpl fld="7" item="94"/>
        </tpls>
      </query>
      <query mdx="[Dimittenddato].[Dimittenddato].&amp;[2016-08-18T00:00:00]">
        <tpls c="1">
          <tpl fld="7" item="95"/>
        </tpls>
      </query>
      <query mdx="[Dimittenddato].[Dimittenddato].&amp;[2016-08-14T00:00:00]">
        <tpls c="1">
          <tpl fld="7" item="96"/>
        </tpls>
      </query>
      <query mdx="[Dimittenddato].[Dimittenddato].&amp;[2016-08-10T00:00:00]">
        <tpls c="1">
          <tpl fld="7" item="97"/>
        </tpls>
      </query>
      <query mdx="[Dimittenddato].[Dimittenddato].&amp;[2016-08-06T00:00:00]">
        <tpls c="1">
          <tpl fld="7" item="98"/>
        </tpls>
      </query>
      <query mdx="[Dimittenddato].[Dimittenddato].&amp;[2016-08-02T00:00:00]">
        <tpls c="1">
          <tpl fld="7" item="99"/>
        </tpls>
      </query>
      <query mdx="[Dimittenddato].[Dimittenddato].&amp;[2016-07-29T00:00:00]">
        <tpls c="1">
          <tpl fld="7" item="100"/>
        </tpls>
      </query>
      <query mdx="[Dimittenddato].[Dimittenddato].&amp;[2016-07-25T00:00:00]">
        <tpls c="1">
          <tpl fld="7" item="101"/>
        </tpls>
      </query>
      <query mdx="[Dimittenddato].[Dimittenddato].&amp;[2016-07-21T00:00:00]">
        <tpls c="1">
          <tpl fld="7" item="102"/>
        </tpls>
      </query>
      <query mdx="[Dimittenddato].[Dimittenddato].&amp;[2016-07-17T00:00:00]">
        <tpls c="1">
          <tpl fld="7" item="103"/>
        </tpls>
      </query>
      <query mdx="[Dimittenddato].[Dimittenddato].&amp;[2016-07-13T00:00:00]">
        <tpls c="1">
          <tpl fld="7" item="104"/>
        </tpls>
      </query>
      <query mdx="[Dimittenddato].[Dimittenddato].&amp;[2016-07-09T00:00:00]">
        <tpls c="1">
          <tpl fld="7" item="105"/>
        </tpls>
      </query>
      <query mdx="[Dimittenddato].[Dimittenddato].&amp;[2016-07-05T00:00:00]">
        <tpls c="1">
          <tpl fld="7" item="106"/>
        </tpls>
      </query>
      <query mdx="[Dimittenddato].[Dimittenddato].&amp;[2016-07-01T00:00:00]">
        <tpls c="1">
          <tpl fld="7" item="107"/>
        </tpls>
      </query>
      <query mdx="[Kommune].[Region].[All].[Region Hovedstaden]">
        <tpls c="1">
          <tpl fld="2" item="1"/>
        </tpls>
      </query>
      <query mdx="[Kommune].[Region].[All].[Region Midtjylland]">
        <tpls c="1">
          <tpl fld="2" item="2"/>
        </tpls>
      </query>
      <query mdx="[Kandidatalder].[Kandidatalder Gruppe Niveau1].[All].[&lt; 1 år]">
        <tpls c="1">
          <tpl fld="5" item="1"/>
        </tpls>
      </query>
      <query mdx="[Uddannelse].[IDA Gruppe].&amp;[Akademiingeniør]">
        <tpls c="1">
          <tpl fld="4" item="7"/>
        </tpls>
      </query>
      <query mdx="[Kandidatalder].[Kandidatalder Gruppe Niveau1].[All].[1 år]">
        <tpls c="1">
          <tpl fld="5" item="2"/>
        </tpls>
      </query>
      <query mdx="[Measures].[Fuldtidsledige]">
        <tpls c="1">
          <tpl fld="6" item="2"/>
        </tpls>
      </query>
      <query mdx="[Dimittenddato].[Dimittenddato].&amp;[2020-08-29T00:00:00]">
        <tpls c="1">
          <tpl fld="7" item="108"/>
        </tpls>
      </query>
      <query mdx="[Dimittenddato].[Dimittenddato].&amp;[2020-08-25T00:00:00]">
        <tpls c="1">
          <tpl fld="7" item="109"/>
        </tpls>
      </query>
      <query mdx="[Dimittenddato].[Dimittenddato].&amp;[2020-08-21T00:00:00]">
        <tpls c="1">
          <tpl fld="7" item="110"/>
        </tpls>
      </query>
      <query mdx="[Dimittenddato].[Dimittenddato].&amp;[2020-08-17T00:00:00]">
        <tpls c="1">
          <tpl fld="7" item="111"/>
        </tpls>
      </query>
      <query mdx="[Dimittenddato].[Dimittenddato].&amp;[2020-08-13T00:00:00]">
        <tpls c="1">
          <tpl fld="7" item="112"/>
        </tpls>
      </query>
      <query mdx="[Dimittenddato].[Dimittenddato].&amp;[2020-08-09T00:00:00]">
        <tpls c="1">
          <tpl fld="7" item="113"/>
        </tpls>
      </query>
      <query mdx="[Dimittenddato].[Dimittenddato].&amp;[2020-08-05T00:00:00]">
        <tpls c="1">
          <tpl fld="7" item="114"/>
        </tpls>
      </query>
      <query mdx="[Dimittenddato].[Dimittenddato].&amp;[2020-08-01T00:00:00]">
        <tpls c="1">
          <tpl fld="7" item="115"/>
        </tpls>
      </query>
      <query mdx="[Dimittenddato].[Dimittenddato].&amp;[2020-07-28T00:00:00]">
        <tpls c="1">
          <tpl fld="7" item="116"/>
        </tpls>
      </query>
      <query mdx="[Dimittenddato].[Dimittenddato].&amp;[2020-07-24T00:00:00]">
        <tpls c="1">
          <tpl fld="7" item="117"/>
        </tpls>
      </query>
      <query mdx="[Dimittenddato].[Dimittenddato].&amp;[2020-07-20T00:00:00]">
        <tpls c="1">
          <tpl fld="7" item="118"/>
        </tpls>
      </query>
      <query mdx="[Dimittenddato].[Dimittenddato].&amp;[2020-07-16T00:00:00]">
        <tpls c="1">
          <tpl fld="7" item="119"/>
        </tpls>
      </query>
      <query mdx="[Dimittenddato].[Dimittenddato].&amp;[2020-07-12T00:00:00]">
        <tpls c="1">
          <tpl fld="7" item="120"/>
        </tpls>
      </query>
      <query mdx="[Dimittenddato].[Dimittenddato].&amp;[2020-07-08T00:00:00]">
        <tpls c="1">
          <tpl fld="7" item="121"/>
        </tpls>
      </query>
      <query mdx="[Dimittenddato].[Dimittenddato].&amp;[2020-07-04T00:00:00]">
        <tpls c="1">
          <tpl fld="7" item="122"/>
        </tpls>
      </query>
      <query mdx="[Dimittenddato].[Dimittenddato].&amp;[2020-06-30T00:00:00]">
        <tpls c="1">
          <tpl fld="7" item="123"/>
        </tpls>
      </query>
      <query mdx="[Dimittenddato].[Dimittenddato].&amp;[2020-06-26T00:00:00]">
        <tpls c="1">
          <tpl fld="7" item="124"/>
        </tpls>
      </query>
      <query mdx="[Dimittenddato].[Dimittenddato].&amp;[2020-06-22T00:00:00]">
        <tpls c="1">
          <tpl fld="7" item="125"/>
        </tpls>
      </query>
      <query mdx="[Dimittenddato].[Dimittenddato].&amp;[2020-06-18T00:00:00]">
        <tpls c="1">
          <tpl fld="7" item="126"/>
        </tpls>
      </query>
      <query mdx="[Dimittenddato].[Dimittenddato].&amp;[2020-06-14T00:00:00]">
        <tpls c="1">
          <tpl fld="7" item="127"/>
        </tpls>
      </query>
      <query mdx="[Dimittenddato].[Dimittenddato].&amp;[2020-06-10T00:00:00]">
        <tpls c="1">
          <tpl fld="7" item="128"/>
        </tpls>
      </query>
      <query mdx="[Dimittenddato].[Dimittenddato].&amp;[2020-06-06T00:00:00]">
        <tpls c="1">
          <tpl fld="7" item="129"/>
        </tpls>
      </query>
      <query mdx="[Dimittenddato].[Dimittenddato].&amp;[2020-06-02T00:00:00]">
        <tpls c="1">
          <tpl fld="7" item="130"/>
        </tpls>
      </query>
      <query mdx="[Dimittenddato].[Dimittenddato].&amp;[2019-08-29T00:00:00]">
        <tpls c="1">
          <tpl fld="7" item="131"/>
        </tpls>
      </query>
      <query mdx="[Dimittenddato].[Dimittenddato].&amp;[2019-08-25T00:00:00]">
        <tpls c="1">
          <tpl fld="7" item="132"/>
        </tpls>
      </query>
      <query mdx="[Dimittenddato].[Dimittenddato].&amp;[2019-08-21T00:00:00]">
        <tpls c="1">
          <tpl fld="7" item="133"/>
        </tpls>
      </query>
      <query mdx="[Dimittenddato].[Dimittenddato].&amp;[2019-08-17T00:00:00]">
        <tpls c="1">
          <tpl fld="7" item="134"/>
        </tpls>
      </query>
      <query mdx="[Dimittenddato].[Dimittenddato].&amp;[2019-08-13T00:00:00]">
        <tpls c="1">
          <tpl fld="7" item="135"/>
        </tpls>
      </query>
      <query mdx="[Dimittenddato].[Dimittenddato].&amp;[2019-08-09T00:00:00]">
        <tpls c="1">
          <tpl fld="7" item="136"/>
        </tpls>
      </query>
      <query mdx="[Dimittenddato].[Dimittenddato].&amp;[2019-08-05T00:00:00]">
        <tpls c="1">
          <tpl fld="7" item="137"/>
        </tpls>
      </query>
      <query mdx="[Dimittenddato].[Dimittenddato].&amp;[2019-08-01T00:00:00]">
        <tpls c="1">
          <tpl fld="7" item="138"/>
        </tpls>
      </query>
      <query mdx="[Dimittenddato].[Dimittenddato].&amp;[2019-07-28T00:00:00]">
        <tpls c="1">
          <tpl fld="7" item="139"/>
        </tpls>
      </query>
      <query mdx="[Dimittenddato].[Dimittenddato].&amp;[2019-07-24T00:00:00]">
        <tpls c="1">
          <tpl fld="7" item="140"/>
        </tpls>
      </query>
      <query mdx="[Dimittenddato].[Dimittenddato].&amp;[2019-07-20T00:00:00]">
        <tpls c="1">
          <tpl fld="7" item="141"/>
        </tpls>
      </query>
      <query mdx="[Dimittenddato].[Dimittenddato].&amp;[2019-07-16T00:00:00]">
        <tpls c="1">
          <tpl fld="7" item="142"/>
        </tpls>
      </query>
      <query mdx="[Dimittenddato].[Dimittenddato].&amp;[2019-07-12T00:00:00]">
        <tpls c="1">
          <tpl fld="7" item="143"/>
        </tpls>
      </query>
      <query mdx="[Dimittenddato].[Dimittenddato].&amp;[2019-07-08T00:00:00]">
        <tpls c="1">
          <tpl fld="7" item="144"/>
        </tpls>
      </query>
      <query mdx="[Dimittenddato].[Dimittenddato].&amp;[2019-07-04T00:00:00]">
        <tpls c="1">
          <tpl fld="7" item="145"/>
        </tpls>
      </query>
      <query mdx="[Dimittenddato].[Dimittenddato].&amp;[2019-06-30T00:00:00]">
        <tpls c="1">
          <tpl fld="7" item="146"/>
        </tpls>
      </query>
      <query mdx="[Dimittenddato].[Dimittenddato].&amp;[2019-06-26T00:00:00]">
        <tpls c="1">
          <tpl fld="7" item="147"/>
        </tpls>
      </query>
      <query mdx="[Dimittenddato].[Dimittenddato].&amp;[2019-06-22T00:00:00]">
        <tpls c="1">
          <tpl fld="7" item="148"/>
        </tpls>
      </query>
      <query mdx="[Dimittenddato].[Dimittenddato].&amp;[2019-06-18T00:00:00]">
        <tpls c="1">
          <tpl fld="7" item="149"/>
        </tpls>
      </query>
      <query mdx="[Dimittenddato].[Dimittenddato].&amp;[2019-06-14T00:00:00]">
        <tpls c="1">
          <tpl fld="7" item="150"/>
        </tpls>
      </query>
      <query mdx="[Dimittenddato].[Dimittenddato].&amp;[2019-06-10T00:00:00]">
        <tpls c="1">
          <tpl fld="7" item="151"/>
        </tpls>
      </query>
      <query mdx="[Dimittenddato].[Dimittenddato].&amp;[2019-06-06T00:00:00]">
        <tpls c="1">
          <tpl fld="7" item="152"/>
        </tpls>
      </query>
      <query mdx="[Dimittenddato].[Dimittenddato].&amp;[2019-06-02T00:00:00]">
        <tpls c="1">
          <tpl fld="7" item="153"/>
        </tpls>
      </query>
      <query mdx="[Dimittenddato].[Dimittenddato].&amp;[2018-08-29T00:00:00]">
        <tpls c="1">
          <tpl fld="7" item="154"/>
        </tpls>
      </query>
      <query mdx="[Dimittenddato].[Dimittenddato].&amp;[2018-08-25T00:00:00]">
        <tpls c="1">
          <tpl fld="7" item="155"/>
        </tpls>
      </query>
      <query mdx="[Dimittenddato].[Dimittenddato].&amp;[2018-08-21T00:00:00]">
        <tpls c="1">
          <tpl fld="7" item="156"/>
        </tpls>
      </query>
      <query mdx="[Dimittenddato].[Dimittenddato].&amp;[2018-08-17T00:00:00]">
        <tpls c="1">
          <tpl fld="7" item="157"/>
        </tpls>
      </query>
      <query mdx="[Dimittenddato].[Dimittenddato].&amp;[2018-08-13T00:00:00]">
        <tpls c="1">
          <tpl fld="7" item="158"/>
        </tpls>
      </query>
      <query mdx="[Dimittenddato].[Dimittenddato].&amp;[2018-08-09T00:00:00]">
        <tpls c="1">
          <tpl fld="7" item="159"/>
        </tpls>
      </query>
      <query mdx="[Dimittenddato].[Dimittenddato].&amp;[2018-08-05T00:00:00]">
        <tpls c="1">
          <tpl fld="7" item="160"/>
        </tpls>
      </query>
      <query mdx="[Dimittenddato].[Dimittenddato].&amp;[2018-08-01T00:00:00]">
        <tpls c="1">
          <tpl fld="7" item="161"/>
        </tpls>
      </query>
      <query mdx="[Dimittenddato].[Dimittenddato].&amp;[2018-07-28T00:00:00]">
        <tpls c="1">
          <tpl fld="7" item="162"/>
        </tpls>
      </query>
      <query mdx="[Dimittenddato].[Dimittenddato].&amp;[2018-07-24T00:00:00]">
        <tpls c="1">
          <tpl fld="7" item="163"/>
        </tpls>
      </query>
      <query mdx="[Dimittenddato].[Dimittenddato].&amp;[2018-07-20T00:00:00]">
        <tpls c="1">
          <tpl fld="7" item="164"/>
        </tpls>
      </query>
      <query mdx="[Dimittenddato].[Dimittenddato].&amp;[2018-07-16T00:00:00]">
        <tpls c="1">
          <tpl fld="7" item="165"/>
        </tpls>
      </query>
      <query mdx="[Dimittenddato].[Dimittenddato].&amp;[2018-07-12T00:00:00]">
        <tpls c="1">
          <tpl fld="7" item="166"/>
        </tpls>
      </query>
      <query mdx="[Dimittenddato].[Dimittenddato].&amp;[2018-07-08T00:00:00]">
        <tpls c="1">
          <tpl fld="7" item="167"/>
        </tpls>
      </query>
      <query mdx="[Dimittenddato].[Dimittenddato].&amp;[2018-07-04T00:00:00]">
        <tpls c="1">
          <tpl fld="7" item="168"/>
        </tpls>
      </query>
      <query mdx="[Dimittenddato].[Dimittenddato].&amp;[2018-06-30T00:00:00]">
        <tpls c="1">
          <tpl fld="7" item="169"/>
        </tpls>
      </query>
      <query mdx="[Dimittenddato].[Dimittenddato].&amp;[2018-06-26T00:00:00]">
        <tpls c="1">
          <tpl fld="7" item="170"/>
        </tpls>
      </query>
      <query mdx="[Dimittenddato].[Dimittenddato].&amp;[2018-06-22T00:00:00]">
        <tpls c="1">
          <tpl fld="7" item="171"/>
        </tpls>
      </query>
      <query mdx="[Dimittenddato].[Dimittenddato].&amp;[2018-06-18T00:00:00]">
        <tpls c="1">
          <tpl fld="7" item="172"/>
        </tpls>
      </query>
      <query mdx="[Dimittenddato].[Dimittenddato].&amp;[2018-06-14T00:00:00]">
        <tpls c="1">
          <tpl fld="7" item="173"/>
        </tpls>
      </query>
      <query mdx="[Dimittenddato].[Dimittenddato].&amp;[2018-06-10T00:00:00]">
        <tpls c="1">
          <tpl fld="7" item="174"/>
        </tpls>
      </query>
      <query mdx="[Dimittenddato].[Dimittenddato].&amp;[2018-06-06T00:00:00]">
        <tpls c="1">
          <tpl fld="7" item="175"/>
        </tpls>
      </query>
      <query mdx="[Dimittenddato].[Dimittenddato].&amp;[2018-06-02T00:00:00]">
        <tpls c="1">
          <tpl fld="7" item="176"/>
        </tpls>
      </query>
      <query mdx="[Dimittenddato].[Dimittenddato].&amp;[2017-08-29T00:00:00]">
        <tpls c="1">
          <tpl fld="7" item="177"/>
        </tpls>
      </query>
      <query mdx="[Dimittenddato].[Dimittenddato].&amp;[2017-08-25T00:00:00]">
        <tpls c="1">
          <tpl fld="7" item="178"/>
        </tpls>
      </query>
      <query mdx="[Dimittenddato].[Dimittenddato].&amp;[2017-08-21T00:00:00]">
        <tpls c="1">
          <tpl fld="7" item="179"/>
        </tpls>
      </query>
      <query mdx="[Dimittenddato].[Dimittenddato].&amp;[2017-08-17T00:00:00]">
        <tpls c="1">
          <tpl fld="7" item="180"/>
        </tpls>
      </query>
      <query mdx="[Dimittenddato].[Dimittenddato].&amp;[2017-08-13T00:00:00]">
        <tpls c="1">
          <tpl fld="7" item="181"/>
        </tpls>
      </query>
      <query mdx="[Dimittenddato].[Dimittenddato].&amp;[2017-08-09T00:00:00]">
        <tpls c="1">
          <tpl fld="7" item="182"/>
        </tpls>
      </query>
      <query mdx="[Dimittenddato].[Dimittenddato].&amp;[2017-08-05T00:00:00]">
        <tpls c="1">
          <tpl fld="7" item="183"/>
        </tpls>
      </query>
      <query mdx="[Dimittenddato].[Dimittenddato].&amp;[2017-08-01T00:00:00]">
        <tpls c="1">
          <tpl fld="7" item="184"/>
        </tpls>
      </query>
      <query mdx="[Dimittenddato].[Dimittenddato].&amp;[2017-07-28T00:00:00]">
        <tpls c="1">
          <tpl fld="7" item="185"/>
        </tpls>
      </query>
      <query mdx="[Dimittenddato].[Dimittenddato].&amp;[2017-07-24T00:00:00]">
        <tpls c="1">
          <tpl fld="7" item="186"/>
        </tpls>
      </query>
      <query mdx="[Dimittenddato].[Dimittenddato].&amp;[2017-07-20T00:00:00]">
        <tpls c="1">
          <tpl fld="7" item="187"/>
        </tpls>
      </query>
      <query mdx="[Dimittenddato].[Dimittenddato].&amp;[2017-07-16T00:00:00]">
        <tpls c="1">
          <tpl fld="7" item="188"/>
        </tpls>
      </query>
      <query mdx="[Dimittenddato].[Dimittenddato].&amp;[2017-07-12T00:00:00]">
        <tpls c="1">
          <tpl fld="7" item="189"/>
        </tpls>
      </query>
      <query mdx="[Dimittenddato].[Dimittenddato].&amp;[2017-07-08T00:00:00]">
        <tpls c="1">
          <tpl fld="7" item="190"/>
        </tpls>
      </query>
      <query mdx="[Dimittenddato].[Dimittenddato].&amp;[2017-07-04T00:00:00]">
        <tpls c="1">
          <tpl fld="7" item="191"/>
        </tpls>
      </query>
      <query mdx="[Dimittenddato].[Dimittenddato].&amp;[2017-06-30T00:00:00]">
        <tpls c="1">
          <tpl fld="7" item="192"/>
        </tpls>
      </query>
      <query mdx="[Dimittenddato].[Dimittenddato].&amp;[2017-06-26T00:00:00]">
        <tpls c="1">
          <tpl fld="7" item="193"/>
        </tpls>
      </query>
      <query mdx="[Dimittenddato].[Dimittenddato].&amp;[2017-06-22T00:00:00]">
        <tpls c="1">
          <tpl fld="7" item="194"/>
        </tpls>
      </query>
      <query mdx="[Dimittenddato].[Dimittenddato].&amp;[2017-06-18T00:00:00]">
        <tpls c="1">
          <tpl fld="7" item="195"/>
        </tpls>
      </query>
      <query mdx="[Dimittenddato].[Dimittenddato].&amp;[2017-06-14T00:00:00]">
        <tpls c="1">
          <tpl fld="7" item="196"/>
        </tpls>
      </query>
      <query mdx="[Dimittenddato].[Dimittenddato].&amp;[2017-06-10T00:00:00]">
        <tpls c="1">
          <tpl fld="7" item="197"/>
        </tpls>
      </query>
      <query mdx="[Dimittenddato].[Dimittenddato].&amp;[2017-06-06T00:00:00]">
        <tpls c="1">
          <tpl fld="7" item="198"/>
        </tpls>
      </query>
      <query mdx="[Dimittenddato].[Dimittenddato].&amp;[2017-06-02T00:00:00]">
        <tpls c="1">
          <tpl fld="7" item="199"/>
        </tpls>
      </query>
      <query mdx="[Dimittenddato].[Dimittenddato].&amp;[2016-08-29T00:00:00]">
        <tpls c="1">
          <tpl fld="7" item="200"/>
        </tpls>
      </query>
      <query mdx="[Dimittenddato].[Dimittenddato].&amp;[2016-08-25T00:00:00]">
        <tpls c="1">
          <tpl fld="7" item="201"/>
        </tpls>
      </query>
      <query mdx="[Dimittenddato].[Dimittenddato].&amp;[2016-08-21T00:00:00]">
        <tpls c="1">
          <tpl fld="7" item="202"/>
        </tpls>
      </query>
      <query mdx="[Dimittenddato].[Dimittenddato].&amp;[2016-08-17T00:00:00]">
        <tpls c="1">
          <tpl fld="7" item="203"/>
        </tpls>
      </query>
      <query mdx="[Dimittenddato].[Dimittenddato].&amp;[2016-08-13T00:00:00]">
        <tpls c="1">
          <tpl fld="7" item="204"/>
        </tpls>
      </query>
      <query mdx="[Dimittenddato].[Dimittenddato].&amp;[2016-08-09T00:00:00]">
        <tpls c="1">
          <tpl fld="7" item="205"/>
        </tpls>
      </query>
      <query mdx="[Dimittenddato].[Dimittenddato].&amp;[2016-08-05T00:00:00]">
        <tpls c="1">
          <tpl fld="7" item="206"/>
        </tpls>
      </query>
      <query mdx="[Dimittenddato].[Dimittenddato].&amp;[2016-08-01T00:00:00]">
        <tpls c="1">
          <tpl fld="7" item="207"/>
        </tpls>
      </query>
      <query mdx="[Dimittenddato].[Dimittenddato].&amp;[2016-07-28T00:00:00]">
        <tpls c="1">
          <tpl fld="7" item="208"/>
        </tpls>
      </query>
      <query mdx="[Dimittenddato].[Dimittenddato].&amp;[2016-07-24T00:00:00]">
        <tpls c="1">
          <tpl fld="7" item="209"/>
        </tpls>
      </query>
      <query mdx="[Dimittenddato].[Dimittenddato].&amp;[2016-07-20T00:00:00]">
        <tpls c="1">
          <tpl fld="7" item="210"/>
        </tpls>
      </query>
      <query mdx="[Dimittenddato].[Dimittenddato].&amp;[2016-07-16T00:00:00]">
        <tpls c="1">
          <tpl fld="7" item="211"/>
        </tpls>
      </query>
      <query mdx="[Dimittenddato].[Dimittenddato].&amp;[2016-07-12T00:00:00]">
        <tpls c="1">
          <tpl fld="7" item="212"/>
        </tpls>
      </query>
      <query mdx="[Dimittenddato].[Dimittenddato].&amp;[2016-07-08T00:00:00]">
        <tpls c="1">
          <tpl fld="7" item="213"/>
        </tpls>
      </query>
      <query mdx="[Dimittenddato].[Dimittenddato].&amp;[2016-07-04T00:00:00]">
        <tpls c="1">
          <tpl fld="7" item="214"/>
        </tpls>
      </query>
      <query mdx="[Dimittenddato].[Dimittenddato].&amp;[2016-06-30T00:00:00]">
        <tpls c="1">
          <tpl fld="7" item="215"/>
        </tpls>
      </query>
      <query mdx="[Kandidatalder].[Kandidatalder Gruppe Niveau1].[All].[5-9 år]">
        <tpls c="1">
          <tpl fld="5" item="3"/>
        </tpls>
      </query>
      <query mdx="[Kandidatalder].[Kandidatalder Gruppe Niveau1].[All].[2-4 år]">
        <tpls c="1">
          <tpl fld="5" item="4"/>
        </tpls>
      </query>
      <query mdx="[Medlem].[Køn].&amp;[Kvinde]">
        <tpls c="1">
          <tpl fld="8" item="0"/>
        </tpls>
      </query>
      <query mdx="[Alder].[Aldersgruppe 10 års interval].[All].[20-29 år]">
        <tpls c="1">
          <tpl fld="3" item="2"/>
        </tpls>
      </query>
      <query mdx="[Dimittenddato].[Dimittenddato].&amp;[2020-08-31T00:00:00]">
        <tpls c="1">
          <tpl fld="7" item="216"/>
        </tpls>
      </query>
      <query mdx="[Dimittenddato].[Dimittenddato].&amp;[2020-08-27T00:00:00]">
        <tpls c="1">
          <tpl fld="7" item="217"/>
        </tpls>
      </query>
      <query mdx="[Dimittenddato].[Dimittenddato].&amp;[2020-08-23T00:00:00]">
        <tpls c="1">
          <tpl fld="7" item="218"/>
        </tpls>
      </query>
      <query mdx="[Dimittenddato].[Dimittenddato].&amp;[2020-08-19T00:00:00]">
        <tpls c="1">
          <tpl fld="7" item="219"/>
        </tpls>
      </query>
      <query mdx="[Dimittenddato].[Dimittenddato].&amp;[2020-08-15T00:00:00]">
        <tpls c="1">
          <tpl fld="7" item="220"/>
        </tpls>
      </query>
      <query mdx="[Dimittenddato].[Dimittenddato].&amp;[2020-08-11T00:00:00]">
        <tpls c="1">
          <tpl fld="7" item="221"/>
        </tpls>
      </query>
      <query mdx="[Dimittenddato].[Dimittenddato].&amp;[2020-08-07T00:00:00]">
        <tpls c="1">
          <tpl fld="7" item="222"/>
        </tpls>
      </query>
      <query mdx="[Dimittenddato].[Dimittenddato].&amp;[2020-08-03T00:00:00]">
        <tpls c="1">
          <tpl fld="7" item="223"/>
        </tpls>
      </query>
      <query mdx="[Dimittenddato].[Dimittenddato].&amp;[2020-07-30T00:00:00]">
        <tpls c="1">
          <tpl fld="7" item="224"/>
        </tpls>
      </query>
      <query mdx="[Dimittenddato].[Dimittenddato].&amp;[2020-07-26T00:00:00]">
        <tpls c="1">
          <tpl fld="7" item="225"/>
        </tpls>
      </query>
      <query mdx="[Dimittenddato].[Dimittenddato].&amp;[2020-07-22T00:00:00]">
        <tpls c="1">
          <tpl fld="7" item="226"/>
        </tpls>
      </query>
      <query mdx="[Dimittenddato].[Dimittenddato].&amp;[2020-07-18T00:00:00]">
        <tpls c="1">
          <tpl fld="7" item="227"/>
        </tpls>
      </query>
      <query mdx="[Dimittenddato].[Dimittenddato].&amp;[2020-07-14T00:00:00]">
        <tpls c="1">
          <tpl fld="7" item="228"/>
        </tpls>
      </query>
      <query mdx="[Dimittenddato].[Dimittenddato].&amp;[2020-07-10T00:00:00]">
        <tpls c="1">
          <tpl fld="7" item="229"/>
        </tpls>
      </query>
      <query mdx="[Dimittenddato].[Dimittenddato].&amp;[2020-07-06T00:00:00]">
        <tpls c="1">
          <tpl fld="7" item="230"/>
        </tpls>
      </query>
      <query mdx="[Dimittenddato].[Dimittenddato].&amp;[2020-07-02T00:00:00]">
        <tpls c="1">
          <tpl fld="7" item="231"/>
        </tpls>
      </query>
      <query mdx="[Dimittenddato].[Dimittenddato].&amp;[2020-06-28T00:00:00]">
        <tpls c="1">
          <tpl fld="7" item="232"/>
        </tpls>
      </query>
      <query mdx="[Dimittenddato].[Dimittenddato].&amp;[2020-06-24T00:00:00]">
        <tpls c="1">
          <tpl fld="7" item="233"/>
        </tpls>
      </query>
      <query mdx="[Dimittenddato].[Dimittenddato].&amp;[2020-06-20T00:00:00]">
        <tpls c="1">
          <tpl fld="7" item="234"/>
        </tpls>
      </query>
      <query mdx="[Dimittenddato].[Dimittenddato].&amp;[2020-06-16T00:00:00]">
        <tpls c="1">
          <tpl fld="7" item="235"/>
        </tpls>
      </query>
      <query mdx="[Dimittenddato].[Dimittenddato].&amp;[2020-06-12T00:00:00]">
        <tpls c="1">
          <tpl fld="7" item="236"/>
        </tpls>
      </query>
      <query mdx="[Dimittenddato].[Dimittenddato].&amp;[2020-06-08T00:00:00]">
        <tpls c="1">
          <tpl fld="7" item="237"/>
        </tpls>
      </query>
      <query mdx="[Dimittenddato].[Dimittenddato].&amp;[2020-06-04T00:00:00]">
        <tpls c="1">
          <tpl fld="7" item="238"/>
        </tpls>
      </query>
      <query mdx="[Dimittenddato].[Dimittenddato].&amp;[2019-08-31T00:00:00]">
        <tpls c="1">
          <tpl fld="7" item="239"/>
        </tpls>
      </query>
      <query mdx="[Dimittenddato].[Dimittenddato].&amp;[2019-08-27T00:00:00]">
        <tpls c="1">
          <tpl fld="7" item="240"/>
        </tpls>
      </query>
      <query mdx="[Dimittenddato].[Dimittenddato].&amp;[2019-08-23T00:00:00]">
        <tpls c="1">
          <tpl fld="7" item="241"/>
        </tpls>
      </query>
      <query mdx="[Dimittenddato].[Dimittenddato].&amp;[2019-08-19T00:00:00]">
        <tpls c="1">
          <tpl fld="7" item="242"/>
        </tpls>
      </query>
      <query mdx="[Dimittenddato].[Dimittenddato].&amp;[2019-08-15T00:00:00]">
        <tpls c="1">
          <tpl fld="7" item="243"/>
        </tpls>
      </query>
      <query mdx="[Dimittenddato].[Dimittenddato].&amp;[2019-08-11T00:00:00]">
        <tpls c="1">
          <tpl fld="7" item="244"/>
        </tpls>
      </query>
      <query mdx="[Dimittenddato].[Dimittenddato].&amp;[2019-08-07T00:00:00]">
        <tpls c="1">
          <tpl fld="7" item="245"/>
        </tpls>
      </query>
      <query mdx="[Dimittenddato].[Dimittenddato].&amp;[2019-08-03T00:00:00]">
        <tpls c="1">
          <tpl fld="7" item="246"/>
        </tpls>
      </query>
      <query mdx="[Dimittenddato].[Dimittenddato].&amp;[2019-07-30T00:00:00]">
        <tpls c="1">
          <tpl fld="7" item="247"/>
        </tpls>
      </query>
      <query mdx="[Dimittenddato].[Dimittenddato].&amp;[2019-07-26T00:00:00]">
        <tpls c="1">
          <tpl fld="7" item="248"/>
        </tpls>
      </query>
      <query mdx="[Dimittenddato].[Dimittenddato].&amp;[2019-07-22T00:00:00]">
        <tpls c="1">
          <tpl fld="7" item="249"/>
        </tpls>
      </query>
      <query mdx="[Dimittenddato].[Dimittenddato].&amp;[2019-07-18T00:00:00]">
        <tpls c="1">
          <tpl fld="7" item="250"/>
        </tpls>
      </query>
      <query mdx="[Dimittenddato].[Dimittenddato].&amp;[2019-07-14T00:00:00]">
        <tpls c="1">
          <tpl fld="7" item="251"/>
        </tpls>
      </query>
      <query mdx="[Dimittenddato].[Dimittenddato].&amp;[2019-07-10T00:00:00]">
        <tpls c="1">
          <tpl fld="7" item="252"/>
        </tpls>
      </query>
      <query mdx="[Dimittenddato].[Dimittenddato].&amp;[2019-07-06T00:00:00]">
        <tpls c="1">
          <tpl fld="7" item="253"/>
        </tpls>
      </query>
      <query mdx="[Dimittenddato].[Dimittenddato].&amp;[2019-07-02T00:00:00]">
        <tpls c="1">
          <tpl fld="7" item="254"/>
        </tpls>
      </query>
      <query mdx="[Dimittenddato].[Dimittenddato].&amp;[2019-06-28T00:00:00]">
        <tpls c="1">
          <tpl fld="7" item="255"/>
        </tpls>
      </query>
      <query mdx="[Dimittenddato].[Dimittenddato].&amp;[2019-06-24T00:00:00]">
        <tpls c="1">
          <tpl fld="7" item="256"/>
        </tpls>
      </query>
      <query mdx="[Dimittenddato].[Dimittenddato].&amp;[2019-06-20T00:00:00]">
        <tpls c="1">
          <tpl fld="7" item="257"/>
        </tpls>
      </query>
      <query mdx="[Dimittenddato].[Dimittenddato].&amp;[2019-06-16T00:00:00]">
        <tpls c="1">
          <tpl fld="7" item="258"/>
        </tpls>
      </query>
      <query mdx="[Dimittenddato].[Dimittenddato].&amp;[2019-06-12T00:00:00]">
        <tpls c="1">
          <tpl fld="7" item="259"/>
        </tpls>
      </query>
      <query mdx="[Dimittenddato].[Dimittenddato].&amp;[2019-06-08T00:00:00]">
        <tpls c="1">
          <tpl fld="7" item="260"/>
        </tpls>
      </query>
      <query mdx="[Dimittenddato].[Dimittenddato].&amp;[2019-06-04T00:00:00]">
        <tpls c="1">
          <tpl fld="7" item="261"/>
        </tpls>
      </query>
      <query mdx="[Dimittenddato].[Dimittenddato].&amp;[2018-08-31T00:00:00]">
        <tpls c="1">
          <tpl fld="7" item="262"/>
        </tpls>
      </query>
      <query mdx="[Dimittenddato].[Dimittenddato].&amp;[2018-08-27T00:00:00]">
        <tpls c="1">
          <tpl fld="7" item="263"/>
        </tpls>
      </query>
      <query mdx="[Dimittenddato].[Dimittenddato].&amp;[2018-08-23T00:00:00]">
        <tpls c="1">
          <tpl fld="7" item="264"/>
        </tpls>
      </query>
      <query mdx="[Dimittenddato].[Dimittenddato].&amp;[2018-08-19T00:00:00]">
        <tpls c="1">
          <tpl fld="7" item="265"/>
        </tpls>
      </query>
      <query mdx="[Dimittenddato].[Dimittenddato].&amp;[2018-08-15T00:00:00]">
        <tpls c="1">
          <tpl fld="7" item="266"/>
        </tpls>
      </query>
      <query mdx="[Dimittenddato].[Dimittenddato].&amp;[2018-08-11T00:00:00]">
        <tpls c="1">
          <tpl fld="7" item="267"/>
        </tpls>
      </query>
      <query mdx="[Dimittenddato].[Dimittenddato].&amp;[2018-08-07T00:00:00]">
        <tpls c="1">
          <tpl fld="7" item="268"/>
        </tpls>
      </query>
      <query mdx="[Dimittenddato].[Dimittenddato].&amp;[2018-08-03T00:00:00]">
        <tpls c="1">
          <tpl fld="7" item="269"/>
        </tpls>
      </query>
      <query mdx="[Dimittenddato].[Dimittenddato].&amp;[2018-07-30T00:00:00]">
        <tpls c="1">
          <tpl fld="7" item="270"/>
        </tpls>
      </query>
      <query mdx="[Dimittenddato].[Dimittenddato].&amp;[2018-07-26T00:00:00]">
        <tpls c="1">
          <tpl fld="7" item="271"/>
        </tpls>
      </query>
      <query mdx="[Dimittenddato].[Dimittenddato].&amp;[2018-07-22T00:00:00]">
        <tpls c="1">
          <tpl fld="7" item="272"/>
        </tpls>
      </query>
      <query mdx="[Dimittenddato].[Dimittenddato].&amp;[2018-07-18T00:00:00]">
        <tpls c="1">
          <tpl fld="7" item="273"/>
        </tpls>
      </query>
      <query mdx="[Dimittenddato].[Dimittenddato].&amp;[2018-07-14T00:00:00]">
        <tpls c="1">
          <tpl fld="7" item="274"/>
        </tpls>
      </query>
      <query mdx="[Dimittenddato].[Dimittenddato].&amp;[2018-07-10T00:00:00]">
        <tpls c="1">
          <tpl fld="7" item="275"/>
        </tpls>
      </query>
      <query mdx="[Dimittenddato].[Dimittenddato].&amp;[2018-07-06T00:00:00]">
        <tpls c="1">
          <tpl fld="7" item="276"/>
        </tpls>
      </query>
      <query mdx="[Dimittenddato].[Dimittenddato].&amp;[2018-07-02T00:00:00]">
        <tpls c="1">
          <tpl fld="7" item="277"/>
        </tpls>
      </query>
      <query mdx="[Dimittenddato].[Dimittenddato].&amp;[2018-06-28T00:00:00]">
        <tpls c="1">
          <tpl fld="7" item="278"/>
        </tpls>
      </query>
      <query mdx="[Dimittenddato].[Dimittenddato].&amp;[2018-06-24T00:00:00]">
        <tpls c="1">
          <tpl fld="7" item="279"/>
        </tpls>
      </query>
      <query mdx="[Dimittenddato].[Dimittenddato].&amp;[2018-06-20T00:00:00]">
        <tpls c="1">
          <tpl fld="7" item="280"/>
        </tpls>
      </query>
      <query mdx="[Dimittenddato].[Dimittenddato].&amp;[2018-06-16T00:00:00]">
        <tpls c="1">
          <tpl fld="7" item="281"/>
        </tpls>
      </query>
      <query mdx="[Dimittenddato].[Dimittenddato].&amp;[2018-06-12T00:00:00]">
        <tpls c="1">
          <tpl fld="7" item="282"/>
        </tpls>
      </query>
      <query mdx="[Dimittenddato].[Dimittenddato].&amp;[2018-06-08T00:00:00]">
        <tpls c="1">
          <tpl fld="7" item="283"/>
        </tpls>
      </query>
      <query mdx="[Dimittenddato].[Dimittenddato].&amp;[2018-06-04T00:00:00]">
        <tpls c="1">
          <tpl fld="7" item="284"/>
        </tpls>
      </query>
      <query mdx="[Dimittenddato].[Dimittenddato].&amp;[2017-08-31T00:00:00]">
        <tpls c="1">
          <tpl fld="7" item="285"/>
        </tpls>
      </query>
      <query mdx="[Dimittenddato].[Dimittenddato].&amp;[2017-08-27T00:00:00]">
        <tpls c="1">
          <tpl fld="7" item="286"/>
        </tpls>
      </query>
      <query mdx="[Dimittenddato].[Dimittenddato].&amp;[2017-08-23T00:00:00]">
        <tpls c="1">
          <tpl fld="7" item="287"/>
        </tpls>
      </query>
      <query mdx="[Dimittenddato].[Dimittenddato].&amp;[2017-08-19T00:00:00]">
        <tpls c="1">
          <tpl fld="7" item="288"/>
        </tpls>
      </query>
      <query mdx="[Dimittenddato].[Dimittenddato].&amp;[2017-08-15T00:00:00]">
        <tpls c="1">
          <tpl fld="7" item="289"/>
        </tpls>
      </query>
      <query mdx="[Dimittenddato].[Dimittenddato].&amp;[2017-08-11T00:00:00]">
        <tpls c="1">
          <tpl fld="7" item="290"/>
        </tpls>
      </query>
      <query mdx="[Dimittenddato].[Dimittenddato].&amp;[2017-08-07T00:00:00]">
        <tpls c="1">
          <tpl fld="7" item="291"/>
        </tpls>
      </query>
      <query mdx="[Dimittenddato].[Dimittenddato].&amp;[2017-08-03T00:00:00]">
        <tpls c="1">
          <tpl fld="7" item="292"/>
        </tpls>
      </query>
      <query mdx="[Dimittenddato].[Dimittenddato].&amp;[2017-07-30T00:00:00]">
        <tpls c="1">
          <tpl fld="7" item="293"/>
        </tpls>
      </query>
      <query mdx="[Dimittenddato].[Dimittenddato].&amp;[2017-07-26T00:00:00]">
        <tpls c="1">
          <tpl fld="7" item="294"/>
        </tpls>
      </query>
      <query mdx="[Dimittenddato].[Dimittenddato].&amp;[2017-07-22T00:00:00]">
        <tpls c="1">
          <tpl fld="7" item="295"/>
        </tpls>
      </query>
      <query mdx="[Dimittenddato].[Dimittenddato].&amp;[2017-07-18T00:00:00]">
        <tpls c="1">
          <tpl fld="7" item="296"/>
        </tpls>
      </query>
      <query mdx="[Dimittenddato].[Dimittenddato].&amp;[2017-07-14T00:00:00]">
        <tpls c="1">
          <tpl fld="7" item="297"/>
        </tpls>
      </query>
      <query mdx="[Dimittenddato].[Dimittenddato].&amp;[2017-07-10T00:00:00]">
        <tpls c="1">
          <tpl fld="7" item="298"/>
        </tpls>
      </query>
      <query mdx="[Dimittenddato].[Dimittenddato].&amp;[2017-07-06T00:00:00]">
        <tpls c="1">
          <tpl fld="7" item="299"/>
        </tpls>
      </query>
      <query mdx="[Dimittenddato].[Dimittenddato].&amp;[2017-07-02T00:00:00]">
        <tpls c="1">
          <tpl fld="7" item="300"/>
        </tpls>
      </query>
      <query mdx="[Dimittenddato].[Dimittenddato].&amp;[2017-06-28T00:00:00]">
        <tpls c="1">
          <tpl fld="7" item="301"/>
        </tpls>
      </query>
      <query mdx="[Dimittenddato].[Dimittenddato].&amp;[2017-06-24T00:00:00]">
        <tpls c="1">
          <tpl fld="7" item="302"/>
        </tpls>
      </query>
      <query mdx="[Dimittenddato].[Dimittenddato].&amp;[2017-06-20T00:00:00]">
        <tpls c="1">
          <tpl fld="7" item="303"/>
        </tpls>
      </query>
      <query mdx="[Dimittenddato].[Dimittenddato].&amp;[2017-06-16T00:00:00]">
        <tpls c="1">
          <tpl fld="7" item="304"/>
        </tpls>
      </query>
      <query mdx="[Dimittenddato].[Dimittenddato].&amp;[2017-06-12T00:00:00]">
        <tpls c="1">
          <tpl fld="7" item="305"/>
        </tpls>
      </query>
      <query mdx="[Dimittenddato].[Dimittenddato].&amp;[2017-06-08T00:00:00]">
        <tpls c="1">
          <tpl fld="7" item="306"/>
        </tpls>
      </query>
      <query mdx="[Dimittenddato].[Dimittenddato].&amp;[2017-06-04T00:00:00]">
        <tpls c="1">
          <tpl fld="7" item="307"/>
        </tpls>
      </query>
      <query mdx="[Dimittenddato].[Dimittenddato].&amp;[2016-08-31T00:00:00]">
        <tpls c="1">
          <tpl fld="7" item="308"/>
        </tpls>
      </query>
      <query mdx="[Dimittenddato].[Dimittenddato].&amp;[2016-08-27T00:00:00]">
        <tpls c="1">
          <tpl fld="7" item="309"/>
        </tpls>
      </query>
      <query mdx="[Dimittenddato].[Dimittenddato].&amp;[2016-08-23T00:00:00]">
        <tpls c="1">
          <tpl fld="7" item="310"/>
        </tpls>
      </query>
      <query mdx="[Dimittenddato].[Dimittenddato].&amp;[2016-08-19T00:00:00]">
        <tpls c="1">
          <tpl fld="7" item="311"/>
        </tpls>
      </query>
      <query mdx="[Dimittenddato].[Dimittenddato].&amp;[2016-08-15T00:00:00]">
        <tpls c="1">
          <tpl fld="7" item="312"/>
        </tpls>
      </query>
      <query mdx="[Dimittenddato].[Dimittenddato].&amp;[2016-08-11T00:00:00]">
        <tpls c="1">
          <tpl fld="7" item="313"/>
        </tpls>
      </query>
      <query mdx="[Dimittenddato].[Dimittenddato].&amp;[2016-08-07T00:00:00]">
        <tpls c="1">
          <tpl fld="7" item="314"/>
        </tpls>
      </query>
      <query mdx="[Dimittenddato].[Dimittenddato].&amp;[2016-08-03T00:00:00]">
        <tpls c="1">
          <tpl fld="7" item="315"/>
        </tpls>
      </query>
      <query mdx="[Dimittenddato].[Dimittenddato].&amp;[2016-07-30T00:00:00]">
        <tpls c="1">
          <tpl fld="7" item="316"/>
        </tpls>
      </query>
      <query mdx="[Dimittenddato].[Dimittenddato].&amp;[2016-07-26T00:00:00]">
        <tpls c="1">
          <tpl fld="7" item="317"/>
        </tpls>
      </query>
      <query mdx="[Dimittenddato].[Dimittenddato].&amp;[2016-07-22T00:00:00]">
        <tpls c="1">
          <tpl fld="7" item="318"/>
        </tpls>
      </query>
      <query mdx="[Dimittenddato].[Dimittenddato].&amp;[2016-07-18T00:00:00]">
        <tpls c="1">
          <tpl fld="7" item="319"/>
        </tpls>
      </query>
      <query mdx="[Dimittenddato].[Dimittenddato].&amp;[2016-07-14T00:00:00]">
        <tpls c="1">
          <tpl fld="7" item="320"/>
        </tpls>
      </query>
      <query mdx="[Dimittenddato].[Dimittenddato].&amp;[2016-07-10T00:00:00]">
        <tpls c="1">
          <tpl fld="7" item="321"/>
        </tpls>
      </query>
      <query mdx="[Dimittenddato].[Dimittenddato].&amp;[2016-07-06T00:00:00]">
        <tpls c="1">
          <tpl fld="7" item="322"/>
        </tpls>
      </query>
      <query mdx="[Dimittenddato].[Dimittenddato].&amp;[2016-07-02T00:00:00]">
        <tpls c="1">
          <tpl fld="7" item="323"/>
        </tpls>
      </query>
      <query mdx="[Dimittenddato].[Dimittenddato].&amp;[2016-06-28T00:00:00]">
        <tpls c="1">
          <tpl fld="7" item="324"/>
        </tpls>
      </query>
      <query mdx="[Kommune].[Region].[All].[Region Syddanmark]">
        <tpls c="1">
          <tpl fld="2" item="3"/>
        </tpls>
      </query>
      <query mdx="[Alder].[Aldersgruppe 10 års interval].[All].[50-59 år]">
        <tpls c="1">
          <tpl fld="3" item="3"/>
        </tpls>
      </query>
      <query mdx="[Dimittenddato].[Dimittenddato].&amp;[2020-08-24T00:00:00]">
        <tpls c="1">
          <tpl fld="7" item="325"/>
        </tpls>
      </query>
      <query mdx="[Dimittenddato].[Dimittenddato].&amp;[2020-08-08T00:00:00]">
        <tpls c="1">
          <tpl fld="7" item="326"/>
        </tpls>
      </query>
      <query mdx="[Dimittenddato].[Dimittenddato].&amp;[2020-07-23T00:00:00]">
        <tpls c="1">
          <tpl fld="7" item="327"/>
        </tpls>
      </query>
      <query mdx="[Dimittenddato].[Dimittenddato].&amp;[2020-07-07T00:00:00]">
        <tpls c="1">
          <tpl fld="7" item="328"/>
        </tpls>
      </query>
      <query mdx="[Dimittenddato].[Dimittenddato].&amp;[2020-06-21T00:00:00]">
        <tpls c="1">
          <tpl fld="7" item="329"/>
        </tpls>
      </query>
      <query mdx="[Dimittenddato].[Dimittenddato].&amp;[2020-06-05T00:00:00]">
        <tpls c="1">
          <tpl fld="7" item="330"/>
        </tpls>
      </query>
      <query mdx="[Dimittenddato].[Dimittenddato].&amp;[2019-08-20T00:00:00]">
        <tpls c="1">
          <tpl fld="7" item="331"/>
        </tpls>
      </query>
      <query mdx="[Dimittenddato].[Dimittenddato].&amp;[2019-08-04T00:00:00]">
        <tpls c="1">
          <tpl fld="7" item="332"/>
        </tpls>
      </query>
      <query mdx="[Dimittenddato].[Dimittenddato].&amp;[2019-07-19T00:00:00]">
        <tpls c="1">
          <tpl fld="7" item="333"/>
        </tpls>
      </query>
      <query mdx="[Dimittenddato].[Dimittenddato].&amp;[2019-07-03T00:00:00]">
        <tpls c="1">
          <tpl fld="7" item="334"/>
        </tpls>
      </query>
      <query mdx="[Dimittenddato].[Dimittenddato].&amp;[2019-06-17T00:00:00]">
        <tpls c="1">
          <tpl fld="7" item="335"/>
        </tpls>
      </query>
      <query mdx="[Dimittenddato].[Dimittenddato].&amp;[2019-06-01T00:00:00]">
        <tpls c="1">
          <tpl fld="7" item="336"/>
        </tpls>
      </query>
      <query mdx="[Dimittenddato].[Dimittenddato].&amp;[2018-08-16T00:00:00]">
        <tpls c="1">
          <tpl fld="7" item="337"/>
        </tpls>
      </query>
      <query mdx="[Dimittenddato].[Dimittenddato].&amp;[2018-07-31T00:00:00]">
        <tpls c="1">
          <tpl fld="7" item="338"/>
        </tpls>
      </query>
      <query mdx="[Dimittenddato].[Dimittenddato].&amp;[2018-07-15T00:00:00]">
        <tpls c="1">
          <tpl fld="7" item="339"/>
        </tpls>
      </query>
      <query mdx="[Dimittenddato].[Dimittenddato].&amp;[2018-06-29T00:00:00]">
        <tpls c="1">
          <tpl fld="7" item="340"/>
        </tpls>
      </query>
      <query mdx="[Dimittenddato].[Dimittenddato].&amp;[2018-06-13T00:00:00]">
        <tpls c="1">
          <tpl fld="7" item="341"/>
        </tpls>
      </query>
      <query mdx="[Dimittenddato].[Dimittenddato].&amp;[2017-08-28T00:00:00]">
        <tpls c="1">
          <tpl fld="7" item="342"/>
        </tpls>
      </query>
      <query mdx="[Dimittenddato].[Dimittenddato].&amp;[2017-08-12T00:00:00]">
        <tpls c="1">
          <tpl fld="7" item="343"/>
        </tpls>
      </query>
      <query mdx="[Dimittenddato].[Dimittenddato].&amp;[2017-07-27T00:00:00]">
        <tpls c="1">
          <tpl fld="7" item="344"/>
        </tpls>
      </query>
      <query mdx="[Dimittenddato].[Dimittenddato].&amp;[2017-07-11T00:00:00]">
        <tpls c="1">
          <tpl fld="7" item="345"/>
        </tpls>
      </query>
      <query mdx="[Dimittenddato].[Dimittenddato].&amp;[2017-06-25T00:00:00]">
        <tpls c="1">
          <tpl fld="7" item="346"/>
        </tpls>
      </query>
      <query mdx="[Dimittenddato].[Dimittenddato].&amp;[2017-06-09T00:00:00]">
        <tpls c="1">
          <tpl fld="7" item="347"/>
        </tpls>
      </query>
      <query mdx="[Dimittenddato].[Dimittenddato].&amp;[2016-08-24T00:00:00]">
        <tpls c="1">
          <tpl fld="7" item="348"/>
        </tpls>
      </query>
      <query mdx="[Dimittenddato].[Dimittenddato].&amp;[2016-08-08T00:00:00]">
        <tpls c="1">
          <tpl fld="7" item="349"/>
        </tpls>
      </query>
      <query mdx="[Dimittenddato].[Dimittenddato].&amp;[2016-07-23T00:00:00]">
        <tpls c="1">
          <tpl fld="7" item="350"/>
        </tpls>
      </query>
      <query mdx="[Dimittenddato].[Dimittenddato].&amp;[2016-07-07T00:00:00]">
        <tpls c="1">
          <tpl fld="7" item="351"/>
        </tpls>
      </query>
      <query mdx="[Dimittenddato].[Dimittenddato].&amp;[2016-06-26T00:00:00]">
        <tpls c="1">
          <tpl fld="7" item="352"/>
        </tpls>
      </query>
      <query mdx="[Dimittenddato].[Dimittenddato].&amp;[2016-06-22T00:00:00]">
        <tpls c="1">
          <tpl fld="7" item="353"/>
        </tpls>
      </query>
      <query mdx="[Dimittenddato].[Dimittenddato].&amp;[2016-06-18T00:00:00]">
        <tpls c="1">
          <tpl fld="7" item="354"/>
        </tpls>
      </query>
      <query mdx="[Dimittenddato].[Dimittenddato].&amp;[2016-06-14T00:00:00]">
        <tpls c="1">
          <tpl fld="7" item="355"/>
        </tpls>
      </query>
      <query mdx="[Dimittenddato].[Dimittenddato].&amp;[2016-06-10T00:00:00]">
        <tpls c="1">
          <tpl fld="7" item="356"/>
        </tpls>
      </query>
      <query mdx="[Dimittenddato].[Dimittenddato].&amp;[2016-06-06T00:00:00]">
        <tpls c="1">
          <tpl fld="7" item="357"/>
        </tpls>
      </query>
      <query mdx="[Dimittenddato].[Dimittenddato].&amp;[2016-06-02T00:00:00]">
        <tpls c="1">
          <tpl fld="7" item="358"/>
        </tpls>
      </query>
      <query mdx="[Dimittenddato].[Dimittenddato].&amp;[2015-08-29T00:00:00]">
        <tpls c="1">
          <tpl fld="7" item="359"/>
        </tpls>
      </query>
      <query mdx="[Dimittenddato].[Dimittenddato].&amp;[2015-08-25T00:00:00]">
        <tpls c="1">
          <tpl fld="7" item="360"/>
        </tpls>
      </query>
      <query mdx="[Dimittenddato].[Dimittenddato].&amp;[2015-08-21T00:00:00]">
        <tpls c="1">
          <tpl fld="7" item="361"/>
        </tpls>
      </query>
      <query mdx="[Dimittenddato].[Dimittenddato].&amp;[2015-08-17T00:00:00]">
        <tpls c="1">
          <tpl fld="7" item="362"/>
        </tpls>
      </query>
      <query mdx="[Dimittenddato].[Dimittenddato].&amp;[2015-08-13T00:00:00]">
        <tpls c="1">
          <tpl fld="7" item="363"/>
        </tpls>
      </query>
      <query mdx="[Dimittenddato].[Dimittenddato].&amp;[2015-08-09T00:00:00]">
        <tpls c="1">
          <tpl fld="7" item="364"/>
        </tpls>
      </query>
      <query mdx="[Dimittenddato].[Dimittenddato].&amp;[2015-08-05T00:00:00]">
        <tpls c="1">
          <tpl fld="7" item="365"/>
        </tpls>
      </query>
      <query mdx="[Dimittenddato].[Dimittenddato].&amp;[2015-08-01T00:00:00]">
        <tpls c="1">
          <tpl fld="7" item="366"/>
        </tpls>
      </query>
      <query mdx="[Dimittenddato].[Dimittenddato].&amp;[2015-07-28T00:00:00]">
        <tpls c="1">
          <tpl fld="7" item="367"/>
        </tpls>
      </query>
      <query mdx="[Dimittenddato].[Dimittenddato].&amp;[2015-07-24T00:00:00]">
        <tpls c="1">
          <tpl fld="7" item="368"/>
        </tpls>
      </query>
      <query mdx="[Dimittenddato].[Dimittenddato].&amp;[2015-07-20T00:00:00]">
        <tpls c="1">
          <tpl fld="7" item="369"/>
        </tpls>
      </query>
      <query mdx="[Dimittenddato].[Dimittenddato].&amp;[2015-07-16T00:00:00]">
        <tpls c="1">
          <tpl fld="7" item="370"/>
        </tpls>
      </query>
      <query mdx="[Dimittenddato].[Dimittenddato].&amp;[2015-07-12T00:00:00]">
        <tpls c="1">
          <tpl fld="7" item="371"/>
        </tpls>
      </query>
      <query mdx="[Dimittenddato].[Dimittenddato].&amp;[2015-07-08T00:00:00]">
        <tpls c="1">
          <tpl fld="7" item="372"/>
        </tpls>
      </query>
      <query mdx="[Dimittenddato].[Dimittenddato].&amp;[2015-07-04T00:00:00]">
        <tpls c="1">
          <tpl fld="7" item="373"/>
        </tpls>
      </query>
      <query mdx="[Dimittenddato].[Dimittenddato].&amp;[2015-06-30T00:00:00]">
        <tpls c="1">
          <tpl fld="7" item="374"/>
        </tpls>
      </query>
      <query mdx="[Dimittenddato].[Dimittenddato].&amp;[2015-06-26T00:00:00]">
        <tpls c="1">
          <tpl fld="7" item="375"/>
        </tpls>
      </query>
      <query mdx="[Dimittenddato].[Dimittenddato].&amp;[2015-06-22T00:00:00]">
        <tpls c="1">
          <tpl fld="7" item="376"/>
        </tpls>
      </query>
      <query mdx="[Dimittenddato].[Dimittenddato].&amp;[2015-06-18T00:00:00]">
        <tpls c="1">
          <tpl fld="7" item="377"/>
        </tpls>
      </query>
      <query mdx="[Dimittenddato].[Dimittenddato].&amp;[2015-06-14T00:00:00]">
        <tpls c="1">
          <tpl fld="7" item="378"/>
        </tpls>
      </query>
      <query mdx="[Dimittenddato].[Dimittenddato].&amp;[2015-06-10T00:00:00]">
        <tpls c="1">
          <tpl fld="7" item="379"/>
        </tpls>
      </query>
      <query mdx="[Dimittenddato].[Dimittenddato].&amp;[2015-06-06T00:00:00]">
        <tpls c="1">
          <tpl fld="7" item="380"/>
        </tpls>
      </query>
      <query mdx="[Dimittenddato].[Dimittenddato].&amp;[2015-06-02T00:00:00]">
        <tpls c="1">
          <tpl fld="7" item="381"/>
        </tpls>
      </query>
      <query mdx="[Dimittenddato].[Dimittenddato].&amp;[2014-08-29T00:00:00]">
        <tpls c="1">
          <tpl fld="7" item="382"/>
        </tpls>
      </query>
      <query mdx="[Dimittenddato].[Dimittenddato].&amp;[2014-08-25T00:00:00]">
        <tpls c="1">
          <tpl fld="7" item="383"/>
        </tpls>
      </query>
      <query mdx="[Dimittenddato].[Dimittenddato].&amp;[2014-08-21T00:00:00]">
        <tpls c="1">
          <tpl fld="7" item="384"/>
        </tpls>
      </query>
      <query mdx="[Dimittenddato].[Dimittenddato].&amp;[2014-08-17T00:00:00]">
        <tpls c="1">
          <tpl fld="7" item="385"/>
        </tpls>
      </query>
      <query mdx="[Dimittenddato].[Dimittenddato].&amp;[2014-08-13T00:00:00]">
        <tpls c="1">
          <tpl fld="7" item="386"/>
        </tpls>
      </query>
      <query mdx="[Dimittenddato].[Dimittenddato].&amp;[2014-08-09T00:00:00]">
        <tpls c="1">
          <tpl fld="7" item="387"/>
        </tpls>
      </query>
      <query mdx="[Dimittenddato].[Dimittenddato].&amp;[2014-08-05T00:00:00]">
        <tpls c="1">
          <tpl fld="7" item="388"/>
        </tpls>
      </query>
      <query mdx="[Dimittenddato].[Dimittenddato].&amp;[2014-08-01T00:00:00]">
        <tpls c="1">
          <tpl fld="7" item="389"/>
        </tpls>
      </query>
      <query mdx="[Dimittenddato].[Dimittenddato].&amp;[2014-07-28T00:00:00]">
        <tpls c="1">
          <tpl fld="7" item="390"/>
        </tpls>
      </query>
      <query mdx="[Dimittenddato].[Dimittenddato].&amp;[2014-07-24T00:00:00]">
        <tpls c="1">
          <tpl fld="7" item="391"/>
        </tpls>
      </query>
      <query mdx="[Dimittenddato].[Dimittenddato].&amp;[2014-07-20T00:00:00]">
        <tpls c="1">
          <tpl fld="7" item="392"/>
        </tpls>
      </query>
      <query mdx="[Dimittenddato].[Dimittenddato].&amp;[2014-07-16T00:00:00]">
        <tpls c="1">
          <tpl fld="7" item="393"/>
        </tpls>
      </query>
      <query mdx="[Dimittenddato].[Dimittenddato].&amp;[2014-07-12T00:00:00]">
        <tpls c="1">
          <tpl fld="7" item="394"/>
        </tpls>
      </query>
      <query mdx="[Dimittenddato].[Dimittenddato].&amp;[2014-07-08T00:00:00]">
        <tpls c="1">
          <tpl fld="7" item="395"/>
        </tpls>
      </query>
      <query mdx="[Kandidatalder].[Kandidatalder Gruppe Niveau1].[All].[15- år]">
        <tpls c="1">
          <tpl fld="5" item="5"/>
        </tpls>
      </query>
      <query mdx="[Alder].[Aldersgruppe 10 års interval].[All].[30-39 år]">
        <tpls c="1">
          <tpl fld="3" item="4"/>
        </tpls>
      </query>
      <query mdx="[Dimittenddato].[Dimittenddato].&amp;[2020-08-20T00:00:00]">
        <tpls c="1">
          <tpl fld="7" item="396"/>
        </tpls>
      </query>
      <query mdx="[Dimittenddato].[Dimittenddato].&amp;[2020-08-04T00:00:00]">
        <tpls c="1">
          <tpl fld="7" item="397"/>
        </tpls>
      </query>
      <query mdx="[Dimittenddato].[Dimittenddato].&amp;[2020-07-19T00:00:00]">
        <tpls c="1">
          <tpl fld="7" item="398"/>
        </tpls>
      </query>
      <query mdx="[Dimittenddato].[Dimittenddato].&amp;[2020-07-03T00:00:00]">
        <tpls c="1">
          <tpl fld="7" item="399"/>
        </tpls>
      </query>
      <query mdx="[Dimittenddato].[Dimittenddato].&amp;[2020-06-17T00:00:00]">
        <tpls c="1">
          <tpl fld="7" item="400"/>
        </tpls>
      </query>
      <query mdx="[Dimittenddato].[Dimittenddato].&amp;[2020-06-01T00:00:00]">
        <tpls c="1">
          <tpl fld="7" item="401"/>
        </tpls>
      </query>
      <query mdx="[Dimittenddato].[Dimittenddato].&amp;[2019-08-16T00:00:00]">
        <tpls c="1">
          <tpl fld="7" item="402"/>
        </tpls>
      </query>
      <query mdx="[Dimittenddato].[Dimittenddato].&amp;[2019-07-31T00:00:00]">
        <tpls c="1">
          <tpl fld="7" item="403"/>
        </tpls>
      </query>
      <query mdx="[Dimittenddato].[Dimittenddato].&amp;[2019-07-15T00:00:00]">
        <tpls c="1">
          <tpl fld="7" item="404"/>
        </tpls>
      </query>
      <query mdx="[Dimittenddato].[Dimittenddato].&amp;[2019-06-29T00:00:00]">
        <tpls c="1">
          <tpl fld="7" item="405"/>
        </tpls>
      </query>
      <query mdx="[Dimittenddato].[Dimittenddato].&amp;[2019-06-13T00:00:00]">
        <tpls c="1">
          <tpl fld="7" item="406"/>
        </tpls>
      </query>
      <query mdx="[Dimittenddato].[Dimittenddato].&amp;[2018-08-28T00:00:00]">
        <tpls c="1">
          <tpl fld="7" item="407"/>
        </tpls>
      </query>
      <query mdx="[Dimittenddato].[Dimittenddato].&amp;[2018-08-12T00:00:00]">
        <tpls c="1">
          <tpl fld="7" item="408"/>
        </tpls>
      </query>
      <query mdx="[Dimittenddato].[Dimittenddato].&amp;[2018-07-27T00:00:00]">
        <tpls c="1">
          <tpl fld="7" item="409"/>
        </tpls>
      </query>
      <query mdx="[Dimittenddato].[Dimittenddato].&amp;[2018-07-11T00:00:00]">
        <tpls c="1">
          <tpl fld="7" item="410"/>
        </tpls>
      </query>
      <query mdx="[Dimittenddato].[Dimittenddato].&amp;[2018-06-25T00:00:00]">
        <tpls c="1">
          <tpl fld="7" item="411"/>
        </tpls>
      </query>
      <query mdx="[Dimittenddato].[Dimittenddato].&amp;[2018-06-09T00:00:00]">
        <tpls c="1">
          <tpl fld="7" item="412"/>
        </tpls>
      </query>
      <query mdx="[Dimittenddato].[Dimittenddato].&amp;[2017-08-24T00:00:00]">
        <tpls c="1">
          <tpl fld="7" item="413"/>
        </tpls>
      </query>
      <query mdx="[Dimittenddato].[Dimittenddato].&amp;[2017-08-08T00:00:00]">
        <tpls c="1">
          <tpl fld="7" item="414"/>
        </tpls>
      </query>
      <query mdx="[Dimittenddato].[Dimittenddato].&amp;[2017-07-23T00:00:00]">
        <tpls c="1">
          <tpl fld="7" item="415"/>
        </tpls>
      </query>
      <query mdx="[Dimittenddato].[Dimittenddato].&amp;[2017-07-07T00:00:00]">
        <tpls c="1">
          <tpl fld="7" item="416"/>
        </tpls>
      </query>
      <query mdx="[Dimittenddato].[Dimittenddato].&amp;[2017-06-21T00:00:00]">
        <tpls c="1">
          <tpl fld="7" item="417"/>
        </tpls>
      </query>
      <query mdx="[Dimittenddato].[Dimittenddato].&amp;[2017-06-05T00:00:00]">
        <tpls c="1">
          <tpl fld="7" item="418"/>
        </tpls>
      </query>
      <query mdx="[Dimittenddato].[Dimittenddato].&amp;[2016-08-20T00:00:00]">
        <tpls c="1">
          <tpl fld="7" item="419"/>
        </tpls>
      </query>
      <query mdx="[Dimittenddato].[Dimittenddato].&amp;[2016-08-04T00:00:00]">
        <tpls c="1">
          <tpl fld="7" item="420"/>
        </tpls>
      </query>
      <query mdx="[Dimittenddato].[Dimittenddato].&amp;[2016-07-19T00:00:00]">
        <tpls c="1">
          <tpl fld="7" item="421"/>
        </tpls>
      </query>
      <query mdx="[Dimittenddato].[Dimittenddato].&amp;[2016-07-03T00:00:00]">
        <tpls c="1">
          <tpl fld="7" item="422"/>
        </tpls>
      </query>
      <query mdx="[Dimittenddato].[Dimittenddato].&amp;[2016-06-25T00:00:00]">
        <tpls c="1">
          <tpl fld="7" item="423"/>
        </tpls>
      </query>
      <query mdx="[Dimittenddato].[Dimittenddato].&amp;[2016-06-21T00:00:00]">
        <tpls c="1">
          <tpl fld="7" item="424"/>
        </tpls>
      </query>
      <query mdx="[Dimittenddato].[Dimittenddato].&amp;[2016-06-17T00:00:00]">
        <tpls c="1">
          <tpl fld="7" item="425"/>
        </tpls>
      </query>
      <query mdx="[Dimittenddato].[Dimittenddato].&amp;[2016-06-13T00:00:00]">
        <tpls c="1">
          <tpl fld="7" item="426"/>
        </tpls>
      </query>
      <query mdx="[Dimittenddato].[Dimittenddato].&amp;[2016-06-09T00:00:00]">
        <tpls c="1">
          <tpl fld="7" item="427"/>
        </tpls>
      </query>
      <query mdx="[Dimittenddato].[Dimittenddato].&amp;[2016-06-05T00:00:00]">
        <tpls c="1">
          <tpl fld="7" item="428"/>
        </tpls>
      </query>
      <query mdx="[Dimittenddato].[Dimittenddato].&amp;[2016-06-01T00:00:00]">
        <tpls c="1">
          <tpl fld="7" item="429"/>
        </tpls>
      </query>
      <query mdx="[Dimittenddato].[Dimittenddato].&amp;[2015-08-28T00:00:00]">
        <tpls c="1">
          <tpl fld="7" item="430"/>
        </tpls>
      </query>
      <query mdx="[Dimittenddato].[Dimittenddato].&amp;[2015-08-24T00:00:00]">
        <tpls c="1">
          <tpl fld="7" item="431"/>
        </tpls>
      </query>
      <query mdx="[Dimittenddato].[Dimittenddato].&amp;[2015-08-20T00:00:00]">
        <tpls c="1">
          <tpl fld="7" item="432"/>
        </tpls>
      </query>
      <query mdx="[Dimittenddato].[Dimittenddato].&amp;[2015-08-16T00:00:00]">
        <tpls c="1">
          <tpl fld="7" item="433"/>
        </tpls>
      </query>
      <query mdx="[Dimittenddato].[Dimittenddato].&amp;[2015-08-12T00:00:00]">
        <tpls c="1">
          <tpl fld="7" item="434"/>
        </tpls>
      </query>
      <query mdx="[Dimittenddato].[Dimittenddato].&amp;[2015-08-08T00:00:00]">
        <tpls c="1">
          <tpl fld="7" item="435"/>
        </tpls>
      </query>
      <query mdx="[Dimittenddato].[Dimittenddato].&amp;[2015-08-04T00:00:00]">
        <tpls c="1">
          <tpl fld="7" item="436"/>
        </tpls>
      </query>
      <query mdx="[Dimittenddato].[Dimittenddato].&amp;[2015-07-31T00:00:00]">
        <tpls c="1">
          <tpl fld="7" item="437"/>
        </tpls>
      </query>
      <query mdx="[Dimittenddato].[Dimittenddato].&amp;[2015-07-27T00:00:00]">
        <tpls c="1">
          <tpl fld="7" item="438"/>
        </tpls>
      </query>
      <query mdx="[Dimittenddato].[Dimittenddato].&amp;[2015-07-23T00:00:00]">
        <tpls c="1">
          <tpl fld="7" item="439"/>
        </tpls>
      </query>
      <query mdx="[Dimittenddato].[Dimittenddato].&amp;[2015-07-19T00:00:00]">
        <tpls c="1">
          <tpl fld="7" item="440"/>
        </tpls>
      </query>
      <query mdx="[Dimittenddato].[Dimittenddato].&amp;[2015-07-15T00:00:00]">
        <tpls c="1">
          <tpl fld="7" item="441"/>
        </tpls>
      </query>
      <query mdx="[Dimittenddato].[Dimittenddato].&amp;[2015-07-11T00:00:00]">
        <tpls c="1">
          <tpl fld="7" item="442"/>
        </tpls>
      </query>
      <query mdx="[Dimittenddato].[Dimittenddato].&amp;[2015-07-07T00:00:00]">
        <tpls c="1">
          <tpl fld="7" item="443"/>
        </tpls>
      </query>
      <query mdx="[Dimittenddato].[Dimittenddato].&amp;[2015-07-03T00:00:00]">
        <tpls c="1">
          <tpl fld="7" item="444"/>
        </tpls>
      </query>
      <query mdx="[Dimittenddato].[Dimittenddato].&amp;[2015-06-29T00:00:00]">
        <tpls c="1">
          <tpl fld="7" item="445"/>
        </tpls>
      </query>
      <query mdx="[Dimittenddato].[Dimittenddato].&amp;[2015-06-25T00:00:00]">
        <tpls c="1">
          <tpl fld="7" item="446"/>
        </tpls>
      </query>
      <query mdx="[Dimittenddato].[Dimittenddato].&amp;[2015-06-21T00:00:00]">
        <tpls c="1">
          <tpl fld="7" item="447"/>
        </tpls>
      </query>
      <query mdx="[Dimittenddato].[Dimittenddato].&amp;[2015-06-17T00:00:00]">
        <tpls c="1">
          <tpl fld="7" item="448"/>
        </tpls>
      </query>
      <query mdx="[Dimittenddato].[Dimittenddato].&amp;[2015-06-13T00:00:00]">
        <tpls c="1">
          <tpl fld="7" item="449"/>
        </tpls>
      </query>
      <query mdx="[Dimittenddato].[Dimittenddato].&amp;[2015-06-09T00:00:00]">
        <tpls c="1">
          <tpl fld="7" item="450"/>
        </tpls>
      </query>
      <query mdx="[Dimittenddato].[Dimittenddato].&amp;[2015-06-05T00:00:00]">
        <tpls c="1">
          <tpl fld="7" item="451"/>
        </tpls>
      </query>
      <query mdx="[Dimittenddato].[Dimittenddato].&amp;[2015-06-01T00:00:00]">
        <tpls c="1">
          <tpl fld="7" item="452"/>
        </tpls>
      </query>
      <query mdx="[Dimittenddato].[Dimittenddato].&amp;[2014-08-28T00:00:00]">
        <tpls c="1">
          <tpl fld="7" item="453"/>
        </tpls>
      </query>
      <query mdx="[Dimittenddato].[Dimittenddato].&amp;[2014-08-24T00:00:00]">
        <tpls c="1">
          <tpl fld="7" item="454"/>
        </tpls>
      </query>
      <query mdx="[Dimittenddato].[Dimittenddato].&amp;[2014-08-20T00:00:00]">
        <tpls c="1">
          <tpl fld="7" item="455"/>
        </tpls>
      </query>
      <query mdx="[Dimittenddato].[Dimittenddato].&amp;[2014-08-16T00:00:00]">
        <tpls c="1">
          <tpl fld="7" item="456"/>
        </tpls>
      </query>
      <query mdx="[Dimittenddato].[Dimittenddato].&amp;[2014-08-12T00:00:00]">
        <tpls c="1">
          <tpl fld="7" item="457"/>
        </tpls>
      </query>
      <query mdx="[Dimittenddato].[Dimittenddato].&amp;[2014-08-08T00:00:00]">
        <tpls c="1">
          <tpl fld="7" item="458"/>
        </tpls>
      </query>
      <query mdx="[Dimittenddato].[Dimittenddato].&amp;[2014-08-04T00:00:00]">
        <tpls c="1">
          <tpl fld="7" item="459"/>
        </tpls>
      </query>
      <query mdx="[Dimittenddato].[Dimittenddato].&amp;[2014-07-31T00:00:00]">
        <tpls c="1">
          <tpl fld="7" item="460"/>
        </tpls>
      </query>
      <query mdx="[Dimittenddato].[Dimittenddato].&amp;[2014-07-27T00:00:00]">
        <tpls c="1">
          <tpl fld="7" item="461"/>
        </tpls>
      </query>
      <query mdx="[Dimittenddato].[Dimittenddato].&amp;[2014-07-23T00:00:00]">
        <tpls c="1">
          <tpl fld="7" item="462"/>
        </tpls>
      </query>
      <query mdx="[Dimittenddato].[Dimittenddato].&amp;[2014-07-19T00:00:00]">
        <tpls c="1">
          <tpl fld="7" item="463"/>
        </tpls>
      </query>
      <query mdx="[Dimittenddato].[Dimittenddato].&amp;[2014-07-15T00:00:00]">
        <tpls c="1">
          <tpl fld="7" item="464"/>
        </tpls>
      </query>
      <query mdx="[Dimittenddato].[Dimittenddato].&amp;[2014-07-11T00:00:00]">
        <tpls c="1">
          <tpl fld="7" item="465"/>
        </tpls>
      </query>
      <query mdx="[Dimittenddato].[Dimittenddato].&amp;[2020-08-28T00:00:00]">
        <tpls c="1">
          <tpl fld="7" item="466"/>
        </tpls>
      </query>
      <query mdx="[Dimittenddato].[Dimittenddato].&amp;[2020-08-12T00:00:00]">
        <tpls c="1">
          <tpl fld="7" item="467"/>
        </tpls>
      </query>
      <query mdx="[Dimittenddato].[Dimittenddato].&amp;[2020-07-27T00:00:00]">
        <tpls c="1">
          <tpl fld="7" item="468"/>
        </tpls>
      </query>
      <query mdx="[Dimittenddato].[Dimittenddato].&amp;[2020-07-11T00:00:00]">
        <tpls c="1">
          <tpl fld="7" item="469"/>
        </tpls>
      </query>
      <query mdx="[Dimittenddato].[Dimittenddato].&amp;[2020-06-25T00:00:00]">
        <tpls c="1">
          <tpl fld="7" item="470"/>
        </tpls>
      </query>
      <query mdx="[Dimittenddato].[Dimittenddato].&amp;[2020-06-09T00:00:00]">
        <tpls c="1">
          <tpl fld="7" item="471"/>
        </tpls>
      </query>
      <query mdx="[Dimittenddato].[Dimittenddato].&amp;[2019-08-24T00:00:00]">
        <tpls c="1">
          <tpl fld="7" item="472"/>
        </tpls>
      </query>
      <query mdx="[Dimittenddato].[Dimittenddato].&amp;[2019-08-08T00:00:00]">
        <tpls c="1">
          <tpl fld="7" item="473"/>
        </tpls>
      </query>
      <query mdx="[Dimittenddato].[Dimittenddato].&amp;[2019-07-23T00:00:00]">
        <tpls c="1">
          <tpl fld="7" item="474"/>
        </tpls>
      </query>
      <query mdx="[Dimittenddato].[Dimittenddato].&amp;[2019-07-07T00:00:00]">
        <tpls c="1">
          <tpl fld="7" item="475"/>
        </tpls>
      </query>
      <query mdx="[Dimittenddato].[Dimittenddato].&amp;[2019-06-21T00:00:00]">
        <tpls c="1">
          <tpl fld="7" item="476"/>
        </tpls>
      </query>
      <query mdx="[Dimittenddato].[Dimittenddato].&amp;[2019-06-05T00:00:00]">
        <tpls c="1">
          <tpl fld="7" item="477"/>
        </tpls>
      </query>
      <query mdx="[Dimittenddato].[Dimittenddato].&amp;[2018-08-20T00:00:00]">
        <tpls c="1">
          <tpl fld="7" item="478"/>
        </tpls>
      </query>
      <query mdx="[Dimittenddato].[Dimittenddato].&amp;[2018-08-04T00:00:00]">
        <tpls c="1">
          <tpl fld="7" item="479"/>
        </tpls>
      </query>
      <query mdx="[Dimittenddato].[Dimittenddato].&amp;[2018-07-19T00:00:00]">
        <tpls c="1">
          <tpl fld="7" item="480"/>
        </tpls>
      </query>
      <query mdx="[Dimittenddato].[Dimittenddato].&amp;[2018-07-03T00:00:00]">
        <tpls c="1">
          <tpl fld="7" item="481"/>
        </tpls>
      </query>
      <query mdx="[Dimittenddato].[Dimittenddato].&amp;[2018-06-17T00:00:00]">
        <tpls c="1">
          <tpl fld="7" item="482"/>
        </tpls>
      </query>
      <query mdx="[Dimittenddato].[Dimittenddato].&amp;[2018-06-01T00:00:00]">
        <tpls c="1">
          <tpl fld="7" item="483"/>
        </tpls>
      </query>
      <query mdx="[Dimittenddato].[Dimittenddato].&amp;[2017-08-16T00:00:00]">
        <tpls c="1">
          <tpl fld="7" item="484"/>
        </tpls>
      </query>
      <query mdx="[Dimittenddato].[Dimittenddato].&amp;[2017-07-31T00:00:00]">
        <tpls c="1">
          <tpl fld="7" item="485"/>
        </tpls>
      </query>
      <query mdx="[Dimittenddato].[Dimittenddato].&amp;[2017-07-15T00:00:00]">
        <tpls c="1">
          <tpl fld="7" item="486"/>
        </tpls>
      </query>
      <query mdx="[Dimittenddato].[Dimittenddato].&amp;[2017-06-29T00:00:00]">
        <tpls c="1">
          <tpl fld="7" item="487"/>
        </tpls>
      </query>
      <query mdx="[Dimittenddato].[Dimittenddato].&amp;[2017-06-13T00:00:00]">
        <tpls c="1">
          <tpl fld="7" item="488"/>
        </tpls>
      </query>
      <query mdx="[Dimittenddato].[Dimittenddato].&amp;[2016-08-28T00:00:00]">
        <tpls c="1">
          <tpl fld="7" item="489"/>
        </tpls>
      </query>
      <query mdx="[Dimittenddato].[Dimittenddato].&amp;[2016-08-12T00:00:00]">
        <tpls c="1">
          <tpl fld="7" item="490"/>
        </tpls>
      </query>
      <query mdx="[Dimittenddato].[Dimittenddato].&amp;[2016-07-27T00:00:00]">
        <tpls c="1">
          <tpl fld="7" item="491"/>
        </tpls>
      </query>
      <query mdx="[Dimittenddato].[Dimittenddato].&amp;[2016-07-11T00:00:00]">
        <tpls c="1">
          <tpl fld="7" item="492"/>
        </tpls>
      </query>
      <query mdx="[Dimittenddato].[Dimittenddato].&amp;[2016-06-27T00:00:00]">
        <tpls c="1">
          <tpl fld="7" item="493"/>
        </tpls>
      </query>
      <query mdx="[Dimittenddato].[Dimittenddato].&amp;[2016-06-23T00:00:00]">
        <tpls c="1">
          <tpl fld="7" item="494"/>
        </tpls>
      </query>
      <query mdx="[Dimittenddato].[Dimittenddato].&amp;[2016-06-19T00:00:00]">
        <tpls c="1">
          <tpl fld="7" item="495"/>
        </tpls>
      </query>
      <query mdx="[Dimittenddato].[Dimittenddato].&amp;[2016-06-15T00:00:00]">
        <tpls c="1">
          <tpl fld="7" item="496"/>
        </tpls>
      </query>
      <query mdx="[Dimittenddato].[Dimittenddato].&amp;[2016-06-11T00:00:00]">
        <tpls c="1">
          <tpl fld="7" item="497"/>
        </tpls>
      </query>
      <query mdx="[Dimittenddato].[Dimittenddato].&amp;[2016-06-07T00:00:00]">
        <tpls c="1">
          <tpl fld="7" item="498"/>
        </tpls>
      </query>
      <query mdx="[Dimittenddato].[Dimittenddato].&amp;[2016-06-03T00:00:00]">
        <tpls c="1">
          <tpl fld="7" item="499"/>
        </tpls>
      </query>
      <query mdx="[Dimittenddato].[Dimittenddato].&amp;[2015-08-30T00:00:00]">
        <tpls c="1">
          <tpl fld="7" item="500"/>
        </tpls>
      </query>
      <query mdx="[Dimittenddato].[Dimittenddato].&amp;[2015-08-26T00:00:00]">
        <tpls c="1">
          <tpl fld="7" item="501"/>
        </tpls>
      </query>
      <query mdx="[Dimittenddato].[Dimittenddato].&amp;[2015-08-22T00:00:00]">
        <tpls c="1">
          <tpl fld="7" item="502"/>
        </tpls>
      </query>
      <query mdx="[Dimittenddato].[Dimittenddato].&amp;[2015-08-18T00:00:00]">
        <tpls c="1">
          <tpl fld="7" item="503"/>
        </tpls>
      </query>
      <query mdx="[Dimittenddato].[Dimittenddato].&amp;[2015-08-14T00:00:00]">
        <tpls c="1">
          <tpl fld="7" item="504"/>
        </tpls>
      </query>
      <query mdx="[Dimittenddato].[Dimittenddato].&amp;[2015-08-10T00:00:00]">
        <tpls c="1">
          <tpl fld="7" item="505"/>
        </tpls>
      </query>
      <query mdx="[Dimittenddato].[Dimittenddato].&amp;[2015-08-06T00:00:00]">
        <tpls c="1">
          <tpl fld="7" item="506"/>
        </tpls>
      </query>
      <query mdx="[Dimittenddato].[Dimittenddato].&amp;[2015-08-02T00:00:00]">
        <tpls c="1">
          <tpl fld="7" item="507"/>
        </tpls>
      </query>
      <query mdx="[Dimittenddato].[Dimittenddato].&amp;[2015-07-29T00:00:00]">
        <tpls c="1">
          <tpl fld="7" item="508"/>
        </tpls>
      </query>
      <query mdx="[Dimittenddato].[Dimittenddato].&amp;[2015-07-25T00:00:00]">
        <tpls c="1">
          <tpl fld="7" item="509"/>
        </tpls>
      </query>
      <query mdx="[Dimittenddato].[Dimittenddato].&amp;[2015-07-21T00:00:00]">
        <tpls c="1">
          <tpl fld="7" item="510"/>
        </tpls>
      </query>
      <query mdx="[Dimittenddato].[Dimittenddato].&amp;[2015-07-17T00:00:00]">
        <tpls c="1">
          <tpl fld="7" item="511"/>
        </tpls>
      </query>
      <query mdx="[Dimittenddato].[Dimittenddato].&amp;[2015-07-13T00:00:00]">
        <tpls c="1">
          <tpl fld="7" item="512"/>
        </tpls>
      </query>
      <query mdx="[Dimittenddato].[Dimittenddato].&amp;[2015-07-09T00:00:00]">
        <tpls c="1">
          <tpl fld="7" item="513"/>
        </tpls>
      </query>
      <query mdx="[Dimittenddato].[Dimittenddato].&amp;[2015-07-05T00:00:00]">
        <tpls c="1">
          <tpl fld="7" item="514"/>
        </tpls>
      </query>
      <query mdx="[Dimittenddato].[Dimittenddato].&amp;[2015-07-01T00:00:00]">
        <tpls c="1">
          <tpl fld="7" item="515"/>
        </tpls>
      </query>
      <query mdx="[Dimittenddato].[Dimittenddato].&amp;[2015-06-27T00:00:00]">
        <tpls c="1">
          <tpl fld="7" item="516"/>
        </tpls>
      </query>
      <query mdx="[Dimittenddato].[Dimittenddato].&amp;[2015-06-23T00:00:00]">
        <tpls c="1">
          <tpl fld="7" item="517"/>
        </tpls>
      </query>
      <query mdx="[Dimittenddato].[Dimittenddato].&amp;[2015-06-19T00:00:00]">
        <tpls c="1">
          <tpl fld="7" item="518"/>
        </tpls>
      </query>
      <query mdx="[Dimittenddato].[Dimittenddato].&amp;[2015-06-15T00:00:00]">
        <tpls c="1">
          <tpl fld="7" item="519"/>
        </tpls>
      </query>
      <query mdx="[Dimittenddato].[Dimittenddato].&amp;[2015-06-11T00:00:00]">
        <tpls c="1">
          <tpl fld="7" item="520"/>
        </tpls>
      </query>
      <query mdx="[Dimittenddato].[Dimittenddato].&amp;[2015-06-07T00:00:00]">
        <tpls c="1">
          <tpl fld="7" item="521"/>
        </tpls>
      </query>
      <query mdx="[Dimittenddato].[Dimittenddato].&amp;[2015-06-03T00:00:00]">
        <tpls c="1">
          <tpl fld="7" item="522"/>
        </tpls>
      </query>
      <query mdx="[Dimittenddato].[Dimittenddato].&amp;[2014-08-30T00:00:00]">
        <tpls c="1">
          <tpl fld="7" item="523"/>
        </tpls>
      </query>
      <query mdx="[Dimittenddato].[Dimittenddato].&amp;[2014-08-26T00:00:00]">
        <tpls c="1">
          <tpl fld="7" item="524"/>
        </tpls>
      </query>
      <query mdx="[Dimittenddato].[Dimittenddato].&amp;[2014-08-22T00:00:00]">
        <tpls c="1">
          <tpl fld="7" item="525"/>
        </tpls>
      </query>
      <query mdx="[Dimittenddato].[Dimittenddato].&amp;[2014-08-18T00:00:00]">
        <tpls c="1">
          <tpl fld="7" item="526"/>
        </tpls>
      </query>
      <query mdx="[Dimittenddato].[Dimittenddato].&amp;[2014-08-14T00:00:00]">
        <tpls c="1">
          <tpl fld="7" item="527"/>
        </tpls>
      </query>
      <query mdx="[Dimittenddato].[Dimittenddato].&amp;[2014-08-10T00:00:00]">
        <tpls c="1">
          <tpl fld="7" item="528"/>
        </tpls>
      </query>
      <query mdx="[Dimittenddato].[Dimittenddato].&amp;[2014-08-06T00:00:00]">
        <tpls c="1">
          <tpl fld="7" item="529"/>
        </tpls>
      </query>
      <query mdx="[Dimittenddato].[Dimittenddato].&amp;[2014-08-02T00:00:00]">
        <tpls c="1">
          <tpl fld="7" item="530"/>
        </tpls>
      </query>
      <query mdx="[Dimittenddato].[Dimittenddato].&amp;[2014-07-29T00:00:00]">
        <tpls c="1">
          <tpl fld="7" item="531"/>
        </tpls>
      </query>
      <query mdx="[Dimittenddato].[Dimittenddato].&amp;[2014-07-25T00:00:00]">
        <tpls c="1">
          <tpl fld="7" item="532"/>
        </tpls>
      </query>
      <query mdx="[Dimittenddato].[Dimittenddato].&amp;[2014-07-21T00:00:00]">
        <tpls c="1">
          <tpl fld="7" item="533"/>
        </tpls>
      </query>
      <query mdx="[Dimittenddato].[Dimittenddato].&amp;[2014-07-17T00:00:00]">
        <tpls c="1">
          <tpl fld="7" item="534"/>
        </tpls>
      </query>
      <query mdx="[Dimittenddato].[Dimittenddato].&amp;[2014-07-13T00:00:00]">
        <tpls c="1">
          <tpl fld="7" item="535"/>
        </tpls>
      </query>
      <query mdx="[Dimittenddato].[Dimittenddato].&amp;[2014-07-09T00:00:00]">
        <tpls c="1">
          <tpl fld="7" item="536"/>
        </tpls>
      </query>
      <query mdx="[Dimittenddato].[Dimittenddato].&amp;[2014-07-05T00:00:00]">
        <tpls c="1">
          <tpl fld="7" item="537"/>
        </tpls>
      </query>
      <query mdx="[Dimittenddato].[Dimittenddato].&amp;[2014-07-01T00:00:00]">
        <tpls c="1">
          <tpl fld="7" item="538"/>
        </tpls>
      </query>
      <query mdx="[Dimittenddato].[Dimittenddato].&amp;[2014-06-27T00:00:00]">
        <tpls c="1">
          <tpl fld="7" item="539"/>
        </tpls>
      </query>
      <query mdx="[Dimittenddato].[Dimittenddato].&amp;[2014-06-23T00:00:00]">
        <tpls c="1">
          <tpl fld="7" item="540"/>
        </tpls>
      </query>
      <query mdx="[Dimittenddato].[Dimittenddato].&amp;[2014-06-19T00:00:00]">
        <tpls c="1">
          <tpl fld="7" item="541"/>
        </tpls>
      </query>
      <query mdx="[Dimittenddato].[Dimittenddato].&amp;[2014-06-15T00:00:00]">
        <tpls c="1">
          <tpl fld="7" item="542"/>
        </tpls>
      </query>
      <query mdx="[Dimittenddato].[Dimittenddato].&amp;[2014-06-11T00:00:00]">
        <tpls c="1">
          <tpl fld="7" item="543"/>
        </tpls>
      </query>
      <query mdx="[Dimittenddato].[Dimittenddato].&amp;[2014-06-07T00:00:00]">
        <tpls c="1">
          <tpl fld="7" item="544"/>
        </tpls>
      </query>
      <query mdx="[Dimittenddato].[Dimittenddato].&amp;[2014-06-03T00:00:00]">
        <tpls c="1">
          <tpl fld="7" item="545"/>
        </tpls>
      </query>
      <query mdx="[Dimittenddato].[Dimittenddato].&amp;[2013-08-30T00:00:00]">
        <tpls c="1">
          <tpl fld="7" item="546"/>
        </tpls>
      </query>
      <query mdx="[Dimittenddato].[Dimittenddato].&amp;[2013-08-26T00:00:00]">
        <tpls c="1">
          <tpl fld="7" item="547"/>
        </tpls>
      </query>
      <query mdx="[Dimittenddato].[Dimittenddato].&amp;[2013-08-22T00:00:00]">
        <tpls c="1">
          <tpl fld="7" item="548"/>
        </tpls>
      </query>
      <query mdx="[Dimittenddato].[Dimittenddato].&amp;[2013-08-18T00:00:00]">
        <tpls c="1">
          <tpl fld="7" item="549"/>
        </tpls>
      </query>
      <query mdx="[Dimittenddato].[Dimittenddato].&amp;[2013-08-14T00:00:00]">
        <tpls c="1">
          <tpl fld="7" item="550"/>
        </tpls>
      </query>
      <query mdx="[Dimittenddato].[Dimittenddato].&amp;[2013-08-10T00:00:00]">
        <tpls c="1">
          <tpl fld="7" item="551"/>
        </tpls>
      </query>
      <query mdx="[Dimittenddato].[Dimittenddato].&amp;[2013-08-06T00:00:00]">
        <tpls c="1">
          <tpl fld="7" item="552"/>
        </tpls>
      </query>
      <query mdx="[Dimittenddato].[Dimittenddato].&amp;[2013-08-02T00:00:00]">
        <tpls c="1">
          <tpl fld="7" item="553"/>
        </tpls>
      </query>
      <query mdx="[Dimittenddato].[Dimittenddato].&amp;[2013-07-29T00:00:00]">
        <tpls c="1">
          <tpl fld="7" item="554"/>
        </tpls>
      </query>
      <query mdx="[Dimittenddato].[Dimittenddato].&amp;[2013-07-25T00:00:00]">
        <tpls c="1">
          <tpl fld="7" item="555"/>
        </tpls>
      </query>
      <query mdx="[Dimittenddato].[Dimittenddato].&amp;[2013-07-21T00:00:00]">
        <tpls c="1">
          <tpl fld="7" item="556"/>
        </tpls>
      </query>
      <query mdx="[Dimittenddato].[Dimittenddato].&amp;[2013-07-17T00:00:00]">
        <tpls c="1">
          <tpl fld="7" item="557"/>
        </tpls>
      </query>
      <query mdx="[Dimittenddato].[Dimittenddato].&amp;[2013-07-13T00:00:00]">
        <tpls c="1">
          <tpl fld="7" item="558"/>
        </tpls>
      </query>
      <query mdx="[Dimittenddato].[Dimittenddato].&amp;[2013-07-09T00:00:00]">
        <tpls c="1">
          <tpl fld="7" item="559"/>
        </tpls>
      </query>
      <query mdx="[Dimittenddato].[Dimittenddato].&amp;[2013-07-05T00:00:00]">
        <tpls c="1">
          <tpl fld="7" item="560"/>
        </tpls>
      </query>
      <query mdx="[Dimittenddato].[Dimittenddato].&amp;[2013-07-01T00:00:00]">
        <tpls c="1">
          <tpl fld="7" item="561"/>
        </tpls>
      </query>
      <query mdx="[Dimittenddato].[Dimittenddato].&amp;[2013-06-27T00:00:00]">
        <tpls c="1">
          <tpl fld="7" item="562"/>
        </tpls>
      </query>
      <query mdx="[Dimittenddato].[Dimittenddato].&amp;[2013-06-23T00:00:00]">
        <tpls c="1">
          <tpl fld="7" item="563"/>
        </tpls>
      </query>
      <query mdx="[Dimittenddato].[Dimittenddato].&amp;[2013-06-19T00:00:00]">
        <tpls c="1">
          <tpl fld="7" item="564"/>
        </tpls>
      </query>
      <query mdx="[Dimittenddato].[Dimittenddato].&amp;[2013-06-15T00:00:00]">
        <tpls c="1">
          <tpl fld="7" item="565"/>
        </tpls>
      </query>
      <query mdx="[Dimittenddato].[Dimittenddato].&amp;[2013-06-11T00:00:00]">
        <tpls c="1">
          <tpl fld="7" item="566"/>
        </tpls>
      </query>
      <query mdx="[Dimittenddato].[Dimittenddato].&amp;[2013-06-07T00:00:00]">
        <tpls c="1">
          <tpl fld="7" item="567"/>
        </tpls>
      </query>
      <query mdx="[Dimittenddato].[Dimittenddato].&amp;[2013-06-03T00:00:00]">
        <tpls c="1">
          <tpl fld="7" item="568"/>
        </tpls>
      </query>
      <query mdx="[Dimittenddato].[Dimittenddato].&amp;[2012-08-30T00:00:00]">
        <tpls c="1">
          <tpl fld="7" item="569"/>
        </tpls>
      </query>
      <query mdx="[Dimittenddato].[Dimittenddato].&amp;[2012-08-26T00:00:00]">
        <tpls c="1">
          <tpl fld="7" item="570"/>
        </tpls>
      </query>
      <query mdx="[Dimittenddato].[Dimittenddato].&amp;[2012-08-22T00:00:00]">
        <tpls c="1">
          <tpl fld="7" item="571"/>
        </tpls>
      </query>
      <query mdx="[Dimittenddato].[Dimittenddato].&amp;[2012-08-18T00:00:00]">
        <tpls c="1">
          <tpl fld="7" item="572"/>
        </tpls>
      </query>
      <query mdx="[Dimittenddato].[Dimittenddato].&amp;[2012-08-14T00:00:00]">
        <tpls c="1">
          <tpl fld="7" item="573"/>
        </tpls>
      </query>
      <query mdx="[Dimittenddato].[Dimittenddato].&amp;[2012-08-10T00:00:00]">
        <tpls c="1">
          <tpl fld="7" item="574"/>
        </tpls>
      </query>
      <query mdx="[Dimittenddato].[Dimittenddato].&amp;[2012-08-06T00:00:00]">
        <tpls c="1">
          <tpl fld="7" item="575"/>
        </tpls>
      </query>
      <query mdx="[Dimittenddato].[Dimittenddato].&amp;[2012-08-02T00:00:00]">
        <tpls c="1">
          <tpl fld="7" item="576"/>
        </tpls>
      </query>
      <query mdx="[Dimittenddato].[Dimittenddato].&amp;[2012-07-29T00:00:00]">
        <tpls c="1">
          <tpl fld="7" item="577"/>
        </tpls>
      </query>
      <query mdx="[Dimittenddato].[Dimittenddato].&amp;[2012-07-25T00:00:00]">
        <tpls c="1">
          <tpl fld="7" item="578"/>
        </tpls>
      </query>
      <query mdx="[Dimittenddato].[Dimittenddato].&amp;[2012-07-21T00:00:00]">
        <tpls c="1">
          <tpl fld="7" item="579"/>
        </tpls>
      </query>
      <query mdx="[Dimittenddato].[Dimittenddato].&amp;[2012-07-17T00:00:00]">
        <tpls c="1">
          <tpl fld="7" item="580"/>
        </tpls>
      </query>
      <query mdx="[Dimittenddato].[Dimittenddato].&amp;[2012-07-13T00:00:00]">
        <tpls c="1">
          <tpl fld="7" item="581"/>
        </tpls>
      </query>
      <query mdx="[Dimittenddato].[Dimittenddato].&amp;[2012-07-09T00:00:00]">
        <tpls c="1">
          <tpl fld="7" item="582"/>
        </tpls>
      </query>
      <query mdx="[Dimittenddato].[Dimittenddato].&amp;[2012-07-05T00:00:00]">
        <tpls c="1">
          <tpl fld="7" item="583"/>
        </tpls>
      </query>
      <query mdx="[Dimittenddato].[Dimittenddato].&amp;[2012-07-01T00:00:00]">
        <tpls c="1">
          <tpl fld="7" item="584"/>
        </tpls>
      </query>
      <query mdx="[Dimittenddato].[Dimittenddato].&amp;[2012-06-27T00:00:00]">
        <tpls c="1">
          <tpl fld="7" item="585"/>
        </tpls>
      </query>
      <query mdx="[Dimittenddato].[Dimittenddato].&amp;[2012-06-23T00:00:00]">
        <tpls c="1">
          <tpl fld="7" item="586"/>
        </tpls>
      </query>
      <query mdx="[Dimittenddato].[Dimittenddato].&amp;[2012-06-19T00:00:00]">
        <tpls c="1">
          <tpl fld="7" item="587"/>
        </tpls>
      </query>
      <query mdx="[Dimittenddato].[Dimittenddato].&amp;[2012-06-15T00:00:00]">
        <tpls c="1">
          <tpl fld="7" item="588"/>
        </tpls>
      </query>
      <query mdx="[Medlem].[Køn].&amp;[Mand]">
        <tpls c="1">
          <tpl fld="8" item="1"/>
        </tpls>
      </query>
      <query mdx="[Dimittenddato].[Dimittenddato].&amp;[2020-06-29T00:00:00]">
        <tpls c="1">
          <tpl fld="7" item="589"/>
        </tpls>
      </query>
      <query mdx="[Dimittenddato].[Dimittenddato].&amp;[2019-07-27T00:00:00]">
        <tpls c="1">
          <tpl fld="7" item="590"/>
        </tpls>
      </query>
      <query mdx="[Dimittenddato].[Dimittenddato].&amp;[2018-08-24T00:00:00]">
        <tpls c="1">
          <tpl fld="7" item="591"/>
        </tpls>
      </query>
      <query mdx="[Dimittenddato].[Dimittenddato].&amp;[2018-06-21T00:00:00]">
        <tpls c="1">
          <tpl fld="7" item="592"/>
        </tpls>
      </query>
      <query mdx="[Dimittenddato].[Dimittenddato].&amp;[2017-07-19T00:00:00]">
        <tpls c="1">
          <tpl fld="7" item="593"/>
        </tpls>
      </query>
      <query mdx="[Dimittenddato].[Dimittenddato].&amp;[2016-08-16T00:00:00]">
        <tpls c="1">
          <tpl fld="7" item="594"/>
        </tpls>
      </query>
      <query mdx="[Dimittenddato].[Dimittenddato].&amp;[2016-06-24T00:00:00]">
        <tpls c="1">
          <tpl fld="7" item="595"/>
        </tpls>
      </query>
      <query mdx="[Dimittenddato].[Dimittenddato].&amp;[2016-06-08T00:00:00]">
        <tpls c="1">
          <tpl fld="7" item="596"/>
        </tpls>
      </query>
      <query mdx="[Dimittenddato].[Dimittenddato].&amp;[2015-08-23T00:00:00]">
        <tpls c="1">
          <tpl fld="7" item="597"/>
        </tpls>
      </query>
      <query mdx="[Dimittenddato].[Dimittenddato].&amp;[2015-08-07T00:00:00]">
        <tpls c="1">
          <tpl fld="7" item="598"/>
        </tpls>
      </query>
      <query mdx="[Dimittenddato].[Dimittenddato].&amp;[2015-07-22T00:00:00]">
        <tpls c="1">
          <tpl fld="7" item="599"/>
        </tpls>
      </query>
      <query mdx="[Dimittenddato].[Dimittenddato].&amp;[2015-07-06T00:00:00]">
        <tpls c="1">
          <tpl fld="7" item="600"/>
        </tpls>
      </query>
      <query mdx="[Dimittenddato].[Dimittenddato].&amp;[2015-06-20T00:00:00]">
        <tpls c="1">
          <tpl fld="7" item="601"/>
        </tpls>
      </query>
      <query mdx="[Dimittenddato].[Dimittenddato].&amp;[2015-06-04T00:00:00]">
        <tpls c="1">
          <tpl fld="7" item="602"/>
        </tpls>
      </query>
      <query mdx="[Dimittenddato].[Dimittenddato].&amp;[2014-08-19T00:00:00]">
        <tpls c="1">
          <tpl fld="7" item="603"/>
        </tpls>
      </query>
      <query mdx="[Dimittenddato].[Dimittenddato].&amp;[2014-08-03T00:00:00]">
        <tpls c="1">
          <tpl fld="7" item="604"/>
        </tpls>
      </query>
      <query mdx="[Dimittenddato].[Dimittenddato].&amp;[2014-07-18T00:00:00]">
        <tpls c="1">
          <tpl fld="7" item="605"/>
        </tpls>
      </query>
      <query mdx="[Dimittenddato].[Dimittenddato].&amp;[2014-07-06T00:00:00]">
        <tpls c="1">
          <tpl fld="7" item="606"/>
        </tpls>
      </query>
      <query mdx="[Dimittenddato].[Dimittenddato].&amp;[2014-06-30T00:00:00]">
        <tpls c="1">
          <tpl fld="7" item="607"/>
        </tpls>
      </query>
      <query mdx="[Dimittenddato].[Dimittenddato].&amp;[2014-06-25T00:00:00]">
        <tpls c="1">
          <tpl fld="7" item="608"/>
        </tpls>
      </query>
      <query mdx="[Dimittenddato].[Dimittenddato].&amp;[2014-06-20T00:00:00]">
        <tpls c="1">
          <tpl fld="7" item="609"/>
        </tpls>
      </query>
      <query mdx="[Dimittenddato].[Dimittenddato].&amp;[2014-06-14T00:00:00]">
        <tpls c="1">
          <tpl fld="7" item="610"/>
        </tpls>
      </query>
      <query mdx="[Dimittenddato].[Dimittenddato].&amp;[2014-06-09T00:00:00]">
        <tpls c="1">
          <tpl fld="7" item="611"/>
        </tpls>
      </query>
      <query mdx="[Dimittenddato].[Dimittenddato].&amp;[2014-06-04T00:00:00]">
        <tpls c="1">
          <tpl fld="7" item="612"/>
        </tpls>
      </query>
      <query mdx="[Dimittenddato].[Dimittenddato].&amp;[2013-08-29T00:00:00]">
        <tpls c="1">
          <tpl fld="7" item="613"/>
        </tpls>
      </query>
      <query mdx="[Dimittenddato].[Dimittenddato].&amp;[2013-08-24T00:00:00]">
        <tpls c="1">
          <tpl fld="7" item="614"/>
        </tpls>
      </query>
      <query mdx="[Dimittenddato].[Dimittenddato].&amp;[2013-08-19T00:00:00]">
        <tpls c="1">
          <tpl fld="7" item="615"/>
        </tpls>
      </query>
      <query mdx="[Dimittenddato].[Dimittenddato].&amp;[2013-08-13T00:00:00]">
        <tpls c="1">
          <tpl fld="7" item="616"/>
        </tpls>
      </query>
      <query mdx="[Dimittenddato].[Dimittenddato].&amp;[2013-08-08T00:00:00]">
        <tpls c="1">
          <tpl fld="7" item="617"/>
        </tpls>
      </query>
      <query mdx="[Dimittenddato].[Dimittenddato].&amp;[2013-08-03T00:00:00]">
        <tpls c="1">
          <tpl fld="7" item="618"/>
        </tpls>
      </query>
      <query mdx="[Dimittenddato].[Dimittenddato].&amp;[2013-07-28T00:00:00]">
        <tpls c="1">
          <tpl fld="7" item="619"/>
        </tpls>
      </query>
      <query mdx="[Dimittenddato].[Dimittenddato].&amp;[2013-07-23T00:00:00]">
        <tpls c="1">
          <tpl fld="7" item="620"/>
        </tpls>
      </query>
      <query mdx="[Dimittenddato].[Dimittenddato].&amp;[2013-07-18T00:00:00]">
        <tpls c="1">
          <tpl fld="7" item="621"/>
        </tpls>
      </query>
      <query mdx="[Dimittenddato].[Dimittenddato].&amp;[2013-07-12T00:00:00]">
        <tpls c="1">
          <tpl fld="7" item="622"/>
        </tpls>
      </query>
      <query mdx="[Dimittenddato].[Dimittenddato].&amp;[2013-07-07T00:00:00]">
        <tpls c="1">
          <tpl fld="7" item="623"/>
        </tpls>
      </query>
      <query mdx="[Dimittenddato].[Dimittenddato].&amp;[2013-07-02T00:00:00]">
        <tpls c="1">
          <tpl fld="7" item="624"/>
        </tpls>
      </query>
      <query mdx="[Dimittenddato].[Dimittenddato].&amp;[2013-06-26T00:00:00]">
        <tpls c="1">
          <tpl fld="7" item="625"/>
        </tpls>
      </query>
      <query mdx="[Dimittenddato].[Dimittenddato].&amp;[2013-06-21T00:00:00]">
        <tpls c="1">
          <tpl fld="7" item="626"/>
        </tpls>
      </query>
      <query mdx="[Dimittenddato].[Dimittenddato].&amp;[2013-06-16T00:00:00]">
        <tpls c="1">
          <tpl fld="7" item="627"/>
        </tpls>
      </query>
      <query mdx="[Dimittenddato].[Dimittenddato].&amp;[2013-06-10T00:00:00]">
        <tpls c="1">
          <tpl fld="7" item="628"/>
        </tpls>
      </query>
      <query mdx="[Dimittenddato].[Dimittenddato].&amp;[2013-06-05T00:00:00]">
        <tpls c="1">
          <tpl fld="7" item="629"/>
        </tpls>
      </query>
      <query mdx="[Dimittenddato].[Dimittenddato].&amp;[2012-08-31T00:00:00]">
        <tpls c="1">
          <tpl fld="7" item="630"/>
        </tpls>
      </query>
      <query mdx="[Dimittenddato].[Dimittenddato].&amp;[2012-08-25T00:00:00]">
        <tpls c="1">
          <tpl fld="7" item="631"/>
        </tpls>
      </query>
      <query mdx="[Dimittenddato].[Dimittenddato].&amp;[2012-08-20T00:00:00]">
        <tpls c="1">
          <tpl fld="7" item="632"/>
        </tpls>
      </query>
      <query mdx="[Dimittenddato].[Dimittenddato].&amp;[2012-08-15T00:00:00]">
        <tpls c="1">
          <tpl fld="7" item="633"/>
        </tpls>
      </query>
      <query mdx="[Dimittenddato].[Dimittenddato].&amp;[2012-08-09T00:00:00]">
        <tpls c="1">
          <tpl fld="7" item="634"/>
        </tpls>
      </query>
      <query mdx="[Dimittenddato].[Dimittenddato].&amp;[2012-08-04T00:00:00]">
        <tpls c="1">
          <tpl fld="7" item="635"/>
        </tpls>
      </query>
      <query mdx="[Dimittenddato].[Dimittenddato].&amp;[2012-07-30T00:00:00]">
        <tpls c="1">
          <tpl fld="7" item="636"/>
        </tpls>
      </query>
      <query mdx="[Dimittenddato].[Dimittenddato].&amp;[2012-07-24T00:00:00]">
        <tpls c="1">
          <tpl fld="7" item="637"/>
        </tpls>
      </query>
      <query mdx="[Dimittenddato].[Dimittenddato].&amp;[2012-07-19T00:00:00]">
        <tpls c="1">
          <tpl fld="7" item="638"/>
        </tpls>
      </query>
      <query mdx="[Dimittenddato].[Dimittenddato].&amp;[2012-07-14T00:00:00]">
        <tpls c="1">
          <tpl fld="7" item="639"/>
        </tpls>
      </query>
      <query mdx="[Dimittenddato].[Dimittenddato].&amp;[2012-07-08T00:00:00]">
        <tpls c="1">
          <tpl fld="7" item="640"/>
        </tpls>
      </query>
      <query mdx="[Dimittenddato].[Dimittenddato].&amp;[2012-07-03T00:00:00]">
        <tpls c="1">
          <tpl fld="7" item="641"/>
        </tpls>
      </query>
      <query mdx="[Dimittenddato].[Dimittenddato].&amp;[2012-06-28T00:00:00]">
        <tpls c="1">
          <tpl fld="7" item="642"/>
        </tpls>
      </query>
      <query mdx="[Dimittenddato].[Dimittenddato].&amp;[2012-06-22T00:00:00]">
        <tpls c="1">
          <tpl fld="7" item="643"/>
        </tpls>
      </query>
      <query mdx="[Dimittenddato].[Dimittenddato].&amp;[2012-06-17T00:00:00]">
        <tpls c="1">
          <tpl fld="7" item="644"/>
        </tpls>
      </query>
      <query mdx="[Dimittenddato].[Dimittenddato].&amp;[2012-06-12T00:00:00]">
        <tpls c="1">
          <tpl fld="7" item="645"/>
        </tpls>
      </query>
      <query mdx="[Dimittenddato].[Dimittenddato].&amp;[2012-06-08T00:00:00]">
        <tpls c="1">
          <tpl fld="7" item="646"/>
        </tpls>
      </query>
      <query mdx="[Dimittenddato].[Dimittenddato].&amp;[2012-06-04T00:00:00]">
        <tpls c="1">
          <tpl fld="7" item="647"/>
        </tpls>
      </query>
      <query mdx="[Dimittenddato].[Dimittenddato].&amp;[2011-08-31T00:00:00]">
        <tpls c="1">
          <tpl fld="7" item="648"/>
        </tpls>
      </query>
      <query mdx="[Dimittenddato].[Dimittenddato].&amp;[2011-08-27T00:00:00]">
        <tpls c="1">
          <tpl fld="7" item="649"/>
        </tpls>
      </query>
      <query mdx="[Dimittenddato].[Dimittenddato].&amp;[2011-08-23T00:00:00]">
        <tpls c="1">
          <tpl fld="7" item="650"/>
        </tpls>
      </query>
      <query mdx="[Dimittenddato].[Dimittenddato].&amp;[2011-08-19T00:00:00]">
        <tpls c="1">
          <tpl fld="7" item="651"/>
        </tpls>
      </query>
      <query mdx="[Dimittenddato].[Dimittenddato].&amp;[2011-08-15T00:00:00]">
        <tpls c="1">
          <tpl fld="7" item="652"/>
        </tpls>
      </query>
      <query mdx="[Dimittenddato].[Dimittenddato].&amp;[2011-08-11T00:00:00]">
        <tpls c="1">
          <tpl fld="7" item="653"/>
        </tpls>
      </query>
      <query mdx="[Dimittenddato].[Dimittenddato].&amp;[2011-08-07T00:00:00]">
        <tpls c="1">
          <tpl fld="7" item="654"/>
        </tpls>
      </query>
      <query mdx="[Dimittenddato].[Dimittenddato].&amp;[2011-08-03T00:00:00]">
        <tpls c="1">
          <tpl fld="7" item="655"/>
        </tpls>
      </query>
      <query mdx="[Dimittenddato].[Dimittenddato].&amp;[2011-07-30T00:00:00]">
        <tpls c="1">
          <tpl fld="7" item="656"/>
        </tpls>
      </query>
      <query mdx="[Dimittenddato].[Dimittenddato].&amp;[2011-07-26T00:00:00]">
        <tpls c="1">
          <tpl fld="7" item="657"/>
        </tpls>
      </query>
      <query mdx="[Dimittenddato].[Dimittenddato].&amp;[2011-07-22T00:00:00]">
        <tpls c="1">
          <tpl fld="7" item="658"/>
        </tpls>
      </query>
      <query mdx="[Dimittenddato].[Dimittenddato].&amp;[2011-07-18T00:00:00]">
        <tpls c="1">
          <tpl fld="7" item="659"/>
        </tpls>
      </query>
      <query mdx="[Dimittenddato].[Dimittenddato].&amp;[2011-07-14T00:00:00]">
        <tpls c="1">
          <tpl fld="7" item="660"/>
        </tpls>
      </query>
      <query mdx="[Dimittenddato].[Dimittenddato].&amp;[2011-07-10T00:00:00]">
        <tpls c="1">
          <tpl fld="7" item="661"/>
        </tpls>
      </query>
      <query mdx="[Dimittenddato].[Dimittenddato].&amp;[2011-07-06T00:00:00]">
        <tpls c="1">
          <tpl fld="7" item="662"/>
        </tpls>
      </query>
      <query mdx="[Dimittenddato].[Dimittenddato].&amp;[2011-07-02T00:00:00]">
        <tpls c="1">
          <tpl fld="7" item="663"/>
        </tpls>
      </query>
      <query mdx="[Dimittenddato].[Dimittenddato].&amp;[2011-06-28T00:00:00]">
        <tpls c="1">
          <tpl fld="7" item="664"/>
        </tpls>
      </query>
      <query mdx="[Dimittenddato].[Dimittenddato].&amp;[2011-06-24T00:00:00]">
        <tpls c="1">
          <tpl fld="7" item="665"/>
        </tpls>
      </query>
      <query mdx="[Dimittenddato].[Dimittenddato].&amp;[2011-06-20T00:00:00]">
        <tpls c="1">
          <tpl fld="7" item="666"/>
        </tpls>
      </query>
      <query mdx="[Dimittenddato].[Dimittenddato].&amp;[2011-06-16T00:00:00]">
        <tpls c="1">
          <tpl fld="7" item="667"/>
        </tpls>
      </query>
      <query mdx="[Dimittenddato].[Dimittenddato].&amp;[2020-08-16T00:00:00]">
        <tpls c="1">
          <tpl fld="7" item="668"/>
        </tpls>
      </query>
      <query mdx="[Dimittenddato].[Dimittenddato].&amp;[2020-06-13T00:00:00]">
        <tpls c="1">
          <tpl fld="7" item="669"/>
        </tpls>
      </query>
      <query mdx="[Dimittenddato].[Dimittenddato].&amp;[2019-07-11T00:00:00]">
        <tpls c="1">
          <tpl fld="7" item="670"/>
        </tpls>
      </query>
      <query mdx="[Dimittenddato].[Dimittenddato].&amp;[2018-08-08T00:00:00]">
        <tpls c="1">
          <tpl fld="7" item="671"/>
        </tpls>
      </query>
      <query mdx="[Dimittenddato].[Dimittenddato].&amp;[2018-06-05T00:00:00]">
        <tpls c="1">
          <tpl fld="7" item="672"/>
        </tpls>
      </query>
      <query mdx="[Dimittenddato].[Dimittenddato].&amp;[2017-07-03T00:00:00]">
        <tpls c="1">
          <tpl fld="7" item="673"/>
        </tpls>
      </query>
      <query mdx="[Dimittenddato].[Dimittenddato].&amp;[2016-07-31T00:00:00]">
        <tpls c="1">
          <tpl fld="7" item="674"/>
        </tpls>
      </query>
      <query mdx="[Dimittenddato].[Dimittenddato].&amp;[2016-06-20T00:00:00]">
        <tpls c="1">
          <tpl fld="7" item="675"/>
        </tpls>
      </query>
      <query mdx="[Dimittenddato].[Dimittenddato].&amp;[2016-06-04T00:00:00]">
        <tpls c="1">
          <tpl fld="7" item="676"/>
        </tpls>
      </query>
      <query mdx="[Dimittenddato].[Dimittenddato].&amp;[2015-08-19T00:00:00]">
        <tpls c="1">
          <tpl fld="7" item="677"/>
        </tpls>
      </query>
      <query mdx="[Dimittenddato].[Dimittenddato].&amp;[2015-08-03T00:00:00]">
        <tpls c="1">
          <tpl fld="7" item="678"/>
        </tpls>
      </query>
      <query mdx="[Dimittenddato].[Dimittenddato].&amp;[2015-07-18T00:00:00]">
        <tpls c="1">
          <tpl fld="7" item="679"/>
        </tpls>
      </query>
      <query mdx="[Dimittenddato].[Dimittenddato].&amp;[2015-07-02T00:00:00]">
        <tpls c="1">
          <tpl fld="7" item="680"/>
        </tpls>
      </query>
      <query mdx="[Dimittenddato].[Dimittenddato].&amp;[2015-06-16T00:00:00]">
        <tpls c="1">
          <tpl fld="7" item="681"/>
        </tpls>
      </query>
      <query mdx="[Dimittenddato].[Dimittenddato].&amp;[2014-08-31T00:00:00]">
        <tpls c="1">
          <tpl fld="7" item="682"/>
        </tpls>
      </query>
      <query mdx="[Dimittenddato].[Dimittenddato].&amp;[2014-08-15T00:00:00]">
        <tpls c="1">
          <tpl fld="7" item="683"/>
        </tpls>
      </query>
      <query mdx="[Dimittenddato].[Dimittenddato].&amp;[2014-07-30T00:00:00]">
        <tpls c="1">
          <tpl fld="7" item="684"/>
        </tpls>
      </query>
      <query mdx="[Dimittenddato].[Dimittenddato].&amp;[2014-07-14T00:00:00]">
        <tpls c="1">
          <tpl fld="7" item="685"/>
        </tpls>
      </query>
      <query mdx="[Dimittenddato].[Dimittenddato].&amp;[2014-07-04T00:00:00]">
        <tpls c="1">
          <tpl fld="7" item="686"/>
        </tpls>
      </query>
      <query mdx="[Dimittenddato].[Dimittenddato].&amp;[2014-06-29T00:00:00]">
        <tpls c="1">
          <tpl fld="7" item="687"/>
        </tpls>
      </query>
      <query mdx="[Dimittenddato].[Dimittenddato].&amp;[2014-06-24T00:00:00]">
        <tpls c="1">
          <tpl fld="7" item="688"/>
        </tpls>
      </query>
      <query mdx="[Dimittenddato].[Dimittenddato].&amp;[2014-06-18T00:00:00]">
        <tpls c="1">
          <tpl fld="7" item="689"/>
        </tpls>
      </query>
      <query mdx="[Dimittenddato].[Dimittenddato].&amp;[2014-06-13T00:00:00]">
        <tpls c="1">
          <tpl fld="7" item="690"/>
        </tpls>
      </query>
      <query mdx="[Dimittenddato].[Dimittenddato].&amp;[2014-06-08T00:00:00]">
        <tpls c="1">
          <tpl fld="7" item="691"/>
        </tpls>
      </query>
      <query mdx="[Dimittenddato].[Dimittenddato].&amp;[2014-06-02T00:00:00]">
        <tpls c="1">
          <tpl fld="7" item="692"/>
        </tpls>
      </query>
      <query mdx="[Dimittenddato].[Dimittenddato].&amp;[2013-08-28T00:00:00]">
        <tpls c="1">
          <tpl fld="7" item="693"/>
        </tpls>
      </query>
      <query mdx="[Dimittenddato].[Dimittenddato].&amp;[2013-08-23T00:00:00]">
        <tpls c="1">
          <tpl fld="7" item="694"/>
        </tpls>
      </query>
      <query mdx="[Dimittenddato].[Dimittenddato].&amp;[2013-08-17T00:00:00]">
        <tpls c="1">
          <tpl fld="7" item="695"/>
        </tpls>
      </query>
      <query mdx="[Dimittenddato].[Dimittenddato].&amp;[2013-08-12T00:00:00]">
        <tpls c="1">
          <tpl fld="7" item="696"/>
        </tpls>
      </query>
      <query mdx="[Dimittenddato].[Dimittenddato].&amp;[2013-08-07T00:00:00]">
        <tpls c="1">
          <tpl fld="7" item="697"/>
        </tpls>
      </query>
      <query mdx="[Dimittenddato].[Dimittenddato].&amp;[2013-08-01T00:00:00]">
        <tpls c="1">
          <tpl fld="7" item="698"/>
        </tpls>
      </query>
      <query mdx="[Dimittenddato].[Dimittenddato].&amp;[2013-07-27T00:00:00]">
        <tpls c="1">
          <tpl fld="7" item="699"/>
        </tpls>
      </query>
      <query mdx="[Dimittenddato].[Dimittenddato].&amp;[2013-07-22T00:00:00]">
        <tpls c="1">
          <tpl fld="7" item="700"/>
        </tpls>
      </query>
      <query mdx="[Dimittenddato].[Dimittenddato].&amp;[2013-07-16T00:00:00]">
        <tpls c="1">
          <tpl fld="7" item="701"/>
        </tpls>
      </query>
      <query mdx="[Dimittenddato].[Dimittenddato].&amp;[2013-07-11T00:00:00]">
        <tpls c="1">
          <tpl fld="7" item="702"/>
        </tpls>
      </query>
      <query mdx="[Dimittenddato].[Dimittenddato].&amp;[2013-07-06T00:00:00]">
        <tpls c="1">
          <tpl fld="7" item="703"/>
        </tpls>
      </query>
      <query mdx="[Dimittenddato].[Dimittenddato].&amp;[2013-06-30T00:00:00]">
        <tpls c="1">
          <tpl fld="7" item="704"/>
        </tpls>
      </query>
      <query mdx="[Dimittenddato].[Dimittenddato].&amp;[2013-06-25T00:00:00]">
        <tpls c="1">
          <tpl fld="7" item="705"/>
        </tpls>
      </query>
      <query mdx="[Dimittenddato].[Dimittenddato].&amp;[2013-06-20T00:00:00]">
        <tpls c="1">
          <tpl fld="7" item="706"/>
        </tpls>
      </query>
      <query mdx="[Dimittenddato].[Dimittenddato].&amp;[2013-06-14T00:00:00]">
        <tpls c="1">
          <tpl fld="7" item="707"/>
        </tpls>
      </query>
      <query mdx="[Dimittenddato].[Dimittenddato].&amp;[2013-06-09T00:00:00]">
        <tpls c="1">
          <tpl fld="7" item="708"/>
        </tpls>
      </query>
      <query mdx="[Dimittenddato].[Dimittenddato].&amp;[2013-06-04T00:00:00]">
        <tpls c="1">
          <tpl fld="7" item="709"/>
        </tpls>
      </query>
      <query mdx="[Dimittenddato].[Dimittenddato].&amp;[2012-08-29T00:00:00]">
        <tpls c="1">
          <tpl fld="7" item="710"/>
        </tpls>
      </query>
      <query mdx="[Dimittenddato].[Dimittenddato].&amp;[2012-08-24T00:00:00]">
        <tpls c="1">
          <tpl fld="7" item="711"/>
        </tpls>
      </query>
      <query mdx="[Dimittenddato].[Dimittenddato].&amp;[2012-08-19T00:00:00]">
        <tpls c="1">
          <tpl fld="7" item="712"/>
        </tpls>
      </query>
      <query mdx="[Dimittenddato].[Dimittenddato].&amp;[2012-08-13T00:00:00]">
        <tpls c="1">
          <tpl fld="7" item="713"/>
        </tpls>
      </query>
      <query mdx="[Dimittenddato].[Dimittenddato].&amp;[2012-08-08T00:00:00]">
        <tpls c="1">
          <tpl fld="7" item="714"/>
        </tpls>
      </query>
      <query mdx="[Dimittenddato].[Dimittenddato].&amp;[2012-08-03T00:00:00]">
        <tpls c="1">
          <tpl fld="7" item="715"/>
        </tpls>
      </query>
      <query mdx="[Dimittenddato].[Dimittenddato].&amp;[2012-07-28T00:00:00]">
        <tpls c="1">
          <tpl fld="7" item="716"/>
        </tpls>
      </query>
      <query mdx="[Dimittenddato].[Dimittenddato].&amp;[2012-07-23T00:00:00]">
        <tpls c="1">
          <tpl fld="7" item="717"/>
        </tpls>
      </query>
      <query mdx="[Dimittenddato].[Dimittenddato].&amp;[2012-07-18T00:00:00]">
        <tpls c="1">
          <tpl fld="7" item="718"/>
        </tpls>
      </query>
      <query mdx="[Dimittenddato].[Dimittenddato].&amp;[2012-07-12T00:00:00]">
        <tpls c="1">
          <tpl fld="7" item="719"/>
        </tpls>
      </query>
      <query mdx="[Dimittenddato].[Dimittenddato].&amp;[2012-07-07T00:00:00]">
        <tpls c="1">
          <tpl fld="7" item="720"/>
        </tpls>
      </query>
      <query mdx="[Dimittenddato].[Dimittenddato].&amp;[2012-07-02T00:00:00]">
        <tpls c="1">
          <tpl fld="7" item="721"/>
        </tpls>
      </query>
      <query mdx="[Dimittenddato].[Dimittenddato].&amp;[2012-06-26T00:00:00]">
        <tpls c="1">
          <tpl fld="7" item="722"/>
        </tpls>
      </query>
      <query mdx="[Dimittenddato].[Dimittenddato].&amp;[2012-06-21T00:00:00]">
        <tpls c="1">
          <tpl fld="7" item="723"/>
        </tpls>
      </query>
      <query mdx="[Dimittenddato].[Dimittenddato].&amp;[2012-06-16T00:00:00]">
        <tpls c="1">
          <tpl fld="7" item="724"/>
        </tpls>
      </query>
      <query mdx="[Dimittenddato].[Dimittenddato].&amp;[2012-06-11T00:00:00]">
        <tpls c="1">
          <tpl fld="7" item="725"/>
        </tpls>
      </query>
      <query mdx="[Dimittenddato].[Dimittenddato].&amp;[2012-06-07T00:00:00]">
        <tpls c="1">
          <tpl fld="7" item="726"/>
        </tpls>
      </query>
      <query mdx="[Dimittenddato].[Dimittenddato].&amp;[2012-06-03T00:00:00]">
        <tpls c="1">
          <tpl fld="7" item="727"/>
        </tpls>
      </query>
      <query mdx="[Dimittenddato].[Dimittenddato].&amp;[2011-08-30T00:00:00]">
        <tpls c="1">
          <tpl fld="7" item="728"/>
        </tpls>
      </query>
      <query mdx="[Dimittenddato].[Dimittenddato].&amp;[2011-08-26T00:00:00]">
        <tpls c="1">
          <tpl fld="7" item="729"/>
        </tpls>
      </query>
      <query mdx="[Dimittenddato].[Dimittenddato].&amp;[2011-08-22T00:00:00]">
        <tpls c="1">
          <tpl fld="7" item="730"/>
        </tpls>
      </query>
      <query mdx="[Dimittenddato].[Dimittenddato].&amp;[2011-08-18T00:00:00]">
        <tpls c="1">
          <tpl fld="7" item="731"/>
        </tpls>
      </query>
      <query mdx="[Dimittenddato].[Dimittenddato].&amp;[2011-08-14T00:00:00]">
        <tpls c="1">
          <tpl fld="7" item="732"/>
        </tpls>
      </query>
      <query mdx="[Dimittenddato].[Dimittenddato].&amp;[2011-08-10T00:00:00]">
        <tpls c="1">
          <tpl fld="7" item="733"/>
        </tpls>
      </query>
      <query mdx="[Dimittenddato].[Dimittenddato].&amp;[2011-08-06T00:00:00]">
        <tpls c="1">
          <tpl fld="7" item="734"/>
        </tpls>
      </query>
      <query mdx="[Dimittenddato].[Dimittenddato].&amp;[2011-08-02T00:00:00]">
        <tpls c="1">
          <tpl fld="7" item="735"/>
        </tpls>
      </query>
      <query mdx="[Dimittenddato].[Dimittenddato].&amp;[2011-07-29T00:00:00]">
        <tpls c="1">
          <tpl fld="7" item="736"/>
        </tpls>
      </query>
      <query mdx="[Dimittenddato].[Dimittenddato].&amp;[2011-07-25T00:00:00]">
        <tpls c="1">
          <tpl fld="7" item="737"/>
        </tpls>
      </query>
      <query mdx="[Dimittenddato].[Dimittenddato].&amp;[2011-07-21T00:00:00]">
        <tpls c="1">
          <tpl fld="7" item="738"/>
        </tpls>
      </query>
      <query mdx="[Dimittenddato].[Dimittenddato].&amp;[2011-07-17T00:00:00]">
        <tpls c="1">
          <tpl fld="7" item="739"/>
        </tpls>
      </query>
      <query mdx="[Dimittenddato].[Dimittenddato].&amp;[2011-07-13T00:00:00]">
        <tpls c="1">
          <tpl fld="7" item="740"/>
        </tpls>
      </query>
      <query mdx="[Dimittenddato].[Dimittenddato].&amp;[2011-07-09T00:00:00]">
        <tpls c="1">
          <tpl fld="7" item="741"/>
        </tpls>
      </query>
      <query mdx="[Dimittenddato].[Dimittenddato].&amp;[2011-07-05T00:00:00]">
        <tpls c="1">
          <tpl fld="7" item="742"/>
        </tpls>
      </query>
      <query mdx="[Dimittenddato].[Dimittenddato].&amp;[2011-07-01T00:00:00]">
        <tpls c="1">
          <tpl fld="7" item="743"/>
        </tpls>
      </query>
      <query mdx="[Dimittenddato].[Dimittenddato].&amp;[2011-06-27T00:00:00]">
        <tpls c="1">
          <tpl fld="7" item="744"/>
        </tpls>
      </query>
      <query mdx="[Dimittenddato].[Dimittenddato].&amp;[2011-06-23T00:00:00]">
        <tpls c="1">
          <tpl fld="7" item="745"/>
        </tpls>
      </query>
      <query mdx="[Dimittenddato].[Dimittenddato].&amp;[2011-06-19T00:00:00]">
        <tpls c="1">
          <tpl fld="7" item="746"/>
        </tpls>
      </query>
      <query mdx="[Dimittenddato].[Dimittenddato].&amp;[2011-06-15T00:00:00]">
        <tpls c="1">
          <tpl fld="7" item="747"/>
        </tpls>
      </query>
      <query mdx="[Dimittenddato].[Dimittenddato].&amp;[2011-06-11T00:00:00]">
        <tpls c="1">
          <tpl fld="7" item="748"/>
        </tpls>
      </query>
      <query mdx="[Dimittenddato].[Dimittenddato].&amp;[2011-06-07T00:00:00]">
        <tpls c="1">
          <tpl fld="7" item="749"/>
        </tpls>
      </query>
      <query mdx="[Kommune].[Region].[All].[Region Sjælland]">
        <tpls c="1">
          <tpl fld="2" item="4"/>
        </tpls>
      </query>
      <query mdx="[Dimittenddato].[Dimittenddato].&amp;[2020-07-31T00:00:00]">
        <tpls c="1">
          <tpl fld="7" item="750"/>
        </tpls>
      </query>
      <query mdx="[Dimittenddato].[Dimittenddato].&amp;[2019-08-28T00:00:00]">
        <tpls c="1">
          <tpl fld="7" item="751"/>
        </tpls>
      </query>
      <query mdx="[Dimittenddato].[Dimittenddato].&amp;[2019-06-25T00:00:00]">
        <tpls c="1">
          <tpl fld="7" item="752"/>
        </tpls>
      </query>
      <query mdx="[Dimittenddato].[Dimittenddato].&amp;[2018-07-23T00:00:00]">
        <tpls c="1">
          <tpl fld="7" item="753"/>
        </tpls>
      </query>
      <query mdx="[Dimittenddato].[Dimittenddato].&amp;[2017-08-20T00:00:00]">
        <tpls c="1">
          <tpl fld="7" item="754"/>
        </tpls>
      </query>
      <query mdx="[Dimittenddato].[Dimittenddato].&amp;[2017-06-17T00:00:00]">
        <tpls c="1">
          <tpl fld="7" item="755"/>
        </tpls>
      </query>
      <query mdx="[Dimittenddato].[Dimittenddato].&amp;[2016-07-15T00:00:00]">
        <tpls c="1">
          <tpl fld="7" item="756"/>
        </tpls>
      </query>
      <query mdx="[Dimittenddato].[Dimittenddato].&amp;[2016-06-16T00:00:00]">
        <tpls c="1">
          <tpl fld="7" item="757"/>
        </tpls>
      </query>
      <query mdx="[Dimittenddato].[Dimittenddato].&amp;[2015-08-31T00:00:00]">
        <tpls c="1">
          <tpl fld="7" item="758"/>
        </tpls>
      </query>
      <query mdx="[Dimittenddato].[Dimittenddato].&amp;[2015-08-15T00:00:00]">
        <tpls c="1">
          <tpl fld="7" item="759"/>
        </tpls>
      </query>
      <query mdx="[Dimittenddato].[Dimittenddato].&amp;[2015-07-30T00:00:00]">
        <tpls c="1">
          <tpl fld="7" item="760"/>
        </tpls>
      </query>
      <query mdx="[Dimittenddato].[Dimittenddato].&amp;[2015-07-14T00:00:00]">
        <tpls c="1">
          <tpl fld="7" item="761"/>
        </tpls>
      </query>
      <query mdx="[Dimittenddato].[Dimittenddato].&amp;[2015-06-28T00:00:00]">
        <tpls c="1">
          <tpl fld="7" item="762"/>
        </tpls>
      </query>
      <query mdx="[Dimittenddato].[Dimittenddato].&amp;[2015-06-12T00:00:00]">
        <tpls c="1">
          <tpl fld="7" item="763"/>
        </tpls>
      </query>
      <query mdx="[Dimittenddato].[Dimittenddato].&amp;[2014-08-27T00:00:00]">
        <tpls c="1">
          <tpl fld="7" item="764"/>
        </tpls>
      </query>
      <query mdx="[Dimittenddato].[Dimittenddato].&amp;[2014-08-11T00:00:00]">
        <tpls c="1">
          <tpl fld="7" item="765"/>
        </tpls>
      </query>
      <query mdx="[Dimittenddato].[Dimittenddato].&amp;[2014-07-26T00:00:00]">
        <tpls c="1">
          <tpl fld="7" item="766"/>
        </tpls>
      </query>
      <query mdx="[Dimittenddato].[Dimittenddato].&amp;[2014-07-10T00:00:00]">
        <tpls c="1">
          <tpl fld="7" item="767"/>
        </tpls>
      </query>
      <query mdx="[Dimittenddato].[Dimittenddato].&amp;[2014-07-03T00:00:00]">
        <tpls c="1">
          <tpl fld="7" item="768"/>
        </tpls>
      </query>
      <query mdx="[Dimittenddato].[Dimittenddato].&amp;[2014-06-28T00:00:00]">
        <tpls c="1">
          <tpl fld="7" item="769"/>
        </tpls>
      </query>
      <query mdx="[Dimittenddato].[Dimittenddato].&amp;[2014-06-22T00:00:00]">
        <tpls c="1">
          <tpl fld="7" item="770"/>
        </tpls>
      </query>
      <query mdx="[Dimittenddato].[Dimittenddato].&amp;[2014-06-17T00:00:00]">
        <tpls c="1">
          <tpl fld="7" item="771"/>
        </tpls>
      </query>
      <query mdx="[Dimittenddato].[Dimittenddato].&amp;[2014-06-12T00:00:00]">
        <tpls c="1">
          <tpl fld="7" item="772"/>
        </tpls>
      </query>
      <query mdx="[Dimittenddato].[Dimittenddato].&amp;[2014-06-06T00:00:00]">
        <tpls c="1">
          <tpl fld="7" item="773"/>
        </tpls>
      </query>
      <query mdx="[Dimittenddato].[Dimittenddato].&amp;[2014-06-01T00:00:00]">
        <tpls c="1">
          <tpl fld="7" item="774"/>
        </tpls>
      </query>
      <query mdx="[Dimittenddato].[Dimittenddato].&amp;[2013-08-27T00:00:00]">
        <tpls c="1">
          <tpl fld="7" item="775"/>
        </tpls>
      </query>
      <query mdx="[Dimittenddato].[Dimittenddato].&amp;[2013-08-21T00:00:00]">
        <tpls c="1">
          <tpl fld="7" item="776"/>
        </tpls>
      </query>
      <query mdx="[Dimittenddato].[Dimittenddato].&amp;[2013-08-16T00:00:00]">
        <tpls c="1">
          <tpl fld="7" item="777"/>
        </tpls>
      </query>
      <query mdx="[Dimittenddato].[Dimittenddato].&amp;[2013-08-11T00:00:00]">
        <tpls c="1">
          <tpl fld="7" item="778"/>
        </tpls>
      </query>
      <query mdx="[Dimittenddato].[Dimittenddato].&amp;[2013-08-05T00:00:00]">
        <tpls c="1">
          <tpl fld="7" item="779"/>
        </tpls>
      </query>
      <query mdx="[Dimittenddato].[Dimittenddato].&amp;[2013-07-31T00:00:00]">
        <tpls c="1">
          <tpl fld="7" item="780"/>
        </tpls>
      </query>
      <query mdx="[Dimittenddato].[Dimittenddato].&amp;[2013-07-26T00:00:00]">
        <tpls c="1">
          <tpl fld="7" item="781"/>
        </tpls>
      </query>
      <query mdx="[Dimittenddato].[Dimittenddato].&amp;[2013-07-20T00:00:00]">
        <tpls c="1">
          <tpl fld="7" item="782"/>
        </tpls>
      </query>
      <query mdx="[Dimittenddato].[Dimittenddato].&amp;[2013-07-15T00:00:00]">
        <tpls c="1">
          <tpl fld="7" item="783"/>
        </tpls>
      </query>
      <query mdx="[Dimittenddato].[Dimittenddato].&amp;[2013-07-10T00:00:00]">
        <tpls c="1">
          <tpl fld="7" item="784"/>
        </tpls>
      </query>
      <query mdx="[Dimittenddato].[Dimittenddato].&amp;[2013-07-04T00:00:00]">
        <tpls c="1">
          <tpl fld="7" item="785"/>
        </tpls>
      </query>
      <query mdx="[Dimittenddato].[Dimittenddato].&amp;[2013-06-29T00:00:00]">
        <tpls c="1">
          <tpl fld="7" item="786"/>
        </tpls>
      </query>
      <query mdx="[Dimittenddato].[Dimittenddato].&amp;[2013-06-24T00:00:00]">
        <tpls c="1">
          <tpl fld="7" item="787"/>
        </tpls>
      </query>
      <query mdx="[Dimittenddato].[Dimittenddato].&amp;[2013-06-18T00:00:00]">
        <tpls c="1">
          <tpl fld="7" item="788"/>
        </tpls>
      </query>
      <query mdx="[Dimittenddato].[Dimittenddato].&amp;[2013-06-13T00:00:00]">
        <tpls c="1">
          <tpl fld="7" item="789"/>
        </tpls>
      </query>
      <query mdx="[Dimittenddato].[Dimittenddato].&amp;[2013-06-08T00:00:00]">
        <tpls c="1">
          <tpl fld="7" item="790"/>
        </tpls>
      </query>
      <query mdx="[Dimittenddato].[Dimittenddato].&amp;[2013-06-02T00:00:00]">
        <tpls c="1">
          <tpl fld="7" item="791"/>
        </tpls>
      </query>
      <query mdx="[Dimittenddato].[Dimittenddato].&amp;[2012-08-28T00:00:00]">
        <tpls c="1">
          <tpl fld="7" item="792"/>
        </tpls>
      </query>
      <query mdx="[Dimittenddato].[Dimittenddato].&amp;[2012-08-23T00:00:00]">
        <tpls c="1">
          <tpl fld="7" item="793"/>
        </tpls>
      </query>
      <query mdx="[Dimittenddato].[Dimittenddato].&amp;[2012-08-17T00:00:00]">
        <tpls c="1">
          <tpl fld="7" item="794"/>
        </tpls>
      </query>
      <query mdx="[Dimittenddato].[Dimittenddato].&amp;[2012-08-12T00:00:00]">
        <tpls c="1">
          <tpl fld="7" item="795"/>
        </tpls>
      </query>
      <query mdx="[Dimittenddato].[Dimittenddato].&amp;[2012-08-07T00:00:00]">
        <tpls c="1">
          <tpl fld="7" item="796"/>
        </tpls>
      </query>
      <query mdx="[Dimittenddato].[Dimittenddato].&amp;[2012-08-01T00:00:00]">
        <tpls c="1">
          <tpl fld="7" item="797"/>
        </tpls>
      </query>
      <query mdx="[Dimittenddato].[Dimittenddato].&amp;[2012-07-27T00:00:00]">
        <tpls c="1">
          <tpl fld="7" item="798"/>
        </tpls>
      </query>
      <query mdx="[Dimittenddato].[Dimittenddato].&amp;[2012-07-22T00:00:00]">
        <tpls c="1">
          <tpl fld="7" item="799"/>
        </tpls>
      </query>
      <query mdx="[Dimittenddato].[Dimittenddato].&amp;[2012-07-16T00:00:00]">
        <tpls c="1">
          <tpl fld="7" item="800"/>
        </tpls>
      </query>
      <query mdx="[Dimittenddato].[Dimittenddato].&amp;[2012-07-11T00:00:00]">
        <tpls c="1">
          <tpl fld="7" item="801"/>
        </tpls>
      </query>
      <query mdx="[Dimittenddato].[Dimittenddato].&amp;[2012-07-06T00:00:00]">
        <tpls c="1">
          <tpl fld="7" item="802"/>
        </tpls>
      </query>
      <query mdx="[Dimittenddato].[Dimittenddato].&amp;[2012-06-30T00:00:00]">
        <tpls c="1">
          <tpl fld="7" item="803"/>
        </tpls>
      </query>
      <query mdx="[Dimittenddato].[Dimittenddato].&amp;[2012-06-25T00:00:00]">
        <tpls c="1">
          <tpl fld="7" item="804"/>
        </tpls>
      </query>
      <query mdx="[Dimittenddato].[Dimittenddato].&amp;[2012-06-20T00:00:00]">
        <tpls c="1">
          <tpl fld="7" item="805"/>
        </tpls>
      </query>
      <query mdx="[Dimittenddato].[Dimittenddato].&amp;[2012-06-14T00:00:00]">
        <tpls c="1">
          <tpl fld="7" item="806"/>
        </tpls>
      </query>
      <query mdx="[Dimittenddato].[Dimittenddato].&amp;[2012-06-10T00:00:00]">
        <tpls c="1">
          <tpl fld="7" item="807"/>
        </tpls>
      </query>
      <query mdx="[Dimittenddato].[Dimittenddato].&amp;[2012-06-06T00:00:00]">
        <tpls c="1">
          <tpl fld="7" item="808"/>
        </tpls>
      </query>
      <query mdx="[Dimittenddato].[Dimittenddato].&amp;[2012-06-02T00:00:00]">
        <tpls c="1">
          <tpl fld="7" item="809"/>
        </tpls>
      </query>
      <query mdx="[Dimittenddato].[Dimittenddato].&amp;[2011-08-29T00:00:00]">
        <tpls c="1">
          <tpl fld="7" item="810"/>
        </tpls>
      </query>
      <query mdx="[Dimittenddato].[Dimittenddato].&amp;[2011-08-25T00:00:00]">
        <tpls c="1">
          <tpl fld="7" item="811"/>
        </tpls>
      </query>
      <query mdx="[Dimittenddato].[Dimittenddato].&amp;[2011-08-21T00:00:00]">
        <tpls c="1">
          <tpl fld="7" item="812"/>
        </tpls>
      </query>
      <query mdx="[Dimittenddato].[Dimittenddato].&amp;[2011-08-17T00:00:00]">
        <tpls c="1">
          <tpl fld="7" item="813"/>
        </tpls>
      </query>
      <query mdx="[Dimittenddato].[Dimittenddato].&amp;[2011-08-13T00:00:00]">
        <tpls c="1">
          <tpl fld="7" item="814"/>
        </tpls>
      </query>
      <query mdx="[Dimittenddato].[Dimittenddato].&amp;[2011-08-09T00:00:00]">
        <tpls c="1">
          <tpl fld="7" item="815"/>
        </tpls>
      </query>
      <query mdx="[Dimittenddato].[Dimittenddato].&amp;[2011-08-05T00:00:00]">
        <tpls c="1">
          <tpl fld="7" item="816"/>
        </tpls>
      </query>
      <query mdx="[Dimittenddato].[Dimittenddato].&amp;[2011-08-01T00:00:00]">
        <tpls c="1">
          <tpl fld="7" item="817"/>
        </tpls>
      </query>
      <query mdx="[Dimittenddato].[Dimittenddato].&amp;[2011-07-28T00:00:00]">
        <tpls c="1">
          <tpl fld="7" item="818"/>
        </tpls>
      </query>
      <query mdx="[Dimittenddato].[Dimittenddato].&amp;[2011-07-24T00:00:00]">
        <tpls c="1">
          <tpl fld="7" item="819"/>
        </tpls>
      </query>
      <query mdx="[Dimittenddato].[Dimittenddato].&amp;[2011-07-20T00:00:00]">
        <tpls c="1">
          <tpl fld="7" item="820"/>
        </tpls>
      </query>
      <query mdx="[Dimittenddato].[Dimittenddato].&amp;[2011-07-16T00:00:00]">
        <tpls c="1">
          <tpl fld="7" item="821"/>
        </tpls>
      </query>
      <query mdx="[Dimittenddato].[Dimittenddato].&amp;[2011-07-12T00:00:00]">
        <tpls c="1">
          <tpl fld="7" item="822"/>
        </tpls>
      </query>
      <query mdx="[Dimittenddato].[Dimittenddato].&amp;[2011-07-08T00:00:00]">
        <tpls c="1">
          <tpl fld="7" item="823"/>
        </tpls>
      </query>
      <query mdx="[Dimittenddato].[Dimittenddato].&amp;[2011-07-04T00:00:00]">
        <tpls c="1">
          <tpl fld="7" item="824"/>
        </tpls>
      </query>
      <query mdx="[Dimittenddato].[Dimittenddato].&amp;[2011-06-30T00:00:00]">
        <tpls c="1">
          <tpl fld="7" item="825"/>
        </tpls>
      </query>
      <query mdx="[Dimittenddato].[Dimittenddato].&amp;[2011-06-26T00:00:00]">
        <tpls c="1">
          <tpl fld="7" item="826"/>
        </tpls>
      </query>
      <query mdx="[Dimittenddato].[Dimittenddato].&amp;[2011-06-22T00:00:00]">
        <tpls c="1">
          <tpl fld="7" item="827"/>
        </tpls>
      </query>
      <query mdx="[Dimittenddato].[Dimittenddato].&amp;[2011-06-18T00:00:00]">
        <tpls c="1">
          <tpl fld="7" item="828"/>
        </tpls>
      </query>
      <query mdx="[Dimittenddato].[Dimittenddato].&amp;[2011-06-14T00:00:00]">
        <tpls c="1">
          <tpl fld="7" item="829"/>
        </tpls>
      </query>
      <query mdx="[Dimittenddato].[Dimittenddato].&amp;[2011-06-10T00:00:00]">
        <tpls c="1">
          <tpl fld="7" item="830"/>
        </tpls>
      </query>
      <query mdx="[Dimittenddato].[Dimittenddato].&amp;[2011-06-06T00:00:00]">
        <tpls c="1">
          <tpl fld="7" item="831"/>
        </tpls>
      </query>
      <query mdx="[Dimittenddato].[Dimittenddato].&amp;[2011-06-02T00:00:00]">
        <tpls c="1">
          <tpl fld="7" item="832"/>
        </tpls>
      </query>
      <query mdx="[Dimittenddato].[Dimittenddato].&amp;[2010-08-29T00:00:00]">
        <tpls c="1">
          <tpl fld="7" item="833"/>
        </tpls>
      </query>
      <query mdx="[Dimittenddato].[Dimittenddato].&amp;[2010-08-25T00:00:00]">
        <tpls c="1">
          <tpl fld="7" item="834"/>
        </tpls>
      </query>
      <query mdx="[Dimittenddato].[Dimittenddato].&amp;[2010-08-21T00:00:00]">
        <tpls c="1">
          <tpl fld="7" item="835"/>
        </tpls>
      </query>
      <query mdx="[Dimittenddato].[Dimittenddato].&amp;[2010-08-17T00:00:00]">
        <tpls c="1">
          <tpl fld="7" item="836"/>
        </tpls>
      </query>
      <query mdx="[Dimittenddato].[Dimittenddato].&amp;[2010-08-13T00:00:00]">
        <tpls c="1">
          <tpl fld="7" item="837"/>
        </tpls>
      </query>
      <query mdx="[Dimittenddato].[Dimittenddato].&amp;[2010-08-09T00:00:00]">
        <tpls c="1">
          <tpl fld="7" item="838"/>
        </tpls>
      </query>
      <query mdx="[Dimittenddato].[Dimittenddato].&amp;[2010-08-05T00:00:00]">
        <tpls c="1">
          <tpl fld="7" item="839"/>
        </tpls>
      </query>
      <query mdx="[Dimittenddato].[Dimittenddato].&amp;[2010-08-01T00:00:00]">
        <tpls c="1">
          <tpl fld="7" item="840"/>
        </tpls>
      </query>
      <query mdx="[Dimittenddato].[Dimittenddato].&amp;[2010-07-28T00:00:00]">
        <tpls c="1">
          <tpl fld="7" item="841"/>
        </tpls>
      </query>
      <query mdx="[Dimittenddato].[Dimittenddato].&amp;[2010-07-24T00:00:00]">
        <tpls c="1">
          <tpl fld="7" item="842"/>
        </tpls>
      </query>
      <query mdx="[Dimittenddato].[Dimittenddato].&amp;[2010-07-20T00:00:00]">
        <tpls c="1">
          <tpl fld="7" item="843"/>
        </tpls>
      </query>
      <query mdx="[Dimittenddato].[Dimittenddato].&amp;[2010-07-16T00:00:00]">
        <tpls c="1">
          <tpl fld="7" item="844"/>
        </tpls>
      </query>
      <query mdx="[Dimittenddato].[Dimittenddato].&amp;[2010-07-12T00:00:00]">
        <tpls c="1">
          <tpl fld="7" item="845"/>
        </tpls>
      </query>
      <query mdx="[Dimittenddato].[Dimittenddato].&amp;[2010-07-08T00:00:00]">
        <tpls c="1">
          <tpl fld="7" item="846"/>
        </tpls>
      </query>
      <query mdx="[Dimittenddato].[Dimittenddato].&amp;[2010-07-04T00:00:00]">
        <tpls c="1">
          <tpl fld="7" item="847"/>
        </tpls>
      </query>
      <query mdx="[Dimittenddato].[Dimittenddato].&amp;[2010-06-30T00:00:00]">
        <tpls c="1">
          <tpl fld="7" item="848"/>
        </tpls>
      </query>
      <query mdx="[Dimittenddato].[Dimittenddato].&amp;[2010-06-26T00:00:00]">
        <tpls c="1">
          <tpl fld="7" item="849"/>
        </tpls>
      </query>
      <query mdx="[Dimittenddato].[Dimittenddato].&amp;[2010-06-22T00:00:00]">
        <tpls c="1">
          <tpl fld="7" item="850"/>
        </tpls>
      </query>
      <query mdx="[Dimittenddato].[Dimittenddato].&amp;[2010-06-18T00:00:00]">
        <tpls c="1">
          <tpl fld="7" item="851"/>
        </tpls>
      </query>
      <query mdx="[Dimittenddato].[Dimittenddato].&amp;[2010-06-14T00:00:00]">
        <tpls c="1">
          <tpl fld="7" item="852"/>
        </tpls>
      </query>
      <query mdx="[Dimittenddato].[Dimittenddato].&amp;[2010-06-10T00:00:00]">
        <tpls c="1">
          <tpl fld="7" item="853"/>
        </tpls>
      </query>
      <query mdx="[Dimittenddato].[Dimittenddato].&amp;[2010-06-06T00:00:00]">
        <tpls c="1">
          <tpl fld="7" item="854"/>
        </tpls>
      </query>
      <query mdx="[Dimittenddato].[Dimittenddato].&amp;[2010-06-02T00:00:00]">
        <tpls c="1">
          <tpl fld="7" item="855"/>
        </tpls>
      </query>
      <query mdx="[Dimittenddato].[Dimittenddato].&amp;[2009-08-29T00:00:00]">
        <tpls c="1">
          <tpl fld="7" item="856"/>
        </tpls>
      </query>
      <query mdx="[Dimittenddato].[Dimittenddato].&amp;[2009-08-25T00:00:00]">
        <tpls c="1">
          <tpl fld="7" item="857"/>
        </tpls>
      </query>
      <query mdx="[Dimittenddato].[Dimittenddato].&amp;[2009-08-21T00:00:00]">
        <tpls c="1">
          <tpl fld="7" item="858"/>
        </tpls>
      </query>
      <query mdx="[Dimittenddato].[Dimittenddato].&amp;[2009-08-17T00:00:00]">
        <tpls c="1">
          <tpl fld="7" item="859"/>
        </tpls>
      </query>
      <query mdx="[Dimittenddato].[Dimittenddato].&amp;[2009-08-13T00:00:00]">
        <tpls c="1">
          <tpl fld="7" item="860"/>
        </tpls>
      </query>
      <query mdx="[Dimittenddato].[Dimittenddato].&amp;[2009-08-09T00:00:00]">
        <tpls c="1">
          <tpl fld="7" item="861"/>
        </tpls>
      </query>
      <query mdx="[Dimittenddato].[Dimittenddato].&amp;[2009-08-05T00:00:00]">
        <tpls c="1">
          <tpl fld="7" item="862"/>
        </tpls>
      </query>
      <query mdx="[Dimittenddato].[Dimittenddato].&amp;[2009-08-01T00:00:00]">
        <tpls c="1">
          <tpl fld="7" item="863"/>
        </tpls>
      </query>
      <query mdx="[Dimittenddato].[Dimittenddato].&amp;[2009-07-28T00:00:00]">
        <tpls c="1">
          <tpl fld="7" item="864"/>
        </tpls>
      </query>
      <query mdx="[Dimittenddato].[Dimittenddato].&amp;[2009-07-24T00:00:00]">
        <tpls c="1">
          <tpl fld="7" item="865"/>
        </tpls>
      </query>
      <query mdx="[Dimittenddato].[Dimittenddato].&amp;[2009-07-20T00:00:00]">
        <tpls c="1">
          <tpl fld="7" item="866"/>
        </tpls>
      </query>
      <query mdx="[Dimittenddato].[Dimittenddato].&amp;[2009-07-16T00:00:00]">
        <tpls c="1">
          <tpl fld="7" item="867"/>
        </tpls>
      </query>
      <query mdx="[Dimittenddato].[Dimittenddato].&amp;[2009-07-12T00:00:00]">
        <tpls c="1">
          <tpl fld="7" item="868"/>
        </tpls>
      </query>
      <query mdx="[Dimittenddato].[Dimittenddato].&amp;[2009-07-08T00:00:00]">
        <tpls c="1">
          <tpl fld="7" item="869"/>
        </tpls>
      </query>
      <query mdx="[Dimittenddato].[Dimittenddato].&amp;[2009-07-04T00:00:00]">
        <tpls c="1">
          <tpl fld="7" item="870"/>
        </tpls>
      </query>
      <query mdx="[Dimittenddato].[Dimittenddato].&amp;[2009-06-30T00:00:00]">
        <tpls c="1">
          <tpl fld="7" item="871"/>
        </tpls>
      </query>
      <query mdx="[Dimittenddato].[Dimittenddato].&amp;[2009-06-26T00:00:00]">
        <tpls c="1">
          <tpl fld="7" item="872"/>
        </tpls>
      </query>
      <query mdx="[Dimittenddato].[Dimittenddato].&amp;[2009-06-22T00:00:00]">
        <tpls c="1">
          <tpl fld="7" item="873"/>
        </tpls>
      </query>
      <query mdx="[Dimittenddato].[Dimittenddato].&amp;[2009-06-18T00:00:00]">
        <tpls c="1">
          <tpl fld="7" item="874"/>
        </tpls>
      </query>
      <query mdx="[Dimittenddato].[Dimittenddato].&amp;[2009-06-14T00:00:00]">
        <tpls c="1">
          <tpl fld="7" item="875"/>
        </tpls>
      </query>
      <query mdx="[Dimittenddato].[Dimittenddato].&amp;[2018-07-07T00:00:00]">
        <tpls c="1">
          <tpl fld="7" item="876"/>
        </tpls>
      </query>
      <query mdx="[Dimittenddato].[Dimittenddato].&amp;[2016-06-12T00:00:00]">
        <tpls c="1">
          <tpl fld="7" item="877"/>
        </tpls>
      </query>
      <query mdx="[Dimittenddato].[Dimittenddato].&amp;[2015-07-10T00:00:00]">
        <tpls c="1">
          <tpl fld="7" item="878"/>
        </tpls>
      </query>
      <query mdx="[Dimittenddato].[Dimittenddato].&amp;[2014-08-07T00:00:00]">
        <tpls c="1">
          <tpl fld="7" item="879"/>
        </tpls>
      </query>
      <query mdx="[Dimittenddato].[Dimittenddato].&amp;[2014-06-26T00:00:00]">
        <tpls c="1">
          <tpl fld="7" item="880"/>
        </tpls>
      </query>
      <query mdx="[Dimittenddato].[Dimittenddato].&amp;[2014-06-05T00:00:00]">
        <tpls c="1">
          <tpl fld="7" item="881"/>
        </tpls>
      </query>
      <query mdx="[Dimittenddato].[Dimittenddato].&amp;[2013-08-15T00:00:00]">
        <tpls c="1">
          <tpl fld="7" item="882"/>
        </tpls>
      </query>
      <query mdx="[Dimittenddato].[Dimittenddato].&amp;[2013-07-24T00:00:00]">
        <tpls c="1">
          <tpl fld="7" item="883"/>
        </tpls>
      </query>
      <query mdx="[Dimittenddato].[Dimittenddato].&amp;[2013-07-03T00:00:00]">
        <tpls c="1">
          <tpl fld="7" item="884"/>
        </tpls>
      </query>
      <query mdx="[Dimittenddato].[Dimittenddato].&amp;[2013-06-12T00:00:00]">
        <tpls c="1">
          <tpl fld="7" item="885"/>
        </tpls>
      </query>
      <query mdx="[Dimittenddato].[Dimittenddato].&amp;[2012-08-21T00:00:00]">
        <tpls c="1">
          <tpl fld="7" item="886"/>
        </tpls>
      </query>
      <query mdx="[Dimittenddato].[Dimittenddato].&amp;[2012-07-31T00:00:00]">
        <tpls c="1">
          <tpl fld="7" item="887"/>
        </tpls>
      </query>
      <query mdx="[Dimittenddato].[Dimittenddato].&amp;[2012-07-10T00:00:00]">
        <tpls c="1">
          <tpl fld="7" item="888"/>
        </tpls>
      </query>
      <query mdx="[Dimittenddato].[Dimittenddato].&amp;[2012-06-18T00:00:00]">
        <tpls c="1">
          <tpl fld="7" item="889"/>
        </tpls>
      </query>
      <query mdx="[Dimittenddato].[Dimittenddato].&amp;[2012-06-01T00:00:00]">
        <tpls c="1">
          <tpl fld="7" item="890"/>
        </tpls>
      </query>
      <query mdx="[Dimittenddato].[Dimittenddato].&amp;[2011-08-16T00:00:00]">
        <tpls c="1">
          <tpl fld="7" item="891"/>
        </tpls>
      </query>
      <query mdx="[Dimittenddato].[Dimittenddato].&amp;[2011-07-31T00:00:00]">
        <tpls c="1">
          <tpl fld="7" item="892"/>
        </tpls>
      </query>
      <query mdx="[Dimittenddato].[Dimittenddato].&amp;[2011-07-15T00:00:00]">
        <tpls c="1">
          <tpl fld="7" item="893"/>
        </tpls>
      </query>
      <query mdx="[Dimittenddato].[Dimittenddato].&amp;[2011-06-29T00:00:00]">
        <tpls c="1">
          <tpl fld="7" item="894"/>
        </tpls>
      </query>
      <query mdx="[Dimittenddato].[Dimittenddato].&amp;[2011-06-13T00:00:00]">
        <tpls c="1">
          <tpl fld="7" item="895"/>
        </tpls>
      </query>
      <query mdx="[Dimittenddato].[Dimittenddato].&amp;[2011-06-05T00:00:00]">
        <tpls c="1">
          <tpl fld="7" item="896"/>
        </tpls>
      </query>
      <query mdx="[Dimittenddato].[Dimittenddato].&amp;[2010-08-31T00:00:00]">
        <tpls c="1">
          <tpl fld="7" item="897"/>
        </tpls>
      </query>
      <query mdx="[Dimittenddato].[Dimittenddato].&amp;[2010-08-26T00:00:00]">
        <tpls c="1">
          <tpl fld="7" item="898"/>
        </tpls>
      </query>
      <query mdx="[Dimittenddato].[Dimittenddato].&amp;[2010-08-20T00:00:00]">
        <tpls c="1">
          <tpl fld="7" item="899"/>
        </tpls>
      </query>
      <query mdx="[Dimittenddato].[Dimittenddato].&amp;[2010-08-15T00:00:00]">
        <tpls c="1">
          <tpl fld="7" item="900"/>
        </tpls>
      </query>
      <query mdx="[Dimittenddato].[Dimittenddato].&amp;[2010-08-10T00:00:00]">
        <tpls c="1">
          <tpl fld="7" item="901"/>
        </tpls>
      </query>
      <query mdx="[Dimittenddato].[Dimittenddato].&amp;[2010-08-04T00:00:00]">
        <tpls c="1">
          <tpl fld="7" item="902"/>
        </tpls>
      </query>
      <query mdx="[Dimittenddato].[Dimittenddato].&amp;[2010-07-30T00:00:00]">
        <tpls c="1">
          <tpl fld="7" item="903"/>
        </tpls>
      </query>
      <query mdx="[Dimittenddato].[Dimittenddato].&amp;[2010-07-25T00:00:00]">
        <tpls c="1">
          <tpl fld="7" item="904"/>
        </tpls>
      </query>
      <query mdx="[Dimittenddato].[Dimittenddato].&amp;[2010-07-19T00:00:00]">
        <tpls c="1">
          <tpl fld="7" item="905"/>
        </tpls>
      </query>
      <query mdx="[Dimittenddato].[Dimittenddato].&amp;[2010-07-14T00:00:00]">
        <tpls c="1">
          <tpl fld="7" item="906"/>
        </tpls>
      </query>
      <query mdx="[Dimittenddato].[Dimittenddato].&amp;[2010-07-09T00:00:00]">
        <tpls c="1">
          <tpl fld="7" item="907"/>
        </tpls>
      </query>
      <query mdx="[Dimittenddato].[Dimittenddato].&amp;[2010-07-03T00:00:00]">
        <tpls c="1">
          <tpl fld="7" item="908"/>
        </tpls>
      </query>
      <query mdx="[Dimittenddato].[Dimittenddato].&amp;[2010-06-28T00:00:00]">
        <tpls c="1">
          <tpl fld="7" item="909"/>
        </tpls>
      </query>
      <query mdx="[Dimittenddato].[Dimittenddato].&amp;[2010-06-23T00:00:00]">
        <tpls c="1">
          <tpl fld="7" item="910"/>
        </tpls>
      </query>
      <query mdx="[Dimittenddato].[Dimittenddato].&amp;[2010-06-17T00:00:00]">
        <tpls c="1">
          <tpl fld="7" item="911"/>
        </tpls>
      </query>
      <query mdx="[Dimittenddato].[Dimittenddato].&amp;[2010-06-12T00:00:00]">
        <tpls c="1">
          <tpl fld="7" item="912"/>
        </tpls>
      </query>
      <query mdx="[Dimittenddato].[Dimittenddato].&amp;[2010-06-07T00:00:00]">
        <tpls c="1">
          <tpl fld="7" item="913"/>
        </tpls>
      </query>
      <query mdx="[Dimittenddato].[Dimittenddato].&amp;[2010-06-01T00:00:00]">
        <tpls c="1">
          <tpl fld="7" item="914"/>
        </tpls>
      </query>
      <query mdx="[Dimittenddato].[Dimittenddato].&amp;[2009-08-27T00:00:00]">
        <tpls c="1">
          <tpl fld="7" item="915"/>
        </tpls>
      </query>
      <query mdx="[Dimittenddato].[Dimittenddato].&amp;[2009-08-22T00:00:00]">
        <tpls c="1">
          <tpl fld="7" item="916"/>
        </tpls>
      </query>
      <query mdx="[Dimittenddato].[Dimittenddato].&amp;[2009-08-16T00:00:00]">
        <tpls c="1">
          <tpl fld="7" item="917"/>
        </tpls>
      </query>
      <query mdx="[Dimittenddato].[Dimittenddato].&amp;[2009-08-11T00:00:00]">
        <tpls c="1">
          <tpl fld="7" item="918"/>
        </tpls>
      </query>
      <query mdx="[Dimittenddato].[Dimittenddato].&amp;[2009-08-06T00:00:00]">
        <tpls c="1">
          <tpl fld="7" item="919"/>
        </tpls>
      </query>
      <query mdx="[Dimittenddato].[Dimittenddato].&amp;[2009-07-31T00:00:00]">
        <tpls c="1">
          <tpl fld="7" item="920"/>
        </tpls>
      </query>
      <query mdx="[Dimittenddato].[Dimittenddato].&amp;[2009-07-26T00:00:00]">
        <tpls c="1">
          <tpl fld="7" item="921"/>
        </tpls>
      </query>
      <query mdx="[Dimittenddato].[Dimittenddato].&amp;[2009-07-21T00:00:00]">
        <tpls c="1">
          <tpl fld="7" item="922"/>
        </tpls>
      </query>
      <query mdx="[Dimittenddato].[Dimittenddato].&amp;[2009-07-15T00:00:00]">
        <tpls c="1">
          <tpl fld="7" item="923"/>
        </tpls>
      </query>
      <query mdx="[Dimittenddato].[Dimittenddato].&amp;[2009-07-10T00:00:00]">
        <tpls c="1">
          <tpl fld="7" item="924"/>
        </tpls>
      </query>
      <query mdx="[Dimittenddato].[Dimittenddato].&amp;[2009-07-05T00:00:00]">
        <tpls c="1">
          <tpl fld="7" item="925"/>
        </tpls>
      </query>
      <query mdx="[Dimittenddato].[Dimittenddato].&amp;[2009-06-29T00:00:00]">
        <tpls c="1">
          <tpl fld="7" item="926"/>
        </tpls>
      </query>
      <query mdx="[Dimittenddato].[Dimittenddato].&amp;[2009-06-24T00:00:00]">
        <tpls c="1">
          <tpl fld="7" item="927"/>
        </tpls>
      </query>
      <query mdx="[Dimittenddato].[Dimittenddato].&amp;[2009-06-19T00:00:00]">
        <tpls c="1">
          <tpl fld="7" item="928"/>
        </tpls>
      </query>
      <query mdx="[Dimittenddato].[Dimittenddato].&amp;[2009-06-13T00:00:00]">
        <tpls c="1">
          <tpl fld="7" item="929"/>
        </tpls>
      </query>
      <query mdx="[Dimittenddato].[Dimittenddato].&amp;[2009-06-09T00:00:00]">
        <tpls c="1">
          <tpl fld="7" item="930"/>
        </tpls>
      </query>
      <query mdx="[Dimittenddato].[Dimittenddato].&amp;[2009-06-05T00:00:00]">
        <tpls c="1">
          <tpl fld="7" item="931"/>
        </tpls>
      </query>
      <query mdx="[Dimittenddato].[Dimittenddato].&amp;[2009-06-01T00:00:00]">
        <tpls c="1">
          <tpl fld="7" item="932"/>
        </tpls>
      </query>
      <query mdx="[Dimittenddato].[Dimittenddato].&amp;[2008-08-28T00:00:00]">
        <tpls c="1">
          <tpl fld="7" item="933"/>
        </tpls>
      </query>
      <query mdx="[Dimittenddato].[Dimittenddato].&amp;[2008-08-24T00:00:00]">
        <tpls c="1">
          <tpl fld="7" item="934"/>
        </tpls>
      </query>
      <query mdx="[Dimittenddato].[Dimittenddato].&amp;[2008-08-20T00:00:00]">
        <tpls c="1">
          <tpl fld="7" item="935"/>
        </tpls>
      </query>
      <query mdx="[Dimittenddato].[Dimittenddato].&amp;[2008-08-16T00:00:00]">
        <tpls c="1">
          <tpl fld="7" item="936"/>
        </tpls>
      </query>
      <query mdx="[Dimittenddato].[Dimittenddato].&amp;[2008-08-12T00:00:00]">
        <tpls c="1">
          <tpl fld="7" item="937"/>
        </tpls>
      </query>
      <query mdx="[Dimittenddato].[Dimittenddato].&amp;[2008-08-08T00:00:00]">
        <tpls c="1">
          <tpl fld="7" item="938"/>
        </tpls>
      </query>
      <query mdx="[Dimittenddato].[Dimittenddato].&amp;[2008-08-04T00:00:00]">
        <tpls c="1">
          <tpl fld="7" item="939"/>
        </tpls>
      </query>
      <query mdx="[Dimittenddato].[Dimittenddato].&amp;[2008-07-31T00:00:00]">
        <tpls c="1">
          <tpl fld="7" item="940"/>
        </tpls>
      </query>
      <query mdx="[Dimittenddato].[Dimittenddato].&amp;[2008-07-27T00:00:00]">
        <tpls c="1">
          <tpl fld="7" item="941"/>
        </tpls>
      </query>
      <query mdx="[Dimittenddato].[Dimittenddato].&amp;[2008-07-23T00:00:00]">
        <tpls c="1">
          <tpl fld="7" item="942"/>
        </tpls>
      </query>
      <query mdx="[Dimittenddato].[Dimittenddato].&amp;[2008-07-19T00:00:00]">
        <tpls c="1">
          <tpl fld="7" item="943"/>
        </tpls>
      </query>
      <query mdx="[Dimittenddato].[Dimittenddato].&amp;[2008-07-15T00:00:00]">
        <tpls c="1">
          <tpl fld="7" item="944"/>
        </tpls>
      </query>
      <query mdx="[Dimittenddato].[Dimittenddato].&amp;[2008-07-11T00:00:00]">
        <tpls c="1">
          <tpl fld="7" item="945"/>
        </tpls>
      </query>
      <query mdx="[Dimittenddato].[Dimittenddato].&amp;[2008-07-07T00:00:00]">
        <tpls c="1">
          <tpl fld="7" item="946"/>
        </tpls>
      </query>
      <query mdx="[Dimittenddato].[Dimittenddato].&amp;[2008-07-03T00:00:00]">
        <tpls c="1">
          <tpl fld="7" item="947"/>
        </tpls>
      </query>
      <query mdx="[Dimittenddato].[Dimittenddato].&amp;[2008-06-29T00:00:00]">
        <tpls c="1">
          <tpl fld="7" item="948"/>
        </tpls>
      </query>
      <query mdx="[Dimittenddato].[Dimittenddato].&amp;[2008-06-25T00:00:00]">
        <tpls c="1">
          <tpl fld="7" item="949"/>
        </tpls>
      </query>
      <query mdx="[Dimittenddato].[Dimittenddato].&amp;[2008-06-21T00:00:00]">
        <tpls c="1">
          <tpl fld="7" item="950"/>
        </tpls>
      </query>
      <query mdx="[Dimittenddato].[Dimittenddato].&amp;[2008-06-17T00:00:00]">
        <tpls c="1">
          <tpl fld="7" item="951"/>
        </tpls>
      </query>
      <query mdx="[Dimittenddato].[Dimittenddato].&amp;[2008-06-13T00:00:00]">
        <tpls c="1">
          <tpl fld="7" item="952"/>
        </tpls>
      </query>
      <query mdx="[Dimittenddato].[Dimittenddato].&amp;[2008-06-09T00:00:00]">
        <tpls c="1">
          <tpl fld="7" item="953"/>
        </tpls>
      </query>
      <query mdx="[Dimittenddato].[Dimittenddato].&amp;[2008-06-05T00:00:00]">
        <tpls c="1">
          <tpl fld="7" item="954"/>
        </tpls>
      </query>
      <query mdx="[Dimittenddato].[Dimittenddato].&amp;[2008-06-01T00:00:00]">
        <tpls c="1">
          <tpl fld="7" item="955"/>
        </tpls>
      </query>
      <query mdx="[Dimittenddato].[Dimittenddato].&amp;[2007-08-28T00:00:00]">
        <tpls c="1">
          <tpl fld="7" item="956"/>
        </tpls>
      </query>
      <query mdx="[Dimittenddato].[Dimittenddato].&amp;[2007-08-24T00:00:00]">
        <tpls c="1">
          <tpl fld="7" item="957"/>
        </tpls>
      </query>
      <query mdx="[Dimittenddato].[Dimittenddato].&amp;[2007-08-20T00:00:00]">
        <tpls c="1">
          <tpl fld="7" item="958"/>
        </tpls>
      </query>
      <query mdx="[Dimittenddato].[Dimittenddato].&amp;[2007-08-16T00:00:00]">
        <tpls c="1">
          <tpl fld="7" item="959"/>
        </tpls>
      </query>
      <query mdx="[Dimittenddato].[Dimittenddato].&amp;[2007-08-12T00:00:00]">
        <tpls c="1">
          <tpl fld="7" item="960"/>
        </tpls>
      </query>
      <query mdx="[Dimittenddato].[Dimittenddato].&amp;[2007-08-08T00:00:00]">
        <tpls c="1">
          <tpl fld="7" item="961"/>
        </tpls>
      </query>
      <query mdx="[Dimittenddato].[Dimittenddato].&amp;[2007-08-04T00:00:00]">
        <tpls c="1">
          <tpl fld="7" item="962"/>
        </tpls>
      </query>
      <query mdx="[Dimittenddato].[Dimittenddato].&amp;[2007-07-31T00:00:00]">
        <tpls c="1">
          <tpl fld="7" item="963"/>
        </tpls>
      </query>
      <query mdx="[Dimittenddato].[Dimittenddato].&amp;[2007-07-27T00:00:00]">
        <tpls c="1">
          <tpl fld="7" item="964"/>
        </tpls>
      </query>
      <query mdx="[Dimittenddato].[Dimittenddato].&amp;[2007-07-23T00:00:00]">
        <tpls c="1">
          <tpl fld="7" item="965"/>
        </tpls>
      </query>
      <query mdx="[Dimittenddato].[Dimittenddato].&amp;[2007-07-19T00:00:00]">
        <tpls c="1">
          <tpl fld="7" item="966"/>
        </tpls>
      </query>
      <query mdx="[Dimittenddato].[Dimittenddato].&amp;[2007-07-15T00:00:00]">
        <tpls c="1">
          <tpl fld="7" item="967"/>
        </tpls>
      </query>
      <query mdx="[Dimittenddato].[Dimittenddato].&amp;[2007-07-11T00:00:00]">
        <tpls c="1">
          <tpl fld="7" item="968"/>
        </tpls>
      </query>
      <query mdx="[Dimittenddato].[Dimittenddato].&amp;[2007-07-07T00:00:00]">
        <tpls c="1">
          <tpl fld="7" item="969"/>
        </tpls>
      </query>
      <query mdx="[Dimittenddato].[Dimittenddato].&amp;[2007-07-03T00:00:00]">
        <tpls c="1">
          <tpl fld="7" item="970"/>
        </tpls>
      </query>
      <query mdx="[Dimittenddato].[Dimittenddato].&amp;[2007-06-29T00:00:00]">
        <tpls c="1">
          <tpl fld="7" item="971"/>
        </tpls>
      </query>
      <query mdx="[Dimittenddato].[Dimittenddato].&amp;[2007-06-25T00:00:00]">
        <tpls c="1">
          <tpl fld="7" item="972"/>
        </tpls>
      </query>
      <query mdx="[Dimittenddato].[Dimittenddato].&amp;[2007-06-21T00:00:00]">
        <tpls c="1">
          <tpl fld="7" item="973"/>
        </tpls>
      </query>
      <query mdx="[Dimittenddato].[Dimittenddato].&amp;[2007-06-17T00:00:00]">
        <tpls c="1">
          <tpl fld="7" item="974"/>
        </tpls>
      </query>
      <query mdx="[Dimittenddato].[Dimittenddato].&amp;[2007-06-13T00:00:00]">
        <tpls c="1">
          <tpl fld="7" item="975"/>
        </tpls>
      </query>
      <query mdx="[Dimittenddato].[Dimittenddato].&amp;[2007-06-09T00:00:00]">
        <tpls c="1">
          <tpl fld="7" item="976"/>
        </tpls>
      </query>
      <query mdx="[Dimittenddato].[Dimittenddato].&amp;[2007-06-05T00:00:00]">
        <tpls c="1">
          <tpl fld="7" item="977"/>
        </tpls>
      </query>
      <query mdx="[Dimittenddato].[Dimittenddato].&amp;[2007-06-01T00:00:00]">
        <tpls c="1">
          <tpl fld="7" item="978"/>
        </tpls>
      </query>
      <query mdx="[Uddannelsesretning].[IDA Gruppe Cand Scient].&amp;[Medicin mv.]">
        <tpls c="1">
          <tpl fld="9" item="0"/>
        </tpls>
      </query>
      <query mdx="[Uddannelsesretning].[IDA Gruppe].&amp;[Øvrige retninger/uoplyste]">
        <tpls c="1">
          <tpl fld="10" item="0"/>
        </tpls>
      </query>
      <query mdx="[Uddannelsesretning].[IDA Gruppe].&amp;[Anlæg]">
        <tpls c="1">
          <tpl fld="10" item="1"/>
        </tpls>
      </query>
      <query mdx="[Uddannelsesretning].[IDA Gruppe].&amp;[Maskin]">
        <tpls c="1">
          <tpl fld="10" item="2"/>
        </tpls>
      </query>
      <query mdx="[Uddannelsesretning].[IDA Gruppe].&amp;[Kemi]">
        <tpls c="1">
          <tpl fld="10" item="3"/>
        </tpls>
      </query>
      <query mdx="[Uddannelsesretning].[IDA Gruppe].&amp;[Produktion]">
        <tpls c="1">
          <tpl fld="10" item="4"/>
        </tpls>
      </query>
      <query mdx="[Uddannelsesretning].[IDA Gruppe].&amp;[Teknisk ledelse]">
        <tpls c="1">
          <tpl fld="10" item="5"/>
        </tpls>
      </query>
      <query mdx="[Dimittenddato].[Dimittenddato].&amp;[2020-07-15T00:00:00]">
        <tpls c="1">
          <tpl fld="7" item="979"/>
        </tpls>
      </query>
      <query mdx="[Dimittenddato].[Dimittenddato].&amp;[2017-08-04T00:00:00]">
        <tpls c="1">
          <tpl fld="7" item="980"/>
        </tpls>
      </query>
      <query mdx="[Dimittenddato].[Dimittenddato].&amp;[2015-08-27T00:00:00]">
        <tpls c="1">
          <tpl fld="7" item="981"/>
        </tpls>
      </query>
      <query mdx="[Dimittenddato].[Dimittenddato].&amp;[2015-06-24T00:00:00]">
        <tpls c="1">
          <tpl fld="7" item="982"/>
        </tpls>
      </query>
      <query mdx="[Dimittenddato].[Dimittenddato].&amp;[2014-07-22T00:00:00]">
        <tpls c="1">
          <tpl fld="7" item="983"/>
        </tpls>
      </query>
      <query mdx="[Dimittenddato].[Dimittenddato].&amp;[2014-06-21T00:00:00]">
        <tpls c="1">
          <tpl fld="7" item="984"/>
        </tpls>
      </query>
      <query mdx="[Dimittenddato].[Dimittenddato].&amp;[2013-08-31T00:00:00]">
        <tpls c="1">
          <tpl fld="7" item="985"/>
        </tpls>
      </query>
      <query mdx="[Dimittenddato].[Dimittenddato].&amp;[2013-08-09T00:00:00]">
        <tpls c="1">
          <tpl fld="7" item="986"/>
        </tpls>
      </query>
      <query mdx="[Dimittenddato].[Dimittenddato].&amp;[2013-07-19T00:00:00]">
        <tpls c="1">
          <tpl fld="7" item="987"/>
        </tpls>
      </query>
      <query mdx="[Dimittenddato].[Dimittenddato].&amp;[2013-06-28T00:00:00]">
        <tpls c="1">
          <tpl fld="7" item="988"/>
        </tpls>
      </query>
      <query mdx="[Dimittenddato].[Dimittenddato].&amp;[2013-06-06T00:00:00]">
        <tpls c="1">
          <tpl fld="7" item="989"/>
        </tpls>
      </query>
      <query mdx="[Dimittenddato].[Dimittenddato].&amp;[2012-08-16T00:00:00]">
        <tpls c="1">
          <tpl fld="7" item="990"/>
        </tpls>
      </query>
      <query mdx="[Dimittenddato].[Dimittenddato].&amp;[2012-07-26T00:00:00]">
        <tpls c="1">
          <tpl fld="7" item="991"/>
        </tpls>
      </query>
      <query mdx="[Dimittenddato].[Dimittenddato].&amp;[2012-07-04T00:00:00]">
        <tpls c="1">
          <tpl fld="7" item="992"/>
        </tpls>
      </query>
      <query mdx="[Dimittenddato].[Dimittenddato].&amp;[2012-06-13T00:00:00]">
        <tpls c="1">
          <tpl fld="7" item="993"/>
        </tpls>
      </query>
      <query mdx="[Dimittenddato].[Dimittenddato].&amp;[2011-08-28T00:00:00]">
        <tpls c="1">
          <tpl fld="7" item="994"/>
        </tpls>
      </query>
      <query mdx="[Dimittenddato].[Dimittenddato].&amp;[2011-08-12T00:00:00]">
        <tpls c="1">
          <tpl fld="7" item="995"/>
        </tpls>
      </query>
      <query mdx="[Dimittenddato].[Dimittenddato].&amp;[2011-07-27T00:00:00]">
        <tpls c="1">
          <tpl fld="7" item="996"/>
        </tpls>
      </query>
      <query mdx="[Dimittenddato].[Dimittenddato].&amp;[2011-07-11T00:00:00]">
        <tpls c="1">
          <tpl fld="7" item="997"/>
        </tpls>
      </query>
      <query mdx="[Dimittenddato].[Dimittenddato].&amp;[2011-06-25T00:00:00]">
        <tpls c="1">
          <tpl fld="7" item="998"/>
        </tpls>
      </query>
      <query mdx="[Dimittenddato].[Dimittenddato].&amp;[2011-06-12T00:00:00]">
        <tpls c="1">
          <tpl fld="7" item="999"/>
        </tpls>
      </query>
      <query mdx="[Dimittenddato].[Dimittenddato].&amp;[2011-06-04T00:00:00]">
        <tpls c="1">
          <tpl fld="7" item="1000"/>
        </tpls>
      </query>
      <query mdx="[Dimittenddato].[Dimittenddato].&amp;[2010-08-30T00:00:00]">
        <tpls c="1">
          <tpl fld="7" item="1001"/>
        </tpls>
      </query>
      <query mdx="[Dimittenddato].[Dimittenddato].&amp;[2010-08-24T00:00:00]">
        <tpls c="1">
          <tpl fld="7" item="1002"/>
        </tpls>
      </query>
      <query mdx="[Dimittenddato].[Dimittenddato].&amp;[2010-08-19T00:00:00]">
        <tpls c="1">
          <tpl fld="7" item="1003"/>
        </tpls>
      </query>
      <query mdx="[Dimittenddato].[Dimittenddato].&amp;[2010-08-14T00:00:00]">
        <tpls c="1">
          <tpl fld="7" item="1004"/>
        </tpls>
      </query>
      <query mdx="[Dimittenddato].[Dimittenddato].&amp;[2010-08-08T00:00:00]">
        <tpls c="1">
          <tpl fld="7" item="1005"/>
        </tpls>
      </query>
      <query mdx="[Dimittenddato].[Dimittenddato].&amp;[2010-08-03T00:00:00]">
        <tpls c="1">
          <tpl fld="7" item="1006"/>
        </tpls>
      </query>
      <query mdx="[Dimittenddato].[Dimittenddato].&amp;[2010-07-29T00:00:00]">
        <tpls c="1">
          <tpl fld="7" item="1007"/>
        </tpls>
      </query>
      <query mdx="[Dimittenddato].[Dimittenddato].&amp;[2010-07-23T00:00:00]">
        <tpls c="1">
          <tpl fld="7" item="1008"/>
        </tpls>
      </query>
      <query mdx="[Dimittenddato].[Dimittenddato].&amp;[2010-07-18T00:00:00]">
        <tpls c="1">
          <tpl fld="7" item="1009"/>
        </tpls>
      </query>
      <query mdx="[Dimittenddato].[Dimittenddato].&amp;[2010-07-13T00:00:00]">
        <tpls c="1">
          <tpl fld="7" item="1010"/>
        </tpls>
      </query>
      <query mdx="[Dimittenddato].[Dimittenddato].&amp;[2010-07-07T00:00:00]">
        <tpls c="1">
          <tpl fld="7" item="1011"/>
        </tpls>
      </query>
      <query mdx="[Dimittenddato].[Dimittenddato].&amp;[2010-07-02T00:00:00]">
        <tpls c="1">
          <tpl fld="7" item="1012"/>
        </tpls>
      </query>
      <query mdx="[Dimittenddato].[Dimittenddato].&amp;[2010-06-27T00:00:00]">
        <tpls c="1">
          <tpl fld="7" item="1013"/>
        </tpls>
      </query>
      <query mdx="[Dimittenddato].[Dimittenddato].&amp;[2010-06-21T00:00:00]">
        <tpls c="1">
          <tpl fld="7" item="1014"/>
        </tpls>
      </query>
      <query mdx="[Dimittenddato].[Dimittenddato].&amp;[2010-06-16T00:00:00]">
        <tpls c="1">
          <tpl fld="7" item="1015"/>
        </tpls>
      </query>
      <query mdx="[Dimittenddato].[Dimittenddato].&amp;[2010-06-11T00:00:00]">
        <tpls c="1">
          <tpl fld="7" item="1016"/>
        </tpls>
      </query>
      <query mdx="[Dimittenddato].[Dimittenddato].&amp;[2010-06-05T00:00:00]">
        <tpls c="1">
          <tpl fld="7" item="1017"/>
        </tpls>
      </query>
      <query mdx="[Dimittenddato].[Dimittenddato].&amp;[2009-08-31T00:00:00]">
        <tpls c="1">
          <tpl fld="7" item="1018"/>
        </tpls>
      </query>
      <query mdx="[Dimittenddato].[Dimittenddato].&amp;[2009-08-26T00:00:00]">
        <tpls c="1">
          <tpl fld="7" item="1019"/>
        </tpls>
      </query>
      <query mdx="[Dimittenddato].[Dimittenddato].&amp;[2009-08-20T00:00:00]">
        <tpls c="1">
          <tpl fld="7" item="1020"/>
        </tpls>
      </query>
      <query mdx="[Dimittenddato].[Dimittenddato].&amp;[2009-08-15T00:00:00]">
        <tpls c="1">
          <tpl fld="7" item="1021"/>
        </tpls>
      </query>
      <query mdx="[Dimittenddato].[Dimittenddato].&amp;[2009-08-10T00:00:00]">
        <tpls c="1">
          <tpl fld="7" item="1022"/>
        </tpls>
      </query>
      <query mdx="[Dimittenddato].[Dimittenddato].&amp;[2009-08-04T00:00:00]">
        <tpls c="1">
          <tpl fld="7" item="1023"/>
        </tpls>
      </query>
      <query mdx="[Dimittenddato].[Dimittenddato].&amp;[2009-07-30T00:00:00]">
        <tpls c="1">
          <tpl fld="7" item="1024"/>
        </tpls>
      </query>
      <query mdx="[Dimittenddato].[Dimittenddato].&amp;[2009-07-25T00:00:00]">
        <tpls c="1">
          <tpl fld="7" item="1025"/>
        </tpls>
      </query>
      <query mdx="[Dimittenddato].[Dimittenddato].&amp;[2009-07-19T00:00:00]">
        <tpls c="1">
          <tpl fld="7" item="1026"/>
        </tpls>
      </query>
      <query mdx="[Dimittenddato].[Dimittenddato].&amp;[2009-07-14T00:00:00]">
        <tpls c="1">
          <tpl fld="7" item="1027"/>
        </tpls>
      </query>
      <query mdx="[Dimittenddato].[Dimittenddato].&amp;[2009-07-09T00:00:00]">
        <tpls c="1">
          <tpl fld="7" item="1028"/>
        </tpls>
      </query>
      <query mdx="[Dimittenddato].[Dimittenddato].&amp;[2009-07-03T00:00:00]">
        <tpls c="1">
          <tpl fld="7" item="1029"/>
        </tpls>
      </query>
      <query mdx="[Dimittenddato].[Dimittenddato].&amp;[2009-06-28T00:00:00]">
        <tpls c="1">
          <tpl fld="7" item="1030"/>
        </tpls>
      </query>
      <query mdx="[Dimittenddato].[Dimittenddato].&amp;[2009-06-23T00:00:00]">
        <tpls c="1">
          <tpl fld="7" item="1031"/>
        </tpls>
      </query>
      <query mdx="[Dimittenddato].[Dimittenddato].&amp;[2009-06-17T00:00:00]">
        <tpls c="1">
          <tpl fld="7" item="1032"/>
        </tpls>
      </query>
      <query mdx="[Dimittenddato].[Dimittenddato].&amp;[2009-06-12T00:00:00]">
        <tpls c="1">
          <tpl fld="7" item="1033"/>
        </tpls>
      </query>
      <query mdx="[Dimittenddato].[Dimittenddato].&amp;[2009-06-08T00:00:00]">
        <tpls c="1">
          <tpl fld="7" item="1034"/>
        </tpls>
      </query>
      <query mdx="[Dimittenddato].[Dimittenddato].&amp;[2009-06-04T00:00:00]">
        <tpls c="1">
          <tpl fld="7" item="1035"/>
        </tpls>
      </query>
      <query mdx="[Dimittenddato].[Dimittenddato].&amp;[2008-08-31T00:00:00]">
        <tpls c="1">
          <tpl fld="7" item="1036"/>
        </tpls>
      </query>
      <query mdx="[Dimittenddato].[Dimittenddato].&amp;[2008-08-27T00:00:00]">
        <tpls c="1">
          <tpl fld="7" item="1037"/>
        </tpls>
      </query>
      <query mdx="[Dimittenddato].[Dimittenddato].&amp;[2008-08-23T00:00:00]">
        <tpls c="1">
          <tpl fld="7" item="1038"/>
        </tpls>
      </query>
      <query mdx="[Dimittenddato].[Dimittenddato].&amp;[2008-08-19T00:00:00]">
        <tpls c="1">
          <tpl fld="7" item="1039"/>
        </tpls>
      </query>
      <query mdx="[Dimittenddato].[Dimittenddato].&amp;[2008-08-15T00:00:00]">
        <tpls c="1">
          <tpl fld="7" item="1040"/>
        </tpls>
      </query>
      <query mdx="[Dimittenddato].[Dimittenddato].&amp;[2008-08-11T00:00:00]">
        <tpls c="1">
          <tpl fld="7" item="1041"/>
        </tpls>
      </query>
      <query mdx="[Dimittenddato].[Dimittenddato].&amp;[2008-08-07T00:00:00]">
        <tpls c="1">
          <tpl fld="7" item="1042"/>
        </tpls>
      </query>
      <query mdx="[Dimittenddato].[Dimittenddato].&amp;[2008-08-03T00:00:00]">
        <tpls c="1">
          <tpl fld="7" item="1043"/>
        </tpls>
      </query>
      <query mdx="[Dimittenddato].[Dimittenddato].&amp;[2008-07-30T00:00:00]">
        <tpls c="1">
          <tpl fld="7" item="1044"/>
        </tpls>
      </query>
      <query mdx="[Dimittenddato].[Dimittenddato].&amp;[2008-07-26T00:00:00]">
        <tpls c="1">
          <tpl fld="7" item="1045"/>
        </tpls>
      </query>
      <query mdx="[Dimittenddato].[Dimittenddato].&amp;[2008-07-22T00:00:00]">
        <tpls c="1">
          <tpl fld="7" item="1046"/>
        </tpls>
      </query>
      <query mdx="[Dimittenddato].[Dimittenddato].&amp;[2008-07-18T00:00:00]">
        <tpls c="1">
          <tpl fld="7" item="1047"/>
        </tpls>
      </query>
      <query mdx="[Dimittenddato].[Dimittenddato].&amp;[2008-07-14T00:00:00]">
        <tpls c="1">
          <tpl fld="7" item="1048"/>
        </tpls>
      </query>
      <query mdx="[Dimittenddato].[Dimittenddato].&amp;[2008-07-10T00:00:00]">
        <tpls c="1">
          <tpl fld="7" item="1049"/>
        </tpls>
      </query>
      <query mdx="[Dimittenddato].[Dimittenddato].&amp;[2008-07-06T00:00:00]">
        <tpls c="1">
          <tpl fld="7" item="1050"/>
        </tpls>
      </query>
      <query mdx="[Dimittenddato].[Dimittenddato].&amp;[2008-07-02T00:00:00]">
        <tpls c="1">
          <tpl fld="7" item="1051"/>
        </tpls>
      </query>
      <query mdx="[Dimittenddato].[Dimittenddato].&amp;[2008-06-28T00:00:00]">
        <tpls c="1">
          <tpl fld="7" item="1052"/>
        </tpls>
      </query>
      <query mdx="[Dimittenddato].[Dimittenddato].&amp;[2008-06-24T00:00:00]">
        <tpls c="1">
          <tpl fld="7" item="1053"/>
        </tpls>
      </query>
      <query mdx="[Dimittenddato].[Dimittenddato].&amp;[2008-06-20T00:00:00]">
        <tpls c="1">
          <tpl fld="7" item="1054"/>
        </tpls>
      </query>
      <query mdx="[Dimittenddato].[Dimittenddato].&amp;[2008-06-16T00:00:00]">
        <tpls c="1">
          <tpl fld="7" item="1055"/>
        </tpls>
      </query>
      <query mdx="[Dimittenddato].[Dimittenddato].&amp;[2008-06-12T00:00:00]">
        <tpls c="1">
          <tpl fld="7" item="1056"/>
        </tpls>
      </query>
      <query mdx="[Dimittenddato].[Dimittenddato].&amp;[2008-06-08T00:00:00]">
        <tpls c="1">
          <tpl fld="7" item="1057"/>
        </tpls>
      </query>
      <query mdx="[Dimittenddato].[Dimittenddato].&amp;[2008-06-04T00:00:00]">
        <tpls c="1">
          <tpl fld="7" item="1058"/>
        </tpls>
      </query>
      <query mdx="[Dimittenddato].[Dimittenddato].&amp;[2007-08-31T00:00:00]">
        <tpls c="1">
          <tpl fld="7" item="1059"/>
        </tpls>
      </query>
      <query mdx="[Dimittenddato].[Dimittenddato].&amp;[2007-08-27T00:00:00]">
        <tpls c="1">
          <tpl fld="7" item="1060"/>
        </tpls>
      </query>
      <query mdx="[Dimittenddato].[Dimittenddato].&amp;[2007-08-23T00:00:00]">
        <tpls c="1">
          <tpl fld="7" item="1061"/>
        </tpls>
      </query>
      <query mdx="[Dimittenddato].[Dimittenddato].&amp;[2007-08-19T00:00:00]">
        <tpls c="1">
          <tpl fld="7" item="1062"/>
        </tpls>
      </query>
      <query mdx="[Dimittenddato].[Dimittenddato].&amp;[2007-08-15T00:00:00]">
        <tpls c="1">
          <tpl fld="7" item="1063"/>
        </tpls>
      </query>
      <query mdx="[Dimittenddato].[Dimittenddato].&amp;[2007-08-11T00:00:00]">
        <tpls c="1">
          <tpl fld="7" item="1064"/>
        </tpls>
      </query>
      <query mdx="[Dimittenddato].[Dimittenddato].&amp;[2007-08-07T00:00:00]">
        <tpls c="1">
          <tpl fld="7" item="1065"/>
        </tpls>
      </query>
      <query mdx="[Dimittenddato].[Dimittenddato].&amp;[2007-08-03T00:00:00]">
        <tpls c="1">
          <tpl fld="7" item="1066"/>
        </tpls>
      </query>
      <query mdx="[Dimittenddato].[Dimittenddato].&amp;[2007-07-30T00:00:00]">
        <tpls c="1">
          <tpl fld="7" item="1067"/>
        </tpls>
      </query>
      <query mdx="[Dimittenddato].[Dimittenddato].&amp;[2007-07-26T00:00:00]">
        <tpls c="1">
          <tpl fld="7" item="1068"/>
        </tpls>
      </query>
      <query mdx="[Dimittenddato].[Dimittenddato].&amp;[2007-07-22T00:00:00]">
        <tpls c="1">
          <tpl fld="7" item="1069"/>
        </tpls>
      </query>
      <query mdx="[Dimittenddato].[Dimittenddato].&amp;[2007-07-18T00:00:00]">
        <tpls c="1">
          <tpl fld="7" item="1070"/>
        </tpls>
      </query>
      <query mdx="[Dimittenddato].[Dimittenddato].&amp;[2007-07-14T00:00:00]">
        <tpls c="1">
          <tpl fld="7" item="1071"/>
        </tpls>
      </query>
      <query mdx="[Dimittenddato].[Dimittenddato].&amp;[2007-07-10T00:00:00]">
        <tpls c="1">
          <tpl fld="7" item="1072"/>
        </tpls>
      </query>
      <query mdx="[Dimittenddato].[Dimittenddato].&amp;[2007-07-06T00:00:00]">
        <tpls c="1">
          <tpl fld="7" item="1073"/>
        </tpls>
      </query>
      <query mdx="[Dimittenddato].[Dimittenddato].&amp;[2007-07-02T00:00:00]">
        <tpls c="1">
          <tpl fld="7" item="1074"/>
        </tpls>
      </query>
      <query mdx="[Dimittenddato].[Dimittenddato].&amp;[2007-06-28T00:00:00]">
        <tpls c="1">
          <tpl fld="7" item="1075"/>
        </tpls>
      </query>
      <query mdx="[Dimittenddato].[Dimittenddato].&amp;[2007-06-24T00:00:00]">
        <tpls c="1">
          <tpl fld="7" item="1076"/>
        </tpls>
      </query>
      <query mdx="[Dimittenddato].[Dimittenddato].&amp;[2007-06-20T00:00:00]">
        <tpls c="1">
          <tpl fld="7" item="1077"/>
        </tpls>
      </query>
      <query mdx="[Dimittenddato].[Dimittenddato].&amp;[2007-06-16T00:00:00]">
        <tpls c="1">
          <tpl fld="7" item="1078"/>
        </tpls>
      </query>
      <query mdx="[Dimittenddato].[Dimittenddato].&amp;[2007-06-12T00:00:00]">
        <tpls c="1">
          <tpl fld="7" item="1079"/>
        </tpls>
      </query>
      <query mdx="[Dimittenddato].[Dimittenddato].&amp;[2007-06-08T00:00:00]">
        <tpls c="1">
          <tpl fld="7" item="1080"/>
        </tpls>
      </query>
      <query mdx="[Dimittenddato].[Dimittenddato].&amp;[2007-06-04T00:00:00]">
        <tpls c="1">
          <tpl fld="7" item="1081"/>
        </tpls>
      </query>
      <query mdx="[Uddannelsesretning].[IDA Gruppe Cand Scient].&amp;[Geo-bio]">
        <tpls c="1">
          <tpl fld="9" item="1"/>
        </tpls>
      </query>
      <query mdx="[Uddannelsesretning].[IDA Gruppe].&amp;[Nye retninger]">
        <tpls c="1">
          <tpl fld="10" item="6"/>
        </tpls>
      </query>
      <query mdx="[Uddannelsesretning].[IDA Gruppe].&amp;[Bygning]">
        <tpls c="1">
          <tpl fld="10" item="7"/>
        </tpls>
      </query>
      <query mdx="[Dimittenddato].[Dimittenddato].&amp;[2019-08-12T00:00:00]">
        <tpls c="1">
          <tpl fld="7" item="1082"/>
        </tpls>
      </query>
      <query mdx="[Dimittenddato].[Dimittenddato].&amp;[2017-06-01T00:00:00]">
        <tpls c="1">
          <tpl fld="7" item="1083"/>
        </tpls>
      </query>
      <query mdx="[Dimittenddato].[Dimittenddato].&amp;[2015-08-11T00:00:00]">
        <tpls c="1">
          <tpl fld="7" item="1084"/>
        </tpls>
      </query>
      <query mdx="[Dimittenddato].[Dimittenddato].&amp;[2015-06-08T00:00:00]">
        <tpls c="1">
          <tpl fld="7" item="1085"/>
        </tpls>
      </query>
      <query mdx="[Dimittenddato].[Dimittenddato].&amp;[2014-07-07T00:00:00]">
        <tpls c="1">
          <tpl fld="7" item="1086"/>
        </tpls>
      </query>
      <query mdx="[Dimittenddato].[Dimittenddato].&amp;[2014-06-16T00:00:00]">
        <tpls c="1">
          <tpl fld="7" item="1087"/>
        </tpls>
      </query>
      <query mdx="[Dimittenddato].[Dimittenddato].&amp;[2013-08-25T00:00:00]">
        <tpls c="1">
          <tpl fld="7" item="1088"/>
        </tpls>
      </query>
      <query mdx="[Dimittenddato].[Dimittenddato].&amp;[2013-08-04T00:00:00]">
        <tpls c="1">
          <tpl fld="7" item="1089"/>
        </tpls>
      </query>
      <query mdx="[Dimittenddato].[Dimittenddato].&amp;[2013-07-14T00:00:00]">
        <tpls c="1">
          <tpl fld="7" item="1090"/>
        </tpls>
      </query>
      <query mdx="[Dimittenddato].[Dimittenddato].&amp;[2013-06-22T00:00:00]">
        <tpls c="1">
          <tpl fld="7" item="1091"/>
        </tpls>
      </query>
      <query mdx="[Dimittenddato].[Dimittenddato].&amp;[2013-06-01T00:00:00]">
        <tpls c="1">
          <tpl fld="7" item="1092"/>
        </tpls>
      </query>
      <query mdx="[Dimittenddato].[Dimittenddato].&amp;[2012-08-11T00:00:00]">
        <tpls c="1">
          <tpl fld="7" item="1093"/>
        </tpls>
      </query>
      <query mdx="[Dimittenddato].[Dimittenddato].&amp;[2012-07-20T00:00:00]">
        <tpls c="1">
          <tpl fld="7" item="1094"/>
        </tpls>
      </query>
      <query mdx="[Dimittenddato].[Dimittenddato].&amp;[2012-06-29T00:00:00]">
        <tpls c="1">
          <tpl fld="7" item="1095"/>
        </tpls>
      </query>
      <query mdx="[Dimittenddato].[Dimittenddato].&amp;[2012-06-09T00:00:00]">
        <tpls c="1">
          <tpl fld="7" item="1096"/>
        </tpls>
      </query>
      <query mdx="[Dimittenddato].[Dimittenddato].&amp;[2011-08-24T00:00:00]">
        <tpls c="1">
          <tpl fld="7" item="1097"/>
        </tpls>
      </query>
      <query mdx="[Dimittenddato].[Dimittenddato].&amp;[2011-08-08T00:00:00]">
        <tpls c="1">
          <tpl fld="7" item="1098"/>
        </tpls>
      </query>
      <query mdx="[Dimittenddato].[Dimittenddato].&amp;[2011-07-23T00:00:00]">
        <tpls c="1">
          <tpl fld="7" item="1099"/>
        </tpls>
      </query>
      <query mdx="[Dimittenddato].[Dimittenddato].&amp;[2011-07-07T00:00:00]">
        <tpls c="1">
          <tpl fld="7" item="1100"/>
        </tpls>
      </query>
      <query mdx="[Dimittenddato].[Dimittenddato].&amp;[2011-06-21T00:00:00]">
        <tpls c="1">
          <tpl fld="7" item="1101"/>
        </tpls>
      </query>
      <query mdx="[Dimittenddato].[Dimittenddato].&amp;[2011-06-09T00:00:00]">
        <tpls c="1">
          <tpl fld="7" item="1102"/>
        </tpls>
      </query>
      <query mdx="[Dimittenddato].[Dimittenddato].&amp;[2011-06-03T00:00:00]">
        <tpls c="1">
          <tpl fld="7" item="1103"/>
        </tpls>
      </query>
      <query mdx="[Dimittenddato].[Dimittenddato].&amp;[2010-08-28T00:00:00]">
        <tpls c="1">
          <tpl fld="7" item="1104"/>
        </tpls>
      </query>
      <query mdx="[Dimittenddato].[Dimittenddato].&amp;[2010-08-23T00:00:00]">
        <tpls c="1">
          <tpl fld="7" item="1105"/>
        </tpls>
      </query>
      <query mdx="[Dimittenddato].[Dimittenddato].&amp;[2010-08-18T00:00:00]">
        <tpls c="1">
          <tpl fld="7" item="1106"/>
        </tpls>
      </query>
      <query mdx="[Dimittenddato].[Dimittenddato].&amp;[2010-08-12T00:00:00]">
        <tpls c="1">
          <tpl fld="7" item="1107"/>
        </tpls>
      </query>
      <query mdx="[Dimittenddato].[Dimittenddato].&amp;[2010-08-07T00:00:00]">
        <tpls c="1">
          <tpl fld="7" item="1108"/>
        </tpls>
      </query>
      <query mdx="[Dimittenddato].[Dimittenddato].&amp;[2010-08-02T00:00:00]">
        <tpls c="1">
          <tpl fld="7" item="1109"/>
        </tpls>
      </query>
      <query mdx="[Dimittenddato].[Dimittenddato].&amp;[2010-07-27T00:00:00]">
        <tpls c="1">
          <tpl fld="7" item="1110"/>
        </tpls>
      </query>
      <query mdx="[Dimittenddato].[Dimittenddato].&amp;[2010-07-22T00:00:00]">
        <tpls c="1">
          <tpl fld="7" item="1111"/>
        </tpls>
      </query>
      <query mdx="[Dimittenddato].[Dimittenddato].&amp;[2010-07-17T00:00:00]">
        <tpls c="1">
          <tpl fld="7" item="1112"/>
        </tpls>
      </query>
      <query mdx="[Dimittenddato].[Dimittenddato].&amp;[2010-07-11T00:00:00]">
        <tpls c="1">
          <tpl fld="7" item="1113"/>
        </tpls>
      </query>
      <query mdx="[Dimittenddato].[Dimittenddato].&amp;[2010-07-06T00:00:00]">
        <tpls c="1">
          <tpl fld="7" item="1114"/>
        </tpls>
      </query>
      <query mdx="[Dimittenddato].[Dimittenddato].&amp;[2010-07-01T00:00:00]">
        <tpls c="1">
          <tpl fld="7" item="1115"/>
        </tpls>
      </query>
      <query mdx="[Dimittenddato].[Dimittenddato].&amp;[2010-06-25T00:00:00]">
        <tpls c="1">
          <tpl fld="7" item="1116"/>
        </tpls>
      </query>
      <query mdx="[Dimittenddato].[Dimittenddato].&amp;[2010-06-20T00:00:00]">
        <tpls c="1">
          <tpl fld="7" item="1117"/>
        </tpls>
      </query>
      <query mdx="[Dimittenddato].[Dimittenddato].&amp;[2010-06-15T00:00:00]">
        <tpls c="1">
          <tpl fld="7" item="1118"/>
        </tpls>
      </query>
      <query mdx="[Dimittenddato].[Dimittenddato].&amp;[2010-06-09T00:00:00]">
        <tpls c="1">
          <tpl fld="7" item="1119"/>
        </tpls>
      </query>
      <query mdx="[Dimittenddato].[Dimittenddato].&amp;[2010-06-04T00:00:00]">
        <tpls c="1">
          <tpl fld="7" item="1120"/>
        </tpls>
      </query>
      <query mdx="[Dimittenddato].[Dimittenddato].&amp;[2009-08-30T00:00:00]">
        <tpls c="1">
          <tpl fld="7" item="1121"/>
        </tpls>
      </query>
      <query mdx="[Dimittenddato].[Dimittenddato].&amp;[2009-08-24T00:00:00]">
        <tpls c="1">
          <tpl fld="7" item="1122"/>
        </tpls>
      </query>
      <query mdx="[Dimittenddato].[Dimittenddato].&amp;[2009-08-19T00:00:00]">
        <tpls c="1">
          <tpl fld="7" item="1123"/>
        </tpls>
      </query>
      <query mdx="[Dimittenddato].[Dimittenddato].&amp;[2009-08-14T00:00:00]">
        <tpls c="1">
          <tpl fld="7" item="1124"/>
        </tpls>
      </query>
      <query mdx="[Dimittenddato].[Dimittenddato].&amp;[2009-08-08T00:00:00]">
        <tpls c="1">
          <tpl fld="7" item="1125"/>
        </tpls>
      </query>
      <query mdx="[Dimittenddato].[Dimittenddato].&amp;[2009-08-03T00:00:00]">
        <tpls c="1">
          <tpl fld="7" item="1126"/>
        </tpls>
      </query>
      <query mdx="[Dimittenddato].[Dimittenddato].&amp;[2009-07-29T00:00:00]">
        <tpls c="1">
          <tpl fld="7" item="1127"/>
        </tpls>
      </query>
      <query mdx="[Dimittenddato].[Dimittenddato].&amp;[2009-07-23T00:00:00]">
        <tpls c="1">
          <tpl fld="7" item="1128"/>
        </tpls>
      </query>
      <query mdx="[Dimittenddato].[Dimittenddato].&amp;[2009-07-18T00:00:00]">
        <tpls c="1">
          <tpl fld="7" item="1129"/>
        </tpls>
      </query>
      <query mdx="[Dimittenddato].[Dimittenddato].&amp;[2009-07-13T00:00:00]">
        <tpls c="1">
          <tpl fld="7" item="1130"/>
        </tpls>
      </query>
      <query mdx="[Dimittenddato].[Dimittenddato].&amp;[2009-07-07T00:00:00]">
        <tpls c="1">
          <tpl fld="7" item="1131"/>
        </tpls>
      </query>
      <query mdx="[Dimittenddato].[Dimittenddato].&amp;[2009-07-02T00:00:00]">
        <tpls c="1">
          <tpl fld="7" item="1132"/>
        </tpls>
      </query>
      <query mdx="[Dimittenddato].[Dimittenddato].&amp;[2009-06-27T00:00:00]">
        <tpls c="1">
          <tpl fld="7" item="1133"/>
        </tpls>
      </query>
      <query mdx="[Dimittenddato].[Dimittenddato].&amp;[2009-06-21T00:00:00]">
        <tpls c="1">
          <tpl fld="7" item="1134"/>
        </tpls>
      </query>
      <query mdx="[Dimittenddato].[Dimittenddato].&amp;[2009-06-16T00:00:00]">
        <tpls c="1">
          <tpl fld="7" item="1135"/>
        </tpls>
      </query>
      <query mdx="[Dimittenddato].[Dimittenddato].&amp;[2009-06-11T00:00:00]">
        <tpls c="1">
          <tpl fld="7" item="1136"/>
        </tpls>
      </query>
      <query mdx="[Dimittenddato].[Dimittenddato].&amp;[2009-06-07T00:00:00]">
        <tpls c="1">
          <tpl fld="7" item="1137"/>
        </tpls>
      </query>
      <query mdx="[Dimittenddato].[Dimittenddato].&amp;[2009-06-03T00:00:00]">
        <tpls c="1">
          <tpl fld="7" item="1138"/>
        </tpls>
      </query>
      <query mdx="[Dimittenddato].[Dimittenddato].&amp;[2008-08-30T00:00:00]">
        <tpls c="1">
          <tpl fld="7" item="1139"/>
        </tpls>
      </query>
      <query mdx="[Dimittenddato].[Dimittenddato].&amp;[2008-08-26T00:00:00]">
        <tpls c="1">
          <tpl fld="7" item="1140"/>
        </tpls>
      </query>
      <query mdx="[Dimittenddato].[Dimittenddato].&amp;[2008-08-22T00:00:00]">
        <tpls c="1">
          <tpl fld="7" item="1141"/>
        </tpls>
      </query>
      <query mdx="[Dimittenddato].[Dimittenddato].&amp;[2008-08-18T00:00:00]">
        <tpls c="1">
          <tpl fld="7" item="1142"/>
        </tpls>
      </query>
      <query mdx="[Dimittenddato].[Dimittenddato].&amp;[2008-08-14T00:00:00]">
        <tpls c="1">
          <tpl fld="7" item="1143"/>
        </tpls>
      </query>
      <query mdx="[Dimittenddato].[Dimittenddato].&amp;[2008-08-10T00:00:00]">
        <tpls c="1">
          <tpl fld="7" item="1144"/>
        </tpls>
      </query>
      <query mdx="[Dimittenddato].[Dimittenddato].&amp;[2008-08-06T00:00:00]">
        <tpls c="1">
          <tpl fld="7" item="1145"/>
        </tpls>
      </query>
      <query mdx="[Dimittenddato].[Dimittenddato].&amp;[2008-08-02T00:00:00]">
        <tpls c="1">
          <tpl fld="7" item="1146"/>
        </tpls>
      </query>
      <query mdx="[Dimittenddato].[Dimittenddato].&amp;[2008-07-29T00:00:00]">
        <tpls c="1">
          <tpl fld="7" item="1147"/>
        </tpls>
      </query>
      <query mdx="[Dimittenddato].[Dimittenddato].&amp;[2008-07-25T00:00:00]">
        <tpls c="1">
          <tpl fld="7" item="1148"/>
        </tpls>
      </query>
      <query mdx="[Dimittenddato].[Dimittenddato].&amp;[2008-07-21T00:00:00]">
        <tpls c="1">
          <tpl fld="7" item="1149"/>
        </tpls>
      </query>
      <query mdx="[Dimittenddato].[Dimittenddato].&amp;[2008-07-17T00:00:00]">
        <tpls c="1">
          <tpl fld="7" item="1150"/>
        </tpls>
      </query>
      <query mdx="[Dimittenddato].[Dimittenddato].&amp;[2008-07-13T00:00:00]">
        <tpls c="1">
          <tpl fld="7" item="1151"/>
        </tpls>
      </query>
      <query mdx="[Dimittenddato].[Dimittenddato].&amp;[2008-07-09T00:00:00]">
        <tpls c="1">
          <tpl fld="7" item="1152"/>
        </tpls>
      </query>
      <query mdx="[Dimittenddato].[Dimittenddato].&amp;[2008-07-05T00:00:00]">
        <tpls c="1">
          <tpl fld="7" item="1153"/>
        </tpls>
      </query>
      <query mdx="[Dimittenddato].[Dimittenddato].&amp;[2008-07-01T00:00:00]">
        <tpls c="1">
          <tpl fld="7" item="1154"/>
        </tpls>
      </query>
      <query mdx="[Dimittenddato].[Dimittenddato].&amp;[2008-06-27T00:00:00]">
        <tpls c="1">
          <tpl fld="7" item="1155"/>
        </tpls>
      </query>
      <query mdx="[Dimittenddato].[Dimittenddato].&amp;[2008-06-23T00:00:00]">
        <tpls c="1">
          <tpl fld="7" item="1156"/>
        </tpls>
      </query>
      <query mdx="[Dimittenddato].[Dimittenddato].&amp;[2008-06-19T00:00:00]">
        <tpls c="1">
          <tpl fld="7" item="1157"/>
        </tpls>
      </query>
      <query mdx="[Dimittenddato].[Dimittenddato].&amp;[2008-06-15T00:00:00]">
        <tpls c="1">
          <tpl fld="7" item="1158"/>
        </tpls>
      </query>
      <query mdx="[Dimittenddato].[Dimittenddato].&amp;[2008-06-11T00:00:00]">
        <tpls c="1">
          <tpl fld="7" item="1159"/>
        </tpls>
      </query>
      <query mdx="[Dimittenddato].[Dimittenddato].&amp;[2008-06-07T00:00:00]">
        <tpls c="1">
          <tpl fld="7" item="1160"/>
        </tpls>
      </query>
      <query mdx="[Dimittenddato].[Dimittenddato].&amp;[2008-06-03T00:00:00]">
        <tpls c="1">
          <tpl fld="7" item="1161"/>
        </tpls>
      </query>
      <query mdx="[Dimittenddato].[Dimittenddato].&amp;[2007-08-30T00:00:00]">
        <tpls c="1">
          <tpl fld="7" item="1162"/>
        </tpls>
      </query>
      <query mdx="[Dimittenddato].[Dimittenddato].&amp;[2007-08-26T00:00:00]">
        <tpls c="1">
          <tpl fld="7" item="1163"/>
        </tpls>
      </query>
      <query mdx="[Dimittenddato].[Dimittenddato].&amp;[2007-08-22T00:00:00]">
        <tpls c="1">
          <tpl fld="7" item="1164"/>
        </tpls>
      </query>
      <query mdx="[Dimittenddato].[Dimittenddato].&amp;[2007-08-18T00:00:00]">
        <tpls c="1">
          <tpl fld="7" item="1165"/>
        </tpls>
      </query>
      <query mdx="[Dimittenddato].[Dimittenddato].&amp;[2007-08-14T00:00:00]">
        <tpls c="1">
          <tpl fld="7" item="1166"/>
        </tpls>
      </query>
      <query mdx="[Dimittenddato].[Dimittenddato].&amp;[2007-08-10T00:00:00]">
        <tpls c="1">
          <tpl fld="7" item="1167"/>
        </tpls>
      </query>
      <query mdx="[Dimittenddato].[Dimittenddato].&amp;[2007-08-06T00:00:00]">
        <tpls c="1">
          <tpl fld="7" item="1168"/>
        </tpls>
      </query>
      <query mdx="[Dimittenddato].[Dimittenddato].&amp;[2007-08-02T00:00:00]">
        <tpls c="1">
          <tpl fld="7" item="1169"/>
        </tpls>
      </query>
      <query mdx="[Dimittenddato].[Dimittenddato].&amp;[2007-07-29T00:00:00]">
        <tpls c="1">
          <tpl fld="7" item="1170"/>
        </tpls>
      </query>
      <query mdx="[Dimittenddato].[Dimittenddato].&amp;[2007-07-25T00:00:00]">
        <tpls c="1">
          <tpl fld="7" item="1171"/>
        </tpls>
      </query>
      <query mdx="[Dimittenddato].[Dimittenddato].&amp;[2007-07-21T00:00:00]">
        <tpls c="1">
          <tpl fld="7" item="1172"/>
        </tpls>
      </query>
      <query mdx="[Dimittenddato].[Dimittenddato].&amp;[2007-07-17T00:00:00]">
        <tpls c="1">
          <tpl fld="7" item="1173"/>
        </tpls>
      </query>
      <query mdx="[Dimittenddato].[Dimittenddato].&amp;[2007-07-13T00:00:00]">
        <tpls c="1">
          <tpl fld="7" item="1174"/>
        </tpls>
      </query>
      <query mdx="[Dimittenddato].[Dimittenddato].&amp;[2007-07-09T00:00:00]">
        <tpls c="1">
          <tpl fld="7" item="1175"/>
        </tpls>
      </query>
      <query mdx="[Dimittenddato].[Dimittenddato].&amp;[2007-07-05T00:00:00]">
        <tpls c="1">
          <tpl fld="7" item="1176"/>
        </tpls>
      </query>
      <query mdx="[Dimittenddato].[Dimittenddato].&amp;[2007-07-01T00:00:00]">
        <tpls c="1">
          <tpl fld="7" item="1177"/>
        </tpls>
      </query>
      <query mdx="[Dimittenddato].[Dimittenddato].&amp;[2007-06-27T00:00:00]">
        <tpls c="1">
          <tpl fld="7" item="1178"/>
        </tpls>
      </query>
      <query mdx="[Dimittenddato].[Dimittenddato].&amp;[2007-06-23T00:00:00]">
        <tpls c="1">
          <tpl fld="7" item="1179"/>
        </tpls>
      </query>
      <query mdx="[Dimittenddato].[Dimittenddato].&amp;[2007-06-19T00:00:00]">
        <tpls c="1">
          <tpl fld="7" item="1180"/>
        </tpls>
      </query>
      <query mdx="[Dimittenddato].[Dimittenddato].&amp;[2007-06-15T00:00:00]">
        <tpls c="1">
          <tpl fld="7" item="1181"/>
        </tpls>
      </query>
      <query mdx="[Dimittenddato].[Dimittenddato].&amp;[2007-06-11T00:00:00]">
        <tpls c="1">
          <tpl fld="7" item="1182"/>
        </tpls>
      </query>
      <query mdx="[Dimittenddato].[Dimittenddato].&amp;[2007-06-07T00:00:00]">
        <tpls c="1">
          <tpl fld="7" item="1183"/>
        </tpls>
      </query>
      <query mdx="[Dimittenddato].[Dimittenddato].&amp;[2007-06-03T00:00:00]">
        <tpls c="1">
          <tpl fld="7" item="1184"/>
        </tpls>
      </query>
      <query mdx="[Uddannelsesretning].[IDA Gruppe Cand Scient].&amp;[Matematik-Fysik-Kemi]">
        <tpls c="1">
          <tpl fld="9" item="2"/>
        </tpls>
      </query>
      <query mdx="[Uddannelsesretning].[IDA Gruppe].&amp;[Elektronik-IT]">
        <tpls c="1">
          <tpl fld="10" item="8"/>
        </tpls>
      </query>
      <query mdx="[Dimittenddato].[Dimittenddato].&amp;[2019-06-09T00:00:00]">
        <tpls c="1">
          <tpl fld="7" item="1185"/>
        </tpls>
      </query>
      <query mdx="[Dimittenddato].[Dimittenddato].&amp;[2014-07-02T00:00:00]">
        <tpls c="1">
          <tpl fld="7" item="1186"/>
        </tpls>
      </query>
      <query mdx="[Dimittenddato].[Dimittenddato].&amp;[2013-07-08T00:00:00]">
        <tpls c="1">
          <tpl fld="7" item="1187"/>
        </tpls>
      </query>
      <query mdx="[Dimittenddato].[Dimittenddato].&amp;[2012-07-15T00:00:00]">
        <tpls c="1">
          <tpl fld="7" item="1188"/>
        </tpls>
      </query>
      <query mdx="[Dimittenddato].[Dimittenddato].&amp;[2011-08-04T00:00:00]">
        <tpls c="1">
          <tpl fld="7" item="1189"/>
        </tpls>
      </query>
      <query mdx="[Dimittenddato].[Dimittenddato].&amp;[2011-06-08T00:00:00]">
        <tpls c="1">
          <tpl fld="7" item="1190"/>
        </tpls>
      </query>
      <query mdx="[Dimittenddato].[Dimittenddato].&amp;[2010-08-16T00:00:00]">
        <tpls c="1">
          <tpl fld="7" item="1191"/>
        </tpls>
      </query>
      <query mdx="[Dimittenddato].[Dimittenddato].&amp;[2010-07-26T00:00:00]">
        <tpls c="1">
          <tpl fld="7" item="1192"/>
        </tpls>
      </query>
      <query mdx="[Dimittenddato].[Dimittenddato].&amp;[2010-07-05T00:00:00]">
        <tpls c="1">
          <tpl fld="7" item="1193"/>
        </tpls>
      </query>
      <query mdx="[Dimittenddato].[Dimittenddato].&amp;[2010-06-13T00:00:00]">
        <tpls c="1">
          <tpl fld="7" item="1194"/>
        </tpls>
      </query>
      <query mdx="[Dimittenddato].[Dimittenddato].&amp;[2009-08-23T00:00:00]">
        <tpls c="1">
          <tpl fld="7" item="1195"/>
        </tpls>
      </query>
      <query mdx="[Dimittenddato].[Dimittenddato].&amp;[2009-08-02T00:00:00]">
        <tpls c="1">
          <tpl fld="7" item="1196"/>
        </tpls>
      </query>
      <query mdx="[Dimittenddato].[Dimittenddato].&amp;[2009-07-11T00:00:00]">
        <tpls c="1">
          <tpl fld="7" item="1197"/>
        </tpls>
      </query>
      <query mdx="[Dimittenddato].[Dimittenddato].&amp;[2009-06-20T00:00:00]">
        <tpls c="1">
          <tpl fld="7" item="1198"/>
        </tpls>
      </query>
      <query mdx="[Dimittenddato].[Dimittenddato].&amp;[2009-06-02T00:00:00]">
        <tpls c="1">
          <tpl fld="7" item="1199"/>
        </tpls>
      </query>
      <query mdx="[Dimittenddato].[Dimittenddato].&amp;[2008-08-17T00:00:00]">
        <tpls c="1">
          <tpl fld="7" item="1200"/>
        </tpls>
      </query>
      <query mdx="[Dimittenddato].[Dimittenddato].&amp;[2008-08-01T00:00:00]">
        <tpls c="1">
          <tpl fld="7" item="1201"/>
        </tpls>
      </query>
      <query mdx="[Dimittenddato].[Dimittenddato].&amp;[2008-07-16T00:00:00]">
        <tpls c="1">
          <tpl fld="7" item="1202"/>
        </tpls>
      </query>
      <query mdx="[Dimittenddato].[Dimittenddato].&amp;[2008-06-30T00:00:00]">
        <tpls c="1">
          <tpl fld="7" item="1203"/>
        </tpls>
      </query>
      <query mdx="[Dimittenddato].[Dimittenddato].&amp;[2008-06-14T00:00:00]">
        <tpls c="1">
          <tpl fld="7" item="1204"/>
        </tpls>
      </query>
      <query mdx="[Dimittenddato].[Dimittenddato].&amp;[2007-08-29T00:00:00]">
        <tpls c="1">
          <tpl fld="7" item="1205"/>
        </tpls>
      </query>
      <query mdx="[Dimittenddato].[Dimittenddato].&amp;[2007-08-13T00:00:00]">
        <tpls c="1">
          <tpl fld="7" item="1206"/>
        </tpls>
      </query>
      <query mdx="[Dimittenddato].[Dimittenddato].&amp;[2007-07-28T00:00:00]">
        <tpls c="1">
          <tpl fld="7" item="1207"/>
        </tpls>
      </query>
      <query mdx="[Dimittenddato].[Dimittenddato].&amp;[2007-07-12T00:00:00]">
        <tpls c="1">
          <tpl fld="7" item="1208"/>
        </tpls>
      </query>
      <query mdx="[Dimittenddato].[Dimittenddato].&amp;[2007-06-26T00:00:00]">
        <tpls c="1">
          <tpl fld="7" item="1209"/>
        </tpls>
      </query>
      <query mdx="[Dimittenddato].[Dimittenddato].&amp;[2007-06-10T00:00:00]">
        <tpls c="1">
          <tpl fld="7" item="1210"/>
        </tpls>
      </query>
      <query mdx="[Uddannelsesretning].[IDA Gruppe Cand Scient].&amp;[Data og IT]">
        <tpls c="1">
          <tpl fld="9" item="3"/>
        </tpls>
      </query>
      <query mdx="[Uddannelsesretning].[IDA Gruppe Cand Scient].&amp;[Øvrige retninger/uoplyste]">
        <tpls c="1">
          <tpl fld="9" item="4"/>
        </tpls>
      </query>
      <query mdx="[Betalingsstatus].[Betalende medlem]">
        <tpls c="1">
          <tpl fld="11" item="0"/>
        </tpls>
      </query>
      <query mdx="[Medlem].[Køn].[All]">
        <tpls c="1">
          <tpl hier="208" item="4294967295"/>
        </tpls>
      </query>
      <query mdx="[Alder].[Aldersgruppe 10 års interval].[All]">
        <tpls c="1">
          <tpl hier="32" item="4294967295"/>
        </tpls>
      </query>
      <query mdx="[Dimittenddato].[Dimittenddato].&amp;[2016-06-29T00:00:00]">
        <tpls c="1">
          <tpl fld="7" item="1211"/>
        </tpls>
      </query>
      <query mdx="[Dimittenddato].[Dimittenddato].&amp;[2014-06-10T00:00:00]">
        <tpls c="1">
          <tpl fld="7" item="1212"/>
        </tpls>
      </query>
      <query mdx="[Dimittenddato].[Dimittenddato].&amp;[2013-06-17T00:00:00]">
        <tpls c="1">
          <tpl fld="7" item="1213"/>
        </tpls>
      </query>
      <query mdx="[Dimittenddato].[Dimittenddato].&amp;[2012-06-24T00:00:00]">
        <tpls c="1">
          <tpl fld="7" item="1214"/>
        </tpls>
      </query>
      <query mdx="[Dimittenddato].[Dimittenddato].&amp;[2011-07-19T00:00:00]">
        <tpls c="1">
          <tpl fld="7" item="1215"/>
        </tpls>
      </query>
      <query mdx="[Dimittenddato].[Dimittenddato].&amp;[2011-06-01T00:00:00]">
        <tpls c="1">
          <tpl fld="7" item="1216"/>
        </tpls>
      </query>
      <query mdx="[Dimittenddato].[Dimittenddato].&amp;[2010-08-11T00:00:00]">
        <tpls c="1">
          <tpl fld="7" item="1217"/>
        </tpls>
      </query>
      <query mdx="[Dimittenddato].[Dimittenddato].&amp;[2010-07-21T00:00:00]">
        <tpls c="1">
          <tpl fld="7" item="1218"/>
        </tpls>
      </query>
      <query mdx="[Dimittenddato].[Dimittenddato].&amp;[2010-06-29T00:00:00]">
        <tpls c="1">
          <tpl fld="7" item="1219"/>
        </tpls>
      </query>
      <query mdx="[Dimittenddato].[Dimittenddato].&amp;[2010-06-08T00:00:00]">
        <tpls c="1">
          <tpl fld="7" item="1220"/>
        </tpls>
      </query>
      <query mdx="[Dimittenddato].[Dimittenddato].&amp;[2009-08-18T00:00:00]">
        <tpls c="1">
          <tpl fld="7" item="1221"/>
        </tpls>
      </query>
      <query mdx="[Dimittenddato].[Dimittenddato].&amp;[2009-07-27T00:00:00]">
        <tpls c="1">
          <tpl fld="7" item="1222"/>
        </tpls>
      </query>
      <query mdx="[Dimittenddato].[Dimittenddato].&amp;[2009-07-06T00:00:00]">
        <tpls c="1">
          <tpl fld="7" item="1223"/>
        </tpls>
      </query>
      <query mdx="[Dimittenddato].[Dimittenddato].&amp;[2009-06-15T00:00:00]">
        <tpls c="1">
          <tpl fld="7" item="1224"/>
        </tpls>
      </query>
      <query mdx="[Dimittenddato].[Dimittenddato].&amp;[2008-08-29T00:00:00]">
        <tpls c="1">
          <tpl fld="7" item="1225"/>
        </tpls>
      </query>
      <query mdx="[Dimittenddato].[Dimittenddato].&amp;[2008-08-13T00:00:00]">
        <tpls c="1">
          <tpl fld="7" item="1226"/>
        </tpls>
      </query>
      <query mdx="[Dimittenddato].[Dimittenddato].&amp;[2008-07-28T00:00:00]">
        <tpls c="1">
          <tpl fld="7" item="1227"/>
        </tpls>
      </query>
      <query mdx="[Dimittenddato].[Dimittenddato].&amp;[2008-07-12T00:00:00]">
        <tpls c="1">
          <tpl fld="7" item="1228"/>
        </tpls>
      </query>
      <query mdx="[Dimittenddato].[Dimittenddato].&amp;[2008-06-26T00:00:00]">
        <tpls c="1">
          <tpl fld="7" item="1229"/>
        </tpls>
      </query>
      <query mdx="[Dimittenddato].[Dimittenddato].&amp;[2008-06-10T00:00:00]">
        <tpls c="1">
          <tpl fld="7" item="1230"/>
        </tpls>
      </query>
      <query mdx="[Dimittenddato].[Dimittenddato].&amp;[2007-08-25T00:00:00]">
        <tpls c="1">
          <tpl fld="7" item="1231"/>
        </tpls>
      </query>
      <query mdx="[Dimittenddato].[Dimittenddato].&amp;[2007-08-09T00:00:00]">
        <tpls c="1">
          <tpl fld="7" item="1232"/>
        </tpls>
      </query>
      <query mdx="[Dimittenddato].[Dimittenddato].&amp;[2007-07-24T00:00:00]">
        <tpls c="1">
          <tpl fld="7" item="1233"/>
        </tpls>
      </query>
      <query mdx="[Dimittenddato].[Dimittenddato].&amp;[2007-07-08T00:00:00]">
        <tpls c="1">
          <tpl fld="7" item="1234"/>
        </tpls>
      </query>
      <query mdx="[Dimittenddato].[Dimittenddato].&amp;[2007-06-22T00:00:00]">
        <tpls c="1">
          <tpl fld="7" item="1235"/>
        </tpls>
      </query>
      <query mdx="[Dimittenddato].[Dimittenddato].&amp;[2007-06-06T00:00:00]">
        <tpls c="1">
          <tpl fld="7" item="1236"/>
        </tpls>
      </query>
      <query mdx="[Dimittenddato].[Dimittenddato].&amp;[2015-07-26T00:00:00]">
        <tpls c="1">
          <tpl fld="7" item="1237"/>
        </tpls>
      </query>
      <query mdx="[Dimittenddato].[Dimittenddato].&amp;[2013-08-20T00:00:00]">
        <tpls c="1">
          <tpl fld="7" item="1238"/>
        </tpls>
      </query>
      <query mdx="[Dimittenddato].[Dimittenddato].&amp;[2012-08-27T00:00:00]">
        <tpls c="1">
          <tpl fld="7" item="1239"/>
        </tpls>
      </query>
      <query mdx="[Dimittenddato].[Dimittenddato].&amp;[2012-06-05T00:00:00]">
        <tpls c="1">
          <tpl fld="7" item="1240"/>
        </tpls>
      </query>
      <query mdx="[Dimittenddato].[Dimittenddato].&amp;[2011-07-03T00:00:00]">
        <tpls c="1">
          <tpl fld="7" item="1241"/>
        </tpls>
      </query>
      <query mdx="[Dimittenddato].[Dimittenddato].&amp;[2010-08-27T00:00:00]">
        <tpls c="1">
          <tpl fld="7" item="1242"/>
        </tpls>
      </query>
      <query mdx="[Dimittenddato].[Dimittenddato].&amp;[2010-08-06T00:00:00]">
        <tpls c="1">
          <tpl fld="7" item="1243"/>
        </tpls>
      </query>
      <query mdx="[Dimittenddato].[Dimittenddato].&amp;[2010-07-15T00:00:00]">
        <tpls c="1">
          <tpl fld="7" item="1244"/>
        </tpls>
      </query>
      <query mdx="[Dimittenddato].[Dimittenddato].&amp;[2010-06-24T00:00:00]">
        <tpls c="1">
          <tpl fld="7" item="1245"/>
        </tpls>
      </query>
      <query mdx="[Dimittenddato].[Dimittenddato].&amp;[2010-06-03T00:00:00]">
        <tpls c="1">
          <tpl fld="7" item="1246"/>
        </tpls>
      </query>
      <query mdx="[Dimittenddato].[Dimittenddato].&amp;[2009-08-12T00:00:00]">
        <tpls c="1">
          <tpl fld="7" item="1247"/>
        </tpls>
      </query>
      <query mdx="[Dimittenddato].[Dimittenddato].&amp;[2009-07-22T00:00:00]">
        <tpls c="1">
          <tpl fld="7" item="1248"/>
        </tpls>
      </query>
      <query mdx="[Dimittenddato].[Dimittenddato].&amp;[2009-07-01T00:00:00]">
        <tpls c="1">
          <tpl fld="7" item="1249"/>
        </tpls>
      </query>
      <query mdx="[Dimittenddato].[Dimittenddato].&amp;[2009-06-10T00:00:00]">
        <tpls c="1">
          <tpl fld="7" item="1250"/>
        </tpls>
      </query>
      <query mdx="[Dimittenddato].[Dimittenddato].&amp;[2008-08-25T00:00:00]">
        <tpls c="1">
          <tpl fld="7" item="1251"/>
        </tpls>
      </query>
      <query mdx="[Dimittenddato].[Dimittenddato].&amp;[2008-08-09T00:00:00]">
        <tpls c="1">
          <tpl fld="7" item="1252"/>
        </tpls>
      </query>
      <query mdx="[Dimittenddato].[Dimittenddato].&amp;[2008-07-24T00:00:00]">
        <tpls c="1">
          <tpl fld="7" item="1253"/>
        </tpls>
      </query>
      <query mdx="[Dimittenddato].[Dimittenddato].&amp;[2008-07-08T00:00:00]">
        <tpls c="1">
          <tpl fld="7" item="1254"/>
        </tpls>
      </query>
      <query mdx="[Dimittenddato].[Dimittenddato].&amp;[2008-06-22T00:00:00]">
        <tpls c="1">
          <tpl fld="7" item="1255"/>
        </tpls>
      </query>
      <query mdx="[Dimittenddato].[Dimittenddato].&amp;[2008-06-06T00:00:00]">
        <tpls c="1">
          <tpl fld="7" item="1256"/>
        </tpls>
      </query>
      <query mdx="[Dimittenddato].[Dimittenddato].&amp;[2007-08-21T00:00:00]">
        <tpls c="1">
          <tpl fld="7" item="1257"/>
        </tpls>
      </query>
      <query mdx="[Dimittenddato].[Dimittenddato].&amp;[2007-08-05T00:00:00]">
        <tpls c="1">
          <tpl fld="7" item="1258"/>
        </tpls>
      </query>
      <query mdx="[Dimittenddato].[Dimittenddato].&amp;[2007-07-20T00:00:00]">
        <tpls c="1">
          <tpl fld="7" item="1259"/>
        </tpls>
      </query>
      <query mdx="[Dimittenddato].[Dimittenddato].&amp;[2007-07-04T00:00:00]">
        <tpls c="1">
          <tpl fld="7" item="1260"/>
        </tpls>
      </query>
      <query mdx="[Dimittenddato].[Dimittenddato].&amp;[2007-06-18T00:00:00]">
        <tpls c="1">
          <tpl fld="7" item="1261"/>
        </tpls>
      </query>
      <query mdx="[Dimittenddato].[Dimittenddato].&amp;[2007-06-02T00:00:00]">
        <tpls c="1">
          <tpl fld="7" item="1262"/>
        </tpls>
      </query>
      <query mdx="[Dimittenddato].[Dimittenddato].&amp;[2014-08-23T00:00:00]">
        <tpls c="1">
          <tpl fld="7" item="1263"/>
        </tpls>
      </query>
      <query mdx="[Dimittenddato].[Dimittenddato].&amp;[2011-06-17T00:00:00]">
        <tpls c="1">
          <tpl fld="7" item="1264"/>
        </tpls>
      </query>
      <query mdx="[Dimittenddato].[Dimittenddato].&amp;[2010-06-19T00:00:00]">
        <tpls c="1">
          <tpl fld="7" item="1265"/>
        </tpls>
      </query>
      <query mdx="[Dimittenddato].[Dimittenddato].&amp;[2009-06-25T00:00:00]">
        <tpls c="1">
          <tpl fld="7" item="1266"/>
        </tpls>
      </query>
      <query mdx="[Dimittenddato].[Dimittenddato].&amp;[2008-07-20T00:00:00]">
        <tpls c="1">
          <tpl fld="7" item="1267"/>
        </tpls>
      </query>
      <query mdx="[Dimittenddato].[Dimittenddato].&amp;[2007-08-17T00:00:00]">
        <tpls c="1">
          <tpl fld="7" item="1268"/>
        </tpls>
      </query>
      <query mdx="[Dimittenddato].[Dimittenddato].&amp;[2007-06-14T00:00:00]">
        <tpls c="1">
          <tpl fld="7" item="1269"/>
        </tpls>
      </query>
      <query mdx="[Dimittenddato].[Dimittenddato].&amp;[2013-07-30T00:00:00]">
        <tpls c="1">
          <tpl fld="7" item="1270"/>
        </tpls>
      </query>
      <query mdx="[Dimittenddato].[Dimittenddato].&amp;[2010-08-22T00:00:00]">
        <tpls c="1">
          <tpl fld="7" item="1271"/>
        </tpls>
      </query>
      <query mdx="[Dimittenddato].[Dimittenddato].&amp;[2009-08-28T00:00:00]">
        <tpls c="1">
          <tpl fld="7" item="1272"/>
        </tpls>
      </query>
      <query mdx="[Dimittenddato].[Dimittenddato].&amp;[2009-06-06T00:00:00]">
        <tpls c="1">
          <tpl fld="7" item="1273"/>
        </tpls>
      </query>
      <query mdx="[Dimittenddato].[Dimittenddato].&amp;[2008-07-04T00:00:00]">
        <tpls c="1">
          <tpl fld="7" item="1274"/>
        </tpls>
      </query>
      <query mdx="[Dimittenddato].[Dimittenddato].&amp;[2007-08-01T00:00:00]">
        <tpls c="1">
          <tpl fld="7" item="1275"/>
        </tpls>
      </query>
      <query mdx="[Dimittenddato].[Dimittenddato].&amp;[2012-08-05T00:00:00]">
        <tpls c="1">
          <tpl fld="7" item="1276"/>
        </tpls>
      </query>
      <query mdx="[Dimittenddato].[Dimittenddato].&amp;[2010-07-31T00:00:00]">
        <tpls c="1">
          <tpl fld="7" item="1277"/>
        </tpls>
      </query>
      <query mdx="[Dimittenddato].[Dimittenddato].&amp;[2009-08-07T00:00:00]">
        <tpls c="1">
          <tpl fld="7" item="1278"/>
        </tpls>
      </query>
      <query mdx="[Dimittenddato].[Dimittenddato].&amp;[2008-08-21T00:00:00]">
        <tpls c="1">
          <tpl fld="7" item="1279"/>
        </tpls>
      </query>
      <query mdx="[Dimittenddato].[Dimittenddato].&amp;[2008-06-18T00:00:00]">
        <tpls c="1">
          <tpl fld="7" item="1280"/>
        </tpls>
      </query>
      <query mdx="[Dimittenddato].[Dimittenddato].&amp;[2007-07-16T00:00:00]">
        <tpls c="1">
          <tpl fld="7" item="1281"/>
        </tpls>
      </query>
      <query mdx="[Measures].[Sommerdimittender]">
        <tpls c="1">
          <tpl fld="6" item="3"/>
        </tpls>
      </query>
      <query mdx="[Dimittenddato].[Dimittenddato].&amp;[2011-08-20T00:00:00]">
        <tpls c="1">
          <tpl fld="7" item="1282"/>
        </tpls>
      </query>
      <query mdx="[Dimittenddato].[Dimittenddato].&amp;[2008-06-02T00:00:00]">
        <tpls c="1">
          <tpl fld="7" item="1283"/>
        </tpls>
      </query>
      <query mdx="[Dimittenddato].[Dimittenddato].&amp;[2010-07-10T00:00:00]">
        <tpls c="1">
          <tpl fld="7" item="1284"/>
        </tpls>
      </query>
      <query mdx="[Dimittenddato].[Dimittenddato].&amp;[2007-06-30T00:00:00]">
        <tpls c="1">
          <tpl fld="7" item="1285"/>
        </tpls>
      </query>
      <query mdx="[Dimittenddato].[Dimittenddato].&amp;[2009-07-17T00:00:00]">
        <tpls c="1">
          <tpl fld="7" item="1286"/>
        </tpls>
      </query>
      <query mdx="[Dimittenddato].[Dimittenddato].&amp;[2008-08-05T00:00:00]">
        <tpls c="1">
          <tpl fld="7" item="1287"/>
        </tpls>
      </query>
    </queryCache>
    <serverFormats count="4">
      <serverFormat format="#,0.0 %;-#,0.0 %;#,0.0 %"/>
      <serverFormat format="#,0"/>
      <serverFormat format="#,0.00"/>
      <serverFormat format="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Tobias Lundgaard Harpsøe" refreshedDate="42601.576134722221" backgroundQuery="1" createdVersion="5" refreshedVersion="4" minRefreshableVersion="3" recordCount="0" supportSubquery="1" supportAdvancedDrill="1">
  <cacheSource type="external" connectionId="1"/>
  <cacheFields count="2">
    <cacheField name="[Rapporteringsmåned].[Rapporteringsmåned].[Rapporteringsmåned]" caption="Rapporteringsmåned" numFmtId="0" hierarchy="235" level="1">
      <sharedItems containsSemiMixedTypes="0" containsString="0"/>
    </cacheField>
    <cacheField name="[Uddannelse].[IDA Gruppe].[IDA Gruppe]" caption="IDA Gruppe" numFmtId="0" hierarchy="290" level="1">
      <sharedItems count="8">
        <s v="[Uddannelse].[IDA Gruppe].&amp;[Akademiingeniør]" c="Akademiingeniør"/>
        <s v="[Uddannelse].[IDA Gruppe].&amp;[Bachelorer]" c="Bachelorer"/>
        <s v="[Uddannelse].[IDA Gruppe].&amp;[Cand.it]" c="Cand.it"/>
        <s v="[Uddannelse].[IDA Gruppe].&amp;[Cand.scient]" c="Cand.scient"/>
        <s v="[Uddannelse].[IDA Gruppe].&amp;[Civilingeniører]" c="Civilingeniører"/>
        <s v="[Uddannelse].[IDA Gruppe].&amp;[Diplomingeniør]" c="Diplomingeniør"/>
        <s v="[Uddannelse].[IDA Gruppe].&amp;[Phd]" c="Phd"/>
        <s v="[Uddannelse].[IDA Gruppe].&amp;[Teknikumingeniør]" c="Teknikumingeniør"/>
      </sharedItems>
    </cacheField>
  </cacheFields>
  <cacheHierarchies count="1365">
    <cacheHierarchy uniqueName="[Afslutningsdato].[AfsluttedeMåneder]" caption="AfsluttedeMåneder" attribute="1" defaultMemberUniqueName="[Afslutningsdato].[AfsluttedeMåneder].[All]" allUniqueName="[Afslutningsdato].[AfsluttedeMåneder].[All]" dimensionUniqueName="[Afslutningsdato]" displayFolder="" count="0" unbalanced="0"/>
    <cacheHierarchy uniqueName="[Afslutningsdato].[Dag i måneden]" caption="Dag i måneden" attribute="1" defaultMemberUniqueName="[Afslutningsdato].[Dag i måneden].[All]" allUniqueName="[Afslutningsdato].[Dag i måneden].[All]" dimensionUniqueName="[Afslutningsdato]" displayFolder="" count="0" unbalanced="0"/>
    <cacheHierarchy uniqueName="[Afslutningsdato].[DagpengeKvartal]" caption="DagpengeKvartal" attribute="1" defaultMemberUniqueName="[Afslutningsdato].[DagpengeKvartal].[All]" allUniqueName="[Afslutningsdato].[DagpengeKvartal].[All]" dimensionUniqueName="[Afslutningsdato]" displayFolder="" count="0" unbalanced="0"/>
    <cacheHierarchy uniqueName="[Afslutningsdato].[DagpengePeriode]" caption="DagpengePeriode" attribute="1" defaultMemberUniqueName="[Afslutningsdato].[DagpengePeriode].[All]" allUniqueName="[Afslutningsdato].[DagpengePeriode].[All]" dimensionUniqueName="[Afslutningsdato]" displayFolder="" count="0" unbalanced="0"/>
    <cacheHierarchy uniqueName="[Afslutningsdato].[DagpengePeriodeNavn]" caption="DagpengePeriodeNavn" attribute="1" defaultMemberUniqueName="[Afslutningsdato].[DagpengePeriodeNavn].[All]" allUniqueName="[Afslutningsdato].[DagpengePeriodeNavn].[All]" dimensionUniqueName="[Afslutningsdato]" displayFolder="" count="0" unbalanced="0"/>
    <cacheHierarchy uniqueName="[Afslutningsdato].[DagpengePeriodeNr]" caption="DagpengePeriodeNr" attribute="1" defaultMemberUniqueName="[Afslutningsdato].[DagpengePeriodeNr].[All]" allUniqueName="[Afslutningsdato].[DagpengePeriodeNr].[All]" dimensionUniqueName="[Afslutningsdato]" displayFolder="" count="0" unbalanced="0"/>
    <cacheHierarchy uniqueName="[Afslutningsdato].[DagpengePeriodeNummer]" caption="DagpengePeriodeNummer" attribute="1" defaultMemberUniqueName="[Afslutningsdato].[DagpengePeriodeNummer].[All]" allUniqueName="[Afslutningsdato].[DagpengePeriodeNummer].[All]" dimensionUniqueName="[Afslutningsdato]" displayFolder="" count="0" unbalanced="0"/>
    <cacheHierarchy uniqueName="[Afslutningsdato].[DagpengeUge]" caption="DagpengeUge" attribute="1" defaultMemberUniqueName="[Afslutningsdato].[DagpengeUge].[All]" allUniqueName="[Afslutningsdato].[DagpengeUge].[All]" dimensionUniqueName="[Afslutningsdato]" displayFolder="" count="0" unbalanced="0"/>
    <cacheHierarchy uniqueName="[Afslutningsdato].[DagpengeUgeNr]" caption="DagpengeUgeNr" attribute="1" defaultMemberUniqueName="[Afslutningsdato].[DagpengeUgeNr].[All]" allUniqueName="[Afslutningsdato].[DagpengeUgeNr].[All]" dimensionUniqueName="[Afslutningsdato]" displayFolder="" count="0" unbalanced="0"/>
    <cacheHierarchy uniqueName="[Afslutningsdato].[DagpengeUgeNummer]" caption="DagpengeUgeNummer" attribute="1" defaultMemberUniqueName="[Afslutningsdato].[DagpengeUgeNummer].[All]" allUniqueName="[Afslutningsdato].[DagpengeUgeNummer].[All]" dimensionUniqueName="[Afslutningsdato]" displayFolder="" count="0" unbalanced="0"/>
    <cacheHierarchy uniqueName="[Afslutningsdato].[DagpengeÅr]" caption="DagpengeÅr" attribute="1" defaultMemberUniqueName="[Afslutningsdato].[DagpengeÅr].[All]" allUniqueName="[Afslutningsdato].[DagpengeÅr].[All]" dimensionUniqueName="[Afslutningsdato]" displayFolder="" count="0" unbalanced="0"/>
    <cacheHierarchy uniqueName="[Afslutningsdato].[Dato]" caption="Dato" attribute="1" defaultMemberUniqueName="[Afslutningsdato].[Dato].[All]" allUniqueName="[Afslutningsdato].[Dato].[All]" dimensionUniqueName="[Afslutningsdato]" displayFolder="" count="0" unbalanced="0"/>
    <cacheHierarchy uniqueName="[Afslutningsdato].[Igår]" caption="Igår" attribute="1" defaultMemberUniqueName="[Afslutningsdato].[Igår].[All]" allUniqueName="[Afslutningsdato].[Igår].[All]" dimensionUniqueName="[Afslutningsdato]" displayFolder="" count="0" unbalanced="0"/>
    <cacheHierarchy uniqueName="[Afslutningsdato].[IndværendeMåned]" caption="IndværendeMåned" attribute="1" defaultMemberUniqueName="[Afslutningsdato].[IndværendeMåned].[All]" allUniqueName="[Afslutningsdato].[IndværendeMåned].[All]" dimensionUniqueName="[Afslutningsdato]" displayFolder="" count="0" unbalanced="0"/>
    <cacheHierarchy uniqueName="[Afslutningsdato].[Kvartal]" caption="Kvartal" attribute="1" defaultMemberUniqueName="[Afslutningsdato].[Kvartal].[All]" allUniqueName="[Afslutningsdato].[Kvartal].[All]" dimensionUniqueName="[Afslutningsdato]" displayFolder="" count="0" unbalanced="0"/>
    <cacheHierarchy uniqueName="[Afslutningsdato].[Måned]" caption="Måned" attribute="1" defaultMemberUniqueName="[Afslutningsdato].[Måned].[All]" allUniqueName="[Afslutningsdato].[Måned].[All]" dimensionUniqueName="[Afslutningsdato]" displayFolder="" count="0" unbalanced="0"/>
    <cacheHierarchy uniqueName="[Afslutningsdato].[MånedNavn]" caption="MånedNavn" attribute="1" defaultMemberUniqueName="[Afslutningsdato].[MånedNavn].[All]" allUniqueName="[Afslutningsdato].[MånedNavn].[All]" dimensionUniqueName="[Afslutningsdato]" displayFolder="" count="0" unbalanced="0"/>
    <cacheHierarchy uniqueName="[Afslutningsdato].[MånedNavnKort]" caption="MånedNavnKort" attribute="1" defaultMemberUniqueName="[Afslutningsdato].[MånedNavnKort].[All]" allUniqueName="[Afslutningsdato].[MånedNavnKort].[All]" dimensionUniqueName="[Afslutningsdato]" displayFolder="" count="0" unbalanced="0"/>
    <cacheHierarchy uniqueName="[Afslutningsdato].[MånedNummer]" caption="MånedNummer" attribute="1" defaultMemberUniqueName="[Afslutningsdato].[MånedNummer].[All]" allUniqueName="[Afslutningsdato].[MånedNummer].[All]" dimensionUniqueName="[Afslutningsdato]" displayFolder="" count="0" unbalanced="0"/>
    <cacheHierarchy uniqueName="[Afslutningsdato].[SidsteFemÅr]" caption="SidsteFemÅr" attribute="1" defaultMemberUniqueName="[Afslutningsdato].[SidsteFemÅr].[All]" allUniqueName="[Afslutningsdato].[SidsteFemÅr].[All]" dimensionUniqueName="[Afslutningsdato]" displayFolder="" count="0" unbalanced="0"/>
    <cacheHierarchy uniqueName="[Afslutningsdato].[Ugedag]" caption="Ugedag" attribute="1" defaultMemberUniqueName="[Afslutningsdato].[Ugedag].[All]" allUniqueName="[Afslutningsdato].[Ugedag].[All]" dimensionUniqueName="[Afslutningsdato]" displayFolder="" count="0" unbalanced="0"/>
    <cacheHierarchy uniqueName="[Afslutningsdato].[År]" caption="År" attribute="1" defaultMemberUniqueName="[Afslutningsdato].[År].[All]" allUniqueName="[Afslutningsdato].[År].[All]" dimensionUniqueName="[Afslutningsdato]" displayFolder="" count="0" unbalanced="0"/>
    <cacheHierarchy uniqueName="[Afslutningsdato].[År - Måned - Dato]" caption="År - Måned - Dato" defaultMemberUniqueName="[Afslutningsdato].[År - Måned - Dato].[All]" allUniqueName="[Afslutningsdato].[År - Måned - Dato].[All]" dimensionUniqueName="[Afslutningsdato]" displayFolder="" count="0" unbalanced="0"/>
    <cacheHierarchy uniqueName="[Aftale Afholdelsesstatus].[Aftale Afholdelsesstatus]" caption="Aftale Afholdelsesstatus" attribute="1" defaultMemberUniqueName="[Aftale Afholdelsesstatus].[Aftale Afholdelsesstatus].[All]" allUniqueName="[Aftale Afholdelsesstatus].[Aftale Afholdelsesstatus].[All]" dimensionUniqueName="[Aftale Afholdelsesstatus]" displayFolder="" count="0" unbalanced="0"/>
    <cacheHierarchy uniqueName="[Aftalestatus].[Aftalestatus]" caption="Aftalestatus" attribute="1" defaultMemberUniqueName="[Aftalestatus].[Aftalestatus].[All]" allUniqueName="[Aftalestatus].[Aftalestatus].[All]" dimensionUniqueName="[Aftalestatus]" displayFolder="" count="0" unbalanced="0"/>
    <cacheHierarchy uniqueName="[Aftaletype].[Aftaletype]" caption="Aftaletype" attribute="1" defaultMemberUniqueName="[Aftaletype].[Aftaletype].[All]" allUniqueName="[Aftaletype].[Aftaletype].[All]" dimensionUniqueName="[Aftaletype]" displayFolder="" count="0" unbalanced="0"/>
    <cacheHierarchy uniqueName="[Aftaletype].[Aftaletype Gruppe]" caption="Aftaletype Gruppe" attribute="1" defaultMemberUniqueName="[Aftaletype].[Aftaletype Gruppe].[All]" allUniqueName="[Aftaletype].[Aftaletype Gruppe].[All]" dimensionUniqueName="[Aftaletype]" displayFolder="" count="0" unbalanced="0"/>
    <cacheHierarchy uniqueName="[Afvist].[Afvist]" caption="Afvist" attribute="1" defaultMemberUniqueName="[Afvist].[Afvist].[All]" allUniqueName="[Afvist].[Afvist].[All]" dimensionUniqueName="[Afvist]" displayFolder="" count="0" unbalanced="0"/>
    <cacheHierarchy uniqueName="[Aktivitetsstatus].[Aktivitetsstatus]" caption="Aktivitetsstatus" attribute="1" defaultMemberUniqueName="[Aktivitetsstatus].[Aktivitetsstatus].[All]" allUniqueName="[Aktivitetsstatus].[Aktivitetsstatus].[All]" dimensionUniqueName="[Aktivitetsstatus]" displayFolder="" count="0" unbalanced="0"/>
    <cacheHierarchy uniqueName="[Aktivitetstype].[Aktivitetstype]" caption="Aktivitetstype" attribute="1" defaultMemberUniqueName="[Aktivitetstype].[Aktivitetstype].[All]" allUniqueName="[Aktivitetstype].[Aktivitetstype].[All]" dimensionUniqueName="[Aktivitetstype]" displayFolder="" count="0" unbalanced="0"/>
    <cacheHierarchy uniqueName="[Aktivitetstype].[Aktivitetstype_Key]" caption="Aktivitetstype_Key" attribute="1" defaultMemberUniqueName="[Aktivitetstype].[Aktivitetstype_Key].[All]" allUniqueName="[Aktivitetstype].[Aktivitetstype_Key].[All]" dimensionUniqueName="[Aktivitetstype]" displayFolder="" count="0" unbalanced="0"/>
    <cacheHierarchy uniqueName="[Alder].[Aldersgruppe]" caption="Aldersgruppe" attribute="1" defaultMemberUniqueName="[Alder].[Aldersgruppe].[All]" allUniqueName="[Alder].[Aldersgruppe].[All]" dimensionUniqueName="[Alder]" displayFolder="" count="0" unbalanced="0"/>
    <cacheHierarchy uniqueName="[Alder].[Aldersgruppe 10 års interval]" caption="Aldersgruppe 10 års interval" attribute="1" defaultMemberUniqueName="[Alder].[Aldersgruppe 10 års interval].[All]" allUniqueName="[Alder].[Aldersgruppe 10 års interval].[All]" dimensionUniqueName="[Alder]" displayFolder="" count="0" unbalanced="0"/>
    <cacheHierarchy uniqueName="[Alder].[SortOrder]" caption="SortOrder" attribute="1" defaultMemberUniqueName="[Alder].[SortOrder].[All]" allUniqueName="[Alder].[SortOrder].[All]" dimensionUniqueName="[Alder]" displayFolder="" count="0" unbalanced="0"/>
    <cacheHierarchy uniqueName="[Alder].[SortOrder 10 års interval]" caption="SortOrder 10 års interval" attribute="1" defaultMemberUniqueName="[Alder].[SortOrder 10 års interval].[All]" allUniqueName="[Alder].[SortOrder 10 års interval].[All]" dimensionUniqueName="[Alder]" displayFolder="" count="0" unbalanced="0"/>
    <cacheHierarchy uniqueName="[Anden A-kasse].[Anden A-kasse]" caption="Anden A-kasse" attribute="1" defaultMemberUniqueName="[Anden A-kasse].[Anden A-kasse].[All]" allUniqueName="[Anden A-kasse].[Anden A-kasse].[All]" dimensionUniqueName="[Anden A-kasse]" displayFolder="" count="0" unbalanced="0"/>
    <cacheHierarchy uniqueName="[Anden Aktør Aktiviteter].[Antal Timer]" caption="Antal Timer" attribute="1" defaultMemberUniqueName="[Anden Aktør Aktiviteter].[Antal Timer].[All]" allUniqueName="[Anden Aktør Aktiviteter].[Antal Timer].[All]" dimensionUniqueName="[Anden Aktør Aktiviteter]" displayFolder="" count="0" unbalanced="0"/>
    <cacheHierarchy uniqueName="[Anden Aktør Aktiviteter].[Beskrivelse]" caption="Beskrivelse" attribute="1" defaultMemberUniqueName="[Anden Aktør Aktiviteter].[Beskrivelse].[All]" allUniqueName="[Anden Aktør Aktiviteter].[Beskrivelse].[All]" dimensionUniqueName="[Anden Aktør Aktiviteter]" displayFolder="" count="0" unbalanced="0"/>
    <cacheHierarchy uniqueName="[Anden Aktør Aktiviteter].[Slutdato]" caption="Slutdato" attribute="1" defaultMemberUniqueName="[Anden Aktør Aktiviteter].[Slutdato].[All]" allUniqueName="[Anden Aktør Aktiviteter].[Slutdato].[All]" dimensionUniqueName="[Anden Aktør Aktiviteter]" displayFolder="" count="0" unbalanced="0"/>
    <cacheHierarchy uniqueName="[Anden Aktør Aktiviteter].[Startdato]" caption="Startdato" attribute="1" defaultMemberUniqueName="[Anden Aktør Aktiviteter].[Startdato].[All]" allUniqueName="[Anden Aktør Aktiviteter].[Startdato].[All]" dimensionUniqueName="[Anden Aktør Aktiviteter]" displayFolder="" count="0" unbalanced="0"/>
    <cacheHierarchy uniqueName="[Anden Aktør Aktivitetstype].[Anden Aktør Aktivitetstype]" caption="Anden Aktør Aktivitetstype" attribute="1" defaultMemberUniqueName="[Anden Aktør Aktivitetstype].[Anden Aktør Aktivitetstype].[All]" allUniqueName="[Anden Aktør Aktivitetstype].[Anden Aktør Aktivitetstype].[All]" dimensionUniqueName="[Anden Aktør Aktivitetstype]" displayFolder="" count="0" unbalanced="0"/>
    <cacheHierarchy uniqueName="[Anden Aktør Aktivitetstype].[Virksomhedsrettet Tilbud]" caption="Virksomhedsrettet Tilbud" attribute="1" defaultMemberUniqueName="[Anden Aktør Aktivitetstype].[Virksomhedsrettet Tilbud].[All]" allUniqueName="[Anden Aktør Aktivitetstype].[Virksomhedsrettet Tilbud].[All]" dimensionUniqueName="[Anden Aktør Aktivitetstype]" displayFolder="" count="0" unbalanced="0"/>
    <cacheHierarchy uniqueName="[Ansvarligt Team].[Ansvarlig Afdeling]" caption="Ansvarlig Afdeling" attribute="1" defaultMemberUniqueName="[Ansvarligt Team].[Ansvarlig Afdeling].[All]" allUniqueName="[Ansvarligt Team].[Ansvarlig Afdeling].[All]" dimensionUniqueName="[Ansvarligt Team]" displayFolder="" count="0" unbalanced="0"/>
    <cacheHierarchy uniqueName="[Ansvarligt Team].[Ansvarligt Team]" caption="Ansvarligt Team" attribute="1" defaultMemberUniqueName="[Ansvarligt Team].[Ansvarligt Team].[All]" allUniqueName="[Ansvarligt Team].[Ansvarligt Team].[All]" dimensionUniqueName="[Ansvarligt Team]" displayFolder="" count="0" unbalanced="0"/>
    <cacheHierarchy uniqueName="[Ansvarligt Team].[Ansvarligt Team Gruppe]" caption="Ansvarligt Team Gruppe" attribute="1" defaultMemberUniqueName="[Ansvarligt Team].[Ansvarligt Team Gruppe].[All]" allUniqueName="[Ansvarligt Team].[Ansvarligt Team Gruppe].[All]" dimensionUniqueName="[Ansvarligt Team]" displayFolder="" count="0" unbalanced="0"/>
    <cacheHierarchy uniqueName="[Ansvarligt Team].[Ansvarligt Team_BK]" caption="Ansvarligt Team_BK" attribute="1" defaultMemberUniqueName="[Ansvarligt Team].[Ansvarligt Team_BK].[All]" allUniqueName="[Ansvarligt Team].[Ansvarligt Team_BK].[All]" dimensionUniqueName="[Ansvarligt Team]" displayFolder="" count="0" unbalanced="0"/>
    <cacheHierarchy uniqueName="[Arbejdsgange].[AfslutningsDato]" caption="AfslutningsDato" attribute="1" defaultMemberUniqueName="[Arbejdsgange].[AfslutningsDato].[All]" allUniqueName="[Arbejdsgange].[AfslutningsDato].[All]" dimensionUniqueName="[Arbejdsgange]" displayFolder="" count="0" unbalanced="0"/>
    <cacheHierarchy uniqueName="[Arbejdsgange].[AktiveretDato]" caption="AktiveretDato" attribute="1" defaultMemberUniqueName="[Arbejdsgange].[AktiveretDato].[All]" allUniqueName="[Arbejdsgange].[AktiveretDato].[All]" dimensionUniqueName="[Arbejdsgange]" displayFolder="" count="0" unbalanced="0"/>
    <cacheHierarchy uniqueName="[Arbejdsgange].[Arbejdsgangs_BK]" caption="Arbejdsgangs_BK" attribute="1" defaultMemberUniqueName="[Arbejdsgange].[Arbejdsgangs_BK].[All]" allUniqueName="[Arbejdsgange].[Arbejdsgangs_BK].[All]" dimensionUniqueName="[Arbejdsgange]" displayFolder="" count="0" unbalanced="0"/>
    <cacheHierarchy uniqueName="[Arbejdsgange].[AutomatiskTrin]" caption="AutomatiskTrin" attribute="1" defaultMemberUniqueName="[Arbejdsgange].[AutomatiskTrin].[All]" allUniqueName="[Arbejdsgange].[AutomatiskTrin].[All]" dimensionUniqueName="[Arbejdsgange]" displayFolder="" count="0" unbalanced="0"/>
    <cacheHierarchy uniqueName="[Arbejdsgange].[DimittendDato]" caption="DimittendDato" attribute="1" defaultMemberUniqueName="[Arbejdsgange].[DimittendDato].[All]" allUniqueName="[Arbejdsgange].[DimittendDato].[All]" dimensionUniqueName="[Arbejdsgange]" displayFolder="" count="0" unbalanced="0"/>
    <cacheHierarchy uniqueName="[Arbejdsgange].[ManueltTrin]" caption="ManueltTrin" attribute="1" defaultMemberUniqueName="[Arbejdsgange].[ManueltTrin].[All]" allUniqueName="[Arbejdsgange].[ManueltTrin].[All]" dimensionUniqueName="[Arbejdsgange]" displayFolder="" count="0" unbalanced="0"/>
    <cacheHierarchy uniqueName="[Arbejdsgange].[TrinNummer]" caption="TrinNummer" attribute="1" defaultMemberUniqueName="[Arbejdsgange].[TrinNummer].[All]" allUniqueName="[Arbejdsgange].[TrinNummer].[All]" dimensionUniqueName="[Arbejdsgange]" displayFolder="" count="0" unbalanced="0"/>
    <cacheHierarchy uniqueName="[Arbejdsgangstype].[Arbejdsgangstype]" caption="Arbejdsgangstype" attribute="1" defaultMemberUniqueName="[Arbejdsgangstype].[Arbejdsgangstype].[All]" allUniqueName="[Arbejdsgangstype].[Arbejdsgangstype].[All]" dimensionUniqueName="[Arbejdsgangstype]" displayFolder="" count="0" unbalanced="0"/>
    <cacheHierarchy uniqueName="[Arbejdsgangstype].[Arbejdsgangstype_Key]" caption="Arbejdsgangstype_Key" attribute="1" defaultMemberUniqueName="[Arbejdsgangstype].[Arbejdsgangstype_Key].[All]" allUniqueName="[Arbejdsgangstype].[Arbejdsgangstype_Key].[All]" dimensionUniqueName="[Arbejdsgangstype]" displayFolder="" count="0" unbalanced="0"/>
    <cacheHierarchy uniqueName="[Arbejdsgangstype].[ArbejdsgangstypeBeskrivelse]" caption="ArbejdsgangstypeBeskrivelse" attribute="1" defaultMemberUniqueName="[Arbejdsgangstype].[ArbejdsgangstypeBeskrivelse].[All]" allUniqueName="[Arbejdsgangstype].[ArbejdsgangstypeBeskrivelse].[All]" dimensionUniqueName="[Arbejdsgangstype]" displayFolder="" count="0" unbalanced="0"/>
    <cacheHierarchy uniqueName="[Arbejdsgangstype].[ArbejdsgangstypeGruppering]" caption="ArbejdsgangstypeGruppering" attribute="1" defaultMemberUniqueName="[Arbejdsgangstype].[ArbejdsgangstypeGruppering].[All]" allUniqueName="[Arbejdsgangstype].[ArbejdsgangstypeGruppering].[All]" dimensionUniqueName="[Arbejdsgangstype]" displayFolder="" count="0" unbalanced="0"/>
    <cacheHierarchy uniqueName="[Arbejdsgangtrin].[Arbejdsgangtrin]" caption="Arbejdsgangtrin" attribute="1" defaultMemberUniqueName="[Arbejdsgangtrin].[Arbejdsgangtrin].[All]" allUniqueName="[Arbejdsgangtrin].[Arbejdsgangtrin].[All]" dimensionUniqueName="[Arbejdsgangtrin]" displayFolder="" count="0" unbalanced="0"/>
    <cacheHierarchy uniqueName="[Arbejdsgangtrin].[Arbejdsgangtrin_BK]" caption="Arbejdsgangtrin_BK" attribute="1" defaultMemberUniqueName="[Arbejdsgangtrin].[Arbejdsgangtrin_BK].[All]" allUniqueName="[Arbejdsgangtrin].[Arbejdsgangtrin_BK].[All]" dimensionUniqueName="[Arbejdsgangtrin]" displayFolder="" count="0" unbalanced="0"/>
    <cacheHierarchy uniqueName="[Arbejdsgangtrin].[Arbejdsgangtrin_Key]" caption="Arbejdsgangtrin_Key" attribute="1" defaultMemberUniqueName="[Arbejdsgangtrin].[Arbejdsgangtrin_Key].[All]" allUniqueName="[Arbejdsgangtrin].[Arbejdsgangtrin_Key].[All]" dimensionUniqueName="[Arbejdsgangtrin]" displayFolder="" count="0" unbalanced="0"/>
    <cacheHierarchy uniqueName="[Arbejdsgangtrin].[ArbejdsgangtrinType]" caption="ArbejdsgangtrinType" attribute="1" defaultMemberUniqueName="[Arbejdsgangtrin].[ArbejdsgangtrinType].[All]" allUniqueName="[Arbejdsgangtrin].[ArbejdsgangtrinType].[All]" dimensionUniqueName="[Arbejdsgangtrin]" displayFolder="" count="0" unbalanced="0"/>
    <cacheHierarchy uniqueName="[ArbejdsgangtrinStatus].[Arbejdsgangtrinstatus]" caption="Arbejdsgangtrinstatus" attribute="1" defaultMemberUniqueName="[ArbejdsgangtrinStatus].[Arbejdsgangtrinstatus].[All]" allUniqueName="[ArbejdsgangtrinStatus].[Arbejdsgangtrinstatus].[All]" dimensionUniqueName="[ArbejdsgangtrinStatus]" displayFolder="" count="0" unbalanced="0"/>
    <cacheHierarchy uniqueName="[ArbejdsgangtrinStatus].[Arbejdsgangtrinstatus_BK]" caption="Arbejdsgangtrinstatus_BK" attribute="1" defaultMemberUniqueName="[ArbejdsgangtrinStatus].[Arbejdsgangtrinstatus_BK].[All]" allUniqueName="[ArbejdsgangtrinStatus].[Arbejdsgangtrinstatus_BK].[All]" dimensionUniqueName="[ArbejdsgangtrinStatus]" displayFolder="" count="0" unbalanced="0"/>
    <cacheHierarchy uniqueName="[ArbejdsgangtrinStatus].[Arbejdsgangtrinstatus_Key]" caption="Arbejdsgangtrinstatus_Key" attribute="1" defaultMemberUniqueName="[ArbejdsgangtrinStatus].[Arbejdsgangtrinstatus_Key].[All]" allUniqueName="[ArbejdsgangtrinStatus].[Arbejdsgangtrinstatus_Key].[All]" dimensionUniqueName="[ArbejdsgangtrinStatus]" displayFolder="" count="0" unbalanced="0"/>
    <cacheHierarchy uniqueName="[Arrangement].[Arrangement]" caption="Arrangement" attribute="1" defaultMemberUniqueName="[Arrangement].[Arrangement].[All]" allUniqueName="[Arrangement].[Arrangement].[All]" dimensionUniqueName="[Arrangement]" displayFolder="" count="0" unbalanced="0"/>
    <cacheHierarchy uniqueName="[Arrangement].[Arrangement By]" caption="Arrangement By" attribute="1" defaultMemberUniqueName="[Arrangement].[Arrangement By].[All]" allUniqueName="[Arrangement].[Arrangement By].[All]" dimensionUniqueName="[Arrangement]" displayFolder="" count="0" unbalanced="0"/>
    <cacheHierarchy uniqueName="[Arrangement].[Arrangement Gruppe]" caption="Arrangement Gruppe" attribute="1" defaultMemberUniqueName="[Arrangement].[Arrangement Gruppe].[All]" allUniqueName="[Arrangement].[Arrangement Gruppe].[All]" dimensionUniqueName="[Arrangement]" displayFolder="" count="0" unbalanced="0"/>
    <cacheHierarchy uniqueName="[Automatiseringstype].[Automatiseringstype]" caption="Automatiseringstype" attribute="1" defaultMemberUniqueName="[Automatiseringstype].[Automatiseringstype].[All]" allUniqueName="[Automatiseringstype].[Automatiseringstype].[All]" dimensionUniqueName="[Automatiseringstype]" displayFolder="" count="0" unbalanced="0"/>
    <cacheHierarchy uniqueName="[Automatiseringstype].[Automatiseringstype_Key]" caption="Automatiseringstype_Key" attribute="1" defaultMemberUniqueName="[Automatiseringstype].[Automatiseringstype_Key].[All]" allUniqueName="[Automatiseringstype].[Automatiseringstype_Key].[All]" dimensionUniqueName="[Automatiseringstype]" displayFolder="" count="0" unbalanced="0"/>
    <cacheHierarchy uniqueName="[Behandlet].[Behandlet]" caption="Behandlet" attribute="1" defaultMemberUniqueName="[Behandlet].[Behandlet].[All]" allUniqueName="[Behandlet].[Behandlet].[All]" dimensionUniqueName="[Behandlet]" displayFolder="" count="0" unbalanced="0"/>
    <cacheHierarchy uniqueName="[Betalingsstatus].[Betalingsstatus]" caption="Betalingsstatus" attribute="1" defaultMemberUniqueName="[Betalingsstatus].[Betalingsstatus].[All]" allUniqueName="[Betalingsstatus].[Betalingsstatus].[All]" dimensionUniqueName="[Betalingsstatus]" displayFolder="" count="0" unbalanced="0"/>
    <cacheHierarchy uniqueName="[Dato].[Afsluttede Måneder]" caption="Afsluttede Måneder" attribute="1" defaultMemberUniqueName="[Dato].[Afsluttede Måneder].[All]" allUniqueName="[Dato].[Afsluttede Måneder].[All]" dimensionUniqueName="[Dato]" displayFolder="" count="0" unbalanced="0"/>
    <cacheHierarchy uniqueName="[Dato].[Arbejdsdag]" caption="Arbejdsdag" attribute="1" defaultMemberUniqueName="[Dato].[Arbejdsdag].[All]" allUniqueName="[Dato].[Arbejdsdag].[All]" dimensionUniqueName="[Dato]" displayFolder="" count="0" unbalanced="0"/>
    <cacheHierarchy uniqueName="[Dato].[Dag I Dagpengeperiode]" caption="Dag I Dagpengeperiode" attribute="1" defaultMemberUniqueName="[Dato].[Dag I Dagpengeperiode].[All]" allUniqueName="[Dato].[Dag I Dagpengeperiode].[All]" dimensionUniqueName="[Dato]" displayFolder="" count="0" unbalanced="0"/>
    <cacheHierarchy uniqueName="[Dato].[Dag I Måneden]" caption="Dag I Måneden" attribute="1" defaultMemberUniqueName="[Dato].[Dag I Måneden].[All]" allUniqueName="[Dato].[Dag I Måneden].[All]" dimensionUniqueName="[Dato]" displayFolder="" count="0" unbalanced="0"/>
    <cacheHierarchy uniqueName="[Dato].[Dagpenge Kvartal]" caption="Dagpenge Kvartal" attribute="1" defaultMemberUniqueName="[Dato].[Dagpenge Kvartal].[All]" allUniqueName="[Dato].[Dagpenge Kvartal].[All]" dimensionUniqueName="[Dato]" displayFolder="" count="0" unbalanced="0"/>
    <cacheHierarchy uniqueName="[Dato].[Dagpenge Periode]" caption="Dagpenge Periode" attribute="1" defaultMemberUniqueName="[Dato].[Dagpenge Periode].[All]" allUniqueName="[Dato].[Dagpenge Periode].[All]" dimensionUniqueName="[Dato]" displayFolder="" count="0" unbalanced="0"/>
    <cacheHierarchy uniqueName="[Dato].[Dagpenge Periode Navn]" caption="Dagpenge Periode Navn" attribute="1" defaultMemberUniqueName="[Dato].[Dagpenge Periode Navn].[All]" allUniqueName="[Dato].[Dagpenge Periode Navn].[All]" dimensionUniqueName="[Dato]" displayFolder="" count="0" unbalanced="0"/>
    <cacheHierarchy uniqueName="[Dato].[Dagpenge Periode Nummer]" caption="Dagpenge Periode Nummer" attribute="1" defaultMemberUniqueName="[Dato].[Dagpenge Periode Nummer].[All]" allUniqueName="[Dato].[Dagpenge Periode Nummer].[All]" dimensionUniqueName="[Dato]" displayFolder="" count="0" unbalanced="0"/>
    <cacheHierarchy uniqueName="[Dato].[Dagpenge Uge]" caption="Dagpenge Uge" attribute="1" defaultMemberUniqueName="[Dato].[Dagpenge Uge].[All]" allUniqueName="[Dato].[Dagpenge Uge].[All]" dimensionUniqueName="[Dato]" displayFolder="" count="0" unbalanced="0"/>
    <cacheHierarchy uniqueName="[Dato].[Dagpenge Uge Nummer]" caption="Dagpenge Uge Nummer" attribute="1" defaultMemberUniqueName="[Dato].[Dagpenge Uge Nummer].[All]" allUniqueName="[Dato].[Dagpenge Uge Nummer].[All]" dimensionUniqueName="[Dato]" displayFolder="" count="0" unbalanced="0"/>
    <cacheHierarchy uniqueName="[Dato].[Dagpenge År]" caption="Dagpenge År" attribute="1" defaultMemberUniqueName="[Dato].[Dagpenge År].[All]" allUniqueName="[Dato].[Dagpenge År].[All]" dimensionUniqueName="[Dato]" displayFolder="" count="0" unbalanced="0"/>
    <cacheHierarchy uniqueName="[Dato].[Dagpenge År - Periode]" caption="Dagpenge År - Periode" defaultMemberUniqueName="[Dato].[Dagpenge År - Periode].[All]" allUniqueName="[Dato].[Dagpenge År - Periode].[All]" dimensionUniqueName="[Dato]" displayFolder="" count="0" unbalanced="0"/>
    <cacheHierarchy uniqueName="[Dato].[Dato]" caption="Dato" attribute="1" defaultMemberUniqueName="[Dato].[Dato].[All]" allUniqueName="[Dato].[Dato].[All]" dimensionUniqueName="[Dato]" displayFolder="" count="0" unbalanced="0"/>
    <cacheHierarchy uniqueName="[Dato].[ForrigeUge]" caption="ForrigeUge" attribute="1" defaultMemberUniqueName="[Dato].[ForrigeUge].[All]" allUniqueName="[Dato].[ForrigeUge].[All]" dimensionUniqueName="[Dato]" displayFolder="" count="0" unbalanced="0"/>
    <cacheHierarchy uniqueName="[Dato].[Fremtid]" caption="Fremtid" attribute="1" defaultMemberUniqueName="[Dato].[Fremtid].[All]" allUniqueName="[Dato].[Fremtid].[All]" dimensionUniqueName="[Dato]" displayFolder="" count="0" unbalanced="0"/>
    <cacheHierarchy uniqueName="[Dato].[Helligdag]" caption="Helligdag" attribute="1" defaultMemberUniqueName="[Dato].[Helligdag].[All]" allUniqueName="[Dato].[Helligdag].[All]" dimensionUniqueName="[Dato]" displayFolder="" count="0" unbalanced="0"/>
    <cacheHierarchy uniqueName="[Dato].[Helligdag Navn]" caption="Helligdag Navn" attribute="1" defaultMemberUniqueName="[Dato].[Helligdag Navn].[All]" allUniqueName="[Dato].[Helligdag Navn].[All]" dimensionUniqueName="[Dato]" displayFolder="" count="0" unbalanced="0"/>
    <cacheHierarchy uniqueName="[Dato].[I går]" caption="I går" attribute="1" defaultMemberUniqueName="[Dato].[I går].[All]" allUniqueName="[Dato].[I går].[All]" dimensionUniqueName="[Dato]" displayFolder="" count="0" unbalanced="0"/>
    <cacheHierarchy uniqueName="[Dato].[Indeværende Måned]" caption="Indeværende Måned" attribute="1" defaultMemberUniqueName="[Dato].[Indeværende Måned].[All]" allUniqueName="[Dato].[Indeværende Måned].[All]" dimensionUniqueName="[Dato]" displayFolder="" count="0" unbalanced="0"/>
    <cacheHierarchy uniqueName="[Dato].[Kvartal]" caption="Kvartal" attribute="1" defaultMemberUniqueName="[Dato].[Kvartal].[All]" allUniqueName="[Dato].[Kvartal].[All]" dimensionUniqueName="[Dato]" displayFolder="" count="0" unbalanced="0"/>
    <cacheHierarchy uniqueName="[Dato].[Måned]" caption="Måned" attribute="1" defaultMemberUniqueName="[Dato].[Måned].[All]" allUniqueName="[Dato].[Måned].[All]" dimensionUniqueName="[Dato]" displayFolder="" count="0" unbalanced="0"/>
    <cacheHierarchy uniqueName="[Dato].[Måned Navn]" caption="Måned Navn" attribute="1" defaultMemberUniqueName="[Dato].[Måned Navn].[All]" allUniqueName="[Dato].[Måned Navn].[All]" dimensionUniqueName="[Dato]" displayFolder="" count="0" unbalanced="0"/>
    <cacheHierarchy uniqueName="[Dato].[Måned Navn Kort]" caption="Måned Navn Kort" attribute="1" defaultMemberUniqueName="[Dato].[Måned Navn Kort].[All]" allUniqueName="[Dato].[Måned Navn Kort].[All]" dimensionUniqueName="[Dato]" displayFolder="" count="0" unbalanced="0"/>
    <cacheHierarchy uniqueName="[Dato].[Månednummer]" caption="Månednummer" attribute="1" defaultMemberUniqueName="[Dato].[Månednummer].[All]" allUniqueName="[Dato].[Månednummer].[All]" dimensionUniqueName="[Dato]" displayFolder="" count="0" unbalanced="0"/>
    <cacheHierarchy uniqueName="[Dato].[Sidste Fem År]" caption="Sidste Fem År" attribute="1" defaultMemberUniqueName="[Dato].[Sidste Fem År].[All]" allUniqueName="[Dato].[Sidste Fem År].[All]" dimensionUniqueName="[Dato]" displayFolder="" count="0" unbalanced="0"/>
    <cacheHierarchy uniqueName="[Dato].[SidsteUge]" caption="SidsteUge" attribute="1" defaultMemberUniqueName="[Dato].[SidsteUge].[All]" allUniqueName="[Dato].[SidsteUge].[All]" dimensionUniqueName="[Dato]" displayFolder="" count="0" unbalanced="0"/>
    <cacheHierarchy uniqueName="[Dato].[Uge]" caption="Uge" attribute="1" defaultMemberUniqueName="[Dato].[Uge].[All]" allUniqueName="[Dato].[Uge].[All]" dimensionUniqueName="[Dato]" displayFolder="" count="0" unbalanced="0"/>
    <cacheHierarchy uniqueName="[Dato].[Uge Nummer]" caption="Uge Nummer" attribute="1" defaultMemberUniqueName="[Dato].[Uge Nummer].[All]" allUniqueName="[Dato].[Uge Nummer].[All]" dimensionUniqueName="[Dato]" displayFolder="" count="0" unbalanced="0"/>
    <cacheHierarchy uniqueName="[Dato].[Uge År]" caption="Uge År" attribute="1" defaultMemberUniqueName="[Dato].[Uge År].[All]" allUniqueName="[Dato].[Uge År].[All]" dimensionUniqueName="[Dato]" displayFolder="" count="0" unbalanced="0"/>
    <cacheHierarchy uniqueName="[Dato].[Ugedag]" caption="Ugedag" attribute="1" defaultMemberUniqueName="[Dato].[Ugedag].[All]" allUniqueName="[Dato].[Ugedag].[All]" dimensionUniqueName="[Dato]" displayFolder="" count="0" unbalanced="0"/>
    <cacheHierarchy uniqueName="[Dato].[År]" caption="År" attribute="1" defaultMemberUniqueName="[Dato].[År].[All]" allUniqueName="[Dato].[År].[All]" dimensionUniqueName="[Dato]" displayFolder="" count="0" unbalanced="0"/>
    <cacheHierarchy uniqueName="[Dato].[År - Måned - Dato]" caption="År - Måned - Dato" defaultMemberUniqueName="[Dato].[År - Måned - Dato].[All]" allUniqueName="[Dato].[År - Måned - Dato].[All]" dimensionUniqueName="[Dato]" displayFolder="" count="0" unbalanced="0"/>
    <cacheHierarchy uniqueName="[Dato].[År - Uge - Dato]" caption="År - Uge - Dato" defaultMemberUniqueName="[Dato].[År - Uge - Dato].[All]" allUniqueName="[Dato].[År - Uge - Dato].[All]" dimensionUniqueName="[Dato]" displayFolder="" count="0" unbalanced="0"/>
    <cacheHierarchy uniqueName="[Deadlinedato].[AfsluttedeMåneder]" caption="AfsluttedeMåneder" attribute="1" defaultMemberUniqueName="[Deadlinedato].[AfsluttedeMåneder].[All]" allUniqueName="[Deadlinedato].[AfsluttedeMåneder].[All]" dimensionUniqueName="[Deadlinedato]" displayFolder="" count="0" unbalanced="0"/>
    <cacheHierarchy uniqueName="[Deadlinedato].[Dag i måneden]" caption="Dag i måneden" attribute="1" defaultMemberUniqueName="[Deadlinedato].[Dag i måneden].[All]" allUniqueName="[Deadlinedato].[Dag i måneden].[All]" dimensionUniqueName="[Deadlinedato]" displayFolder="" count="0" unbalanced="0"/>
    <cacheHierarchy uniqueName="[Deadlinedato].[DagpengeKvartal]" caption="DagpengeKvartal" attribute="1" defaultMemberUniqueName="[Deadlinedato].[DagpengeKvartal].[All]" allUniqueName="[Deadlinedato].[DagpengeKvartal].[All]" dimensionUniqueName="[Deadlinedato]" displayFolder="" count="0" unbalanced="0"/>
    <cacheHierarchy uniqueName="[Deadlinedato].[DagpengePeriode]" caption="DagpengePeriode" attribute="1" defaultMemberUniqueName="[Deadlinedato].[DagpengePeriode].[All]" allUniqueName="[Deadlinedato].[DagpengePeriode].[All]" dimensionUniqueName="[Deadlinedato]" displayFolder="" count="0" unbalanced="0"/>
    <cacheHierarchy uniqueName="[Deadlinedato].[DagpengePeriodeNavn]" caption="DagpengePeriodeNavn" attribute="1" defaultMemberUniqueName="[Deadlinedato].[DagpengePeriodeNavn].[All]" allUniqueName="[Deadlinedato].[DagpengePeriodeNavn].[All]" dimensionUniqueName="[Deadlinedato]" displayFolder="" count="0" unbalanced="0"/>
    <cacheHierarchy uniqueName="[Deadlinedato].[DagpengePeriodeNr]" caption="DagpengePeriodeNr" attribute="1" defaultMemberUniqueName="[Deadlinedato].[DagpengePeriodeNr].[All]" allUniqueName="[Deadlinedato].[DagpengePeriodeNr].[All]" dimensionUniqueName="[Deadlinedato]" displayFolder="" count="0" unbalanced="0"/>
    <cacheHierarchy uniqueName="[Deadlinedato].[DagpengePeriodeNummer]" caption="DagpengePeriodeNummer" attribute="1" defaultMemberUniqueName="[Deadlinedato].[DagpengePeriodeNummer].[All]" allUniqueName="[Deadlinedato].[DagpengePeriodeNummer].[All]" dimensionUniqueName="[Deadlinedato]" displayFolder="" count="0" unbalanced="0"/>
    <cacheHierarchy uniqueName="[Deadlinedato].[DagpengeUge]" caption="DagpengeUge" attribute="1" defaultMemberUniqueName="[Deadlinedato].[DagpengeUge].[All]" allUniqueName="[Deadlinedato].[DagpengeUge].[All]" dimensionUniqueName="[Deadlinedato]" displayFolder="" count="0" unbalanced="0"/>
    <cacheHierarchy uniqueName="[Deadlinedato].[DagpengeUgeNr]" caption="DagpengeUgeNr" attribute="1" defaultMemberUniqueName="[Deadlinedato].[DagpengeUgeNr].[All]" allUniqueName="[Deadlinedato].[DagpengeUgeNr].[All]" dimensionUniqueName="[Deadlinedato]" displayFolder="" count="0" unbalanced="0"/>
    <cacheHierarchy uniqueName="[Deadlinedato].[DagpengeUgeNummer]" caption="DagpengeUgeNummer" attribute="1" defaultMemberUniqueName="[Deadlinedato].[DagpengeUgeNummer].[All]" allUniqueName="[Deadlinedato].[DagpengeUgeNummer].[All]" dimensionUniqueName="[Deadlinedato]" displayFolder="" count="0" unbalanced="0"/>
    <cacheHierarchy uniqueName="[Deadlinedato].[DagpengeÅr]" caption="DagpengeÅr" attribute="1" defaultMemberUniqueName="[Deadlinedato].[DagpengeÅr].[All]" allUniqueName="[Deadlinedato].[DagpengeÅr].[All]" dimensionUniqueName="[Deadlinedato]" displayFolder="" count="0" unbalanced="0"/>
    <cacheHierarchy uniqueName="[Deadlinedato].[Dato]" caption="Dato" attribute="1" defaultMemberUniqueName="[Deadlinedato].[Dato].[All]" allUniqueName="[Deadlinedato].[Dato].[All]" dimensionUniqueName="[Deadlinedato]" displayFolder="" count="0" unbalanced="0"/>
    <cacheHierarchy uniqueName="[Deadlinedato].[Igår]" caption="Igår" attribute="1" defaultMemberUniqueName="[Deadlinedato].[Igår].[All]" allUniqueName="[Deadlinedato].[Igår].[All]" dimensionUniqueName="[Deadlinedato]" displayFolder="" count="0" unbalanced="0"/>
    <cacheHierarchy uniqueName="[Deadlinedato].[IndværendeMåned]" caption="IndværendeMåned" attribute="1" defaultMemberUniqueName="[Deadlinedato].[IndværendeMåned].[All]" allUniqueName="[Deadlinedato].[IndværendeMåned].[All]" dimensionUniqueName="[Deadlinedato]" displayFolder="" count="0" unbalanced="0"/>
    <cacheHierarchy uniqueName="[Deadlinedato].[Kvartal]" caption="Kvartal" attribute="1" defaultMemberUniqueName="[Deadlinedato].[Kvartal].[All]" allUniqueName="[Deadlinedato].[Kvartal].[All]" dimensionUniqueName="[Deadlinedato]" displayFolder="" count="0" unbalanced="0"/>
    <cacheHierarchy uniqueName="[Deadlinedato].[Måned]" caption="Måned" attribute="1" defaultMemberUniqueName="[Deadlinedato].[Måned].[All]" allUniqueName="[Deadlinedato].[Måned].[All]" dimensionUniqueName="[Deadlinedato]" displayFolder="" count="0" unbalanced="0"/>
    <cacheHierarchy uniqueName="[Deadlinedato].[MånedNavn]" caption="MånedNavn" attribute="1" defaultMemberUniqueName="[Deadlinedato].[MånedNavn].[All]" allUniqueName="[Deadlinedato].[MånedNavn].[All]" dimensionUniqueName="[Deadlinedato]" displayFolder="" count="0" unbalanced="0"/>
    <cacheHierarchy uniqueName="[Deadlinedato].[MånedNavnKort]" caption="MånedNavnKort" attribute="1" defaultMemberUniqueName="[Deadlinedato].[MånedNavnKort].[All]" allUniqueName="[Deadlinedato].[MånedNavnKort].[All]" dimensionUniqueName="[Deadlinedato]" displayFolder="" count="0" unbalanced="0"/>
    <cacheHierarchy uniqueName="[Deadlinedato].[MånedNummer]" caption="MånedNummer" attribute="1" defaultMemberUniqueName="[Deadlinedato].[MånedNummer].[All]" allUniqueName="[Deadlinedato].[MånedNummer].[All]" dimensionUniqueName="[Deadlinedato]" displayFolder="" count="0" unbalanced="0"/>
    <cacheHierarchy uniqueName="[Deadlinedato].[SidsteFemÅr]" caption="SidsteFemÅr" attribute="1" defaultMemberUniqueName="[Deadlinedato].[SidsteFemÅr].[All]" allUniqueName="[Deadlinedato].[SidsteFemÅr].[All]" dimensionUniqueName="[Deadlinedato]" displayFolder="" count="0" unbalanced="0"/>
    <cacheHierarchy uniqueName="[Deadlinedato].[Ugedag]" caption="Ugedag" attribute="1" defaultMemberUniqueName="[Deadlinedato].[Ugedag].[All]" allUniqueName="[Deadlinedato].[Ugedag].[All]" dimensionUniqueName="[Deadlinedato]" displayFolder="" count="0" unbalanced="0"/>
    <cacheHierarchy uniqueName="[Deadlinedato].[År]" caption="År" attribute="1" defaultMemberUniqueName="[Deadlinedato].[År].[All]" allUniqueName="[Deadlinedato].[År].[All]" dimensionUniqueName="[Deadlinedato]" displayFolder="" count="0" unbalanced="0"/>
    <cacheHierarchy uniqueName="[Deadlinedato].[År - Måned - Dato]" caption="År - Måned - Dato" defaultMemberUniqueName="[Deadlinedato].[År - Måned - Dato].[All]" allUniqueName="[Deadlinedato].[År - Måned - Dato].[All]" dimensionUniqueName="[Deadlinedato]" displayFolder="" count="0" unbalanced="0"/>
    <cacheHierarchy uniqueName="[Dimittenddato].[Dimittenddato]" caption="Dimittenddato" attribute="1" defaultMemberUniqueName="[Dimittenddato].[Dimittenddato].[All]" allUniqueName="[Dimittenddato].[Dimittenddato].[All]" dimensionUniqueName="[Dimittenddato]" displayFolder="" count="0" unbalanced="0"/>
    <cacheHierarchy uniqueName="[Erklæringstype].[Alternativ Erklæringstype Gruppe]" caption="Alternativ Erklæringstype Gruppe" attribute="1" defaultMemberUniqueName="[Erklæringstype].[Alternativ Erklæringstype Gruppe].[All]" allUniqueName="[Erklæringstype].[Alternativ Erklæringstype Gruppe].[All]" dimensionUniqueName="[Erklæringstype]" displayFolder="" count="0" unbalanced="0"/>
    <cacheHierarchy uniqueName="[Erklæringstype].[Erklæringstype]" caption="Erklæringstype" attribute="1" defaultMemberUniqueName="[Erklæringstype].[Erklæringstype].[All]" allUniqueName="[Erklæringstype].[Erklæringstype].[All]" dimensionUniqueName="[Erklæringstype]" displayFolder="" count="0" unbalanced="0"/>
    <cacheHierarchy uniqueName="[Erklæringstype].[Erklæringstype Gruppe]" caption="Erklæringstype Gruppe" attribute="1" defaultMemberUniqueName="[Erklæringstype].[Erklæringstype Gruppe].[All]" allUniqueName="[Erklæringstype].[Erklæringstype Gruppe].[All]" dimensionUniqueName="[Erklæringstype]" displayFolder="" count="0" unbalanced="0"/>
    <cacheHierarchy uniqueName="[Erklæringstype].[Erklæringstype_BK]" caption="Erklæringstype_BK" attribute="1" defaultMemberUniqueName="[Erklæringstype].[Erklæringstype_BK].[All]" allUniqueName="[Erklæringstype].[Erklæringstype_BK].[All]" dimensionUniqueName="[Erklæringstype]" displayFolder="" count="0" unbalanced="0"/>
    <cacheHierarchy uniqueName="[Fagligt Tilhørsforhold].[Fagligt Tilhørsforhold]" caption="Fagligt Tilhørsforhold" attribute="1" defaultMemberUniqueName="[Fagligt Tilhørsforhold].[Fagligt Tilhørsforhold].[All]" allUniqueName="[Fagligt Tilhørsforhold].[Fagligt Tilhørsforhold].[All]" dimensionUniqueName="[Fagligt Tilhørsforhold]" displayFolder="" count="0" unbalanced="0"/>
    <cacheHierarchy uniqueName="[Fagligt Tilhørsforhold].[Valggruppe]" caption="Valggruppe" attribute="1" defaultMemberUniqueName="[Fagligt Tilhørsforhold].[Valggruppe].[All]" allUniqueName="[Fagligt Tilhørsforhold].[Valggruppe].[All]" dimensionUniqueName="[Fagligt Tilhørsforhold]" displayFolder="" count="0" unbalanced="0"/>
    <cacheHierarchy uniqueName="[Fagligt Tilhørsforhold].[Valggruppe - Fagligt Tilhørsforhold]" caption="Valggruppe - Fagligt Tilhørsforhold" defaultMemberUniqueName="[Fagligt Tilhørsforhold].[Valggruppe - Fagligt Tilhørsforhold].[All]" allUniqueName="[Fagligt Tilhørsforhold].[Valggruppe - Fagligt Tilhørsforhold].[All]" dimensionUniqueName="[Fagligt Tilhørsforhold]" displayFolder="" count="0" unbalanced="0"/>
    <cacheHierarchy uniqueName="[Fagligt Tilhørsforhold].[Valggruppe Navn]" caption="Valggruppe Navn" attribute="1" defaultMemberUniqueName="[Fagligt Tilhørsforhold].[Valggruppe Navn].[All]" allUniqueName="[Fagligt Tilhørsforhold].[Valggruppe Navn].[All]" dimensionUniqueName="[Fagligt Tilhørsforhold]" displayFolder="" count="0" unbalanced="0"/>
    <cacheHierarchy uniqueName="[Fagligt Tilhørsforhold].[Valggruppe Nummer]" caption="Valggruppe Nummer" attribute="1" defaultMemberUniqueName="[Fagligt Tilhørsforhold].[Valggruppe Nummer].[All]" allUniqueName="[Fagligt Tilhørsforhold].[Valggruppe Nummer].[All]" dimensionUniqueName="[Fagligt Tilhørsforhold]" displayFolder="" count="0" unbalanced="0"/>
    <cacheHierarchy uniqueName="[Forløb].[Forløb]" caption="Forløb" attribute="1" defaultMemberUniqueName="[Forløb].[Forløb].[All]" allUniqueName="[Forløb].[Forløb].[All]" dimensionUniqueName="[Forløb]" displayFolder="" count="0" unbalanced="0"/>
    <cacheHierarchy uniqueName="[Fraværskode].[Fraværskode]" caption="Fraværskode" attribute="1" defaultMemberUniqueName="[Fraværskode].[Fraværskode].[All]" allUniqueName="[Fraværskode].[Fraværskode].[All]" dimensionUniqueName="[Fraværskode]" displayFolder="" count="0" unbalanced="0"/>
    <cacheHierarchy uniqueName="[Fraværskode].[Fraværskode Beskrivelse]" caption="Fraværskode Beskrivelse" attribute="1" defaultMemberUniqueName="[Fraværskode].[Fraværskode Beskrivelse].[All]" allUniqueName="[Fraværskode].[Fraværskode Beskrivelse].[All]" dimensionUniqueName="[Fraværskode]" displayFolder="" count="0" unbalanced="0"/>
    <cacheHierarchy uniqueName="[Fraværskode].[Fraværskode Gruppe]" caption="Fraværskode Gruppe" attribute="1" defaultMemberUniqueName="[Fraværskode].[Fraværskode Gruppe].[All]" allUniqueName="[Fraværskode].[Fraværskode Gruppe].[All]" dimensionUniqueName="[Fraværskode]" displayFolder="" count="0" unbalanced="0"/>
    <cacheHierarchy uniqueName="[Fraværskode].[Fraværskode Nummer]" caption="Fraværskode Nummer" attribute="1" defaultMemberUniqueName="[Fraværskode].[Fraværskode Nummer].[All]" allUniqueName="[Fraværskode].[Fraværskode Nummer].[All]" dimensionUniqueName="[Fraværskode]" displayFolder="" count="0" unbalanced="0"/>
    <cacheHierarchy uniqueName="[HelpDeskIncident].[Behandlingstid2]" caption="Behandlingstid2" attribute="1" defaultMemberUniqueName="[HelpDeskIncident].[Behandlingstid2].[All]" allUniqueName="[HelpDeskIncident].[Behandlingstid2].[All]" dimensionUniqueName="[HelpDeskIncident]" displayFolder="" count="0" unbalanced="0"/>
    <cacheHierarchy uniqueName="[HelpDeskIncident].[Foerste Svar]" caption="Foerste Svar" attribute="1" defaultMemberUniqueName="[HelpDeskIncident].[Foerste Svar].[All]" allUniqueName="[HelpDeskIncident].[Foerste Svar].[All]" dimensionUniqueName="[HelpDeskIncident]" displayFolder="" count="0" unbalanced="0"/>
    <cacheHierarchy uniqueName="[HelpDeskIncident].[ForbrugtTidMinutter]" caption="ForbrugtTidMinutter" attribute="1" defaultMemberUniqueName="[HelpDeskIncident].[ForbrugtTidMinutter].[All]" allUniqueName="[HelpDeskIncident].[ForbrugtTidMinutter].[All]" dimensionUniqueName="[HelpDeskIncident]" displayFolder="" count="0" unbalanced="0"/>
    <cacheHierarchy uniqueName="[HelpDeskIncident].[GennemløbstidMinutter]" caption="GennemløbstidMinutter" attribute="1" defaultMemberUniqueName="[HelpDeskIncident].[GennemløbstidMinutter].[All]" allUniqueName="[HelpDeskIncident].[GennemløbstidMinutter].[All]" dimensionUniqueName="[HelpDeskIncident]" displayFolder="" count="0" unbalanced="0"/>
    <cacheHierarchy uniqueName="[HelpDeskIncident].[Incidentnummer]" caption="Incidentnummer" attribute="1" defaultMemberUniqueName="[HelpDeskIncident].[Incidentnummer].[All]" allUniqueName="[HelpDeskIncident].[Incidentnummer].[All]" dimensionUniqueName="[HelpDeskIncident]" displayFolder="" count="0" unbalanced="0"/>
    <cacheHierarchy uniqueName="[HelpDeskIncident].[SvarDeadline]" caption="SvarDeadline" attribute="1" defaultMemberUniqueName="[HelpDeskIncident].[SvarDeadline].[All]" allUniqueName="[HelpDeskIncident].[SvarDeadline].[All]" dimensionUniqueName="[HelpDeskIncident]" displayFolder="" count="0" unbalanced="0"/>
    <cacheHierarchy uniqueName="[Incident Kategori].[Incident Kategori]" caption="Incident Kategori" attribute="1" defaultMemberUniqueName="[Incident Kategori].[Incident Kategori].[All]" allUniqueName="[Incident Kategori].[Incident Kategori].[All]" dimensionUniqueName="[Incident Kategori]" displayFolder="" count="0" unbalanced="0"/>
    <cacheHierarchy uniqueName="[Incident Kategori].[Incident Kategori Gruppe]" caption="Incident Kategori Gruppe" attribute="1" defaultMemberUniqueName="[Incident Kategori].[Incident Kategori Gruppe].[All]" allUniqueName="[Incident Kategori].[Incident Kategori Gruppe].[All]" dimensionUniqueName="[Incident Kategori]" displayFolder="" count="0" unbalanced="0"/>
    <cacheHierarchy uniqueName="[Incident Status].[Incident status]" caption="Incident status" attribute="1" defaultMemberUniqueName="[Incident Status].[Incident status].[All]" allUniqueName="[Incident Status].[Incident status].[All]" dimensionUniqueName="[Incident Status]" displayFolder="" count="0" unbalanced="0"/>
    <cacheHierarchy uniqueName="[Indbetaler Til Efterløn].[Indbetaler Til Efterløn]" caption="Indbetaler Til Efterløn" attribute="1" defaultMemberUniqueName="[Indbetaler Til Efterløn].[Indbetaler Til Efterløn].[All]" allUniqueName="[Indbetaler Til Efterløn].[Indbetaler Til Efterløn].[All]" dimensionUniqueName="[Indbetaler Til Efterløn]" displayFolder="" count="0" unbalanced="0"/>
    <cacheHierarchy uniqueName="[Kandidatalder].[Kandidatalder Gruppe]" caption="Kandidatalder Gruppe" attribute="1" defaultMemberUniqueName="[Kandidatalder].[Kandidatalder Gruppe].[All]" allUniqueName="[Kandidatalder].[Kandidatalder Gruppe].[All]" dimensionUniqueName="[Kandidatalder]" displayFolder="" count="0" unbalanced="0"/>
    <cacheHierarchy uniqueName="[Kandidatalder].[Kandidatalder Gruppe Hierarki]" caption="Kandidatalder Gruppe Hierarki" defaultMemberUniqueName="[Kandidatalder].[Kandidatalder Gruppe Hierarki].[All]" allUniqueName="[Kandidatalder].[Kandidatalder Gruppe Hierarki].[All]" dimensionUniqueName="[Kandidatalder]" displayFolder="" count="0" unbalanced="0"/>
    <cacheHierarchy uniqueName="[Kandidatalder].[Kandidatalder Gruppe Niveau1]" caption="Kandidatalder Gruppe Niveau1" attribute="1" defaultMemberUniqueName="[Kandidatalder].[Kandidatalder Gruppe Niveau1].[All]" allUniqueName="[Kandidatalder].[Kandidatalder Gruppe Niveau1].[All]" dimensionUniqueName="[Kandidatalder]" displayFolder="" count="0" unbalanced="0"/>
    <cacheHierarchy uniqueName="[Kandidatalder].[Kandidatalder Måneder]" caption="Kandidatalder Måneder" attribute="1" defaultMemberUniqueName="[Kandidatalder].[Kandidatalder Måneder].[All]" allUniqueName="[Kandidatalder].[Kandidatalder Måneder].[All]" dimensionUniqueName="[Kandidatalder]" displayFolder="" count="0" unbalanced="0"/>
    <cacheHierarchy uniqueName="[Kandidatalder].[SortOrder]" caption="SortOrder" attribute="1" defaultMemberUniqueName="[Kandidatalder].[SortOrder].[All]" allUniqueName="[Kandidatalder].[SortOrder].[All]" dimensionUniqueName="[Kandidatalder]" displayFolder="" count="0" unbalanced="0"/>
    <cacheHierarchy uniqueName="[Kandidatalder].[SortOrderNiveau1]" caption="SortOrderNiveau1" attribute="1" defaultMemberUniqueName="[Kandidatalder].[SortOrderNiveau1].[All]" allUniqueName="[Kandidatalder].[SortOrderNiveau1].[All]" dimensionUniqueName="[Kandidatalder]" displayFolder="" count="0" unbalanced="0"/>
    <cacheHierarchy uniqueName="[Klipforbrug].[KlipForbrug]" caption="KlipForbrug" attribute="1" defaultMemberUniqueName="[Klipforbrug].[KlipForbrug].[All]" allUniqueName="[Klipforbrug].[KlipForbrug].[All]" dimensionUniqueName="[Klipforbrug]" displayFolder="" count="0" unbalanced="0"/>
    <cacheHierarchy uniqueName="[Klipforbrug].[KlipForbrugGruppe]" caption="KlipForbrugGruppe" attribute="1" defaultMemberUniqueName="[Klipforbrug].[KlipForbrugGruppe].[All]" allUniqueName="[Klipforbrug].[KlipForbrugGruppe].[All]" dimensionUniqueName="[Klipforbrug]" displayFolder="" count="0" unbalanced="0"/>
    <cacheHierarchy uniqueName="[Kommune].[Kommune]" caption="Kommune" attribute="1" defaultMemberUniqueName="[Kommune].[Kommune].[All]" allUniqueName="[Kommune].[Kommune].[All]" dimensionUniqueName="[Kommune]" displayFolder="" count="0" unbalanced="0"/>
    <cacheHierarchy uniqueName="[Kommune].[Region]" caption="Region" attribute="1" defaultMemberUniqueName="[Kommune].[Region].[All]" allUniqueName="[Kommune].[Region].[All]" dimensionUniqueName="[Kommune]" displayFolder="" count="0" unbalanced="0"/>
    <cacheHierarchy uniqueName="[Kommune].[Region - Kommune]" caption="Region - Kommune" defaultMemberUniqueName="[Kommune].[Region - Kommune].[All]" allUniqueName="[Kommune].[Region - Kommune].[All]" dimensionUniqueName="[Kommune]" displayFolder="" count="0" unbalanced="0"/>
    <cacheHierarchy uniqueName="[Land].[Land]" caption="Land" attribute="1" defaultMemberUniqueName="[Land].[Land].[All]" allUniqueName="[Land].[Land].[All]" dimensionUniqueName="[Land]" displayFolder="" count="0" unbalanced="0"/>
    <cacheHierarchy uniqueName="[Ledighedstal Opdateret].[DagpengeUge]" caption="DagpengeUge" attribute="1" defaultMemberUniqueName="[Ledighedstal Opdateret].[DagpengeUge].[All]" allUniqueName="[Ledighedstal Opdateret].[DagpengeUge].[All]" dimensionUniqueName="[Ledighedstal Opdateret]" displayFolder="" count="0" unbalanced="0"/>
    <cacheHierarchy uniqueName="[Medarbejder].[Anciennitetsdato]" caption="Anciennitetsdato" attribute="1" defaultMemberUniqueName="[Medarbejder].[Anciennitetsdato].[All]" allUniqueName="[Medarbejder].[Anciennitetsdato].[All]" dimensionUniqueName="[Medarbejder]" displayFolder="" count="0" unbalanced="0"/>
    <cacheHierarchy uniqueName="[Medarbejder].[Ansættelse Status]" caption="Ansættelse Status" attribute="1" defaultMemberUniqueName="[Medarbejder].[Ansættelse Status].[All]" allUniqueName="[Medarbejder].[Ansættelse Status].[All]" dimensionUniqueName="[Medarbejder]" displayFolder="" count="0" unbalanced="0"/>
    <cacheHierarchy uniqueName="[Medarbejder].[Efternavn]" caption="Efternavn" attribute="1" defaultMemberUniqueName="[Medarbejder].[Efternavn].[All]" allUniqueName="[Medarbejder].[Efternavn].[All]" dimensionUniqueName="[Medarbejder]" displayFolder="" count="0" unbalanced="0"/>
    <cacheHierarchy uniqueName="[Medarbejder].[Foedselsdato]" caption="Foedselsdato" attribute="1" defaultMemberUniqueName="[Medarbejder].[Foedselsdato].[All]" allUniqueName="[Medarbejder].[Foedselsdato].[All]" dimensionUniqueName="[Medarbejder]" displayFolder="" count="0" unbalanced="0"/>
    <cacheHierarchy uniqueName="[Medarbejder].[Fornavn]" caption="Fornavn" attribute="1" defaultMemberUniqueName="[Medarbejder].[Fornavn].[All]" allUniqueName="[Medarbejder].[Fornavn].[All]" dimensionUniqueName="[Medarbejder]" displayFolder="" count="0" unbalanced="0"/>
    <cacheHierarchy uniqueName="[Medarbejder].[Fratraedelsesdato]" caption="Fratraedelsesdato" attribute="1" defaultMemberUniqueName="[Medarbejder].[Fratraedelsesdato].[All]" allUniqueName="[Medarbejder].[Fratraedelsesdato].[All]" dimensionUniqueName="[Medarbejder]" displayFolder="" count="0" unbalanced="0"/>
    <cacheHierarchy uniqueName="[Medarbejder].[Initialer]" caption="Initialer" attribute="1" defaultMemberUniqueName="[Medarbejder].[Initialer].[All]" allUniqueName="[Medarbejder].[Initialer].[All]" dimensionUniqueName="[Medarbejder]" displayFolder="" count="0" unbalanced="0"/>
    <cacheHierarchy uniqueName="[Medarbejder].[Mobilnummer]" caption="Mobilnummer" attribute="1" defaultMemberUniqueName="[Medarbejder].[Mobilnummer].[All]" allUniqueName="[Medarbejder].[Mobilnummer].[All]" dimensionUniqueName="[Medarbejder]" displayFolder="" count="0" unbalanced="0"/>
    <cacheHierarchy uniqueName="[Medarbejder].[Navn]" caption="Navn" attribute="1" defaultMemberUniqueName="[Medarbejder].[Navn].[All]" allUniqueName="[Medarbejder].[Navn].[All]" dimensionUniqueName="[Medarbejder]" displayFolder="" count="0" unbalanced="0"/>
    <cacheHierarchy uniqueName="[Medarbejder].[Postdistrikt]" caption="Postdistrikt" attribute="1" defaultMemberUniqueName="[Medarbejder].[Postdistrikt].[All]" allUniqueName="[Medarbejder].[Postdistrikt].[All]" dimensionUniqueName="[Medarbejder]" displayFolder="" count="0" unbalanced="0"/>
    <cacheHierarchy uniqueName="[Medarbejder].[Postnummer]" caption="Postnummer" attribute="1" defaultMemberUniqueName="[Medarbejder].[Postnummer].[All]" allUniqueName="[Medarbejder].[Postnummer].[All]" dimensionUniqueName="[Medarbejder]" displayFolder="" count="0" unbalanced="0"/>
    <cacheHierarchy uniqueName="[Medarbejder].[Telefonnummer]" caption="Telefonnummer" attribute="1" defaultMemberUniqueName="[Medarbejder].[Telefonnummer].[All]" allUniqueName="[Medarbejder].[Telefonnummer].[All]" dimensionUniqueName="[Medarbejder]" displayFolder="" count="0" unbalanced="0"/>
    <cacheHierarchy uniqueName="[Medarbejder].[Titel]" caption="Titel" attribute="1" defaultMemberUniqueName="[Medarbejder].[Titel].[All]" allUniqueName="[Medarbejder].[Titel].[All]" dimensionUniqueName="[Medarbejder]" displayFolder="" count="0" unbalanced="0"/>
    <cacheHierarchy uniqueName="[Medarbejder].[Vej]" caption="Vej" attribute="1" defaultMemberUniqueName="[Medarbejder].[Vej].[All]" allUniqueName="[Medarbejder].[Vej].[All]" dimensionUniqueName="[Medarbejder]" displayFolder="" count="0" unbalanced="0"/>
    <cacheHierarchy uniqueName="[Medarbejder anmelder].[AnsaettelseStatus]" caption="AnsaettelseStatus" attribute="1" defaultMemberUniqueName="[Medarbejder anmelder].[AnsaettelseStatus].[All]" allUniqueName="[Medarbejder anmelder].[AnsaettelseStatus].[All]" dimensionUniqueName="[Medarbejder anmelder]" displayFolder="" count="0" unbalanced="0"/>
    <cacheHierarchy uniqueName="[Medarbejder anmelder].[Efternavn]" caption="Efternavn" attribute="1" defaultMemberUniqueName="[Medarbejder anmelder].[Efternavn].[All]" allUniqueName="[Medarbejder anmelder].[Efternavn].[All]" dimensionUniqueName="[Medarbejder anmelder]" displayFolder="" count="0" unbalanced="0"/>
    <cacheHierarchy uniqueName="[Medarbejder anmelder].[Fornavn]" caption="Fornavn" attribute="1" defaultMemberUniqueName="[Medarbejder anmelder].[Fornavn].[All]" allUniqueName="[Medarbejder anmelder].[Fornavn].[All]" dimensionUniqueName="[Medarbejder anmelder]" displayFolder="" count="0" unbalanced="0"/>
    <cacheHierarchy uniqueName="[Medarbejder anmelder].[Initialer]" caption="Initialer" attribute="1" defaultMemberUniqueName="[Medarbejder anmelder].[Initialer].[All]" allUniqueName="[Medarbejder anmelder].[Initialer].[All]" dimensionUniqueName="[Medarbejder anmelder]" displayFolder="" count="0" unbalanced="0"/>
    <cacheHierarchy uniqueName="[Medarbejder anmelder].[Mobilnummer]" caption="Mobilnummer" attribute="1" defaultMemberUniqueName="[Medarbejder anmelder].[Mobilnummer].[All]" allUniqueName="[Medarbejder anmelder].[Mobilnummer].[All]" dimensionUniqueName="[Medarbejder anmelder]" displayFolder="" count="0" unbalanced="0"/>
    <cacheHierarchy uniqueName="[Medarbejder anmelder].[Navn]" caption="Navn" attribute="1" defaultMemberUniqueName="[Medarbejder anmelder].[Navn].[All]" allUniqueName="[Medarbejder anmelder].[Navn].[All]" dimensionUniqueName="[Medarbejder anmelder]" displayFolder="" count="0" unbalanced="0"/>
    <cacheHierarchy uniqueName="[Medarbejder anmelder].[Postdistrikt]" caption="Postdistrikt" attribute="1" defaultMemberUniqueName="[Medarbejder anmelder].[Postdistrikt].[All]" allUniqueName="[Medarbejder anmelder].[Postdistrikt].[All]" dimensionUniqueName="[Medarbejder anmelder]" displayFolder="" count="0" unbalanced="0"/>
    <cacheHierarchy uniqueName="[Medarbejder anmelder].[Postnummer]" caption="Postnummer" attribute="1" defaultMemberUniqueName="[Medarbejder anmelder].[Postnummer].[All]" allUniqueName="[Medarbejder anmelder].[Postnummer].[All]" dimensionUniqueName="[Medarbejder anmelder]" displayFolder="" count="0" unbalanced="0"/>
    <cacheHierarchy uniqueName="[Medarbejder anmelder].[Telefonnummer]" caption="Telefonnummer" attribute="1" defaultMemberUniqueName="[Medarbejder anmelder].[Telefonnummer].[All]" allUniqueName="[Medarbejder anmelder].[Telefonnummer].[All]" dimensionUniqueName="[Medarbejder anmelder]" displayFolder="" count="0" unbalanced="0"/>
    <cacheHierarchy uniqueName="[Medarbejder anmelder].[Titel]" caption="Titel" attribute="1" defaultMemberUniqueName="[Medarbejder anmelder].[Titel].[All]" allUniqueName="[Medarbejder anmelder].[Titel].[All]" dimensionUniqueName="[Medarbejder anmelder]" displayFolder="" count="0" unbalanced="0"/>
    <cacheHierarchy uniqueName="[Medarbejder anmelder].[Vej]" caption="Vej" attribute="1" defaultMemberUniqueName="[Medarbejder anmelder].[Vej].[All]" allUniqueName="[Medarbejder anmelder].[Vej].[All]" dimensionUniqueName="[Medarbejder anmelder]" displayFolder="" count="0" unbalanced="0"/>
    <cacheHierarchy uniqueName="[Medarbejder Viderestillet].[Ansættelse Status]" caption="Ansættelse Status" attribute="1" defaultMemberUniqueName="[Medarbejder Viderestillet].[Ansættelse Status].[All]" allUniqueName="[Medarbejder Viderestillet].[Ansættelse Status].[All]" dimensionUniqueName="[Medarbejder Viderestillet]" displayFolder="" count="0" unbalanced="0"/>
    <cacheHierarchy uniqueName="[Medarbejder Viderestillet].[Efternavn]" caption="Efternavn" attribute="1" defaultMemberUniqueName="[Medarbejder Viderestillet].[Efternavn].[All]" allUniqueName="[Medarbejder Viderestillet].[Efternavn].[All]" dimensionUniqueName="[Medarbejder Viderestillet]" displayFolder="" count="0" unbalanced="0"/>
    <cacheHierarchy uniqueName="[Medarbejder Viderestillet].[Fornavn]" caption="Fornavn" attribute="1" defaultMemberUniqueName="[Medarbejder Viderestillet].[Fornavn].[All]" allUniqueName="[Medarbejder Viderestillet].[Fornavn].[All]" dimensionUniqueName="[Medarbejder Viderestillet]" displayFolder="" count="0" unbalanced="0"/>
    <cacheHierarchy uniqueName="[Medarbejder Viderestillet].[Initialer]" caption="Initialer" attribute="1" defaultMemberUniqueName="[Medarbejder Viderestillet].[Initialer].[All]" allUniqueName="[Medarbejder Viderestillet].[Initialer].[All]" dimensionUniqueName="[Medarbejder Viderestillet]" displayFolder="" count="0" unbalanced="0"/>
    <cacheHierarchy uniqueName="[Medarbejder Viderestillet].[Mobilnummer]" caption="Mobilnummer" attribute="1" defaultMemberUniqueName="[Medarbejder Viderestillet].[Mobilnummer].[All]" allUniqueName="[Medarbejder Viderestillet].[Mobilnummer].[All]" dimensionUniqueName="[Medarbejder Viderestillet]" displayFolder="" count="0" unbalanced="0"/>
    <cacheHierarchy uniqueName="[Medarbejder Viderestillet].[Navn]" caption="Navn" attribute="1" defaultMemberUniqueName="[Medarbejder Viderestillet].[Navn].[All]" allUniqueName="[Medarbejder Viderestillet].[Navn].[All]" dimensionUniqueName="[Medarbejder Viderestillet]" displayFolder="" count="0" unbalanced="0"/>
    <cacheHierarchy uniqueName="[Medarbejder Viderestillet].[Postdistrikt]" caption="Postdistrikt" attribute="1" defaultMemberUniqueName="[Medarbejder Viderestillet].[Postdistrikt].[All]" allUniqueName="[Medarbejder Viderestillet].[Postdistrikt].[All]" dimensionUniqueName="[Medarbejder Viderestillet]" displayFolder="" count="0" unbalanced="0"/>
    <cacheHierarchy uniqueName="[Medarbejder Viderestillet].[Postnummer]" caption="Postnummer" attribute="1" defaultMemberUniqueName="[Medarbejder Viderestillet].[Postnummer].[All]" allUniqueName="[Medarbejder Viderestillet].[Postnummer].[All]" dimensionUniqueName="[Medarbejder Viderestillet]" displayFolder="" count="0" unbalanced="0"/>
    <cacheHierarchy uniqueName="[Medarbejder Viderestillet].[Telefonnummer]" caption="Telefonnummer" attribute="1" defaultMemberUniqueName="[Medarbejder Viderestillet].[Telefonnummer].[All]" allUniqueName="[Medarbejder Viderestillet].[Telefonnummer].[All]" dimensionUniqueName="[Medarbejder Viderestillet]" displayFolder="" count="0" unbalanced="0"/>
    <cacheHierarchy uniqueName="[Medarbejder Viderestillet].[Titel]" caption="Titel" attribute="1" defaultMemberUniqueName="[Medarbejder Viderestillet].[Titel].[All]" allUniqueName="[Medarbejder Viderestillet].[Titel].[All]" dimensionUniqueName="[Medarbejder Viderestillet]" displayFolder="" count="0" unbalanced="0"/>
    <cacheHierarchy uniqueName="[Medarbejder Viderestillet].[Vej]" caption="Vej" attribute="1" defaultMemberUniqueName="[Medarbejder Viderestillet].[Vej].[All]" allUniqueName="[Medarbejder Viderestillet].[Vej].[All]" dimensionUniqueName="[Medarbejder Viderestillet]" displayFolder="" count="0" unbalanced="0"/>
    <cacheHierarchy uniqueName="[Medlem].[CPRNR]" caption="CPRNR" attribute="1" defaultMemberUniqueName="[Medlem].[CPRNR].[All]" allUniqueName="[Medlem].[CPRNR].[All]" dimensionUniqueName="[Medlem]" displayFolder="" count="0" unbalanced="0"/>
    <cacheHierarchy uniqueName="[Medlem].[Efternavn]" caption="Efternavn" attribute="1" defaultMemberUniqueName="[Medlem].[Efternavn].[All]" allUniqueName="[Medlem].[Efternavn].[All]" dimensionUniqueName="[Medlem]" displayFolder="" count="0" unbalanced="0"/>
    <cacheHierarchy uniqueName="[Medlem].[Email]" caption="Email" attribute="1" defaultMemberUniqueName="[Medlem].[Email].[All]" allUniqueName="[Medlem].[Email].[All]" dimensionUniqueName="[Medlem]" displayFolder="" count="0" unbalanced="0"/>
    <cacheHierarchy uniqueName="[Medlem].[Fornavn]" caption="Fornavn" attribute="1" defaultMemberUniqueName="[Medlem].[Fornavn].[All]" allUniqueName="[Medlem].[Fornavn].[All]" dimensionUniqueName="[Medlem]" displayFolder="" count="0" unbalanced="0"/>
    <cacheHierarchy uniqueName="[Medlem].[Fødselsdato]" caption="Fødselsdato" attribute="1" defaultMemberUniqueName="[Medlem].[Fødselsdato].[All]" allUniqueName="[Medlem].[Fødselsdato].[All]" dimensionUniqueName="[Medlem]" displayFolder="" count="0" unbalanced="0"/>
    <cacheHierarchy uniqueName="[Medlem].[Indmeldelsesdato]" caption="Indmeldelsesdato" attribute="1" defaultMemberUniqueName="[Medlem].[Indmeldelsesdato].[All]" allUniqueName="[Medlem].[Indmeldelsesdato].[All]" dimensionUniqueName="[Medlem]" displayFolder="" count="0" unbalanced="0"/>
    <cacheHierarchy uniqueName="[Medlem].[Køn]" caption="Køn" attribute="1" defaultMemberUniqueName="[Medlem].[Køn].[All]" allUniqueName="[Medlem].[Køn].[All]" dimensionUniqueName="[Medlem]" displayFolder="" count="0" unbalanced="0"/>
    <cacheHierarchy uniqueName="[Medlem].[Medlem_BK]" caption="Medlem_BK" attribute="1" defaultMemberUniqueName="[Medlem].[Medlem_BK].[All]" allUniqueName="[Medlem].[Medlem_BK].[All]" dimensionUniqueName="[Medlem]" displayFolder="" count="0" unbalanced="0"/>
    <cacheHierarchy uniqueName="[Medlem].[Medlemsnummer]" caption="Medlemsnummer" attribute="1" defaultMemberUniqueName="[Medlem].[Medlemsnummer].[All]" allUniqueName="[Medlem].[Medlemsnummer].[All]" dimensionUniqueName="[Medlem]" displayFolder="" count="0" unbalanced="0"/>
    <cacheHierarchy uniqueName="[Medlem].[Navn]" caption="Navn" attribute="1" defaultMemberUniqueName="[Medlem].[Navn].[All]" allUniqueName="[Medlem].[Navn].[All]" dimensionUniqueName="[Medlem]" displayFolder="" count="0" unbalanced="0"/>
    <cacheHierarchy uniqueName="[Medlem].[Udfaldet]" caption="Udfaldet" attribute="1" defaultMemberUniqueName="[Medlem].[Udfaldet].[All]" allUniqueName="[Medlem].[Udfaldet].[All]" dimensionUniqueName="[Medlem]" displayFolder="" count="0" unbalanced="0"/>
    <cacheHierarchy uniqueName="[Medlem].[Udfaldsdato]" caption="Udfaldsdato" attribute="1" defaultMemberUniqueName="[Medlem].[Udfaldsdato].[All]" allUniqueName="[Medlem].[Udfaldsdato].[All]" dimensionUniqueName="[Medlem]" displayFolder="" count="0" unbalanced="0"/>
    <cacheHierarchy uniqueName="[Medlem].[Udmeldelsesdato]" caption="Udmeldelsesdato" attribute="1" defaultMemberUniqueName="[Medlem].[Udmeldelsesdato].[All]" allUniqueName="[Medlem].[Udmeldelsesdato].[All]" dimensionUniqueName="[Medlem]" displayFolder="" count="0" unbalanced="0"/>
    <cacheHierarchy uniqueName="[Medlemsstatus].[Dimittendstatus]" caption="Dimittendstatus" attribute="1" defaultMemberUniqueName="[Medlemsstatus].[Dimittendstatus].[All]" allUniqueName="[Medlemsstatus].[Dimittendstatus].[All]" dimensionUniqueName="[Medlemsstatus]" displayFolder="" count="0" unbalanced="0"/>
    <cacheHierarchy uniqueName="[Medlemsstatus].[Medlemsstatus]" caption="Medlemsstatus" attribute="1" defaultMemberUniqueName="[Medlemsstatus].[Medlemsstatus].[All]" allUniqueName="[Medlemsstatus].[Medlemsstatus].[All]" dimensionUniqueName="[Medlemsstatus]" displayFolder="" count="0" unbalanced="0"/>
    <cacheHierarchy uniqueName="[Medlemsstatus].[Medlemsstatus Gruppe]" caption="Medlemsstatus Gruppe" attribute="1" defaultMemberUniqueName="[Medlemsstatus].[Medlemsstatus Gruppe].[All]" allUniqueName="[Medlemsstatus].[Medlemsstatus Gruppe].[All]" dimensionUniqueName="[Medlemsstatus]" displayFolder="" count="0" unbalanced="0"/>
    <cacheHierarchy uniqueName="[Medlemsstatus].[Medlemsstatus Gruppe - Medlemsstatus]" caption="Medlemsstatus Gruppe - Medlemsstatus" defaultMemberUniqueName="[Medlemsstatus].[Medlemsstatus Gruppe - Medlemsstatus].[All]" allUniqueName="[Medlemsstatus].[Medlemsstatus Gruppe - Medlemsstatus].[All]" dimensionUniqueName="[Medlemsstatus]" displayFolder="" count="0" unbalanced="0"/>
    <cacheHierarchy uniqueName="[Medlemstal Bevægelse].[Medlemstal Bevægelse]" caption="Medlemstal Bevægelse" attribute="1" defaultMemberUniqueName="[Medlemstal Bevægelse].[Medlemstal Bevægelse].[All]" allUniqueName="[Medlemstal Bevægelse].[Medlemstal Bevægelse].[All]" dimensionUniqueName="[Medlemstal Bevægelse]" displayFolder="" count="0" unbalanced="0"/>
    <cacheHierarchy uniqueName="[Medlemstal Bevægelse].[Medlemstal Bevægelse Type]" caption="Medlemstal Bevægelse Type" attribute="1" defaultMemberUniqueName="[Medlemstal Bevægelse].[Medlemstal Bevægelse Type].[All]" allUniqueName="[Medlemstal Bevægelse].[Medlemstal Bevægelse Type].[All]" dimensionUniqueName="[Medlemstal Bevægelse]" displayFolder="" count="0" unbalanced="0"/>
    <cacheHierarchy uniqueName="[Medlemstal Bevægelse].[Medlemstal Bevægelse Type - Bevægelse]" caption="Medlemstal Bevægelse Type - Bevægelse" defaultMemberUniqueName="[Medlemstal Bevægelse].[Medlemstal Bevægelse Type - Bevægelse].[All]" allUniqueName="[Medlemstal Bevægelse].[Medlemstal Bevægelse Type - Bevægelse].[All]" dimensionUniqueName="[Medlemstal Bevægelse]" displayFolder="" count="0" unbalanced="0"/>
    <cacheHierarchy uniqueName="[Medlemstal Bevægelse].[Medlemstal Bevægelse Type Niveau 1]" caption="Medlemstal Bevægelse Type Niveau 1" attribute="1" defaultMemberUniqueName="[Medlemstal Bevægelse].[Medlemstal Bevægelse Type Niveau 1].[All]" allUniqueName="[Medlemstal Bevægelse].[Medlemstal Bevægelse Type Niveau 1].[All]" dimensionUniqueName="[Medlemstal Bevægelse]" displayFolder="" count="0" unbalanced="0"/>
    <cacheHierarchy uniqueName="[Opkaldsresultat].[Opkaldsresultat]" caption="Opkaldsresultat" attribute="1" defaultMemberUniqueName="[Opkaldsresultat].[Opkaldsresultat].[All]" allUniqueName="[Opkaldsresultat].[Opkaldsresultat].[All]" dimensionUniqueName="[Opkaldsresultat]" displayFolder="" count="0" unbalanced="0"/>
    <cacheHierarchy uniqueName="[Opkaldsresultat].[Opkaldsresultat Gruppe]" caption="Opkaldsresultat Gruppe" attribute="1" defaultMemberUniqueName="[Opkaldsresultat].[Opkaldsresultat Gruppe].[All]" allUniqueName="[Opkaldsresultat].[Opkaldsresultat Gruppe].[All]" dimensionUniqueName="[Opkaldsresultat]" displayFolder="" count="0" unbalanced="0"/>
    <cacheHierarchy uniqueName="[Opkaldsresultat].[Opkaldsresultat Gruppering]" caption="Opkaldsresultat Gruppering" defaultMemberUniqueName="[Opkaldsresultat].[Opkaldsresultat Gruppering].[All]" allUniqueName="[Opkaldsresultat].[Opkaldsresultat Gruppering].[All]" dimensionUniqueName="[Opkaldsresultat]" displayFolder="" count="0" unbalanced="0"/>
    <cacheHierarchy uniqueName="[Opkaldstype].[Opkaldstype]" caption="Opkaldstype" attribute="1" defaultMemberUniqueName="[Opkaldstype].[Opkaldstype].[All]" allUniqueName="[Opkaldstype].[Opkaldstype].[All]" dimensionUniqueName="[Opkaldstype]" displayFolder="" count="0" unbalanced="0"/>
    <cacheHierarchy uniqueName="[Postnummer].[Postdistrikt]" caption="Postdistrikt" attribute="1" defaultMemberUniqueName="[Postnummer].[Postdistrikt].[All]" allUniqueName="[Postnummer].[Postdistrikt].[All]" dimensionUniqueName="[Postnummer]" displayFolder="" count="0" unbalanced="0"/>
    <cacheHierarchy uniqueName="[Postnummer].[Postnummer]" caption="Postnummer" attribute="1" defaultMemberUniqueName="[Postnummer].[Postnummer].[All]" allUniqueName="[Postnummer].[Postnummer].[All]" dimensionUniqueName="[Postnummer]" displayFolder="" count="0" unbalanced="0"/>
    <cacheHierarchy uniqueName="[Postnummer].[Postnummer Postdistrikt]" caption="Postnummer Postdistrikt" attribute="1" defaultMemberUniqueName="[Postnummer].[Postnummer Postdistrikt].[All]" allUniqueName="[Postnummer].[Postnummer Postdistrikt].[All]" dimensionUniqueName="[Postnummer]" displayFolder="" count="0" unbalanced="0"/>
    <cacheHierarchy uniqueName="[Rapporteringskvartal].[Rapporteringskvartal]" caption="Rapporteringskvartal" attribute="1" defaultMemberUniqueName="[Rapporteringskvartal].[Rapporteringskvartal].[All]" allUniqueName="[Rapporteringskvartal].[Rapporteringskvartal].[All]" dimensionUniqueName="[Rapporteringskvartal]" displayFolder="" count="0" unbalanced="0"/>
    <cacheHierarchy uniqueName="[Rapporteringskvartal].[Rapporteringskvartal Navn]" caption="Rapporteringskvartal Navn" attribute="1" defaultMemberUniqueName="[Rapporteringskvartal].[Rapporteringskvartal Navn].[All]" allUniqueName="[Rapporteringskvartal].[Rapporteringskvartal Navn].[All]" dimensionUniqueName="[Rapporteringskvartal]" displayFolder="" count="0" unbalanced="0"/>
    <cacheHierarchy uniqueName="[Rapporteringskvartal].[Rapporteringskvartal Nummer]" caption="Rapporteringskvartal Nummer" attribute="1" defaultMemberUniqueName="[Rapporteringskvartal].[Rapporteringskvartal Nummer].[All]" allUniqueName="[Rapporteringskvartal].[Rapporteringskvartal Nummer].[All]" dimensionUniqueName="[Rapporteringskvartal]" displayFolder="" count="0" unbalanced="0"/>
    <cacheHierarchy uniqueName="[Rapporteringskvartal].[Rapporteringskvartal År]" caption="Rapporteringskvartal År" attribute="1" defaultMemberUniqueName="[Rapporteringskvartal].[Rapporteringskvartal År].[All]" allUniqueName="[Rapporteringskvartal].[Rapporteringskvartal År].[All]" dimensionUniqueName="[Rapporteringskvartal]" displayFolder="" count="0" unbalanced="0"/>
    <cacheHierarchy uniqueName="[Rapporteringsmåned].[Nyeste Officielle Ledighedstal]" caption="Nyeste Officielle Ledighedstal" attribute="1" time="1" defaultMemberUniqueName="[Rapporteringsmåned].[Nyeste Officielle Ledighedstal].[All]" allUniqueName="[Rapporteringsmåned].[Nyeste Officielle Ledighedstal].[All]" dimensionUniqueName="[Rapporteringsmåned]" displayFolder="" count="0" unbalanced="0"/>
    <cacheHierarchy uniqueName="[Rapporteringsmåned].[Nyeste Officielle Medlemstal]" caption="Nyeste Officielle Medlemstal" attribute="1" time="1" defaultMemberUniqueName="[Rapporteringsmåned].[Nyeste Officielle Medlemstal].[All]" allUniqueName="[Rapporteringsmåned].[Nyeste Officielle Medlemstal].[All]" dimensionUniqueName="[Rapporteringsmåned]" displayFolder="" count="0" unbalanced="0"/>
    <cacheHierarchy uniqueName="[Rapporteringsmåned].[Rapporteringsmåned]" caption="Rapporteringsmåned" attribute="1" time="1" defaultMemberUniqueName="[Rapporteringsmåned].[Rapporteringsmåned].[All]" allUniqueName="[Rapporteringsmåned].[Rapporteringsmåned].[All]" dimensionUniqueName="[Rapporteringsmåned]" displayFolder="" count="2" unbalanced="0">
      <fieldsUsage count="2">
        <fieldUsage x="-1"/>
        <fieldUsage x="0"/>
      </fieldsUsage>
    </cacheHierarchy>
    <cacheHierarchy uniqueName="[Rapporteringsmåned].[Rapporteringsmåned Navn]" caption="Rapporteringsmåned Navn" attribute="1" time="1" defaultMemberUniqueName="[Rapporteringsmåned].[Rapporteringsmåned Navn].[All]" allUniqueName="[Rapporteringsmåned].[Rapporteringsmåned Navn].[All]" dimensionUniqueName="[Rapporteringsmåned]" displayFolder="" count="0" unbalanced="0"/>
    <cacheHierarchy uniqueName="[Rapporteringsmåned].[Rapporteringsmåned Nummer]" caption="Rapporteringsmåned Nummer" attribute="1" time="1" defaultMemberUniqueName="[Rapporteringsmåned].[Rapporteringsmåned Nummer].[All]" allUniqueName="[Rapporteringsmåned].[Rapporteringsmåned Nummer].[All]" dimensionUniqueName="[Rapporteringsmåned]" displayFolder="" count="0" unbalanced="0"/>
    <cacheHierarchy uniqueName="[Rapporteringsmåned].[Rapporteringsmåned År]" caption="Rapporteringsmåned År" attribute="1" time="1" defaultMemberUniqueName="[Rapporteringsmåned].[Rapporteringsmåned År].[All]" allUniqueName="[Rapporteringsmåned].[Rapporteringsmåned År].[All]" dimensionUniqueName="[Rapporteringsmåned]" displayFolder="" count="0" unbalanced="0"/>
    <cacheHierarchy uniqueName="[Rapporteringsmåned].[Rullende 12 Måneder]" caption="Rullende 12 Måneder" attribute="1" time="1" defaultMemberUniqueName="[Rapporteringsmåned].[Rullende 12 Måneder].[All]" allUniqueName="[Rapporteringsmåned].[Rullende 12 Måneder].[All]" dimensionUniqueName="[Rapporteringsmåned]" displayFolder="" count="0" unbalanced="0"/>
    <cacheHierarchy uniqueName="[Rapporteringsår].[Rapporteringsår]" caption="Rapporteringsår" attribute="1" defaultMemberUniqueName="[Rapporteringsår].[Rapporteringsår].[All]" allUniqueName="[Rapporteringsår].[Rapporteringsår].[All]" dimensionUniqueName="[Rapporteringsår]" displayFolder="" count="0" unbalanced="0"/>
    <cacheHierarchy uniqueName="[Sagsbehandling].[AfslutningsDato]" caption="AfslutningsDato" attribute="1" defaultMemberUniqueName="[Sagsbehandling].[AfslutningsDato].[All]" allUniqueName="[Sagsbehandling].[AfslutningsDato].[All]" dimensionUniqueName="[Sagsbehandling]" displayFolder="" count="0" unbalanced="0"/>
    <cacheHierarchy uniqueName="[Sagsbehandling].[Arbejdsgangs_BK]" caption="Arbejdsgangs_BK" attribute="1" defaultMemberUniqueName="[Sagsbehandling].[Arbejdsgangs_BK].[All]" allUniqueName="[Sagsbehandling].[Arbejdsgangs_BK].[All]" dimensionUniqueName="[Sagsbehandling]" displayFolder="" count="0" unbalanced="0"/>
    <cacheHierarchy uniqueName="[Sagsbehandling].[DimittendDato]" caption="DimittendDato" attribute="1" defaultMemberUniqueName="[Sagsbehandling].[DimittendDato].[All]" allUniqueName="[Sagsbehandling].[DimittendDato].[All]" dimensionUniqueName="[Sagsbehandling]" displayFolder="" count="0" unbalanced="0"/>
    <cacheHierarchy uniqueName="[Sagsbehandling].[ErAfsluttet]" caption="ErAfsluttet" attribute="1" defaultMemberUniqueName="[Sagsbehandling].[ErAfsluttet].[All]" allUniqueName="[Sagsbehandling].[ErAfsluttet].[All]" dimensionUniqueName="[Sagsbehandling]" displayFolder="" count="0" unbalanced="0"/>
    <cacheHierarchy uniqueName="[Sagsbehandling].[ErAfsluttetEllerManuel]" caption="ErAfsluttetEllerManuel" attribute="1" defaultMemberUniqueName="[Sagsbehandling].[ErAfsluttetEllerManuel].[All]" allUniqueName="[Sagsbehandling].[ErAfsluttetEllerManuel].[All]" dimensionUniqueName="[Sagsbehandling]" displayFolder="" count="0" unbalanced="0"/>
    <cacheHierarchy uniqueName="[Sagsbehandling].[StartDato]" caption="StartDato" attribute="1" defaultMemberUniqueName="[Sagsbehandling].[StartDato].[All]" allUniqueName="[Sagsbehandling].[StartDato].[All]" dimensionUniqueName="[Sagsbehandling]" displayFolder="" count="0" unbalanced="0"/>
    <cacheHierarchy uniqueName="[Sagsstatus].[Sagsstatus]" caption="Sagsstatus" attribute="1" defaultMemberUniqueName="[Sagsstatus].[Sagsstatus].[All]" allUniqueName="[Sagsstatus].[Sagsstatus].[All]" dimensionUniqueName="[Sagsstatus]" displayFolder="" count="0" unbalanced="0"/>
    <cacheHierarchy uniqueName="[Sagsstatus].[Sagsstatus_Key]" caption="Sagsstatus_Key" attribute="1" defaultMemberUniqueName="[Sagsstatus].[Sagsstatus_Key].[All]" allUniqueName="[Sagsstatus].[Sagsstatus_Key].[All]" dimensionUniqueName="[Sagsstatus]" displayFolder="" count="0" unbalanced="0"/>
    <cacheHierarchy uniqueName="[Sagstype].[Sagstype]" caption="Sagstype" attribute="1" defaultMemberUniqueName="[Sagstype].[Sagstype].[All]" allUniqueName="[Sagstype].[Sagstype].[All]" dimensionUniqueName="[Sagstype]" displayFolder="" count="0" unbalanced="0"/>
    <cacheHierarchy uniqueName="[Sagstype].[Sagstype_Key]" caption="Sagstype_Key" attribute="1" defaultMemberUniqueName="[Sagstype].[Sagstype_Key].[All]" allUniqueName="[Sagstype].[Sagstype_Key].[All]" dimensionUniqueName="[Sagstype]" displayFolder="" count="0" unbalanced="0"/>
    <cacheHierarchy uniqueName="[Selvbetjeningsbeskeder].[Afslutningsdato]" caption="Afslutningsdato" attribute="1" defaultMemberUniqueName="[Selvbetjeningsbeskeder].[Afslutningsdato].[All]" allUniqueName="[Selvbetjeningsbeskeder].[Afslutningsdato].[All]" dimensionUniqueName="[Selvbetjeningsbeskeder]" displayFolder="" count="0" unbalanced="0"/>
    <cacheHierarchy uniqueName="[Selvbetjeningsbeskeder].[Beskedretning]" caption="Beskedretning" attribute="1" defaultMemberUniqueName="[Selvbetjeningsbeskeder].[Beskedretning].[All]" allUniqueName="[Selvbetjeningsbeskeder].[Beskedretning].[All]" dimensionUniqueName="[Selvbetjeningsbeskeder]" displayFolder="" count="0" unbalanced="0"/>
    <cacheHierarchy uniqueName="[Selvbetjeningsbeskeder].[DimittendDato]" caption="DimittendDato" attribute="1" defaultMemberUniqueName="[Selvbetjeningsbeskeder].[DimittendDato].[All]" allUniqueName="[Selvbetjeningsbeskeder].[DimittendDato].[All]" dimensionUniqueName="[Selvbetjeningsbeskeder]" displayFolder="" count="0" unbalanced="0"/>
    <cacheHierarchy uniqueName="[Selvbetjeningsbeskeder].[ForsikringKortErOverskredet]" caption="ForsikringKortErOverskredet" attribute="1" defaultMemberUniqueName="[Selvbetjeningsbeskeder].[ForsikringKortErOverskredet].[All]" allUniqueName="[Selvbetjeningsbeskeder].[ForsikringKortErOverskredet].[All]" dimensionUniqueName="[Selvbetjeningsbeskeder]" displayFolder="" count="0" unbalanced="0"/>
    <cacheHierarchy uniqueName="[Selvbetjeningsbeskeder].[ForsikringLangErOverskredet]" caption="ForsikringLangErOverskredet" attribute="1" defaultMemberUniqueName="[Selvbetjeningsbeskeder].[ForsikringLangErOverskredet].[All]" allUniqueName="[Selvbetjeningsbeskeder].[ForsikringLangErOverskredet].[All]" dimensionUniqueName="[Selvbetjeningsbeskeder]" displayFolder="" count="0" unbalanced="0"/>
    <cacheHierarchy uniqueName="[Selvbetjeningsbeskeder].[OprettelsesDato]" caption="OprettelsesDato" attribute="1" defaultMemberUniqueName="[Selvbetjeningsbeskeder].[OprettelsesDato].[All]" allUniqueName="[Selvbetjeningsbeskeder].[OprettelsesDato].[All]" dimensionUniqueName="[Selvbetjeningsbeskeder]" displayFolder="" count="0" unbalanced="0"/>
    <cacheHierarchy uniqueName="[Selvbetjeningsbeskeder].[Traad_BK]" caption="Traad_BK" attribute="1" defaultMemberUniqueName="[Selvbetjeningsbeskeder].[Traad_BK].[All]" allUniqueName="[Selvbetjeningsbeskeder].[Traad_BK].[All]" dimensionUniqueName="[Selvbetjeningsbeskeder]" displayFolder="" count="0" unbalanced="0"/>
    <cacheHierarchy uniqueName="[Senest Opdateret].[Senest Opdateret]" caption="Senest Opdateret" attribute="1" defaultMemberUniqueName="[Senest Opdateret].[Senest Opdateret].[All]" allUniqueName="[Senest Opdateret].[Senest Opdateret].[All]" dimensionUniqueName="[Senest Opdateret]" displayFolder="" count="0" unbalanced="0"/>
    <cacheHierarchy uniqueName="[Service].[Service]" caption="Service" attribute="1" defaultMemberUniqueName="[Service].[Service].[All]" allUniqueName="[Service].[Service].[All]" dimensionUniqueName="[Service]" displayFolder="" count="0" unbalanced="0"/>
    <cacheHierarchy uniqueName="[Service].[Service Gruppe]" caption="Service Gruppe" attribute="1" defaultMemberUniqueName="[Service].[Service Gruppe].[All]" allUniqueName="[Service].[Service Gruppe].[All]" dimensionUniqueName="[Service]" displayFolder="" count="0" unbalanced="0"/>
    <cacheHierarchy uniqueName="[Service Viderestillet].[Service]" caption="Service" attribute="1" defaultMemberUniqueName="[Service Viderestillet].[Service].[All]" allUniqueName="[Service Viderestillet].[Service].[All]" dimensionUniqueName="[Service Viderestillet]" displayFolder="" count="0" unbalanced="0"/>
    <cacheHierarchy uniqueName="[Service Viderestillet].[Service Gruppe]" caption="Service Gruppe" attribute="1" defaultMemberUniqueName="[Service Viderestillet].[Service Gruppe].[All]" allUniqueName="[Service Viderestillet].[Service Gruppe].[All]" dimensionUniqueName="[Service Viderestillet]" displayFolder="" count="0" unbalanced="0"/>
    <cacheHierarchy uniqueName="[Sommerdimittender].[Dimittenddato]" caption="Dimittenddato" attribute="1" defaultMemberUniqueName="[Sommerdimittender].[Dimittenddato].[All]" allUniqueName="[Sommerdimittender].[Dimittenddato].[All]" dimensionUniqueName="[Sommerdimittender]" displayFolder="" count="0" unbalanced="0"/>
    <cacheHierarchy uniqueName="[Sommerdimittender Kvartal].[Dimittenddato]" caption="Dimittenddato" attribute="1" defaultMemberUniqueName="[Sommerdimittender Kvartal].[Dimittenddato].[All]" allUniqueName="[Sommerdimittender Kvartal].[Dimittenddato].[All]" dimensionUniqueName="[Sommerdimittender Kvartal]" displayFolder="" count="0" unbalanced="0"/>
    <cacheHierarchy uniqueName="[Sommerdimittender År].[Dimittenddato]" caption="Dimittenddato" attribute="1" defaultMemberUniqueName="[Sommerdimittender År].[Dimittenddato].[All]" allUniqueName="[Sommerdimittender År].[Dimittenddato].[All]" dimensionUniqueName="[Sommerdimittender År]" displayFolder="" count="0" unbalanced="0"/>
    <cacheHierarchy uniqueName="[Stoptrin].[AfslutningsDato]" caption="AfslutningsDato" attribute="1" defaultMemberUniqueName="[Stoptrin].[AfslutningsDato].[All]" allUniqueName="[Stoptrin].[AfslutningsDato].[All]" dimensionUniqueName="[Stoptrin]" displayFolder="" count="0" unbalanced="0"/>
    <cacheHierarchy uniqueName="[Stoptrin].[AktiveretDato]" caption="AktiveretDato" attribute="1" defaultMemberUniqueName="[Stoptrin].[AktiveretDato].[All]" allUniqueName="[Stoptrin].[AktiveretDato].[All]" dimensionUniqueName="[Stoptrin]" displayFolder="" count="0" unbalanced="0"/>
    <cacheHierarchy uniqueName="[Stoptrin].[Arbejdsgangs_BK]" caption="Arbejdsgangs_BK" attribute="1" defaultMemberUniqueName="[Stoptrin].[Arbejdsgangs_BK].[All]" allUniqueName="[Stoptrin].[Arbejdsgangs_BK].[All]" dimensionUniqueName="[Stoptrin]" displayFolder="" count="0" unbalanced="0"/>
    <cacheHierarchy uniqueName="[Stoptrin].[DimittendDato]" caption="DimittendDato" attribute="1" defaultMemberUniqueName="[Stoptrin].[DimittendDato].[All]" allUniqueName="[Stoptrin].[DimittendDato].[All]" dimensionUniqueName="[Stoptrin]" displayFolder="" count="0" unbalanced="0"/>
    <cacheHierarchy uniqueName="[Stoptrin].[TrinNummer]" caption="TrinNummer" attribute="1" defaultMemberUniqueName="[Stoptrin].[TrinNummer].[All]" allUniqueName="[Stoptrin].[TrinNummer].[All]" dimensionUniqueName="[Stoptrin]" displayFolder="" count="0" unbalanced="0"/>
    <cacheHierarchy uniqueName="[Stoptrin].[TrinSlutDato]" caption="TrinSlutDato" attribute="1" defaultMemberUniqueName="[Stoptrin].[TrinSlutDato].[All]" allUniqueName="[Stoptrin].[TrinSlutDato].[All]" dimensionUniqueName="[Stoptrin]" displayFolder="" count="0" unbalanced="0"/>
    <cacheHierarchy uniqueName="[Stoptrin].[TrinStartDato]" caption="TrinStartDato" attribute="1" defaultMemberUniqueName="[Stoptrin].[TrinStartDato].[All]" allUniqueName="[Stoptrin].[TrinStartDato].[All]" dimensionUniqueName="[Stoptrin]" displayFolder="" count="0" unbalanced="0"/>
    <cacheHierarchy uniqueName="[Team].[Afdeling]" caption="Afdeling" attribute="1" defaultMemberUniqueName="[Team].[Afdeling].[All]" allUniqueName="[Team].[Afdeling].[All]" dimensionUniqueName="[Team]" displayFolder="" count="0" unbalanced="0"/>
    <cacheHierarchy uniqueName="[Team].[Team]" caption="Team" attribute="1" defaultMemberUniqueName="[Team].[Team].[All]" allUniqueName="[Team].[Team].[All]" dimensionUniqueName="[Team]" displayFolder="" count="0" unbalanced="0"/>
    <cacheHierarchy uniqueName="[Team].[Team Gruppe]" caption="Team Gruppe" attribute="1" defaultMemberUniqueName="[Team].[Team Gruppe].[All]" allUniqueName="[Team].[Team Gruppe].[All]" dimensionUniqueName="[Team]" displayFolder="" count="0" unbalanced="0"/>
    <cacheHierarchy uniqueName="[Team].[Team_BK]" caption="Team_BK" attribute="1" defaultMemberUniqueName="[Team].[Team_BK].[All]" allUniqueName="[Team].[Team_BK].[All]" dimensionUniqueName="[Team]" displayFolder="" count="0" unbalanced="0"/>
    <cacheHierarchy uniqueName="[Team anmelder].[Afdeling]" caption="Afdeling" attribute="1" defaultMemberUniqueName="[Team anmelder].[Afdeling].[All]" allUniqueName="[Team anmelder].[Afdeling].[All]" dimensionUniqueName="[Team anmelder]" displayFolder="" count="0" unbalanced="0"/>
    <cacheHierarchy uniqueName="[Team anmelder].[Team]" caption="Team" attribute="1" defaultMemberUniqueName="[Team anmelder].[Team].[All]" allUniqueName="[Team anmelder].[Team].[All]" dimensionUniqueName="[Team anmelder]" displayFolder="" count="0" unbalanced="0"/>
    <cacheHierarchy uniqueName="[Team anmelder].[TeamGruppe]" caption="TeamGruppe" attribute="1" defaultMemberUniqueName="[Team anmelder].[TeamGruppe].[All]" allUniqueName="[Team anmelder].[TeamGruppe].[All]" dimensionUniqueName="[Team anmelder]" displayFolder="" count="0" unbalanced="0"/>
    <cacheHierarchy uniqueName="[Team Viderestillet].[Afdeling]" caption="Afdeling" attribute="1" defaultMemberUniqueName="[Team Viderestillet].[Afdeling].[All]" allUniqueName="[Team Viderestillet].[Afdeling].[All]" dimensionUniqueName="[Team Viderestillet]" displayFolder="" count="0" unbalanced="0"/>
    <cacheHierarchy uniqueName="[Team Viderestillet].[Team]" caption="Team" attribute="1" defaultMemberUniqueName="[Team Viderestillet].[Team].[All]" allUniqueName="[Team Viderestillet].[Team].[All]" dimensionUniqueName="[Team Viderestillet]" displayFolder="" count="0" unbalanced="0"/>
    <cacheHierarchy uniqueName="[Team Viderestillet].[Team Gruppe]" caption="Team Gruppe" attribute="1" defaultMemberUniqueName="[Team Viderestillet].[Team Gruppe].[All]" allUniqueName="[Team Viderestillet].[Team Gruppe].[All]" dimensionUniqueName="[Team Viderestillet]" displayFolder="" count="0" unbalanced="0"/>
    <cacheHierarchy uniqueName="[Tid på dagen].[Halve Time]" caption="Halve Time" attribute="1" defaultMemberUniqueName="[Tid på dagen].[Halve Time].[All]" allUniqueName="[Tid på dagen].[Halve Time].[All]" dimensionUniqueName="[Tid på dagen]" displayFolder="" count="0" unbalanced="0"/>
    <cacheHierarchy uniqueName="[Tid på dagen].[Halve Time På Dagen]" caption="Halve Time På Dagen" attribute="1" defaultMemberUniqueName="[Tid på dagen].[Halve Time På Dagen].[All]" allUniqueName="[Tid på dagen].[Halve Time På Dagen].[All]" dimensionUniqueName="[Tid på dagen]" displayFolder="" count="0" unbalanced="0"/>
    <cacheHierarchy uniqueName="[Tid på dagen].[Kvarter]" caption="Kvarter" attribute="1" defaultMemberUniqueName="[Tid på dagen].[Kvarter].[All]" allUniqueName="[Tid på dagen].[Kvarter].[All]" dimensionUniqueName="[Tid på dagen]" displayFolder="" count="0" unbalanced="0"/>
    <cacheHierarchy uniqueName="[Tid på dagen].[Kvarter På Dagen]" caption="Kvarter På Dagen" attribute="1" defaultMemberUniqueName="[Tid på dagen].[Kvarter På Dagen].[All]" allUniqueName="[Tid på dagen].[Kvarter På Dagen].[All]" dimensionUniqueName="[Tid på dagen]" displayFolder="" count="0" unbalanced="0"/>
    <cacheHierarchy uniqueName="[Tid på dagen].[Minuttal]" caption="Minuttal" attribute="1" defaultMemberUniqueName="[Tid på dagen].[Minuttal].[All]" allUniqueName="[Tid på dagen].[Minuttal].[All]" dimensionUniqueName="[Tid på dagen]" displayFolder="" count="0" unbalanced="0"/>
    <cacheHierarchy uniqueName="[Tid på dagen].[Tid På Dagen]" caption="Tid På Dagen" attribute="1" defaultMemberUniqueName="[Tid på dagen].[Tid På Dagen].[All]" allUniqueName="[Tid på dagen].[Tid På Dagen].[All]" dimensionUniqueName="[Tid på dagen]" displayFolder="" count="0" unbalanced="0"/>
    <cacheHierarchy uniqueName="[Tid på dagen].[Timetal]" caption="Timetal" attribute="1" defaultMemberUniqueName="[Tid på dagen].[Timetal].[All]" allUniqueName="[Tid på dagen].[Timetal].[All]" dimensionUniqueName="[Tid på dagen]" displayFolder="" count="0" unbalanced="0"/>
    <cacheHierarchy uniqueName="[Uddannelse].[IDA Gruppe]" caption="IDA Gruppe" attribute="1" defaultMemberUniqueName="[Uddannelse].[IDA Gruppe].[All]" allUniqueName="[Uddannelse].[IDA Gruppe].[All]" dimensionUniqueName="[Uddannelse]" displayFolder="" count="2" unbalanced="0">
      <fieldsUsage count="2">
        <fieldUsage x="-1"/>
        <fieldUsage x="1"/>
      </fieldsUsage>
    </cacheHierarchy>
    <cacheHierarchy uniqueName="[Uddannelse].[IDA Gruppe Niveau1]" caption="IDA Gruppe Niveau1" attribute="1" defaultMemberUniqueName="[Uddannelse].[IDA Gruppe Niveau1].[All]" allUniqueName="[Uddannelse].[IDA Gruppe Niveau1].[All]" dimensionUniqueName="[Uddannelse]" displayFolder="" count="0" unbalanced="0"/>
    <cacheHierarchy uniqueName="[Uddannelse].[IDA Gruppering]" caption="IDA Gruppering" defaultMemberUniqueName="[Uddannelse].[IDA Gruppering].[All]" allUniqueName="[Uddannelse].[IDA Gruppering].[All]" dimensionUniqueName="[Uddannelse]" displayFolder="" count="0" unbalanced="0"/>
    <cacheHierarchy uniqueName="[Uddannelse].[Uddannelse]" caption="Uddannelse" attribute="1" defaultMemberUniqueName="[Uddannelse].[Uddannelse].[All]" allUniqueName="[Uddannelse].[Uddannelse].[All]" dimensionUniqueName="[Uddannelse]" displayFolder="" count="0" unbalanced="0"/>
    <cacheHierarchy uniqueName="[Uddannelse].[Uddannelses Kategori]" caption="Uddannelses Kategori" attribute="1" defaultMemberUniqueName="[Uddannelse].[Uddannelses Kategori].[All]" allUniqueName="[Uddannelse].[Uddannelses Kategori].[All]" dimensionUniqueName="[Uddannelse]" displayFolder="" count="0" unbalanced="0"/>
    <cacheHierarchy uniqueName="[Uddannelsesretning].[IDA Gruppe]" caption="IDA Gruppe" attribute="1" defaultMemberUniqueName="[Uddannelsesretning].[IDA Gruppe].[All]" allUniqueName="[Uddannelsesretning].[IDA Gruppe].[All]" dimensionUniqueName="[Uddannelsesretning]" displayFolder="" count="0" unbalanced="0"/>
    <cacheHierarchy uniqueName="[Uddannelsesretning].[IDA Gruppe Cand Scient]" caption="IDA Gruppe Cand Scient" attribute="1" defaultMemberUniqueName="[Uddannelsesretning].[IDA Gruppe Cand Scient].[All]" allUniqueName="[Uddannelsesretning].[IDA Gruppe Cand Scient].[All]" dimensionUniqueName="[Uddannelsesretning]" displayFolder="" count="0" unbalanced="0"/>
    <cacheHierarchy uniqueName="[Uddannelsesretning].[IDA Gruppe Cand Scient Niveau1]" caption="IDA Gruppe Cand Scient Niveau1" attribute="1" defaultMemberUniqueName="[Uddannelsesretning].[IDA Gruppe Cand Scient Niveau1].[All]" allUniqueName="[Uddannelsesretning].[IDA Gruppe Cand Scient Niveau1].[All]" dimensionUniqueName="[Uddannelsesretning]" displayFolder="" count="0" unbalanced="0"/>
    <cacheHierarchy uniqueName="[Uddannelsesretning].[IDA Gruppe Niveau1]" caption="IDA Gruppe Niveau1" attribute="1" defaultMemberUniqueName="[Uddannelsesretning].[IDA Gruppe Niveau1].[All]" allUniqueName="[Uddannelsesretning].[IDA Gruppe Niveau1].[All]" dimensionUniqueName="[Uddannelsesretning]" displayFolder="" count="0" unbalanced="0"/>
    <cacheHierarchy uniqueName="[Uddannelsesretning].[Uddannelsesretning]" caption="Uddannelsesretning" attribute="1" defaultMemberUniqueName="[Uddannelsesretning].[Uddannelsesretning].[All]" allUniqueName="[Uddannelsesretning].[Uddannelsesretning].[All]" dimensionUniqueName="[Uddannelsesretning]" displayFolder="" count="0" unbalanced="0"/>
    <cacheHierarchy uniqueName="[Uddannelsessted].[Uddannelsessted]" caption="Uddannelsessted" attribute="1" defaultMemberUniqueName="[Uddannelsessted].[Uddannelsessted].[All]" allUniqueName="[Uddannelsessted].[Uddannelsessted].[All]" dimensionUniqueName="[Uddannelsessted]" displayFolder="" count="0" unbalanced="0"/>
    <cacheHierarchy uniqueName="[Uddannelsessted].[Uddannelsessted Gruppering]" caption="Uddannelsessted Gruppering" attribute="1" defaultMemberUniqueName="[Uddannelsessted].[Uddannelsessted Gruppering].[All]" allUniqueName="[Uddannelsessted].[Uddannelsessted Gruppering].[All]" dimensionUniqueName="[Uddannelsessted]" displayFolder="" count="0" unbalanced="0"/>
    <cacheHierarchy uniqueName="[Varighed Samtaletid].[Varighed Samtaletid]" caption="Varighed Samtaletid" attribute="1" defaultMemberUniqueName="[Varighed Samtaletid].[Varighed Samtaletid].[All]" allUniqueName="[Varighed Samtaletid].[Varighed Samtaletid].[All]" dimensionUniqueName="[Varighed Samtaletid]" displayFolder="" count="0" unbalanced="0"/>
    <cacheHierarchy uniqueName="[Varighed Samtaletid].[Varighed Samtaletid Gruppe]" caption="Varighed Samtaletid Gruppe" attribute="1" defaultMemberUniqueName="[Varighed Samtaletid].[Varighed Samtaletid Gruppe].[All]" allUniqueName="[Varighed Samtaletid].[Varighed Samtaletid Gruppe].[All]" dimensionUniqueName="[Varighed Samtaletid]" displayFolder="" count="0" unbalanced="0"/>
    <cacheHierarchy uniqueName="[Varighed Samtaletid].[Varighed Samtaletid Gruppe Niveau1]" caption="Varighed Samtaletid Gruppe Niveau1" attribute="1" defaultMemberUniqueName="[Varighed Samtaletid].[Varighed Samtaletid Gruppe Niveau1].[All]" allUniqueName="[Varighed Samtaletid].[Varighed Samtaletid Gruppe Niveau1].[All]" dimensionUniqueName="[Varighed Samtaletid]" displayFolder="" count="0" unbalanced="0"/>
    <cacheHierarchy uniqueName="[Varighed Ventetid].[Varighed Ventetid]" caption="Varighed Ventetid" attribute="1" defaultMemberUniqueName="[Varighed Ventetid].[Varighed Ventetid].[All]" allUniqueName="[Varighed Ventetid].[Varighed Ventetid].[All]" dimensionUniqueName="[Varighed Ventetid]" displayFolder="" count="0" unbalanced="0"/>
    <cacheHierarchy uniqueName="[Varighed Ventetid].[Varighed Ventetid Gruppe]" caption="Varighed Ventetid Gruppe" attribute="1" defaultMemberUniqueName="[Varighed Ventetid].[Varighed Ventetid Gruppe].[All]" allUniqueName="[Varighed Ventetid].[Varighed Ventetid Gruppe].[All]" dimensionUniqueName="[Varighed Ventetid]" displayFolder="" count="0" unbalanced="0"/>
    <cacheHierarchy uniqueName="[Varighed Ventetid].[Varighed Ventetid Gruppe Niveau1]" caption="Varighed Ventetid Gruppe Niveau1" attribute="1" defaultMemberUniqueName="[Varighed Ventetid].[Varighed Ventetid Gruppe Niveau1].[All]" allUniqueName="[Varighed Ventetid].[Varighed Ventetid Gruppe Niveau1].[All]" dimensionUniqueName="[Varighed Ventetid]" displayFolder="" count="0" unbalanced="0"/>
    <cacheHierarchy uniqueName="[Viderestillet].[Viderestillet]" caption="Viderestillet" attribute="1" defaultMemberUniqueName="[Viderestillet].[Viderestillet].[All]" allUniqueName="[Viderestillet].[Viderestillet].[All]" dimensionUniqueName="[Viderestillet]" displayFolder="" count="0" unbalanced="0"/>
    <cacheHierarchy uniqueName="[Virksomhed].[Virksomhed]" caption="Virksomhed" attribute="1" defaultMemberUniqueName="[Virksomhed].[Virksomhed].[All]" allUniqueName="[Virksomhed].[Virksomhed].[All]" dimensionUniqueName="[Virksomhed]" displayFolder="" count="0" unbalanced="0"/>
    <cacheHierarchy uniqueName="[Ydelsestype].[AlternativYdelsestypeGruppe]" caption="AlternativYdelsestypeGruppe" attribute="1" defaultMemberUniqueName="[Ydelsestype].[AlternativYdelsestypeGruppe].[All]" allUniqueName="[Ydelsestype].[AlternativYdelsestypeGruppe].[All]" dimensionUniqueName="[Ydelsestype]" displayFolder="" count="0" unbalanced="0"/>
    <cacheHierarchy uniqueName="[Ydelsestype].[Ydelsesetype Gruppe - Ydelsestype]" caption="Ydelsesetype Gruppe - Ydelsestype" defaultMemberUniqueName="[Ydelsestype].[Ydelsesetype Gruppe - Ydelsestype].[All]" allUniqueName="[Ydelsestype].[Ydelsesetype Gruppe - Ydelsestype].[All]" dimensionUniqueName="[Ydelsestype]" displayFolder="" count="0" unbalanced="0"/>
    <cacheHierarchy uniqueName="[Ydelsestype].[Ydelsestype]" caption="Ydelsestype" attribute="1" defaultMemberUniqueName="[Ydelsestype].[Ydelsestype].[All]" allUniqueName="[Ydelsestype].[Ydelsestype].[All]" dimensionUniqueName="[Ydelsestype]" displayFolder="" count="0" unbalanced="0"/>
    <cacheHierarchy uniqueName="[Ydelsestype].[Ydelsestype Gruppe]" caption="Ydelsestype Gruppe" attribute="1" defaultMemberUniqueName="[Ydelsestype].[Ydelsestype Gruppe].[All]" allUniqueName="[Ydelsestype].[Ydelsestype Gruppe].[All]" dimensionUniqueName="[Ydelsestype]" displayFolder="" count="0" unbalanced="0"/>
    <cacheHierarchy uniqueName="[Ydelsestype].[Ydelsestype_BK]" caption="Ydelsestype_BK" attribute="1" defaultMemberUniqueName="[Ydelsestype].[Ydelsestype_BK].[All]" allUniqueName="[Ydelsestype].[Ydelsestype_BK].[All]" dimensionUniqueName="[Ydelsestype]" displayFolder="" count="0" unbalanced="0"/>
    <cacheHierarchy uniqueName="[Ændring efter fastfrysning].[Ændring Efter Fastfrysning]" caption="Ændring Efter Fastfrysning" attribute="1" defaultMemberUniqueName="[Ændring efter fastfrysning].[Ændring Efter Fastfrysning].[All]" allUniqueName="[Ændring efter fastfrysning].[Ændring Efter Fastfrysning].[All]" dimensionUniqueName="[Ændring efter fastfrysning]" displayFolder="" count="0" unbalanced="0"/>
    <cacheHierarchy uniqueName="[Årsag].[Årsag]" caption="Årsag" attribute="1" defaultMemberUniqueName="[Årsag].[Årsag].[All]" allUniqueName="[Årsag].[Årsag].[All]" dimensionUniqueName="[Årsag]" displayFolder="" count="0" unbalanced="0"/>
    <cacheHierarchy uniqueName="[Årsag].[Årsag Type]" caption="Årsag Type" attribute="1" defaultMemberUniqueName="[Årsag].[Årsag Type].[All]" allUniqueName="[Årsag].[Årsag Type].[All]" dimensionUniqueName="[Årsag]" displayFolder="" count="0" unbalanced="0"/>
    <cacheHierarchy uniqueName="[Årsag].[Årsag Type - Årsag]" caption="Årsag Type - Årsag" defaultMemberUniqueName="[Årsag].[Årsag Type - Årsag].[All]" allUniqueName="[Årsag].[Årsag Type - Årsag].[All]" dimensionUniqueName="[Årsag]" displayFolder="" count="0" unbalanced="0"/>
    <cacheHierarchy uniqueName="[Afslutningsdato].[DagpengeUgeSlut]" caption="DagpengeUgeSlut" attribute="1" defaultMemberUniqueName="[Afslutningsdato].[DagpengeUgeSlut].[All]" allUniqueName="[Afslutningsdato].[DagpengeUgeSlut].[All]" dimensionUniqueName="[Afslutningsdato]" displayFolder="" count="0" unbalanced="0" hidden="1"/>
    <cacheHierarchy uniqueName="[Afslutningsdato].[DagpengeUgeStart]" caption="DagpengeUgeStart" attribute="1" defaultMemberUniqueName="[Afslutningsdato].[DagpengeUgeStart].[All]" allUniqueName="[Afslutningsdato].[DagpengeUgeStart].[All]" dimensionUniqueName="[Afslutningsdato]" displayFolder="" count="0" unbalanced="0" hidden="1"/>
    <cacheHierarchy uniqueName="[Afslutningsdato].[MånedNr]" caption="MånedNr" attribute="1" defaultMemberUniqueName="[Afslutningsdato].[MånedNr].[All]" allUniqueName="[Afslutningsdato].[MånedNr].[All]" dimensionUniqueName="[Afslutningsdato]" displayFolder="" count="0" unbalanced="0" hidden="1"/>
    <cacheHierarchy uniqueName="[Afslutningsdato].[MånedÅr]" caption="MånedÅr" attribute="1" defaultMemberUniqueName="[Afslutningsdato].[MånedÅr].[All]" allUniqueName="[Afslutningsdato].[MånedÅr].[All]" dimensionUniqueName="[Afslutningsdato]" displayFolder="" count="0" unbalanced="0" hidden="1"/>
    <cacheHierarchy uniqueName="[Afslutningsdato].[UgedagNr]" caption="UgedagNr" attribute="1" defaultMemberUniqueName="[Afslutningsdato].[UgedagNr].[All]" allUniqueName="[Afslutningsdato].[UgedagNr].[All]" dimensionUniqueName="[Afslutningsdato]" displayFolder="" count="0" unbalanced="0" hidden="1"/>
    <cacheHierarchy uniqueName="[Aftale Afholdelsesstatus].[AftaleAfholdelsesstatus_BK]" caption="AftaleAfholdelsesstatus_BK" attribute="1" defaultMemberUniqueName="[Aftale Afholdelsesstatus].[AftaleAfholdelsesstatus_BK].[All]" allUniqueName="[Aftale Afholdelsesstatus].[AftaleAfholdelsesstatus_BK].[All]" dimensionUniqueName="[Aftale Afholdelsesstatus]" displayFolder="" count="0" unbalanced="0" hidden="1"/>
    <cacheHierarchy uniqueName="[Aftale Afholdelsesstatus].[AftaleAfholdelsesstatus_Key]" caption="AftaleAfholdelsesstatus_Key" attribute="1" defaultMemberUniqueName="[Aftale Afholdelsesstatus].[AftaleAfholdelsesstatus_Key].[All]" allUniqueName="[Aftale Afholdelsesstatus].[AftaleAfholdelsesstatus_Key].[All]" dimensionUniqueName="[Aftale Afholdelsesstatus]" displayFolder="" count="0" unbalanced="0" hidden="1"/>
    <cacheHierarchy uniqueName="[Aftaler].[#Aftaletid]" caption="#Aftaletid" attribute="1" defaultMemberUniqueName="[Aftaler].[#Aftaletid].[All]" allUniqueName="[Aftaler].[#Aftaletid].[All]" dimensionUniqueName="[Aftaler]" displayFolder="" count="0" unbalanced="0" hidden="1"/>
    <cacheHierarchy uniqueName="[Aftaler].[#NomeretTid]" caption="#NomeretTid" attribute="1" defaultMemberUniqueName="[Aftaler].[#NomeretTid].[All]" allUniqueName="[Aftaler].[#NomeretTid].[All]" dimensionUniqueName="[Aftaler]" displayFolder="" count="0" unbalanced="0" hidden="1"/>
    <cacheHierarchy uniqueName="[Aftaler].[AftaleAfholdelsesstatus_Key]" caption="AftaleAfholdelsesstatus_Key" attribute="1" defaultMemberUniqueName="[Aftaler].[AftaleAfholdelsesstatus_Key].[All]" allUniqueName="[Aftaler].[AftaleAfholdelsesstatus_Key].[All]" dimensionUniqueName="[Aftaler]" displayFolder="" count="0" unbalanced="0" hidden="1"/>
    <cacheHierarchy uniqueName="[Aftaler].[AftaleID]" caption="AftaleID" attribute="1" defaultMemberUniqueName="[Aftaler].[AftaleID].[All]" allUniqueName="[Aftaler].[AftaleID].[All]" dimensionUniqueName="[Aftaler]" displayFolder="" count="0" unbalanced="0" hidden="1"/>
    <cacheHierarchy uniqueName="[Aftaler].[Aftalestatus_Key]" caption="Aftalestatus_Key" attribute="1" defaultMemberUniqueName="[Aftaler].[Aftalestatus_Key].[All]" allUniqueName="[Aftaler].[Aftalestatus_Key].[All]" dimensionUniqueName="[Aftaler]" displayFolder="" count="0" unbalanced="0" hidden="1"/>
    <cacheHierarchy uniqueName="[Aftaler].[Aftaletype_Key]" caption="Aftaletype_Key" attribute="1" defaultMemberUniqueName="[Aftaler].[Aftaletype_Key].[All]" allUniqueName="[Aftaler].[Aftaletype_Key].[All]" dimensionUniqueName="[Aftaler]" displayFolder="" count="0" unbalanced="0" hidden="1"/>
    <cacheHierarchy uniqueName="[Aftaler].[Alder_Key]" caption="Alder_Key" attribute="1" defaultMemberUniqueName="[Aftaler].[Alder_Key].[All]" allUniqueName="[Aftaler].[Alder_Key].[All]" dimensionUniqueName="[Aftaler]" displayFolder="" count="0" unbalanced="0" hidden="1"/>
    <cacheHierarchy uniqueName="[Aftaler].[AndenAkasse_Key]" caption="AndenAkasse_Key" attribute="1" defaultMemberUniqueName="[Aftaler].[AndenAkasse_Key].[All]" allUniqueName="[Aftaler].[AndenAkasse_Key].[All]" dimensionUniqueName="[Aftaler]" displayFolder="" count="0" unbalanced="0" hidden="1"/>
    <cacheHierarchy uniqueName="[Aftaler].[Ansvarligt_Team_Key]" caption="Ansvarligt_Team_Key" attribute="1" defaultMemberUniqueName="[Aftaler].[Ansvarligt_Team_Key].[All]" allUniqueName="[Aftaler].[Ansvarligt_Team_Key].[All]" dimensionUniqueName="[Aftaler]" displayFolder="" count="0" unbalanced="0" hidden="1"/>
    <cacheHierarchy uniqueName="[Aftaler].[Arrangement_Key]" caption="Arrangement_Key" attribute="1" defaultMemberUniqueName="[Aftaler].[Arrangement_Key].[All]" allUniqueName="[Aftaler].[Arrangement_Key].[All]" dimensionUniqueName="[Aftaler]" displayFolder="" count="0" unbalanced="0" hidden="1"/>
    <cacheHierarchy uniqueName="[Aftaler].[Betalingsstatus_Key]" caption="Betalingsstatus_Key" attribute="1" defaultMemberUniqueName="[Aftaler].[Betalingsstatus_Key].[All]" allUniqueName="[Aftaler].[Betalingsstatus_Key].[All]" dimensionUniqueName="[Aftaler]" displayFolder="" count="0" unbalanced="0" hidden="1"/>
    <cacheHierarchy uniqueName="[Aftaler].[Dato]" caption="Dato" attribute="1" defaultMemberUniqueName="[Aftaler].[Dato].[All]" allUniqueName="[Aftaler].[Dato].[All]" dimensionUniqueName="[Aftaler]" displayFolder="" count="0" unbalanced="0" hidden="1"/>
    <cacheHierarchy uniqueName="[Aftaler].[DimittendDato]" caption="DimittendDato" attribute="1" defaultMemberUniqueName="[Aftaler].[DimittendDato].[All]" allUniqueName="[Aftaler].[DimittendDato].[All]" dimensionUniqueName="[Aftaler]" displayFolder="" count="0" unbalanced="0" hidden="1"/>
    <cacheHierarchy uniqueName="[Aftaler].[FagligtTilhoersforhold_Key]" caption="FagligtTilhoersforhold_Key" attribute="1" defaultMemberUniqueName="[Aftaler].[FagligtTilhoersforhold_Key].[All]" allUniqueName="[Aftaler].[FagligtTilhoersforhold_Key].[All]" dimensionUniqueName="[Aftaler]" displayFolder="" count="0" unbalanced="0" hidden="1"/>
    <cacheHierarchy uniqueName="[Aftaler].[Forloeb_Key]" caption="Forloeb_Key" attribute="1" defaultMemberUniqueName="[Aftaler].[Forloeb_Key].[All]" allUniqueName="[Aftaler].[Forloeb_Key].[All]" dimensionUniqueName="[Aftaler]" displayFolder="" count="0" unbalanced="0" hidden="1"/>
    <cacheHierarchy uniqueName="[Aftaler].[IndbetalerTilEfterloen_Key]" caption="IndbetalerTilEfterloen_Key" attribute="1" defaultMemberUniqueName="[Aftaler].[IndbetalerTilEfterloen_Key].[All]" allUniqueName="[Aftaler].[IndbetalerTilEfterloen_Key].[All]" dimensionUniqueName="[Aftaler]" displayFolder="" count="0" unbalanced="0" hidden="1"/>
    <cacheHierarchy uniqueName="[Aftaler].[KandidatAlder_Key]" caption="KandidatAlder_Key" attribute="1" defaultMemberUniqueName="[Aftaler].[KandidatAlder_Key].[All]" allUniqueName="[Aftaler].[KandidatAlder_Key].[All]" dimensionUniqueName="[Aftaler]" displayFolder="" count="0" unbalanced="0" hidden="1"/>
    <cacheHierarchy uniqueName="[Aftaler].[Kommune_Key]" caption="Kommune_Key" attribute="1" defaultMemberUniqueName="[Aftaler].[Kommune_Key].[All]" allUniqueName="[Aftaler].[Kommune_Key].[All]" dimensionUniqueName="[Aftaler]" displayFolder="" count="0" unbalanced="0" hidden="1"/>
    <cacheHierarchy uniqueName="[Aftaler].[Land_Key]" caption="Land_Key" attribute="1" defaultMemberUniqueName="[Aftaler].[Land_Key].[All]" allUniqueName="[Aftaler].[Land_Key].[All]" dimensionUniqueName="[Aftaler]" displayFolder="" count="0" unbalanced="0" hidden="1"/>
    <cacheHierarchy uniqueName="[Aftaler].[Medarbejder_Key]" caption="Medarbejder_Key" attribute="1" defaultMemberUniqueName="[Aftaler].[Medarbejder_Key].[All]" allUniqueName="[Aftaler].[Medarbejder_Key].[All]" dimensionUniqueName="[Aftaler]" displayFolder="" count="0" unbalanced="0" hidden="1"/>
    <cacheHierarchy uniqueName="[Aftaler].[Medlem_Key]" caption="Medlem_Key" attribute="1" defaultMemberUniqueName="[Aftaler].[Medlem_Key].[All]" allUniqueName="[Aftaler].[Medlem_Key].[All]" dimensionUniqueName="[Aftaler]" displayFolder="" count="0" unbalanced="0" hidden="1"/>
    <cacheHierarchy uniqueName="[Aftaler].[Medlemsstatus_Key]" caption="Medlemsstatus_Key" attribute="1" defaultMemberUniqueName="[Aftaler].[Medlemsstatus_Key].[All]" allUniqueName="[Aftaler].[Medlemsstatus_Key].[All]" dimensionUniqueName="[Aftaler]" displayFolder="" count="0" unbalanced="0" hidden="1"/>
    <cacheHierarchy uniqueName="[Aftaler].[Postnummer_Key]" caption="Postnummer_Key" attribute="1" defaultMemberUniqueName="[Aftaler].[Postnummer_Key].[All]" allUniqueName="[Aftaler].[Postnummer_Key].[All]" dimensionUniqueName="[Aftaler]" displayFolder="" count="0" unbalanced="0" hidden="1"/>
    <cacheHierarchy uniqueName="[Aftaler].[RapporteringsMaanedAar]" caption="RapporteringsMaanedAar" attribute="1" defaultMemberUniqueName="[Aftaler].[RapporteringsMaanedAar].[All]" allUniqueName="[Aftaler].[RapporteringsMaanedAar].[All]" dimensionUniqueName="[Aftaler]" displayFolder="" count="0" unbalanced="0" hidden="1"/>
    <cacheHierarchy uniqueName="[Aftaler].[StraksBooket]" caption="StraksBooket" attribute="1" defaultMemberUniqueName="[Aftaler].[StraksBooket].[All]" allUniqueName="[Aftaler].[StraksBooket].[All]" dimensionUniqueName="[Aftaler]" displayFolder="" count="0" unbalanced="0" hidden="1"/>
    <cacheHierarchy uniqueName="[Aftaler].[Team_Key]" caption="Team_Key" attribute="1" defaultMemberUniqueName="[Aftaler].[Team_Key].[All]" allUniqueName="[Aftaler].[Team_Key].[All]" dimensionUniqueName="[Aftaler]" displayFolder="" count="0" unbalanced="0" hidden="1"/>
    <cacheHierarchy uniqueName="[Aftaler].[Uddannelse_Key]" caption="Uddannelse_Key" attribute="1" defaultMemberUniqueName="[Aftaler].[Uddannelse_Key].[All]" allUniqueName="[Aftaler].[Uddannelse_Key].[All]" dimensionUniqueName="[Aftaler]" displayFolder="" count="0" unbalanced="0" hidden="1"/>
    <cacheHierarchy uniqueName="[Aftaler].[Uddannelsessted_Key]" caption="Uddannelsessted_Key" attribute="1" defaultMemberUniqueName="[Aftaler].[Uddannelsessted_Key].[All]" allUniqueName="[Aftaler].[Uddannelsessted_Key].[All]" dimensionUniqueName="[Aftaler]" displayFolder="" count="0" unbalanced="0" hidden="1"/>
    <cacheHierarchy uniqueName="[Aftaler].[Aarsag_Key]" caption="Aarsag_Key" attribute="1" defaultMemberUniqueName="[Aftaler].[Aarsag_Key].[All]" allUniqueName="[Aftaler].[Aarsag_Key].[All]" dimensionUniqueName="[Aftaler]" displayFolder="" count="0" unbalanced="0" hidden="1"/>
    <cacheHierarchy uniqueName="[Aftalestatus].[Aftalestatus_BK]" caption="Aftalestatus_BK" attribute="1" defaultMemberUniqueName="[Aftalestatus].[Aftalestatus_BK].[All]" allUniqueName="[Aftalestatus].[Aftalestatus_BK].[All]" dimensionUniqueName="[Aftalestatus]" displayFolder="" count="0" unbalanced="0" hidden="1"/>
    <cacheHierarchy uniqueName="[Aftalestatus].[Aftalestatus_Key]" caption="Aftalestatus_Key" attribute="1" defaultMemberUniqueName="[Aftalestatus].[Aftalestatus_Key].[All]" allUniqueName="[Aftalestatus].[Aftalestatus_Key].[All]" dimensionUniqueName="[Aftalestatus]" displayFolder="" count="0" unbalanced="0" hidden="1"/>
    <cacheHierarchy uniqueName="[Aftaletype].[Aftaletype_BK]" caption="Aftaletype_BK" attribute="1" defaultMemberUniqueName="[Aftaletype].[Aftaletype_BK].[All]" allUniqueName="[Aftaletype].[Aftaletype_BK].[All]" dimensionUniqueName="[Aftaletype]" displayFolder="" count="0" unbalanced="0" hidden="1"/>
    <cacheHierarchy uniqueName="[Aftaletype].[Aftaletype_Key]" caption="Aftaletype_Key" attribute="1" defaultMemberUniqueName="[Aftaletype].[Aftaletype_Key].[All]" allUniqueName="[Aftaletype].[Aftaletype_Key].[All]" dimensionUniqueName="[Aftaletype]" displayFolder="" count="0" unbalanced="0" hidden="1"/>
    <cacheHierarchy uniqueName="[Afvist].[Afvist_BK]" caption="Afvist_BK" attribute="1" defaultMemberUniqueName="[Afvist].[Afvist_BK].[All]" allUniqueName="[Afvist].[Afvist_BK].[All]" dimensionUniqueName="[Afvist]" displayFolder="" count="0" unbalanced="0" hidden="1"/>
    <cacheHierarchy uniqueName="[Afvist].[Afvist_Key]" caption="Afvist_Key" attribute="1" defaultMemberUniqueName="[Afvist].[Afvist_Key].[All]" allUniqueName="[Afvist].[Afvist_Key].[All]" dimensionUniqueName="[Afvist]" displayFolder="" count="0" unbalanced="0" hidden="1"/>
    <cacheHierarchy uniqueName="[Aktivitetsstatus].[Aktivitetsstatus_Key]" caption="Aktivitetsstatus_Key" attribute="1" defaultMemberUniqueName="[Aktivitetsstatus].[Aktivitetsstatus_Key].[All]" allUniqueName="[Aktivitetsstatus].[Aktivitetsstatus_Key].[All]" dimensionUniqueName="[Aktivitetsstatus]" displayFolder="" count="0" unbalanced="0" hidden="1"/>
    <cacheHierarchy uniqueName="[Alder].[Alder_Key]" caption="Alder_Key" attribute="1" defaultMemberUniqueName="[Alder].[Alder_Key].[All]" allUniqueName="[Alder].[Alder_Key].[All]" dimensionUniqueName="[Alder]" displayFolder="" count="0" unbalanced="0" hidden="1"/>
    <cacheHierarchy uniqueName="[Alder].[AlderMdr]" caption="AlderMdr" attribute="1" defaultMemberUniqueName="[Alder].[AlderMdr].[All]" allUniqueName="[Alder].[AlderMdr].[All]" dimensionUniqueName="[Alder]" displayFolder="" count="0" unbalanced="0" hidden="1"/>
    <cacheHierarchy uniqueName="[Anden A-kasse].[AndenAkasse_Key]" caption="AndenAkasse_Key" attribute="1" defaultMemberUniqueName="[Anden A-kasse].[AndenAkasse_Key].[All]" allUniqueName="[Anden A-kasse].[AndenAkasse_Key].[All]" dimensionUniqueName="[Anden A-kasse]" displayFolder="" count="0" unbalanced="0" hidden="1"/>
    <cacheHierarchy uniqueName="[Anden Aktør Aktiviteter].[#AndenAktoerAktivitetID]" caption="#AndenAktoerAktivitetID" attribute="1" defaultMemberUniqueName="[Anden Aktør Aktiviteter].[#AndenAktoerAktivitetID].[All]" allUniqueName="[Anden Aktør Aktiviteter].[#AndenAktoerAktivitetID].[All]" dimensionUniqueName="[Anden Aktør Aktiviteter]" displayFolder="" count="0" unbalanced="0" hidden="1"/>
    <cacheHierarchy uniqueName="[Anden Aktør Aktiviteter].[Afvist_Key]" caption="Afvist_Key" attribute="1" defaultMemberUniqueName="[Anden Aktør Aktiviteter].[Afvist_Key].[All]" allUniqueName="[Anden Aktør Aktiviteter].[Afvist_Key].[All]" dimensionUniqueName="[Anden Aktør Aktiviteter]" displayFolder="" count="0" unbalanced="0" hidden="1"/>
    <cacheHierarchy uniqueName="[Anden Aktør Aktiviteter].[AndenAktoerAktivitetstype_Key]" caption="AndenAktoerAktivitetstype_Key" attribute="1" defaultMemberUniqueName="[Anden Aktør Aktiviteter].[AndenAktoerAktivitetstype_Key].[All]" allUniqueName="[Anden Aktør Aktiviteter].[AndenAktoerAktivitetstype_Key].[All]" dimensionUniqueName="[Anden Aktør Aktiviteter]" displayFolder="" count="0" unbalanced="0" hidden="1"/>
    <cacheHierarchy uniqueName="[Anden Aktør Aktiviteter].[Behandlet_Key]" caption="Behandlet_Key" attribute="1" defaultMemberUniqueName="[Anden Aktør Aktiviteter].[Behandlet_Key].[All]" allUniqueName="[Anden Aktør Aktiviteter].[Behandlet_Key].[All]" dimensionUniqueName="[Anden Aktør Aktiviteter]" displayFolder="" count="0" unbalanced="0" hidden="1"/>
    <cacheHierarchy uniqueName="[Anden Aktør Aktiviteter].[Dato]" caption="Dato" attribute="1" defaultMemberUniqueName="[Anden Aktør Aktiviteter].[Dato].[All]" allUniqueName="[Anden Aktør Aktiviteter].[Dato].[All]" dimensionUniqueName="[Anden Aktør Aktiviteter]" displayFolder="" count="0" unbalanced="0" hidden="1"/>
    <cacheHierarchy uniqueName="[Anden Aktør Aktiviteter].[Medarbejder_key]" caption="Medarbejder_key" attribute="1" defaultMemberUniqueName="[Anden Aktør Aktiviteter].[Medarbejder_key].[All]" allUniqueName="[Anden Aktør Aktiviteter].[Medarbejder_key].[All]" dimensionUniqueName="[Anden Aktør Aktiviteter]" displayFolder="" count="0" unbalanced="0" hidden="1"/>
    <cacheHierarchy uniqueName="[Anden Aktør Aktiviteter].[Medlem_Key]" caption="Medlem_Key" attribute="1" defaultMemberUniqueName="[Anden Aktør Aktiviteter].[Medlem_Key].[All]" allUniqueName="[Anden Aktør Aktiviteter].[Medlem_Key].[All]" dimensionUniqueName="[Anden Aktør Aktiviteter]" displayFolder="" count="0" unbalanced="0" hidden="1"/>
    <cacheHierarchy uniqueName="[Anden Aktør Aktiviteter].[RapporteringsMaanedAar]" caption="RapporteringsMaanedAar" attribute="1" defaultMemberUniqueName="[Anden Aktør Aktiviteter].[RapporteringsMaanedAar].[All]" allUniqueName="[Anden Aktør Aktiviteter].[RapporteringsMaanedAar].[All]" dimensionUniqueName="[Anden Aktør Aktiviteter]" displayFolder="" count="0" unbalanced="0" hidden="1"/>
    <cacheHierarchy uniqueName="[Anden Aktør Aktiviteter].[Virksomhed_Key]" caption="Virksomhed_Key" attribute="1" defaultMemberUniqueName="[Anden Aktør Aktiviteter].[Virksomhed_Key].[All]" allUniqueName="[Anden Aktør Aktiviteter].[Virksomhed_Key].[All]" dimensionUniqueName="[Anden Aktør Aktiviteter]" displayFolder="" count="0" unbalanced="0" hidden="1"/>
    <cacheHierarchy uniqueName="[Anden Aktør Aktivitetstype].[AndenAktoerAktivitetstype_BK]" caption="AndenAktoerAktivitetstype_BK" attribute="1" defaultMemberUniqueName="[Anden Aktør Aktivitetstype].[AndenAktoerAktivitetstype_BK].[All]" allUniqueName="[Anden Aktør Aktivitetstype].[AndenAktoerAktivitetstype_BK].[All]" dimensionUniqueName="[Anden Aktør Aktivitetstype]" displayFolder="" count="0" unbalanced="0" hidden="1"/>
    <cacheHierarchy uniqueName="[Anden Aktør Aktivitetstype].[AndenAktoerAktivitetstype_Key]" caption="AndenAktoerAktivitetstype_Key" attribute="1" defaultMemberUniqueName="[Anden Aktør Aktivitetstype].[AndenAktoerAktivitetstype_Key].[All]" allUniqueName="[Anden Aktør Aktivitetstype].[AndenAktoerAktivitetstype_Key].[All]" dimensionUniqueName="[Anden Aktør Aktivitetstype]" displayFolder="" count="0" unbalanced="0" hidden="1"/>
    <cacheHierarchy uniqueName="[Ansvarligt Team].[Team_Key]" caption="Team_Key" attribute="1" defaultMemberUniqueName="[Ansvarligt Team].[Team_Key].[All]" allUniqueName="[Ansvarligt Team].[Team_Key].[All]" dimensionUniqueName="[Ansvarligt Team]" displayFolder="" count="0" unbalanced="0" hidden="1"/>
    <cacheHierarchy uniqueName="[Arbejdsgange].[#Behandlingstid]" caption="#Behandlingstid" attribute="1" defaultMemberUniqueName="[Arbejdsgange].[#Behandlingstid].[All]" allUniqueName="[Arbejdsgange].[#Behandlingstid].[All]" dimensionUniqueName="[Arbejdsgange]" displayFolder="" count="0" unbalanced="0" hidden="1"/>
    <cacheHierarchy uniqueName="[Arbejdsgange].[#Trin]" caption="#Trin" attribute="1" defaultMemberUniqueName="[Arbejdsgange].[#Trin].[All]" allUniqueName="[Arbejdsgange].[#Trin].[All]" dimensionUniqueName="[Arbejdsgange]" displayFolder="" count="0" unbalanced="0" hidden="1"/>
    <cacheHierarchy uniqueName="[Arbejdsgange].[Aktivitetstype_Key]" caption="Aktivitetstype_Key" attribute="1" defaultMemberUniqueName="[Arbejdsgange].[Aktivitetstype_Key].[All]" allUniqueName="[Arbejdsgange].[Aktivitetstype_Key].[All]" dimensionUniqueName="[Arbejdsgange]" displayFolder="" count="0" unbalanced="0" hidden="1"/>
    <cacheHierarchy uniqueName="[Arbejdsgange].[Alder_Key]" caption="Alder_Key" attribute="1" defaultMemberUniqueName="[Arbejdsgange].[Alder_Key].[All]" allUniqueName="[Arbejdsgange].[Alder_Key].[All]" dimensionUniqueName="[Arbejdsgange]" displayFolder="" count="0" unbalanced="0" hidden="1"/>
    <cacheHierarchy uniqueName="[Arbejdsgange].[AndenAKasse_Key]" caption="AndenAKasse_Key" attribute="1" defaultMemberUniqueName="[Arbejdsgange].[AndenAKasse_Key].[All]" allUniqueName="[Arbejdsgange].[AndenAKasse_Key].[All]" dimensionUniqueName="[Arbejdsgange]" displayFolder="" count="0" unbalanced="0" hidden="1"/>
    <cacheHierarchy uniqueName="[Arbejdsgange].[Ansvarligt_Team_Key]" caption="Ansvarligt_Team_Key" attribute="1" defaultMemberUniqueName="[Arbejdsgange].[Ansvarligt_Team_Key].[All]" allUniqueName="[Arbejdsgange].[Ansvarligt_Team_Key].[All]" dimensionUniqueName="[Arbejdsgange]" displayFolder="" count="0" unbalanced="0" hidden="1"/>
    <cacheHierarchy uniqueName="[Arbejdsgange].[Arbejdsgangstype_Key]" caption="Arbejdsgangstype_Key" attribute="1" defaultMemberUniqueName="[Arbejdsgange].[Arbejdsgangstype_Key].[All]" allUniqueName="[Arbejdsgange].[Arbejdsgangstype_Key].[All]" dimensionUniqueName="[Arbejdsgange]" displayFolder="" count="0" unbalanced="0" hidden="1"/>
    <cacheHierarchy uniqueName="[Arbejdsgange].[Arbejdsgangtrin_Key]" caption="Arbejdsgangtrin_Key" attribute="1" defaultMemberUniqueName="[Arbejdsgange].[Arbejdsgangtrin_Key].[All]" allUniqueName="[Arbejdsgange].[Arbejdsgangtrin_Key].[All]" dimensionUniqueName="[Arbejdsgange]" displayFolder="" count="0" unbalanced="0" hidden="1"/>
    <cacheHierarchy uniqueName="[Arbejdsgange].[Arbejdsgangtrinstatus_Key]" caption="Arbejdsgangtrinstatus_Key" attribute="1" defaultMemberUniqueName="[Arbejdsgange].[Arbejdsgangtrinstatus_Key].[All]" allUniqueName="[Arbejdsgange].[Arbejdsgangtrinstatus_Key].[All]" dimensionUniqueName="[Arbejdsgange]" displayFolder="" count="0" unbalanced="0" hidden="1"/>
    <cacheHierarchy uniqueName="[Arbejdsgange].[Automatiseringstype_Key]" caption="Automatiseringstype_Key" attribute="1" defaultMemberUniqueName="[Arbejdsgange].[Automatiseringstype_Key].[All]" allUniqueName="[Arbejdsgange].[Automatiseringstype_Key].[All]" dimensionUniqueName="[Arbejdsgange]" displayFolder="" count="0" unbalanced="0" hidden="1"/>
    <cacheHierarchy uniqueName="[Arbejdsgange].[Betalingsstatus_Key]" caption="Betalingsstatus_Key" attribute="1" defaultMemberUniqueName="[Arbejdsgange].[Betalingsstatus_Key].[All]" allUniqueName="[Arbejdsgange].[Betalingsstatus_Key].[All]" dimensionUniqueName="[Arbejdsgange]" displayFolder="" count="0" unbalanced="0" hidden="1"/>
    <cacheHierarchy uniqueName="[Arbejdsgange].[FagligtTilhoersforhold_Key]" caption="FagligtTilhoersforhold_Key" attribute="1" defaultMemberUniqueName="[Arbejdsgange].[FagligtTilhoersforhold_Key].[All]" allUniqueName="[Arbejdsgange].[FagligtTilhoersforhold_Key].[All]" dimensionUniqueName="[Arbejdsgange]" displayFolder="" count="0" unbalanced="0" hidden="1"/>
    <cacheHierarchy uniqueName="[Arbejdsgange].[IndbetalerTilEfterloen_Key]" caption="IndbetalerTilEfterloen_Key" attribute="1" defaultMemberUniqueName="[Arbejdsgange].[IndbetalerTilEfterloen_Key].[All]" allUniqueName="[Arbejdsgange].[IndbetalerTilEfterloen_Key].[All]" dimensionUniqueName="[Arbejdsgange]" displayFolder="" count="0" unbalanced="0" hidden="1"/>
    <cacheHierarchy uniqueName="[Arbejdsgange].[KandidatAlder_Key]" caption="KandidatAlder_Key" attribute="1" defaultMemberUniqueName="[Arbejdsgange].[KandidatAlder_Key].[All]" allUniqueName="[Arbejdsgange].[KandidatAlder_Key].[All]" dimensionUniqueName="[Arbejdsgange]" displayFolder="" count="0" unbalanced="0" hidden="1"/>
    <cacheHierarchy uniqueName="[Arbejdsgange].[Kommune_Key]" caption="Kommune_Key" attribute="1" defaultMemberUniqueName="[Arbejdsgange].[Kommune_Key].[All]" allUniqueName="[Arbejdsgange].[Kommune_Key].[All]" dimensionUniqueName="[Arbejdsgange]" displayFolder="" count="0" unbalanced="0" hidden="1"/>
    <cacheHierarchy uniqueName="[Arbejdsgange].[Land_Key]" caption="Land_Key" attribute="1" defaultMemberUniqueName="[Arbejdsgange].[Land_Key].[All]" allUniqueName="[Arbejdsgange].[Land_Key].[All]" dimensionUniqueName="[Arbejdsgange]" displayFolder="" count="0" unbalanced="0" hidden="1"/>
    <cacheHierarchy uniqueName="[Arbejdsgange].[Medarbejder_Key]" caption="Medarbejder_Key" attribute="1" defaultMemberUniqueName="[Arbejdsgange].[Medarbejder_Key].[All]" allUniqueName="[Arbejdsgange].[Medarbejder_Key].[All]" dimensionUniqueName="[Arbejdsgange]" displayFolder="" count="0" unbalanced="0" hidden="1"/>
    <cacheHierarchy uniqueName="[Arbejdsgange].[Medlem_Key]" caption="Medlem_Key" attribute="1" defaultMemberUniqueName="[Arbejdsgange].[Medlem_Key].[All]" allUniqueName="[Arbejdsgange].[Medlem_Key].[All]" dimensionUniqueName="[Arbejdsgange]" displayFolder="" count="0" unbalanced="0" hidden="1"/>
    <cacheHierarchy uniqueName="[Arbejdsgange].[Medlemsstatus_Key]" caption="Medlemsstatus_Key" attribute="1" defaultMemberUniqueName="[Arbejdsgange].[Medlemsstatus_Key].[All]" allUniqueName="[Arbejdsgange].[Medlemsstatus_Key].[All]" dimensionUniqueName="[Arbejdsgange]" displayFolder="" count="0" unbalanced="0" hidden="1"/>
    <cacheHierarchy uniqueName="[Arbejdsgange].[Postnummer_Key]" caption="Postnummer_Key" attribute="1" defaultMemberUniqueName="[Arbejdsgange].[Postnummer_Key].[All]" allUniqueName="[Arbejdsgange].[Postnummer_Key].[All]" dimensionUniqueName="[Arbejdsgange]" displayFolder="" count="0" unbalanced="0" hidden="1"/>
    <cacheHierarchy uniqueName="[Arbejdsgange].[RapporteringsMaanedAr]" caption="RapporteringsMaanedAr" attribute="1" defaultMemberUniqueName="[Arbejdsgange].[RapporteringsMaanedAr].[All]" allUniqueName="[Arbejdsgange].[RapporteringsMaanedAr].[All]" dimensionUniqueName="[Arbejdsgange]" displayFolder="" count="0" unbalanced="0" hidden="1"/>
    <cacheHierarchy uniqueName="[Arbejdsgange].[Sagsstatus_Key]" caption="Sagsstatus_Key" attribute="1" defaultMemberUniqueName="[Arbejdsgange].[Sagsstatus_Key].[All]" allUniqueName="[Arbejdsgange].[Sagsstatus_Key].[All]" dimensionUniqueName="[Arbejdsgange]" displayFolder="" count="0" unbalanced="0" hidden="1"/>
    <cacheHierarchy uniqueName="[Arbejdsgange].[Sagstype_Key]" caption="Sagstype_Key" attribute="1" defaultMemberUniqueName="[Arbejdsgange].[Sagstype_Key].[All]" allUniqueName="[Arbejdsgange].[Sagstype_Key].[All]" dimensionUniqueName="[Arbejdsgange]" displayFolder="" count="0" unbalanced="0" hidden="1"/>
    <cacheHierarchy uniqueName="[Arbejdsgange].[Team_Key]" caption="Team_Key" attribute="1" defaultMemberUniqueName="[Arbejdsgange].[Team_Key].[All]" allUniqueName="[Arbejdsgange].[Team_Key].[All]" dimensionUniqueName="[Arbejdsgange]" displayFolder="" count="0" unbalanced="0" hidden="1"/>
    <cacheHierarchy uniqueName="[Arbejdsgange].[Uddannelse_Key]" caption="Uddannelse_Key" attribute="1" defaultMemberUniqueName="[Arbejdsgange].[Uddannelse_Key].[All]" allUniqueName="[Arbejdsgange].[Uddannelse_Key].[All]" dimensionUniqueName="[Arbejdsgange]" displayFolder="" count="0" unbalanced="0" hidden="1"/>
    <cacheHierarchy uniqueName="[Arbejdsgange].[Uddannelsessted_Key]" caption="Uddannelsessted_Key" attribute="1" defaultMemberUniqueName="[Arbejdsgange].[Uddannelsessted_Key].[All]" allUniqueName="[Arbejdsgange].[Uddannelsessted_Key].[All]" dimensionUniqueName="[Arbejdsgange]" displayFolder="" count="0" unbalanced="0" hidden="1"/>
    <cacheHierarchy uniqueName="[Arbejdsgange].[Aarsag_Key]" caption="Aarsag_Key" attribute="1" defaultMemberUniqueName="[Arbejdsgange].[Aarsag_Key].[All]" allUniqueName="[Arbejdsgange].[Aarsag_Key].[All]" dimensionUniqueName="[Arbejdsgange]" displayFolder="" count="0" unbalanced="0" hidden="1"/>
    <cacheHierarchy uniqueName="[Arrangement].[Arrangement_BK]" caption="Arrangement_BK" attribute="1" defaultMemberUniqueName="[Arrangement].[Arrangement_BK].[All]" allUniqueName="[Arrangement].[Arrangement_BK].[All]" dimensionUniqueName="[Arrangement]" displayFolder="" count="0" unbalanced="0" hidden="1"/>
    <cacheHierarchy uniqueName="[Arrangement].[Arrangement_Key]" caption="Arrangement_Key" attribute="1" defaultMemberUniqueName="[Arrangement].[Arrangement_Key].[All]" allUniqueName="[Arrangement].[Arrangement_Key].[All]" dimensionUniqueName="[Arrangement]" displayFolder="" count="0" unbalanced="0" hidden="1"/>
    <cacheHierarchy uniqueName="[Arrangementer].[AftaleAfholdelsesstatus_Key]" caption="AftaleAfholdelsesstatus_Key" attribute="1" defaultMemberUniqueName="[Arrangementer].[AftaleAfholdelsesstatus_Key].[All]" allUniqueName="[Arrangementer].[AftaleAfholdelsesstatus_Key].[All]" dimensionUniqueName="[Arrangementer]" displayFolder="" count="0" unbalanced="0" hidden="1"/>
    <cacheHierarchy uniqueName="[Arrangementer].[AftaleID]" caption="AftaleID" attribute="1" defaultMemberUniqueName="[Arrangementer].[AftaleID].[All]" allUniqueName="[Arrangementer].[AftaleID].[All]" dimensionUniqueName="[Arrangementer]" displayFolder="" count="0" unbalanced="0" hidden="1"/>
    <cacheHierarchy uniqueName="[Arrangementer].[Aftalestatus_Key]" caption="Aftalestatus_Key" attribute="1" defaultMemberUniqueName="[Arrangementer].[Aftalestatus_Key].[All]" allUniqueName="[Arrangementer].[Aftalestatus_Key].[All]" dimensionUniqueName="[Arrangementer]" displayFolder="" count="0" unbalanced="0" hidden="1"/>
    <cacheHierarchy uniqueName="[Arrangementer].[Aftaletype_Key]" caption="Aftaletype_Key" attribute="1" defaultMemberUniqueName="[Arrangementer].[Aftaletype_Key].[All]" allUniqueName="[Arrangementer].[Aftaletype_Key].[All]" dimensionUniqueName="[Arrangementer]" displayFolder="" count="0" unbalanced="0" hidden="1"/>
    <cacheHierarchy uniqueName="[Arrangementer].[Alder_Key]" caption="Alder_Key" attribute="1" defaultMemberUniqueName="[Arrangementer].[Alder_Key].[All]" allUniqueName="[Arrangementer].[Alder_Key].[All]" dimensionUniqueName="[Arrangementer]" displayFolder="" count="0" unbalanced="0" hidden="1"/>
    <cacheHierarchy uniqueName="[Arrangementer].[AndenAkasse_Key]" caption="AndenAkasse_Key" attribute="1" defaultMemberUniqueName="[Arrangementer].[AndenAkasse_Key].[All]" allUniqueName="[Arrangementer].[AndenAkasse_Key].[All]" dimensionUniqueName="[Arrangementer]" displayFolder="" count="0" unbalanced="0" hidden="1"/>
    <cacheHierarchy uniqueName="[Arrangementer].[Ansvarligt_Team_Key]" caption="Ansvarligt_Team_Key" attribute="1" defaultMemberUniqueName="[Arrangementer].[Ansvarligt_Team_Key].[All]" allUniqueName="[Arrangementer].[Ansvarligt_Team_Key].[All]" dimensionUniqueName="[Arrangementer]" displayFolder="" count="0" unbalanced="0" hidden="1"/>
    <cacheHierarchy uniqueName="[Arrangementer].[Arrangement_Key]" caption="Arrangement_Key" attribute="1" defaultMemberUniqueName="[Arrangementer].[Arrangement_Key].[All]" allUniqueName="[Arrangementer].[Arrangement_Key].[All]" dimensionUniqueName="[Arrangementer]" displayFolder="" count="0" unbalanced="0" hidden="1"/>
    <cacheHierarchy uniqueName="[Arrangementer].[Betalingsstatus_Key]" caption="Betalingsstatus_Key" attribute="1" defaultMemberUniqueName="[Arrangementer].[Betalingsstatus_Key].[All]" allUniqueName="[Arrangementer].[Betalingsstatus_Key].[All]" dimensionUniqueName="[Arrangementer]" displayFolder="" count="0" unbalanced="0" hidden="1"/>
    <cacheHierarchy uniqueName="[Arrangementer].[Dato]" caption="Dato" attribute="1" defaultMemberUniqueName="[Arrangementer].[Dato].[All]" allUniqueName="[Arrangementer].[Dato].[All]" dimensionUniqueName="[Arrangementer]" displayFolder="" count="0" unbalanced="0" hidden="1"/>
    <cacheHierarchy uniqueName="[Arrangementer].[DimittendDato]" caption="DimittendDato" attribute="1" defaultMemberUniqueName="[Arrangementer].[DimittendDato].[All]" allUniqueName="[Arrangementer].[DimittendDato].[All]" dimensionUniqueName="[Arrangementer]" displayFolder="" count="0" unbalanced="0" hidden="1"/>
    <cacheHierarchy uniqueName="[Arrangementer].[FagligtTilhoersforhold_Key]" caption="FagligtTilhoersforhold_Key" attribute="1" defaultMemberUniqueName="[Arrangementer].[FagligtTilhoersforhold_Key].[All]" allUniqueName="[Arrangementer].[FagligtTilhoersforhold_Key].[All]" dimensionUniqueName="[Arrangementer]" displayFolder="" count="0" unbalanced="0" hidden="1"/>
    <cacheHierarchy uniqueName="[Arrangementer].[Forloeb_Key]" caption="Forloeb_Key" attribute="1" defaultMemberUniqueName="[Arrangementer].[Forloeb_Key].[All]" allUniqueName="[Arrangementer].[Forloeb_Key].[All]" dimensionUniqueName="[Arrangementer]" displayFolder="" count="0" unbalanced="0" hidden="1"/>
    <cacheHierarchy uniqueName="[Arrangementer].[IndbetalerTilEfterloen_Key]" caption="IndbetalerTilEfterloen_Key" attribute="1" defaultMemberUniqueName="[Arrangementer].[IndbetalerTilEfterloen_Key].[All]" allUniqueName="[Arrangementer].[IndbetalerTilEfterloen_Key].[All]" dimensionUniqueName="[Arrangementer]" displayFolder="" count="0" unbalanced="0" hidden="1"/>
    <cacheHierarchy uniqueName="[Arrangementer].[KandidatAlder_Key]" caption="KandidatAlder_Key" attribute="1" defaultMemberUniqueName="[Arrangementer].[KandidatAlder_Key].[All]" allUniqueName="[Arrangementer].[KandidatAlder_Key].[All]" dimensionUniqueName="[Arrangementer]" displayFolder="" count="0" unbalanced="0" hidden="1"/>
    <cacheHierarchy uniqueName="[Arrangementer].[Kommune_Key]" caption="Kommune_Key" attribute="1" defaultMemberUniqueName="[Arrangementer].[Kommune_Key].[All]" allUniqueName="[Arrangementer].[Kommune_Key].[All]" dimensionUniqueName="[Arrangementer]" displayFolder="" count="0" unbalanced="0" hidden="1"/>
    <cacheHierarchy uniqueName="[Arrangementer].[Land_Key]" caption="Land_Key" attribute="1" defaultMemberUniqueName="[Arrangementer].[Land_Key].[All]" allUniqueName="[Arrangementer].[Land_Key].[All]" dimensionUniqueName="[Arrangementer]" displayFolder="" count="0" unbalanced="0" hidden="1"/>
    <cacheHierarchy uniqueName="[Arrangementer].[Medarbejder_Key]" caption="Medarbejder_Key" attribute="1" defaultMemberUniqueName="[Arrangementer].[Medarbejder_Key].[All]" allUniqueName="[Arrangementer].[Medarbejder_Key].[All]" dimensionUniqueName="[Arrangementer]" displayFolder="" count="0" unbalanced="0" hidden="1"/>
    <cacheHierarchy uniqueName="[Arrangementer].[Medlem_Key]" caption="Medlem_Key" attribute="1" defaultMemberUniqueName="[Arrangementer].[Medlem_Key].[All]" allUniqueName="[Arrangementer].[Medlem_Key].[All]" dimensionUniqueName="[Arrangementer]" displayFolder="" count="0" unbalanced="0" hidden="1"/>
    <cacheHierarchy uniqueName="[Arrangementer].[Medlemsstatus_Key]" caption="Medlemsstatus_Key" attribute="1" defaultMemberUniqueName="[Arrangementer].[Medlemsstatus_Key].[All]" allUniqueName="[Arrangementer].[Medlemsstatus_Key].[All]" dimensionUniqueName="[Arrangementer]" displayFolder="" count="0" unbalanced="0" hidden="1"/>
    <cacheHierarchy uniqueName="[Arrangementer].[Postnummer_Key]" caption="Postnummer_Key" attribute="1" defaultMemberUniqueName="[Arrangementer].[Postnummer_Key].[All]" allUniqueName="[Arrangementer].[Postnummer_Key].[All]" dimensionUniqueName="[Arrangementer]" displayFolder="" count="0" unbalanced="0" hidden="1"/>
    <cacheHierarchy uniqueName="[Arrangementer].[RapporteringsMaanedAar]" caption="RapporteringsMaanedAar" attribute="1" defaultMemberUniqueName="[Arrangementer].[RapporteringsMaanedAar].[All]" allUniqueName="[Arrangementer].[RapporteringsMaanedAar].[All]" dimensionUniqueName="[Arrangementer]" displayFolder="" count="0" unbalanced="0" hidden="1"/>
    <cacheHierarchy uniqueName="[Arrangementer].[Straks Booket]" caption="Straks Booket" attribute="1" defaultMemberUniqueName="[Arrangementer].[Straks Booket].[All]" allUniqueName="[Arrangementer].[Straks Booket].[All]" dimensionUniqueName="[Arrangementer]" displayFolder="" count="0" unbalanced="0" hidden="1"/>
    <cacheHierarchy uniqueName="[Arrangementer].[Team_Key]" caption="Team_Key" attribute="1" defaultMemberUniqueName="[Arrangementer].[Team_Key].[All]" allUniqueName="[Arrangementer].[Team_Key].[All]" dimensionUniqueName="[Arrangementer]" displayFolder="" count="0" unbalanced="0" hidden="1"/>
    <cacheHierarchy uniqueName="[Arrangementer].[Uddannelse_Key]" caption="Uddannelse_Key" attribute="1" defaultMemberUniqueName="[Arrangementer].[Uddannelse_Key].[All]" allUniqueName="[Arrangementer].[Uddannelse_Key].[All]" dimensionUniqueName="[Arrangementer]" displayFolder="" count="0" unbalanced="0" hidden="1"/>
    <cacheHierarchy uniqueName="[Arrangementer].[Uddannelsessted_Key]" caption="Uddannelsessted_Key" attribute="1" defaultMemberUniqueName="[Arrangementer].[Uddannelsessted_Key].[All]" allUniqueName="[Arrangementer].[Uddannelsessted_Key].[All]" dimensionUniqueName="[Arrangementer]" displayFolder="" count="0" unbalanced="0" hidden="1"/>
    <cacheHierarchy uniqueName="[Arrangementer].[Aarsag_Key]" caption="Aarsag_Key" attribute="1" defaultMemberUniqueName="[Arrangementer].[Aarsag_Key].[All]" allUniqueName="[Arrangementer].[Aarsag_Key].[All]" dimensionUniqueName="[Arrangementer]" displayFolder="" count="0" unbalanced="0" hidden="1"/>
    <cacheHierarchy uniqueName="[Behandlet].[Behandlet_BK]" caption="Behandlet_BK" attribute="1" defaultMemberUniqueName="[Behandlet].[Behandlet_BK].[All]" allUniqueName="[Behandlet].[Behandlet_BK].[All]" dimensionUniqueName="[Behandlet]" displayFolder="" count="0" unbalanced="0" hidden="1"/>
    <cacheHierarchy uniqueName="[Behandlet].[Behandlet_Key]" caption="Behandlet_Key" attribute="1" defaultMemberUniqueName="[Behandlet].[Behandlet_Key].[All]" allUniqueName="[Behandlet].[Behandlet_Key].[All]" dimensionUniqueName="[Behandlet]" displayFolder="" count="0" unbalanced="0" hidden="1"/>
    <cacheHierarchy uniqueName="[Betalingsstatus].[Betalingsstatus_Key]" caption="Betalingsstatus_Key" attribute="1" defaultMemberUniqueName="[Betalingsstatus].[Betalingsstatus_Key].[All]" allUniqueName="[Betalingsstatus].[Betalingsstatus_Key].[All]" dimensionUniqueName="[Betalingsstatus]" displayFolder="" count="0" unbalanced="0" hidden="1"/>
    <cacheHierarchy uniqueName="[Dato].[DagpengePeriodeNr]" caption="DagpengePeriodeNr" attribute="1" defaultMemberUniqueName="[Dato].[DagpengePeriodeNr].[All]" allUniqueName="[Dato].[DagpengePeriodeNr].[All]" dimensionUniqueName="[Dato]" displayFolder="" count="0" unbalanced="0" hidden="1"/>
    <cacheHierarchy uniqueName="[Dato].[DagpengeUgeSlut]" caption="DagpengeUgeSlut" attribute="1" defaultMemberUniqueName="[Dato].[DagpengeUgeSlut].[All]" allUniqueName="[Dato].[DagpengeUgeSlut].[All]" dimensionUniqueName="[Dato]" displayFolder="" count="0" unbalanced="0" hidden="1"/>
    <cacheHierarchy uniqueName="[Dato].[DagpengeUgeStart]" caption="DagpengeUgeStart" attribute="1" defaultMemberUniqueName="[Dato].[DagpengeUgeStart].[All]" allUniqueName="[Dato].[DagpengeUgeStart].[All]" dimensionUniqueName="[Dato]" displayFolder="" count="0" unbalanced="0" hidden="1"/>
    <cacheHierarchy uniqueName="[Dato].[MaanedNr]" caption="MaanedNr" attribute="1" defaultMemberUniqueName="[Dato].[MaanedNr].[All]" allUniqueName="[Dato].[MaanedNr].[All]" dimensionUniqueName="[Dato]" displayFolder="" count="0" unbalanced="0" hidden="1"/>
    <cacheHierarchy uniqueName="[Dato].[MaanedAar]" caption="MaanedAar" attribute="1" defaultMemberUniqueName="[Dato].[MaanedAar].[All]" allUniqueName="[Dato].[MaanedAar].[All]" dimensionUniqueName="[Dato]" displayFolder="" count="0" unbalanced="0" hidden="1"/>
    <cacheHierarchy uniqueName="[Dato].[UgedagNr]" caption="UgedagNr" attribute="1" defaultMemberUniqueName="[Dato].[UgedagNr].[All]" allUniqueName="[Dato].[UgedagNr].[All]" dimensionUniqueName="[Dato]" displayFolder="" count="0" unbalanced="0" hidden="1"/>
    <cacheHierarchy uniqueName="[Deadlinedato].[DagpengeUgeSlut]" caption="DagpengeUgeSlut" attribute="1" defaultMemberUniqueName="[Deadlinedato].[DagpengeUgeSlut].[All]" allUniqueName="[Deadlinedato].[DagpengeUgeSlut].[All]" dimensionUniqueName="[Deadlinedato]" displayFolder="" count="0" unbalanced="0" hidden="1"/>
    <cacheHierarchy uniqueName="[Deadlinedato].[DagpengeUgeStart]" caption="DagpengeUgeStart" attribute="1" defaultMemberUniqueName="[Deadlinedato].[DagpengeUgeStart].[All]" allUniqueName="[Deadlinedato].[DagpengeUgeStart].[All]" dimensionUniqueName="[Deadlinedato]" displayFolder="" count="0" unbalanced="0" hidden="1"/>
    <cacheHierarchy uniqueName="[Deadlinedato].[MånedNr]" caption="MånedNr" attribute="1" defaultMemberUniqueName="[Deadlinedato].[MånedNr].[All]" allUniqueName="[Deadlinedato].[MånedNr].[All]" dimensionUniqueName="[Deadlinedato]" displayFolder="" count="0" unbalanced="0" hidden="1"/>
    <cacheHierarchy uniqueName="[Deadlinedato].[MånedÅr]" caption="MånedÅr" attribute="1" defaultMemberUniqueName="[Deadlinedato].[MånedÅr].[All]" allUniqueName="[Deadlinedato].[MånedÅr].[All]" dimensionUniqueName="[Deadlinedato]" displayFolder="" count="0" unbalanced="0" hidden="1"/>
    <cacheHierarchy uniqueName="[Deadlinedato].[UgedagNr]" caption="UgedagNr" attribute="1" defaultMemberUniqueName="[Deadlinedato].[UgedagNr].[All]" allUniqueName="[Deadlinedato].[UgedagNr].[All]" dimensionUniqueName="[Deadlinedato]" displayFolder="" count="0" unbalanced="0" hidden="1"/>
    <cacheHierarchy uniqueName="[Dimittenddato].[Sommerdimittend]" caption="Sommerdimittend" attribute="1" defaultMemberUniqueName="[Dimittenddato].[Sommerdimittend].[All]" allUniqueName="[Dimittenddato].[Sommerdimittend].[All]" dimensionUniqueName="[Dimittenddato]" displayFolder="" count="0" unbalanced="0" hidden="1"/>
    <cacheHierarchy uniqueName="[Dimittenddato Opdateret].[Dimittenddato Opdateret]" caption="Dimittenddato Opdateret" attribute="1" defaultMemberUniqueName="[Dimittenddato Opdateret].[Dimittenddato Opdateret].[All]" allUniqueName="[Dimittenddato Opdateret].[Dimittenddato Opdateret].[All]" dimensionUniqueName="[Dimittenddato Opdateret]" displayFolder="" count="0" unbalanced="0" hidden="1"/>
    <cacheHierarchy uniqueName="[Erklæringer Opdateret].[#ErklaeringOpdateret]" caption="#ErklaeringOpdateret" attribute="1" defaultMemberUniqueName="[Erklæringer Opdateret].[#ErklaeringOpdateret].[All]" allUniqueName="[Erklæringer Opdateret].[#ErklaeringOpdateret].[All]" dimensionUniqueName="[Erklæringer Opdateret]" displayFolder="" count="0" unbalanced="0" hidden="1"/>
    <cacheHierarchy uniqueName="[Erklæringer Opdateret].[Dato]" caption="Dato" attribute="1" defaultMemberUniqueName="[Erklæringer Opdateret].[Dato].[All]" allUniqueName="[Erklæringer Opdateret].[Dato].[All]" dimensionUniqueName="[Erklæringer Opdateret]" displayFolder="" count="0" unbalanced="0" hidden="1"/>
    <cacheHierarchy uniqueName="[Erklæringer Opdateret].[Dimittend]" caption="Dimittend" attribute="1" defaultMemberUniqueName="[Erklæringer Opdateret].[Dimittend].[All]" allUniqueName="[Erklæringer Opdateret].[Dimittend].[All]" dimensionUniqueName="[Erklæringer Opdateret]" displayFolder="" count="0" unbalanced="0" hidden="1"/>
    <cacheHierarchy uniqueName="[Erklæringer Opdateret].[Erklaeringstype_Key]" caption="Erklaeringstype_Key" attribute="1" defaultMemberUniqueName="[Erklæringer Opdateret].[Erklaeringstype_Key].[All]" allUniqueName="[Erklæringer Opdateret].[Erklaeringstype_Key].[All]" dimensionUniqueName="[Erklæringer Opdateret]" displayFolder="" count="0" unbalanced="0" hidden="1"/>
    <cacheHierarchy uniqueName="[Erklæringer Opdateret].[Medlem_Key]" caption="Medlem_Key" attribute="1" defaultMemberUniqueName="[Erklæringer Opdateret].[Medlem_Key].[All]" allUniqueName="[Erklæringer Opdateret].[Medlem_Key].[All]" dimensionUniqueName="[Erklæringer Opdateret]" displayFolder="" count="0" unbalanced="0" hidden="1"/>
    <cacheHierarchy uniqueName="[Erklæringer Opdateret].[RapporteringsMaanedAar]" caption="RapporteringsMaanedAar" attribute="1" defaultMemberUniqueName="[Erklæringer Opdateret].[RapporteringsMaanedAar].[All]" allUniqueName="[Erklæringer Opdateret].[RapporteringsMaanedAar].[All]" dimensionUniqueName="[Erklæringer Opdateret]" displayFolder="" count="0" unbalanced="0" hidden="1"/>
    <cacheHierarchy uniqueName="[Erklæringstype].[Erklaeringstype_Key]" caption="Erklaeringstype_Key" attribute="1" defaultMemberUniqueName="[Erklæringstype].[Erklaeringstype_Key].[All]" allUniqueName="[Erklæringstype].[Erklaeringstype_Key].[All]" dimensionUniqueName="[Erklæringstype]" displayFolder="" count="0" unbalanced="0" hidden="1"/>
    <cacheHierarchy uniqueName="[Erklæringstype].[SortOrderAlternativErklaeringstypeGruppe]" caption="SortOrderAlternativErklaeringstypeGruppe" attribute="1" defaultMemberUniqueName="[Erklæringstype].[SortOrderAlternativErklaeringstypeGruppe].[All]" allUniqueName="[Erklæringstype].[SortOrderAlternativErklaeringstypeGruppe].[All]" dimensionUniqueName="[Erklæringstype]" displayFolder="" count="0" unbalanced="0" hidden="1"/>
    <cacheHierarchy uniqueName="[Fagligt Tilhørsforhold].[FagligtTilhoersforhold_BK]" caption="FagligtTilhoersforhold_BK" attribute="1" defaultMemberUniqueName="[Fagligt Tilhørsforhold].[FagligtTilhoersforhold_BK].[All]" allUniqueName="[Fagligt Tilhørsforhold].[FagligtTilhoersforhold_BK].[All]" dimensionUniqueName="[Fagligt Tilhørsforhold]" displayFolder="" count="0" unbalanced="0" hidden="1"/>
    <cacheHierarchy uniqueName="[Fagligt Tilhørsforhold].[FagligtTilhoersforhold_Key]" caption="FagligtTilhoersforhold_Key" attribute="1" defaultMemberUniqueName="[Fagligt Tilhørsforhold].[FagligtTilhoersforhold_Key].[All]" allUniqueName="[Fagligt Tilhørsforhold].[FagligtTilhoersforhold_Key].[All]" dimensionUniqueName="[Fagligt Tilhørsforhold]" displayFolder="" count="0" unbalanced="0" hidden="1"/>
    <cacheHierarchy uniqueName="[Fagligt Tilhørsforhold].[SortBy]" caption="SortBy" attribute="1" defaultMemberUniqueName="[Fagligt Tilhørsforhold].[SortBy].[All]" allUniqueName="[Fagligt Tilhørsforhold].[SortBy].[All]" dimensionUniqueName="[Fagligt Tilhørsforhold]" displayFolder="" count="0" unbalanced="0" hidden="1"/>
    <cacheHierarchy uniqueName="[Forløb].[Forloeb_BK]" caption="Forloeb_BK" attribute="1" defaultMemberUniqueName="[Forløb].[Forloeb_BK].[All]" allUniqueName="[Forløb].[Forloeb_BK].[All]" dimensionUniqueName="[Forløb]" displayFolder="" count="0" unbalanced="0" hidden="1"/>
    <cacheHierarchy uniqueName="[Forløb].[Forloeb_Key]" caption="Forloeb_Key" attribute="1" defaultMemberUniqueName="[Forløb].[Forloeb_Key].[All]" allUniqueName="[Forløb].[Forloeb_Key].[All]" dimensionUniqueName="[Forløb]" displayFolder="" count="0" unbalanced="0" hidden="1"/>
    <cacheHierarchy uniqueName="[Fravær].[#Fravaer]" caption="#Fravaer" attribute="1" defaultMemberUniqueName="[Fravær].[#Fravaer].[All]" allUniqueName="[Fravær].[#Fravaer].[All]" dimensionUniqueName="[Fravær]" displayFolder="" count="0" unbalanced="0" hidden="1"/>
    <cacheHierarchy uniqueName="[Fravær].[Dato]" caption="Dato" attribute="1" defaultMemberUniqueName="[Fravær].[Dato].[All]" allUniqueName="[Fravær].[Dato].[All]" dimensionUniqueName="[Fravær]" displayFolder="" count="0" unbalanced="0" hidden="1"/>
    <cacheHierarchy uniqueName="[Fravær].[FravaerID]" caption="FravaerID" attribute="1" defaultMemberUniqueName="[Fravær].[FravaerID].[All]" allUniqueName="[Fravær].[FravaerID].[All]" dimensionUniqueName="[Fravær]" displayFolder="" count="0" unbalanced="0" hidden="1"/>
    <cacheHierarchy uniqueName="[Fravær].[Fravaerskode_Key]" caption="Fravaerskode_Key" attribute="1" defaultMemberUniqueName="[Fravær].[Fravaerskode_Key].[All]" allUniqueName="[Fravær].[Fravaerskode_Key].[All]" dimensionUniqueName="[Fravær]" displayFolder="" count="0" unbalanced="0" hidden="1"/>
    <cacheHierarchy uniqueName="[Fravær].[Medarbejder_Key]" caption="Medarbejder_Key" attribute="1" defaultMemberUniqueName="[Fravær].[Medarbejder_Key].[All]" allUniqueName="[Fravær].[Medarbejder_Key].[All]" dimensionUniqueName="[Fravær]" displayFolder="" count="0" unbalanced="0" hidden="1"/>
    <cacheHierarchy uniqueName="[Fravær].[RapporteringsMaanedAar]" caption="RapporteringsMaanedAar" attribute="1" defaultMemberUniqueName="[Fravær].[RapporteringsMaanedAar].[All]" allUniqueName="[Fravær].[RapporteringsMaanedAar].[All]" dimensionUniqueName="[Fravær]" displayFolder="" count="0" unbalanced="0" hidden="1"/>
    <cacheHierarchy uniqueName="[Fravær].[Team_Key]" caption="Team_Key" attribute="1" defaultMemberUniqueName="[Fravær].[Team_Key].[All]" allUniqueName="[Fravær].[Team_Key].[All]" dimensionUniqueName="[Fravær]" displayFolder="" count="0" unbalanced="0" hidden="1"/>
    <cacheHierarchy uniqueName="[Fraværskode].[Fravaerskode_Key]" caption="Fravaerskode_Key" attribute="1" defaultMemberUniqueName="[Fraværskode].[Fravaerskode_Key].[All]" allUniqueName="[Fraværskode].[Fravaerskode_Key].[All]" dimensionUniqueName="[Fraværskode]" displayFolder="" count="0" unbalanced="0" hidden="1"/>
    <cacheHierarchy uniqueName="[HelpDeskIncident].[AfsenderMedarbejder_Key]" caption="AfsenderMedarbejder_Key" attribute="1" defaultMemberUniqueName="[HelpDeskIncident].[AfsenderMedarbejder_Key].[All]" allUniqueName="[HelpDeskIncident].[AfsenderMedarbejder_Key].[All]" dimensionUniqueName="[HelpDeskIncident]" displayFolder="" count="0" unbalanced="0" hidden="1"/>
    <cacheHierarchy uniqueName="[HelpDeskIncident].[AfsenderTeam_Key]" caption="AfsenderTeam_Key" attribute="1" defaultMemberUniqueName="[HelpDeskIncident].[AfsenderTeam_Key].[All]" allUniqueName="[HelpDeskIncident].[AfsenderTeam_Key].[All]" dimensionUniqueName="[HelpDeskIncident]" displayFolder="" count="0" unbalanced="0" hidden="1"/>
    <cacheHierarchy uniqueName="[HelpDeskIncident].[AfsluttetDato]" caption="AfsluttetDato" attribute="1" defaultMemberUniqueName="[HelpDeskIncident].[AfsluttetDato].[All]" allUniqueName="[HelpDeskIncident].[AfsluttetDato].[All]" dimensionUniqueName="[HelpDeskIncident]" displayFolder="" count="0" unbalanced="0" hidden="1"/>
    <cacheHierarchy uniqueName="[HelpDeskIncident].[AfsluttetDatoTid]" caption="AfsluttetDatoTid" attribute="1" defaultMemberUniqueName="[HelpDeskIncident].[AfsluttetDatoTid].[All]" allUniqueName="[HelpDeskIncident].[AfsluttetDatoTid].[All]" dimensionUniqueName="[HelpDeskIncident]" displayFolder="" count="0" unbalanced="0" hidden="1"/>
    <cacheHierarchy uniqueName="[HelpDeskIncident].[AnsvarligMedarbejder_Key]" caption="AnsvarligMedarbejder_Key" attribute="1" defaultMemberUniqueName="[HelpDeskIncident].[AnsvarligMedarbejder_Key].[All]" allUniqueName="[HelpDeskIncident].[AnsvarligMedarbejder_Key].[All]" dimensionUniqueName="[HelpDeskIncident]" displayFolder="" count="0" unbalanced="0" hidden="1"/>
    <cacheHierarchy uniqueName="[HelpDeskIncident].[AnsvarligTeam_Key]" caption="AnsvarligTeam_Key" attribute="1" defaultMemberUniqueName="[HelpDeskIncident].[AnsvarligTeam_Key].[All]" allUniqueName="[HelpDeskIncident].[AnsvarligTeam_Key].[All]" dimensionUniqueName="[HelpDeskIncident]" displayFolder="" count="0" unbalanced="0" hidden="1"/>
    <cacheHierarchy uniqueName="[HelpDeskIncident].[DeadlineOverholdt]" caption="DeadlineOverholdt" attribute="1" defaultMemberUniqueName="[HelpDeskIncident].[DeadlineOverholdt].[All]" allUniqueName="[HelpDeskIncident].[DeadlineOverholdt].[All]" dimensionUniqueName="[HelpDeskIncident]" displayFolder="" count="0" unbalanced="0" hidden="1"/>
    <cacheHierarchy uniqueName="[HelpDeskIncident].[IncidentKategori_Key]" caption="IncidentKategori_Key" attribute="1" defaultMemberUniqueName="[HelpDeskIncident].[IncidentKategori_Key].[All]" allUniqueName="[HelpDeskIncident].[IncidentKategori_Key].[All]" dimensionUniqueName="[HelpDeskIncident]" displayFolder="" count="0" unbalanced="0" hidden="1"/>
    <cacheHierarchy uniqueName="[HelpDeskIncident].[Incidents]" caption="Incidents" attribute="1" defaultMemberUniqueName="[HelpDeskIncident].[Incidents].[All]" allUniqueName="[HelpDeskIncident].[Incidents].[All]" dimensionUniqueName="[HelpDeskIncident]" displayFolder="" count="0" unbalanced="0" hidden="1"/>
    <cacheHierarchy uniqueName="[HelpDeskIncident].[IncidentStatus_Key]" caption="IncidentStatus_Key" attribute="1" defaultMemberUniqueName="[HelpDeskIncident].[IncidentStatus_Key].[All]" allUniqueName="[HelpDeskIncident].[IncidentStatus_Key].[All]" dimensionUniqueName="[HelpDeskIncident]" displayFolder="" count="0" unbalanced="0" hidden="1"/>
    <cacheHierarchy uniqueName="[HelpDeskIncident].[OprettelsesDato]" caption="OprettelsesDato" attribute="1" defaultMemberUniqueName="[HelpDeskIncident].[OprettelsesDato].[All]" allUniqueName="[HelpDeskIncident].[OprettelsesDato].[All]" dimensionUniqueName="[HelpDeskIncident]" displayFolder="" count="0" unbalanced="0" hidden="1"/>
    <cacheHierarchy uniqueName="[HelpDeskIncident].[OprettelsesDatoTid]" caption="OprettelsesDatoTid" attribute="1" defaultMemberUniqueName="[HelpDeskIncident].[OprettelsesDatoTid].[All]" allUniqueName="[HelpDeskIncident].[OprettelsesDatoTid].[All]" dimensionUniqueName="[HelpDeskIncident]" displayFolder="" count="0" unbalanced="0" hidden="1"/>
    <cacheHierarchy uniqueName="[HelpDeskIncident].[OprettelsesTidspunkt]" caption="OprettelsesTidspunkt" attribute="1" defaultMemberUniqueName="[HelpDeskIncident].[OprettelsesTidspunkt].[All]" allUniqueName="[HelpDeskIncident].[OprettelsesTidspunkt].[All]" dimensionUniqueName="[HelpDeskIncident]" displayFolder="" count="0" unbalanced="0" hidden="1"/>
    <cacheHierarchy uniqueName="[HelpDeskIncident].[Svartid]" caption="Svartid" attribute="1" defaultMemberUniqueName="[HelpDeskIncident].[Svartid].[All]" allUniqueName="[HelpDeskIncident].[Svartid].[All]" dimensionUniqueName="[HelpDeskIncident]" displayFolder="" count="0" unbalanced="0" hidden="1"/>
    <cacheHierarchy uniqueName="[Incident Kategori].[IncidentKategori_BK]" caption="IncidentKategori_BK" attribute="1" defaultMemberUniqueName="[Incident Kategori].[IncidentKategori_BK].[All]" allUniqueName="[Incident Kategori].[IncidentKategori_BK].[All]" dimensionUniqueName="[Incident Kategori]" displayFolder="" count="0" unbalanced="0" hidden="1"/>
    <cacheHierarchy uniqueName="[Incident Kategori].[IncidentKategori_Key]" caption="IncidentKategori_Key" attribute="1" defaultMemberUniqueName="[Incident Kategori].[IncidentKategori_Key].[All]" allUniqueName="[Incident Kategori].[IncidentKategori_Key].[All]" dimensionUniqueName="[Incident Kategori]" displayFolder="" count="0" unbalanced="0" hidden="1"/>
    <cacheHierarchy uniqueName="[Incident Status].[IncidentStatus_BK]" caption="IncidentStatus_BK" attribute="1" defaultMemberUniqueName="[Incident Status].[IncidentStatus_BK].[All]" allUniqueName="[Incident Status].[IncidentStatus_BK].[All]" dimensionUniqueName="[Incident Status]" displayFolder="" count="0" unbalanced="0" hidden="1"/>
    <cacheHierarchy uniqueName="[Incident Status].[IncidentStatus_Key]" caption="IncidentStatus_Key" attribute="1" defaultMemberUniqueName="[Incident Status].[IncidentStatus_Key].[All]" allUniqueName="[Incident Status].[IncidentStatus_Key].[All]" dimensionUniqueName="[Incident Status]" displayFolder="" count="0" unbalanced="0" hidden="1"/>
    <cacheHierarchy uniqueName="[Incident Status].[Rang]" caption="Rang" attribute="1" defaultMemberUniqueName="[Incident Status].[Rang].[All]" allUniqueName="[Incident Status].[Rang].[All]" dimensionUniqueName="[Incident Status]" displayFolder="" count="0" unbalanced="0" hidden="1"/>
    <cacheHierarchy uniqueName="[Indbetaler Til Efterløn].[IndbetalerTilEfterloen_Key]" caption="IndbetalerTilEfterloen_Key" attribute="1" defaultMemberUniqueName="[Indbetaler Til Efterløn].[IndbetalerTilEfterloen_Key].[All]" allUniqueName="[Indbetaler Til Efterløn].[IndbetalerTilEfterloen_Key].[All]" dimensionUniqueName="[Indbetaler Til Efterløn]" displayFolder="" count="0" unbalanced="0" hidden="1"/>
    <cacheHierarchy uniqueName="[Kandidatalder].[Kandidatalder_Key]" caption="Kandidatalder_Key" attribute="1" defaultMemberUniqueName="[Kandidatalder].[Kandidatalder_Key].[All]" allUniqueName="[Kandidatalder].[Kandidatalder_Key].[All]" dimensionUniqueName="[Kandidatalder]" displayFolder="" count="0" unbalanced="0" hidden="1"/>
    <cacheHierarchy uniqueName="[Klipforbrug].[KlipForbrug_Key]" caption="KlipForbrug_Key" attribute="1" defaultMemberUniqueName="[Klipforbrug].[KlipForbrug_Key].[All]" allUniqueName="[Klipforbrug].[KlipForbrug_Key].[All]" dimensionUniqueName="[Klipforbrug]" displayFolder="" count="0" unbalanced="0" hidden="1"/>
    <cacheHierarchy uniqueName="[Kommune].[Kommune_BK]" caption="Kommune_BK" attribute="1" defaultMemberUniqueName="[Kommune].[Kommune_BK].[All]" allUniqueName="[Kommune].[Kommune_BK].[All]" dimensionUniqueName="[Kommune]" displayFolder="" count="0" unbalanced="0" hidden="1"/>
    <cacheHierarchy uniqueName="[Kommune].[Kommune_Key]" caption="Kommune_Key" attribute="1" defaultMemberUniqueName="[Kommune].[Kommune_Key].[All]" allUniqueName="[Kommune].[Kommune_Key].[All]" dimensionUniqueName="[Kommune]" displayFolder="" count="0" unbalanced="0" hidden="1"/>
    <cacheHierarchy uniqueName="[Land].[Land_Key]" caption="Land_Key" attribute="1" defaultMemberUniqueName="[Land].[Land_Key].[All]" allUniqueName="[Land].[Land_Key].[All]" dimensionUniqueName="[Land]" displayFolder="" count="0" unbalanced="0" hidden="1"/>
    <cacheHierarchy uniqueName="[Ledighedstal].[#BeloebUdbetalt]" caption="#BeloebUdbetalt" attribute="1" defaultMemberUniqueName="[Ledighedstal].[#BeloebUdbetalt].[All]" allUniqueName="[Ledighedstal].[#BeloebUdbetalt].[All]" dimensionUniqueName="[Ledighedstal]" displayFolder="" count="0" unbalanced="0" hidden="1"/>
    <cacheHierarchy uniqueName="[Ledighedstal].[#KlipForbrug]" caption="#KlipForbrug" attribute="1" defaultMemberUniqueName="[Ledighedstal].[#KlipForbrug].[All]" allUniqueName="[Ledighedstal].[#KlipForbrug].[All]" dimensionUniqueName="[Ledighedstal]" displayFolder="" count="0" unbalanced="0" hidden="1"/>
    <cacheHierarchy uniqueName="[Ledighedstal].[#TimerUdbetalt]" caption="#TimerUdbetalt" attribute="1" defaultMemberUniqueName="[Ledighedstal].[#TimerUdbetalt].[All]" allUniqueName="[Ledighedstal].[#TimerUdbetalt].[All]" dimensionUniqueName="[Ledighedstal]" displayFolder="" count="0" unbalanced="0" hidden="1"/>
    <cacheHierarchy uniqueName="[Ledighedstal].[Alder_Key]" caption="Alder_Key" attribute="1" defaultMemberUniqueName="[Ledighedstal].[Alder_Key].[All]" allUniqueName="[Ledighedstal].[Alder_Key].[All]" dimensionUniqueName="[Ledighedstal]" displayFolder="" count="0" unbalanced="0" hidden="1"/>
    <cacheHierarchy uniqueName="[Ledighedstal].[AndenAkasse_Key]" caption="AndenAkasse_Key" attribute="1" defaultMemberUniqueName="[Ledighedstal].[AndenAkasse_Key].[All]" allUniqueName="[Ledighedstal].[AndenAkasse_Key].[All]" dimensionUniqueName="[Ledighedstal]" displayFolder="" count="0" unbalanced="0" hidden="1"/>
    <cacheHierarchy uniqueName="[Ledighedstal].[Betalingsstatus_Key]" caption="Betalingsstatus_Key" attribute="1" defaultMemberUniqueName="[Ledighedstal].[Betalingsstatus_Key].[All]" allUniqueName="[Ledighedstal].[Betalingsstatus_Key].[All]" dimensionUniqueName="[Ledighedstal]" displayFolder="" count="0" unbalanced="0" hidden="1"/>
    <cacheHierarchy uniqueName="[Ledighedstal].[Dimittenddato]" caption="Dimittenddato" attribute="1" defaultMemberUniqueName="[Ledighedstal].[Dimittenddato].[All]" allUniqueName="[Ledighedstal].[Dimittenddato].[All]" dimensionUniqueName="[Ledighedstal]" displayFolder="" count="0" unbalanced="0" hidden="1"/>
    <cacheHierarchy uniqueName="[Ledighedstal].[Dimittendledig]" caption="Dimittendledig" attribute="1" defaultMemberUniqueName="[Ledighedstal].[Dimittendledig].[All]" allUniqueName="[Ledighedstal].[Dimittendledig].[All]" dimensionUniqueName="[Ledighedstal]" displayFolder="" count="0" unbalanced="0" hidden="1"/>
    <cacheHierarchy uniqueName="[Ledighedstal].[FagligtTilhoersforhold_Key]" caption="FagligtTilhoersforhold_Key" attribute="1" defaultMemberUniqueName="[Ledighedstal].[FagligtTilhoersforhold_Key].[All]" allUniqueName="[Ledighedstal].[FagligtTilhoersforhold_Key].[All]" dimensionUniqueName="[Ledighedstal]" displayFolder="" count="0" unbalanced="0" hidden="1"/>
    <cacheHierarchy uniqueName="[Ledighedstal].[IndbetalerTilEfterloen_Key]" caption="IndbetalerTilEfterloen_Key" attribute="1" defaultMemberUniqueName="[Ledighedstal].[IndbetalerTilEfterloen_Key].[All]" allUniqueName="[Ledighedstal].[IndbetalerTilEfterloen_Key].[All]" dimensionUniqueName="[Ledighedstal]" displayFolder="" count="0" unbalanced="0" hidden="1"/>
    <cacheHierarchy uniqueName="[Ledighedstal].[KandidatAlder_Key]" caption="KandidatAlder_Key" attribute="1" defaultMemberUniqueName="[Ledighedstal].[KandidatAlder_Key].[All]" allUniqueName="[Ledighedstal].[KandidatAlder_Key].[All]" dimensionUniqueName="[Ledighedstal]" displayFolder="" count="0" unbalanced="0" hidden="1"/>
    <cacheHierarchy uniqueName="[Ledighedstal].[KlipForbrugTotal]" caption="KlipForbrugTotal" attribute="1" defaultMemberUniqueName="[Ledighedstal].[KlipForbrugTotal].[All]" allUniqueName="[Ledighedstal].[KlipForbrugTotal].[All]" dimensionUniqueName="[Ledighedstal]" displayFolder="" count="0" unbalanced="0" hidden="1"/>
    <cacheHierarchy uniqueName="[Ledighedstal].[Kommune_Key]" caption="Kommune_Key" attribute="1" defaultMemberUniqueName="[Ledighedstal].[Kommune_Key].[All]" allUniqueName="[Ledighedstal].[Kommune_Key].[All]" dimensionUniqueName="[Ledighedstal]" displayFolder="" count="0" unbalanced="0" hidden="1"/>
    <cacheHierarchy uniqueName="[Ledighedstal].[Land_Key]" caption="Land_Key" attribute="1" defaultMemberUniqueName="[Ledighedstal].[Land_Key].[All]" allUniqueName="[Ledighedstal].[Land_Key].[All]" dimensionUniqueName="[Ledighedstal]" displayFolder="" count="0" unbalanced="0" hidden="1"/>
    <cacheHierarchy uniqueName="[Ledighedstal].[Langtidsledig]" caption="Langtidsledig" attribute="1" defaultMemberUniqueName="[Ledighedstal].[Langtidsledig].[All]" allUniqueName="[Ledighedstal].[Langtidsledig].[All]" dimensionUniqueName="[Ledighedstal]" displayFolder="" count="0" unbalanced="0" hidden="1"/>
    <cacheHierarchy uniqueName="[Ledighedstal].[Ledighedsberoert]" caption="Ledighedsberoert" attribute="1" defaultMemberUniqueName="[Ledighedstal].[Ledighedsberoert].[All]" allUniqueName="[Ledighedstal].[Ledighedsberoert].[All]" dimensionUniqueName="[Ledighedstal]" displayFolder="" count="0" unbalanced="0" hidden="1"/>
    <cacheHierarchy uniqueName="[Ledighedstal].[Medlem_Key]" caption="Medlem_Key" attribute="1" defaultMemberUniqueName="[Ledighedstal].[Medlem_Key].[All]" allUniqueName="[Ledighedstal].[Medlem_Key].[All]" dimensionUniqueName="[Ledighedstal]" displayFolder="" count="0" unbalanced="0" hidden="1"/>
    <cacheHierarchy uniqueName="[Ledighedstal].[Medlemsstatus_Key]" caption="Medlemsstatus_Key" attribute="1" defaultMemberUniqueName="[Ledighedstal].[Medlemsstatus_Key].[All]" allUniqueName="[Ledighedstal].[Medlemsstatus_Key].[All]" dimensionUniqueName="[Ledighedstal]" displayFolder="" count="0" unbalanced="0" hidden="1"/>
    <cacheHierarchy uniqueName="[Ledighedstal].[Nyledig]" caption="Nyledig" attribute="1" defaultMemberUniqueName="[Ledighedstal].[Nyledig].[All]" allUniqueName="[Ledighedstal].[Nyledig].[All]" dimensionUniqueName="[Ledighedstal]" displayFolder="" count="0" unbalanced="0" hidden="1"/>
    <cacheHierarchy uniqueName="[Ledighedstal].[Postnummer_Key]" caption="Postnummer_Key" attribute="1" defaultMemberUniqueName="[Ledighedstal].[Postnummer_Key].[All]" allUniqueName="[Ledighedstal].[Postnummer_Key].[All]" dimensionUniqueName="[Ledighedstal]" displayFolder="" count="0" unbalanced="0" hidden="1"/>
    <cacheHierarchy uniqueName="[Ledighedstal].[RapporteringsMaanedAar]" caption="RapporteringsMaanedAar" attribute="1" defaultMemberUniqueName="[Ledighedstal].[RapporteringsMaanedAar].[All]" allUniqueName="[Ledighedstal].[RapporteringsMaanedAar].[All]" dimensionUniqueName="[Ledighedstal]" displayFolder="" count="0" unbalanced="0" hidden="1"/>
    <cacheHierarchy uniqueName="[Ledighedstal].[Uddannelse_Key]" caption="Uddannelse_Key" attribute="1" defaultMemberUniqueName="[Ledighedstal].[Uddannelse_Key].[All]" allUniqueName="[Ledighedstal].[Uddannelse_Key].[All]" dimensionUniqueName="[Ledighedstal]" displayFolder="" count="0" unbalanced="0" hidden="1"/>
    <cacheHierarchy uniqueName="[Ledighedstal].[Uddannelsesretning_Key]" caption="Uddannelsesretning_Key" attribute="1" defaultMemberUniqueName="[Ledighedstal].[Uddannelsesretning_Key].[All]" allUniqueName="[Ledighedstal].[Uddannelsesretning_Key].[All]" dimensionUniqueName="[Ledighedstal]" displayFolder="" count="0" unbalanced="0" hidden="1"/>
    <cacheHierarchy uniqueName="[Ledighedstal].[Uddannelsessted_Key]" caption="Uddannelsessted_Key" attribute="1" defaultMemberUniqueName="[Ledighedstal].[Uddannelsessted_Key].[All]" allUniqueName="[Ledighedstal].[Uddannelsessted_Key].[All]" dimensionUniqueName="[Ledighedstal]" displayFolder="" count="0" unbalanced="0" hidden="1"/>
    <cacheHierarchy uniqueName="[Ledighedstal].[Udfaldet]" caption="Udfaldet" attribute="1" defaultMemberUniqueName="[Ledighedstal].[Udfaldet].[All]" allUniqueName="[Ledighedstal].[Udfaldet].[All]" dimensionUniqueName="[Ledighedstal]" displayFolder="" count="0" unbalanced="0" hidden="1"/>
    <cacheHierarchy uniqueName="[Ledighedstal].[Udfaldstruet]" caption="Udfaldstruet" attribute="1" defaultMemberUniqueName="[Ledighedstal].[Udfaldstruet].[All]" allUniqueName="[Ledighedstal].[Udfaldstruet].[All]" dimensionUniqueName="[Ledighedstal]" displayFolder="" count="0" unbalanced="0" hidden="1"/>
    <cacheHierarchy uniqueName="[Ledighedstal].[Ydelsestype_Key]" caption="Ydelsestype_Key" attribute="1" defaultMemberUniqueName="[Ledighedstal].[Ydelsestype_Key].[All]" allUniqueName="[Ledighedstal].[Ydelsestype_Key].[All]" dimensionUniqueName="[Ledighedstal]" displayFolder="" count="0" unbalanced="0" hidden="1"/>
    <cacheHierarchy uniqueName="[Ledighedstal].[Aarsag_Key]" caption="Aarsag_Key" attribute="1" defaultMemberUniqueName="[Ledighedstal].[Aarsag_Key].[All]" allUniqueName="[Ledighedstal].[Aarsag_Key].[All]" dimensionUniqueName="[Ledighedstal]" displayFolder="" count="0" unbalanced="0" hidden="1"/>
    <cacheHierarchy uniqueName="[Ledighedstal 12 måneder].[Alder_Key]" caption="Alder_Key" attribute="1" defaultMemberUniqueName="[Ledighedstal 12 måneder].[Alder_Key].[All]" allUniqueName="[Ledighedstal 12 måneder].[Alder_Key].[All]" dimensionUniqueName="[Ledighedstal 12 måneder]" displayFolder="" count="0" unbalanced="0" hidden="1"/>
    <cacheHierarchy uniqueName="[Ledighedstal 12 måneder].[AndenAkasse_Key]" caption="AndenAkasse_Key" attribute="1" defaultMemberUniqueName="[Ledighedstal 12 måneder].[AndenAkasse_Key].[All]" allUniqueName="[Ledighedstal 12 måneder].[AndenAkasse_Key].[All]" dimensionUniqueName="[Ledighedstal 12 måneder]" displayFolder="" count="0" unbalanced="0" hidden="1"/>
    <cacheHierarchy uniqueName="[Ledighedstal 12 måneder].[Betalingsstatus_Key]" caption="Betalingsstatus_Key" attribute="1" defaultMemberUniqueName="[Ledighedstal 12 måneder].[Betalingsstatus_Key].[All]" allUniqueName="[Ledighedstal 12 måneder].[Betalingsstatus_Key].[All]" dimensionUniqueName="[Ledighedstal 12 måneder]" displayFolder="" count="0" unbalanced="0" hidden="1"/>
    <cacheHierarchy uniqueName="[Ledighedstal 12 måneder].[DimittendDato]" caption="DimittendDato" attribute="1" defaultMemberUniqueName="[Ledighedstal 12 måneder].[DimittendDato].[All]" allUniqueName="[Ledighedstal 12 måneder].[DimittendDato].[All]" dimensionUniqueName="[Ledighedstal 12 måneder]" displayFolder="" count="0" unbalanced="0" hidden="1"/>
    <cacheHierarchy uniqueName="[Ledighedstal 12 måneder].[Dimittendledig]" caption="Dimittendledig" attribute="1" defaultMemberUniqueName="[Ledighedstal 12 måneder].[Dimittendledig].[All]" allUniqueName="[Ledighedstal 12 måneder].[Dimittendledig].[All]" dimensionUniqueName="[Ledighedstal 12 måneder]" displayFolder="" count="0" unbalanced="0" hidden="1"/>
    <cacheHierarchy uniqueName="[Ledighedstal 12 måneder].[FagligtTilhoersforhold_Key]" caption="FagligtTilhoersforhold_Key" attribute="1" defaultMemberUniqueName="[Ledighedstal 12 måneder].[FagligtTilhoersforhold_Key].[All]" allUniqueName="[Ledighedstal 12 måneder].[FagligtTilhoersforhold_Key].[All]" dimensionUniqueName="[Ledighedstal 12 måneder]" displayFolder="" count="0" unbalanced="0" hidden="1"/>
    <cacheHierarchy uniqueName="[Ledighedstal 12 måneder].[IndbetalerTilEfterloen_Key]" caption="IndbetalerTilEfterloen_Key" attribute="1" defaultMemberUniqueName="[Ledighedstal 12 måneder].[IndbetalerTilEfterloen_Key].[All]" allUniqueName="[Ledighedstal 12 måneder].[IndbetalerTilEfterloen_Key].[All]" dimensionUniqueName="[Ledighedstal 12 måneder]" displayFolder="" count="0" unbalanced="0" hidden="1"/>
    <cacheHierarchy uniqueName="[Ledighedstal 12 måneder].[KandidatAlder_Key]" caption="KandidatAlder_Key" attribute="1" defaultMemberUniqueName="[Ledighedstal 12 måneder].[KandidatAlder_Key].[All]" allUniqueName="[Ledighedstal 12 måneder].[KandidatAlder_Key].[All]" dimensionUniqueName="[Ledighedstal 12 måneder]" displayFolder="" count="0" unbalanced="0" hidden="1"/>
    <cacheHierarchy uniqueName="[Ledighedstal 12 måneder].[Kommune_Key]" caption="Kommune_Key" attribute="1" defaultMemberUniqueName="[Ledighedstal 12 måneder].[Kommune_Key].[All]" allUniqueName="[Ledighedstal 12 måneder].[Kommune_Key].[All]" dimensionUniqueName="[Ledighedstal 12 måneder]" displayFolder="" count="0" unbalanced="0" hidden="1"/>
    <cacheHierarchy uniqueName="[Ledighedstal 12 måneder].[Land_Key]" caption="Land_Key" attribute="1" defaultMemberUniqueName="[Ledighedstal 12 måneder].[Land_Key].[All]" allUniqueName="[Ledighedstal 12 måneder].[Land_Key].[All]" dimensionUniqueName="[Ledighedstal 12 måneder]" displayFolder="" count="0" unbalanced="0" hidden="1"/>
    <cacheHierarchy uniqueName="[Ledighedstal 12 måneder].[Langtidsledig]" caption="Langtidsledig" attribute="1" defaultMemberUniqueName="[Ledighedstal 12 måneder].[Langtidsledig].[All]" allUniqueName="[Ledighedstal 12 måneder].[Langtidsledig].[All]" dimensionUniqueName="[Ledighedstal 12 måneder]" displayFolder="" count="0" unbalanced="0" hidden="1"/>
    <cacheHierarchy uniqueName="[Ledighedstal 12 måneder].[Ledighedsberoert]" caption="Ledighedsberoert" attribute="1" defaultMemberUniqueName="[Ledighedstal 12 måneder].[Ledighedsberoert].[All]" allUniqueName="[Ledighedstal 12 måneder].[Ledighedsberoert].[All]" dimensionUniqueName="[Ledighedstal 12 måneder]" displayFolder="" count="0" unbalanced="0" hidden="1"/>
    <cacheHierarchy uniqueName="[Ledighedstal 12 måneder].[Medlem_Key]" caption="Medlem_Key" attribute="1" defaultMemberUniqueName="[Ledighedstal 12 måneder].[Medlem_Key].[All]" allUniqueName="[Ledighedstal 12 måneder].[Medlem_Key].[All]" dimensionUniqueName="[Ledighedstal 12 måneder]" displayFolder="" count="0" unbalanced="0" hidden="1"/>
    <cacheHierarchy uniqueName="[Ledighedstal 12 måneder].[Medlemsstatus_Key]" caption="Medlemsstatus_Key" attribute="1" defaultMemberUniqueName="[Ledighedstal 12 måneder].[Medlemsstatus_Key].[All]" allUniqueName="[Ledighedstal 12 måneder].[Medlemsstatus_Key].[All]" dimensionUniqueName="[Ledighedstal 12 måneder]" displayFolder="" count="0" unbalanced="0" hidden="1"/>
    <cacheHierarchy uniqueName="[Ledighedstal 12 måneder].[Nyledig]" caption="Nyledig" attribute="1" defaultMemberUniqueName="[Ledighedstal 12 måneder].[Nyledig].[All]" allUniqueName="[Ledighedstal 12 måneder].[Nyledig].[All]" dimensionUniqueName="[Ledighedstal 12 måneder]" displayFolder="" count="0" unbalanced="0" hidden="1"/>
    <cacheHierarchy uniqueName="[Ledighedstal 12 måneder].[Postnummer_Key]" caption="Postnummer_Key" attribute="1" defaultMemberUniqueName="[Ledighedstal 12 måneder].[Postnummer_Key].[All]" allUniqueName="[Ledighedstal 12 måneder].[Postnummer_Key].[All]" dimensionUniqueName="[Ledighedstal 12 måneder]" displayFolder="" count="0" unbalanced="0" hidden="1"/>
    <cacheHierarchy uniqueName="[Ledighedstal 12 måneder].[RapporteringsMaaned]" caption="RapporteringsMaaned" attribute="1" defaultMemberUniqueName="[Ledighedstal 12 måneder].[RapporteringsMaaned].[All]" allUniqueName="[Ledighedstal 12 måneder].[RapporteringsMaaned].[All]" dimensionUniqueName="[Ledighedstal 12 måneder]" displayFolder="" count="0" unbalanced="0" hidden="1"/>
    <cacheHierarchy uniqueName="[Ledighedstal 12 måneder].[TimerUdbetalt]" caption="TimerUdbetalt" attribute="1" defaultMemberUniqueName="[Ledighedstal 12 måneder].[TimerUdbetalt].[All]" allUniqueName="[Ledighedstal 12 måneder].[TimerUdbetalt].[All]" dimensionUniqueName="[Ledighedstal 12 måneder]" displayFolder="" count="0" unbalanced="0" hidden="1"/>
    <cacheHierarchy uniqueName="[Ledighedstal 12 måneder].[Uddannelse_Key]" caption="Uddannelse_Key" attribute="1" defaultMemberUniqueName="[Ledighedstal 12 måneder].[Uddannelse_Key].[All]" allUniqueName="[Ledighedstal 12 måneder].[Uddannelse_Key].[All]" dimensionUniqueName="[Ledighedstal 12 måneder]" displayFolder="" count="0" unbalanced="0" hidden="1"/>
    <cacheHierarchy uniqueName="[Ledighedstal 12 måneder].[Uddannelsesretning_Key]" caption="Uddannelsesretning_Key" attribute="1" defaultMemberUniqueName="[Ledighedstal 12 måneder].[Uddannelsesretning_Key].[All]" allUniqueName="[Ledighedstal 12 måneder].[Uddannelsesretning_Key].[All]" dimensionUniqueName="[Ledighedstal 12 måneder]" displayFolder="" count="0" unbalanced="0" hidden="1"/>
    <cacheHierarchy uniqueName="[Ledighedstal 12 måneder].[Uddannelsessted_Key]" caption="Uddannelsessted_Key" attribute="1" defaultMemberUniqueName="[Ledighedstal 12 måneder].[Uddannelsessted_Key].[All]" allUniqueName="[Ledighedstal 12 måneder].[Uddannelsessted_Key].[All]" dimensionUniqueName="[Ledighedstal 12 måneder]" displayFolder="" count="0" unbalanced="0" hidden="1"/>
    <cacheHierarchy uniqueName="[Ledighedstal 12 måneder].[Udfaldet]" caption="Udfaldet" attribute="1" defaultMemberUniqueName="[Ledighedstal 12 måneder].[Udfaldet].[All]" allUniqueName="[Ledighedstal 12 måneder].[Udfaldet].[All]" dimensionUniqueName="[Ledighedstal 12 måneder]" displayFolder="" count="0" unbalanced="0" hidden="1"/>
    <cacheHierarchy uniqueName="[Ledighedstal 12 måneder].[Udfaldstruet]" caption="Udfaldstruet" attribute="1" defaultMemberUniqueName="[Ledighedstal 12 måneder].[Udfaldstruet].[All]" allUniqueName="[Ledighedstal 12 måneder].[Udfaldstruet].[All]" dimensionUniqueName="[Ledighedstal 12 måneder]" displayFolder="" count="0" unbalanced="0" hidden="1"/>
    <cacheHierarchy uniqueName="[Ledighedstal 12 måneder].[Ydelsestype_Key]" caption="Ydelsestype_Key" attribute="1" defaultMemberUniqueName="[Ledighedstal 12 måneder].[Ydelsestype_Key].[All]" allUniqueName="[Ledighedstal 12 måneder].[Ydelsestype_Key].[All]" dimensionUniqueName="[Ledighedstal 12 måneder]" displayFolder="" count="0" unbalanced="0" hidden="1"/>
    <cacheHierarchy uniqueName="[Ledighedstal 12 måneder].[Aarsag_Key]" caption="Aarsag_Key" attribute="1" defaultMemberUniqueName="[Ledighedstal 12 måneder].[Aarsag_Key].[All]" allUniqueName="[Ledighedstal 12 måneder].[Aarsag_Key].[All]" dimensionUniqueName="[Ledighedstal 12 måneder]" displayFolder="" count="0" unbalanced="0" hidden="1"/>
    <cacheHierarchy uniqueName="[Ledighedstal Kvartal].[#TimerUdbetalt]" caption="#TimerUdbetalt" attribute="1" defaultMemberUniqueName="[Ledighedstal Kvartal].[#TimerUdbetalt].[All]" allUniqueName="[Ledighedstal Kvartal].[#TimerUdbetalt].[All]" dimensionUniqueName="[Ledighedstal Kvartal]" displayFolder="" count="0" unbalanced="0" hidden="1"/>
    <cacheHierarchy uniqueName="[Ledighedstal Kvartal].[Alder_Key]" caption="Alder_Key" attribute="1" defaultMemberUniqueName="[Ledighedstal Kvartal].[Alder_Key].[All]" allUniqueName="[Ledighedstal Kvartal].[Alder_Key].[All]" dimensionUniqueName="[Ledighedstal Kvartal]" displayFolder="" count="0" unbalanced="0" hidden="1"/>
    <cacheHierarchy uniqueName="[Ledighedstal Kvartal].[AndenAkasse_Key]" caption="AndenAkasse_Key" attribute="1" defaultMemberUniqueName="[Ledighedstal Kvartal].[AndenAkasse_Key].[All]" allUniqueName="[Ledighedstal Kvartal].[AndenAkasse_Key].[All]" dimensionUniqueName="[Ledighedstal Kvartal]" displayFolder="" count="0" unbalanced="0" hidden="1"/>
    <cacheHierarchy uniqueName="[Ledighedstal Kvartal].[Betalingsstatus_Key]" caption="Betalingsstatus_Key" attribute="1" defaultMemberUniqueName="[Ledighedstal Kvartal].[Betalingsstatus_Key].[All]" allUniqueName="[Ledighedstal Kvartal].[Betalingsstatus_Key].[All]" dimensionUniqueName="[Ledighedstal Kvartal]" displayFolder="" count="0" unbalanced="0" hidden="1"/>
    <cacheHierarchy uniqueName="[Ledighedstal Kvartal].[DimittendDato]" caption="DimittendDato" attribute="1" defaultMemberUniqueName="[Ledighedstal Kvartal].[DimittendDato].[All]" allUniqueName="[Ledighedstal Kvartal].[DimittendDato].[All]" dimensionUniqueName="[Ledighedstal Kvartal]" displayFolder="" count="0" unbalanced="0" hidden="1"/>
    <cacheHierarchy uniqueName="[Ledighedstal Kvartal].[Dimittendledig]" caption="Dimittendledig" attribute="1" defaultMemberUniqueName="[Ledighedstal Kvartal].[Dimittendledig].[All]" allUniqueName="[Ledighedstal Kvartal].[Dimittendledig].[All]" dimensionUniqueName="[Ledighedstal Kvartal]" displayFolder="" count="0" unbalanced="0" hidden="1"/>
    <cacheHierarchy uniqueName="[Ledighedstal Kvartal].[FagligtTilhoersforhold_Key]" caption="FagligtTilhoersforhold_Key" attribute="1" defaultMemberUniqueName="[Ledighedstal Kvartal].[FagligtTilhoersforhold_Key].[All]" allUniqueName="[Ledighedstal Kvartal].[FagligtTilhoersforhold_Key].[All]" dimensionUniqueName="[Ledighedstal Kvartal]" displayFolder="" count="0" unbalanced="0" hidden="1"/>
    <cacheHierarchy uniqueName="[Ledighedstal Kvartal].[IndbetalerTilEfterloen_Key]" caption="IndbetalerTilEfterloen_Key" attribute="1" defaultMemberUniqueName="[Ledighedstal Kvartal].[IndbetalerTilEfterloen_Key].[All]" allUniqueName="[Ledighedstal Kvartal].[IndbetalerTilEfterloen_Key].[All]" dimensionUniqueName="[Ledighedstal Kvartal]" displayFolder="" count="0" unbalanced="0" hidden="1"/>
    <cacheHierarchy uniqueName="[Ledighedstal Kvartal].[KandidatAlder_Key]" caption="KandidatAlder_Key" attribute="1" defaultMemberUniqueName="[Ledighedstal Kvartal].[KandidatAlder_Key].[All]" allUniqueName="[Ledighedstal Kvartal].[KandidatAlder_Key].[All]" dimensionUniqueName="[Ledighedstal Kvartal]" displayFolder="" count="0" unbalanced="0" hidden="1"/>
    <cacheHierarchy uniqueName="[Ledighedstal Kvartal].[Kommune_Key]" caption="Kommune_Key" attribute="1" defaultMemberUniqueName="[Ledighedstal Kvartal].[Kommune_Key].[All]" allUniqueName="[Ledighedstal Kvartal].[Kommune_Key].[All]" dimensionUniqueName="[Ledighedstal Kvartal]" displayFolder="" count="0" unbalanced="0" hidden="1"/>
    <cacheHierarchy uniqueName="[Ledighedstal Kvartal].[Land_Key]" caption="Land_Key" attribute="1" defaultMemberUniqueName="[Ledighedstal Kvartal].[Land_Key].[All]" allUniqueName="[Ledighedstal Kvartal].[Land_Key].[All]" dimensionUniqueName="[Ledighedstal Kvartal]" displayFolder="" count="0" unbalanced="0" hidden="1"/>
    <cacheHierarchy uniqueName="[Ledighedstal Kvartal].[Langtidsledig]" caption="Langtidsledig" attribute="1" defaultMemberUniqueName="[Ledighedstal Kvartal].[Langtidsledig].[All]" allUniqueName="[Ledighedstal Kvartal].[Langtidsledig].[All]" dimensionUniqueName="[Ledighedstal Kvartal]" displayFolder="" count="0" unbalanced="0" hidden="1"/>
    <cacheHierarchy uniqueName="[Ledighedstal Kvartal].[Ledighedsberoert]" caption="Ledighedsberoert" attribute="1" defaultMemberUniqueName="[Ledighedstal Kvartal].[Ledighedsberoert].[All]" allUniqueName="[Ledighedstal Kvartal].[Ledighedsberoert].[All]" dimensionUniqueName="[Ledighedstal Kvartal]" displayFolder="" count="0" unbalanced="0" hidden="1"/>
    <cacheHierarchy uniqueName="[Ledighedstal Kvartal].[Medlem_Key]" caption="Medlem_Key" attribute="1" defaultMemberUniqueName="[Ledighedstal Kvartal].[Medlem_Key].[All]" allUniqueName="[Ledighedstal Kvartal].[Medlem_Key].[All]" dimensionUniqueName="[Ledighedstal Kvartal]" displayFolder="" count="0" unbalanced="0" hidden="1"/>
    <cacheHierarchy uniqueName="[Ledighedstal Kvartal].[Medlemsstatus_Key]" caption="Medlemsstatus_Key" attribute="1" defaultMemberUniqueName="[Ledighedstal Kvartal].[Medlemsstatus_Key].[All]" allUniqueName="[Ledighedstal Kvartal].[Medlemsstatus_Key].[All]" dimensionUniqueName="[Ledighedstal Kvartal]" displayFolder="" count="0" unbalanced="0" hidden="1"/>
    <cacheHierarchy uniqueName="[Ledighedstal Kvartal].[Nyledig]" caption="Nyledig" attribute="1" defaultMemberUniqueName="[Ledighedstal Kvartal].[Nyledig].[All]" allUniqueName="[Ledighedstal Kvartal].[Nyledig].[All]" dimensionUniqueName="[Ledighedstal Kvartal]" displayFolder="" count="0" unbalanced="0" hidden="1"/>
    <cacheHierarchy uniqueName="[Ledighedstal Kvartal].[Postnummer_Key]" caption="Postnummer_Key" attribute="1" defaultMemberUniqueName="[Ledighedstal Kvartal].[Postnummer_Key].[All]" allUniqueName="[Ledighedstal Kvartal].[Postnummer_Key].[All]" dimensionUniqueName="[Ledighedstal Kvartal]" displayFolder="" count="0" unbalanced="0" hidden="1"/>
    <cacheHierarchy uniqueName="[Ledighedstal Kvartal].[RapporteringsKvartalAar]" caption="RapporteringsKvartalAar" attribute="1" defaultMemberUniqueName="[Ledighedstal Kvartal].[RapporteringsKvartalAar].[All]" allUniqueName="[Ledighedstal Kvartal].[RapporteringsKvartalAar].[All]" dimensionUniqueName="[Ledighedstal Kvartal]" displayFolder="" count="0" unbalanced="0" hidden="1"/>
    <cacheHierarchy uniqueName="[Ledighedstal Kvartal].[Uddannelse_Key]" caption="Uddannelse_Key" attribute="1" defaultMemberUniqueName="[Ledighedstal Kvartal].[Uddannelse_Key].[All]" allUniqueName="[Ledighedstal Kvartal].[Uddannelse_Key].[All]" dimensionUniqueName="[Ledighedstal Kvartal]" displayFolder="" count="0" unbalanced="0" hidden="1"/>
    <cacheHierarchy uniqueName="[Ledighedstal Kvartal].[Uddannelsesretning_Key]" caption="Uddannelsesretning_Key" attribute="1" defaultMemberUniqueName="[Ledighedstal Kvartal].[Uddannelsesretning_Key].[All]" allUniqueName="[Ledighedstal Kvartal].[Uddannelsesretning_Key].[All]" dimensionUniqueName="[Ledighedstal Kvartal]" displayFolder="" count="0" unbalanced="0" hidden="1"/>
    <cacheHierarchy uniqueName="[Ledighedstal Kvartal].[Uddannelsessted_Key]" caption="Uddannelsessted_Key" attribute="1" defaultMemberUniqueName="[Ledighedstal Kvartal].[Uddannelsessted_Key].[All]" allUniqueName="[Ledighedstal Kvartal].[Uddannelsessted_Key].[All]" dimensionUniqueName="[Ledighedstal Kvartal]" displayFolder="" count="0" unbalanced="0" hidden="1"/>
    <cacheHierarchy uniqueName="[Ledighedstal Kvartal].[Udfaldet]" caption="Udfaldet" attribute="1" defaultMemberUniqueName="[Ledighedstal Kvartal].[Udfaldet].[All]" allUniqueName="[Ledighedstal Kvartal].[Udfaldet].[All]" dimensionUniqueName="[Ledighedstal Kvartal]" displayFolder="" count="0" unbalanced="0" hidden="1"/>
    <cacheHierarchy uniqueName="[Ledighedstal Kvartal].[Udfaldstruet]" caption="Udfaldstruet" attribute="1" defaultMemberUniqueName="[Ledighedstal Kvartal].[Udfaldstruet].[All]" allUniqueName="[Ledighedstal Kvartal].[Udfaldstruet].[All]" dimensionUniqueName="[Ledighedstal Kvartal]" displayFolder="" count="0" unbalanced="0" hidden="1"/>
    <cacheHierarchy uniqueName="[Ledighedstal Kvartal].[Ydelsestype_Key]" caption="Ydelsestype_Key" attribute="1" defaultMemberUniqueName="[Ledighedstal Kvartal].[Ydelsestype_Key].[All]" allUniqueName="[Ledighedstal Kvartal].[Ydelsestype_Key].[All]" dimensionUniqueName="[Ledighedstal Kvartal]" displayFolder="" count="0" unbalanced="0" hidden="1"/>
    <cacheHierarchy uniqueName="[Ledighedstal Kvartal].[Aarsag_Key]" caption="Aarsag_Key" attribute="1" defaultMemberUniqueName="[Ledighedstal Kvartal].[Aarsag_Key].[All]" allUniqueName="[Ledighedstal Kvartal].[Aarsag_Key].[All]" dimensionUniqueName="[Ledighedstal Kvartal]" displayFolder="" count="0" unbalanced="0" hidden="1"/>
    <cacheHierarchy uniqueName="[Ledighedstal Opdateret].[#BeloebUdbetalt]" caption="#BeloebUdbetalt" attribute="1" defaultMemberUniqueName="[Ledighedstal Opdateret].[#BeloebUdbetalt].[All]" allUniqueName="[Ledighedstal Opdateret].[#BeloebUdbetalt].[All]" dimensionUniqueName="[Ledighedstal Opdateret]" displayFolder="" count="0" unbalanced="0" hidden="1"/>
    <cacheHierarchy uniqueName="[Ledighedstal Opdateret].[#KlipForbrug]" caption="#KlipForbrug" attribute="1" defaultMemberUniqueName="[Ledighedstal Opdateret].[#KlipForbrug].[All]" allUniqueName="[Ledighedstal Opdateret].[#KlipForbrug].[All]" dimensionUniqueName="[Ledighedstal Opdateret]" displayFolder="" count="0" unbalanced="0" hidden="1"/>
    <cacheHierarchy uniqueName="[Ledighedstal Opdateret].[#TimerUdbetalt]" caption="#TimerUdbetalt" attribute="1" defaultMemberUniqueName="[Ledighedstal Opdateret].[#TimerUdbetalt].[All]" allUniqueName="[Ledighedstal Opdateret].[#TimerUdbetalt].[All]" dimensionUniqueName="[Ledighedstal Opdateret]" displayFolder="" count="0" unbalanced="0" hidden="1"/>
    <cacheHierarchy uniqueName="[Ledighedstal Opdateret].[Alder_Key]" caption="Alder_Key" attribute="1" defaultMemberUniqueName="[Ledighedstal Opdateret].[Alder_Key].[All]" allUniqueName="[Ledighedstal Opdateret].[Alder_Key].[All]" dimensionUniqueName="[Ledighedstal Opdateret]" displayFolder="" count="0" unbalanced="0" hidden="1"/>
    <cacheHierarchy uniqueName="[Ledighedstal Opdateret].[AndenAkasse_Key]" caption="AndenAkasse_Key" attribute="1" defaultMemberUniqueName="[Ledighedstal Opdateret].[AndenAkasse_Key].[All]" allUniqueName="[Ledighedstal Opdateret].[AndenAkasse_Key].[All]" dimensionUniqueName="[Ledighedstal Opdateret]" displayFolder="" count="0" unbalanced="0" hidden="1"/>
    <cacheHierarchy uniqueName="[Ledighedstal Opdateret].[Betalingsstatus_Key]" caption="Betalingsstatus_Key" attribute="1" defaultMemberUniqueName="[Ledighedstal Opdateret].[Betalingsstatus_Key].[All]" allUniqueName="[Ledighedstal Opdateret].[Betalingsstatus_Key].[All]" dimensionUniqueName="[Ledighedstal Opdateret]" displayFolder="" count="0" unbalanced="0" hidden="1"/>
    <cacheHierarchy uniqueName="[Ledighedstal Opdateret].[Dato]" caption="Dato" attribute="1" defaultMemberUniqueName="[Ledighedstal Opdateret].[Dato].[All]" allUniqueName="[Ledighedstal Opdateret].[Dato].[All]" dimensionUniqueName="[Ledighedstal Opdateret]" displayFolder="" count="0" unbalanced="0" hidden="1"/>
    <cacheHierarchy uniqueName="[Ledighedstal Opdateret].[Dimittenddato]" caption="Dimittenddato" attribute="1" defaultMemberUniqueName="[Ledighedstal Opdateret].[Dimittenddato].[All]" allUniqueName="[Ledighedstal Opdateret].[Dimittenddato].[All]" dimensionUniqueName="[Ledighedstal Opdateret]" displayFolder="" count="0" unbalanced="0" hidden="1"/>
    <cacheHierarchy uniqueName="[Ledighedstal Opdateret].[Dimittendledig]" caption="Dimittendledig" attribute="1" defaultMemberUniqueName="[Ledighedstal Opdateret].[Dimittendledig].[All]" allUniqueName="[Ledighedstal Opdateret].[Dimittendledig].[All]" dimensionUniqueName="[Ledighedstal Opdateret]" displayFolder="" count="0" unbalanced="0" hidden="1"/>
    <cacheHierarchy uniqueName="[Ledighedstal Opdateret].[FagligtTilhoersforhold_Key]" caption="FagligtTilhoersforhold_Key" attribute="1" defaultMemberUniqueName="[Ledighedstal Opdateret].[FagligtTilhoersforhold_Key].[All]" allUniqueName="[Ledighedstal Opdateret].[FagligtTilhoersforhold_Key].[All]" dimensionUniqueName="[Ledighedstal Opdateret]" displayFolder="" count="0" unbalanced="0" hidden="1"/>
    <cacheHierarchy uniqueName="[Ledighedstal Opdateret].[IndbetalerTilEfterloen_Key]" caption="IndbetalerTilEfterloen_Key" attribute="1" defaultMemberUniqueName="[Ledighedstal Opdateret].[IndbetalerTilEfterloen_Key].[All]" allUniqueName="[Ledighedstal Opdateret].[IndbetalerTilEfterloen_Key].[All]" dimensionUniqueName="[Ledighedstal Opdateret]" displayFolder="" count="0" unbalanced="0" hidden="1"/>
    <cacheHierarchy uniqueName="[Ledighedstal Opdateret].[KandidatAlder_Key]" caption="KandidatAlder_Key" attribute="1" defaultMemberUniqueName="[Ledighedstal Opdateret].[KandidatAlder_Key].[All]" allUniqueName="[Ledighedstal Opdateret].[KandidatAlder_Key].[All]" dimensionUniqueName="[Ledighedstal Opdateret]" displayFolder="" count="0" unbalanced="0" hidden="1"/>
    <cacheHierarchy uniqueName="[Ledighedstal Opdateret].[KlipForbrugTotal_Key]" caption="KlipForbrugTotal_Key" attribute="1" defaultMemberUniqueName="[Ledighedstal Opdateret].[KlipForbrugTotal_Key].[All]" allUniqueName="[Ledighedstal Opdateret].[KlipForbrugTotal_Key].[All]" dimensionUniqueName="[Ledighedstal Opdateret]" displayFolder="" count="0" unbalanced="0" hidden="1"/>
    <cacheHierarchy uniqueName="[Ledighedstal Opdateret].[Kommune_Key]" caption="Kommune_Key" attribute="1" defaultMemberUniqueName="[Ledighedstal Opdateret].[Kommune_Key].[All]" allUniqueName="[Ledighedstal Opdateret].[Kommune_Key].[All]" dimensionUniqueName="[Ledighedstal Opdateret]" displayFolder="" count="0" unbalanced="0" hidden="1"/>
    <cacheHierarchy uniqueName="[Ledighedstal Opdateret].[Land_Key]" caption="Land_Key" attribute="1" defaultMemberUniqueName="[Ledighedstal Opdateret].[Land_Key].[All]" allUniqueName="[Ledighedstal Opdateret].[Land_Key].[All]" dimensionUniqueName="[Ledighedstal Opdateret]" displayFolder="" count="0" unbalanced="0" hidden="1"/>
    <cacheHierarchy uniqueName="[Ledighedstal Opdateret].[Langtidsledig]" caption="Langtidsledig" attribute="1" defaultMemberUniqueName="[Ledighedstal Opdateret].[Langtidsledig].[All]" allUniqueName="[Ledighedstal Opdateret].[Langtidsledig].[All]" dimensionUniqueName="[Ledighedstal Opdateret]" displayFolder="" count="0" unbalanced="0" hidden="1"/>
    <cacheHierarchy uniqueName="[Ledighedstal Opdateret].[Ledighedsberoert]" caption="Ledighedsberoert" attribute="1" defaultMemberUniqueName="[Ledighedstal Opdateret].[Ledighedsberoert].[All]" allUniqueName="[Ledighedstal Opdateret].[Ledighedsberoert].[All]" dimensionUniqueName="[Ledighedstal Opdateret]" displayFolder="" count="0" unbalanced="0" hidden="1"/>
    <cacheHierarchy uniqueName="[Ledighedstal Opdateret].[Medlem_Key]" caption="Medlem_Key" attribute="1" defaultMemberUniqueName="[Ledighedstal Opdateret].[Medlem_Key].[All]" allUniqueName="[Ledighedstal Opdateret].[Medlem_Key].[All]" dimensionUniqueName="[Ledighedstal Opdateret]" displayFolder="" count="0" unbalanced="0" hidden="1"/>
    <cacheHierarchy uniqueName="[Ledighedstal Opdateret].[Medlemsstatus_Key]" caption="Medlemsstatus_Key" attribute="1" defaultMemberUniqueName="[Ledighedstal Opdateret].[Medlemsstatus_Key].[All]" allUniqueName="[Ledighedstal Opdateret].[Medlemsstatus_Key].[All]" dimensionUniqueName="[Ledighedstal Opdateret]" displayFolder="" count="0" unbalanced="0" hidden="1"/>
    <cacheHierarchy uniqueName="[Ledighedstal Opdateret].[Nyledig]" caption="Nyledig" attribute="1" defaultMemberUniqueName="[Ledighedstal Opdateret].[Nyledig].[All]" allUniqueName="[Ledighedstal Opdateret].[Nyledig].[All]" dimensionUniqueName="[Ledighedstal Opdateret]" displayFolder="" count="0" unbalanced="0" hidden="1"/>
    <cacheHierarchy uniqueName="[Ledighedstal Opdateret].[Postnummer_Key]" caption="Postnummer_Key" attribute="1" defaultMemberUniqueName="[Ledighedstal Opdateret].[Postnummer_Key].[All]" allUniqueName="[Ledighedstal Opdateret].[Postnummer_Key].[All]" dimensionUniqueName="[Ledighedstal Opdateret]" displayFolder="" count="0" unbalanced="0" hidden="1"/>
    <cacheHierarchy uniqueName="[Ledighedstal Opdateret].[RapporteringsMaanedAar]" caption="RapporteringsMaanedAar" attribute="1" defaultMemberUniqueName="[Ledighedstal Opdateret].[RapporteringsMaanedAar].[All]" allUniqueName="[Ledighedstal Opdateret].[RapporteringsMaanedAar].[All]" dimensionUniqueName="[Ledighedstal Opdateret]" displayFolder="" count="0" unbalanced="0" hidden="1"/>
    <cacheHierarchy uniqueName="[Ledighedstal Opdateret].[Uddannelse_Key]" caption="Uddannelse_Key" attribute="1" defaultMemberUniqueName="[Ledighedstal Opdateret].[Uddannelse_Key].[All]" allUniqueName="[Ledighedstal Opdateret].[Uddannelse_Key].[All]" dimensionUniqueName="[Ledighedstal Opdateret]" displayFolder="" count="0" unbalanced="0" hidden="1"/>
    <cacheHierarchy uniqueName="[Ledighedstal Opdateret].[Uddannelsesretning_Key]" caption="Uddannelsesretning_Key" attribute="1" defaultMemberUniqueName="[Ledighedstal Opdateret].[Uddannelsesretning_Key].[All]" allUniqueName="[Ledighedstal Opdateret].[Uddannelsesretning_Key].[All]" dimensionUniqueName="[Ledighedstal Opdateret]" displayFolder="" count="0" unbalanced="0" hidden="1"/>
    <cacheHierarchy uniqueName="[Ledighedstal Opdateret].[Uddannelsessted_Key]" caption="Uddannelsessted_Key" attribute="1" defaultMemberUniqueName="[Ledighedstal Opdateret].[Uddannelsessted_Key].[All]" allUniqueName="[Ledighedstal Opdateret].[Uddannelsessted_Key].[All]" dimensionUniqueName="[Ledighedstal Opdateret]" displayFolder="" count="0" unbalanced="0" hidden="1"/>
    <cacheHierarchy uniqueName="[Ledighedstal Opdateret].[Udfaldet]" caption="Udfaldet" attribute="1" defaultMemberUniqueName="[Ledighedstal Opdateret].[Udfaldet].[All]" allUniqueName="[Ledighedstal Opdateret].[Udfaldet].[All]" dimensionUniqueName="[Ledighedstal Opdateret]" displayFolder="" count="0" unbalanced="0" hidden="1"/>
    <cacheHierarchy uniqueName="[Ledighedstal Opdateret].[Udfaldstruet]" caption="Udfaldstruet" attribute="1" defaultMemberUniqueName="[Ledighedstal Opdateret].[Udfaldstruet].[All]" allUniqueName="[Ledighedstal Opdateret].[Udfaldstruet].[All]" dimensionUniqueName="[Ledighedstal Opdateret]" displayFolder="" count="0" unbalanced="0" hidden="1"/>
    <cacheHierarchy uniqueName="[Ledighedstal Opdateret].[Ydelsestype_Key]" caption="Ydelsestype_Key" attribute="1" defaultMemberUniqueName="[Ledighedstal Opdateret].[Ydelsestype_Key].[All]" allUniqueName="[Ledighedstal Opdateret].[Ydelsestype_Key].[All]" dimensionUniqueName="[Ledighedstal Opdateret]" displayFolder="" count="0" unbalanced="0" hidden="1"/>
    <cacheHierarchy uniqueName="[Ledighedstal Opdateret].[Aarsag_Key]" caption="Aarsag_Key" attribute="1" defaultMemberUniqueName="[Ledighedstal Opdateret].[Aarsag_Key].[All]" allUniqueName="[Ledighedstal Opdateret].[Aarsag_Key].[All]" dimensionUniqueName="[Ledighedstal Opdateret]" displayFolder="" count="0" unbalanced="0" hidden="1"/>
    <cacheHierarchy uniqueName="[Ledighedstal År].[#TimerUdbetalt]" caption="#TimerUdbetalt" attribute="1" defaultMemberUniqueName="[Ledighedstal År].[#TimerUdbetalt].[All]" allUniqueName="[Ledighedstal År].[#TimerUdbetalt].[All]" dimensionUniqueName="[Ledighedstal År]" displayFolder="" count="0" unbalanced="0" hidden="1"/>
    <cacheHierarchy uniqueName="[Ledighedstal År].[Alder_Key]" caption="Alder_Key" attribute="1" defaultMemberUniqueName="[Ledighedstal År].[Alder_Key].[All]" allUniqueName="[Ledighedstal År].[Alder_Key].[All]" dimensionUniqueName="[Ledighedstal År]" displayFolder="" count="0" unbalanced="0" hidden="1"/>
    <cacheHierarchy uniqueName="[Ledighedstal År].[AndenAkasse_Key]" caption="AndenAkasse_Key" attribute="1" defaultMemberUniqueName="[Ledighedstal År].[AndenAkasse_Key].[All]" allUniqueName="[Ledighedstal År].[AndenAkasse_Key].[All]" dimensionUniqueName="[Ledighedstal År]" displayFolder="" count="0" unbalanced="0" hidden="1"/>
    <cacheHierarchy uniqueName="[Ledighedstal År].[Betalingsstatus_Key]" caption="Betalingsstatus_Key" attribute="1" defaultMemberUniqueName="[Ledighedstal År].[Betalingsstatus_Key].[All]" allUniqueName="[Ledighedstal År].[Betalingsstatus_Key].[All]" dimensionUniqueName="[Ledighedstal År]" displayFolder="" count="0" unbalanced="0" hidden="1"/>
    <cacheHierarchy uniqueName="[Ledighedstal År].[DimittendDato]" caption="DimittendDato" attribute="1" defaultMemberUniqueName="[Ledighedstal År].[DimittendDato].[All]" allUniqueName="[Ledighedstal År].[DimittendDato].[All]" dimensionUniqueName="[Ledighedstal År]" displayFolder="" count="0" unbalanced="0" hidden="1"/>
    <cacheHierarchy uniqueName="[Ledighedstal År].[Dimittendledig]" caption="Dimittendledig" attribute="1" defaultMemberUniqueName="[Ledighedstal År].[Dimittendledig].[All]" allUniqueName="[Ledighedstal År].[Dimittendledig].[All]" dimensionUniqueName="[Ledighedstal År]" displayFolder="" count="0" unbalanced="0" hidden="1"/>
    <cacheHierarchy uniqueName="[Ledighedstal År].[FagligtTilhoersforhold_Key]" caption="FagligtTilhoersforhold_Key" attribute="1" defaultMemberUniqueName="[Ledighedstal År].[FagligtTilhoersforhold_Key].[All]" allUniqueName="[Ledighedstal År].[FagligtTilhoersforhold_Key].[All]" dimensionUniqueName="[Ledighedstal År]" displayFolder="" count="0" unbalanced="0" hidden="1"/>
    <cacheHierarchy uniqueName="[Ledighedstal År].[IndbetalerTilEfterloen_Key]" caption="IndbetalerTilEfterloen_Key" attribute="1" defaultMemberUniqueName="[Ledighedstal År].[IndbetalerTilEfterloen_Key].[All]" allUniqueName="[Ledighedstal År].[IndbetalerTilEfterloen_Key].[All]" dimensionUniqueName="[Ledighedstal År]" displayFolder="" count="0" unbalanced="0" hidden="1"/>
    <cacheHierarchy uniqueName="[Ledighedstal År].[KandidatAlder_Key]" caption="KandidatAlder_Key" attribute="1" defaultMemberUniqueName="[Ledighedstal År].[KandidatAlder_Key].[All]" allUniqueName="[Ledighedstal År].[KandidatAlder_Key].[All]" dimensionUniqueName="[Ledighedstal År]" displayFolder="" count="0" unbalanced="0" hidden="1"/>
    <cacheHierarchy uniqueName="[Ledighedstal År].[Kommune_Key]" caption="Kommune_Key" attribute="1" defaultMemberUniqueName="[Ledighedstal År].[Kommune_Key].[All]" allUniqueName="[Ledighedstal År].[Kommune_Key].[All]" dimensionUniqueName="[Ledighedstal År]" displayFolder="" count="0" unbalanced="0" hidden="1"/>
    <cacheHierarchy uniqueName="[Ledighedstal År].[Land_Key]" caption="Land_Key" attribute="1" defaultMemberUniqueName="[Ledighedstal År].[Land_Key].[All]" allUniqueName="[Ledighedstal År].[Land_Key].[All]" dimensionUniqueName="[Ledighedstal År]" displayFolder="" count="0" unbalanced="0" hidden="1"/>
    <cacheHierarchy uniqueName="[Ledighedstal År].[Langtidsledig]" caption="Langtidsledig" attribute="1" defaultMemberUniqueName="[Ledighedstal År].[Langtidsledig].[All]" allUniqueName="[Ledighedstal År].[Langtidsledig].[All]" dimensionUniqueName="[Ledighedstal År]" displayFolder="" count="0" unbalanced="0" hidden="1"/>
    <cacheHierarchy uniqueName="[Ledighedstal År].[Ledighedsberoert]" caption="Ledighedsberoert" attribute="1" defaultMemberUniqueName="[Ledighedstal År].[Ledighedsberoert].[All]" allUniqueName="[Ledighedstal År].[Ledighedsberoert].[All]" dimensionUniqueName="[Ledighedstal År]" displayFolder="" count="0" unbalanced="0" hidden="1"/>
    <cacheHierarchy uniqueName="[Ledighedstal År].[Medlem_Key]" caption="Medlem_Key" attribute="1" defaultMemberUniqueName="[Ledighedstal År].[Medlem_Key].[All]" allUniqueName="[Ledighedstal År].[Medlem_Key].[All]" dimensionUniqueName="[Ledighedstal År]" displayFolder="" count="0" unbalanced="0" hidden="1"/>
    <cacheHierarchy uniqueName="[Ledighedstal År].[Medlemsstatus_Key]" caption="Medlemsstatus_Key" attribute="1" defaultMemberUniqueName="[Ledighedstal År].[Medlemsstatus_Key].[All]" allUniqueName="[Ledighedstal År].[Medlemsstatus_Key].[All]" dimensionUniqueName="[Ledighedstal År]" displayFolder="" count="0" unbalanced="0" hidden="1"/>
    <cacheHierarchy uniqueName="[Ledighedstal År].[Nyledig]" caption="Nyledig" attribute="1" defaultMemberUniqueName="[Ledighedstal År].[Nyledig].[All]" allUniqueName="[Ledighedstal År].[Nyledig].[All]" dimensionUniqueName="[Ledighedstal År]" displayFolder="" count="0" unbalanced="0" hidden="1"/>
    <cacheHierarchy uniqueName="[Ledighedstal År].[Postnummer_Key]" caption="Postnummer_Key" attribute="1" defaultMemberUniqueName="[Ledighedstal År].[Postnummer_Key].[All]" allUniqueName="[Ledighedstal År].[Postnummer_Key].[All]" dimensionUniqueName="[Ledighedstal År]" displayFolder="" count="0" unbalanced="0" hidden="1"/>
    <cacheHierarchy uniqueName="[Ledighedstal År].[RapporteringsAar]" caption="RapporteringsAar" attribute="1" defaultMemberUniqueName="[Ledighedstal År].[RapporteringsAar].[All]" allUniqueName="[Ledighedstal År].[RapporteringsAar].[All]" dimensionUniqueName="[Ledighedstal År]" displayFolder="" count="0" unbalanced="0" hidden="1"/>
    <cacheHierarchy uniqueName="[Ledighedstal År].[Uddannelse_Key]" caption="Uddannelse_Key" attribute="1" defaultMemberUniqueName="[Ledighedstal År].[Uddannelse_Key].[All]" allUniqueName="[Ledighedstal År].[Uddannelse_Key].[All]" dimensionUniqueName="[Ledighedstal År]" displayFolder="" count="0" unbalanced="0" hidden="1"/>
    <cacheHierarchy uniqueName="[Ledighedstal År].[Uddannelsesretning_Key]" caption="Uddannelsesretning_Key" attribute="1" defaultMemberUniqueName="[Ledighedstal År].[Uddannelsesretning_Key].[All]" allUniqueName="[Ledighedstal År].[Uddannelsesretning_Key].[All]" dimensionUniqueName="[Ledighedstal År]" displayFolder="" count="0" unbalanced="0" hidden="1"/>
    <cacheHierarchy uniqueName="[Ledighedstal År].[Uddannelsessted_Key]" caption="Uddannelsessted_Key" attribute="1" defaultMemberUniqueName="[Ledighedstal År].[Uddannelsessted_Key].[All]" allUniqueName="[Ledighedstal År].[Uddannelsessted_Key].[All]" dimensionUniqueName="[Ledighedstal År]" displayFolder="" count="0" unbalanced="0" hidden="1"/>
    <cacheHierarchy uniqueName="[Ledighedstal År].[Udfaldet]" caption="Udfaldet" attribute="1" defaultMemberUniqueName="[Ledighedstal År].[Udfaldet].[All]" allUniqueName="[Ledighedstal År].[Udfaldet].[All]" dimensionUniqueName="[Ledighedstal År]" displayFolder="" count="0" unbalanced="0" hidden="1"/>
    <cacheHierarchy uniqueName="[Ledighedstal År].[Udfaldstruet]" caption="Udfaldstruet" attribute="1" defaultMemberUniqueName="[Ledighedstal År].[Udfaldstruet].[All]" allUniqueName="[Ledighedstal År].[Udfaldstruet].[All]" dimensionUniqueName="[Ledighedstal År]" displayFolder="" count="0" unbalanced="0" hidden="1"/>
    <cacheHierarchy uniqueName="[Ledighedstal År].[Ydelsestype_Key]" caption="Ydelsestype_Key" attribute="1" defaultMemberUniqueName="[Ledighedstal År].[Ydelsestype_Key].[All]" allUniqueName="[Ledighedstal År].[Ydelsestype_Key].[All]" dimensionUniqueName="[Ledighedstal År]" displayFolder="" count="0" unbalanced="0" hidden="1"/>
    <cacheHierarchy uniqueName="[Ledighedstal År].[Aarsag_Key]" caption="Aarsag_Key" attribute="1" defaultMemberUniqueName="[Ledighedstal År].[Aarsag_Key].[All]" allUniqueName="[Ledighedstal År].[Aarsag_Key].[All]" dimensionUniqueName="[Ledighedstal År]" displayFolder="" count="0" unbalanced="0" hidden="1"/>
    <cacheHierarchy uniqueName="[Medarbejder].[AnciennitetsdatoErValid]" caption="AnciennitetsdatoErValid" attribute="1" defaultMemberUniqueName="[Medarbejder].[AnciennitetsdatoErValid].[All]" allUniqueName="[Medarbejder].[AnciennitetsdatoErValid].[All]" dimensionUniqueName="[Medarbejder]" displayFolder="" count="0" unbalanced="0" hidden="1"/>
    <cacheHierarchy uniqueName="[Medarbejder].[ErFratrådt]" caption="ErFratrådt" attribute="1" defaultMemberUniqueName="[Medarbejder].[ErFratrådt].[All]" allUniqueName="[Medarbejder].[ErFratrådt].[All]" dimensionUniqueName="[Medarbejder]" displayFolder="" count="0" unbalanced="0" hidden="1"/>
    <cacheHierarchy uniqueName="[Medarbejder].[Medarbejder_BK]" caption="Medarbejder_BK" attribute="1" defaultMemberUniqueName="[Medarbejder].[Medarbejder_BK].[All]" allUniqueName="[Medarbejder].[Medarbejder_BK].[All]" dimensionUniqueName="[Medarbejder]" displayFolder="" count="0" unbalanced="0" hidden="1"/>
    <cacheHierarchy uniqueName="[Medarbejder].[Medarbejder_Key]" caption="Medarbejder_Key" attribute="1" defaultMemberUniqueName="[Medarbejder].[Medarbejder_Key].[All]" allUniqueName="[Medarbejder].[Medarbejder_Key].[All]" dimensionUniqueName="[Medarbejder]" displayFolder="" count="0" unbalanced="0" hidden="1"/>
    <cacheHierarchy uniqueName="[Medarbejder anmelder].[Anciennitetsdato]" caption="Anciennitetsdato" attribute="1" defaultMemberUniqueName="[Medarbejder anmelder].[Anciennitetsdato].[All]" allUniqueName="[Medarbejder anmelder].[Anciennitetsdato].[All]" dimensionUniqueName="[Medarbejder anmelder]" displayFolder="" count="0" unbalanced="0" hidden="1"/>
    <cacheHierarchy uniqueName="[Medarbejder anmelder].[Foedselsdato]" caption="Foedselsdato" attribute="1" defaultMemberUniqueName="[Medarbejder anmelder].[Foedselsdato].[All]" allUniqueName="[Medarbejder anmelder].[Foedselsdato].[All]" dimensionUniqueName="[Medarbejder anmelder]" displayFolder="" count="0" unbalanced="0" hidden="1"/>
    <cacheHierarchy uniqueName="[Medarbejder anmelder].[JobID]" caption="JobID" attribute="1" defaultMemberUniqueName="[Medarbejder anmelder].[JobID].[All]" allUniqueName="[Medarbejder anmelder].[JobID].[All]" dimensionUniqueName="[Medarbejder anmelder]" displayFolder="" count="0" unbalanced="0" hidden="1"/>
    <cacheHierarchy uniqueName="[Medarbejder anmelder].[JobID_Opdateret]" caption="JobID_Opdateret" attribute="1" defaultMemberUniqueName="[Medarbejder anmelder].[JobID_Opdateret].[All]" allUniqueName="[Medarbejder anmelder].[JobID_Opdateret].[All]" dimensionUniqueName="[Medarbejder anmelder]" displayFolder="" count="0" unbalanced="0" hidden="1"/>
    <cacheHierarchy uniqueName="[Medarbejder anmelder].[Medarbejder_BK]" caption="Medarbejder_BK" attribute="1" defaultMemberUniqueName="[Medarbejder anmelder].[Medarbejder_BK].[All]" allUniqueName="[Medarbejder anmelder].[Medarbejder_BK].[All]" dimensionUniqueName="[Medarbejder anmelder]" displayFolder="" count="0" unbalanced="0" hidden="1"/>
    <cacheHierarchy uniqueName="[Medarbejder anmelder].[Medarbejder_Key]" caption="Medarbejder_Key" attribute="1" defaultMemberUniqueName="[Medarbejder anmelder].[Medarbejder_Key].[All]" allUniqueName="[Medarbejder anmelder].[Medarbejder_Key].[All]" dimensionUniqueName="[Medarbejder anmelder]" displayFolder="" count="0" unbalanced="0" hidden="1"/>
    <cacheHierarchy uniqueName="[Medarbejder Viderestillet].[Medarbejder_BK]" caption="Medarbejder_BK" attribute="1" defaultMemberUniqueName="[Medarbejder Viderestillet].[Medarbejder_BK].[All]" allUniqueName="[Medarbejder Viderestillet].[Medarbejder_BK].[All]" dimensionUniqueName="[Medarbejder Viderestillet]" displayFolder="" count="0" unbalanced="0" hidden="1"/>
    <cacheHierarchy uniqueName="[Medarbejder Viderestillet].[ViderestilletTilMedarbejder_Key]" caption="ViderestilletTilMedarbejder_Key" attribute="1" defaultMemberUniqueName="[Medarbejder Viderestillet].[ViderestilletTilMedarbejder_Key].[All]" allUniqueName="[Medarbejder Viderestillet].[ViderestilletTilMedarbejder_Key].[All]" dimensionUniqueName="[Medarbejder Viderestillet]" displayFolder="" count="0" unbalanced="0" hidden="1"/>
    <cacheHierarchy uniqueName="[Medlem].[Medlem_Key]" caption="Medlem_Key" attribute="1" defaultMemberUniqueName="[Medlem].[Medlem_Key].[All]" allUniqueName="[Medlem].[Medlem_Key].[All]" dimensionUniqueName="[Medlem]" displayFolder="" count="0" unbalanced="0" hidden="1"/>
    <cacheHierarchy uniqueName="[Medlemsstatus].[Medlemsstatus_Key]" caption="Medlemsstatus_Key" attribute="1" defaultMemberUniqueName="[Medlemsstatus].[Medlemsstatus_Key].[All]" allUniqueName="[Medlemsstatus].[Medlemsstatus_Key].[All]" dimensionUniqueName="[Medlemsstatus]" displayFolder="" count="0" unbalanced="0" hidden="1"/>
    <cacheHierarchy uniqueName="[Medlemstal].[#Indmeldelser]" caption="#Indmeldelser" attribute="1" defaultMemberUniqueName="[Medlemstal].[#Indmeldelser].[All]" allUniqueName="[Medlemstal].[#Indmeldelser].[All]" dimensionUniqueName="[Medlemstal]" displayFolder="" count="0" unbalanced="0" hidden="1"/>
    <cacheHierarchy uniqueName="[Medlemstal].[#Medlemstal]" caption="#Medlemstal" attribute="1" defaultMemberUniqueName="[Medlemstal].[#Medlemstal].[All]" allUniqueName="[Medlemstal].[#Medlemstal].[All]" dimensionUniqueName="[Medlemstal]" displayFolder="" count="0" unbalanced="0" hidden="1"/>
    <cacheHierarchy uniqueName="[Medlemstal].[#Statusskift]" caption="#Statusskift" attribute="1" defaultMemberUniqueName="[Medlemstal].[#Statusskift].[All]" allUniqueName="[Medlemstal].[#Statusskift].[All]" dimensionUniqueName="[Medlemstal]" displayFolder="" count="0" unbalanced="0" hidden="1"/>
    <cacheHierarchy uniqueName="[Medlemstal].[#StatusskiftAfgang]" caption="#StatusskiftAfgang" attribute="1" defaultMemberUniqueName="[Medlemstal].[#StatusskiftAfgang].[All]" allUniqueName="[Medlemstal].[#StatusskiftAfgang].[All]" dimensionUniqueName="[Medlemstal]" displayFolder="" count="0" unbalanced="0" hidden="1"/>
    <cacheHierarchy uniqueName="[Medlemstal].[#StatusskiftTilgang]" caption="#StatusskiftTilgang" attribute="1" defaultMemberUniqueName="[Medlemstal].[#StatusskiftTilgang].[All]" allUniqueName="[Medlemstal].[#StatusskiftTilgang].[All]" dimensionUniqueName="[Medlemstal]" displayFolder="" count="0" unbalanced="0" hidden="1"/>
    <cacheHierarchy uniqueName="[Medlemstal].[#Udmeldelser]" caption="#Udmeldelser" attribute="1" defaultMemberUniqueName="[Medlemstal].[#Udmeldelser].[All]" allUniqueName="[Medlemstal].[#Udmeldelser].[All]" dimensionUniqueName="[Medlemstal]" displayFolder="" count="0" unbalanced="0" hidden="1"/>
    <cacheHierarchy uniqueName="[Medlemstal].[Alder_Key]" caption="Alder_Key" attribute="1" defaultMemberUniqueName="[Medlemstal].[Alder_Key].[All]" allUniqueName="[Medlemstal].[Alder_Key].[All]" dimensionUniqueName="[Medlemstal]" displayFolder="" count="0" unbalanced="0" hidden="1"/>
    <cacheHierarchy uniqueName="[Medlemstal].[AndenAKasse_Key]" caption="AndenAKasse_Key" attribute="1" defaultMemberUniqueName="[Medlemstal].[AndenAKasse_Key].[All]" allUniqueName="[Medlemstal].[AndenAKasse_Key].[All]" dimensionUniqueName="[Medlemstal]" displayFolder="" count="0" unbalanced="0" hidden="1"/>
    <cacheHierarchy uniqueName="[Medlemstal].[Betalingsstatus_Key]" caption="Betalingsstatus_Key" attribute="1" defaultMemberUniqueName="[Medlemstal].[Betalingsstatus_Key].[All]" allUniqueName="[Medlemstal].[Betalingsstatus_Key].[All]" dimensionUniqueName="[Medlemstal]" displayFolder="" count="0" unbalanced="0" hidden="1"/>
    <cacheHierarchy uniqueName="[Medlemstal].[DimittendDato]" caption="DimittendDato" attribute="1" defaultMemberUniqueName="[Medlemstal].[DimittendDato].[All]" allUniqueName="[Medlemstal].[DimittendDato].[All]" dimensionUniqueName="[Medlemstal]" displayFolder="" count="0" unbalanced="0" hidden="1"/>
    <cacheHierarchy uniqueName="[Medlemstal].[FagligtTilhoersforhold_Key]" caption="FagligtTilhoersforhold_Key" attribute="1" defaultMemberUniqueName="[Medlemstal].[FagligtTilhoersforhold_Key].[All]" allUniqueName="[Medlemstal].[FagligtTilhoersforhold_Key].[All]" dimensionUniqueName="[Medlemstal]" displayFolder="" count="0" unbalanced="0" hidden="1"/>
    <cacheHierarchy uniqueName="[Medlemstal].[Fastfrysningsdato]" caption="Fastfrysningsdato" attribute="1" defaultMemberUniqueName="[Medlemstal].[Fastfrysningsdato].[All]" allUniqueName="[Medlemstal].[Fastfrysningsdato].[All]" dimensionUniqueName="[Medlemstal]" displayFolder="" count="0" unbalanced="0" hidden="1"/>
    <cacheHierarchy uniqueName="[Medlemstal].[IDA Gruppe]" caption="IDA Gruppe" attribute="1" defaultMemberUniqueName="[Medlemstal].[IDA Gruppe].[All]" allUniqueName="[Medlemstal].[IDA Gruppe].[All]" dimensionUniqueName="[Medlemstal]" displayFolder="" count="0" unbalanced="0" hidden="1"/>
    <cacheHierarchy uniqueName="[Medlemstal].[IndbetalerTilEfterloen_Key]" caption="IndbetalerTilEfterloen_Key" attribute="1" defaultMemberUniqueName="[Medlemstal].[IndbetalerTilEfterloen_Key].[All]" allUniqueName="[Medlemstal].[IndbetalerTilEfterloen_Key].[All]" dimensionUniqueName="[Medlemstal]" displayFolder="" count="0" unbalanced="0" hidden="1"/>
    <cacheHierarchy uniqueName="[Medlemstal].[Kandidatalder_Key]" caption="Kandidatalder_Key" attribute="1" defaultMemberUniqueName="[Medlemstal].[Kandidatalder_Key].[All]" allUniqueName="[Medlemstal].[Kandidatalder_Key].[All]" dimensionUniqueName="[Medlemstal]" displayFolder="" count="0" unbalanced="0" hidden="1"/>
    <cacheHierarchy uniqueName="[Medlemstal].[Kommune_Key]" caption="Kommune_Key" attribute="1" defaultMemberUniqueName="[Medlemstal].[Kommune_Key].[All]" allUniqueName="[Medlemstal].[Kommune_Key].[All]" dimensionUniqueName="[Medlemstal]" displayFolder="" count="0" unbalanced="0" hidden="1"/>
    <cacheHierarchy uniqueName="[Medlemstal].[Land_Key]" caption="Land_Key" attribute="1" defaultMemberUniqueName="[Medlemstal].[Land_Key].[All]" allUniqueName="[Medlemstal].[Land_Key].[All]" dimensionUniqueName="[Medlemstal]" displayFolder="" count="0" unbalanced="0" hidden="1"/>
    <cacheHierarchy uniqueName="[Medlemstal].[Medlem_Key]" caption="Medlem_Key" attribute="1" defaultMemberUniqueName="[Medlemstal].[Medlem_Key].[All]" allUniqueName="[Medlemstal].[Medlem_Key].[All]" dimensionUniqueName="[Medlemstal]" displayFolder="" count="0" unbalanced="0" hidden="1"/>
    <cacheHierarchy uniqueName="[Medlemstal].[Medlemsstatus Gruppe]" caption="Medlemsstatus Gruppe" attribute="1" defaultMemberUniqueName="[Medlemstal].[Medlemsstatus Gruppe].[All]" allUniqueName="[Medlemstal].[Medlemsstatus Gruppe].[All]" dimensionUniqueName="[Medlemstal]" displayFolder="" count="0" unbalanced="0" hidden="1"/>
    <cacheHierarchy uniqueName="[Medlemstal].[Medlemsstatus_Key]" caption="Medlemsstatus_Key" attribute="1" defaultMemberUniqueName="[Medlemstal].[Medlemsstatus_Key].[All]" allUniqueName="[Medlemstal].[Medlemsstatus_Key].[All]" dimensionUniqueName="[Medlemstal]" displayFolder="" count="0" unbalanced="0" hidden="1"/>
    <cacheHierarchy uniqueName="[Medlemstal].[MedlemstalBevaegelse_Key]" caption="MedlemstalBevaegelse_Key" attribute="1" defaultMemberUniqueName="[Medlemstal].[MedlemstalBevaegelse_Key].[All]" allUniqueName="[Medlemstal].[MedlemstalBevaegelse_Key].[All]" dimensionUniqueName="[Medlemstal]" displayFolder="" count="0" unbalanced="0" hidden="1"/>
    <cacheHierarchy uniqueName="[Medlemstal].[Postnummer_Key]" caption="Postnummer_Key" attribute="1" defaultMemberUniqueName="[Medlemstal].[Postnummer_Key].[All]" allUniqueName="[Medlemstal].[Postnummer_Key].[All]" dimensionUniqueName="[Medlemstal]" displayFolder="" count="0" unbalanced="0" hidden="1"/>
    <cacheHierarchy uniqueName="[Medlemstal].[RapporteringsKvartalAar]" caption="RapporteringsKvartalAar" attribute="1" defaultMemberUniqueName="[Medlemstal].[RapporteringsKvartalAar].[All]" allUniqueName="[Medlemstal].[RapporteringsKvartalAar].[All]" dimensionUniqueName="[Medlemstal]" displayFolder="" count="0" unbalanced="0" hidden="1"/>
    <cacheHierarchy uniqueName="[Medlemstal].[RapporteringsMaanedAar]" caption="RapporteringsMaanedAar" attribute="1" defaultMemberUniqueName="[Medlemstal].[RapporteringsMaanedAar].[All]" allUniqueName="[Medlemstal].[RapporteringsMaanedAar].[All]" dimensionUniqueName="[Medlemstal]" displayFolder="" count="0" unbalanced="0" hidden="1"/>
    <cacheHierarchy uniqueName="[Medlemstal].[RapporteringsAar]" caption="RapporteringsAar" attribute="1" defaultMemberUniqueName="[Medlemstal].[RapporteringsAar].[All]" allUniqueName="[Medlemstal].[RapporteringsAar].[All]" dimensionUniqueName="[Medlemstal]" displayFolder="" count="0" unbalanced="0" hidden="1"/>
    <cacheHierarchy uniqueName="[Medlemstal].[Uddannelse_Key]" caption="Uddannelse_Key" attribute="1" defaultMemberUniqueName="[Medlemstal].[Uddannelse_Key].[All]" allUniqueName="[Medlemstal].[Uddannelse_Key].[All]" dimensionUniqueName="[Medlemstal]" displayFolder="" count="0" unbalanced="0" hidden="1"/>
    <cacheHierarchy uniqueName="[Medlemstal].[Uddannelsesretning_Key]" caption="Uddannelsesretning_Key" attribute="1" defaultMemberUniqueName="[Medlemstal].[Uddannelsesretning_Key].[All]" allUniqueName="[Medlemstal].[Uddannelsesretning_Key].[All]" dimensionUniqueName="[Medlemstal]" displayFolder="" count="0" unbalanced="0" hidden="1"/>
    <cacheHierarchy uniqueName="[Medlemstal].[Uddannelsessted_Key]" caption="Uddannelsessted_Key" attribute="1" defaultMemberUniqueName="[Medlemstal].[Uddannelsessted_Key].[All]" allUniqueName="[Medlemstal].[Uddannelsessted_Key].[All]" dimensionUniqueName="[Medlemstal]" displayFolder="" count="0" unbalanced="0" hidden="1"/>
    <cacheHierarchy uniqueName="[Medlemstal].[Ændring Efter Fastfrysning]" caption="Ændring Efter Fastfrysning" attribute="1" defaultMemberUniqueName="[Medlemstal].[Ændring Efter Fastfrysning].[All]" allUniqueName="[Medlemstal].[Ændring Efter Fastfrysning].[All]" dimensionUniqueName="[Medlemstal]" displayFolder="" count="0" unbalanced="0" hidden="1"/>
    <cacheHierarchy uniqueName="[Medlemstal].[Ændringsdato]" caption="Ændringsdato" attribute="1" defaultMemberUniqueName="[Medlemstal].[Ændringsdato].[All]" allUniqueName="[Medlemstal].[Ændringsdato].[All]" dimensionUniqueName="[Medlemstal]" displayFolder="" count="0" unbalanced="0" hidden="1"/>
    <cacheHierarchy uniqueName="[Medlemstal].[Aarsag_Key]" caption="Aarsag_Key" attribute="1" defaultMemberUniqueName="[Medlemstal].[Aarsag_Key].[All]" allUniqueName="[Medlemstal].[Aarsag_Key].[All]" dimensionUniqueName="[Medlemstal]" displayFolder="" count="0" unbalanced="0" hidden="1"/>
    <cacheHierarchy uniqueName="[Medlemstal Bevægelse].[MedlemstalBevaegelse_Key]" caption="MedlemstalBevaegelse_Key" attribute="1" defaultMemberUniqueName="[Medlemstal Bevægelse].[MedlemstalBevaegelse_Key].[All]" allUniqueName="[Medlemstal Bevægelse].[MedlemstalBevaegelse_Key].[All]" dimensionUniqueName="[Medlemstal Bevægelse]" displayFolder="" count="0" unbalanced="0" hidden="1"/>
    <cacheHierarchy uniqueName="[Medlemstal Bevægelse].[SortOrder]" caption="SortOrder" attribute="1" defaultMemberUniqueName="[Medlemstal Bevægelse].[SortOrder].[All]" allUniqueName="[Medlemstal Bevægelse].[SortOrder].[All]" dimensionUniqueName="[Medlemstal Bevægelse]" displayFolder="" count="0" unbalanced="0" hidden="1"/>
    <cacheHierarchy uniqueName="[Medlemstal Bevægelse].[TypeNiveau1SortOrder]" caption="TypeNiveau1SortOrder" attribute="1" defaultMemberUniqueName="[Medlemstal Bevægelse].[TypeNiveau1SortOrder].[All]" allUniqueName="[Medlemstal Bevægelse].[TypeNiveau1SortOrder].[All]" dimensionUniqueName="[Medlemstal Bevægelse]" displayFolder="" count="0" unbalanced="0" hidden="1"/>
    <cacheHierarchy uniqueName="[Medlemstal Bevægelse].[TypeSortOrder]" caption="TypeSortOrder" attribute="1" defaultMemberUniqueName="[Medlemstal Bevægelse].[TypeSortOrder].[All]" allUniqueName="[Medlemstal Bevægelse].[TypeSortOrder].[All]" dimensionUniqueName="[Medlemstal Bevægelse]" displayFolder="" count="0" unbalanced="0" hidden="1"/>
    <cacheHierarchy uniqueName="[Medlemstal Budget].[#MedlemstalBudget]" caption="#MedlemstalBudget" attribute="1" defaultMemberUniqueName="[Medlemstal Budget].[#MedlemstalBudget].[All]" allUniqueName="[Medlemstal Budget].[#MedlemstalBudget].[All]" dimensionUniqueName="[Medlemstal Budget]" displayFolder="" count="0" unbalanced="0" hidden="1"/>
    <cacheHierarchy uniqueName="[Medlemstal Budget].[Betalingsstatus_Key]" caption="Betalingsstatus_Key" attribute="1" defaultMemberUniqueName="[Medlemstal Budget].[Betalingsstatus_Key].[All]" allUniqueName="[Medlemstal Budget].[Betalingsstatus_Key].[All]" dimensionUniqueName="[Medlemstal Budget]" displayFolder="" count="0" unbalanced="0" hidden="1"/>
    <cacheHierarchy uniqueName="[Medlemstal Budget].[Dato]" caption="Dato" attribute="1" defaultMemberUniqueName="[Medlemstal Budget].[Dato].[All]" allUniqueName="[Medlemstal Budget].[Dato].[All]" dimensionUniqueName="[Medlemstal Budget]" displayFolder="" count="0" unbalanced="0" hidden="1"/>
    <cacheHierarchy uniqueName="[Medlemstal Budget].[Medlemsstatus_Key]" caption="Medlemsstatus_Key" attribute="1" defaultMemberUniqueName="[Medlemstal Budget].[Medlemsstatus_Key].[All]" allUniqueName="[Medlemstal Budget].[Medlemsstatus_Key].[All]" dimensionUniqueName="[Medlemstal Budget]" displayFolder="" count="0" unbalanced="0" hidden="1"/>
    <cacheHierarchy uniqueName="[Medlemstal Budget].[MedlemstalBevaegelse_Key]" caption="MedlemstalBevaegelse_Key" attribute="1" defaultMemberUniqueName="[Medlemstal Budget].[MedlemstalBevaegelse_Key].[All]" allUniqueName="[Medlemstal Budget].[MedlemstalBevaegelse_Key].[All]" dimensionUniqueName="[Medlemstal Budget]" displayFolder="" count="0" unbalanced="0" hidden="1"/>
    <cacheHierarchy uniqueName="[Medlemstal Budget].[RapporteringsMaanedAar]" caption="RapporteringsMaanedAar" attribute="1" defaultMemberUniqueName="[Medlemstal Budget].[RapporteringsMaanedAar].[All]" allUniqueName="[Medlemstal Budget].[RapporteringsMaanedAar].[All]" dimensionUniqueName="[Medlemstal Budget]" displayFolder="" count="0" unbalanced="0" hidden="1"/>
    <cacheHierarchy uniqueName="[Medlemstal Budget].[Aarsag_Key]" caption="Aarsag_Key" attribute="1" defaultMemberUniqueName="[Medlemstal Budget].[Aarsag_Key].[All]" allUniqueName="[Medlemstal Budget].[Aarsag_Key].[All]" dimensionUniqueName="[Medlemstal Budget]" displayFolder="" count="0" unbalanced="0" hidden="1"/>
    <cacheHierarchy uniqueName="[Medlemstal Opdateret].[#IndmeldelserOpdateret]" caption="#IndmeldelserOpdateret" attribute="1" defaultMemberUniqueName="[Medlemstal Opdateret].[#IndmeldelserOpdateret].[All]" allUniqueName="[Medlemstal Opdateret].[#IndmeldelserOpdateret].[All]" dimensionUniqueName="[Medlemstal Opdateret]" displayFolder="" count="0" unbalanced="0" hidden="1"/>
    <cacheHierarchy uniqueName="[Medlemstal Opdateret].[#MedlemstalOpdateret]" caption="#MedlemstalOpdateret" attribute="1" defaultMemberUniqueName="[Medlemstal Opdateret].[#MedlemstalOpdateret].[All]" allUniqueName="[Medlemstal Opdateret].[#MedlemstalOpdateret].[All]" dimensionUniqueName="[Medlemstal Opdateret]" displayFolder="" count="0" unbalanced="0" hidden="1"/>
    <cacheHierarchy uniqueName="[Medlemstal Opdateret].[#StatusskiftAfgangOpdateret]" caption="#StatusskiftAfgangOpdateret" attribute="1" defaultMemberUniqueName="[Medlemstal Opdateret].[#StatusskiftAfgangOpdateret].[All]" allUniqueName="[Medlemstal Opdateret].[#StatusskiftAfgangOpdateret].[All]" dimensionUniqueName="[Medlemstal Opdateret]" displayFolder="" count="0" unbalanced="0" hidden="1"/>
    <cacheHierarchy uniqueName="[Medlemstal Opdateret].[#StatusskiftOpdateret]" caption="#StatusskiftOpdateret" attribute="1" defaultMemberUniqueName="[Medlemstal Opdateret].[#StatusskiftOpdateret].[All]" allUniqueName="[Medlemstal Opdateret].[#StatusskiftOpdateret].[All]" dimensionUniqueName="[Medlemstal Opdateret]" displayFolder="" count="0" unbalanced="0" hidden="1"/>
    <cacheHierarchy uniqueName="[Medlemstal Opdateret].[#StatusskiftTilgangOpdateret]" caption="#StatusskiftTilgangOpdateret" attribute="1" defaultMemberUniqueName="[Medlemstal Opdateret].[#StatusskiftTilgangOpdateret].[All]" allUniqueName="[Medlemstal Opdateret].[#StatusskiftTilgangOpdateret].[All]" dimensionUniqueName="[Medlemstal Opdateret]" displayFolder="" count="0" unbalanced="0" hidden="1"/>
    <cacheHierarchy uniqueName="[Medlemstal Opdateret].[#UdmeldelserOpdateret]" caption="#UdmeldelserOpdateret" attribute="1" defaultMemberUniqueName="[Medlemstal Opdateret].[#UdmeldelserOpdateret].[All]" allUniqueName="[Medlemstal Opdateret].[#UdmeldelserOpdateret].[All]" dimensionUniqueName="[Medlemstal Opdateret]" displayFolder="" count="0" unbalanced="0" hidden="1"/>
    <cacheHierarchy uniqueName="[Medlemstal Opdateret].[Alder_Key]" caption="Alder_Key" attribute="1" defaultMemberUniqueName="[Medlemstal Opdateret].[Alder_Key].[All]" allUniqueName="[Medlemstal Opdateret].[Alder_Key].[All]" dimensionUniqueName="[Medlemstal Opdateret]" displayFolder="" count="0" unbalanced="0" hidden="1"/>
    <cacheHierarchy uniqueName="[Medlemstal Opdateret].[AndenAkasse_Key]" caption="AndenAkasse_Key" attribute="1" defaultMemberUniqueName="[Medlemstal Opdateret].[AndenAkasse_Key].[All]" allUniqueName="[Medlemstal Opdateret].[AndenAkasse_Key].[All]" dimensionUniqueName="[Medlemstal Opdateret]" displayFolder="" count="0" unbalanced="0" hidden="1"/>
    <cacheHierarchy uniqueName="[Medlemstal Opdateret].[Betalingsstatus_Key]" caption="Betalingsstatus_Key" attribute="1" defaultMemberUniqueName="[Medlemstal Opdateret].[Betalingsstatus_Key].[All]" allUniqueName="[Medlemstal Opdateret].[Betalingsstatus_Key].[All]" dimensionUniqueName="[Medlemstal Opdateret]" displayFolder="" count="0" unbalanced="0" hidden="1"/>
    <cacheHierarchy uniqueName="[Medlemstal Opdateret].[Dato]" caption="Dato" attribute="1" defaultMemberUniqueName="[Medlemstal Opdateret].[Dato].[All]" allUniqueName="[Medlemstal Opdateret].[Dato].[All]" dimensionUniqueName="[Medlemstal Opdateret]" displayFolder="" count="0" unbalanced="0" hidden="1"/>
    <cacheHierarchy uniqueName="[Medlemstal Opdateret].[DimittendDato]" caption="DimittendDato" attribute="1" defaultMemberUniqueName="[Medlemstal Opdateret].[DimittendDato].[All]" allUniqueName="[Medlemstal Opdateret].[DimittendDato].[All]" dimensionUniqueName="[Medlemstal Opdateret]" displayFolder="" count="0" unbalanced="0" hidden="1"/>
    <cacheHierarchy uniqueName="[Medlemstal Opdateret].[FagligtTilhoersforhold_Key]" caption="FagligtTilhoersforhold_Key" attribute="1" defaultMemberUniqueName="[Medlemstal Opdateret].[FagligtTilhoersforhold_Key].[All]" allUniqueName="[Medlemstal Opdateret].[FagligtTilhoersforhold_Key].[All]" dimensionUniqueName="[Medlemstal Opdateret]" displayFolder="" count="0" unbalanced="0" hidden="1"/>
    <cacheHierarchy uniqueName="[Medlemstal Opdateret].[IndbetalerTilEfterloen_Key]" caption="IndbetalerTilEfterloen_Key" attribute="1" defaultMemberUniqueName="[Medlemstal Opdateret].[IndbetalerTilEfterloen_Key].[All]" allUniqueName="[Medlemstal Opdateret].[IndbetalerTilEfterloen_Key].[All]" dimensionUniqueName="[Medlemstal Opdateret]" displayFolder="" count="0" unbalanced="0" hidden="1"/>
    <cacheHierarchy uniqueName="[Medlemstal Opdateret].[Kandidatalder_Key]" caption="Kandidatalder_Key" attribute="1" defaultMemberUniqueName="[Medlemstal Opdateret].[Kandidatalder_Key].[All]" allUniqueName="[Medlemstal Opdateret].[Kandidatalder_Key].[All]" dimensionUniqueName="[Medlemstal Opdateret]" displayFolder="" count="0" unbalanced="0" hidden="1"/>
    <cacheHierarchy uniqueName="[Medlemstal Opdateret].[Kommune_Key]" caption="Kommune_Key" attribute="1" defaultMemberUniqueName="[Medlemstal Opdateret].[Kommune_Key].[All]" allUniqueName="[Medlemstal Opdateret].[Kommune_Key].[All]" dimensionUniqueName="[Medlemstal Opdateret]" displayFolder="" count="0" unbalanced="0" hidden="1"/>
    <cacheHierarchy uniqueName="[Medlemstal Opdateret].[Land_Key]" caption="Land_Key" attribute="1" defaultMemberUniqueName="[Medlemstal Opdateret].[Land_Key].[All]" allUniqueName="[Medlemstal Opdateret].[Land_Key].[All]" dimensionUniqueName="[Medlemstal Opdateret]" displayFolder="" count="0" unbalanced="0" hidden="1"/>
    <cacheHierarchy uniqueName="[Medlemstal Opdateret].[Medlem_Key]" caption="Medlem_Key" attribute="1" defaultMemberUniqueName="[Medlemstal Opdateret].[Medlem_Key].[All]" allUniqueName="[Medlemstal Opdateret].[Medlem_Key].[All]" dimensionUniqueName="[Medlemstal Opdateret]" displayFolder="" count="0" unbalanced="0" hidden="1"/>
    <cacheHierarchy uniqueName="[Medlemstal Opdateret].[Medlemsstatus_Key]" caption="Medlemsstatus_Key" attribute="1" defaultMemberUniqueName="[Medlemstal Opdateret].[Medlemsstatus_Key].[All]" allUniqueName="[Medlemstal Opdateret].[Medlemsstatus_Key].[All]" dimensionUniqueName="[Medlemstal Opdateret]" displayFolder="" count="0" unbalanced="0" hidden="1"/>
    <cacheHierarchy uniqueName="[Medlemstal Opdateret].[MedlemstalBevaegelse_Key]" caption="MedlemstalBevaegelse_Key" attribute="1" defaultMemberUniqueName="[Medlemstal Opdateret].[MedlemstalBevaegelse_Key].[All]" allUniqueName="[Medlemstal Opdateret].[MedlemstalBevaegelse_Key].[All]" dimensionUniqueName="[Medlemstal Opdateret]" displayFolder="" count="0" unbalanced="0" hidden="1"/>
    <cacheHierarchy uniqueName="[Medlemstal Opdateret].[Postnummer_Key]" caption="Postnummer_Key" attribute="1" defaultMemberUniqueName="[Medlemstal Opdateret].[Postnummer_Key].[All]" allUniqueName="[Medlemstal Opdateret].[Postnummer_Key].[All]" dimensionUniqueName="[Medlemstal Opdateret]" displayFolder="" count="0" unbalanced="0" hidden="1"/>
    <cacheHierarchy uniqueName="[Medlemstal Opdateret].[RapporteringsMaanedAar]" caption="RapporteringsMaanedAar" attribute="1" defaultMemberUniqueName="[Medlemstal Opdateret].[RapporteringsMaanedAar].[All]" allUniqueName="[Medlemstal Opdateret].[RapporteringsMaanedAar].[All]" dimensionUniqueName="[Medlemstal Opdateret]" displayFolder="" count="0" unbalanced="0" hidden="1"/>
    <cacheHierarchy uniqueName="[Medlemstal Opdateret].[Uddannelse_Key]" caption="Uddannelse_Key" attribute="1" defaultMemberUniqueName="[Medlemstal Opdateret].[Uddannelse_Key].[All]" allUniqueName="[Medlemstal Opdateret].[Uddannelse_Key].[All]" dimensionUniqueName="[Medlemstal Opdateret]" displayFolder="" count="0" unbalanced="0" hidden="1"/>
    <cacheHierarchy uniqueName="[Medlemstal Opdateret].[Uddannelsesretning_Key]" caption="Uddannelsesretning_Key" attribute="1" defaultMemberUniqueName="[Medlemstal Opdateret].[Uddannelsesretning_Key].[All]" allUniqueName="[Medlemstal Opdateret].[Uddannelsesretning_Key].[All]" dimensionUniqueName="[Medlemstal Opdateret]" displayFolder="" count="0" unbalanced="0" hidden="1"/>
    <cacheHierarchy uniqueName="[Medlemstal Opdateret].[Uddannelsessted_Key]" caption="Uddannelsessted_Key" attribute="1" defaultMemberUniqueName="[Medlemstal Opdateret].[Uddannelsessted_Key].[All]" allUniqueName="[Medlemstal Opdateret].[Uddannelsessted_Key].[All]" dimensionUniqueName="[Medlemstal Opdateret]" displayFolder="" count="0" unbalanced="0" hidden="1"/>
    <cacheHierarchy uniqueName="[Medlemstal Opdateret].[Aarsag_Key]" caption="Aarsag_Key" attribute="1" defaultMemberUniqueName="[Medlemstal Opdateret].[Aarsag_Key].[All]" allUniqueName="[Medlemstal Opdateret].[Aarsag_Key].[All]" dimensionUniqueName="[Medlemstal Opdateret]" displayFolder="" count="0" unbalanced="0" hidden="1"/>
    <cacheHierarchy uniqueName="[Medlemstal Økonomibudget].[#MedlemstalOekonomibudget]" caption="#MedlemstalOekonomibudget" attribute="1" defaultMemberUniqueName="[Medlemstal Økonomibudget].[#MedlemstalOekonomibudget].[All]" allUniqueName="[Medlemstal Økonomibudget].[#MedlemstalOekonomibudget].[All]" dimensionUniqueName="[Medlemstal Økonomibudget]" displayFolder="" count="0" unbalanced="0" hidden="1"/>
    <cacheHierarchy uniqueName="[Medlemstal Økonomibudget].[Betalingsstatus_Key]" caption="Betalingsstatus_Key" attribute="1" defaultMemberUniqueName="[Medlemstal Økonomibudget].[Betalingsstatus_Key].[All]" allUniqueName="[Medlemstal Økonomibudget].[Betalingsstatus_Key].[All]" dimensionUniqueName="[Medlemstal Økonomibudget]" displayFolder="" count="0" unbalanced="0" hidden="1"/>
    <cacheHierarchy uniqueName="[Medlemstal Økonomibudget].[Dato]" caption="Dato" attribute="1" defaultMemberUniqueName="[Medlemstal Økonomibudget].[Dato].[All]" allUniqueName="[Medlemstal Økonomibudget].[Dato].[All]" dimensionUniqueName="[Medlemstal Økonomibudget]" displayFolder="" count="0" unbalanced="0" hidden="1"/>
    <cacheHierarchy uniqueName="[Medlemstal Økonomibudget].[Medlemsstatus_Key]" caption="Medlemsstatus_Key" attribute="1" defaultMemberUniqueName="[Medlemstal Økonomibudget].[Medlemsstatus_Key].[All]" allUniqueName="[Medlemstal Økonomibudget].[Medlemsstatus_Key].[All]" dimensionUniqueName="[Medlemstal Økonomibudget]" displayFolder="" count="0" unbalanced="0" hidden="1"/>
    <cacheHierarchy uniqueName="[Medlemstal Økonomibudget].[MedlemstalBevaegelse_Key]" caption="MedlemstalBevaegelse_Key" attribute="1" defaultMemberUniqueName="[Medlemstal Økonomibudget].[MedlemstalBevaegelse_Key].[All]" allUniqueName="[Medlemstal Økonomibudget].[MedlemstalBevaegelse_Key].[All]" dimensionUniqueName="[Medlemstal Økonomibudget]" displayFolder="" count="0" unbalanced="0" hidden="1"/>
    <cacheHierarchy uniqueName="[Medlemstal Økonomibudget].[RapporteringsMaanedAar]" caption="RapporteringsMaanedAar" attribute="1" defaultMemberUniqueName="[Medlemstal Økonomibudget].[RapporteringsMaanedAar].[All]" allUniqueName="[Medlemstal Økonomibudget].[RapporteringsMaanedAar].[All]" dimensionUniqueName="[Medlemstal Økonomibudget]" displayFolder="" count="0" unbalanced="0" hidden="1"/>
    <cacheHierarchy uniqueName="[Medlemstal Økonomibudget].[Aarsag_Key]" caption="Aarsag_Key" attribute="1" defaultMemberUniqueName="[Medlemstal Økonomibudget].[Aarsag_Key].[All]" allUniqueName="[Medlemstal Økonomibudget].[Aarsag_Key].[All]" dimensionUniqueName="[Medlemstal Økonomibudget]" displayFolder="" count="0" unbalanced="0" hidden="1"/>
    <cacheHierarchy uniqueName="[Normtimer].[#DageIPeriode]" caption="#DageIPeriode" attribute="1" defaultMemberUniqueName="[Normtimer].[#DageIPeriode].[All]" allUniqueName="[Normtimer].[#DageIPeriode].[All]" dimensionUniqueName="[Normtimer]" displayFolder="" count="0" unbalanced="0" hidden="1"/>
    <cacheHierarchy uniqueName="[Normtimer].[#Normtimer]" caption="#Normtimer" attribute="1" defaultMemberUniqueName="[Normtimer].[#Normtimer].[All]" allUniqueName="[Normtimer].[#Normtimer].[All]" dimensionUniqueName="[Normtimer]" displayFolder="" count="0" unbalanced="0" hidden="1"/>
    <cacheHierarchy uniqueName="[Normtimer].[Dato]" caption="Dato" attribute="1" defaultMemberUniqueName="[Normtimer].[Dato].[All]" allUniqueName="[Normtimer].[Dato].[All]" dimensionUniqueName="[Normtimer]" displayFolder="" count="0" unbalanced="0" hidden="1"/>
    <cacheHierarchy uniqueName="[Normtimer].[Medarbejder_Key]" caption="Medarbejder_Key" attribute="1" defaultMemberUniqueName="[Normtimer].[Medarbejder_Key].[All]" allUniqueName="[Normtimer].[Medarbejder_Key].[All]" dimensionUniqueName="[Normtimer]" displayFolder="" count="0" unbalanced="0" hidden="1"/>
    <cacheHierarchy uniqueName="[Normtimer].[RapporteringsMaanedAar]" caption="RapporteringsMaanedAar" attribute="1" defaultMemberUniqueName="[Normtimer].[RapporteringsMaanedAar].[All]" allUniqueName="[Normtimer].[RapporteringsMaanedAar].[All]" dimensionUniqueName="[Normtimer]" displayFolder="" count="0" unbalanced="0" hidden="1"/>
    <cacheHierarchy uniqueName="[Normtimer].[Team_Key]" caption="Team_Key" attribute="1" defaultMemberUniqueName="[Normtimer].[Team_Key].[All]" allUniqueName="[Normtimer].[Team_Key].[All]" dimensionUniqueName="[Normtimer]" displayFolder="" count="0" unbalanced="0" hidden="1"/>
    <cacheHierarchy uniqueName="[Normtimer Fuldtid].[#NormtimerFuldtid]" caption="#NormtimerFuldtid" attribute="1" defaultMemberUniqueName="[Normtimer Fuldtid].[#NormtimerFuldtid].[All]" allUniqueName="[Normtimer Fuldtid].[#NormtimerFuldtid].[All]" dimensionUniqueName="[Normtimer Fuldtid]" displayFolder="" count="0" unbalanced="0" hidden="1"/>
    <cacheHierarchy uniqueName="[Normtimer Fuldtid].[#NormtimerFuldtidsnorm]" caption="#NormtimerFuldtidsnorm" attribute="1" defaultMemberUniqueName="[Normtimer Fuldtid].[#NormtimerFuldtidsnorm].[All]" allUniqueName="[Normtimer Fuldtid].[#NormtimerFuldtidsnorm].[All]" dimensionUniqueName="[Normtimer Fuldtid]" displayFolder="" count="0" unbalanced="0" hidden="1"/>
    <cacheHierarchy uniqueName="[Normtimer Fuldtid].[Dato]" caption="Dato" attribute="1" defaultMemberUniqueName="[Normtimer Fuldtid].[Dato].[All]" allUniqueName="[Normtimer Fuldtid].[Dato].[All]" dimensionUniqueName="[Normtimer Fuldtid]" displayFolder="" count="0" unbalanced="0" hidden="1"/>
    <cacheHierarchy uniqueName="[Normtimer Fuldtid].[RapporteringsMaanedAar]" caption="RapporteringsMaanedAar" attribute="1" defaultMemberUniqueName="[Normtimer Fuldtid].[RapporteringsMaanedAar].[All]" allUniqueName="[Normtimer Fuldtid].[RapporteringsMaanedAar].[All]" dimensionUniqueName="[Normtimer Fuldtid]" displayFolder="" count="0" unbalanced="0" hidden="1"/>
    <cacheHierarchy uniqueName="[Opkaldsresultat].[Opkaldsresultat_BK]" caption="Opkaldsresultat_BK" attribute="1" defaultMemberUniqueName="[Opkaldsresultat].[Opkaldsresultat_BK].[All]" allUniqueName="[Opkaldsresultat].[Opkaldsresultat_BK].[All]" dimensionUniqueName="[Opkaldsresultat]" displayFolder="" count="0" unbalanced="0" hidden="1"/>
    <cacheHierarchy uniqueName="[Opkaldsresultat].[Opkaldsresultat_Key]" caption="Opkaldsresultat_Key" attribute="1" defaultMemberUniqueName="[Opkaldsresultat].[Opkaldsresultat_Key].[All]" allUniqueName="[Opkaldsresultat].[Opkaldsresultat_Key].[All]" dimensionUniqueName="[Opkaldsresultat]" displayFolder="" count="0" unbalanced="0" hidden="1"/>
    <cacheHierarchy uniqueName="[Opkaldsresultat].[OpkaldsresultatSortering]" caption="OpkaldsresultatSortering" attribute="1" defaultMemberUniqueName="[Opkaldsresultat].[OpkaldsresultatSortering].[All]" allUniqueName="[Opkaldsresultat].[OpkaldsresultatSortering].[All]" dimensionUniqueName="[Opkaldsresultat]" displayFolder="" count="0" unbalanced="0" hidden="1"/>
    <cacheHierarchy uniqueName="[Opkaldstype].[Opkaldstype_BK]" caption="Opkaldstype_BK" attribute="1" defaultMemberUniqueName="[Opkaldstype].[Opkaldstype_BK].[All]" allUniqueName="[Opkaldstype].[Opkaldstype_BK].[All]" dimensionUniqueName="[Opkaldstype]" displayFolder="" count="0" unbalanced="0" hidden="1"/>
    <cacheHierarchy uniqueName="[Opkaldstype].[Opkaldstype_Key]" caption="Opkaldstype_Key" attribute="1" defaultMemberUniqueName="[Opkaldstype].[Opkaldstype_Key].[All]" allUniqueName="[Opkaldstype].[Opkaldstype_Key].[All]" dimensionUniqueName="[Opkaldstype]" displayFolder="" count="0" unbalanced="0" hidden="1"/>
    <cacheHierarchy uniqueName="[Postnummer].[Postnummer_Key]" caption="Postnummer_Key" attribute="1" defaultMemberUniqueName="[Postnummer].[Postnummer_Key].[All]" allUniqueName="[Postnummer].[Postnummer_Key].[All]" dimensionUniqueName="[Postnummer]" displayFolder="" count="0" unbalanced="0" hidden="1"/>
    <cacheHierarchy uniqueName="[Rapporteringskvartal].[#Antal Uger I Perioden]" caption="#Antal Uger I Perioden" attribute="1" defaultMemberUniqueName="[Rapporteringskvartal].[#Antal Uger I Perioden].[All]" allUniqueName="[Rapporteringskvartal].[#Antal Uger I Perioden].[All]" dimensionUniqueName="[Rapporteringskvartal]" displayFolder="" count="0" unbalanced="0" hidden="1"/>
    <cacheHierarchy uniqueName="[Rapporteringskvartal].[RapporteringsKvartalAar]" caption="RapporteringsKvartalAar" attribute="1" defaultMemberUniqueName="[Rapporteringskvartal].[RapporteringsKvartalAar].[All]" allUniqueName="[Rapporteringskvartal].[RapporteringsKvartalAar].[All]" dimensionUniqueName="[Rapporteringskvartal]" displayFolder="" count="0" unbalanced="0" hidden="1"/>
    <cacheHierarchy uniqueName="[Rapporteringsmåned].[#Antal Uger I Perioden]" caption="#Antal Uger I Perioden" attribute="1" time="1" defaultMemberUniqueName="[Rapporteringsmåned].[#Antal Uger I Perioden].[All]" allUniqueName="[Rapporteringsmåned].[#Antal Uger I Perioden].[All]" dimensionUniqueName="[Rapporteringsmåned]" displayFolder="" count="0" unbalanced="0" hidden="1"/>
    <cacheHierarchy uniqueName="[Rapporteringsmåned].[RapporteringsMaanedDato]" caption="RapporteringsMaanedDato" attribute="1" time="1" keyAttribute="1" defaultMemberUniqueName="[Rapporteringsmåned].[RapporteringsMaanedDato].[All]" allUniqueName="[Rapporteringsmåned].[RapporteringsMaanedDato].[All]" dimensionUniqueName="[Rapporteringsmåned]" displayFolder="" count="0" unbalanced="0" hidden="1"/>
    <cacheHierarchy uniqueName="[Rapporteringsmåned].[RapporteringsMaanedPeriodeNr]" caption="RapporteringsMaanedPeriodeNr" attribute="1" time="1" defaultMemberUniqueName="[Rapporteringsmåned].[RapporteringsMaanedPeriodeNr].[All]" allUniqueName="[Rapporteringsmåned].[RapporteringsMaanedPeriodeNr].[All]" dimensionUniqueName="[Rapporteringsmåned]" displayFolder="" count="0" unbalanced="0" hidden="1"/>
    <cacheHierarchy uniqueName="[Rapporteringsmåned].[RapporteringsMaanedAar]" caption="RapporteringsMaanedAar" attribute="1" time="1" defaultMemberUniqueName="[Rapporteringsmåned].[RapporteringsMaanedAar].[All]" allUniqueName="[Rapporteringsmåned].[RapporteringsMaanedAar].[All]" dimensionUniqueName="[Rapporteringsmåned]" displayFolder="" count="0" unbalanced="0" hidden="1"/>
    <cacheHierarchy uniqueName="[Rapporteringsår].[#Antal Uger I Perioden]" caption="#Antal Uger I Perioden" attribute="1" defaultMemberUniqueName="[Rapporteringsår].[#Antal Uger I Perioden].[All]" allUniqueName="[Rapporteringsår].[#Antal Uger I Perioden].[All]" dimensionUniqueName="[Rapporteringsår]" displayFolder="" count="0" unbalanced="0" hidden="1"/>
    <cacheHierarchy uniqueName="[Rapporteringsår].[RapporteringsAar]" caption="RapporteringsAar" attribute="1" defaultMemberUniqueName="[Rapporteringsår].[RapporteringsAar].[All]" allUniqueName="[Rapporteringsår].[RapporteringsAar].[All]" dimensionUniqueName="[Rapporteringsår]" displayFolder="" count="0" unbalanced="0" hidden="1"/>
    <cacheHierarchy uniqueName="[Sagsbehandling].[#Sager]" caption="#Sager" attribute="1" defaultMemberUniqueName="[Sagsbehandling].[#Sager].[All]" allUniqueName="[Sagsbehandling].[#Sager].[All]" dimensionUniqueName="[Sagsbehandling]" displayFolder="" count="0" unbalanced="0" hidden="1"/>
    <cacheHierarchy uniqueName="[Sagsbehandling].[#Sagsbehandlingstid]" caption="#Sagsbehandlingstid" attribute="1" defaultMemberUniqueName="[Sagsbehandling].[#Sagsbehandlingstid].[All]" allUniqueName="[Sagsbehandling].[#Sagsbehandlingstid].[All]" dimensionUniqueName="[Sagsbehandling]" displayFolder="" count="0" unbalanced="0" hidden="1"/>
    <cacheHierarchy uniqueName="[Sagsbehandling].[#Svartid]" caption="#Svartid" attribute="1" defaultMemberUniqueName="[Sagsbehandling].[#Svartid].[All]" allUniqueName="[Sagsbehandling].[#Svartid].[All]" dimensionUniqueName="[Sagsbehandling]" displayFolder="" count="0" unbalanced="0" hidden="1"/>
    <cacheHierarchy uniqueName="[Sagsbehandling].[Aktivitetstype_Key]" caption="Aktivitetstype_Key" attribute="1" defaultMemberUniqueName="[Sagsbehandling].[Aktivitetstype_Key].[All]" allUniqueName="[Sagsbehandling].[Aktivitetstype_Key].[All]" dimensionUniqueName="[Sagsbehandling]" displayFolder="" count="0" unbalanced="0" hidden="1"/>
    <cacheHierarchy uniqueName="[Sagsbehandling].[Alder_Key]" caption="Alder_Key" attribute="1" defaultMemberUniqueName="[Sagsbehandling].[Alder_Key].[All]" allUniqueName="[Sagsbehandling].[Alder_Key].[All]" dimensionUniqueName="[Sagsbehandling]" displayFolder="" count="0" unbalanced="0" hidden="1"/>
    <cacheHierarchy uniqueName="[Sagsbehandling].[AndenAKasse_Key]" caption="AndenAKasse_Key" attribute="1" defaultMemberUniqueName="[Sagsbehandling].[AndenAKasse_Key].[All]" allUniqueName="[Sagsbehandling].[AndenAKasse_Key].[All]" dimensionUniqueName="[Sagsbehandling]" displayFolder="" count="0" unbalanced="0" hidden="1"/>
    <cacheHierarchy uniqueName="[Sagsbehandling].[Ansvarligt_Team_Key]" caption="Ansvarligt_Team_Key" attribute="1" defaultMemberUniqueName="[Sagsbehandling].[Ansvarligt_Team_Key].[All]" allUniqueName="[Sagsbehandling].[Ansvarligt_Team_Key].[All]" dimensionUniqueName="[Sagsbehandling]" displayFolder="" count="0" unbalanced="0" hidden="1"/>
    <cacheHierarchy uniqueName="[Sagsbehandling].[Arbejdsgangstype_Key]" caption="Arbejdsgangstype_Key" attribute="1" defaultMemberUniqueName="[Sagsbehandling].[Arbejdsgangstype_Key].[All]" allUniqueName="[Sagsbehandling].[Arbejdsgangstype_Key].[All]" dimensionUniqueName="[Sagsbehandling]" displayFolder="" count="0" unbalanced="0" hidden="1"/>
    <cacheHierarchy uniqueName="[Sagsbehandling].[Automatiseringstype_Key]" caption="Automatiseringstype_Key" attribute="1" defaultMemberUniqueName="[Sagsbehandling].[Automatiseringstype_Key].[All]" allUniqueName="[Sagsbehandling].[Automatiseringstype_Key].[All]" dimensionUniqueName="[Sagsbehandling]" displayFolder="" count="0" unbalanced="0" hidden="1"/>
    <cacheHierarchy uniqueName="[Sagsbehandling].[Betalingsstatus_Key]" caption="Betalingsstatus_Key" attribute="1" defaultMemberUniqueName="[Sagsbehandling].[Betalingsstatus_Key].[All]" allUniqueName="[Sagsbehandling].[Betalingsstatus_Key].[All]" dimensionUniqueName="[Sagsbehandling]" displayFolder="" count="0" unbalanced="0" hidden="1"/>
    <cacheHierarchy uniqueName="[Sagsbehandling].[FagligtTilhoersforhold_Key]" caption="FagligtTilhoersforhold_Key" attribute="1" defaultMemberUniqueName="[Sagsbehandling].[FagligtTilhoersforhold_Key].[All]" allUniqueName="[Sagsbehandling].[FagligtTilhoersforhold_Key].[All]" dimensionUniqueName="[Sagsbehandling]" displayFolder="" count="0" unbalanced="0" hidden="1"/>
    <cacheHierarchy uniqueName="[Sagsbehandling].[IndbetalerTilEfterloen_Key]" caption="IndbetalerTilEfterloen_Key" attribute="1" defaultMemberUniqueName="[Sagsbehandling].[IndbetalerTilEfterloen_Key].[All]" allUniqueName="[Sagsbehandling].[IndbetalerTilEfterloen_Key].[All]" dimensionUniqueName="[Sagsbehandling]" displayFolder="" count="0" unbalanced="0" hidden="1"/>
    <cacheHierarchy uniqueName="[Sagsbehandling].[KandidatAlder_Key]" caption="KandidatAlder_Key" attribute="1" defaultMemberUniqueName="[Sagsbehandling].[KandidatAlder_Key].[All]" allUniqueName="[Sagsbehandling].[KandidatAlder_Key].[All]" dimensionUniqueName="[Sagsbehandling]" displayFolder="" count="0" unbalanced="0" hidden="1"/>
    <cacheHierarchy uniqueName="[Sagsbehandling].[Kommune_Key]" caption="Kommune_Key" attribute="1" defaultMemberUniqueName="[Sagsbehandling].[Kommune_Key].[All]" allUniqueName="[Sagsbehandling].[Kommune_Key].[All]" dimensionUniqueName="[Sagsbehandling]" displayFolder="" count="0" unbalanced="0" hidden="1"/>
    <cacheHierarchy uniqueName="[Sagsbehandling].[Land_Key]" caption="Land_Key" attribute="1" defaultMemberUniqueName="[Sagsbehandling].[Land_Key].[All]" allUniqueName="[Sagsbehandling].[Land_Key].[All]" dimensionUniqueName="[Sagsbehandling]" displayFolder="" count="0" unbalanced="0" hidden="1"/>
    <cacheHierarchy uniqueName="[Sagsbehandling].[Medarbejder_Key]" caption="Medarbejder_Key" attribute="1" defaultMemberUniqueName="[Sagsbehandling].[Medarbejder_Key].[All]" allUniqueName="[Sagsbehandling].[Medarbejder_Key].[All]" dimensionUniqueName="[Sagsbehandling]" displayFolder="" count="0" unbalanced="0" hidden="1"/>
    <cacheHierarchy uniqueName="[Sagsbehandling].[Medlem_Key]" caption="Medlem_Key" attribute="1" defaultMemberUniqueName="[Sagsbehandling].[Medlem_Key].[All]" allUniqueName="[Sagsbehandling].[Medlem_Key].[All]" dimensionUniqueName="[Sagsbehandling]" displayFolder="" count="0" unbalanced="0" hidden="1"/>
    <cacheHierarchy uniqueName="[Sagsbehandling].[Medlemsstatus_Key]" caption="Medlemsstatus_Key" attribute="1" defaultMemberUniqueName="[Sagsbehandling].[Medlemsstatus_Key].[All]" allUniqueName="[Sagsbehandling].[Medlemsstatus_Key].[All]" dimensionUniqueName="[Sagsbehandling]" displayFolder="" count="0" unbalanced="0" hidden="1"/>
    <cacheHierarchy uniqueName="[Sagsbehandling].[Postnummer_Key]" caption="Postnummer_Key" attribute="1" defaultMemberUniqueName="[Sagsbehandling].[Postnummer_Key].[All]" allUniqueName="[Sagsbehandling].[Postnummer_Key].[All]" dimensionUniqueName="[Sagsbehandling]" displayFolder="" count="0" unbalanced="0" hidden="1"/>
    <cacheHierarchy uniqueName="[Sagsbehandling].[RapporteringsMaanedAr]" caption="RapporteringsMaanedAr" attribute="1" defaultMemberUniqueName="[Sagsbehandling].[RapporteringsMaanedAr].[All]" allUniqueName="[Sagsbehandling].[RapporteringsMaanedAr].[All]" dimensionUniqueName="[Sagsbehandling]" displayFolder="" count="0" unbalanced="0" hidden="1"/>
    <cacheHierarchy uniqueName="[Sagsbehandling].[Sagsstatus_Key]" caption="Sagsstatus_Key" attribute="1" defaultMemberUniqueName="[Sagsbehandling].[Sagsstatus_Key].[All]" allUniqueName="[Sagsbehandling].[Sagsstatus_Key].[All]" dimensionUniqueName="[Sagsbehandling]" displayFolder="" count="0" unbalanced="0" hidden="1"/>
    <cacheHierarchy uniqueName="[Sagsbehandling].[Sagstype_Key]" caption="Sagstype_Key" attribute="1" defaultMemberUniqueName="[Sagsbehandling].[Sagstype_Key].[All]" allUniqueName="[Sagsbehandling].[Sagstype_Key].[All]" dimensionUniqueName="[Sagsbehandling]" displayFolder="" count="0" unbalanced="0" hidden="1"/>
    <cacheHierarchy uniqueName="[Sagsbehandling].[Team_Key]" caption="Team_Key" attribute="1" defaultMemberUniqueName="[Sagsbehandling].[Team_Key].[All]" allUniqueName="[Sagsbehandling].[Team_Key].[All]" dimensionUniqueName="[Sagsbehandling]" displayFolder="" count="0" unbalanced="0" hidden="1"/>
    <cacheHierarchy uniqueName="[Sagsbehandling].[Uddannelse_Key]" caption="Uddannelse_Key" attribute="1" defaultMemberUniqueName="[Sagsbehandling].[Uddannelse_Key].[All]" allUniqueName="[Sagsbehandling].[Uddannelse_Key].[All]" dimensionUniqueName="[Sagsbehandling]" displayFolder="" count="0" unbalanced="0" hidden="1"/>
    <cacheHierarchy uniqueName="[Sagsbehandling].[Uddannelsessted_Key]" caption="Uddannelsessted_Key" attribute="1" defaultMemberUniqueName="[Sagsbehandling].[Uddannelsessted_Key].[All]" allUniqueName="[Sagsbehandling].[Uddannelsessted_Key].[All]" dimensionUniqueName="[Sagsbehandling]" displayFolder="" count="0" unbalanced="0" hidden="1"/>
    <cacheHierarchy uniqueName="[Sagsbehandling].[Aarsag_Key]" caption="Aarsag_Key" attribute="1" defaultMemberUniqueName="[Sagsbehandling].[Aarsag_Key].[All]" allUniqueName="[Sagsbehandling].[Aarsag_Key].[All]" dimensionUniqueName="[Sagsbehandling]" displayFolder="" count="0" unbalanced="0" hidden="1"/>
    <cacheHierarchy uniqueName="[Samtaler].[AftaleAfholdelsesstatus_Key]" caption="AftaleAfholdelsesstatus_Key" attribute="1" defaultMemberUniqueName="[Samtaler].[AftaleAfholdelsesstatus_Key].[All]" allUniqueName="[Samtaler].[AftaleAfholdelsesstatus_Key].[All]" dimensionUniqueName="[Samtaler]" displayFolder="" count="0" unbalanced="0" hidden="1"/>
    <cacheHierarchy uniqueName="[Samtaler].[AftaleID]" caption="AftaleID" attribute="1" defaultMemberUniqueName="[Samtaler].[AftaleID].[All]" allUniqueName="[Samtaler].[AftaleID].[All]" dimensionUniqueName="[Samtaler]" displayFolder="" count="0" unbalanced="0" hidden="1"/>
    <cacheHierarchy uniqueName="[Samtaler].[Aftalestatus_Key]" caption="Aftalestatus_Key" attribute="1" defaultMemberUniqueName="[Samtaler].[Aftalestatus_Key].[All]" allUniqueName="[Samtaler].[Aftalestatus_Key].[All]" dimensionUniqueName="[Samtaler]" displayFolder="" count="0" unbalanced="0" hidden="1"/>
    <cacheHierarchy uniqueName="[Samtaler].[Aftaletype_Key]" caption="Aftaletype_Key" attribute="1" defaultMemberUniqueName="[Samtaler].[Aftaletype_Key].[All]" allUniqueName="[Samtaler].[Aftaletype_Key].[All]" dimensionUniqueName="[Samtaler]" displayFolder="" count="0" unbalanced="0" hidden="1"/>
    <cacheHierarchy uniqueName="[Samtaler].[Alder_Key]" caption="Alder_Key" attribute="1" defaultMemberUniqueName="[Samtaler].[Alder_Key].[All]" allUniqueName="[Samtaler].[Alder_Key].[All]" dimensionUniqueName="[Samtaler]" displayFolder="" count="0" unbalanced="0" hidden="1"/>
    <cacheHierarchy uniqueName="[Samtaler].[AndenAkasse_Key]" caption="AndenAkasse_Key" attribute="1" defaultMemberUniqueName="[Samtaler].[AndenAkasse_Key].[All]" allUniqueName="[Samtaler].[AndenAkasse_Key].[All]" dimensionUniqueName="[Samtaler]" displayFolder="" count="0" unbalanced="0" hidden="1"/>
    <cacheHierarchy uniqueName="[Samtaler].[Ansvarligt_Team_Key]" caption="Ansvarligt_Team_Key" attribute="1" defaultMemberUniqueName="[Samtaler].[Ansvarligt_Team_Key].[All]" allUniqueName="[Samtaler].[Ansvarligt_Team_Key].[All]" dimensionUniqueName="[Samtaler]" displayFolder="" count="0" unbalanced="0" hidden="1"/>
    <cacheHierarchy uniqueName="[Samtaler].[Betalingsstatus_Key]" caption="Betalingsstatus_Key" attribute="1" defaultMemberUniqueName="[Samtaler].[Betalingsstatus_Key].[All]" allUniqueName="[Samtaler].[Betalingsstatus_Key].[All]" dimensionUniqueName="[Samtaler]" displayFolder="" count="0" unbalanced="0" hidden="1"/>
    <cacheHierarchy uniqueName="[Samtaler].[Dato]" caption="Dato" attribute="1" defaultMemberUniqueName="[Samtaler].[Dato].[All]" allUniqueName="[Samtaler].[Dato].[All]" dimensionUniqueName="[Samtaler]" displayFolder="" count="0" unbalanced="0" hidden="1"/>
    <cacheHierarchy uniqueName="[Samtaler].[DimittendDato]" caption="DimittendDato" attribute="1" defaultMemberUniqueName="[Samtaler].[DimittendDato].[All]" allUniqueName="[Samtaler].[DimittendDato].[All]" dimensionUniqueName="[Samtaler]" displayFolder="" count="0" unbalanced="0" hidden="1"/>
    <cacheHierarchy uniqueName="[Samtaler].[FagligtTilhoersforhold_Key]" caption="FagligtTilhoersforhold_Key" attribute="1" defaultMemberUniqueName="[Samtaler].[FagligtTilhoersforhold_Key].[All]" allUniqueName="[Samtaler].[FagligtTilhoersforhold_Key].[All]" dimensionUniqueName="[Samtaler]" displayFolder="" count="0" unbalanced="0" hidden="1"/>
    <cacheHierarchy uniqueName="[Samtaler].[Forloeb_Key]" caption="Forloeb_Key" attribute="1" defaultMemberUniqueName="[Samtaler].[Forloeb_Key].[All]" allUniqueName="[Samtaler].[Forloeb_Key].[All]" dimensionUniqueName="[Samtaler]" displayFolder="" count="0" unbalanced="0" hidden="1"/>
    <cacheHierarchy uniqueName="[Samtaler].[IndbetalerTilEfterloen_Key]" caption="IndbetalerTilEfterloen_Key" attribute="1" defaultMemberUniqueName="[Samtaler].[IndbetalerTilEfterloen_Key].[All]" allUniqueName="[Samtaler].[IndbetalerTilEfterloen_Key].[All]" dimensionUniqueName="[Samtaler]" displayFolder="" count="0" unbalanced="0" hidden="1"/>
    <cacheHierarchy uniqueName="[Samtaler].[KandidatAlder_Key]" caption="KandidatAlder_Key" attribute="1" defaultMemberUniqueName="[Samtaler].[KandidatAlder_Key].[All]" allUniqueName="[Samtaler].[KandidatAlder_Key].[All]" dimensionUniqueName="[Samtaler]" displayFolder="" count="0" unbalanced="0" hidden="1"/>
    <cacheHierarchy uniqueName="[Samtaler].[Kommune_Key]" caption="Kommune_Key" attribute="1" defaultMemberUniqueName="[Samtaler].[Kommune_Key].[All]" allUniqueName="[Samtaler].[Kommune_Key].[All]" dimensionUniqueName="[Samtaler]" displayFolder="" count="0" unbalanced="0" hidden="1"/>
    <cacheHierarchy uniqueName="[Samtaler].[Land_Key]" caption="Land_Key" attribute="1" defaultMemberUniqueName="[Samtaler].[Land_Key].[All]" allUniqueName="[Samtaler].[Land_Key].[All]" dimensionUniqueName="[Samtaler]" displayFolder="" count="0" unbalanced="0" hidden="1"/>
    <cacheHierarchy uniqueName="[Samtaler].[Medarbejder_Key]" caption="Medarbejder_Key" attribute="1" defaultMemberUniqueName="[Samtaler].[Medarbejder_Key].[All]" allUniqueName="[Samtaler].[Medarbejder_Key].[All]" dimensionUniqueName="[Samtaler]" displayFolder="" count="0" unbalanced="0" hidden="1"/>
    <cacheHierarchy uniqueName="[Samtaler].[Medlem_Key]" caption="Medlem_Key" attribute="1" defaultMemberUniqueName="[Samtaler].[Medlem_Key].[All]" allUniqueName="[Samtaler].[Medlem_Key].[All]" dimensionUniqueName="[Samtaler]" displayFolder="" count="0" unbalanced="0" hidden="1"/>
    <cacheHierarchy uniqueName="[Samtaler].[Medlemsstatus_Key]" caption="Medlemsstatus_Key" attribute="1" defaultMemberUniqueName="[Samtaler].[Medlemsstatus_Key].[All]" allUniqueName="[Samtaler].[Medlemsstatus_Key].[All]" dimensionUniqueName="[Samtaler]" displayFolder="" count="0" unbalanced="0" hidden="1"/>
    <cacheHierarchy uniqueName="[Samtaler].[Postnummer_Key]" caption="Postnummer_Key" attribute="1" defaultMemberUniqueName="[Samtaler].[Postnummer_Key].[All]" allUniqueName="[Samtaler].[Postnummer_Key].[All]" dimensionUniqueName="[Samtaler]" displayFolder="" count="0" unbalanced="0" hidden="1"/>
    <cacheHierarchy uniqueName="[Samtaler].[RapporteringsMaanedAar]" caption="RapporteringsMaanedAar" attribute="1" defaultMemberUniqueName="[Samtaler].[RapporteringsMaanedAar].[All]" allUniqueName="[Samtaler].[RapporteringsMaanedAar].[All]" dimensionUniqueName="[Samtaler]" displayFolder="" count="0" unbalanced="0" hidden="1"/>
    <cacheHierarchy uniqueName="[Samtaler].[Straks Booket]" caption="Straks Booket" attribute="1" defaultMemberUniqueName="[Samtaler].[Straks Booket].[All]" allUniqueName="[Samtaler].[Straks Booket].[All]" dimensionUniqueName="[Samtaler]" displayFolder="" count="0" unbalanced="0" hidden="1"/>
    <cacheHierarchy uniqueName="[Samtaler].[Team_Key]" caption="Team_Key" attribute="1" defaultMemberUniqueName="[Samtaler].[Team_Key].[All]" allUniqueName="[Samtaler].[Team_Key].[All]" dimensionUniqueName="[Samtaler]" displayFolder="" count="0" unbalanced="0" hidden="1"/>
    <cacheHierarchy uniqueName="[Samtaler].[Uddannelse_Key]" caption="Uddannelse_Key" attribute="1" defaultMemberUniqueName="[Samtaler].[Uddannelse_Key].[All]" allUniqueName="[Samtaler].[Uddannelse_Key].[All]" dimensionUniqueName="[Samtaler]" displayFolder="" count="0" unbalanced="0" hidden="1"/>
    <cacheHierarchy uniqueName="[Samtaler].[Uddannelsessted_Key]" caption="Uddannelsessted_Key" attribute="1" defaultMemberUniqueName="[Samtaler].[Uddannelsessted_Key].[All]" allUniqueName="[Samtaler].[Uddannelsessted_Key].[All]" dimensionUniqueName="[Samtaler]" displayFolder="" count="0" unbalanced="0" hidden="1"/>
    <cacheHierarchy uniqueName="[Samtaler].[Aarsag_Key]" caption="Aarsag_Key" attribute="1" defaultMemberUniqueName="[Samtaler].[Aarsag_Key].[All]" allUniqueName="[Samtaler].[Aarsag_Key].[All]" dimensionUniqueName="[Samtaler]" displayFolder="" count="0" unbalanced="0" hidden="1"/>
    <cacheHierarchy uniqueName="[Selvbetjeningsbeskeder].[#Behandlingstid]" caption="#Behandlingstid" attribute="1" defaultMemberUniqueName="[Selvbetjeningsbeskeder].[#Behandlingstid].[All]" allUniqueName="[Selvbetjeningsbeskeder].[#Behandlingstid].[All]" dimensionUniqueName="[Selvbetjeningsbeskeder]" displayFolder="" count="0" unbalanced="0" hidden="1"/>
    <cacheHierarchy uniqueName="[Selvbetjeningsbeskeder].[#Beskeder]" caption="#Beskeder" attribute="1" defaultMemberUniqueName="[Selvbetjeningsbeskeder].[#Beskeder].[All]" allUniqueName="[Selvbetjeningsbeskeder].[#Beskeder].[All]" dimensionUniqueName="[Selvbetjeningsbeskeder]" displayFolder="" count="0" unbalanced="0" hidden="1"/>
    <cacheHierarchy uniqueName="[Selvbetjeningsbeskeder].[#Svartid]" caption="#Svartid" attribute="1" defaultMemberUniqueName="[Selvbetjeningsbeskeder].[#Svartid].[All]" allUniqueName="[Selvbetjeningsbeskeder].[#Svartid].[All]" dimensionUniqueName="[Selvbetjeningsbeskeder]" displayFolder="" count="0" unbalanced="0" hidden="1"/>
    <cacheHierarchy uniqueName="[Selvbetjeningsbeskeder].[Aktivitetsstatus_Key]" caption="Aktivitetsstatus_Key" attribute="1" defaultMemberUniqueName="[Selvbetjeningsbeskeder].[Aktivitetsstatus_Key].[All]" allUniqueName="[Selvbetjeningsbeskeder].[Aktivitetsstatus_Key].[All]" dimensionUniqueName="[Selvbetjeningsbeskeder]" displayFolder="" count="0" unbalanced="0" hidden="1"/>
    <cacheHierarchy uniqueName="[Selvbetjeningsbeskeder].[Aktivitetstype_Key]" caption="Aktivitetstype_Key" attribute="1" defaultMemberUniqueName="[Selvbetjeningsbeskeder].[Aktivitetstype_Key].[All]" allUniqueName="[Selvbetjeningsbeskeder].[Aktivitetstype_Key].[All]" dimensionUniqueName="[Selvbetjeningsbeskeder]" displayFolder="" count="0" unbalanced="0" hidden="1"/>
    <cacheHierarchy uniqueName="[Selvbetjeningsbeskeder].[Alder_Key]" caption="Alder_Key" attribute="1" defaultMemberUniqueName="[Selvbetjeningsbeskeder].[Alder_Key].[All]" allUniqueName="[Selvbetjeningsbeskeder].[Alder_Key].[All]" dimensionUniqueName="[Selvbetjeningsbeskeder]" displayFolder="" count="0" unbalanced="0" hidden="1"/>
    <cacheHierarchy uniqueName="[Selvbetjeningsbeskeder].[AndenAKasse_Key]" caption="AndenAKasse_Key" attribute="1" defaultMemberUniqueName="[Selvbetjeningsbeskeder].[AndenAKasse_Key].[All]" allUniqueName="[Selvbetjeningsbeskeder].[AndenAKasse_Key].[All]" dimensionUniqueName="[Selvbetjeningsbeskeder]" displayFolder="" count="0" unbalanced="0" hidden="1"/>
    <cacheHierarchy uniqueName="[Selvbetjeningsbeskeder].[Ansvarligt_Team_Key]" caption="Ansvarligt_Team_Key" attribute="1" defaultMemberUniqueName="[Selvbetjeningsbeskeder].[Ansvarligt_Team_Key].[All]" allUniqueName="[Selvbetjeningsbeskeder].[Ansvarligt_Team_Key].[All]" dimensionUniqueName="[Selvbetjeningsbeskeder]" displayFolder="" count="0" unbalanced="0" hidden="1"/>
    <cacheHierarchy uniqueName="[Selvbetjeningsbeskeder].[Betalingsstatus_Key]" caption="Betalingsstatus_Key" attribute="1" defaultMemberUniqueName="[Selvbetjeningsbeskeder].[Betalingsstatus_Key].[All]" allUniqueName="[Selvbetjeningsbeskeder].[Betalingsstatus_Key].[All]" dimensionUniqueName="[Selvbetjeningsbeskeder]" displayFolder="" count="0" unbalanced="0" hidden="1"/>
    <cacheHierarchy uniqueName="[Selvbetjeningsbeskeder].[FagligtTilhoersforhold_Key]" caption="FagligtTilhoersforhold_Key" attribute="1" defaultMemberUniqueName="[Selvbetjeningsbeskeder].[FagligtTilhoersforhold_Key].[All]" allUniqueName="[Selvbetjeningsbeskeder].[FagligtTilhoersforhold_Key].[All]" dimensionUniqueName="[Selvbetjeningsbeskeder]" displayFolder="" count="0" unbalanced="0" hidden="1"/>
    <cacheHierarchy uniqueName="[Selvbetjeningsbeskeder].[IndbetalerTilEfterloen_Key]" caption="IndbetalerTilEfterloen_Key" attribute="1" defaultMemberUniqueName="[Selvbetjeningsbeskeder].[IndbetalerTilEfterloen_Key].[All]" allUniqueName="[Selvbetjeningsbeskeder].[IndbetalerTilEfterloen_Key].[All]" dimensionUniqueName="[Selvbetjeningsbeskeder]" displayFolder="" count="0" unbalanced="0" hidden="1"/>
    <cacheHierarchy uniqueName="[Selvbetjeningsbeskeder].[JobMatchKortErOverskredet]" caption="JobMatchKortErOverskredet" attribute="1" defaultMemberUniqueName="[Selvbetjeningsbeskeder].[JobMatchKortErOverskredet].[All]" allUniqueName="[Selvbetjeningsbeskeder].[JobMatchKortErOverskredet].[All]" dimensionUniqueName="[Selvbetjeningsbeskeder]" displayFolder="" count="0" unbalanced="0" hidden="1"/>
    <cacheHierarchy uniqueName="[Selvbetjeningsbeskeder].[JobMatchLangErOverskredet]" caption="JobMatchLangErOverskredet" attribute="1" defaultMemberUniqueName="[Selvbetjeningsbeskeder].[JobMatchLangErOverskredet].[All]" allUniqueName="[Selvbetjeningsbeskeder].[JobMatchLangErOverskredet].[All]" dimensionUniqueName="[Selvbetjeningsbeskeder]" displayFolder="" count="0" unbalanced="0" hidden="1"/>
    <cacheHierarchy uniqueName="[Selvbetjeningsbeskeder].[KandidatAlder_Key]" caption="KandidatAlder_Key" attribute="1" defaultMemberUniqueName="[Selvbetjeningsbeskeder].[KandidatAlder_Key].[All]" allUniqueName="[Selvbetjeningsbeskeder].[KandidatAlder_Key].[All]" dimensionUniqueName="[Selvbetjeningsbeskeder]" displayFolder="" count="0" unbalanced="0" hidden="1"/>
    <cacheHierarchy uniqueName="[Selvbetjeningsbeskeder].[Kommune_Key]" caption="Kommune_Key" attribute="1" defaultMemberUniqueName="[Selvbetjeningsbeskeder].[Kommune_Key].[All]" allUniqueName="[Selvbetjeningsbeskeder].[Kommune_Key].[All]" dimensionUniqueName="[Selvbetjeningsbeskeder]" displayFolder="" count="0" unbalanced="0" hidden="1"/>
    <cacheHierarchy uniqueName="[Selvbetjeningsbeskeder].[Land_Key]" caption="Land_Key" attribute="1" defaultMemberUniqueName="[Selvbetjeningsbeskeder].[Land_Key].[All]" allUniqueName="[Selvbetjeningsbeskeder].[Land_Key].[All]" dimensionUniqueName="[Selvbetjeningsbeskeder]" displayFolder="" count="0" unbalanced="0" hidden="1"/>
    <cacheHierarchy uniqueName="[Selvbetjeningsbeskeder].[Medarbejder_Key]" caption="Medarbejder_Key" attribute="1" defaultMemberUniqueName="[Selvbetjeningsbeskeder].[Medarbejder_Key].[All]" allUniqueName="[Selvbetjeningsbeskeder].[Medarbejder_Key].[All]" dimensionUniqueName="[Selvbetjeningsbeskeder]" displayFolder="" count="0" unbalanced="0" hidden="1"/>
    <cacheHierarchy uniqueName="[Selvbetjeningsbeskeder].[Medlem_Key]" caption="Medlem_Key" attribute="1" defaultMemberUniqueName="[Selvbetjeningsbeskeder].[Medlem_Key].[All]" allUniqueName="[Selvbetjeningsbeskeder].[Medlem_Key].[All]" dimensionUniqueName="[Selvbetjeningsbeskeder]" displayFolder="" count="0" unbalanced="0" hidden="1"/>
    <cacheHierarchy uniqueName="[Selvbetjeningsbeskeder].[Medlemsstatus_Key]" caption="Medlemsstatus_Key" attribute="1" defaultMemberUniqueName="[Selvbetjeningsbeskeder].[Medlemsstatus_Key].[All]" allUniqueName="[Selvbetjeningsbeskeder].[Medlemsstatus_Key].[All]" dimensionUniqueName="[Selvbetjeningsbeskeder]" displayFolder="" count="0" unbalanced="0" hidden="1"/>
    <cacheHierarchy uniqueName="[Selvbetjeningsbeskeder].[Postnummer_Key]" caption="Postnummer_Key" attribute="1" defaultMemberUniqueName="[Selvbetjeningsbeskeder].[Postnummer_Key].[All]" allUniqueName="[Selvbetjeningsbeskeder].[Postnummer_Key].[All]" dimensionUniqueName="[Selvbetjeningsbeskeder]" displayFolder="" count="0" unbalanced="0" hidden="1"/>
    <cacheHierarchy uniqueName="[Selvbetjeningsbeskeder].[RapporteringsMaanedAr]" caption="RapporteringsMaanedAr" attribute="1" defaultMemberUniqueName="[Selvbetjeningsbeskeder].[RapporteringsMaanedAr].[All]" allUniqueName="[Selvbetjeningsbeskeder].[RapporteringsMaanedAr].[All]" dimensionUniqueName="[Selvbetjeningsbeskeder]" displayFolder="" count="0" unbalanced="0" hidden="1"/>
    <cacheHierarchy uniqueName="[Selvbetjeningsbeskeder].[Selvbetjeningsbesked_BK]" caption="Selvbetjeningsbesked_BK" attribute="1" defaultMemberUniqueName="[Selvbetjeningsbeskeder].[Selvbetjeningsbesked_BK].[All]" allUniqueName="[Selvbetjeningsbeskeder].[Selvbetjeningsbesked_BK].[All]" dimensionUniqueName="[Selvbetjeningsbeskeder]" displayFolder="" count="0" unbalanced="0" hidden="1"/>
    <cacheHierarchy uniqueName="[Selvbetjeningsbeskeder].[Team_Key]" caption="Team_Key" attribute="1" defaultMemberUniqueName="[Selvbetjeningsbeskeder].[Team_Key].[All]" allUniqueName="[Selvbetjeningsbeskeder].[Team_Key].[All]" dimensionUniqueName="[Selvbetjeningsbeskeder]" displayFolder="" count="0" unbalanced="0" hidden="1"/>
    <cacheHierarchy uniqueName="[Selvbetjeningsbeskeder].[Uddannelse_Key]" caption="Uddannelse_Key" attribute="1" defaultMemberUniqueName="[Selvbetjeningsbeskeder].[Uddannelse_Key].[All]" allUniqueName="[Selvbetjeningsbeskeder].[Uddannelse_Key].[All]" dimensionUniqueName="[Selvbetjeningsbeskeder]" displayFolder="" count="0" unbalanced="0" hidden="1"/>
    <cacheHierarchy uniqueName="[Selvbetjeningsbeskeder].[Uddannelsessted_Key]" caption="Uddannelsessted_Key" attribute="1" defaultMemberUniqueName="[Selvbetjeningsbeskeder].[Uddannelsessted_Key].[All]" allUniqueName="[Selvbetjeningsbeskeder].[Uddannelsessted_Key].[All]" dimensionUniqueName="[Selvbetjeningsbeskeder]" displayFolder="" count="0" unbalanced="0" hidden="1"/>
    <cacheHierarchy uniqueName="[Selvbetjeningsbeskeder].[Aarsag_Key]" caption="Aarsag_Key" attribute="1" defaultMemberUniqueName="[Selvbetjeningsbeskeder].[Aarsag_Key].[All]" allUniqueName="[Selvbetjeningsbeskeder].[Aarsag_Key].[All]" dimensionUniqueName="[Selvbetjeningsbeskeder]" displayFolder="" count="0" unbalanced="0" hidden="1"/>
    <cacheHierarchy uniqueName="[Service].[Service_BK]" caption="Service_BK" attribute="1" defaultMemberUniqueName="[Service].[Service_BK].[All]" allUniqueName="[Service].[Service_BK].[All]" dimensionUniqueName="[Service]" displayFolder="" count="0" unbalanced="0" hidden="1"/>
    <cacheHierarchy uniqueName="[Service].[Service_Key]" caption="Service_Key" attribute="1" defaultMemberUniqueName="[Service].[Service_Key].[All]" allUniqueName="[Service].[Service_Key].[All]" dimensionUniqueName="[Service]" displayFolder="" count="0" unbalanced="0" hidden="1"/>
    <cacheHierarchy uniqueName="[Service Viderestillet].[Service_BK]" caption="Service_BK" attribute="1" defaultMemberUniqueName="[Service Viderestillet].[Service_BK].[All]" allUniqueName="[Service Viderestillet].[Service_BK].[All]" dimensionUniqueName="[Service Viderestillet]" displayFolder="" count="0" unbalanced="0" hidden="1"/>
    <cacheHierarchy uniqueName="[Service Viderestillet].[ViderestilletTilService_Key]" caption="ViderestilletTilService_Key" attribute="1" defaultMemberUniqueName="[Service Viderestillet].[ViderestilletTilService_Key].[All]" allUniqueName="[Service Viderestillet].[ViderestilletTilService_Key].[All]" dimensionUniqueName="[Service Viderestillet]" displayFolder="" count="0" unbalanced="0" hidden="1"/>
    <cacheHierarchy uniqueName="[Sommerdimittender].[#Sommerdimittend]" caption="#Sommerdimittend" attribute="1" defaultMemberUniqueName="[Sommerdimittender].[#Sommerdimittend].[All]" allUniqueName="[Sommerdimittender].[#Sommerdimittend].[All]" dimensionUniqueName="[Sommerdimittender]" displayFolder="" count="0" unbalanced="0" hidden="1"/>
    <cacheHierarchy uniqueName="[Sommerdimittender].[RapporteringsMaanedAar]" caption="RapporteringsMaanedAar" attribute="1" defaultMemberUniqueName="[Sommerdimittender].[RapporteringsMaanedAar].[All]" allUniqueName="[Sommerdimittender].[RapporteringsMaanedAar].[All]" dimensionUniqueName="[Sommerdimittender]" displayFolder="" count="0" unbalanced="0" hidden="1"/>
    <cacheHierarchy uniqueName="[Sommerdimittender Kvartal].[#Sommerdimittend]" caption="#Sommerdimittend" attribute="1" defaultMemberUniqueName="[Sommerdimittender Kvartal].[#Sommerdimittend].[All]" allUniqueName="[Sommerdimittender Kvartal].[#Sommerdimittend].[All]" dimensionUniqueName="[Sommerdimittender Kvartal]" displayFolder="" count="0" unbalanced="0" hidden="1"/>
    <cacheHierarchy uniqueName="[Sommerdimittender Kvartal].[RapporteringsKvartalAar]" caption="RapporteringsKvartalAar" attribute="1" defaultMemberUniqueName="[Sommerdimittender Kvartal].[RapporteringsKvartalAar].[All]" allUniqueName="[Sommerdimittender Kvartal].[RapporteringsKvartalAar].[All]" dimensionUniqueName="[Sommerdimittender Kvartal]" displayFolder="" count="0" unbalanced="0" hidden="1"/>
    <cacheHierarchy uniqueName="[Sommerdimittender År].[#Sommerdimittend]" caption="#Sommerdimittend" attribute="1" defaultMemberUniqueName="[Sommerdimittender År].[#Sommerdimittend].[All]" allUniqueName="[Sommerdimittender År].[#Sommerdimittend].[All]" dimensionUniqueName="[Sommerdimittender År]" displayFolder="" count="0" unbalanced="0" hidden="1"/>
    <cacheHierarchy uniqueName="[Sommerdimittender År].[RapporteringsAar]" caption="RapporteringsAar" attribute="1" defaultMemberUniqueName="[Sommerdimittender År].[RapporteringsAar].[All]" allUniqueName="[Sommerdimittender År].[RapporteringsAar].[All]" dimensionUniqueName="[Sommerdimittender År]" displayFolder="" count="0" unbalanced="0" hidden="1"/>
    <cacheHierarchy uniqueName="[Stoptrin].[#Behandlingstid]" caption="#Behandlingstid" attribute="1" defaultMemberUniqueName="[Stoptrin].[#Behandlingstid].[All]" allUniqueName="[Stoptrin].[#Behandlingstid].[All]" dimensionUniqueName="[Stoptrin]" displayFolder="" count="0" unbalanced="0" hidden="1"/>
    <cacheHierarchy uniqueName="[Stoptrin].[Aktivitetstype_Key]" caption="Aktivitetstype_Key" attribute="1" defaultMemberUniqueName="[Stoptrin].[Aktivitetstype_Key].[All]" allUniqueName="[Stoptrin].[Aktivitetstype_Key].[All]" dimensionUniqueName="[Stoptrin]" displayFolder="" count="0" unbalanced="0" hidden="1"/>
    <cacheHierarchy uniqueName="[Stoptrin].[Alder_Key]" caption="Alder_Key" attribute="1" defaultMemberUniqueName="[Stoptrin].[Alder_Key].[All]" allUniqueName="[Stoptrin].[Alder_Key].[All]" dimensionUniqueName="[Stoptrin]" displayFolder="" count="0" unbalanced="0" hidden="1"/>
    <cacheHierarchy uniqueName="[Stoptrin].[AndenAKasse_Key]" caption="AndenAKasse_Key" attribute="1" defaultMemberUniqueName="[Stoptrin].[AndenAKasse_Key].[All]" allUniqueName="[Stoptrin].[AndenAKasse_Key].[All]" dimensionUniqueName="[Stoptrin]" displayFolder="" count="0" unbalanced="0" hidden="1"/>
    <cacheHierarchy uniqueName="[Stoptrin].[Arbejdsgangstype_Key]" caption="Arbejdsgangstype_Key" attribute="1" defaultMemberUniqueName="[Stoptrin].[Arbejdsgangstype_Key].[All]" allUniqueName="[Stoptrin].[Arbejdsgangstype_Key].[All]" dimensionUniqueName="[Stoptrin]" displayFolder="" count="0" unbalanced="0" hidden="1"/>
    <cacheHierarchy uniqueName="[Stoptrin].[Arbejdsgangtrin_Key]" caption="Arbejdsgangtrin_Key" attribute="1" defaultMemberUniqueName="[Stoptrin].[Arbejdsgangtrin_Key].[All]" allUniqueName="[Stoptrin].[Arbejdsgangtrin_Key].[All]" dimensionUniqueName="[Stoptrin]" displayFolder="" count="0" unbalanced="0" hidden="1"/>
    <cacheHierarchy uniqueName="[Stoptrin].[Arbejdsgangtrinstatus_Key]" caption="Arbejdsgangtrinstatus_Key" attribute="1" defaultMemberUniqueName="[Stoptrin].[Arbejdsgangtrinstatus_Key].[All]" allUniqueName="[Stoptrin].[Arbejdsgangtrinstatus_Key].[All]" dimensionUniqueName="[Stoptrin]" displayFolder="" count="0" unbalanced="0" hidden="1"/>
    <cacheHierarchy uniqueName="[Stoptrin].[Automatiseringstype_Key]" caption="Automatiseringstype_Key" attribute="1" defaultMemberUniqueName="[Stoptrin].[Automatiseringstype_Key].[All]" allUniqueName="[Stoptrin].[Automatiseringstype_Key].[All]" dimensionUniqueName="[Stoptrin]" displayFolder="" count="0" unbalanced="0" hidden="1"/>
    <cacheHierarchy uniqueName="[Stoptrin].[Betalingsstatus_Key]" caption="Betalingsstatus_Key" attribute="1" defaultMemberUniqueName="[Stoptrin].[Betalingsstatus_Key].[All]" allUniqueName="[Stoptrin].[Betalingsstatus_Key].[All]" dimensionUniqueName="[Stoptrin]" displayFolder="" count="0" unbalanced="0" hidden="1"/>
    <cacheHierarchy uniqueName="[Stoptrin].[FagligtTilhoersforhold_Key]" caption="FagligtTilhoersforhold_Key" attribute="1" defaultMemberUniqueName="[Stoptrin].[FagligtTilhoersforhold_Key].[All]" allUniqueName="[Stoptrin].[FagligtTilhoersforhold_Key].[All]" dimensionUniqueName="[Stoptrin]" displayFolder="" count="0" unbalanced="0" hidden="1"/>
    <cacheHierarchy uniqueName="[Stoptrin].[IndbetalerTilEfterloen_Key]" caption="IndbetalerTilEfterloen_Key" attribute="1" defaultMemberUniqueName="[Stoptrin].[IndbetalerTilEfterloen_Key].[All]" allUniqueName="[Stoptrin].[IndbetalerTilEfterloen_Key].[All]" dimensionUniqueName="[Stoptrin]" displayFolder="" count="0" unbalanced="0" hidden="1"/>
    <cacheHierarchy uniqueName="[Stoptrin].[KandidatAlder_Key]" caption="KandidatAlder_Key" attribute="1" defaultMemberUniqueName="[Stoptrin].[KandidatAlder_Key].[All]" allUniqueName="[Stoptrin].[KandidatAlder_Key].[All]" dimensionUniqueName="[Stoptrin]" displayFolder="" count="0" unbalanced="0" hidden="1"/>
    <cacheHierarchy uniqueName="[Stoptrin].[Kommune_Key]" caption="Kommune_Key" attribute="1" defaultMemberUniqueName="[Stoptrin].[Kommune_Key].[All]" allUniqueName="[Stoptrin].[Kommune_Key].[All]" dimensionUniqueName="[Stoptrin]" displayFolder="" count="0" unbalanced="0" hidden="1"/>
    <cacheHierarchy uniqueName="[Stoptrin].[Land_Key]" caption="Land_Key" attribute="1" defaultMemberUniqueName="[Stoptrin].[Land_Key].[All]" allUniqueName="[Stoptrin].[Land_Key].[All]" dimensionUniqueName="[Stoptrin]" displayFolder="" count="0" unbalanced="0" hidden="1"/>
    <cacheHierarchy uniqueName="[Stoptrin].[Medarbejder_Key]" caption="Medarbejder_Key" attribute="1" defaultMemberUniqueName="[Stoptrin].[Medarbejder_Key].[All]" allUniqueName="[Stoptrin].[Medarbejder_Key].[All]" dimensionUniqueName="[Stoptrin]" displayFolder="" count="0" unbalanced="0" hidden="1"/>
    <cacheHierarchy uniqueName="[Stoptrin].[Medlem_Key]" caption="Medlem_Key" attribute="1" defaultMemberUniqueName="[Stoptrin].[Medlem_Key].[All]" allUniqueName="[Stoptrin].[Medlem_Key].[All]" dimensionUniqueName="[Stoptrin]" displayFolder="" count="0" unbalanced="0" hidden="1"/>
    <cacheHierarchy uniqueName="[Stoptrin].[Medlemsstatus_Key]" caption="Medlemsstatus_Key" attribute="1" defaultMemberUniqueName="[Stoptrin].[Medlemsstatus_Key].[All]" allUniqueName="[Stoptrin].[Medlemsstatus_Key].[All]" dimensionUniqueName="[Stoptrin]" displayFolder="" count="0" unbalanced="0" hidden="1"/>
    <cacheHierarchy uniqueName="[Stoptrin].[Postnummer_Key]" caption="Postnummer_Key" attribute="1" defaultMemberUniqueName="[Stoptrin].[Postnummer_Key].[All]" allUniqueName="[Stoptrin].[Postnummer_Key].[All]" dimensionUniqueName="[Stoptrin]" displayFolder="" count="0" unbalanced="0" hidden="1"/>
    <cacheHierarchy uniqueName="[Stoptrin].[RapporteringsMaanedAr]" caption="RapporteringsMaanedAr" attribute="1" defaultMemberUniqueName="[Stoptrin].[RapporteringsMaanedAr].[All]" allUniqueName="[Stoptrin].[RapporteringsMaanedAr].[All]" dimensionUniqueName="[Stoptrin]" displayFolder="" count="0" unbalanced="0" hidden="1"/>
    <cacheHierarchy uniqueName="[Stoptrin].[Sagsstatus_Key]" caption="Sagsstatus_Key" attribute="1" defaultMemberUniqueName="[Stoptrin].[Sagsstatus_Key].[All]" allUniqueName="[Stoptrin].[Sagsstatus_Key].[All]" dimensionUniqueName="[Stoptrin]" displayFolder="" count="0" unbalanced="0" hidden="1"/>
    <cacheHierarchy uniqueName="[Stoptrin].[Sagstype_Key]" caption="Sagstype_Key" attribute="1" defaultMemberUniqueName="[Stoptrin].[Sagstype_Key].[All]" allUniqueName="[Stoptrin].[Sagstype_Key].[All]" dimensionUniqueName="[Stoptrin]" displayFolder="" count="0" unbalanced="0" hidden="1"/>
    <cacheHierarchy uniqueName="[Stoptrin].[Team_Key]" caption="Team_Key" attribute="1" defaultMemberUniqueName="[Stoptrin].[Team_Key].[All]" allUniqueName="[Stoptrin].[Team_Key].[All]" dimensionUniqueName="[Stoptrin]" displayFolder="" count="0" unbalanced="0" hidden="1"/>
    <cacheHierarchy uniqueName="[Stoptrin].[Uddannelse_Key]" caption="Uddannelse_Key" attribute="1" defaultMemberUniqueName="[Stoptrin].[Uddannelse_Key].[All]" allUniqueName="[Stoptrin].[Uddannelse_Key].[All]" dimensionUniqueName="[Stoptrin]" displayFolder="" count="0" unbalanced="0" hidden="1"/>
    <cacheHierarchy uniqueName="[Stoptrin].[Uddannelsessted_Key]" caption="Uddannelsessted_Key" attribute="1" defaultMemberUniqueName="[Stoptrin].[Uddannelsessted_Key].[All]" allUniqueName="[Stoptrin].[Uddannelsessted_Key].[All]" dimensionUniqueName="[Stoptrin]" displayFolder="" count="0" unbalanced="0" hidden="1"/>
    <cacheHierarchy uniqueName="[Stoptrin].[Aarsag_Key]" caption="Aarsag_Key" attribute="1" defaultMemberUniqueName="[Stoptrin].[Aarsag_Key].[All]" allUniqueName="[Stoptrin].[Aarsag_Key].[All]" dimensionUniqueName="[Stoptrin]" displayFolder="" count="0" unbalanced="0" hidden="1"/>
    <cacheHierarchy uniqueName="[Team].[Medtages]" caption="Medtages" attribute="1" defaultMemberUniqueName="[Team].[Medtages].[All]" allUniqueName="[Team].[Medtages].[All]" dimensionUniqueName="[Team]" displayFolder="" count="0" unbalanced="0" hidden="1"/>
    <cacheHierarchy uniqueName="[Team].[Team_Key]" caption="Team_Key" attribute="1" defaultMemberUniqueName="[Team].[Team_Key].[All]" allUniqueName="[Team].[Team_Key].[All]" dimensionUniqueName="[Team]" displayFolder="" count="0" unbalanced="0" hidden="1"/>
    <cacheHierarchy uniqueName="[Team anmelder].[JobID]" caption="JobID" attribute="1" defaultMemberUniqueName="[Team anmelder].[JobID].[All]" allUniqueName="[Team anmelder].[JobID].[All]" dimensionUniqueName="[Team anmelder]" displayFolder="" count="0" unbalanced="0" hidden="1"/>
    <cacheHierarchy uniqueName="[Team anmelder].[JobID_Opdateret]" caption="JobID_Opdateret" attribute="1" defaultMemberUniqueName="[Team anmelder].[JobID_Opdateret].[All]" allUniqueName="[Team anmelder].[JobID_Opdateret].[All]" dimensionUniqueName="[Team anmelder]" displayFolder="" count="0" unbalanced="0" hidden="1"/>
    <cacheHierarchy uniqueName="[Team anmelder].[Medtages]" caption="Medtages" attribute="1" defaultMemberUniqueName="[Team anmelder].[Medtages].[All]" allUniqueName="[Team anmelder].[Medtages].[All]" dimensionUniqueName="[Team anmelder]" displayFolder="" count="0" unbalanced="0" hidden="1"/>
    <cacheHierarchy uniqueName="[Team anmelder].[Team_BK]" caption="Team_BK" attribute="1" defaultMemberUniqueName="[Team anmelder].[Team_BK].[All]" allUniqueName="[Team anmelder].[Team_BK].[All]" dimensionUniqueName="[Team anmelder]" displayFolder="" count="0" unbalanced="0" hidden="1"/>
    <cacheHierarchy uniqueName="[Team anmelder].[Team_Key]" caption="Team_Key" attribute="1" defaultMemberUniqueName="[Team anmelder].[Team_Key].[All]" allUniqueName="[Team anmelder].[Team_Key].[All]" dimensionUniqueName="[Team anmelder]" displayFolder="" count="0" unbalanced="0" hidden="1"/>
    <cacheHierarchy uniqueName="[Team Viderestillet].[Team_BK]" caption="Team_BK" attribute="1" defaultMemberUniqueName="[Team Viderestillet].[Team_BK].[All]" allUniqueName="[Team Viderestillet].[Team_BK].[All]" dimensionUniqueName="[Team Viderestillet]" displayFolder="" count="0" unbalanced="0" hidden="1"/>
    <cacheHierarchy uniqueName="[Team Viderestillet].[ViderestilletTilTeam_Key]" caption="ViderestilletTilTeam_Key" attribute="1" defaultMemberUniqueName="[Team Viderestillet].[ViderestilletTilTeam_Key].[All]" allUniqueName="[Team Viderestillet].[ViderestilletTilTeam_Key].[All]" dimensionUniqueName="[Team Viderestillet]" displayFolder="" count="0" unbalanced="0" hidden="1"/>
    <cacheHierarchy uniqueName="[Telefon Indlogning].[#Indlogningstid]" caption="#Indlogningstid" attribute="1" defaultMemberUniqueName="[Telefon Indlogning].[#Indlogningstid].[All]" allUniqueName="[Telefon Indlogning].[#Indlogningstid].[All]" dimensionUniqueName="[Telefon Indlogning]" displayFolder="" count="0" unbalanced="0" hidden="1"/>
    <cacheHierarchy uniqueName="[Telefon Indlogning].[Dato]" caption="Dato" attribute="1" defaultMemberUniqueName="[Telefon Indlogning].[Dato].[All]" allUniqueName="[Telefon Indlogning].[Dato].[All]" dimensionUniqueName="[Telefon Indlogning]" displayFolder="" count="0" unbalanced="0" hidden="1"/>
    <cacheHierarchy uniqueName="[Telefon Indlogning].[Medarbejder_Key]" caption="Medarbejder_Key" attribute="1" defaultMemberUniqueName="[Telefon Indlogning].[Medarbejder_Key].[All]" allUniqueName="[Telefon Indlogning].[Medarbejder_Key].[All]" dimensionUniqueName="[Telefon Indlogning]" displayFolder="" count="0" unbalanced="0" hidden="1"/>
    <cacheHierarchy uniqueName="[Telefon Indlogning].[RapporteringsMaanedAar]" caption="RapporteringsMaanedAar" attribute="1" defaultMemberUniqueName="[Telefon Indlogning].[RapporteringsMaanedAar].[All]" allUniqueName="[Telefon Indlogning].[RapporteringsMaanedAar].[All]" dimensionUniqueName="[Telefon Indlogning]" displayFolder="" count="0" unbalanced="0" hidden="1"/>
    <cacheHierarchy uniqueName="[Telefon Indlogning].[Team_Key]" caption="Team_Key" attribute="1" defaultMemberUniqueName="[Telefon Indlogning].[Team_Key].[All]" allUniqueName="[Telefon Indlogning].[Team_Key].[All]" dimensionUniqueName="[Telefon Indlogning]" displayFolder="" count="0" unbalanced="0" hidden="1"/>
    <cacheHierarchy uniqueName="[Telefon Indlogning].[TidPaaDagen_Key]" caption="TidPaaDagen_Key" attribute="1" defaultMemberUniqueName="[Telefon Indlogning].[TidPaaDagen_Key].[All]" allUniqueName="[Telefon Indlogning].[TidPaaDagen_Key].[All]" dimensionUniqueName="[Telefon Indlogning]" displayFolder="" count="0" unbalanced="0" hidden="1"/>
    <cacheHierarchy uniqueName="[Telefonopkald].[#AntalOpkald]" caption="#AntalOpkald" attribute="1" defaultMemberUniqueName="[Telefonopkald].[#AntalOpkald].[All]" allUniqueName="[Telefonopkald].[#AntalOpkald].[All]" dimensionUniqueName="[Telefonopkald]" displayFolder="" count="0" unbalanced="0" hidden="1"/>
    <cacheHierarchy uniqueName="[Telefonopkald].[#Samtaletid]" caption="#Samtaletid" attribute="1" defaultMemberUniqueName="[Telefonopkald].[#Samtaletid].[All]" allUniqueName="[Telefonopkald].[#Samtaletid].[All]" dimensionUniqueName="[Telefonopkald]" displayFolder="" count="0" unbalanced="0" hidden="1"/>
    <cacheHierarchy uniqueName="[Telefonopkald].[#Ventetid]" caption="#Ventetid" attribute="1" defaultMemberUniqueName="[Telefonopkald].[#Ventetid].[All]" allUniqueName="[Telefonopkald].[#Ventetid].[All]" dimensionUniqueName="[Telefonopkald]" displayFolder="" count="0" unbalanced="0" hidden="1"/>
    <cacheHierarchy uniqueName="[Telefonopkald].[Alder_Key]" caption="Alder_Key" attribute="1" defaultMemberUniqueName="[Telefonopkald].[Alder_Key].[All]" allUniqueName="[Telefonopkald].[Alder_Key].[All]" dimensionUniqueName="[Telefonopkald]" displayFolder="" count="0" unbalanced="0" hidden="1"/>
    <cacheHierarchy uniqueName="[Telefonopkald].[AndenAkasse_Key]" caption="AndenAkasse_Key" attribute="1" defaultMemberUniqueName="[Telefonopkald].[AndenAkasse_Key].[All]" allUniqueName="[Telefonopkald].[AndenAkasse_Key].[All]" dimensionUniqueName="[Telefonopkald]" displayFolder="" count="0" unbalanced="0" hidden="1"/>
    <cacheHierarchy uniqueName="[Telefonopkald].[Betalingsstatus_Key]" caption="Betalingsstatus_Key" attribute="1" defaultMemberUniqueName="[Telefonopkald].[Betalingsstatus_Key].[All]" allUniqueName="[Telefonopkald].[Betalingsstatus_Key].[All]" dimensionUniqueName="[Telefonopkald]" displayFolder="" count="0" unbalanced="0" hidden="1"/>
    <cacheHierarchy uniqueName="[Telefonopkald].[Dato]" caption="Dato" attribute="1" defaultMemberUniqueName="[Telefonopkald].[Dato].[All]" allUniqueName="[Telefonopkald].[Dato].[All]" dimensionUniqueName="[Telefonopkald]" displayFolder="" count="0" unbalanced="0" hidden="1"/>
    <cacheHierarchy uniqueName="[Telefonopkald].[DimittendDato]" caption="DimittendDato" attribute="1" defaultMemberUniqueName="[Telefonopkald].[DimittendDato].[All]" allUniqueName="[Telefonopkald].[DimittendDato].[All]" dimensionUniqueName="[Telefonopkald]" displayFolder="" count="0" unbalanced="0" hidden="1"/>
    <cacheHierarchy uniqueName="[Telefonopkald].[FagligtTilhoersforhold_Key]" caption="FagligtTilhoersforhold_Key" attribute="1" defaultMemberUniqueName="[Telefonopkald].[FagligtTilhoersforhold_Key].[All]" allUniqueName="[Telefonopkald].[FagligtTilhoersforhold_Key].[All]" dimensionUniqueName="[Telefonopkald]" displayFolder="" count="0" unbalanced="0" hidden="1"/>
    <cacheHierarchy uniqueName="[Telefonopkald].[IndbetalerTilEfterloen_Key]" caption="IndbetalerTilEfterloen_Key" attribute="1" defaultMemberUniqueName="[Telefonopkald].[IndbetalerTilEfterloen_Key].[All]" allUniqueName="[Telefonopkald].[IndbetalerTilEfterloen_Key].[All]" dimensionUniqueName="[Telefonopkald]" displayFolder="" count="0" unbalanced="0" hidden="1"/>
    <cacheHierarchy uniqueName="[Telefonopkald].[KandidatAlder_Key]" caption="KandidatAlder_Key" attribute="1" defaultMemberUniqueName="[Telefonopkald].[KandidatAlder_Key].[All]" allUniqueName="[Telefonopkald].[KandidatAlder_Key].[All]" dimensionUniqueName="[Telefonopkald]" displayFolder="" count="0" unbalanced="0" hidden="1"/>
    <cacheHierarchy uniqueName="[Telefonopkald].[Kommune_Key]" caption="Kommune_Key" attribute="1" defaultMemberUniqueName="[Telefonopkald].[Kommune_Key].[All]" allUniqueName="[Telefonopkald].[Kommune_Key].[All]" dimensionUniqueName="[Telefonopkald]" displayFolder="" count="0" unbalanced="0" hidden="1"/>
    <cacheHierarchy uniqueName="[Telefonopkald].[Land_Key]" caption="Land_Key" attribute="1" defaultMemberUniqueName="[Telefonopkald].[Land_Key].[All]" allUniqueName="[Telefonopkald].[Land_Key].[All]" dimensionUniqueName="[Telefonopkald]" displayFolder="" count="0" unbalanced="0" hidden="1"/>
    <cacheHierarchy uniqueName="[Telefonopkald].[Medarbejder_Key]" caption="Medarbejder_Key" attribute="1" defaultMemberUniqueName="[Telefonopkald].[Medarbejder_Key].[All]" allUniqueName="[Telefonopkald].[Medarbejder_Key].[All]" dimensionUniqueName="[Telefonopkald]" displayFolder="" count="0" unbalanced="0" hidden="1"/>
    <cacheHierarchy uniqueName="[Telefonopkald].[Medlem_Key]" caption="Medlem_Key" attribute="1" defaultMemberUniqueName="[Telefonopkald].[Medlem_Key].[All]" allUniqueName="[Telefonopkald].[Medlem_Key].[All]" dimensionUniqueName="[Telefonopkald]" displayFolder="" count="0" unbalanced="0" hidden="1"/>
    <cacheHierarchy uniqueName="[Telefonopkald].[Medlemsstatus_Key]" caption="Medlemsstatus_Key" attribute="1" defaultMemberUniqueName="[Telefonopkald].[Medlemsstatus_Key].[All]" allUniqueName="[Telefonopkald].[Medlemsstatus_Key].[All]" dimensionUniqueName="[Telefonopkald]" displayFolder="" count="0" unbalanced="0" hidden="1"/>
    <cacheHierarchy uniqueName="[Telefonopkald].[Opkaldsresultat_Key]" caption="Opkaldsresultat_Key" attribute="1" defaultMemberUniqueName="[Telefonopkald].[Opkaldsresultat_Key].[All]" allUniqueName="[Telefonopkald].[Opkaldsresultat_Key].[All]" dimensionUniqueName="[Telefonopkald]" displayFolder="" count="0" unbalanced="0" hidden="1"/>
    <cacheHierarchy uniqueName="[Telefonopkald].[Opkaldstype_Key]" caption="Opkaldstype_Key" attribute="1" defaultMemberUniqueName="[Telefonopkald].[Opkaldstype_Key].[All]" allUniqueName="[Telefonopkald].[Opkaldstype_Key].[All]" dimensionUniqueName="[Telefonopkald]" displayFolder="" count="0" unbalanced="0" hidden="1"/>
    <cacheHierarchy uniqueName="[Telefonopkald].[Postnummer_Key]" caption="Postnummer_Key" attribute="1" defaultMemberUniqueName="[Telefonopkald].[Postnummer_Key].[All]" allUniqueName="[Telefonopkald].[Postnummer_Key].[All]" dimensionUniqueName="[Telefonopkald]" displayFolder="" count="0" unbalanced="0" hidden="1"/>
    <cacheHierarchy uniqueName="[Telefonopkald].[RapporteringsMaanedAar]" caption="RapporteringsMaanedAar" attribute="1" defaultMemberUniqueName="[Telefonopkald].[RapporteringsMaanedAar].[All]" allUniqueName="[Telefonopkald].[RapporteringsMaanedAar].[All]" dimensionUniqueName="[Telefonopkald]" displayFolder="" count="0" unbalanced="0" hidden="1"/>
    <cacheHierarchy uniqueName="[Telefonopkald].[Service_Key]" caption="Service_Key" attribute="1" defaultMemberUniqueName="[Telefonopkald].[Service_Key].[All]" allUniqueName="[Telefonopkald].[Service_Key].[All]" dimensionUniqueName="[Telefonopkald]" displayFolder="" count="0" unbalanced="0" hidden="1"/>
    <cacheHierarchy uniqueName="[Telefonopkald].[Team_Key]" caption="Team_Key" attribute="1" defaultMemberUniqueName="[Telefonopkald].[Team_Key].[All]" allUniqueName="[Telefonopkald].[Team_Key].[All]" dimensionUniqueName="[Telefonopkald]" displayFolder="" count="0" unbalanced="0" hidden="1"/>
    <cacheHierarchy uniqueName="[Telefonopkald].[TidPaaDagen_Key]" caption="TidPaaDagen_Key" attribute="1" defaultMemberUniqueName="[Telefonopkald].[TidPaaDagen_Key].[All]" allUniqueName="[Telefonopkald].[TidPaaDagen_Key].[All]" dimensionUniqueName="[Telefonopkald]" displayFolder="" count="0" unbalanced="0" hidden="1"/>
    <cacheHierarchy uniqueName="[Telefonopkald].[Uddannelse_Key]" caption="Uddannelse_Key" attribute="1" defaultMemberUniqueName="[Telefonopkald].[Uddannelse_Key].[All]" allUniqueName="[Telefonopkald].[Uddannelse_Key].[All]" dimensionUniqueName="[Telefonopkald]" displayFolder="" count="0" unbalanced="0" hidden="1"/>
    <cacheHierarchy uniqueName="[Telefonopkald].[Uddannelsessted_Key]" caption="Uddannelsessted_Key" attribute="1" defaultMemberUniqueName="[Telefonopkald].[Uddannelsessted_Key].[All]" allUniqueName="[Telefonopkald].[Uddannelsessted_Key].[All]" dimensionUniqueName="[Telefonopkald]" displayFolder="" count="0" unbalanced="0" hidden="1"/>
    <cacheHierarchy uniqueName="[Telefonopkald].[VarighedSamtaletid_Key]" caption="VarighedSamtaletid_Key" attribute="1" defaultMemberUniqueName="[Telefonopkald].[VarighedSamtaletid_Key].[All]" allUniqueName="[Telefonopkald].[VarighedSamtaletid_Key].[All]" dimensionUniqueName="[Telefonopkald]" displayFolder="" count="0" unbalanced="0" hidden="1"/>
    <cacheHierarchy uniqueName="[Telefonopkald].[VarighedVentetid_Key]" caption="VarighedVentetid_Key" attribute="1" defaultMemberUniqueName="[Telefonopkald].[VarighedVentetid_Key].[All]" allUniqueName="[Telefonopkald].[VarighedVentetid_Key].[All]" dimensionUniqueName="[Telefonopkald]" displayFolder="" count="0" unbalanced="0" hidden="1"/>
    <cacheHierarchy uniqueName="[Telefonopkald].[Viderestillet_Key]" caption="Viderestillet_Key" attribute="1" defaultMemberUniqueName="[Telefonopkald].[Viderestillet_Key].[All]" allUniqueName="[Telefonopkald].[Viderestillet_Key].[All]" dimensionUniqueName="[Telefonopkald]" displayFolder="" count="0" unbalanced="0" hidden="1"/>
    <cacheHierarchy uniqueName="[Telefonopkald].[ViderestilletTilMedarbejder_Key]" caption="ViderestilletTilMedarbejder_Key" attribute="1" defaultMemberUniqueName="[Telefonopkald].[ViderestilletTilMedarbejder_Key].[All]" allUniqueName="[Telefonopkald].[ViderestilletTilMedarbejder_Key].[All]" dimensionUniqueName="[Telefonopkald]" displayFolder="" count="0" unbalanced="0" hidden="1"/>
    <cacheHierarchy uniqueName="[Telefonopkald].[ViderestilletTilService_Key]" caption="ViderestilletTilService_Key" attribute="1" defaultMemberUniqueName="[Telefonopkald].[ViderestilletTilService_Key].[All]" allUniqueName="[Telefonopkald].[ViderestilletTilService_Key].[All]" dimensionUniqueName="[Telefonopkald]" displayFolder="" count="0" unbalanced="0" hidden="1"/>
    <cacheHierarchy uniqueName="[Telefonopkald].[ViderestilletTilTeam_Key]" caption="ViderestilletTilTeam_Key" attribute="1" defaultMemberUniqueName="[Telefonopkald].[ViderestilletTilTeam_Key].[All]" allUniqueName="[Telefonopkald].[ViderestilletTilTeam_Key].[All]" dimensionUniqueName="[Telefonopkald]" displayFolder="" count="0" unbalanced="0" hidden="1"/>
    <cacheHierarchy uniqueName="[Telefonopkald].[Aarsag_Key]" caption="Aarsag_Key" attribute="1" defaultMemberUniqueName="[Telefonopkald].[Aarsag_Key].[All]" allUniqueName="[Telefonopkald].[Aarsag_Key].[All]" dimensionUniqueName="[Telefonopkald]" displayFolder="" count="0" unbalanced="0" hidden="1"/>
    <cacheHierarchy uniqueName="[Tid på dagen].[HalveTimeINT]" caption="HalveTimeINT" attribute="1" defaultMemberUniqueName="[Tid på dagen].[HalveTimeINT].[All]" allUniqueName="[Tid på dagen].[HalveTimeINT].[All]" dimensionUniqueName="[Tid på dagen]" displayFolder="" count="0" unbalanced="0" hidden="1"/>
    <cacheHierarchy uniqueName="[Tid på dagen].[HalveTimePaaDagenINT]" caption="HalveTimePaaDagenINT" attribute="1" defaultMemberUniqueName="[Tid på dagen].[HalveTimePaaDagenINT].[All]" allUniqueName="[Tid på dagen].[HalveTimePaaDagenINT].[All]" dimensionUniqueName="[Tid på dagen]" displayFolder="" count="0" unbalanced="0" hidden="1"/>
    <cacheHierarchy uniqueName="[Tid på dagen].[KvarterINT]" caption="KvarterINT" attribute="1" defaultMemberUniqueName="[Tid på dagen].[KvarterINT].[All]" allUniqueName="[Tid på dagen].[KvarterINT].[All]" dimensionUniqueName="[Tid på dagen]" displayFolder="" count="0" unbalanced="0" hidden="1"/>
    <cacheHierarchy uniqueName="[Tid på dagen].[KvarterPaaDagenINT]" caption="KvarterPaaDagenINT" attribute="1" defaultMemberUniqueName="[Tid på dagen].[KvarterPaaDagenINT].[All]" allUniqueName="[Tid på dagen].[KvarterPaaDagenINT].[All]" dimensionUniqueName="[Tid på dagen]" displayFolder="" count="0" unbalanced="0" hidden="1"/>
    <cacheHierarchy uniqueName="[Tid på dagen].[MinuttalINT]" caption="MinuttalINT" attribute="1" defaultMemberUniqueName="[Tid på dagen].[MinuttalINT].[All]" allUniqueName="[Tid på dagen].[MinuttalINT].[All]" dimensionUniqueName="[Tid på dagen]" displayFolder="" count="0" unbalanced="0" hidden="1"/>
    <cacheHierarchy uniqueName="[Tid på dagen].[TidPaaDagen_Key]" caption="TidPaaDagen_Key" attribute="1" defaultMemberUniqueName="[Tid på dagen].[TidPaaDagen_Key].[All]" allUniqueName="[Tid på dagen].[TidPaaDagen_Key].[All]" dimensionUniqueName="[Tid på dagen]" displayFolder="" count="0" unbalanced="0" hidden="1"/>
    <cacheHierarchy uniqueName="[Tid på dagen].[TimetalINT]" caption="TimetalINT" attribute="1" defaultMemberUniqueName="[Tid på dagen].[TimetalINT].[All]" allUniqueName="[Tid på dagen].[TimetalINT].[All]" dimensionUniqueName="[Tid på dagen]" displayFolder="" count="0" unbalanced="0" hidden="1"/>
    <cacheHierarchy uniqueName="[Uddannelse].[Uddannelse_BK]" caption="Uddannelse_BK" attribute="1" defaultMemberUniqueName="[Uddannelse].[Uddannelse_BK].[All]" allUniqueName="[Uddannelse].[Uddannelse_BK].[All]" dimensionUniqueName="[Uddannelse]" displayFolder="" count="0" unbalanced="0" hidden="1"/>
    <cacheHierarchy uniqueName="[Uddannelse].[Uddannelse_Key]" caption="Uddannelse_Key" attribute="1" defaultMemberUniqueName="[Uddannelse].[Uddannelse_Key].[All]" allUniqueName="[Uddannelse].[Uddannelse_Key].[All]" dimensionUniqueName="[Uddannelse]" displayFolder="" count="0" unbalanced="0" hidden="1"/>
    <cacheHierarchy uniqueName="[Uddannelsesretning].[Uddannelsesretning_BK]" caption="Uddannelsesretning_BK" attribute="1" defaultMemberUniqueName="[Uddannelsesretning].[Uddannelsesretning_BK].[All]" allUniqueName="[Uddannelsesretning].[Uddannelsesretning_BK].[All]" dimensionUniqueName="[Uddannelsesretning]" displayFolder="" count="0" unbalanced="0" hidden="1"/>
    <cacheHierarchy uniqueName="[Uddannelsesretning].[Uddannelsesretning_Key]" caption="Uddannelsesretning_Key" attribute="1" defaultMemberUniqueName="[Uddannelsesretning].[Uddannelsesretning_Key].[All]" allUniqueName="[Uddannelsesretning].[Uddannelsesretning_Key].[All]" dimensionUniqueName="[Uddannelsesretning]" displayFolder="" count="0" unbalanced="0" hidden="1"/>
    <cacheHierarchy uniqueName="[Uddannelsessted].[Uddannelsessted_BK]" caption="Uddannelsessted_BK" attribute="1" defaultMemberUniqueName="[Uddannelsessted].[Uddannelsessted_BK].[All]" allUniqueName="[Uddannelsessted].[Uddannelsessted_BK].[All]" dimensionUniqueName="[Uddannelsessted]" displayFolder="" count="0" unbalanced="0" hidden="1"/>
    <cacheHierarchy uniqueName="[Uddannelsessted].[Uddannelsessted_Key]" caption="Uddannelsessted_Key" attribute="1" defaultMemberUniqueName="[Uddannelsessted].[Uddannelsessted_Key].[All]" allUniqueName="[Uddannelsessted].[Uddannelsessted_Key].[All]" dimensionUniqueName="[Uddannelsessted]" displayFolder="" count="0" unbalanced="0" hidden="1"/>
    <cacheHierarchy uniqueName="[Varighed Samtaletid].[SortOrder]" caption="SortOrder" attribute="1" defaultMemberUniqueName="[Varighed Samtaletid].[SortOrder].[All]" allUniqueName="[Varighed Samtaletid].[SortOrder].[All]" dimensionUniqueName="[Varighed Samtaletid]" displayFolder="" count="0" unbalanced="0" hidden="1"/>
    <cacheHierarchy uniqueName="[Varighed Samtaletid].[SortOrderNiveau1]" caption="SortOrderNiveau1" attribute="1" defaultMemberUniqueName="[Varighed Samtaletid].[SortOrderNiveau1].[All]" allUniqueName="[Varighed Samtaletid].[SortOrderNiveau1].[All]" dimensionUniqueName="[Varighed Samtaletid]" displayFolder="" count="0" unbalanced="0" hidden="1"/>
    <cacheHierarchy uniqueName="[Varighed Samtaletid].[VarighedSamtaletid_BK]" caption="VarighedSamtaletid_BK" attribute="1" defaultMemberUniqueName="[Varighed Samtaletid].[VarighedSamtaletid_BK].[All]" allUniqueName="[Varighed Samtaletid].[VarighedSamtaletid_BK].[All]" dimensionUniqueName="[Varighed Samtaletid]" displayFolder="" count="0" unbalanced="0" hidden="1"/>
    <cacheHierarchy uniqueName="[Varighed Samtaletid].[VarighedSamtaletid_Key]" caption="VarighedSamtaletid_Key" attribute="1" defaultMemberUniqueName="[Varighed Samtaletid].[VarighedSamtaletid_Key].[All]" allUniqueName="[Varighed Samtaletid].[VarighedSamtaletid_Key].[All]" dimensionUniqueName="[Varighed Samtaletid]" displayFolder="" count="0" unbalanced="0" hidden="1"/>
    <cacheHierarchy uniqueName="[Varighed Ventetid].[SortOrder]" caption="SortOrder" attribute="1" defaultMemberUniqueName="[Varighed Ventetid].[SortOrder].[All]" allUniqueName="[Varighed Ventetid].[SortOrder].[All]" dimensionUniqueName="[Varighed Ventetid]" displayFolder="" count="0" unbalanced="0" hidden="1"/>
    <cacheHierarchy uniqueName="[Varighed Ventetid].[SortOrderNiveau1]" caption="SortOrderNiveau1" attribute="1" defaultMemberUniqueName="[Varighed Ventetid].[SortOrderNiveau1].[All]" allUniqueName="[Varighed Ventetid].[SortOrderNiveau1].[All]" dimensionUniqueName="[Varighed Ventetid]" displayFolder="" count="0" unbalanced="0" hidden="1"/>
    <cacheHierarchy uniqueName="[Varighed Ventetid].[VarighedVentetid_BK]" caption="VarighedVentetid_BK" attribute="1" defaultMemberUniqueName="[Varighed Ventetid].[VarighedVentetid_BK].[All]" allUniqueName="[Varighed Ventetid].[VarighedVentetid_BK].[All]" dimensionUniqueName="[Varighed Ventetid]" displayFolder="" count="0" unbalanced="0" hidden="1"/>
    <cacheHierarchy uniqueName="[Varighed Ventetid].[VarighedVentetid_Key]" caption="VarighedVentetid_Key" attribute="1" defaultMemberUniqueName="[Varighed Ventetid].[VarighedVentetid_Key].[All]" allUniqueName="[Varighed Ventetid].[VarighedVentetid_Key].[All]" dimensionUniqueName="[Varighed Ventetid]" displayFolder="" count="0" unbalanced="0" hidden="1"/>
    <cacheHierarchy uniqueName="[Venteliste].[AftaleAfholdelsesstatus_Key]" caption="AftaleAfholdelsesstatus_Key" attribute="1" defaultMemberUniqueName="[Venteliste].[AftaleAfholdelsesstatus_Key].[All]" allUniqueName="[Venteliste].[AftaleAfholdelsesstatus_Key].[All]" dimensionUniqueName="[Venteliste]" displayFolder="" count="0" unbalanced="0" hidden="1"/>
    <cacheHierarchy uniqueName="[Venteliste].[Aftalestatus_Key]" caption="Aftalestatus_Key" attribute="1" defaultMemberUniqueName="[Venteliste].[Aftalestatus_Key].[All]" allUniqueName="[Venteliste].[Aftalestatus_Key].[All]" dimensionUniqueName="[Venteliste]" displayFolder="" count="0" unbalanced="0" hidden="1"/>
    <cacheHierarchy uniqueName="[Venteliste].[Aftaletype_Key]" caption="Aftaletype_Key" attribute="1" defaultMemberUniqueName="[Venteliste].[Aftaletype_Key].[All]" allUniqueName="[Venteliste].[Aftaletype_Key].[All]" dimensionUniqueName="[Venteliste]" displayFolder="" count="0" unbalanced="0" hidden="1"/>
    <cacheHierarchy uniqueName="[Venteliste].[Alder_Key]" caption="Alder_Key" attribute="1" defaultMemberUniqueName="[Venteliste].[Alder_Key].[All]" allUniqueName="[Venteliste].[Alder_Key].[All]" dimensionUniqueName="[Venteliste]" displayFolder="" count="0" unbalanced="0" hidden="1"/>
    <cacheHierarchy uniqueName="[Venteliste].[AndenAkasse_Key]" caption="AndenAkasse_Key" attribute="1" defaultMemberUniqueName="[Venteliste].[AndenAkasse_Key].[All]" allUniqueName="[Venteliste].[AndenAkasse_Key].[All]" dimensionUniqueName="[Venteliste]" displayFolder="" count="0" unbalanced="0" hidden="1"/>
    <cacheHierarchy uniqueName="[Venteliste].[Arrangement_Key]" caption="Arrangement_Key" attribute="1" defaultMemberUniqueName="[Venteliste].[Arrangement_Key].[All]" allUniqueName="[Venteliste].[Arrangement_Key].[All]" dimensionUniqueName="[Venteliste]" displayFolder="" count="0" unbalanced="0" hidden="1"/>
    <cacheHierarchy uniqueName="[Venteliste].[Betalingsstatus_Key]" caption="Betalingsstatus_Key" attribute="1" defaultMemberUniqueName="[Venteliste].[Betalingsstatus_Key].[All]" allUniqueName="[Venteliste].[Betalingsstatus_Key].[All]" dimensionUniqueName="[Venteliste]" displayFolder="" count="0" unbalanced="0" hidden="1"/>
    <cacheHierarchy uniqueName="[Venteliste].[Dato]" caption="Dato" attribute="1" defaultMemberUniqueName="[Venteliste].[Dato].[All]" allUniqueName="[Venteliste].[Dato].[All]" dimensionUniqueName="[Venteliste]" displayFolder="" count="0" unbalanced="0" hidden="1"/>
    <cacheHierarchy uniqueName="[Venteliste].[DimittendDato]" caption="DimittendDato" attribute="1" defaultMemberUniqueName="[Venteliste].[DimittendDato].[All]" allUniqueName="[Venteliste].[DimittendDato].[All]" dimensionUniqueName="[Venteliste]" displayFolder="" count="0" unbalanced="0" hidden="1"/>
    <cacheHierarchy uniqueName="[Venteliste].[FagligtTilhoersforhold_Key]" caption="FagligtTilhoersforhold_Key" attribute="1" defaultMemberUniqueName="[Venteliste].[FagligtTilhoersforhold_Key].[All]" allUniqueName="[Venteliste].[FagligtTilhoersforhold_Key].[All]" dimensionUniqueName="[Venteliste]" displayFolder="" count="0" unbalanced="0" hidden="1"/>
    <cacheHierarchy uniqueName="[Venteliste].[IndbetalerTilEfterloen_Key]" caption="IndbetalerTilEfterloen_Key" attribute="1" defaultMemberUniqueName="[Venteliste].[IndbetalerTilEfterloen_Key].[All]" allUniqueName="[Venteliste].[IndbetalerTilEfterloen_Key].[All]" dimensionUniqueName="[Venteliste]" displayFolder="" count="0" unbalanced="0" hidden="1"/>
    <cacheHierarchy uniqueName="[Venteliste].[KandidatAlder_Key]" caption="KandidatAlder_Key" attribute="1" defaultMemberUniqueName="[Venteliste].[KandidatAlder_Key].[All]" allUniqueName="[Venteliste].[KandidatAlder_Key].[All]" dimensionUniqueName="[Venteliste]" displayFolder="" count="0" unbalanced="0" hidden="1"/>
    <cacheHierarchy uniqueName="[Venteliste].[Kommune_Key]" caption="Kommune_Key" attribute="1" defaultMemberUniqueName="[Venteliste].[Kommune_Key].[All]" allUniqueName="[Venteliste].[Kommune_Key].[All]" dimensionUniqueName="[Venteliste]" displayFolder="" count="0" unbalanced="0" hidden="1"/>
    <cacheHierarchy uniqueName="[Venteliste].[Land_Key]" caption="Land_Key" attribute="1" defaultMemberUniqueName="[Venteliste].[Land_Key].[All]" allUniqueName="[Venteliste].[Land_Key].[All]" dimensionUniqueName="[Venteliste]" displayFolder="" count="0" unbalanced="0" hidden="1"/>
    <cacheHierarchy uniqueName="[Venteliste].[Medarbejder_Key]" caption="Medarbejder_Key" attribute="1" defaultMemberUniqueName="[Venteliste].[Medarbejder_Key].[All]" allUniqueName="[Venteliste].[Medarbejder_Key].[All]" dimensionUniqueName="[Venteliste]" displayFolder="" count="0" unbalanced="0" hidden="1"/>
    <cacheHierarchy uniqueName="[Venteliste].[Medlem_Key]" caption="Medlem_Key" attribute="1" defaultMemberUniqueName="[Venteliste].[Medlem_Key].[All]" allUniqueName="[Venteliste].[Medlem_Key].[All]" dimensionUniqueName="[Venteliste]" displayFolder="" count="0" unbalanced="0" hidden="1"/>
    <cacheHierarchy uniqueName="[Venteliste].[Medlemsstatus_Key]" caption="Medlemsstatus_Key" attribute="1" defaultMemberUniqueName="[Venteliste].[Medlemsstatus_Key].[All]" allUniqueName="[Venteliste].[Medlemsstatus_Key].[All]" dimensionUniqueName="[Venteliste]" displayFolder="" count="0" unbalanced="0" hidden="1"/>
    <cacheHierarchy uniqueName="[Venteliste].[Postnummer_Key]" caption="Postnummer_Key" attribute="1" defaultMemberUniqueName="[Venteliste].[Postnummer_Key].[All]" allUniqueName="[Venteliste].[Postnummer_Key].[All]" dimensionUniqueName="[Venteliste]" displayFolder="" count="0" unbalanced="0" hidden="1"/>
    <cacheHierarchy uniqueName="[Venteliste].[RapporteringsMaanedAar]" caption="RapporteringsMaanedAar" attribute="1" defaultMemberUniqueName="[Venteliste].[RapporteringsMaanedAar].[All]" allUniqueName="[Venteliste].[RapporteringsMaanedAar].[All]" dimensionUniqueName="[Venteliste]" displayFolder="" count="0" unbalanced="0" hidden="1"/>
    <cacheHierarchy uniqueName="[Venteliste].[Team_Key]" caption="Team_Key" attribute="1" defaultMemberUniqueName="[Venteliste].[Team_Key].[All]" allUniqueName="[Venteliste].[Team_Key].[All]" dimensionUniqueName="[Venteliste]" displayFolder="" count="0" unbalanced="0" hidden="1"/>
    <cacheHierarchy uniqueName="[Venteliste].[Uddannelse_Key]" caption="Uddannelse_Key" attribute="1" defaultMemberUniqueName="[Venteliste].[Uddannelse_Key].[All]" allUniqueName="[Venteliste].[Uddannelse_Key].[All]" dimensionUniqueName="[Venteliste]" displayFolder="" count="0" unbalanced="0" hidden="1"/>
    <cacheHierarchy uniqueName="[Venteliste].[Uddannelsessted_Key]" caption="Uddannelsessted_Key" attribute="1" defaultMemberUniqueName="[Venteliste].[Uddannelsessted_Key].[All]" allUniqueName="[Venteliste].[Uddannelsessted_Key].[All]" dimensionUniqueName="[Venteliste]" displayFolder="" count="0" unbalanced="0" hidden="1"/>
    <cacheHierarchy uniqueName="[Venteliste].[VentelisteID]" caption="VentelisteID" attribute="1" defaultMemberUniqueName="[Venteliste].[VentelisteID].[All]" allUniqueName="[Venteliste].[VentelisteID].[All]" dimensionUniqueName="[Venteliste]" displayFolder="" count="0" unbalanced="0" hidden="1"/>
    <cacheHierarchy uniqueName="[Venteliste].[Ventelistestatus_Key]" caption="Ventelistestatus_Key" attribute="1" defaultMemberUniqueName="[Venteliste].[Ventelistestatus_Key].[All]" allUniqueName="[Venteliste].[Ventelistestatus_Key].[All]" dimensionUniqueName="[Venteliste]" displayFolder="" count="0" unbalanced="0" hidden="1"/>
    <cacheHierarchy uniqueName="[Venteliste].[Aarsag_Key]" caption="Aarsag_Key" attribute="1" defaultMemberUniqueName="[Venteliste].[Aarsag_Key].[All]" allUniqueName="[Venteliste].[Aarsag_Key].[All]" dimensionUniqueName="[Venteliste]" displayFolder="" count="0" unbalanced="0" hidden="1"/>
    <cacheHierarchy uniqueName="[Ventelistestatus].[Ventelistestatus]" caption="Ventelistestatus" attribute="1" defaultMemberUniqueName="[Ventelistestatus].[Ventelistestatus].[All]" allUniqueName="[Ventelistestatus].[Ventelistestatus].[All]" dimensionUniqueName="[Ventelistestatus]" displayFolder="" count="0" unbalanced="0" hidden="1"/>
    <cacheHierarchy uniqueName="[Ventelistestatus].[Ventelistestatus_BK]" caption="Ventelistestatus_BK" attribute="1" defaultMemberUniqueName="[Ventelistestatus].[Ventelistestatus_BK].[All]" allUniqueName="[Ventelistestatus].[Ventelistestatus_BK].[All]" dimensionUniqueName="[Ventelistestatus]" displayFolder="" count="0" unbalanced="0" hidden="1"/>
    <cacheHierarchy uniqueName="[Ventelistestatus].[Ventelistestatus_Key]" caption="Ventelistestatus_Key" attribute="1" defaultMemberUniqueName="[Ventelistestatus].[Ventelistestatus_Key].[All]" allUniqueName="[Ventelistestatus].[Ventelistestatus_Key].[All]" dimensionUniqueName="[Ventelistestatus]" displayFolder="" count="0" unbalanced="0" hidden="1"/>
    <cacheHierarchy uniqueName="[Viderestillet].[Viderestillet_BK]" caption="Viderestillet_BK" attribute="1" defaultMemberUniqueName="[Viderestillet].[Viderestillet_BK].[All]" allUniqueName="[Viderestillet].[Viderestillet_BK].[All]" dimensionUniqueName="[Viderestillet]" displayFolder="" count="0" unbalanced="0" hidden="1"/>
    <cacheHierarchy uniqueName="[Viderestillet].[Viderestillet_Key]" caption="Viderestillet_Key" attribute="1" defaultMemberUniqueName="[Viderestillet].[Viderestillet_Key].[All]" allUniqueName="[Viderestillet].[Viderestillet_Key].[All]" dimensionUniqueName="[Viderestillet]" displayFolder="" count="0" unbalanced="0" hidden="1"/>
    <cacheHierarchy uniqueName="[Virksomhed].[Virksomhed_BK]" caption="Virksomhed_BK" attribute="1" defaultMemberUniqueName="[Virksomhed].[Virksomhed_BK].[All]" allUniqueName="[Virksomhed].[Virksomhed_BK].[All]" dimensionUniqueName="[Virksomhed]" displayFolder="" count="0" unbalanced="0" hidden="1"/>
    <cacheHierarchy uniqueName="[Virksomhed].[Virksomhed_Key]" caption="Virksomhed_Key" attribute="1" defaultMemberUniqueName="[Virksomhed].[Virksomhed_Key].[All]" allUniqueName="[Virksomhed].[Virksomhed_Key].[All]" dimensionUniqueName="[Virksomhed]" displayFolder="" count="0" unbalanced="0" hidden="1"/>
    <cacheHierarchy uniqueName="[Ydelsestype].[LedighedsberørteJN]" caption="LedighedsberørteJN" attribute="1" defaultMemberUniqueName="[Ydelsestype].[LedighedsberørteJN].[All]" allUniqueName="[Ydelsestype].[LedighedsberørteJN].[All]" dimensionUniqueName="[Ydelsestype]" displayFolder="" count="0" unbalanced="0" hidden="1"/>
    <cacheHierarchy uniqueName="[Ydelsestype].[SortOrderAlternativYdelsestypeGruppe]" caption="SortOrderAlternativYdelsestypeGruppe" attribute="1" defaultMemberUniqueName="[Ydelsestype].[SortOrderAlternativYdelsestypeGruppe].[All]" allUniqueName="[Ydelsestype].[SortOrderAlternativYdelsestypeGruppe].[All]" dimensionUniqueName="[Ydelsestype]" displayFolder="" count="0" unbalanced="0" hidden="1"/>
    <cacheHierarchy uniqueName="[Ydelsestype].[Ydelsestype_Key]" caption="Ydelsestype_Key" attribute="1" defaultMemberUniqueName="[Ydelsestype].[Ydelsestype_Key].[All]" allUniqueName="[Ydelsestype].[Ydelsestype_Key].[All]" dimensionUniqueName="[Ydelsestype]" displayFolder="" count="0" unbalanced="0" hidden="1"/>
    <cacheHierarchy uniqueName="[Ændring efter fastfrysning].[ÆndringEfterFastfrysning_Key]" caption="ÆndringEfterFastfrysning_Key" attribute="1" defaultMemberUniqueName="[Ændring efter fastfrysning].[ÆndringEfterFastfrysning_Key].[All]" allUniqueName="[Ændring efter fastfrysning].[ÆndringEfterFastfrysning_Key].[All]" dimensionUniqueName="[Ændring efter fastfrysning]" displayFolder="" count="0" unbalanced="0" hidden="1"/>
    <cacheHierarchy uniqueName="[Årsag].[Aarsag_Key]" caption="Aarsag_Key" attribute="1" defaultMemberUniqueName="[Årsag].[Aarsag_Key].[All]" allUniqueName="[Årsag].[Aarsag_Key].[All]" dimensionUniqueName="[Årsag]" displayFolder="" count="0" unbalanced="0" hidden="1"/>
    <cacheHierarchy uniqueName="[Measures].[__No measures defined]" caption="__No measures defined" measure="1" displayFolder="" count="0"/>
    <cacheHierarchy uniqueName="[Measures].[Indmeldelser]" caption="Indmeldelser" measure="1" displayFolder="" measureGroup="Medlemstal" count="0"/>
    <cacheHierarchy uniqueName="[Measures].[Udmeldelser]" caption="Udmeldelser" measure="1" displayFolder="" measureGroup="Medlemstal" count="0"/>
    <cacheHierarchy uniqueName="[Measures].[Medlemstal tilknyttet datodimensionen]" caption="Medlemstal tilknyttet datodimensionen" measure="1" displayFolder="" measureGroup="Medlemstal" count="0"/>
    <cacheHierarchy uniqueName="[Measures].[Medlemstal Opdateret tilknyttet datodimensionen]" caption="Medlemstal Opdateret tilknyttet datodimensionen" measure="1" displayFolder="" measureGroup="Medlemstal Opdateret" count="0"/>
    <cacheHierarchy uniqueName="[Measures].[Nettotilgang]" caption="Nettotilgang" measure="1" displayFolder="" measureGroup="Medlemstal" count="0"/>
    <cacheHierarchy uniqueName="[Measures].[Statusskift Netto Opdateret]" caption="Statusskift Netto Opdateret" measure="1" displayFolder="" measureGroup="Medlemstal Opdateret" count="0"/>
    <cacheHierarchy uniqueName="[Measures].[Medlemstal Primo Opdateret tilknyttet datodimensionen]" caption="Medlemstal Primo Opdateret tilknyttet datodimensionen" measure="1" displayFolder="" measureGroup="Medlemstal Opdateret" count="0"/>
    <cacheHierarchy uniqueName="[Measures].[Medlemstal Primo tilknyttet datodimensionen]" caption="Medlemstal Primo tilknyttet datodimensionen" measure="1" displayFolder="" measureGroup="Medlemstal" count="0"/>
    <cacheHierarchy uniqueName="[Measures].[Medlemstal Opdateret Samme Periode Sidste År]" caption="Medlemstal Opdateret Samme Periode Sidste År" measure="1" displayFolder="" measureGroup="Medlemstal Opdateret" count="0"/>
    <cacheHierarchy uniqueName="[Measures].[Nettotilgang Opdateret]" caption="Nettotilgang Opdateret" measure="1" displayFolder="" measureGroup="Medlemstal Opdateret" count="0"/>
    <cacheHierarchy uniqueName="[Measures].[Statusskift Netto]" caption="Statusskift Netto" measure="1" displayFolder="" measureGroup="Medlemstal" count="0"/>
    <cacheHierarchy uniqueName="[Measures].[Medlemstal Samme Periode Sidste År]" caption="Medlemstal Samme Periode Sidste År" measure="1" displayFolder="" measureGroup="Medlemstal" count="0"/>
    <cacheHierarchy uniqueName="[Measures].[Erklæring Opdateret]" caption="Erklæring Opdateret" measure="1" displayFolder="" measureGroup="Erklæringer Opdateret" count="0"/>
    <cacheHierarchy uniqueName="[Measures].[Nettotilgang Budget]" caption="Nettotilgang Budget" measure="1" displayFolder="" measureGroup="Medlemstal Budget" count="0"/>
    <cacheHierarchy uniqueName="[Measures].[Indmeldelser Budget]" caption="Indmeldelser Budget" measure="1" displayFolder="" measureGroup="Medlemstal Budget" count="0"/>
    <cacheHierarchy uniqueName="[Measures].[Udmeldelser Budget]" caption="Udmeldelser Budget" measure="1" displayFolder="" measureGroup="Medlemstal Budget" count="0"/>
    <cacheHierarchy uniqueName="[Measures].[Ledighedsmulige Opdateret]" caption="Ledighedsmulige Opdateret" measure="1" displayFolder="" measureGroup="Medlemstal Opdateret" count="0"/>
    <cacheHierarchy uniqueName="[Measures].[Ledighedsmulige]" caption="Ledighedsmulige" measure="1" displayFolder="" measureGroup="Medlemstal" count="0"/>
    <cacheHierarchy uniqueName="[Measures].[Nettotilgang Opdateret År Til Dato]" caption="Nettotilgang Opdateret År Til Dato" measure="1" displayFolder="" measureGroup="Medlemstal Opdateret" count="0"/>
    <cacheHierarchy uniqueName="[Measures].[Nettotilgang År Til Dato]" caption="Nettotilgang År Til Dato" measure="1" displayFolder="" measureGroup="Medlemstal" count="0"/>
    <cacheHierarchy uniqueName="[Measures].[Timer Udbetalt Opdateret]" caption="Timer Udbetalt Opdateret" measure="1" displayFolder="" measureGroup="Ledighedstal Opdateret" count="0"/>
    <cacheHierarchy uniqueName="[Measures].[Beløb Udbetalt Opdateret]" caption="Beløb Udbetalt Opdateret" measure="1" displayFolder="" measureGroup="Ledighedstal Opdateret" count="0"/>
    <cacheHierarchy uniqueName="[Measures].[Klipforbrug Opdateret]" caption="Klipforbrug Opdateret" measure="1" displayFolder="" measureGroup="Ledighedstal Opdateret" count="0"/>
    <cacheHierarchy uniqueName="[Measures].[Ledighedsberørte Opdateret]" caption="Ledighedsberørte Opdateret" measure="1" displayFolder="" measureGroup="Ledighedstal Opdateret" count="0"/>
    <cacheHierarchy uniqueName="[Measures].[Ledighed Opdateret]" caption="Ledighed Opdateret" measure="1" displayFolder="" measureGroup="Ledighedstal Opdateret" count="0"/>
    <cacheHierarchy uniqueName="[Measures].[Fuldtidsledige Opdateret]" caption="Fuldtidsledige Opdateret" measure="1" displayFolder="" measureGroup="Ledighedstal Opdateret" count="0"/>
    <cacheHierarchy uniqueName="[Measures].[Fuldtidsledighed Opdateret]" caption="Fuldtidsledighed Opdateret" measure="1" displayFolder="" measureGroup="Ledighedstal Opdateret" count="0"/>
    <cacheHierarchy uniqueName="[Measures].[Langtidsledige Opdateret]" caption="Langtidsledige Opdateret" measure="1" displayFolder="" measureGroup="Ledighedstal Opdateret" count="0"/>
    <cacheHierarchy uniqueName="[Measures].[Andel Langtidsledige Opdateret]" caption="Andel Langtidsledige Opdateret" measure="1" displayFolder="" measureGroup="Ledighedstal Opdateret" count="0"/>
    <cacheHierarchy uniqueName="[Measures].[Nyledige Opdateret]" caption="Nyledige Opdateret" measure="1" displayFolder="" measureGroup="Ledighedstal Opdateret" count="0"/>
    <cacheHierarchy uniqueName="[Measures].[Dimittendledige Opdateret]" caption="Dimittendledige Opdateret" measure="1" displayFolder="" measureGroup="Ledighedstal Opdateret" count="0"/>
    <cacheHierarchy uniqueName="[Measures].[Udfaldstruede Opdateret]" caption="Udfaldstruede Opdateret" measure="1" displayFolder="" measureGroup="Ledighedstal Opdateret" count="0"/>
    <cacheHierarchy uniqueName="[Measures].[Udfaldne Opdateret]" caption="Udfaldne Opdateret" measure="1" displayFolder="" measureGroup="Ledighedstal Opdateret" count="0"/>
    <cacheHierarchy uniqueName="[Measures].[Dimittend Erklæring Opdateret]" caption="Dimittend Erklæring Opdateret" measure="1" displayFolder="" measureGroup="Erklæringer Opdateret" count="0"/>
    <cacheHierarchy uniqueName="[Measures].[Antal Medlemmer med udbetaling Opdateret]" caption="Antal Medlemmer med udbetaling Opdateret" measure="1" displayFolder="" measureGroup="Ledighedstal Opdateret" count="0"/>
    <cacheHierarchy uniqueName="[Measures].[Medlemstal Opdateret]" caption="Medlemstal Opdateret" measure="1" displayFolder="" measureGroup="Medlemstal Opdateret" count="0"/>
    <cacheHierarchy uniqueName="[Measures].[Medlemstal]" caption="Medlemstal" measure="1" displayFolder="" measureGroup="Medlemstal" count="0"/>
    <cacheHierarchy uniqueName="[Measures].[Indmeldelser Opdateret Samme Periode Sidste År]" caption="Indmeldelser Opdateret Samme Periode Sidste År" measure="1" displayFolder="" measureGroup="Medlemstal Opdateret" count="0"/>
    <cacheHierarchy uniqueName="[Measures].[Udmeldelser Opdateret Samme Periode Sidste År]" caption="Udmeldelser Opdateret Samme Periode Sidste År" measure="1" displayFolder="" measureGroup="Medlemstal Opdateret" count="0"/>
    <cacheHierarchy uniqueName="[Measures].[Indmeldelser Samme Periode Sidste År]" caption="Indmeldelser Samme Periode Sidste År" measure="1" displayFolder="" measureGroup="Medlemstal" count="0"/>
    <cacheHierarchy uniqueName="[Measures].[Udmeldelser Samme Periode Sidste År]" caption="Udmeldelser Samme Periode Sidste År" measure="1" displayFolder="" measureGroup="Medlemstal" count="0"/>
    <cacheHierarchy uniqueName="[Measures].[Nettotilgang Økonomibudget]" caption="Nettotilgang Økonomibudget" measure="1" displayFolder="" measureGroup="Medlemstal Økonomibudget" count="0"/>
    <cacheHierarchy uniqueName="[Measures].[Indmeldelser Økonomibudget]" caption="Indmeldelser Økonomibudget" measure="1" displayFolder="" measureGroup="Medlemstal Økonomibudget" count="0"/>
    <cacheHierarchy uniqueName="[Measures].[Udmeldelser Økonomibudget]" caption="Udmeldelser Økonomibudget" measure="1" displayFolder="" measureGroup="Medlemstal Økonomibudget" count="0"/>
    <cacheHierarchy uniqueName="[Measures].[Indmeldelser År Til Dato]" caption="Indmeldelser År Til Dato" measure="1" displayFolder="" measureGroup="Medlemstal" count="0"/>
    <cacheHierarchy uniqueName="[Measures].[Udmeldelser År Til Dato]" caption="Udmeldelser År Til Dato" measure="1" displayFolder="" measureGroup="Medlemstal" count="0"/>
    <cacheHierarchy uniqueName="[Measures].[Statusskift Netto År Til Dato]" caption="Statusskift Netto År Til Dato" measure="1" displayFolder="" measureGroup="Medlemstal" count="0"/>
    <cacheHierarchy uniqueName="[Measures].[Statusskift Netto Samme Periode Sidste År]" caption="Statusskift Netto Samme Periode Sidste År" measure="1" displayFolder="" measureGroup="Medlemstal" count="0"/>
    <cacheHierarchy uniqueName="[Measures].[Nettotilgang Samme Periode Sidste År]" caption="Nettotilgang Samme Periode Sidste År" measure="1" displayFolder="" measureGroup="Medlemstal" count="0"/>
    <cacheHierarchy uniqueName="[Measures].[Statusskift Netto Opdateret År Til Dato]" caption="Statusskift Netto Opdateret År Til Dato" measure="1" displayFolder="" measureGroup="Medlemstal Opdateret" count="0"/>
    <cacheHierarchy uniqueName="[Measures].[Udmeldelser Opdateret År Til Dato]" caption="Udmeldelser Opdateret År Til Dato" measure="1" displayFolder="" measureGroup="Medlemstal Opdateret" count="0"/>
    <cacheHierarchy uniqueName="[Measures].[Indmeldelser Opdateret År Til Dato]" caption="Indmeldelser Opdateret År Til Dato" measure="1" displayFolder="" measureGroup="Medlemstal Opdateret" count="0"/>
    <cacheHierarchy uniqueName="[Measures].[Statusskift Netto Opdateret Samme Periode Sidste År]" caption="Statusskift Netto Opdateret Samme Periode Sidste År" measure="1" displayFolder="" measureGroup="Medlemstal Opdateret" count="0"/>
    <cacheHierarchy uniqueName="[Measures].[Nettotilgang Opdateret Samme Periode Sidste År]" caption="Nettotilgang Opdateret Samme Periode Sidste År" measure="1" displayFolder="" measureGroup="Medlemstal Opdateret" count="0"/>
    <cacheHierarchy uniqueName="[Measures].[Indmeldelser Økonomibudget År Til Dato]" caption="Indmeldelser Økonomibudget År Til Dato" measure="1" displayFolder="" measureGroup="Medlemstal Økonomibudget" count="0"/>
    <cacheHierarchy uniqueName="[Measures].[Udmeldelser Økonomibudget År Til Dato]" caption="Udmeldelser Økonomibudget År Til Dato" measure="1" displayFolder="" measureGroup="Medlemstal Økonomibudget" count="0"/>
    <cacheHierarchy uniqueName="[Measures].[Nettotilgang Økonomibudget År Til Dato]" caption="Nettotilgang Økonomibudget År Til Dato" measure="1" displayFolder="" measureGroup="Medlemstal Økonomibudget" count="0"/>
    <cacheHierarchy uniqueName="[Measures].[Indmeldelser Økonomibudget Samme Periode Sidste År]" caption="Indmeldelser Økonomibudget Samme Periode Sidste År" measure="1" displayFolder="" measureGroup="Medlemstal Økonomibudget" count="0"/>
    <cacheHierarchy uniqueName="[Measures].[Udmeldelser Økonomibudget Samme Periode Sidste År]" caption="Udmeldelser Økonomibudget Samme Periode Sidste År" measure="1" displayFolder="" measureGroup="Medlemstal Økonomibudget" count="0"/>
    <cacheHierarchy uniqueName="[Measures].[Nettotilgang Økonomibudget Samme Periode Sidste År]" caption="Nettotilgang Økonomibudget Samme Periode Sidste År" measure="1" displayFolder="" measureGroup="Medlemstal Økonomibudget" count="0"/>
    <cacheHierarchy uniqueName="[Measures].[Indmeldelser Budget År Til Dato]" caption="Indmeldelser Budget År Til Dato" measure="1" displayFolder="" measureGroup="Medlemstal Budget" count="0"/>
    <cacheHierarchy uniqueName="[Measures].[Udmeldelser Budget År Til Dato]" caption="Udmeldelser Budget År Til Dato" measure="1" displayFolder="" measureGroup="Medlemstal Budget" count="0"/>
    <cacheHierarchy uniqueName="[Measures].[Nettotilgang Budget År Til Dato]" caption="Nettotilgang Budget År Til Dato" measure="1" displayFolder="" measureGroup="Medlemstal Budget" count="0"/>
    <cacheHierarchy uniqueName="[Measures].[Indmeldelser Budget Samme Periode Sidste År]" caption="Indmeldelser Budget Samme Periode Sidste År" measure="1" displayFolder="" measureGroup="Medlemstal Budget" count="0"/>
    <cacheHierarchy uniqueName="[Measures].[Udmeldelser Budget Samme Periode Sidste År]" caption="Udmeldelser Budget Samme Periode Sidste År" measure="1" displayFolder="" measureGroup="Medlemstal Budget" count="0"/>
    <cacheHierarchy uniqueName="[Measures].[Nettotilgang Budget Samme Periode Sidste År]" caption="Nettotilgang Budget Samme Periode Sidste År" measure="1" displayFolder="" measureGroup="Medlemstal Budget" count="0"/>
    <cacheHierarchy uniqueName="[Measures].[Timer Udbetalt]" caption="Timer Udbetalt" measure="1" displayFolder="" measureGroup="Ledighedstal" count="0"/>
    <cacheHierarchy uniqueName="[Measures].[Beløb Udbetalt]" caption="Beløb Udbetalt" measure="1" displayFolder="" measureGroup="Ledighedstal" count="0"/>
    <cacheHierarchy uniqueName="[Measures].[Klipforbrug]" caption="Klipforbrug" measure="1" displayFolder="" measureGroup="Ledighedstal" count="0"/>
    <cacheHierarchy uniqueName="[Measures].[Ledighedsberørte]" caption="Ledighedsberørte" measure="1" displayFolder="" measureGroup="Ledighedstal" count="0"/>
    <cacheHierarchy uniqueName="[Measures].[Ledighed]" caption="Ledighed" measure="1" displayFolder="" measureGroup="Ledighedstal" count="0"/>
    <cacheHierarchy uniqueName="[Measures].[Antal Medlemmer med udbetaling]" caption="Antal Medlemmer med udbetaling" measure="1" displayFolder="" measureGroup="Ledighedstal" count="0"/>
    <cacheHierarchy uniqueName="[Measures].[Fuldtidsledige]" caption="Fuldtidsledige" measure="1" displayFolder="" measureGroup="Ledighedstal" count="0"/>
    <cacheHierarchy uniqueName="[Measures].[Fuldtidsledighed]" caption="Fuldtidsledighed" measure="1" displayFolder="" measureGroup="Ledighedstal" count="0"/>
    <cacheHierarchy uniqueName="[Measures].[Langtidsledige]" caption="Langtidsledige" measure="1" displayFolder="" measureGroup="Ledighedstal" count="0"/>
    <cacheHierarchy uniqueName="[Measures].[Andel Langtidsledige]" caption="Andel Langtidsledige" measure="1" displayFolder="" measureGroup="Ledighedstal" count="0"/>
    <cacheHierarchy uniqueName="[Measures].[Nyledige]" caption="Nyledige" measure="1" displayFolder="" measureGroup="Ledighedstal" count="0"/>
    <cacheHierarchy uniqueName="[Measures].[Dimittendledige]" caption="Dimittendledige" measure="1" displayFolder="" measureGroup="Ledighedstal" count="0"/>
    <cacheHierarchy uniqueName="[Measures].[Udfaldstruede]" caption="Udfaldstruede" measure="1" displayFolder="" measureGroup="Ledighedstal" count="0"/>
    <cacheHierarchy uniqueName="[Measures].[Udfaldne]" caption="Udfaldne" measure="1" displayFolder="" measureGroup="Ledighedstal" count="0"/>
    <cacheHierarchy uniqueName="[Measures].[Medlemstal Primo Opdateret]" caption="Medlemstal Primo Opdateret" measure="1" displayFolder="" measureGroup="Medlemstal Opdateret" count="0"/>
    <cacheHierarchy uniqueName="[Measures].[Medlemstal Primo]" caption="Medlemstal Primo" measure="1" displayFolder="" measureGroup="Medlemstal" count="0"/>
    <cacheHierarchy uniqueName="[Measures].[Medlemstal Opdateret Samme Periode Sidste År tilknyttet datodimensionen]" caption="Medlemstal Opdateret Samme Periode Sidste År tilknyttet datodimensionen" measure="1" displayFolder="" measureGroup="Medlemstal Opdateret" count="0"/>
    <cacheHierarchy uniqueName="[Measures].[Medlemstal Samme Periode Sidste År tilknyttet datodimensionen]" caption="Medlemstal Samme Periode Sidste År tilknyttet datodimensionen" measure="1" displayFolder="" measureGroup="Medlemstal" count="0"/>
    <cacheHierarchy uniqueName="[Measures].[Ledighedsberørte Samme Periode Sidste År]" caption="Ledighedsberørte Samme Periode Sidste År" measure="1" displayFolder="" measureGroup="Ledighedstal" count="0"/>
    <cacheHierarchy uniqueName="[Measures].[Ledighed Samme Periode Sidste År]" caption="Ledighed Samme Periode Sidste År" measure="1" displayFolder="" measureGroup="Ledighedstal" count="0"/>
    <cacheHierarchy uniqueName="[Measures].[Fuldtidsledige Samme Periode Sidste År]" caption="Fuldtidsledige Samme Periode Sidste År" measure="1" displayFolder="" measureGroup="Ledighedstal" count="0"/>
    <cacheHierarchy uniqueName="[Measures].[Fuldtidsledighed Samme Periode Sidste År]" caption="Fuldtidsledighed Samme Periode Sidste År" measure="1" displayFolder="" measureGroup="Ledighedstal" count="0"/>
    <cacheHierarchy uniqueName="[Measures].[Langtidsledige Samme Periode Sidste År]" caption="Langtidsledige Samme Periode Sidste År" measure="1" displayFolder="" measureGroup="Ledighedstal" count="0"/>
    <cacheHierarchy uniqueName="[Measures].[Andel Langtidsledige Samme Periode Sidste År]" caption="Andel Langtidsledige Samme Periode Sidste År" measure="1" displayFolder="" measureGroup="Ledighedstal" count="0"/>
    <cacheHierarchy uniqueName="[Measures].[Nyledige Samme Periode Sidste År]" caption="Nyledige Samme Periode Sidste År" measure="1" displayFolder="" measureGroup="Ledighedstal" count="0"/>
    <cacheHierarchy uniqueName="[Measures].[Dimittendledige Samme Periode Sidste År]" caption="Dimittendledige Samme Periode Sidste År" measure="1" displayFolder="" measureGroup="Ledighedstal" count="0"/>
    <cacheHierarchy uniqueName="[Measures].[Udfaldstruede Samme Periode Sidste År]" caption="Udfaldstruede Samme Periode Sidste År" measure="1" displayFolder="" measureGroup="Ledighedstal" count="0"/>
    <cacheHierarchy uniqueName="[Measures].[Udfaldne Samme Periode Sidste År]" caption="Udfaldne Samme Periode Sidste År" measure="1" displayFolder="" measureGroup="Ledighedstal" count="0"/>
    <cacheHierarchy uniqueName="[Measures].[Ventetid]" caption="Ventetid" measure="1" displayFolder="" measureGroup="Telefonopkald" count="0"/>
    <cacheHierarchy uniqueName="[Measures].[Samtaletid]" caption="Samtaletid" measure="1" displayFolder="" measureGroup="Telefonopkald" count="0"/>
    <cacheHierarchy uniqueName="[Measures].[Antal Opkald]" caption="Antal Opkald" measure="1" displayFolder="" measureGroup="Telefonopkald" count="0"/>
    <cacheHierarchy uniqueName="[Measures].[Ventetid (timer)]" caption="Ventetid (timer)" measure="1" displayFolder="" measureGroup="Telefonopkald" count="0"/>
    <cacheHierarchy uniqueName="[Measures].[Samtaletid (timer)]" caption="Samtaletid (timer)" measure="1" displayFolder="" measureGroup="Telefonopkald" count="0"/>
    <cacheHierarchy uniqueName="[Measures].[Indlogningstid]" caption="Indlogningstid" measure="1" displayFolder="" measureGroup="Telefon Indlogning" count="0"/>
    <cacheHierarchy uniqueName="[Measures].[Antal Medarbejdere Indlogget]" caption="Antal Medarbejdere Indlogget" measure="1" displayFolder="" measureGroup="Telefon Indlogning" count="0"/>
    <cacheHierarchy uniqueName="[Measures].[Indlogningstid (timer)]" caption="Indlogningstid (timer)" measure="1" displayFolder="" measureGroup="Telefon Indlogning" count="0"/>
    <cacheHierarchy uniqueName="[Measures].[Antal Medarbejdere Pr Opkald]" caption="Antal Medarbejdere Pr Opkald" measure="1" displayFolder="" measureGroup="Telefon Indlogning" count="0"/>
    <cacheHierarchy uniqueName="[Measures].[Indlogningstimer Pr Samtaletimer]" caption="Indlogningstimer Pr Samtaletimer" measure="1" displayFolder="" measureGroup="Telefon Indlogning" count="0"/>
    <cacheHierarchy uniqueName="[Measures].[Aftaletid]" caption="Aftaletid" measure="1" displayFolder="" measureGroup="Aftaler" count="0"/>
    <cacheHierarchy uniqueName="[Measures].[Nomeret Tid]" caption="Nomeret Tid" measure="1" displayFolder="" measureGroup="Aftaler" count="0"/>
    <cacheHierarchy uniqueName="[Measures].[Antal Aftaler]" caption="Antal Aftaler" measure="1" displayFolder="" measureGroup="Aftaler" count="0"/>
    <cacheHierarchy uniqueName="[Measures].[Aftaletid (timer)]" caption="Aftaletid (timer)" measure="1" displayFolder="" measureGroup="Aftaler" count="0"/>
    <cacheHierarchy uniqueName="[Measures].[Nomeret Tid (timer)]" caption="Nomeret Tid (timer)" measure="1" displayFolder="" measureGroup="Aftaler" count="0"/>
    <cacheHierarchy uniqueName="[Measures].[Sagsbehandlingstid (i minutter)]" caption="Sagsbehandlingstid (i minutter)" measure="1" displayFolder="" measureGroup="Sagsbehandling" count="0"/>
    <cacheHierarchy uniqueName="[Measures].[Antal sager]" caption="Antal sager" measure="1" displayFolder="" measureGroup="Sagsbehandling" count="0"/>
    <cacheHierarchy uniqueName="[Measures].[Svartid (i minutter)]" caption="Svartid (i minutter)" measure="1" displayFolder="" measureGroup="Sagsbehandling" count="0"/>
    <cacheHierarchy uniqueName="[Measures].[Behandlingstid (trin)]" caption="Behandlingstid (trin)" measure="1" displayFolder="" measureGroup="Arbejdsgange" count="0"/>
    <cacheHierarchy uniqueName="[Measures].[Antal trin]" caption="Antal trin" measure="1" displayFolder="" measureGroup="Arbejdsgange" count="0"/>
    <cacheHierarchy uniqueName="[Measures].[Automatiseringsgrad]" caption="Automatiseringsgrad" measure="1" displayFolder="" measureGroup="Sagsbehandling" count="0"/>
    <cacheHierarchy uniqueName="[Measures].[Beskeder]" caption="Beskeder" measure="1" displayFolder="" measureGroup="Selvbetjeningsbeskeder" count="0"/>
    <cacheHierarchy uniqueName="[Measures].[Svartid (minutter)]" caption="Svartid (minutter)" measure="1" displayFolder="" measureGroup="Selvbetjeningsbeskeder" count="0"/>
    <cacheHierarchy uniqueName="[Measures].[Svartid (timer)]" caption="Svartid (timer)" measure="1" displayFolder="" measureGroup="Selvbetjeningsbeskeder" count="0"/>
    <cacheHierarchy uniqueName="[Measures].[Svartid (hele dage)]" caption="Svartid (hele dage)" measure="1" displayFolder="" measureGroup="Selvbetjeningsbeskeder" count="0"/>
    <cacheHierarchy uniqueName="[Measures].[Behandlingstid (minutter)]" caption="Behandlingstid (minutter)" measure="1" displayFolder="" measureGroup="Selvbetjeningsbeskeder" count="0"/>
    <cacheHierarchy uniqueName="[Measures].[Behandlingstid (timer)]" caption="Behandlingstid (timer)" measure="1" displayFolder="" measureGroup="Selvbetjeningsbeskeder" count="0"/>
    <cacheHierarchy uniqueName="[Measures].[Behandlingstid (hele dage)]" caption="Behandlingstid (hele dage)" measure="1" displayFolder="" measureGroup="Selvbetjeningsbeskeder" count="0"/>
    <cacheHierarchy uniqueName="[Measures].[Gns. Svartid (minutter)]" caption="Gns. Svartid (minutter)" measure="1" displayFolder="" measureGroup="Selvbetjeningsbeskeder" count="0"/>
    <cacheHierarchy uniqueName="[Measures].[Gns. Svartid (timer)]" caption="Gns. Svartid (timer)" measure="1" displayFolder="" measureGroup="Selvbetjeningsbeskeder" count="0"/>
    <cacheHierarchy uniqueName="[Measures].[Gns. Svartid (hele dage)]" caption="Gns. Svartid (hele dage)" measure="1" displayFolder="" measureGroup="Selvbetjeningsbeskeder" count="0"/>
    <cacheHierarchy uniqueName="[Measures].[Gns. behandlingstid (minutter)]" caption="Gns. behandlingstid (minutter)" measure="1" displayFolder="" measureGroup="Selvbetjeningsbeskeder" count="0"/>
    <cacheHierarchy uniqueName="[Measures].[Gns. behandlingstid (timer)]" caption="Gns. behandlingstid (timer)" measure="1" displayFolder="" measureGroup="Selvbetjeningsbeskeder" count="0"/>
    <cacheHierarchy uniqueName="[Measures].[Gns. behandlingstid (hele dage)]" caption="Gns. behandlingstid (hele dage)" measure="1" displayFolder="" measureGroup="Selvbetjeningsbeskeder" count="0"/>
    <cacheHierarchy uniqueName="[Measures].[Normtimer]" caption="Normtimer" measure="1" displayFolder="" measureGroup="Normtimer" count="0"/>
    <cacheHierarchy uniqueName="[Measures].[Antal Medarbejdere]" caption="Antal Medarbejdere" measure="1" displayFolder="" measureGroup="Normtimer" count="0"/>
    <cacheHierarchy uniqueName="[Measures].[Antal FTE]" caption="Antal FTE" measure="1" displayFolder="" measureGroup="Normtimer" count="0"/>
    <cacheHierarchy uniqueName="[Measures].[Sagsbehandlingstid (i timer)]" caption="Sagsbehandlingstid (i timer)" measure="1" displayFolder="" measureGroup="Sagsbehandling" count="0"/>
    <cacheHierarchy uniqueName="[Measures].[Sagsbehandlingstid (i hele dage)]" caption="Sagsbehandlingstid (i hele dage)" measure="1" displayFolder="" measureGroup="Sagsbehandling" count="0"/>
    <cacheHierarchy uniqueName="[Measures].[Svartid (i hele dage)]" caption="Svartid (i hele dage)" measure="1" displayFolder="" measureGroup="Sagsbehandling" count="0"/>
    <cacheHierarchy uniqueName="[Measures].[Svartid (i timer)]" caption="Svartid (i timer)" measure="1" displayFolder="" measureGroup="Sagsbehandling" count="0"/>
    <cacheHierarchy uniqueName="[Measures].[Gns. sagsbehandlingstid (i minutter)]" caption="Gns. sagsbehandlingstid (i minutter)" measure="1" displayFolder="" measureGroup="Sagsbehandling" count="0"/>
    <cacheHierarchy uniqueName="[Measures].[Gns. sagsbehandlingstid (i timer)]" caption="Gns. sagsbehandlingstid (i timer)" measure="1" displayFolder="" measureGroup="Sagsbehandling" count="0"/>
    <cacheHierarchy uniqueName="[Measures].[Gns. sagsbehandlingstid (i hele dage)]" caption="Gns. sagsbehandlingstid (i hele dage)" measure="1" displayFolder="" measureGroup="Sagsbehandling" count="0"/>
    <cacheHierarchy uniqueName="[Measures].[Gns. svartid (i minutter)]" caption="Gns. svartid (i minutter)" measure="1" displayFolder="" measureGroup="Sagsbehandling" count="0"/>
    <cacheHierarchy uniqueName="[Measures].[Gns. svartid (i timer)]" caption="Gns. svartid (i timer)" measure="1" displayFolder="" measureGroup="Sagsbehandling" count="0"/>
    <cacheHierarchy uniqueName="[Measures].[Gns. svartid (i hele dage)]" caption="Gns. svartid (i hele dage)" measure="1" displayFolder="" measureGroup="Sagsbehandling" count="0"/>
    <cacheHierarchy uniqueName="[Measures].[Fravær]" caption="Fravær" measure="1" displayFolder="" measureGroup="Fravær" count="0"/>
    <cacheHierarchy uniqueName="[Measures].[Sygdom]" caption="Sygdom" measure="1" displayFolder="" measureGroup="Fravær" count="0"/>
    <cacheHierarchy uniqueName="[Measures].[Antal Fraværsregistreringer]" caption="Antal Fraværsregistreringer" measure="1" displayFolder="" measureGroup="Fravær" count="0"/>
    <cacheHierarchy uniqueName="[Measures].[Antal Arbejdsdage I Perioden]" caption="Antal Arbejdsdage I Perioden" measure="1" displayFolder="" measureGroup="Normtimer" count="0"/>
    <cacheHierarchy uniqueName="[Measures].[Sygefravær]" caption="Sygefravær" measure="1" displayFolder="" measureGroup="Fravær" count="0"/>
    <cacheHierarchy uniqueName="[Measures].[Normtimer Fuldtidsnorm]" caption="Normtimer Fuldtidsnorm" measure="1" displayFolder="" measureGroup="Normtimer Fuldtid" count="0"/>
    <cacheHierarchy uniqueName="[Measures].[Ledighedsmulige Samme Periode Sidste År]" caption="Ledighedsmulige Samme Periode Sidste År" measure="1" displayFolder="" measureGroup="Medlemstal" count="0"/>
    <cacheHierarchy uniqueName="[Measures].[Ledighedsmulige Opdateret Samme Periode Sidste År]" caption="Ledighedsmulige Opdateret Samme Periode Sidste År" measure="1" displayFolder="" measureGroup="Medlemstal Opdateret" count="0"/>
    <cacheHierarchy uniqueName="[Measures].[Dimittendledighed]" caption="Dimittendledighed" measure="1" displayFolder="" measureGroup="Ledighedstal" count="0"/>
    <cacheHierarchy uniqueName="[Measures].[Dimittendledighed Opdateret]" caption="Dimittendledighed Opdateret" measure="1" displayFolder="" measureGroup="Ledighedstal Opdateret" count="0"/>
    <cacheHierarchy uniqueName="[Measures].[Dimittendledighed Samme Periode Sidste År]" caption="Dimittendledighed Samme Periode Sidste År" measure="1" displayFolder="" measureGroup="Ledighedstal" count="0"/>
    <cacheHierarchy uniqueName="[Measures].[Dimittendledighed Opdateret Samme Periode Sidste År]" caption="Dimittendledighed Opdateret Samme Periode Sidste År" measure="1" displayFolder="" measureGroup="Ledighedstal Opdateret" count="0"/>
    <cacheHierarchy uniqueName="[Measures].[Arbejdsgange]" caption="Arbejdsgange" measure="1" displayFolder="" measureGroup="Stoptrin" count="0"/>
    <cacheHierarchy uniqueName="[Measures].[Behandlingstid]" caption="Behandlingstid" measure="1" displayFolder="" measureGroup="Stoptrin" count="0"/>
    <cacheHierarchy uniqueName="[Measures].[Gns. Samtaletid (minutter)]" caption="Gns. Samtaletid (minutter)" measure="1" displayFolder="" measureGroup="Telefonopkald" count="0"/>
    <cacheHierarchy uniqueName="[Measures].[Gns. Ventetid (minutter)]" caption="Gns. Ventetid (minutter)" measure="1" displayFolder="" measureGroup="Telefonopkald" count="0"/>
    <cacheHierarchy uniqueName="[Measures].[Viderestillingspct.]" caption="Viderestillingspct." measure="1" displayFolder="" measureGroup="Telefonopkald" count="0"/>
    <cacheHierarchy uniqueName="[Measures].[Antal Sager Sidste Uge]" caption="Antal Sager Sidste Uge" measure="1" displayFolder="" measureGroup="Sagsbehandling" count="0"/>
    <cacheHierarchy uniqueName="[Measures].[Antal Sager Sidste Måned]" caption="Antal Sager Sidste Måned" measure="1" displayFolder="" measureGroup="Sagsbehandling" count="0"/>
    <cacheHierarchy uniqueName="[Measures].[Automatiseringsgrad sidste måned]" caption="Automatiseringsgrad sidste måned" measure="1" displayFolder="" measureGroup="Sagsbehandling" count="0"/>
    <cacheHierarchy uniqueName="[Measures].[Automatiseringsgrad sidste uge]" caption="Automatiseringsgrad sidste uge" measure="1" displayFolder="" measureGroup="Sagsbehandling" count="0"/>
    <cacheHierarchy uniqueName="[Measures].[Automatiseringstendens sidste uge]" caption="Automatiseringstendens sidste uge" measure="1" displayFolder="" measureGroup="Sagsbehandling" count="0"/>
    <cacheHierarchy uniqueName="[Measures].[Automatiseringstendens sidste måned]" caption="Automatiseringstendens sidste måned" measure="1" displayFolder="" measureGroup="Sagsbehandling" count="0"/>
    <cacheHierarchy uniqueName="[Measures].[Normtimer Fuldtidsnorm Samme periode sidste år]" caption="Normtimer Fuldtidsnorm Samme periode sidste år" measure="1" displayFolder="" measureGroup="Normtimer Fuldtid" count="0"/>
    <cacheHierarchy uniqueName="[Measures].[Antal FTE Samme periode sidste år]" caption="Antal FTE Samme periode sidste år" measure="1" displayFolder="" measureGroup="Normtimer" count="0"/>
    <cacheHierarchy uniqueName="[Measures].[Antal FTE Sidste måned]" caption="Antal FTE Sidste måned" measure="1" displayFolder="" measureGroup="Normtimer" count="0"/>
    <cacheHierarchy uniqueName="[Measures].[Fravær Samme periode sidste år]" caption="Fravær Samme periode sidste år" measure="1" displayFolder="" measureGroup="Fravær" count="0"/>
    <cacheHierarchy uniqueName="[Measures].[Fravær Sidste måned]" caption="Fravær Sidste måned" measure="1" displayFolder="" measureGroup="Fravær" count="0"/>
    <cacheHierarchy uniqueName="[Measures].[Sygefravær Samme periode sidste år]" caption="Sygefravær Samme periode sidste år" measure="1" displayFolder="" measureGroup="Fravær" count="0"/>
    <cacheHierarchy uniqueName="[Measures].[Sygefravær Sidste måned]" caption="Sygefravær Sidste måned" measure="1" displayFolder="" measureGroup="Fravær" count="0"/>
    <cacheHierarchy uniqueName="[Measures].[Antal afsluttede sager]" caption="Antal afsluttede sager" measure="1" displayFolder="" measureGroup="Sagsbehandling" count="0"/>
    <cacheHierarchy uniqueName="[Measures].[Antal åbne sager]" caption="Antal åbne sager" measure="1" displayFolder="" measureGroup="Sagsbehandling" count="0"/>
    <cacheHierarchy uniqueName="[Measures].[Fuldautomatiseringsgrad]" caption="Fuldautomatiseringsgrad" measure="1" displayFolder="" measureGroup="Sagsbehandling" count="0"/>
    <cacheHierarchy uniqueName="[Measures].[Fuldautomatiseringsgrad sidste måned]" caption="Fuldautomatiseringsgrad sidste måned" measure="1" displayFolder="" measureGroup="Sagsbehandling" count="0"/>
    <cacheHierarchy uniqueName="[Measures].[Fuldautomatiseringsgrad sidste uge]" caption="Fuldautomatiseringsgrad sidste uge" measure="1" displayFolder="" measureGroup="Sagsbehandling" count="0"/>
    <cacheHierarchy uniqueName="[Measures].[Fuldautomatiseringstendens sidste uge]" caption="Fuldautomatiseringstendens sidste uge" measure="1" displayFolder="" measureGroup="Sagsbehandling" count="0"/>
    <cacheHierarchy uniqueName="[Measures].[Fuldautomatiseringstendens sidste måned]" caption="Fuldautomatiseringstendens sidste måned" measure="1" displayFolder="" measureGroup="Sagsbehandling" count="0"/>
    <cacheHierarchy uniqueName="[Measures].[Antal Afsluttede Sager Sidste Måned]" caption="Antal Afsluttede Sager Sidste Måned" measure="1" displayFolder="" measureGroup="Sagsbehandling" count="0"/>
    <cacheHierarchy uniqueName="[Measures].[Antal Afsluttede Sager Sidste Uge]" caption="Antal Afsluttede Sager Sidste Uge" measure="1" displayFolder="" measureGroup="Sagsbehandling" count="0"/>
    <cacheHierarchy uniqueName="[Measures].[Antal Sager Samme Måned Sidste år]" caption="Antal Sager Samme Måned Sidste år" measure="1" displayFolder="" measureGroup="Sagsbehandling" count="0"/>
    <cacheHierarchy uniqueName="[Measures].[Fuldautomatiseringsgrad samme måned sidste år]" caption="Fuldautomatiseringsgrad samme måned sidste år" measure="1" displayFolder="" measureGroup="Sagsbehandling" count="0"/>
    <cacheHierarchy uniqueName="[Measures].[Antal Afsluttede Sager Måned Sidste år]" caption="Antal Afsluttede Sager Måned Sidste år" measure="1" displayFolder="" measureGroup="Sagsbehandling" count="0"/>
    <cacheHierarchy uniqueName="[Measures].[Fuldautomatiseringstendens samme måned sidste år]" caption="Fuldautomatiseringstendens samme måned sidste år" measure="1" displayFolder="" measureGroup="Sagsbehandling" count="0"/>
    <cacheHierarchy uniqueName="[Measures].[Antal Samtaler]" caption="Antal Samtaler" measure="1" displayFolder="" measureGroup="Samtaler" count="0"/>
    <cacheHierarchy uniqueName="[Measures].[Antal Deltagere på Arrangementer]" caption="Antal Deltagere på Arrangementer" measure="1" displayFolder="" measureGroup="Arrangementer" count="0"/>
    <cacheHierarchy uniqueName="[Measures].[Antal Arrangementer]" caption="Antal Arrangementer" measure="1" displayFolder="" measureGroup="Arrangementer" count="0"/>
    <cacheHierarchy uniqueName="[Measures].[Antal nye incidents]" caption="Antal nye incidents" measure="1" displayFolder="" measureGroup="HelpDeskIncident" count="0"/>
    <cacheHierarchy uniqueName="[Measures].[Antal deadline overholdt]" caption="Antal deadline overholdt" measure="1" displayFolder="" measureGroup="HelpDeskIncident" count="0"/>
    <cacheHierarchy uniqueName="[Measures].[Overholdelse af deadline]" caption="Overholdelse af deadline" measure="1" displayFolder="" measureGroup="HelpDeskIncident" count="0"/>
    <cacheHierarchy uniqueName="[Measures].[Forbrugt tid (minutter)]" caption="Forbrugt tid (minutter)" measure="1" displayFolder="" measureGroup="HelpDeskIncident" count="0"/>
    <cacheHierarchy uniqueName="[Measures].[Antal løste incidents]" caption="Antal løste incidents" measure="1" displayFolder="" measureGroup="HelpDeskIncident" count="0"/>
    <cacheHierarchy uniqueName="[Measures].[Løsningspct]" caption="Løsningspct" measure="1" displayFolder="" measureGroup="HelpDeskIncident" count="0"/>
    <cacheHierarchy uniqueName="[Measures].[Gns. Forbrugt tid (minutter)]" caption="Gns. Forbrugt tid (minutter)" measure="1" displayFolder="" measureGroup="HelpDeskIncident" count="0"/>
    <cacheHierarchy uniqueName="[Measures].[Gns. Gennemløbstid (minutter)]" caption="Gns. Gennemløbstid (minutter)" measure="1" displayFolder="" measureGroup="HelpDeskIncident" count="0"/>
    <cacheHierarchy uniqueName="[Measures].[Forbrugt tid (timer)]" caption="Forbrugt tid (timer)" measure="1" displayFolder="" measureGroup="HelpDeskIncident" count="0"/>
    <cacheHierarchy uniqueName="[Measures].[Gns. Gennemløbstid (timer)]" caption="Gns. Gennemløbstid (timer)" measure="1" displayFolder="" measureGroup="HelpDeskIncident" count="0"/>
    <cacheHierarchy uniqueName="[Measures].[Gns.Forbrugt tid (timer)]" caption="Gns.Forbrugt tid (timer)" measure="1" displayFolder="" measureGroup="HelpDeskIncident" count="0"/>
    <cacheHierarchy uniqueName="[Measures].[Klipforbrug for Ledighedsberørte Opdateret]" caption="Klipforbrug for Ledighedsberørte Opdateret" measure="1" displayFolder="" measureGroup="Ledighedstal Opdateret" count="0"/>
    <cacheHierarchy uniqueName="[Measures].[Gns. Ledighedslængde pr ledighedsberørt Opdateret]" caption="Gns. Ledighedslængde pr ledighedsberørt Opdateret" measure="1" displayFolder="" measureGroup="Ledighedstal Opdateret" count="0"/>
    <cacheHierarchy uniqueName="[Measures].[Max Klipforbrug Opdateret]" caption="Max Klipforbrug Opdateret" measure="1" displayFolder="" measureGroup="Ledighedstal Opdateret" count="0"/>
    <cacheHierarchy uniqueName="[Measures].[Max Klipforbrug]" caption="Max Klipforbrug" measure="1" displayFolder="" measureGroup="Ledighedstal" count="0"/>
    <cacheHierarchy uniqueName="[Measures].[Gns. Ledighedslængde pr ledighedsberørt]" caption="Gns. Ledighedslængde pr ledighedsberørt" measure="1" displayFolder="" measureGroup="Ledighedstal" count="0"/>
    <cacheHierarchy uniqueName="[Measures].[Gns. Incident Svartid (minutter)]" caption="Gns. Incident Svartid (minutter)" measure="1" displayFolder="" measureGroup="HelpDeskIncident" count="0"/>
    <cacheHierarchy uniqueName="[Measures].[Gns. Incident Behandlingstid (minutter)]" caption="Gns. Incident Behandlingstid (minutter)" measure="1" displayFolder="" measureGroup="HelpDeskIncident" count="0"/>
    <cacheHierarchy uniqueName="[Measures].[Alder]" caption="Alder" measure="1" displayFolder="" measureGroup="Medarbejder" count="0"/>
    <cacheHierarchy uniqueName="[Measures].[Anciennitet]" caption="Anciennitet" measure="1" displayFolder="" measureGroup="Medarbejder" count="0"/>
    <cacheHierarchy uniqueName="[Measures].[Gennemsnitsalder]" caption="Gennemsnitsalder" measure="1" displayFolder="" measureGroup="Medarbejder" count="0"/>
    <cacheHierarchy uniqueName="[Measures].[Gennemsnitsanciennitet]" caption="Gennemsnitsanciennitet" measure="1" displayFolder="" measureGroup="Medarbejder" count="0"/>
    <cacheHierarchy uniqueName="[Measures].[Nyansættelser]" caption="Nyansættelser" measure="1" displayFolder="" measureGroup="Medarbejder" count="0"/>
    <cacheHierarchy uniqueName="[Measures].[Fratrædelser]" caption="Fratrædelser" measure="1" displayFolder="" measureGroup="Medarbejder" count="0"/>
    <cacheHierarchy uniqueName="[Measures].[Fratrædelser sidste 12 måneder]" caption="Fratrædelser sidste 12 måneder" measure="1" displayFolder="" measureGroup="Medarbejder" count="0"/>
    <cacheHierarchy uniqueName="[Measures].[Ansatte]" caption="Ansatte" measure="1" displayFolder="" measureGroup="Medarbejder" count="0"/>
    <cacheHierarchy uniqueName="[Measures].[Ansatte sidste 12 måneder]" caption="Ansatte sidste 12 måneder" measure="1" displayFolder="" measureGroup="Medarbejder" count="0"/>
    <cacheHierarchy uniqueName="[Measures].[Medarbejderomsætning]" caption="Medarbejderomsætning" measure="1" displayFolder="" measureGroup="Medarbejder" count="0"/>
    <cacheHierarchy uniqueName="[Measures].[Antal Anden Aktør Aktiviteter]" caption="Antal Anden Aktør Aktiviteter" measure="1" displayFolder="" measureGroup="Anden Aktør Aktiviteter" count="0"/>
    <cacheHierarchy uniqueName="[Measures].[Antal Ledige i Anden Aktør]" caption="Antal Ledige i Anden Aktør" measure="1" displayFolder="" measureGroup="Anden Aktør Aktiviteter" count="0"/>
    <cacheHierarchy uniqueName="[Measures].[Antal Ledige i Anden Aktør Virksomhedsrettede Tilbud]" caption="Antal Ledige i Anden Aktør Virksomhedsrettede Tilbud" measure="1" displayFolder="" measureGroup="Anden Aktør Aktiviteter" count="0"/>
    <cacheHierarchy uniqueName="[Measures].[Andel Ledige i Anden Aktør Virksomhedsrettede Tilbud]" caption="Andel Ledige i Anden Aktør Virksomhedsrettede Tilbud" measure="1" displayFolder="" measureGroup="Anden Aktør Aktiviteter" count="0"/>
    <cacheHierarchy uniqueName="[Measures].[Antal Straksbookede Samtaler]" caption="Antal Straksbookede Samtaler" measure="1" displayFolder="" measureGroup="Samtaler" count="0"/>
    <cacheHierarchy uniqueName="[Measures].[Antal straksbookede deltagelser på arrangementer]" caption="Antal straksbookede deltagelser på arrangementer" measure="1" displayFolder="" measureGroup="Arrangementer" count="0"/>
    <cacheHierarchy uniqueName="[Measures].[Antal arrangementer med straksbookede deltagere]" caption="Antal arrangementer med straksbookede deltagere" measure="1" displayFolder="" measureGroup="Arrangementer" count="0"/>
    <cacheHierarchy uniqueName="[Measures].[Ledighedsberørte Kvartal]" caption="Ledighedsberørte Kvartal" measure="1" displayFolder="" measureGroup="Ledighedstal Kvartal" count="0"/>
    <cacheHierarchy uniqueName="[Measures].[Ledighed Kvartal]" caption="Ledighed Kvartal" measure="1" displayFolder="" measureGroup="Ledighedstal Kvartal" count="0"/>
    <cacheHierarchy uniqueName="[Measures].[Timer Udbetalt Kvartal]" caption="Timer Udbetalt Kvartal" measure="1" displayFolder="" measureGroup="Ledighedstal Kvartal" count="0"/>
    <cacheHierarchy uniqueName="[Measures].[Fuldtidsledige Kvartal]" caption="Fuldtidsledige Kvartal" measure="1" displayFolder="" measureGroup="Ledighedstal Kvartal" count="0"/>
    <cacheHierarchy uniqueName="[Measures].[Fuldtidsledighed Kvartal]" caption="Fuldtidsledighed Kvartal" measure="1" displayFolder="" measureGroup="Ledighedstal Kvartal" count="0"/>
    <cacheHierarchy uniqueName="[Measures].[Langtidsledige Kvartal]" caption="Langtidsledige Kvartal" measure="1" displayFolder="" measureGroup="Ledighedstal Kvartal" count="0"/>
    <cacheHierarchy uniqueName="[Measures].[Andel Langtidsledige Kvartal]" caption="Andel Langtidsledige Kvartal" measure="1" displayFolder="" measureGroup="Ledighedstal Kvartal" count="0"/>
    <cacheHierarchy uniqueName="[Measures].[Nyledige Kvartal]" caption="Nyledige Kvartal" measure="1" displayFolder="" measureGroup="Ledighedstal Kvartal" count="0"/>
    <cacheHierarchy uniqueName="[Measures].[Dimittendledige Kvartal]" caption="Dimittendledige Kvartal" measure="1" displayFolder="" measureGroup="Ledighedstal Kvartal" count="0"/>
    <cacheHierarchy uniqueName="[Measures].[Dimittendledighed Kvartal]" caption="Dimittendledighed Kvartal" measure="1" displayFolder="" measureGroup="Ledighedstal Kvartal" count="0"/>
    <cacheHierarchy uniqueName="[Measures].[Udfaldstruede Kvartal]" caption="Udfaldstruede Kvartal" measure="1" displayFolder="" measureGroup="Ledighedstal Kvartal" count="0"/>
    <cacheHierarchy uniqueName="[Measures].[Udfaldne Kvartal]" caption="Udfaldne Kvartal" measure="1" displayFolder="" measureGroup="Ledighedstal Kvartal" count="0"/>
    <cacheHierarchy uniqueName="[Measures].[Medlemstal Kvartal]" caption="Medlemstal Kvartal" measure="1" displayFolder="" measureGroup="Medlemstal" count="0"/>
    <cacheHierarchy uniqueName="[Measures].[Ledighedsmulige Kvartal]" caption="Ledighedsmulige Kvartal" measure="1" displayFolder="" measureGroup="Medlemstal" count="0"/>
    <cacheHierarchy uniqueName="[Measures].[Ledighedsberørte År]" caption="Ledighedsberørte År" measure="1" displayFolder="" measureGroup="Ledighedstal År" count="0"/>
    <cacheHierarchy uniqueName="[Measures].[Ledighed År]" caption="Ledighed År" measure="1" displayFolder="" measureGroup="Ledighedstal År" count="0"/>
    <cacheHierarchy uniqueName="[Measures].[Ledighedsmulige År]" caption="Ledighedsmulige År" measure="1" displayFolder="" measureGroup="Medlemstal" count="0"/>
    <cacheHierarchy uniqueName="[Measures].[Medlemstal År]" caption="Medlemstal År" measure="1" displayFolder="" measureGroup="Medlemstal" count="0"/>
    <cacheHierarchy uniqueName="[Measures].[Fuldtidsledige År]" caption="Fuldtidsledige År" measure="1" displayFolder="" measureGroup="Ledighedstal År" count="0"/>
    <cacheHierarchy uniqueName="[Measures].[Timer Udbetalt År]" caption="Timer Udbetalt År" measure="1" displayFolder="" measureGroup="Ledighedstal År" count="0"/>
    <cacheHierarchy uniqueName="[Measures].[Andel Langtidsledige År]" caption="Andel Langtidsledige År" measure="1" displayFolder="" measureGroup="Ledighedstal År" count="0"/>
    <cacheHierarchy uniqueName="[Measures].[Fuldtidsledighed År]" caption="Fuldtidsledighed År" measure="1" displayFolder="" measureGroup="Ledighedstal År" count="0"/>
    <cacheHierarchy uniqueName="[Measures].[Langtidsledige År]" caption="Langtidsledige År" measure="1" displayFolder="" measureGroup="Ledighedstal År" count="0"/>
    <cacheHierarchy uniqueName="[Measures].[Nyledige År]" caption="Nyledige År" measure="1" displayFolder="" measureGroup="Ledighedstal År" count="0"/>
    <cacheHierarchy uniqueName="[Measures].[Dimittendledige År]" caption="Dimittendledige År" measure="1" displayFolder="" measureGroup="Ledighedstal År" count="0"/>
    <cacheHierarchy uniqueName="[Measures].[Dimittendledighed År]" caption="Dimittendledighed År" measure="1" displayFolder="" measureGroup="Ledighedstal År" count="0"/>
    <cacheHierarchy uniqueName="[Measures].[Udfaldstruede År]" caption="Udfaldstruede År" measure="1" displayFolder="" measureGroup="Ledighedstal År" count="0"/>
    <cacheHierarchy uniqueName="[Measures].[Udfaldne År]" caption="Udfaldne År" measure="1" displayFolder="" measureGroup="Ledighedstal År" count="0"/>
    <cacheHierarchy uniqueName="[Measures].[Sommerdimittender År]" caption="Sommerdimittender År" measure="1" displayFolder="" measureGroup="Sommerdimittender År" count="0"/>
    <cacheHierarchy uniqueName="[Measures].[Sommerdimittender Kvartal]" caption="Sommerdimittender Kvartal" measure="1" displayFolder="" measureGroup="Sommerdimittender Kvartal" count="0"/>
    <cacheHierarchy uniqueName="[Measures].[Sommerdimittender]" caption="Sommerdimittender" measure="1" displayFolder="" measureGroup="Sommerdimittender" count="0"/>
    <cacheHierarchy uniqueName="[Measures].[Antal straksbookede aftaler]" caption="Antal straksbookede aftaler" measure="1" displayFolder="" measureGroup="Aftaler" count="0"/>
    <cacheHierarchy uniqueName="[Measures].[Ledighedsberørte 12 måneder]" caption="Ledighedsberørte 12 måneder" measure="1" displayFolder="" measureGroup="Ledighedstal 12 måneder" count="0"/>
    <cacheHierarchy uniqueName="[Measures].[Udfaldstruede 12 måneder]" caption="Udfaldstruede 12 måneder" measure="1" displayFolder="" measureGroup="Ledighedstal 12 måneder" count="0"/>
    <cacheHierarchy uniqueName="[Measures].[Beskedtråde]" caption="Beskedtråde" measure="1" displayFolder="" measureGroup="Selvbetjeningsbeskeder" count="0"/>
    <cacheHierarchy uniqueName="[Measures].[Udmeldelser Opdateret]" caption="Udmeldelser Opdateret" measure="1" displayFolder="" measureGroup="Medlemstal Opdateret" count="0"/>
    <cacheHierarchy uniqueName="[Measures].[Indmeldelser Opdateret]" caption="Indmeldelser Opdateret" measure="1" displayFolder="" measureGroup="Medlemstal Opdateret" count="0"/>
    <cacheHierarchy uniqueName="[Measures].[Indmeldelser Opdateret Sammenlignet Med Samme Periode Sidste År]" caption="Indmeldelser Opdateret Sammenlignet Med Samme Periode Sidste År" measure="1" displayFolder="" measureGroup="Medlemstal Opdateret" count="0"/>
    <cacheHierarchy uniqueName="[Measures].[Udmeldelser Opdateret Sammenlignet Med Samme Periode Sidste År]" caption="Udmeldelser Opdateret Sammenlignet Med Samme Periode Sidste År" measure="1" displayFolder="" measureGroup="Medlemstal Opdateret" count="0"/>
    <cacheHierarchy uniqueName="[Measures].[Indmeldelser Sammenlignet Med Samme Periode Sidste År]" caption="Indmeldelser Sammenlignet Med Samme Periode Sidste År" measure="1" displayFolder="" measureGroup="Medlemstal" count="0"/>
    <cacheHierarchy uniqueName="[Measures].[Udmeldelser Sammenlignet Med Samme Periode Sidste År]" caption="Udmeldelser Sammenlignet Med Samme Periode Sidste År" measure="1" displayFolder="" measureGroup="Medlemstal" count="0"/>
    <cacheHierarchy uniqueName="[Measures].[Forsikring Kort Overholdelse]" caption="Forsikring Kort Overholdelse" measure="1" displayFolder="" measureGroup="Selvbetjeningsbeskeder" count="0"/>
    <cacheHierarchy uniqueName="[Measures].[Jobmatch Kort Overholdelse]" caption="Jobmatch Kort Overholdelse" measure="1" displayFolder="" measureGroup="Selvbetjeningsbeskeder" count="0"/>
    <cacheHierarchy uniqueName="[Measures].[Jobmatch Lang Overholdelse]" caption="Jobmatch Lang Overholdelse" measure="1" displayFolder="" measureGroup="Selvbetjeningsbeskeder" count="0"/>
    <cacheHierarchy uniqueName="[Measures].[Forsikring Lang Overholdelse]" caption="Forsikring Lang Overholdelse" measure="1" displayFolder="" measureGroup="Selvbetjeningsbeskeder" count="0"/>
    <cacheHierarchy uniqueName="[Measures].[_Count Medlem]" caption="_Count Medlem" measure="1" displayFolder="" measureGroup="Medlem" count="0" hidden="1"/>
    <cacheHierarchy uniqueName="[Measures].[_Count Medlemstal]" caption="_Count Medlemstal" measure="1" displayFolder="" measureGroup="Medlemstal" count="0" hidden="1"/>
    <cacheHierarchy uniqueName="[Measures].[_Count Medlemstal Opdateret]" caption="_Count Medlemstal Opdateret" measure="1" displayFolder="" measureGroup="Medlemstal Opdateret" count="0" hidden="1"/>
    <cacheHierarchy uniqueName="[Measures].[_Count Dato]" caption="_Count Dato" measure="1" displayFolder="" measureGroup="Dato" count="0" hidden="1"/>
    <cacheHierarchy uniqueName="[Measures].[_Count Uddannelse]" caption="_Count Uddannelse" measure="1" displayFolder="" measureGroup="Uddannelse" count="0" hidden="1"/>
    <cacheHierarchy uniqueName="[Measures].[_Count Fagligt Tilhørsforhold]" caption="_Count Fagligt Tilhørsforhold" measure="1" displayFolder="" measureGroup="Fagligt Tilhørsforhold" count="0" hidden="1"/>
    <cacheHierarchy uniqueName="[Measures].[_Count Kommune]" caption="_Count Kommune" measure="1" displayFolder="" measureGroup="Kommune" count="0" hidden="1"/>
    <cacheHierarchy uniqueName="[Measures].[_Count Postnummer]" caption="_Count Postnummer" measure="1" displayFolder="" measureGroup="Postnummer" count="0" hidden="1"/>
    <cacheHierarchy uniqueName="[Measures].[_Count Uddannelsessted]" caption="_Count Uddannelsessted" measure="1" displayFolder="" measureGroup="Uddannelsessted" count="0" hidden="1"/>
    <cacheHierarchy uniqueName="[Measures].[_Count Senest Opdateret]" caption="_Count Senest Opdateret" measure="1" displayFolder="" measureGroup="Senest Opdateret" count="0" hidden="1"/>
    <cacheHierarchy uniqueName="[Measures].[_Count Dimittenddato Opdateret]" caption="_Count Dimittenddato Opdateret" measure="1" displayFolder="" measureGroup="Dimittenddato Opdateret" count="0" hidden="1"/>
    <cacheHierarchy uniqueName="[Measures].[_Count Betalingsstatus]" caption="_Count Betalingsstatus" measure="1" displayFolder="" measureGroup="Betalingsstatus" count="0" hidden="1"/>
    <cacheHierarchy uniqueName="[Measures].[_Count Anden A-kasse 1]" caption="_Count Anden A-kasse 1" measure="1" displayFolder="" measureGroup="Anden A-kasse" count="0" hidden="1"/>
    <cacheHierarchy uniqueName="[Measures].[_Count Indbetaler Til Efterløn]" caption="_Count Indbetaler Til Efterløn" measure="1" displayFolder="" measureGroup="Indbetaler Til Efterløn" count="0" hidden="1"/>
    <cacheHierarchy uniqueName="[Measures].[_Count Medlemsstatus]" caption="_Count Medlemsstatus" measure="1" displayFolder="" measureGroup="Medlemsstatus" count="0" hidden="1"/>
    <cacheHierarchy uniqueName="[Measures].[_Count Årsag]" caption="_Count Årsag" measure="1" displayFolder="" measureGroup="Årsag" count="0" hidden="1"/>
    <cacheHierarchy uniqueName="[Measures].[_Count Land]" caption="_Count Land" measure="1" displayFolder="" measureGroup="Land" count="0" hidden="1"/>
    <cacheHierarchy uniqueName="[Measures].[_Count Kandidatalder]" caption="_Count Kandidatalder" measure="1" displayFolder="" measureGroup="Kandidatalder" count="0" hidden="1"/>
    <cacheHierarchy uniqueName="[Measures].[_Count Alder]" caption="_Count Alder" measure="1" displayFolder="" measureGroup="Alder" count="0" hidden="1"/>
    <cacheHierarchy uniqueName="[Measures].[_Count Ændring efter fastfrysning]" caption="_Count Ændring efter fastfrysning" measure="1" displayFolder="" measureGroup="Ændring efter fastfrysning" count="0" hidden="1"/>
    <cacheHierarchy uniqueName="[Measures].[_Count Medlemstal Bevægelse]" caption="_Count Medlemstal Bevægelse" measure="1" displayFolder="" measureGroup="Medlemstal Bevægelse" count="0" hidden="1"/>
    <cacheHierarchy uniqueName="[Measures].[_Count Ydelsestype]" caption="_Count Ydelsestype" measure="1" displayFolder="" measureGroup="Ydelsestype" count="0" hidden="1"/>
    <cacheHierarchy uniqueName="[Measures].[_Count Erklæringstype]" caption="_Count Erklæringstype" measure="1" displayFolder="" measureGroup="Erklæringstype" count="0" hidden="1"/>
    <cacheHierarchy uniqueName="[Measures].[_Count Erklæringer Opdateret]" caption="_Count Erklæringer Opdateret" measure="1" displayFolder="" measureGroup="Erklæringer Opdateret" count="0" hidden="1"/>
    <cacheHierarchy uniqueName="[Measures].[_Count Medlemstal Budget]" caption="_Count Medlemstal Budget" measure="1" displayFolder="" measureGroup="Medlemstal Budget" count="0" hidden="1"/>
    <cacheHierarchy uniqueName="[Measures].[_Count Ledighedstal Opdateret]" caption="_Count Ledighedstal Opdateret" measure="1" displayFolder="" measureGroup="Ledighedstal Opdateret" count="0" hidden="1"/>
    <cacheHierarchy uniqueName="[Measures].[_Count Rapporteringsmåned]" caption="_Count Rapporteringsmåned" measure="1" displayFolder="" measureGroup="Rapporteringsmåned" count="0" hidden="1"/>
    <cacheHierarchy uniqueName="[Measures].[_Count Medlemstal Økonomibudget]" caption="_Count Medlemstal Økonomibudget" measure="1" displayFolder="" measureGroup="Medlemstal Økonomibudget" count="0" hidden="1"/>
    <cacheHierarchy uniqueName="[Measures].[_Count Ledighedstal]" caption="_Count Ledighedstal" measure="1" displayFolder="" measureGroup="Ledighedstal" count="0" hidden="1"/>
    <cacheHierarchy uniqueName="[Measures].[_Count Dimittenddato]" caption="_Count Dimittenddato" measure="1" displayFolder="" measureGroup="Dimittenddato" count="0" hidden="1"/>
    <cacheHierarchy uniqueName="[Measures].[_Count Medarbejder]" caption="_Count Medarbejder" measure="1" displayFolder="" measureGroup="Medarbejder" count="0" hidden="1"/>
    <cacheHierarchy uniqueName="[Measures].[_Count Opkaldsresultat]" caption="_Count Opkaldsresultat" measure="1" displayFolder="" measureGroup="Opkaldsresultat" count="0" hidden="1"/>
    <cacheHierarchy uniqueName="[Measures].[_Count Opkaldstype]" caption="_Count Opkaldstype" measure="1" displayFolder="" measureGroup="Opkaldstype" count="0" hidden="1"/>
    <cacheHierarchy uniqueName="[Measures].[_Count Service]" caption="_Count Service" measure="1" displayFolder="" measureGroup="Service" count="0" hidden="1"/>
    <cacheHierarchy uniqueName="[Measures].[_Count Telefonopkald]" caption="_Count Telefonopkald" measure="1" displayFolder="" measureGroup="Telefonopkald" count="0" hidden="1"/>
    <cacheHierarchy uniqueName="[Measures].[_Count Tid på dagen]" caption="_Count Tid på dagen" measure="1" displayFolder="" measureGroup="Tid på dagen" count="0" hidden="1"/>
    <cacheHierarchy uniqueName="[Measures].[_Count Varighed Samtaletid]" caption="_Count Varighed Samtaletid" measure="1" displayFolder="" measureGroup="Varighed Samtaletid" count="0" hidden="1"/>
    <cacheHierarchy uniqueName="[Measures].[_Count Varighed Ventetid]" caption="_Count Varighed Ventetid" measure="1" displayFolder="" measureGroup="Varighed Ventetid" count="0" hidden="1"/>
    <cacheHierarchy uniqueName="[Measures].[_Count Viderestillet]" caption="_Count Viderestillet" measure="1" displayFolder="" measureGroup="Viderestillet" count="0" hidden="1"/>
    <cacheHierarchy uniqueName="[Measures].[_Count Medarbejder Viderestillet]" caption="_Count Medarbejder Viderestillet" measure="1" displayFolder="" measureGroup="Medarbejder Viderestillet" count="0" hidden="1"/>
    <cacheHierarchy uniqueName="[Measures].[_Count Service Viderestillet]" caption="_Count Service Viderestillet" measure="1" displayFolder="" measureGroup="Service Viderestillet" count="0" hidden="1"/>
    <cacheHierarchy uniqueName="[Measures].[_Count Team]" caption="_Count Team" measure="1" displayFolder="" measureGroup="Team" count="0" hidden="1"/>
    <cacheHierarchy uniqueName="[Measures].[_Count Team Viderestillet]" caption="_Count Team Viderestillet" measure="1" displayFolder="" measureGroup="Team Viderestillet" count="0" hidden="1"/>
    <cacheHierarchy uniqueName="[Measures].[_Count Telefon Indlogning]" caption="_Count Telefon Indlogning" measure="1" displayFolder="" measureGroup="Telefon Indlogning" count="0" hidden="1"/>
    <cacheHierarchy uniqueName="[Measures].[_Count Aftale Afholdelsesstatus]" caption="_Count Aftale Afholdelsesstatus" measure="1" displayFolder="" measureGroup="Aftale Afholdelsesstatus" count="0" hidden="1"/>
    <cacheHierarchy uniqueName="[Measures].[_Count Aftalestatus]" caption="_Count Aftalestatus" measure="1" displayFolder="" measureGroup="Aftalestatus" count="0" hidden="1"/>
    <cacheHierarchy uniqueName="[Measures].[_Count Aftaletype]" caption="_Count Aftaletype" measure="1" displayFolder="" measureGroup="Aftaletype" count="0" hidden="1"/>
    <cacheHierarchy uniqueName="[Measures].[_Count Forløb]" caption="_Count Forløb" measure="1" displayFolder="" measureGroup="Forløb" count="0" hidden="1"/>
    <cacheHierarchy uniqueName="[Measures].[_Count Aftaler]" caption="_Count Aftaler" measure="1" displayFolder="" measureGroup="Aftaler" count="0" hidden="1"/>
    <cacheHierarchy uniqueName="[Measures].[_Count Arrangement]" caption="_Count Arrangement" measure="1" displayFolder="" measureGroup="Arrangement" count="0" hidden="1"/>
    <cacheHierarchy uniqueName="[Measures].[_Count Ventelistestatus]" caption="_Count Ventelistestatus" measure="1" displayFolder="" measureGroup="Ventelistestatus" count="0" hidden="1"/>
    <cacheHierarchy uniqueName="[Measures].[_Count Venteliste]" caption="_Count Venteliste" measure="1" displayFolder="" measureGroup="Venteliste" count="0" hidden="1"/>
    <cacheHierarchy uniqueName="[Measures].[_Count Aktivitetstype]" caption="_Count Aktivitetstype" measure="1" displayFolder="" measureGroup="Aktivitetstype" count="0" hidden="1"/>
    <cacheHierarchy uniqueName="[Measures].[_Count Arbejdsgange]" caption="_Count Arbejdsgange" measure="1" displayFolder="" measureGroup="Arbejdsgange" count="0" hidden="1"/>
    <cacheHierarchy uniqueName="[Measures].[_Count Sagsbehandling]" caption="_Count Sagsbehandling" measure="1" displayFolder="" measureGroup="Sagsbehandling" count="0" hidden="1"/>
    <cacheHierarchy uniqueName="[Measures].[_Count Arbejdsgangstype]" caption="_Count Arbejdsgangstype" measure="1" displayFolder="" measureGroup="Arbejdsgangstype" count="0" hidden="1"/>
    <cacheHierarchy uniqueName="[Measures].[_Count Arbejdsgangtrin]" caption="_Count Arbejdsgangtrin" measure="1" displayFolder="" measureGroup="Arbejdsgangtrin" count="0" hidden="1"/>
    <cacheHierarchy uniqueName="[Measures].[_Count ArbejdsgangtrinStatus]" caption="_Count ArbejdsgangtrinStatus" measure="1" displayFolder="" measureGroup="ArbejdsgangtrinStatus" count="0" hidden="1"/>
    <cacheHierarchy uniqueName="[Measures].[_Count Automatiseringstype]" caption="_Count Automatiseringstype" measure="1" displayFolder="" measureGroup="Automatiseringstype" count="0" hidden="1"/>
    <cacheHierarchy uniqueName="[Measures].[_Count Sagsstatus]" caption="_Count Sagsstatus" measure="1" displayFolder="" measureGroup="Sagsstatus" count="0" hidden="1"/>
    <cacheHierarchy uniqueName="[Measures].[_Count Sagstype]" caption="_Count Sagstype" measure="1" displayFolder="" measureGroup="Sagstype" count="0" hidden="1"/>
    <cacheHierarchy uniqueName="[Measures].[_Count Aktivitetsstatus]" caption="_Count Aktivitetsstatus" measure="1" displayFolder="" measureGroup="Aktivitetsstatus" count="0" hidden="1"/>
    <cacheHierarchy uniqueName="[Measures].[_Count Selvbetjeningsbeskeder]" caption="_Count Selvbetjeningsbeskeder" measure="1" displayFolder="" measureGroup="Selvbetjeningsbeskeder" count="0" hidden="1"/>
    <cacheHierarchy uniqueName="[Measures].[_Count Fraværskode 1]" caption="_Count Fraværskode 1" measure="1" displayFolder="" measureGroup="Fraværskode" count="0" hidden="1"/>
    <cacheHierarchy uniqueName="[Measures].[_Count Normtimer]" caption="_Count Normtimer" measure="1" displayFolder="" measureGroup="Normtimer" count="0" hidden="1"/>
    <cacheHierarchy uniqueName="[Measures].[_Count Normtimer Fuldtid]" caption="_Count Normtimer Fuldtid" measure="1" displayFolder="" measureGroup="Normtimer Fuldtid" count="0" hidden="1"/>
    <cacheHierarchy uniqueName="[Measures].[_Count Afslutningsdato]" caption="_Count Afslutningsdato" measure="1" displayFolder="" measureGroup="Afslutningsdato" count="0" hidden="1"/>
    <cacheHierarchy uniqueName="[Measures].[_Count Deadlinedato]" caption="_Count Deadlinedato" measure="1" displayFolder="" measureGroup="Deadlinedato" count="0" hidden="1"/>
    <cacheHierarchy uniqueName="[Measures].[_Count Fravær]" caption="_Count Fravær" measure="1" displayFolder="" measureGroup="Fravær" count="0" hidden="1"/>
    <cacheHierarchy uniqueName="[Measures].[_Count Stoptrin]" caption="_Count Stoptrin" measure="1" displayFolder="" measureGroup="Stoptrin" count="0" hidden="1"/>
    <cacheHierarchy uniqueName="[Measures].[_Count Ansvarligt Team]" caption="_Count Ansvarligt Team" measure="1" displayFolder="" measureGroup="Ansvarligt Team" count="0" hidden="1"/>
    <cacheHierarchy uniqueName="[Measures].[_Count Arrangementer]" caption="_Count Arrangementer" measure="1" displayFolder="" measureGroup="Arrangementer" count="0" hidden="1"/>
    <cacheHierarchy uniqueName="[Measures].[_Count Samtaler]" caption="_Count Samtaler" measure="1" displayFolder="" measureGroup="Samtaler" count="0" hidden="1"/>
    <cacheHierarchy uniqueName="[Measures].[_Count Incident Kategori]" caption="_Count Incident Kategori" measure="1" displayFolder="" measureGroup="Incident Kategori" count="0" hidden="1"/>
    <cacheHierarchy uniqueName="[Measures].[_Count Incident Status]" caption="_Count Incident Status" measure="1" displayFolder="" measureGroup="Incident Status" count="0" hidden="1"/>
    <cacheHierarchy uniqueName="[Measures].[_Count HelpDeskIncident]" caption="_Count HelpDeskIncident" measure="1" displayFolder="" measureGroup="HelpDeskIncident" count="0" hidden="1"/>
    <cacheHierarchy uniqueName="[Measures].[_Count Medarbejder anmelder]" caption="_Count Medarbejder anmelder" measure="1" displayFolder="" measureGroup="Medarbejder anmelder" count="0" hidden="1"/>
    <cacheHierarchy uniqueName="[Measures].[_Count Team anmelder]" caption="_Count Team anmelder" measure="1" displayFolder="" measureGroup="Team anmelder" count="0" hidden="1"/>
    <cacheHierarchy uniqueName="[Measures].[_Count Uddannelsesretning]" caption="_Count Uddannelsesretning" measure="1" displayFolder="" measureGroup="Uddannelsesretning" count="0" hidden="1"/>
    <cacheHierarchy uniqueName="[Measures].[_Count Klipforbrug]" caption="_Count Klipforbrug" measure="1" displayFolder="" measureGroup="Klipforbrug" count="0" hidden="1"/>
    <cacheHierarchy uniqueName="[Measures].[_Count Anden Aktør Aktiviteter]" caption="_Count Anden Aktør Aktiviteter" measure="1" displayFolder="" measureGroup="Anden Aktør Aktiviteter" count="0" hidden="1"/>
    <cacheHierarchy uniqueName="[Measures].[_Count Anden Aktør Aktivitetstype]" caption="_Count Anden Aktør Aktivitetstype" measure="1" displayFolder="" measureGroup="Anden Aktør Aktivitetstype" count="0" hidden="1"/>
    <cacheHierarchy uniqueName="[Measures].[_Count Afvist]" caption="_Count Afvist" measure="1" displayFolder="" measureGroup="Afvist" count="0" hidden="1"/>
    <cacheHierarchy uniqueName="[Measures].[_Count Behandlet]" caption="_Count Behandlet" measure="1" displayFolder="" measureGroup="Behandlet" count="0" hidden="1"/>
    <cacheHierarchy uniqueName="[Measures].[_Count Virksomhed]" caption="_Count Virksomhed" measure="1" displayFolder="" measureGroup="Virksomhed" count="0" hidden="1"/>
    <cacheHierarchy uniqueName="[Measures].[_Count Ledighedstal Kvartal]" caption="_Count Ledighedstal Kvartal" measure="1" displayFolder="" measureGroup="Ledighedstal Kvartal" count="0" hidden="1"/>
    <cacheHierarchy uniqueName="[Measures].[_Count Rapporteringskvartal]" caption="_Count Rapporteringskvartal" measure="1" displayFolder="" measureGroup="Rapporteringskvartal" count="0" hidden="1"/>
    <cacheHierarchy uniqueName="[Measures].[_Count Rapporteringsår]" caption="_Count Rapporteringsår" measure="1" displayFolder="" measureGroup="Rapporteringsår" count="0" hidden="1"/>
    <cacheHierarchy uniqueName="[Measures].[_Count Ledighedstal År]" caption="_Count Ledighedstal År" measure="1" displayFolder="" measureGroup="Ledighedstal År" count="0" hidden="1"/>
    <cacheHierarchy uniqueName="[Measures].[_Count Sommerdimittender År]" caption="_Count Sommerdimittender År" measure="1" displayFolder="" measureGroup="Sommerdimittender År" count="0" hidden="1"/>
    <cacheHierarchy uniqueName="[Measures].[_Count Sommerdimittender Kvartal]" caption="_Count Sommerdimittender Kvartal" measure="1" displayFolder="" measureGroup="Sommerdimittender Kvartal" count="0" hidden="1"/>
    <cacheHierarchy uniqueName="[Measures].[_Count Sommerdimittender]" caption="_Count Sommerdimittender" measure="1" displayFolder="" measureGroup="Sommerdimittender" count="0" hidden="1"/>
    <cacheHierarchy uniqueName="[Measures].[_Count Ledighedstal 12 måneder]" caption="_Count Ledighedstal 12 måneder" measure="1" displayFolder="" measureGroup="Ledighedstal 12 måneder" count="0" hidden="1"/>
    <cacheHierarchy uniqueName="[Measures].[Statusskift Tilgang Opdateret]" caption="Statusskift Tilgang Opdateret" measure="1" displayFolder="" measureGroup="Medlemstal Opdateret" count="0" hidden="1"/>
    <cacheHierarchy uniqueName="[Measures].[Statusskift Afgang Opdateret]" caption="Statusskift Afgang Opdateret" measure="1" displayFolder="" measureGroup="Medlemstal Opdateret" count="0" hidden="1"/>
    <cacheHierarchy uniqueName="[Measures].[Statusskift Tilgang]" caption="Statusskift Tilgang" measure="1" displayFolder="" measureGroup="Medlemstal" count="0" hidden="1"/>
    <cacheHierarchy uniqueName="[Measures].[Statusskift Afgang]" caption="Statusskift Afgang" measure="1" displayFolder="" measureGroup="Medlemstal" count="0" hidden="1"/>
    <cacheHierarchy uniqueName="[Measures].[Ledighedstal Normtimer Opdateret]" caption="Ledighedstal Normtimer Opdateret" measure="1" displayFolder="" measureGroup="Ledighedstal Opdateret" count="0" hidden="1"/>
    <cacheHierarchy uniqueName="[Measures].[Antal uger i perioden Opdateret]" caption="Antal uger i perioden Opdateret" measure="1" displayFolder="" measureGroup="Ledighedstal Opdateret" count="0" hidden="1"/>
    <cacheHierarchy uniqueName="[Measures].[Statusskift Netto Betalende Opdateret]" caption="Statusskift Netto Betalende Opdateret" measure="1" displayFolder="" measureGroup="Medlemstal Opdateret" count="0" hidden="1"/>
    <cacheHierarchy uniqueName="[Measures].[Statusskift Netto Ikke-Betalende Opdateret]" caption="Statusskift Netto Ikke-Betalende Opdateret" measure="1" displayFolder="" measureGroup="Medlemstal Opdateret" count="0" hidden="1"/>
    <cacheHierarchy uniqueName="[Measures].[Statusskift Netto Ikke-Betalende]" caption="Statusskift Netto Ikke-Betalende" measure="1" displayFolder="" measureGroup="Medlemstal" count="0" hidden="1"/>
    <cacheHierarchy uniqueName="[Measures].[Statusskift Netto Betalende]" caption="Statusskift Netto Betalende" measure="1" displayFolder="" measureGroup="Medlemstal" count="0" hidden="1"/>
    <cacheHierarchy uniqueName="[Measures].[Ledighedstal Normtimer]" caption="Ledighedstal Normtimer" measure="1" displayFolder="" measureGroup="Ledighedstal" count="0" hidden="1"/>
    <cacheHierarchy uniqueName="[Measures].[Antal uger i perioden]" caption="Antal uger i perioden" measure="1" displayFolder="" measureGroup="Ledighedstal" count="0" hidden="1"/>
    <cacheHierarchy uniqueName="[Measures].[Antal På Venteliste]" caption="Antal På Venteliste" measure="1" displayFolder="" measureGroup="Venteliste" count="0" hidden="1"/>
    <cacheHierarchy uniqueName="[Measures].[Normtimer Fuldtid]" caption="Normtimer Fuldtid" measure="1" displayFolder="" measureGroup="Normtimer Fuldtid" count="0" hidden="1"/>
    <cacheHierarchy uniqueName="[Measures].[AntalViderestillet]" caption="AntalViderestillet" measure="1" displayFolder="" measureGroup="Telefonopkald" count="0" hidden="1"/>
    <cacheHierarchy uniqueName="[Measures].[Gennemløbstid (minutter)]" caption="Gennemløbstid (minutter)" measure="1" displayFolder="" measureGroup="HelpDeskIncident" count="0" hidden="1"/>
    <cacheHierarchy uniqueName="[Measures].[Gennemløbstid (timer)]" caption="Gennemløbstid (timer)" measure="1" displayFolder="" measureGroup="HelpDeskIncident" count="0" hidden="1"/>
    <cacheHierarchy uniqueName="[Measures].[Antal Besvarede Incidents]" caption="Antal Besvarede Incidents" measure="1" displayFolder="" measureGroup="HelpDeskIncident" count="0" hidden="1"/>
    <cacheHierarchy uniqueName="[Measures].[Antal uger i perioden Kvartal]" caption="Antal uger i perioden Kvartal" measure="1" displayFolder="" measureGroup="Ledighedstal Kvartal" count="0" hidden="1"/>
    <cacheHierarchy uniqueName="[Measures].[Ledighedstal Normtimer Kvartal]" caption="Ledighedstal Normtimer Kvartal" measure="1" displayFolder="" measureGroup="Ledighedstal Kvartal" count="0" hidden="1"/>
    <cacheHierarchy uniqueName="[Measures].[Antal uger i perioden År]" caption="Antal uger i perioden År" measure="1" displayFolder="" measureGroup="Ledighedstal År" count="0" hidden="1"/>
    <cacheHierarchy uniqueName="[Measures].[Ledighedstal Normtimer År]" caption="Ledighedstal Normtimer År" measure="1" displayFolder="" measureGroup="Ledighedstal År" count="0" hidden="1"/>
    <cacheHierarchy uniqueName="[Measures].[Indgående Beskeder]" caption="Indgående Beskeder" measure="1" displayFolder="" measureGroup="Selvbetjeningsbeskeder" count="0" hidden="1"/>
    <cacheHierarchy uniqueName="[Measures].[Indgående Forsikring Kort Overskredet]" caption="Indgående Forsikring Kort Overskredet" measure="1" displayFolder="" measureGroup="Selvbetjeningsbeskeder" count="0" hidden="1"/>
    <cacheHierarchy uniqueName="[Measures].[Indgående Forsikring Lang Overskredet]" caption="Indgående Forsikring Lang Overskredet" measure="1" displayFolder="" measureGroup="Selvbetjeningsbeskeder" count="0" hidden="1"/>
    <cacheHierarchy uniqueName="[Measures].[Indgående Jobmatch Kort Overskredet]" caption="Indgående Jobmatch Kort Overskredet" measure="1" displayFolder="" measureGroup="Selvbetjeningsbeskeder" count="0" hidden="1"/>
    <cacheHierarchy uniqueName="[Measures].[Indgående Jobmatch Lang Overskredet]" caption="Indgående Jobmatch Lang Overskredet" measure="1" displayFolder="" measureGroup="Selvbetjeningsbeskeder" count="0" hidden="1"/>
    <cacheHierarchy uniqueName="[Measures].[_Udmeldelser Opdateret Goal]" caption="_Udmeldelser Opdateret Goal" measure="1" displayFolder="" measureGroup="Medlemstal Opdateret" count="0" hidden="1"/>
    <cacheHierarchy uniqueName="[Measures].[_Udmeldelser Opdateret Status]" caption="_Udmeldelser Opdateret Status" measure="1" displayFolder="" measureGroup="Medlemstal Opdateret" count="0" hidden="1"/>
    <cacheHierarchy uniqueName="[Measures].[_Indmeldelser Opdateret Goal]" caption="_Indmeldelser Opdateret Goal" measure="1" displayFolder="" measureGroup="Medlemstal Opdateret" count="0" hidden="1"/>
    <cacheHierarchy uniqueName="[Measures].[_Indmeldelser Opdateret Status]" caption="_Indmeldelser Opdateret Status" measure="1" displayFolder="" measureGroup="Medlemstal Opdateret" count="0" hidden="1"/>
    <cacheHierarchy uniqueName="[Measures].[_Indmeldelser Opdateret Sammenlignet Med Samme Periode Sidste År Goal]" caption="_Indmeldelser Opdateret Sammenlignet Med Samme Periode Sidste År Goal" measure="1" displayFolder="" measureGroup="Medlemstal Opdateret" count="0" hidden="1"/>
    <cacheHierarchy uniqueName="[Measures].[_Indmeldelser Opdateret Sammenlignet Med Samme Periode Sidste År Status]" caption="_Indmeldelser Opdateret Sammenlignet Med Samme Periode Sidste År Status" measure="1" displayFolder="" measureGroup="Medlemstal Opdateret" count="0" hidden="1"/>
    <cacheHierarchy uniqueName="[Measures].[_Udmeldelser Opdateret Sammenlignet Med Samme Periode Sidste År Goal]" caption="_Udmeldelser Opdateret Sammenlignet Med Samme Periode Sidste År Goal" measure="1" displayFolder="" measureGroup="Medlemstal Opdateret" count="0" hidden="1"/>
    <cacheHierarchy uniqueName="[Measures].[_Udmeldelser Opdateret Sammenlignet Med Samme Periode Sidste År Status]" caption="_Udmeldelser Opdateret Sammenlignet Med Samme Periode Sidste År Status" measure="1" displayFolder="" measureGroup="Medlemstal Opdateret" count="0" hidden="1"/>
    <cacheHierarchy uniqueName="[Measures].[_Indmeldelser Sammenlignet Med Samme Periode Sidste År Goal]" caption="_Indmeldelser Sammenlignet Med Samme Periode Sidste År Goal" measure="1" displayFolder="" measureGroup="Medlemstal" count="0" hidden="1"/>
    <cacheHierarchy uniqueName="[Measures].[_Indmeldelser Sammenlignet Med Samme Periode Sidste År Status]" caption="_Indmeldelser Sammenlignet Med Samme Periode Sidste År Status" measure="1" displayFolder="" measureGroup="Medlemstal" count="0" hidden="1"/>
    <cacheHierarchy uniqueName="[Measures].[_Udmeldelser Sammenlignet Med Samme Periode Sidste År Goal]" caption="_Udmeldelser Sammenlignet Med Samme Periode Sidste År Goal" measure="1" displayFolder="" measureGroup="Medlemstal" count="0" hidden="1"/>
    <cacheHierarchy uniqueName="[Measures].[_Udmeldelser Sammenlignet Med Samme Periode Sidste År Status]" caption="_Udmeldelser Sammenlignet Med Samme Periode Sidste År Status" measure="1" displayFolder="" measureGroup="Medlemstal" count="0" hidden="1"/>
    <cacheHierarchy uniqueName="[Measures].[_Forsikring Kort Overholdelse Goal]" caption="_Forsikring Kort Overholdelse Goal" measure="1" displayFolder="" measureGroup="Selvbetjeningsbeskeder" count="0" hidden="1"/>
    <cacheHierarchy uniqueName="[Measures].[_Forsikring Kort Overholdelse Status]" caption="_Forsikring Kort Overholdelse Status" measure="1" displayFolder="" measureGroup="Selvbetjeningsbeskeder" count="0" hidden="1"/>
    <cacheHierarchy uniqueName="[Measures].[_Jobmatch Kort Overholdelse Goal]" caption="_Jobmatch Kort Overholdelse Goal" measure="1" displayFolder="" measureGroup="Selvbetjeningsbeskeder" count="0" hidden="1"/>
    <cacheHierarchy uniqueName="[Measures].[_Jobmatch Kort Overholdelse Status]" caption="_Jobmatch Kort Overholdelse Status" measure="1" displayFolder="" measureGroup="Selvbetjeningsbeskeder" count="0" hidden="1"/>
    <cacheHierarchy uniqueName="[Measures].[_Jobmatch Lang Overholdelse Goal]" caption="_Jobmatch Lang Overholdelse Goal" measure="1" displayFolder="" measureGroup="Selvbetjeningsbeskeder" count="0" hidden="1"/>
    <cacheHierarchy uniqueName="[Measures].[_Jobmatch Lang Overholdelse Status]" caption="_Jobmatch Lang Overholdelse Status" measure="1" displayFolder="" measureGroup="Selvbetjeningsbeskeder" count="0" hidden="1"/>
    <cacheHierarchy uniqueName="[Measures].[_Forsikring Lang Overholdelse Goal]" caption="_Forsikring Lang Overholdelse Goal" measure="1" displayFolder="" measureGroup="Selvbetjeningsbeskeder" count="0" hidden="1"/>
    <cacheHierarchy uniqueName="[Measures].[_Forsikring Lang Overholdelse Status]" caption="_Forsikring Lang Overholdelse Status" measure="1" displayFolder="" measureGroup="Selvbetjeningsbeskeder" count="0" hidden="1"/>
  </cacheHierarchies>
  <kpis count="10">
    <kpi uniqueName="Udmeldelser Opdateret" caption="Udmeldelser Opdateret" displayFolder="" measureGroup="Medlemstal Opdateret" parent="" value="[Measures].[Udmeldelser Opdateret]" goal="[Measures].[_Udmeldelser Opdateret Goal]" status="[Measures].[_Udmeldelser Opdateret Status]" trend="" weight=""/>
    <kpi uniqueName="Indmeldelser Opdateret" caption="Indmeldelser Opdateret" displayFolder="" measureGroup="Medlemstal Opdateret" parent="" value="[Measures].[Indmeldelser Opdateret]" goal="[Measures].[_Indmeldelser Opdateret Goal]" status="[Measures].[_Indmeldelser Opdateret Status]" trend="" weight=""/>
    <kpi uniqueName="Indmeldelser Opdateret Sammenlignet Med Samme Periode Sidste År" caption="Indmeldelser Opdateret Sammenlignet Med Samme Periode Sidste År" displayFolder="" measureGroup="Medlemstal Opdateret" parent="" value="[Measures].[Indmeldelser Opdateret Sammenlignet Med Samme Periode Sidste År]" goal="[Measures].[_Indmeldelser Opdateret Sammenlignet Med Samme Periode Sidste År Goal]" status="[Measures].[_Indmeldelser Opdateret Sammenlignet Med Samme Periode Sidste År Status]" trend="" weight=""/>
    <kpi uniqueName="Udmeldelser Opdateret Sammenlignet Med Samme Periode Sidste År" caption="Udmeldelser Opdateret Sammenlignet Med Samme Periode Sidste År" displayFolder="" measureGroup="Medlemstal Opdateret" parent="" value="[Measures].[Udmeldelser Opdateret Sammenlignet Med Samme Periode Sidste År]" goal="[Measures].[_Udmeldelser Opdateret Sammenlignet Med Samme Periode Sidste År Goal]" status="[Measures].[_Udmeldelser Opdateret Sammenlignet Med Samme Periode Sidste År Status]" trend="" weight=""/>
    <kpi uniqueName="Indmeldelser Sammenlignet Med Samme Periode Sidste År" caption="Indmeldelser Sammenlignet Med Samme Periode Sidste År" displayFolder="" measureGroup="Medlemstal" parent="" value="[Measures].[Indmeldelser Sammenlignet Med Samme Periode Sidste År]" goal="[Measures].[_Indmeldelser Sammenlignet Med Samme Periode Sidste År Goal]" status="[Measures].[_Indmeldelser Sammenlignet Med Samme Periode Sidste År Status]" trend="" weight=""/>
    <kpi uniqueName="Udmeldelser Sammenlignet Med Samme Periode Sidste År" caption="Udmeldelser Sammenlignet Med Samme Periode Sidste År" displayFolder="" measureGroup="Medlemstal" parent="" value="[Measures].[Udmeldelser Sammenlignet Med Samme Periode Sidste År]" goal="[Measures].[_Udmeldelser Sammenlignet Med Samme Periode Sidste År Goal]" status="[Measures].[_Udmeldelser Sammenlignet Med Samme Periode Sidste År Status]" trend="" weight=""/>
    <kpi uniqueName="Forsikring Kort Overholdelse" caption="Forsikring Kort Overholdelse" displayFolder="" measureGroup="Selvbetjeningsbeskeder" parent="" value="[Measures].[Forsikring Kort Overholdelse]" goal="[Measures].[_Forsikring Kort Overholdelse Goal]" status="[Measures].[_Forsikring Kort Overholdelse Status]" trend="" weight=""/>
    <kpi uniqueName="Jobmatch Kort Overholdelse" caption="Jobmatch Kort Overholdelse" displayFolder="" measureGroup="Selvbetjeningsbeskeder" parent="" value="[Measures].[Jobmatch Kort Overholdelse]" goal="[Measures].[_Jobmatch Kort Overholdelse Goal]" status="[Measures].[_Jobmatch Kort Overholdelse Status]" trend="" weight=""/>
    <kpi uniqueName="Jobmatch Lang Overholdelse" caption="Jobmatch Lang Overholdelse" displayFolder="" measureGroup="Selvbetjeningsbeskeder" parent="" value="[Measures].[Jobmatch Lang Overholdelse]" goal="[Measures].[_Jobmatch Lang Overholdelse Goal]" status="[Measures].[_Jobmatch Lang Overholdelse Status]" trend="" weight=""/>
    <kpi uniqueName="Forsikring Lang Overholdelse" caption="Forsikring Lang Overholdelse" displayFolder="" measureGroup="Selvbetjeningsbeskeder" parent="" value="[Measures].[Forsikring Lang Overholdelse]" goal="[Measures].[_Forsikring Lang Overholdelse Goal]" status="[Measures].[_Forsikring Lang Overholdelse Status]" trend="" weight=""/>
  </kpis>
  <dimensions count="74">
    <dimension name="Afslutningsdato" uniqueName="[Afslutningsdato]" caption="Afslutningsdato"/>
    <dimension name="Aftale Afholdelsesstatus" uniqueName="[Aftale Afholdelsesstatus]" caption="Aftale Afholdelsesstatus"/>
    <dimension name="Aftalestatus" uniqueName="[Aftalestatus]" caption="Aftalestatus"/>
    <dimension name="Aftaletype" uniqueName="[Aftaletype]" caption="Aftaletype"/>
    <dimension name="Afvist" uniqueName="[Afvist]" caption="Afvist"/>
    <dimension name="Aktivitetsstatus" uniqueName="[Aktivitetsstatus]" caption="Aktivitetsstatus"/>
    <dimension name="Aktivitetstype" uniqueName="[Aktivitetstype]" caption="Aktivitetstype"/>
    <dimension name="Alder" uniqueName="[Alder]" caption="Alder"/>
    <dimension name="Anden A-kasse" uniqueName="[Anden A-kasse]" caption="Anden A-kasse"/>
    <dimension name="Anden Aktør Aktiviteter" uniqueName="[Anden Aktør Aktiviteter]" caption="Anden Aktør Aktiviteter"/>
    <dimension name="Anden Aktør Aktivitetstype" uniqueName="[Anden Aktør Aktivitetstype]" caption="Anden Aktør Aktivitetstype"/>
    <dimension name="Ansvarligt Team" uniqueName="[Ansvarligt Team]" caption="Ansvarligt Team"/>
    <dimension name="Arbejdsgange" uniqueName="[Arbejdsgange]" caption="Arbejdsgange"/>
    <dimension name="Arbejdsgangstype" uniqueName="[Arbejdsgangstype]" caption="Arbejdsgangstype"/>
    <dimension name="Arbejdsgangtrin" uniqueName="[Arbejdsgangtrin]" caption="Arbejdsgangtrin"/>
    <dimension name="ArbejdsgangtrinStatus" uniqueName="[ArbejdsgangtrinStatus]" caption="ArbejdsgangtrinStatus"/>
    <dimension name="Arrangement" uniqueName="[Arrangement]" caption="Arrangement"/>
    <dimension name="Automatiseringstype" uniqueName="[Automatiseringstype]" caption="Automatiseringstype"/>
    <dimension name="Behandlet" uniqueName="[Behandlet]" caption="Behandlet"/>
    <dimension name="Betalingsstatus" uniqueName="[Betalingsstatus]" caption="Betalingsstatus"/>
    <dimension name="Dato" uniqueName="[Dato]" caption="Dato"/>
    <dimension name="Deadlinedato" uniqueName="[Deadlinedato]" caption="Deadlinedato"/>
    <dimension name="Dimittenddato" uniqueName="[Dimittenddato]" caption="Dimittenddato"/>
    <dimension name="Erklæringstype" uniqueName="[Erklæringstype]" caption="Erklæringstype"/>
    <dimension name="Fagligt Tilhørsforhold" uniqueName="[Fagligt Tilhørsforhold]" caption="Fagligt Tilhørsforhold"/>
    <dimension name="Forløb" uniqueName="[Forløb]" caption="Forløb"/>
    <dimension name="Fraværskode" uniqueName="[Fraværskode]" caption="Fraværskode"/>
    <dimension name="HelpDeskIncident" uniqueName="[HelpDeskIncident]" caption="HelpDeskIncident"/>
    <dimension name="Incident Kategori" uniqueName="[Incident Kategori]" caption="Incident Kategori"/>
    <dimension name="Incident Status" uniqueName="[Incident Status]" caption="Incident Status"/>
    <dimension name="Indbetaler Til Efterløn" uniqueName="[Indbetaler Til Efterløn]" caption="Indbetaler Til Efterløn"/>
    <dimension name="Kandidatalder" uniqueName="[Kandidatalder]" caption="Kandidatalder"/>
    <dimension name="Klipforbrug" uniqueName="[Klipforbrug]" caption="Klipforbrug"/>
    <dimension name="Kommune" uniqueName="[Kommune]" caption="Kommune"/>
    <dimension name="Land" uniqueName="[Land]" caption="Land"/>
    <dimension name="Ledighedstal Opdateret" uniqueName="[Ledighedstal Opdateret]" caption="Ledighedstal Opdateret"/>
    <dimension measure="1" name="Measures" uniqueName="[Measures]" caption="Measures"/>
    <dimension name="Medarbejder" uniqueName="[Medarbejder]" caption="Medarbejder"/>
    <dimension name="Medarbejder anmelder" uniqueName="[Medarbejder anmelder]" caption="Medarbejder anmelder"/>
    <dimension name="Medarbejder Viderestillet" uniqueName="[Medarbejder Viderestillet]" caption="Medarbejder Viderestillet"/>
    <dimension name="Medlem" uniqueName="[Medlem]" caption="Medlem"/>
    <dimension name="Medlemsstatus" uniqueName="[Medlemsstatus]" caption="Medlemsstatus"/>
    <dimension name="Medlemstal Bevægelse" uniqueName="[Medlemstal Bevægelse]" caption="Medlemstal Bevægelse"/>
    <dimension name="Opkaldsresultat" uniqueName="[Opkaldsresultat]" caption="Opkaldsresultat"/>
    <dimension name="Opkaldstype" uniqueName="[Opkaldstype]" caption="Opkaldstype"/>
    <dimension name="Postnummer" uniqueName="[Postnummer]" caption="Postnummer"/>
    <dimension name="Rapporteringskvartal" uniqueName="[Rapporteringskvartal]" caption="Rapporteringskvartal"/>
    <dimension name="Rapporteringsmåned" uniqueName="[Rapporteringsmåned]" caption="Rapporteringsmåned"/>
    <dimension name="Rapporteringsår" uniqueName="[Rapporteringsår]" caption="Rapporteringsår"/>
    <dimension name="Sagsbehandling" uniqueName="[Sagsbehandling]" caption="Sagsbehandling"/>
    <dimension name="Sagsstatus" uniqueName="[Sagsstatus]" caption="Sagsstatus"/>
    <dimension name="Sagstype" uniqueName="[Sagstype]" caption="Sagstype"/>
    <dimension name="Selvbetjeningsbeskeder" uniqueName="[Selvbetjeningsbeskeder]" caption="Selvbetjeningsbeskeder"/>
    <dimension name="Senest Opdateret" uniqueName="[Senest Opdateret]" caption="Senest Opdateret"/>
    <dimension name="Service" uniqueName="[Service]" caption="Service"/>
    <dimension name="Service Viderestillet" uniqueName="[Service Viderestillet]" caption="Service Viderestillet"/>
    <dimension name="Sommerdimittender" uniqueName="[Sommerdimittender]" caption="Sommerdimittender"/>
    <dimension name="Sommerdimittender Kvartal" uniqueName="[Sommerdimittender Kvartal]" caption="Sommerdimittender Kvartal"/>
    <dimension name="Sommerdimittender År" uniqueName="[Sommerdimittender År]" caption="Sommerdimittender År"/>
    <dimension name="Stoptrin" uniqueName="[Stoptrin]" caption="Stoptrin"/>
    <dimension name="Team" uniqueName="[Team]" caption="Team"/>
    <dimension name="Team anmelder" uniqueName="[Team anmelder]" caption="Team anmelder"/>
    <dimension name="Team Viderestillet" uniqueName="[Team Viderestillet]" caption="Team Viderestillet"/>
    <dimension name="Tid på dagen" uniqueName="[Tid på dagen]" caption="Tid på dagen"/>
    <dimension name="Uddannelse" uniqueName="[Uddannelse]" caption="Uddannelse"/>
    <dimension name="Uddannelsesretning" uniqueName="[Uddannelsesretning]" caption="Uddannelsesretning"/>
    <dimension name="Uddannelsessted" uniqueName="[Uddannelsessted]" caption="Uddannelsessted"/>
    <dimension name="Varighed Samtaletid" uniqueName="[Varighed Samtaletid]" caption="Varighed Samtaletid"/>
    <dimension name="Varighed Ventetid" uniqueName="[Varighed Ventetid]" caption="Varighed Ventetid"/>
    <dimension name="Viderestillet" uniqueName="[Viderestillet]" caption="Viderestillet"/>
    <dimension name="Virksomhed" uniqueName="[Virksomhed]" caption="Virksomhed"/>
    <dimension name="Ydelsestype" uniqueName="[Ydelsestype]" caption="Ydelsestype"/>
    <dimension name="Ændring efter fastfrysning" uniqueName="[Ændring efter fastfrysning]" caption="Ændring efter fastfrysning"/>
    <dimension name="Årsag" uniqueName="[Årsag]" caption="Årsag"/>
  </dimensions>
  <measureGroups count="93">
    <measureGroup name="Afslutningsdato" caption="Afslutningsdato"/>
    <measureGroup name="Aftale Afholdelsesstatus" caption="Aftale Afholdelsesstatus"/>
    <measureGroup name="Aftaler" caption="Aftaler"/>
    <measureGroup name="Aftalestatus" caption="Aftalestatus"/>
    <measureGroup name="Aftaletype" caption="Aftaletype"/>
    <measureGroup name="Afvist" caption="Afvist"/>
    <measureGroup name="Aktivitetsstatus" caption="Aktivitetsstatus"/>
    <measureGroup name="Aktivitetstype" caption="Aktivitetstype"/>
    <measureGroup name="Alder" caption="Alder"/>
    <measureGroup name="Anden A-kasse" caption="Anden A-kasse"/>
    <measureGroup name="Anden Aktør Aktiviteter" caption="Anden Aktør Aktiviteter"/>
    <measureGroup name="Anden Aktør Aktivitetstype" caption="Anden Aktør Aktivitetstype"/>
    <measureGroup name="Ansvarligt Team" caption="Ansvarligt Team"/>
    <measureGroup name="Arbejdsgange" caption="Arbejdsgange"/>
    <measureGroup name="Arbejdsgangstype" caption="Arbejdsgangstype"/>
    <measureGroup name="Arbejdsgangtrin" caption="Arbejdsgangtrin"/>
    <measureGroup name="ArbejdsgangtrinStatus" caption="ArbejdsgangtrinStatus"/>
    <measureGroup name="Arrangement" caption="Arrangement"/>
    <measureGroup name="Arrangementer" caption="Arrangementer"/>
    <measureGroup name="Automatiseringstype" caption="Automatiseringstype"/>
    <measureGroup name="Behandlet" caption="Behandlet"/>
    <measureGroup name="Betalingsstatus" caption="Betalingsstatus"/>
    <measureGroup name="Dato" caption="Dato"/>
    <measureGroup name="Deadlinedato" caption="Deadlinedato"/>
    <measureGroup name="Dimittenddato" caption="Dimittenddato"/>
    <measureGroup name="Dimittenddato Opdateret" caption="Dimittenddato Opdateret"/>
    <measureGroup name="Erklæringer Opdateret" caption="Erklæringer Opdateret"/>
    <measureGroup name="Erklæringstype" caption="Erklæringstype"/>
    <measureGroup name="Fagligt Tilhørsforhold" caption="Fagligt Tilhørsforhold"/>
    <measureGroup name="Forløb" caption="Forløb"/>
    <measureGroup name="Fravær" caption="Fravær"/>
    <measureGroup name="Fraværskode" caption="Fraværskode"/>
    <measureGroup name="HelpDeskIncident" caption="HelpDeskIncident"/>
    <measureGroup name="Incident Kategori" caption="Incident Kategori"/>
    <measureGroup name="Incident Status" caption="Incident Status"/>
    <measureGroup name="Indbetaler Til Efterløn" caption="Indbetaler Til Efterløn"/>
    <measureGroup name="Kandidatalder" caption="Kandidatalder"/>
    <measureGroup name="Klipforbrug" caption="Klipforbrug"/>
    <measureGroup name="Kommune" caption="Kommune"/>
    <measureGroup name="Land" caption="Land"/>
    <measureGroup name="Ledighedstal" caption="Ledighedstal"/>
    <measureGroup name="Ledighedstal 12 måneder" caption="Ledighedstal 12 måneder"/>
    <measureGroup name="Ledighedstal Kvartal" caption="Ledighedstal Kvartal"/>
    <measureGroup name="Ledighedstal Opdateret" caption="Ledighedstal Opdateret"/>
    <measureGroup name="Ledighedstal År" caption="Ledighedstal År"/>
    <measureGroup name="Medarbejder" caption="Medarbejder"/>
    <measureGroup name="Medarbejder anmelder" caption="Medarbejder anmelder"/>
    <measureGroup name="Medarbejder Viderestillet" caption="Medarbejder Viderestillet"/>
    <measureGroup name="Medlem" caption="Medlem"/>
    <measureGroup name="Medlemsstatus" caption="Medlemsstatus"/>
    <measureGroup name="Medlemstal" caption="Medlemstal"/>
    <measureGroup name="Medlemstal Bevægelse" caption="Medlemstal Bevægelse"/>
    <measureGroup name="Medlemstal Budget" caption="Medlemstal Budget"/>
    <measureGroup name="Medlemstal Opdateret" caption="Medlemstal Opdateret"/>
    <measureGroup name="Medlemstal Økonomibudget" caption="Medlemstal Økonomibudget"/>
    <measureGroup name="Normtimer" caption="Normtimer"/>
    <measureGroup name="Normtimer Fuldtid" caption="Normtimer Fuldtid"/>
    <measureGroup name="Opkaldsresultat" caption="Opkaldsresultat"/>
    <measureGroup name="Opkaldstype" caption="Opkaldstype"/>
    <measureGroup name="Postnummer" caption="Postnummer"/>
    <measureGroup name="Rapporteringskvartal" caption="Rapporteringskvartal"/>
    <measureGroup name="Rapporteringsmåned" caption="Rapporteringsmåned"/>
    <measureGroup name="Rapporteringsår" caption="Rapporteringsår"/>
    <measureGroup name="Sagsbehandling" caption="Sagsbehandling"/>
    <measureGroup name="Sagsstatus" caption="Sagsstatus"/>
    <measureGroup name="Sagstype" caption="Sagstype"/>
    <measureGroup name="Samtaler" caption="Samtaler"/>
    <measureGroup name="Selvbetjeningsbeskeder" caption="Selvbetjeningsbeskeder"/>
    <measureGroup name="Senest Opdateret" caption="Senest Opdateret"/>
    <measureGroup name="Service" caption="Service"/>
    <measureGroup name="Service Viderestillet" caption="Service Viderestillet"/>
    <measureGroup name="Sommerdimittender" caption="Sommerdimittender"/>
    <measureGroup name="Sommerdimittender Kvartal" caption="Sommerdimittender Kvartal"/>
    <measureGroup name="Sommerdimittender År" caption="Sommerdimittender År"/>
    <measureGroup name="Stoptrin" caption="Stoptrin"/>
    <measureGroup name="Team" caption="Team"/>
    <measureGroup name="Team anmelder" caption="Team anmelder"/>
    <measureGroup name="Team Viderestillet" caption="Team Viderestillet"/>
    <measureGroup name="Telefon Indlogning" caption="Telefon Indlogning"/>
    <measureGroup name="Telefonopkald" caption="Telefonopkald"/>
    <measureGroup name="Tid på dagen" caption="Tid på dagen"/>
    <measureGroup name="Uddannelse" caption="Uddannelse"/>
    <measureGroup name="Uddannelsesretning" caption="Uddannelsesretning"/>
    <measureGroup name="Uddannelsessted" caption="Uddannelsessted"/>
    <measureGroup name="Varighed Samtaletid" caption="Varighed Samtaletid"/>
    <measureGroup name="Varighed Ventetid" caption="Varighed Ventetid"/>
    <measureGroup name="Venteliste" caption="Venteliste"/>
    <measureGroup name="Ventelistestatus" caption="Ventelistestatus"/>
    <measureGroup name="Viderestillet" caption="Viderestillet"/>
    <measureGroup name="Virksomhed" caption="Virksomhed"/>
    <measureGroup name="Ydelsestype" caption="Ydelsestype"/>
    <measureGroup name="Ændring efter fastfrysning" caption="Ændring efter fastfrysning"/>
    <measureGroup name="Årsag" caption="Årsag"/>
  </measureGroups>
  <maps count="485">
    <map measureGroup="0" dimension="0"/>
    <map measureGroup="1" dimension="1"/>
    <map measureGroup="2" dimension="1"/>
    <map measureGroup="2" dimension="2"/>
    <map measureGroup="2" dimension="3"/>
    <map measureGroup="2" dimension="7"/>
    <map measureGroup="2" dimension="8"/>
    <map measureGroup="2" dimension="11"/>
    <map measureGroup="2" dimension="16"/>
    <map measureGroup="2" dimension="19"/>
    <map measureGroup="2" dimension="20"/>
    <map measureGroup="2" dimension="22"/>
    <map measureGroup="2" dimension="24"/>
    <map measureGroup="2" dimension="25"/>
    <map measureGroup="2" dimension="30"/>
    <map measureGroup="2" dimension="31"/>
    <map measureGroup="2" dimension="33"/>
    <map measureGroup="2" dimension="34"/>
    <map measureGroup="2" dimension="37"/>
    <map measureGroup="2" dimension="40"/>
    <map measureGroup="2" dimension="41"/>
    <map measureGroup="2" dimension="45"/>
    <map measureGroup="2" dimension="47"/>
    <map measureGroup="2" dimension="60"/>
    <map measureGroup="2" dimension="64"/>
    <map measureGroup="2" dimension="66"/>
    <map measureGroup="2" dimension="73"/>
    <map measureGroup="3" dimension="2"/>
    <map measureGroup="4" dimension="3"/>
    <map measureGroup="5" dimension="4"/>
    <map measureGroup="6" dimension="5"/>
    <map measureGroup="7" dimension="6"/>
    <map measureGroup="8" dimension="7"/>
    <map measureGroup="9" dimension="8"/>
    <map measureGroup="10" dimension="4"/>
    <map measureGroup="10" dimension="9"/>
    <map measureGroup="10" dimension="10"/>
    <map measureGroup="10" dimension="18"/>
    <map measureGroup="10" dimension="20"/>
    <map measureGroup="10" dimension="37"/>
    <map measureGroup="10" dimension="40"/>
    <map measureGroup="10" dimension="47"/>
    <map measureGroup="10" dimension="70"/>
    <map measureGroup="11" dimension="10"/>
    <map measureGroup="12" dimension="11"/>
    <map measureGroup="13" dimension="0"/>
    <map measureGroup="13" dimension="6"/>
    <map measureGroup="13" dimension="7"/>
    <map measureGroup="13" dimension="8"/>
    <map measureGroup="13" dimension="11"/>
    <map measureGroup="13" dimension="12"/>
    <map measureGroup="13" dimension="13"/>
    <map measureGroup="13" dimension="14"/>
    <map measureGroup="13" dimension="15"/>
    <map measureGroup="13" dimension="17"/>
    <map measureGroup="13" dimension="19"/>
    <map measureGroup="13" dimension="20"/>
    <map measureGroup="13" dimension="24"/>
    <map measureGroup="13" dimension="30"/>
    <map measureGroup="13" dimension="31"/>
    <map measureGroup="13" dimension="33"/>
    <map measureGroup="13" dimension="34"/>
    <map measureGroup="13" dimension="37"/>
    <map measureGroup="13" dimension="40"/>
    <map measureGroup="13" dimension="41"/>
    <map measureGroup="13" dimension="45"/>
    <map measureGroup="13" dimension="47"/>
    <map measureGroup="13" dimension="50"/>
    <map measureGroup="13" dimension="51"/>
    <map measureGroup="13" dimension="60"/>
    <map measureGroup="13" dimension="64"/>
    <map measureGroup="13" dimension="66"/>
    <map measureGroup="13" dimension="73"/>
    <map measureGroup="14" dimension="13"/>
    <map measureGroup="15" dimension="14"/>
    <map measureGroup="16" dimension="15"/>
    <map measureGroup="17" dimension="16"/>
    <map measureGroup="18" dimension="1"/>
    <map measureGroup="18" dimension="2"/>
    <map measureGroup="18" dimension="3"/>
    <map measureGroup="18" dimension="7"/>
    <map measureGroup="18" dimension="8"/>
    <map measureGroup="18" dimension="11"/>
    <map measureGroup="18" dimension="16"/>
    <map measureGroup="18" dimension="19"/>
    <map measureGroup="18" dimension="20"/>
    <map measureGroup="18" dimension="22"/>
    <map measureGroup="18" dimension="24"/>
    <map measureGroup="18" dimension="25"/>
    <map measureGroup="18" dimension="30"/>
    <map measureGroup="18" dimension="31"/>
    <map measureGroup="18" dimension="33"/>
    <map measureGroup="18" dimension="34"/>
    <map measureGroup="18" dimension="37"/>
    <map measureGroup="18" dimension="40"/>
    <map measureGroup="18" dimension="41"/>
    <map measureGroup="18" dimension="45"/>
    <map measureGroup="18" dimension="47"/>
    <map measureGroup="18" dimension="60"/>
    <map measureGroup="18" dimension="64"/>
    <map measureGroup="18" dimension="66"/>
    <map measureGroup="18" dimension="73"/>
    <map measureGroup="19" dimension="17"/>
    <map measureGroup="20" dimension="18"/>
    <map measureGroup="21" dimension="19"/>
    <map measureGroup="22" dimension="20"/>
    <map measureGroup="23" dimension="21"/>
    <map measureGroup="24" dimension="22"/>
    <map measureGroup="26" dimension="20"/>
    <map measureGroup="26" dimension="23"/>
    <map measureGroup="26" dimension="40"/>
    <map measureGroup="26" dimension="47"/>
    <map measureGroup="27" dimension="23"/>
    <map measureGroup="28" dimension="24"/>
    <map measureGroup="29" dimension="25"/>
    <map measureGroup="30" dimension="20"/>
    <map measureGroup="30" dimension="26"/>
    <map measureGroup="30" dimension="37"/>
    <map measureGroup="30" dimension="47"/>
    <map measureGroup="30" dimension="60"/>
    <map measureGroup="31" dimension="26"/>
    <map measureGroup="32" dimension="20"/>
    <map measureGroup="32" dimension="27"/>
    <map measureGroup="32" dimension="28"/>
    <map measureGroup="32" dimension="29"/>
    <map measureGroup="32" dimension="37"/>
    <map measureGroup="32" dimension="38"/>
    <map measureGroup="32" dimension="60"/>
    <map measureGroup="32" dimension="61"/>
    <map measureGroup="32" dimension="63"/>
    <map measureGroup="33" dimension="28"/>
    <map measureGroup="34" dimension="29"/>
    <map measureGroup="35" dimension="30"/>
    <map measureGroup="36" dimension="31"/>
    <map measureGroup="37" dimension="32"/>
    <map measureGroup="38" dimension="33"/>
    <map measureGroup="39" dimension="34"/>
    <map measureGroup="40" dimension="7"/>
    <map measureGroup="40" dimension="8"/>
    <map measureGroup="40" dimension="19"/>
    <map measureGroup="40" dimension="22"/>
    <map measureGroup="40" dimension="24"/>
    <map measureGroup="40" dimension="30"/>
    <map measureGroup="40" dimension="31"/>
    <map measureGroup="40" dimension="33"/>
    <map measureGroup="40" dimension="34"/>
    <map measureGroup="40" dimension="40"/>
    <map measureGroup="40" dimension="41"/>
    <map measureGroup="40" dimension="45"/>
    <map measureGroup="40" dimension="47"/>
    <map measureGroup="40" dimension="64"/>
    <map measureGroup="40" dimension="65"/>
    <map measureGroup="40" dimension="66"/>
    <map measureGroup="40" dimension="71"/>
    <map measureGroup="40" dimension="73"/>
    <map measureGroup="41" dimension="7"/>
    <map measureGroup="41" dimension="8"/>
    <map measureGroup="41" dimension="19"/>
    <map measureGroup="41" dimension="24"/>
    <map measureGroup="41" dimension="30"/>
    <map measureGroup="41" dimension="31"/>
    <map measureGroup="41" dimension="33"/>
    <map measureGroup="41" dimension="34"/>
    <map measureGroup="41" dimension="40"/>
    <map measureGroup="41" dimension="41"/>
    <map measureGroup="41" dimension="45"/>
    <map measureGroup="41" dimension="47"/>
    <map measureGroup="41" dimension="64"/>
    <map measureGroup="41" dimension="65"/>
    <map measureGroup="41" dimension="66"/>
    <map measureGroup="41" dimension="71"/>
    <map measureGroup="41" dimension="73"/>
    <map measureGroup="42" dimension="7"/>
    <map measureGroup="42" dimension="8"/>
    <map measureGroup="42" dimension="19"/>
    <map measureGroup="42" dimension="22"/>
    <map measureGroup="42" dimension="24"/>
    <map measureGroup="42" dimension="30"/>
    <map measureGroup="42" dimension="31"/>
    <map measureGroup="42" dimension="33"/>
    <map measureGroup="42" dimension="34"/>
    <map measureGroup="42" dimension="40"/>
    <map measureGroup="42" dimension="41"/>
    <map measureGroup="42" dimension="45"/>
    <map measureGroup="42" dimension="46"/>
    <map measureGroup="42" dimension="64"/>
    <map measureGroup="42" dimension="65"/>
    <map measureGroup="42" dimension="66"/>
    <map measureGroup="42" dimension="71"/>
    <map measureGroup="42" dimension="73"/>
    <map measureGroup="43" dimension="7"/>
    <map measureGroup="43" dimension="8"/>
    <map measureGroup="43" dimension="19"/>
    <map measureGroup="43" dimension="22"/>
    <map measureGroup="43" dimension="24"/>
    <map measureGroup="43" dimension="30"/>
    <map measureGroup="43" dimension="31"/>
    <map measureGroup="43" dimension="32"/>
    <map measureGroup="43" dimension="33"/>
    <map measureGroup="43" dimension="34"/>
    <map measureGroup="43" dimension="35"/>
    <map measureGroup="43" dimension="40"/>
    <map measureGroup="43" dimension="41"/>
    <map measureGroup="43" dimension="45"/>
    <map measureGroup="43" dimension="47"/>
    <map measureGroup="43" dimension="64"/>
    <map measureGroup="43" dimension="65"/>
    <map measureGroup="43" dimension="66"/>
    <map measureGroup="43" dimension="71"/>
    <map measureGroup="43" dimension="73"/>
    <map measureGroup="44" dimension="7"/>
    <map measureGroup="44" dimension="8"/>
    <map measureGroup="44" dimension="19"/>
    <map measureGroup="44" dimension="22"/>
    <map measureGroup="44" dimension="24"/>
    <map measureGroup="44" dimension="30"/>
    <map measureGroup="44" dimension="31"/>
    <map measureGroup="44" dimension="33"/>
    <map measureGroup="44" dimension="34"/>
    <map measureGroup="44" dimension="40"/>
    <map measureGroup="44" dimension="41"/>
    <map measureGroup="44" dimension="45"/>
    <map measureGroup="44" dimension="48"/>
    <map measureGroup="44" dimension="64"/>
    <map measureGroup="44" dimension="65"/>
    <map measureGroup="44" dimension="66"/>
    <map measureGroup="44" dimension="71"/>
    <map measureGroup="44" dimension="73"/>
    <map measureGroup="45" dimension="37"/>
    <map measureGroup="46" dimension="38"/>
    <map measureGroup="47" dimension="39"/>
    <map measureGroup="48" dimension="40"/>
    <map measureGroup="49" dimension="41"/>
    <map measureGroup="50" dimension="7"/>
    <map measureGroup="50" dimension="8"/>
    <map measureGroup="50" dimension="19"/>
    <map measureGroup="50" dimension="20"/>
    <map measureGroup="50" dimension="22"/>
    <map measureGroup="50" dimension="24"/>
    <map measureGroup="50" dimension="30"/>
    <map measureGroup="50" dimension="31"/>
    <map measureGroup="50" dimension="33"/>
    <map measureGroup="50" dimension="34"/>
    <map measureGroup="50" dimension="40"/>
    <map measureGroup="50" dimension="41"/>
    <map measureGroup="50" dimension="42"/>
    <map measureGroup="50" dimension="45"/>
    <map measureGroup="50" dimension="46"/>
    <map measureGroup="50" dimension="47"/>
    <map measureGroup="50" dimension="48"/>
    <map measureGroup="50" dimension="64"/>
    <map measureGroup="50" dimension="65"/>
    <map measureGroup="50" dimension="66"/>
    <map measureGroup="50" dimension="72"/>
    <map measureGroup="50" dimension="73"/>
    <map measureGroup="51" dimension="42"/>
    <map measureGroup="52" dimension="19"/>
    <map measureGroup="52" dimension="20"/>
    <map measureGroup="52" dimension="41"/>
    <map measureGroup="52" dimension="42"/>
    <map measureGroup="52" dimension="47"/>
    <map measureGroup="52" dimension="73"/>
    <map measureGroup="53" dimension="7"/>
    <map measureGroup="53" dimension="8"/>
    <map measureGroup="53" dimension="19"/>
    <map measureGroup="53" dimension="20"/>
    <map measureGroup="53" dimension="22"/>
    <map measureGroup="53" dimension="24"/>
    <map measureGroup="53" dimension="30"/>
    <map measureGroup="53" dimension="31"/>
    <map measureGroup="53" dimension="33"/>
    <map measureGroup="53" dimension="34"/>
    <map measureGroup="53" dimension="40"/>
    <map measureGroup="53" dimension="41"/>
    <map measureGroup="53" dimension="42"/>
    <map measureGroup="53" dimension="45"/>
    <map measureGroup="53" dimension="47"/>
    <map measureGroup="53" dimension="64"/>
    <map measureGroup="53" dimension="65"/>
    <map measureGroup="53" dimension="66"/>
    <map measureGroup="53" dimension="73"/>
    <map measureGroup="54" dimension="19"/>
    <map measureGroup="54" dimension="20"/>
    <map measureGroup="54" dimension="41"/>
    <map measureGroup="54" dimension="42"/>
    <map measureGroup="54" dimension="47"/>
    <map measureGroup="54" dimension="73"/>
    <map measureGroup="55" dimension="20"/>
    <map measureGroup="55" dimension="37"/>
    <map measureGroup="55" dimension="47"/>
    <map measureGroup="55" dimension="60"/>
    <map measureGroup="56" dimension="20"/>
    <map measureGroup="56" dimension="47"/>
    <map measureGroup="57" dimension="43"/>
    <map measureGroup="58" dimension="44"/>
    <map measureGroup="59" dimension="45"/>
    <map measureGroup="60" dimension="46"/>
    <map measureGroup="61" dimension="47"/>
    <map measureGroup="62" dimension="48"/>
    <map measureGroup="63" dimension="0"/>
    <map measureGroup="63" dimension="6"/>
    <map measureGroup="63" dimension="7"/>
    <map measureGroup="63" dimension="8"/>
    <map measureGroup="63" dimension="11"/>
    <map measureGroup="63" dimension="13"/>
    <map measureGroup="63" dimension="17"/>
    <map measureGroup="63" dimension="19"/>
    <map measureGroup="63" dimension="20"/>
    <map measureGroup="63" dimension="24"/>
    <map measureGroup="63" dimension="30"/>
    <map measureGroup="63" dimension="31"/>
    <map measureGroup="63" dimension="33"/>
    <map measureGroup="63" dimension="34"/>
    <map measureGroup="63" dimension="37"/>
    <map measureGroup="63" dimension="40"/>
    <map measureGroup="63" dimension="41"/>
    <map measureGroup="63" dimension="45"/>
    <map measureGroup="63" dimension="47"/>
    <map measureGroup="63" dimension="49"/>
    <map measureGroup="63" dimension="50"/>
    <map measureGroup="63" dimension="51"/>
    <map measureGroup="63" dimension="60"/>
    <map measureGroup="63" dimension="64"/>
    <map measureGroup="63" dimension="66"/>
    <map measureGroup="63" dimension="73"/>
    <map measureGroup="64" dimension="50"/>
    <map measureGroup="65" dimension="51"/>
    <map measureGroup="66" dimension="1"/>
    <map measureGroup="66" dimension="2"/>
    <map measureGroup="66" dimension="3"/>
    <map measureGroup="66" dimension="7"/>
    <map measureGroup="66" dimension="8"/>
    <map measureGroup="66" dimension="11"/>
    <map measureGroup="66" dimension="19"/>
    <map measureGroup="66" dimension="20"/>
    <map measureGroup="66" dimension="22"/>
    <map measureGroup="66" dimension="24"/>
    <map measureGroup="66" dimension="25"/>
    <map measureGroup="66" dimension="30"/>
    <map measureGroup="66" dimension="31"/>
    <map measureGroup="66" dimension="33"/>
    <map measureGroup="66" dimension="34"/>
    <map measureGroup="66" dimension="37"/>
    <map measureGroup="66" dimension="40"/>
    <map measureGroup="66" dimension="41"/>
    <map measureGroup="66" dimension="45"/>
    <map measureGroup="66" dimension="47"/>
    <map measureGroup="66" dimension="60"/>
    <map measureGroup="66" dimension="64"/>
    <map measureGroup="66" dimension="66"/>
    <map measureGroup="66" dimension="73"/>
    <map measureGroup="67" dimension="0"/>
    <map measureGroup="67" dimension="5"/>
    <map measureGroup="67" dimension="6"/>
    <map measureGroup="67" dimension="7"/>
    <map measureGroup="67" dimension="8"/>
    <map measureGroup="67" dimension="11"/>
    <map measureGroup="67" dimension="19"/>
    <map measureGroup="67" dimension="20"/>
    <map measureGroup="67" dimension="24"/>
    <map measureGroup="67" dimension="30"/>
    <map measureGroup="67" dimension="31"/>
    <map measureGroup="67" dimension="33"/>
    <map measureGroup="67" dimension="34"/>
    <map measureGroup="67" dimension="37"/>
    <map measureGroup="67" dimension="40"/>
    <map measureGroup="67" dimension="41"/>
    <map measureGroup="67" dimension="45"/>
    <map measureGroup="67" dimension="47"/>
    <map measureGroup="67" dimension="52"/>
    <map measureGroup="67" dimension="60"/>
    <map measureGroup="67" dimension="64"/>
    <map measureGroup="67" dimension="66"/>
    <map measureGroup="67" dimension="73"/>
    <map measureGroup="68" dimension="53"/>
    <map measureGroup="69" dimension="54"/>
    <map measureGroup="70" dimension="55"/>
    <map measureGroup="71" dimension="22"/>
    <map measureGroup="71" dimension="47"/>
    <map measureGroup="71" dimension="56"/>
    <map measureGroup="72" dimension="22"/>
    <map measureGroup="72" dimension="46"/>
    <map measureGroup="72" dimension="57"/>
    <map measureGroup="73" dimension="22"/>
    <map measureGroup="73" dimension="48"/>
    <map measureGroup="73" dimension="58"/>
    <map measureGroup="74" dimension="0"/>
    <map measureGroup="74" dimension="6"/>
    <map measureGroup="74" dimension="7"/>
    <map measureGroup="74" dimension="8"/>
    <map measureGroup="74" dimension="13"/>
    <map measureGroup="74" dimension="14"/>
    <map measureGroup="74" dimension="15"/>
    <map measureGroup="74" dimension="17"/>
    <map measureGroup="74" dimension="19"/>
    <map measureGroup="74" dimension="20"/>
    <map measureGroup="74" dimension="22"/>
    <map measureGroup="74" dimension="24"/>
    <map measureGroup="74" dimension="30"/>
    <map measureGroup="74" dimension="31"/>
    <map measureGroup="74" dimension="33"/>
    <map measureGroup="74" dimension="34"/>
    <map measureGroup="74" dimension="37"/>
    <map measureGroup="74" dimension="40"/>
    <map measureGroup="74" dimension="41"/>
    <map measureGroup="74" dimension="45"/>
    <map measureGroup="74" dimension="47"/>
    <map measureGroup="74" dimension="50"/>
    <map measureGroup="74" dimension="51"/>
    <map measureGroup="74" dimension="59"/>
    <map measureGroup="74" dimension="60"/>
    <map measureGroup="74" dimension="64"/>
    <map measureGroup="74" dimension="66"/>
    <map measureGroup="74" dimension="73"/>
    <map measureGroup="75" dimension="60"/>
    <map measureGroup="76" dimension="61"/>
    <map measureGroup="77" dimension="62"/>
    <map measureGroup="78" dimension="20"/>
    <map measureGroup="78" dimension="37"/>
    <map measureGroup="78" dimension="47"/>
    <map measureGroup="78" dimension="60"/>
    <map measureGroup="78" dimension="63"/>
    <map measureGroup="79" dimension="7"/>
    <map measureGroup="79" dimension="8"/>
    <map measureGroup="79" dimension="19"/>
    <map measureGroup="79" dimension="20"/>
    <map measureGroup="79" dimension="22"/>
    <map measureGroup="79" dimension="24"/>
    <map measureGroup="79" dimension="30"/>
    <map measureGroup="79" dimension="31"/>
    <map measureGroup="79" dimension="33"/>
    <map measureGroup="79" dimension="34"/>
    <map measureGroup="79" dimension="37"/>
    <map measureGroup="79" dimension="39"/>
    <map measureGroup="79" dimension="40"/>
    <map measureGroup="79" dimension="41"/>
    <map measureGroup="79" dimension="43"/>
    <map measureGroup="79" dimension="44"/>
    <map measureGroup="79" dimension="45"/>
    <map measureGroup="79" dimension="47"/>
    <map measureGroup="79" dimension="54"/>
    <map measureGroup="79" dimension="55"/>
    <map measureGroup="79" dimension="60"/>
    <map measureGroup="79" dimension="62"/>
    <map measureGroup="79" dimension="63"/>
    <map measureGroup="79" dimension="64"/>
    <map measureGroup="79" dimension="66"/>
    <map measureGroup="79" dimension="67"/>
    <map measureGroup="79" dimension="68"/>
    <map measureGroup="79" dimension="69"/>
    <map measureGroup="79" dimension="73"/>
    <map measureGroup="80" dimension="63"/>
    <map measureGroup="81" dimension="64"/>
    <map measureGroup="82" dimension="65"/>
    <map measureGroup="83" dimension="66"/>
    <map measureGroup="84" dimension="67"/>
    <map measureGroup="85" dimension="68"/>
    <map measureGroup="86" dimension="1"/>
    <map measureGroup="86" dimension="2"/>
    <map measureGroup="86" dimension="3"/>
    <map measureGroup="86" dimension="7"/>
    <map measureGroup="86" dimension="8"/>
    <map measureGroup="86" dimension="16"/>
    <map measureGroup="86" dimension="19"/>
    <map measureGroup="86" dimension="20"/>
    <map measureGroup="86" dimension="22"/>
    <map measureGroup="86" dimension="24"/>
    <map measureGroup="86" dimension="30"/>
    <map measureGroup="86" dimension="31"/>
    <map measureGroup="86" dimension="33"/>
    <map measureGroup="86" dimension="34"/>
    <map measureGroup="86" dimension="37"/>
    <map measureGroup="86" dimension="40"/>
    <map measureGroup="86" dimension="41"/>
    <map measureGroup="86" dimension="45"/>
    <map measureGroup="86" dimension="47"/>
    <map measureGroup="86" dimension="60"/>
    <map measureGroup="86" dimension="64"/>
    <map measureGroup="86" dimension="66"/>
    <map measureGroup="86" dimension="73"/>
    <map measureGroup="88" dimension="69"/>
    <map measureGroup="89" dimension="70"/>
    <map measureGroup="90" dimension="71"/>
    <map measureGroup="91" dimension="72"/>
    <map measureGroup="92" dimension="7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1" cacheId="1" applyNumberFormats="0" applyBorderFormats="0" applyFontFormats="0" applyPatternFormats="0" applyAlignmentFormats="0" applyWidthHeightFormats="1" dataCaption="Værdier" updatedVersion="4" minRefreshableVersion="3" subtotalHiddenItems="1" itemPrintTitles="1" createdVersion="5" indent="0" outline="1" outlineData="1" multipleFieldFilters="0" rowHeaderCaption="Uddannelse" fieldListSortAscending="1">
  <location ref="B4" firstHeaderRow="0" firstDataRow="0" firstDataCol="0" rowPageCount="1" colPageCount="1"/>
  <pivotFields count="2">
    <pivotField axis="axisPage" allDrilled="1" showAll="0" dataSourceSort="1" defaultAttributeDrillState="1">
      <items count="1">
        <item t="default"/>
      </items>
    </pivotField>
    <pivotField allDrilled="1" showAll="0" defaultAttributeDrillState="1">
      <items count="9">
        <item s="1" x="1"/>
        <item s="1" x="5"/>
        <item s="1" x="7"/>
        <item s="1" x="0"/>
        <item s="1" x="4"/>
        <item s="1" x="3"/>
        <item s="1" x="2"/>
        <item s="1" x="6"/>
        <item t="default"/>
      </items>
    </pivotField>
  </pivotFields>
  <pageFields count="1">
    <pageField fld="0" hier="235" name="[Rapporteringsmåned].[Rapporteringsmåned].&amp;[Jul 2016]" cap="Jul 2016"/>
  </pageFields>
  <formats count="4">
    <format dxfId="3">
      <pivotArea type="all" dataOnly="0" outline="0" fieldPosition="0"/>
    </format>
    <format dxfId="2">
      <pivotArea outline="0" collapsedLevelsAreSubtotals="1" fieldPosition="0"/>
    </format>
    <format dxfId="1">
      <pivotArea field="1" type="button" dataOnly="0" labelOnly="1" outline="0"/>
    </format>
    <format dxfId="0">
      <pivotArea dataOnly="0" labelOnly="1" grandRow="1" outline="0" fieldPosition="0"/>
    </format>
  </formats>
  <pivotHierarchies count="137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</pivotHierarchie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75"/>
  <sheetViews>
    <sheetView showGridLines="0" tabSelected="1" workbookViewId="0">
      <selection activeCell="D65" sqref="D65"/>
    </sheetView>
  </sheetViews>
  <sheetFormatPr defaultColWidth="8.88671875" defaultRowHeight="13.8" x14ac:dyDescent="0.25"/>
  <cols>
    <col min="1" max="1" width="4.33203125" style="1" customWidth="1"/>
    <col min="2" max="2" width="31.88671875" style="1" bestFit="1" customWidth="1"/>
    <col min="3" max="3" width="18.6640625" style="1" bestFit="1" customWidth="1"/>
    <col min="4" max="4" width="14.44140625" style="1" bestFit="1" customWidth="1"/>
    <col min="5" max="5" width="13.5546875" style="1" bestFit="1" customWidth="1"/>
    <col min="6" max="6" width="16.6640625" style="1" bestFit="1" customWidth="1"/>
    <col min="7" max="7" width="17.33203125" style="1" bestFit="1" customWidth="1"/>
    <col min="8" max="8" width="14.109375" style="1" customWidth="1"/>
    <col min="9" max="9" width="12.5546875" style="1" customWidth="1"/>
    <col min="10" max="10" width="16.33203125" style="1" customWidth="1"/>
    <col min="11" max="11" width="11.6640625" style="1" customWidth="1"/>
    <col min="12" max="12" width="20" style="1" bestFit="1" customWidth="1"/>
    <col min="13" max="13" width="13.5546875" style="1" bestFit="1" customWidth="1"/>
    <col min="14" max="14" width="10.88671875" style="1" bestFit="1" customWidth="1"/>
    <col min="15" max="16" width="3.5546875" style="1" customWidth="1"/>
    <col min="17" max="17" width="19.88671875" style="1" bestFit="1" customWidth="1"/>
    <col min="18" max="18" width="19" style="1" bestFit="1" customWidth="1"/>
    <col min="19" max="19" width="14.44140625" style="1" bestFit="1" customWidth="1"/>
    <col min="20" max="20" width="16.6640625" style="1" bestFit="1" customWidth="1"/>
    <col min="21" max="16384" width="8.88671875" style="1"/>
  </cols>
  <sheetData>
    <row r="2" spans="2:20" x14ac:dyDescent="0.25">
      <c r="B2" s="138" t="s">
        <v>0</v>
      </c>
      <c r="C2" s="139" t="s" vm="1334">
        <v>14</v>
      </c>
      <c r="Q2" s="2"/>
      <c r="R2" s="2"/>
    </row>
    <row r="3" spans="2:20" ht="14.4" x14ac:dyDescent="0.3">
      <c r="H3"/>
      <c r="I3"/>
      <c r="J3"/>
      <c r="K3"/>
      <c r="L3"/>
      <c r="M3"/>
      <c r="N3"/>
    </row>
    <row r="4" spans="2:20" ht="14.4" x14ac:dyDescent="0.3">
      <c r="B4" s="66"/>
      <c r="C4" s="140" t="s">
        <v>2</v>
      </c>
      <c r="D4" s="140"/>
      <c r="E4" s="141"/>
      <c r="F4" s="2"/>
      <c r="H4" s="120"/>
      <c r="I4" s="7"/>
      <c r="J4" s="121"/>
      <c r="K4" s="121"/>
      <c r="L4"/>
      <c r="M4"/>
      <c r="N4"/>
      <c r="Q4" s="2"/>
      <c r="R4" s="2"/>
      <c r="S4" s="2"/>
      <c r="T4" s="2"/>
    </row>
    <row r="5" spans="2:20" ht="15" x14ac:dyDescent="0.25">
      <c r="B5" s="67"/>
      <c r="C5" s="68" t="str" vm="24">
        <f>CUBEMEMBER("BIDB","[Measures].[Ledighedsmulige]","Antal forsikrede")</f>
        <v>Antal forsikrede</v>
      </c>
      <c r="D5" s="68" t="str" vm="29">
        <f>CUBEMEMBER("BIDB","[Measures].[Fuldtidsledige]","Brutto-ledige")</f>
        <v>Brutto-ledige</v>
      </c>
      <c r="E5" s="69" t="str" vm="16">
        <f>CUBEMEMBER("BIDB","[Measures].[Fuldtidsledighed]","Procent")</f>
        <v>Procent</v>
      </c>
      <c r="F5" s="4"/>
      <c r="H5"/>
      <c r="I5"/>
      <c r="J5"/>
      <c r="K5" s="7"/>
      <c r="L5" s="7"/>
      <c r="M5" s="7"/>
      <c r="N5" s="7"/>
      <c r="Q5" s="3"/>
      <c r="R5" s="5"/>
      <c r="S5" s="6"/>
      <c r="T5" s="4"/>
    </row>
    <row r="6" spans="2:20" ht="14.4" x14ac:dyDescent="0.3">
      <c r="B6" s="73" t="str" vm="11">
        <f>CUBEMEMBER("BIDB","[Uddannelse].[IDA Gruppe].&amp;[Bachelorer]")</f>
        <v>Bachelorer</v>
      </c>
      <c r="C6" s="98" vm="1504">
        <f t="shared" ref="C6:D13" si="0">CUBEVALUE("BIDB",$C$2,$B6,C$5)</f>
        <v>1224</v>
      </c>
      <c r="D6" s="98" vm="1336">
        <f t="shared" si="0"/>
        <v>126.53945945945948</v>
      </c>
      <c r="E6" s="84">
        <f t="shared" ref="E6:E13" si="1">CUBEVALUE("BIDB",CUBEMEMBER("BIDB","[Betalingsstatus].[Betalende medlem]"),$C$2,$B6,E$5)*100</f>
        <v>10.338191132308781</v>
      </c>
      <c r="F6" s="4"/>
      <c r="H6"/>
      <c r="I6"/>
      <c r="J6"/>
      <c r="K6" s="7"/>
      <c r="L6" s="7"/>
      <c r="M6" s="7"/>
      <c r="N6" s="7"/>
      <c r="Q6" s="3"/>
      <c r="R6" s="5"/>
      <c r="S6" s="6"/>
      <c r="T6" s="4"/>
    </row>
    <row r="7" spans="2:20" ht="14.4" x14ac:dyDescent="0.3">
      <c r="B7" s="70" t="str" vm="4">
        <f>CUBEMEMBER("BIDB","[Uddannelse].[IDA Gruppe].&amp;[Akademiingeniør]")</f>
        <v>Akademiingeniør</v>
      </c>
      <c r="C7" s="99" vm="1445">
        <f t="shared" si="0"/>
        <v>5086</v>
      </c>
      <c r="D7" s="99" vm="1802">
        <f t="shared" si="0"/>
        <v>52.428108108108106</v>
      </c>
      <c r="E7" s="86">
        <f t="shared" si="1"/>
        <v>1.0308318542687398</v>
      </c>
      <c r="F7" s="4"/>
      <c r="H7"/>
      <c r="I7"/>
      <c r="J7"/>
      <c r="K7" s="7"/>
      <c r="L7" s="7"/>
      <c r="M7" s="7"/>
      <c r="N7" s="7"/>
      <c r="Q7" s="3"/>
      <c r="R7" s="5"/>
      <c r="S7" s="6"/>
      <c r="T7" s="4"/>
    </row>
    <row r="8" spans="2:20" ht="14.4" x14ac:dyDescent="0.3">
      <c r="B8" s="73" t="str" vm="10">
        <f>CUBEMEMBER("BIDB","[Uddannelse].[IDA Gruppe].&amp;[Teknikumingeniør]")</f>
        <v>Teknikumingeniør</v>
      </c>
      <c r="C8" s="98" vm="1608">
        <f t="shared" si="0"/>
        <v>13565</v>
      </c>
      <c r="D8" s="98" vm="1789">
        <f t="shared" si="0"/>
        <v>154.54637837837836</v>
      </c>
      <c r="E8" s="84">
        <f t="shared" si="1"/>
        <v>1.1393024576364053</v>
      </c>
      <c r="F8" s="4"/>
      <c r="H8"/>
      <c r="I8"/>
      <c r="J8"/>
      <c r="K8" s="7"/>
      <c r="L8" s="7"/>
      <c r="M8" s="7"/>
      <c r="N8" s="7"/>
      <c r="Q8" s="3"/>
      <c r="R8" s="5"/>
      <c r="S8" s="6"/>
      <c r="T8" s="4"/>
    </row>
    <row r="9" spans="2:20" ht="14.4" x14ac:dyDescent="0.3">
      <c r="B9" s="70" t="str" vm="2">
        <f>CUBEMEMBER("BIDB","[Uddannelse].[IDA Gruppe].&amp;[Diplomingeniør]")</f>
        <v>Diplomingeniør</v>
      </c>
      <c r="C9" s="99" vm="1596">
        <f t="shared" si="0"/>
        <v>14707</v>
      </c>
      <c r="D9" s="99" vm="1349">
        <f t="shared" si="0"/>
        <v>395.37951351351353</v>
      </c>
      <c r="E9" s="86">
        <f t="shared" si="1"/>
        <v>2.6883763752873704</v>
      </c>
      <c r="F9" s="4"/>
      <c r="H9"/>
      <c r="I9"/>
      <c r="J9"/>
      <c r="K9" s="7"/>
      <c r="L9" s="7"/>
      <c r="M9" s="7"/>
      <c r="N9" s="7"/>
      <c r="Q9" s="3"/>
      <c r="R9" s="5"/>
      <c r="S9" s="6"/>
      <c r="T9" s="4"/>
    </row>
    <row r="10" spans="2:20" ht="14.4" x14ac:dyDescent="0.3">
      <c r="B10" s="73" t="str" vm="19">
        <f>CUBEMEMBER("BIDB","[Uddannelse].[IDA Gruppe].&amp;[Civilingeniører]")</f>
        <v>Civilingeniører</v>
      </c>
      <c r="C10" s="98" vm="1344">
        <f t="shared" si="0"/>
        <v>27937</v>
      </c>
      <c r="D10" s="98" vm="1711">
        <f t="shared" si="0"/>
        <v>760.88605405405417</v>
      </c>
      <c r="E10" s="84">
        <f t="shared" si="1"/>
        <v>2.7228623476180482</v>
      </c>
      <c r="F10" s="4"/>
      <c r="H10"/>
      <c r="I10"/>
      <c r="J10"/>
      <c r="K10" s="7"/>
      <c r="L10" s="7"/>
      <c r="M10" s="7"/>
      <c r="N10" s="7"/>
      <c r="Q10" s="3"/>
      <c r="R10" s="5"/>
      <c r="S10" s="6"/>
      <c r="T10" s="4"/>
    </row>
    <row r="11" spans="2:20" ht="14.4" x14ac:dyDescent="0.3">
      <c r="B11" s="70" t="str" vm="3">
        <f>CUBEMEMBER("BIDB","[Uddannelse].[IDA Gruppe].&amp;[Cand.scient]")</f>
        <v>Cand.scient</v>
      </c>
      <c r="C11" s="99" vm="1347">
        <f t="shared" si="0"/>
        <v>6783</v>
      </c>
      <c r="D11" s="99" vm="1578">
        <f t="shared" si="0"/>
        <v>791.8631351351346</v>
      </c>
      <c r="E11" s="86">
        <f t="shared" si="1"/>
        <v>11.670103717162535</v>
      </c>
      <c r="F11" s="4"/>
      <c r="H11"/>
      <c r="I11"/>
      <c r="J11"/>
      <c r="K11" s="7"/>
      <c r="L11" s="7"/>
      <c r="M11" s="7"/>
      <c r="N11" s="7"/>
      <c r="Q11" s="3"/>
      <c r="R11" s="5"/>
      <c r="S11" s="6"/>
      <c r="T11" s="4"/>
    </row>
    <row r="12" spans="2:20" ht="14.4" x14ac:dyDescent="0.3">
      <c r="B12" s="73" t="str" vm="9">
        <f>CUBEMEMBER("BIDB","[Uddannelse].[IDA Gruppe].&amp;[Cand.it]")</f>
        <v>Cand.it</v>
      </c>
      <c r="C12" s="98" vm="1534">
        <f t="shared" si="0"/>
        <v>1618</v>
      </c>
      <c r="D12" s="98" vm="1335">
        <f t="shared" si="0"/>
        <v>90.802972972972952</v>
      </c>
      <c r="E12" s="84">
        <f t="shared" si="1"/>
        <v>5.6120502455483905</v>
      </c>
      <c r="F12" s="4"/>
      <c r="H12"/>
      <c r="I12"/>
      <c r="J12"/>
      <c r="K12" s="7"/>
      <c r="L12" s="7"/>
      <c r="M12" s="7"/>
      <c r="N12" s="7"/>
      <c r="Q12" s="3"/>
      <c r="R12" s="5"/>
      <c r="S12" s="6"/>
      <c r="T12" s="4"/>
    </row>
    <row r="13" spans="2:20" ht="14.4" x14ac:dyDescent="0.3">
      <c r="B13" s="70" t="str" vm="12">
        <f>CUBEMEMBER("BIDB","[Uddannelse].[IDA Gruppe].&amp;[Phd]")</f>
        <v>Phd</v>
      </c>
      <c r="C13" s="99" vm="1345">
        <f t="shared" si="0"/>
        <v>704</v>
      </c>
      <c r="D13" s="99" vm="1365">
        <f t="shared" si="0"/>
        <v>28.768648648648643</v>
      </c>
      <c r="E13" s="86">
        <f t="shared" si="1"/>
        <v>4.0864557739557732</v>
      </c>
      <c r="F13" s="4"/>
      <c r="H13"/>
      <c r="I13"/>
      <c r="J13"/>
      <c r="K13" s="7"/>
      <c r="L13" s="7"/>
      <c r="M13" s="7"/>
      <c r="N13" s="7"/>
      <c r="Q13" s="3"/>
      <c r="R13" s="5"/>
      <c r="S13" s="6"/>
      <c r="T13" s="4"/>
    </row>
    <row r="14" spans="2:20" ht="14.4" x14ac:dyDescent="0.3">
      <c r="B14" s="73"/>
      <c r="C14" s="85"/>
      <c r="D14" s="85"/>
      <c r="E14" s="84"/>
      <c r="F14" s="4"/>
      <c r="H14"/>
      <c r="I14"/>
      <c r="J14"/>
      <c r="K14" s="7"/>
      <c r="L14" s="7"/>
      <c r="M14" s="7"/>
      <c r="N14" s="7"/>
      <c r="Q14" s="3"/>
      <c r="R14" s="5"/>
      <c r="S14" s="6"/>
      <c r="T14" s="4"/>
    </row>
    <row r="15" spans="2:20" ht="14.4" x14ac:dyDescent="0.3">
      <c r="B15" s="71" t="str" vm="1">
        <f>CUBEMEMBER("BIDB","[Uddannelse].[IDA Gruppe Niveau1].&amp;[Ingeniører]","Ingeniører, i alt (diplom og civil)")</f>
        <v>Ingeniører, i alt (diplom og civil)</v>
      </c>
      <c r="C15" s="72" vm="1682">
        <f>CUBEVALUE("BIDB",CUBEMEMBER("BIDB","[Betalingsstatus].[Betalende medlem]"),$C$2,$B15,C$5)</f>
        <v>61295</v>
      </c>
      <c r="D15" s="100" vm="1590">
        <f>CUBEVALUE("BIDB",CUBEMEMBER("BIDB","[Betalingsstatus].[Betalende medlem]"),$C$2,$B15,D$5)</f>
        <v>1363.0400540540538</v>
      </c>
      <c r="E15" s="89">
        <f>CUBEVALUE("BIDB",CUBEMEMBER("BIDB","[Betalingsstatus].[Betalende medlem]"),$C$2,$B15,E$5)*100</f>
        <v>2.2237377503125115</v>
      </c>
      <c r="F15" s="4"/>
      <c r="H15"/>
      <c r="I15"/>
      <c r="J15"/>
      <c r="Q15" s="2"/>
      <c r="R15" s="2"/>
    </row>
    <row r="16" spans="2:20" ht="14.4" x14ac:dyDescent="0.3">
      <c r="H16"/>
      <c r="I16"/>
      <c r="J16"/>
      <c r="Q16" s="2"/>
      <c r="R16" s="2"/>
    </row>
    <row r="17" spans="2:20" ht="14.4" x14ac:dyDescent="0.3">
      <c r="B17" s="66"/>
      <c r="C17" s="140" t="s">
        <v>3</v>
      </c>
      <c r="D17" s="140"/>
      <c r="E17" s="141"/>
      <c r="H17"/>
      <c r="I17"/>
      <c r="J17"/>
      <c r="Q17" s="2"/>
      <c r="R17" s="2"/>
    </row>
    <row r="18" spans="2:20" ht="14.4" x14ac:dyDescent="0.3">
      <c r="B18" s="75" t="str" vm="16">
        <f>CUBEMEMBER("BIDB","[Measures].[Fuldtidsledighed]","Procent ledige")</f>
        <v>Procent ledige</v>
      </c>
      <c r="C18" s="68" t="str" vm="23">
        <f>CUBEMEMBER("BIDB","[Medlem].[Køn].&amp;[Kvinde]","Kvinder")</f>
        <v>Kvinder</v>
      </c>
      <c r="D18" s="68" t="str" vm="30">
        <f>CUBEMEMBER("BIDB","[Medlem].[Køn].&amp;[Mand]","Mænd")</f>
        <v>Mænd</v>
      </c>
      <c r="E18" s="69" t="s">
        <v>2</v>
      </c>
      <c r="H18"/>
      <c r="I18"/>
      <c r="J18"/>
      <c r="K18" s="2"/>
      <c r="L18" s="2"/>
      <c r="M18"/>
    </row>
    <row r="19" spans="2:20" ht="14.4" x14ac:dyDescent="0.3">
      <c r="B19" s="73" t="str" vm="11">
        <f>CUBEMEMBER("BIDB","[Uddannelse].[IDA Gruppe].&amp;[Bachelorer]")</f>
        <v>Bachelorer</v>
      </c>
      <c r="C19" s="85">
        <f t="shared" ref="C19:D26" si="2">CUBEVALUE("BIDB",CUBEMEMBER("BIDB","[Betalingsstatus].[Betalende medlem]"),$C$2,$B$18,$B19,C$18)*100</f>
        <v>12.861935361935362</v>
      </c>
      <c r="D19" s="85">
        <f t="shared" si="2"/>
        <v>9.5686912925718897</v>
      </c>
      <c r="E19" s="84">
        <f t="shared" ref="E19:E26" si="3">CUBEVALUE("BIDB",CUBEMEMBER("BIDB","[Betalingsstatus].[Betalende medlem]"),$C$2,$B$18,$B19,CUBEMEMBER("BIDB","[Medlem].[Køn].[All]","Hovedtotal"))*100</f>
        <v>10.338191132308781</v>
      </c>
      <c r="H19"/>
      <c r="I19"/>
      <c r="J19"/>
      <c r="K19" s="2"/>
      <c r="L19" s="2"/>
      <c r="M19"/>
      <c r="Q19" s="2"/>
      <c r="R19" s="2"/>
      <c r="S19" s="2"/>
      <c r="T19" s="2"/>
    </row>
    <row r="20" spans="2:20" ht="14.4" x14ac:dyDescent="0.3">
      <c r="B20" s="70" t="str" vm="4">
        <f>CUBEMEMBER("BIDB","[Uddannelse].[IDA Gruppe].&amp;[Akademiingeniør]")</f>
        <v>Akademiingeniør</v>
      </c>
      <c r="C20" s="34">
        <f t="shared" si="2"/>
        <v>1.4306306306306307</v>
      </c>
      <c r="D20" s="34">
        <f t="shared" si="2"/>
        <v>0.91921801076730647</v>
      </c>
      <c r="E20" s="86">
        <f t="shared" si="3"/>
        <v>1.0308318542687398</v>
      </c>
      <c r="F20" s="65"/>
      <c r="H20"/>
      <c r="I20"/>
      <c r="J20"/>
      <c r="K20" s="4"/>
      <c r="L20" s="4"/>
      <c r="M20"/>
      <c r="Q20" s="3"/>
      <c r="R20" s="5"/>
      <c r="S20" s="6"/>
      <c r="T20" s="4"/>
    </row>
    <row r="21" spans="2:20" ht="14.4" x14ac:dyDescent="0.3">
      <c r="B21" s="73" t="str" vm="10">
        <f>CUBEMEMBER("BIDB","[Uddannelse].[IDA Gruppe].&amp;[Teknikumingeniør]")</f>
        <v>Teknikumingeniør</v>
      </c>
      <c r="C21" s="85">
        <f t="shared" si="2"/>
        <v>0.93685287153405361</v>
      </c>
      <c r="D21" s="85">
        <f t="shared" si="2"/>
        <v>1.1728642702516892</v>
      </c>
      <c r="E21" s="84">
        <f t="shared" si="3"/>
        <v>1.1393024576364053</v>
      </c>
      <c r="H21"/>
      <c r="I21"/>
      <c r="J21"/>
      <c r="K21"/>
      <c r="L21"/>
      <c r="M21"/>
      <c r="Q21"/>
      <c r="R21"/>
      <c r="S21"/>
      <c r="T21"/>
    </row>
    <row r="22" spans="2:20" ht="13.95" x14ac:dyDescent="0.25">
      <c r="B22" s="70" t="str" vm="2">
        <f>CUBEMEMBER("BIDB","[Uddannelse].[IDA Gruppe].&amp;[Diplomingeniør]")</f>
        <v>Diplomingeniør</v>
      </c>
      <c r="C22" s="34">
        <f t="shared" si="2"/>
        <v>3.7222115612976774</v>
      </c>
      <c r="D22" s="34">
        <f t="shared" si="2"/>
        <v>2.4404197824531666</v>
      </c>
      <c r="E22" s="86">
        <f t="shared" si="3"/>
        <v>2.6883763752873704</v>
      </c>
    </row>
    <row r="23" spans="2:20" ht="13.95" x14ac:dyDescent="0.25">
      <c r="B23" s="73" t="str" vm="19">
        <f>CUBEMEMBER("BIDB","[Uddannelse].[IDA Gruppe].&amp;[Civilingeniører]")</f>
        <v>Civilingeniører</v>
      </c>
      <c r="C23" s="85">
        <f t="shared" si="2"/>
        <v>3.2499656189177522</v>
      </c>
      <c r="D23" s="85">
        <f t="shared" si="2"/>
        <v>2.5480740988843951</v>
      </c>
      <c r="E23" s="84">
        <f t="shared" si="3"/>
        <v>2.7228623476180482</v>
      </c>
    </row>
    <row r="24" spans="2:20" ht="13.95" x14ac:dyDescent="0.25">
      <c r="B24" s="70" t="str" vm="3">
        <f>CUBEMEMBER("BIDB","[Uddannelse].[IDA Gruppe].&amp;[Cand.scient]")</f>
        <v>Cand.scient</v>
      </c>
      <c r="C24" s="34">
        <f t="shared" si="2"/>
        <v>12.948565618910434</v>
      </c>
      <c r="D24" s="34">
        <f t="shared" si="2"/>
        <v>10.535037347394709</v>
      </c>
      <c r="E24" s="86">
        <f t="shared" si="3"/>
        <v>11.670103717162535</v>
      </c>
    </row>
    <row r="25" spans="2:20" ht="13.95" x14ac:dyDescent="0.25">
      <c r="B25" s="73" t="str" vm="9">
        <f>CUBEMEMBER("BIDB","[Uddannelse].[IDA Gruppe].&amp;[Cand.it]")</f>
        <v>Cand.it</v>
      </c>
      <c r="C25" s="85">
        <f t="shared" si="2"/>
        <v>8.3779764895006537</v>
      </c>
      <c r="D25" s="85">
        <f t="shared" si="2"/>
        <v>4.2342092092092098</v>
      </c>
      <c r="E25" s="84">
        <f t="shared" si="3"/>
        <v>5.6120502455483905</v>
      </c>
    </row>
    <row r="26" spans="2:20" ht="13.95" x14ac:dyDescent="0.25">
      <c r="B26" s="70" t="str" vm="12">
        <f>CUBEMEMBER("BIDB","[Uddannelse].[IDA Gruppe].&amp;[Phd]")</f>
        <v>Phd</v>
      </c>
      <c r="C26" s="34">
        <f t="shared" si="2"/>
        <v>5.4140091648742166</v>
      </c>
      <c r="D26" s="34">
        <f t="shared" si="2"/>
        <v>3.1619667860631715</v>
      </c>
      <c r="E26" s="86">
        <f t="shared" si="3"/>
        <v>4.0864557739557732</v>
      </c>
    </row>
    <row r="27" spans="2:20" ht="13.95" x14ac:dyDescent="0.25">
      <c r="B27" s="73"/>
      <c r="C27" s="85"/>
      <c r="D27" s="85"/>
      <c r="E27" s="84"/>
    </row>
    <row r="28" spans="2:20" ht="13.95" x14ac:dyDescent="0.25">
      <c r="B28" s="71" t="str" vm="1">
        <f>CUBEMEMBER("BIDB","[Uddannelse].[IDA Gruppe Niveau1].&amp;[Ingeniører]","Ingeniører, i alt (diplom og civil)")</f>
        <v>Ingeniører, i alt (diplom og civil)</v>
      </c>
      <c r="C28" s="88">
        <f>CUBEVALUE("BIDB",CUBEMEMBER("BIDB","[Betalingsstatus].[Betalende medlem]"),$C$2,$B$18,$B28,C$18)*100</f>
        <v>2.8498475112445987</v>
      </c>
      <c r="D28" s="88">
        <f>CUBEVALUE("BIDB",CUBEMEMBER("BIDB","[Betalingsstatus].[Betalende medlem]"),$C$2,$B$18,$B28,D$18)*100</f>
        <v>2.0578097476681734</v>
      </c>
      <c r="E28" s="89">
        <f>CUBEVALUE("BIDB",CUBEMEMBER("BIDB","[Betalingsstatus].[Betalende medlem]"),$C$2,$B$18,$B28,CUBEMEMBER("BIDB","[Medlem].[Køn].[All]","Hovedtotal"))*100</f>
        <v>2.2237377503125115</v>
      </c>
    </row>
    <row r="30" spans="2:20" ht="13.95" x14ac:dyDescent="0.25">
      <c r="B30" s="66"/>
      <c r="C30" s="140" t="s">
        <v>9</v>
      </c>
      <c r="D30" s="140"/>
      <c r="E30" s="140"/>
      <c r="F30" s="140"/>
      <c r="G30" s="140"/>
      <c r="H30" s="76"/>
    </row>
    <row r="31" spans="2:20" ht="13.95" x14ac:dyDescent="0.25">
      <c r="B31" s="75" t="str" vm="16">
        <f>CUBEMEMBER("BIDB","[Measures].[Fuldtidsledighed]","Procent ledige")</f>
        <v>Procent ledige</v>
      </c>
      <c r="C31" s="68" t="str" vm="26">
        <f>CUBEMEMBER("BIDB","[Alder].[Aldersgruppe 10 års interval].[All].[20-29 år]","Under 30 år")</f>
        <v>Under 30 år</v>
      </c>
      <c r="D31" s="68" t="str" vm="22">
        <f>CUBEMEMBER("BIDB","[Alder].[Aldersgruppe 10 års interval].[All].[30-39 år]")</f>
        <v>30-39 år</v>
      </c>
      <c r="E31" s="68" t="str" vm="28">
        <f>CUBEMEMBER("BIDB","[Alder].[Aldersgruppe 10 års interval].[All].[40-49 år]")</f>
        <v>40-49 år</v>
      </c>
      <c r="F31" s="68" t="str" vm="27">
        <f>CUBEMEMBER("BIDB","[Alder].[Aldersgruppe 10 års interval].[All].[50-59 år]")</f>
        <v>50-59 år</v>
      </c>
      <c r="G31" s="68" t="str" vm="8">
        <f>CUBEMEMBER("BIDB","[Alder].[Aldersgruppe 10 års interval].[All].[&gt; 59 år]","60-64 år")</f>
        <v>60-64 år</v>
      </c>
      <c r="H31" s="69" t="s">
        <v>2</v>
      </c>
    </row>
    <row r="32" spans="2:20" ht="13.95" x14ac:dyDescent="0.25">
      <c r="B32" s="73" t="str" vm="11">
        <f>CUBEMEMBER("BIDB","[Uddannelse].[IDA Gruppe].&amp;[Bachelorer]")</f>
        <v>Bachelorer</v>
      </c>
      <c r="C32" s="85">
        <f t="shared" ref="C32:E39" si="4">CUBEVALUE("BIDB",CUBEMEMBER("BIDB","[Betalingsstatus].[Betalende medlem]"),$C$2,$B$31,$B32,C$31)*100</f>
        <v>16.838181193898073</v>
      </c>
      <c r="D32" s="85">
        <f t="shared" si="4"/>
        <v>5.6994036289810923</v>
      </c>
      <c r="E32" s="85">
        <f t="shared" si="4"/>
        <v>4.3359275505872361</v>
      </c>
      <c r="F32" s="85">
        <f t="shared" ref="F32:G41" si="5">IFERROR(CUBEVALUE("BIDB",CUBEMEMBER("BIDB","[Betalingsstatus].[Betalende medlem]"),$C$2,$B$31,$B32,F$31)*100,"")</f>
        <v>2.3076923076923075</v>
      </c>
      <c r="G32" s="85" t="str">
        <f t="shared" si="5"/>
        <v/>
      </c>
      <c r="H32" s="84">
        <f t="shared" ref="H32:H39" si="6">CUBEVALUE("BIDB",CUBEMEMBER("BIDB","[Betalingsstatus].[Betalende medlem]"),$C$2,$B$31,$B32,CUBEMEMBER("BIDB","[Alder].[Aldersgruppe 10 års interval].[All]","Hovedtotal"))*100</f>
        <v>10.338191132308781</v>
      </c>
    </row>
    <row r="33" spans="2:42" ht="15" x14ac:dyDescent="0.25">
      <c r="B33" s="70" t="str" vm="4">
        <f>CUBEMEMBER("BIDB","[Uddannelse].[IDA Gruppe].&amp;[Akademiingeniør]")</f>
        <v>Akademiingeniør</v>
      </c>
      <c r="C33" s="34"/>
      <c r="D33" s="34"/>
      <c r="E33" s="34">
        <f t="shared" si="4"/>
        <v>0.87798742138364783</v>
      </c>
      <c r="F33" s="34">
        <f t="shared" si="5"/>
        <v>0.99924414210128487</v>
      </c>
      <c r="G33" s="34">
        <f t="shared" si="5"/>
        <v>1.4544266152488641</v>
      </c>
      <c r="H33" s="86">
        <f t="shared" si="6"/>
        <v>1.0308318542687398</v>
      </c>
    </row>
    <row r="34" spans="2:42" ht="15" x14ac:dyDescent="0.25">
      <c r="B34" s="73" t="str" vm="10">
        <f>CUBEMEMBER("BIDB","[Uddannelse].[IDA Gruppe].&amp;[Teknikumingeniør]")</f>
        <v>Teknikumingeniør</v>
      </c>
      <c r="C34" s="85"/>
      <c r="D34" s="85"/>
      <c r="E34" s="85">
        <f t="shared" si="4"/>
        <v>0.84454675914852917</v>
      </c>
      <c r="F34" s="85">
        <f t="shared" si="5"/>
        <v>1.1184340244053836</v>
      </c>
      <c r="G34" s="85">
        <f t="shared" si="5"/>
        <v>2.0442104916846242</v>
      </c>
      <c r="H34" s="84">
        <f t="shared" si="6"/>
        <v>1.1393024576364053</v>
      </c>
    </row>
    <row r="35" spans="2:42" ht="15" x14ac:dyDescent="0.25">
      <c r="B35" s="70" t="str" vm="2">
        <f>CUBEMEMBER("BIDB","[Uddannelse].[IDA Gruppe].&amp;[Diplomingeniør]")</f>
        <v>Diplomingeniør</v>
      </c>
      <c r="C35" s="34">
        <f t="shared" si="4"/>
        <v>9.2688772175010712</v>
      </c>
      <c r="D35" s="34">
        <f t="shared" si="4"/>
        <v>1.6140512196341932</v>
      </c>
      <c r="E35" s="34">
        <f t="shared" si="4"/>
        <v>1.0137827482655073</v>
      </c>
      <c r="F35" s="34">
        <f t="shared" si="5"/>
        <v>2.6510152884933973</v>
      </c>
      <c r="G35" s="34">
        <f t="shared" si="5"/>
        <v>1.1764705882352942</v>
      </c>
      <c r="H35" s="86">
        <f t="shared" si="6"/>
        <v>2.6883763752873704</v>
      </c>
    </row>
    <row r="36" spans="2:42" ht="15" x14ac:dyDescent="0.25">
      <c r="B36" s="73" t="str" vm="19">
        <f>CUBEMEMBER("BIDB","[Uddannelse].[IDA Gruppe].&amp;[Civilingeniører]")</f>
        <v>Civilingeniører</v>
      </c>
      <c r="C36" s="85">
        <f t="shared" si="4"/>
        <v>10.939208075545427</v>
      </c>
      <c r="D36" s="85">
        <f t="shared" si="4"/>
        <v>1.7548881659668831</v>
      </c>
      <c r="E36" s="85">
        <f t="shared" si="4"/>
        <v>0.66541752834628831</v>
      </c>
      <c r="F36" s="85">
        <f t="shared" si="5"/>
        <v>1.3325318935157462</v>
      </c>
      <c r="G36" s="85">
        <f t="shared" si="5"/>
        <v>1.3124637558466847</v>
      </c>
      <c r="H36" s="84">
        <f t="shared" si="6"/>
        <v>2.7228623476180482</v>
      </c>
    </row>
    <row r="37" spans="2:42" ht="15" x14ac:dyDescent="0.25">
      <c r="B37" s="70" t="str" vm="3">
        <f>CUBEMEMBER("BIDB","[Uddannelse].[IDA Gruppe].&amp;[Cand.scient]")</f>
        <v>Cand.scient</v>
      </c>
      <c r="C37" s="34">
        <f t="shared" si="4"/>
        <v>19.799711220722322</v>
      </c>
      <c r="D37" s="34">
        <f t="shared" si="4"/>
        <v>6.846603073661897</v>
      </c>
      <c r="E37" s="34">
        <f t="shared" si="4"/>
        <v>2.7408751254693486</v>
      </c>
      <c r="F37" s="34">
        <f t="shared" si="5"/>
        <v>5.1914619164619165</v>
      </c>
      <c r="G37" s="34">
        <f t="shared" si="5"/>
        <v>2.5806451612903225</v>
      </c>
      <c r="H37" s="86">
        <f t="shared" si="6"/>
        <v>11.670103717162535</v>
      </c>
    </row>
    <row r="38" spans="2:42" ht="15" x14ac:dyDescent="0.25">
      <c r="B38" s="73" t="str" vm="9">
        <f>CUBEMEMBER("BIDB","[Uddannelse].[IDA Gruppe].&amp;[Cand.it]")</f>
        <v>Cand.it</v>
      </c>
      <c r="C38" s="85">
        <f t="shared" si="4"/>
        <v>14.770795530512848</v>
      </c>
      <c r="D38" s="85">
        <f t="shared" si="4"/>
        <v>4.0433704292527812</v>
      </c>
      <c r="E38" s="85">
        <f t="shared" si="4"/>
        <v>2.3254609749936854</v>
      </c>
      <c r="F38" s="85">
        <f t="shared" si="5"/>
        <v>5.4117647058823533</v>
      </c>
      <c r="G38" s="85">
        <f t="shared" si="5"/>
        <v>32</v>
      </c>
      <c r="H38" s="84">
        <f t="shared" si="6"/>
        <v>5.6120502455483905</v>
      </c>
    </row>
    <row r="39" spans="2:42" ht="15" x14ac:dyDescent="0.25">
      <c r="B39" s="70" t="str" vm="12">
        <f>CUBEMEMBER("BIDB","[Uddannelse].[IDA Gruppe].&amp;[Phd]")</f>
        <v>Phd</v>
      </c>
      <c r="C39" s="34">
        <f t="shared" si="4"/>
        <v>3.7752808988764039</v>
      </c>
      <c r="D39" s="34">
        <f t="shared" si="4"/>
        <v>3.7935900502272184</v>
      </c>
      <c r="E39" s="34">
        <f t="shared" si="4"/>
        <v>3.2665280665280667</v>
      </c>
      <c r="F39" s="34">
        <f t="shared" si="5"/>
        <v>10.086486486486486</v>
      </c>
      <c r="G39" s="34">
        <f t="shared" si="5"/>
        <v>32.972972972972975</v>
      </c>
      <c r="H39" s="86">
        <f t="shared" si="6"/>
        <v>4.0864557739557732</v>
      </c>
    </row>
    <row r="40" spans="2:42" ht="15" x14ac:dyDescent="0.25">
      <c r="B40" s="73"/>
      <c r="C40" s="85"/>
      <c r="D40" s="85"/>
      <c r="E40" s="85"/>
      <c r="F40" s="85" t="str">
        <f t="shared" si="5"/>
        <v/>
      </c>
      <c r="G40" s="85" t="str">
        <f t="shared" si="5"/>
        <v/>
      </c>
      <c r="H40" s="84"/>
    </row>
    <row r="41" spans="2:42" ht="15" x14ac:dyDescent="0.25">
      <c r="B41" s="77" t="str" vm="1">
        <f>CUBEMEMBER("BIDB","[Uddannelse].[IDA Gruppe Niveau1].&amp;[Ingeniører]","Ingeniører, i alt (diplom og civil)")</f>
        <v>Ingeniører, i alt (diplom og civil)</v>
      </c>
      <c r="C41" s="33">
        <f>CUBEVALUE("BIDB",CUBEMEMBER("BIDB","[Betalingsstatus].[Betalende medlem]"),$C$2,$B$31,$B41,C$31)*100</f>
        <v>10.318047159151828</v>
      </c>
      <c r="D41" s="33">
        <f>CUBEVALUE("BIDB",CUBEMEMBER("BIDB","[Betalingsstatus].[Betalende medlem]"),$C$2,$B$31,$B41,D$31)*100</f>
        <v>1.6963336885472875</v>
      </c>
      <c r="E41" s="33">
        <f>CUBEVALUE("BIDB",CUBEMEMBER("BIDB","[Betalingsstatus].[Betalende medlem]"),$C$2,$B$31,$B41,E$31)*100</f>
        <v>0.82227192819472072</v>
      </c>
      <c r="F41" s="33">
        <f t="shared" si="5"/>
        <v>1.2250513166035273</v>
      </c>
      <c r="G41" s="33">
        <f t="shared" si="5"/>
        <v>1.6602657669571179</v>
      </c>
      <c r="H41" s="87">
        <f>CUBEVALUE("BIDB",CUBEMEMBER("BIDB","[Betalingsstatus].[Betalende medlem]"),$C$2,$B$31,$B41,CUBEMEMBER("BIDB","[Alder].[Aldersgruppe 10 års interval].[All]","Hovedtotal"))*100</f>
        <v>2.2237377503125115</v>
      </c>
    </row>
    <row r="43" spans="2:42" ht="15" x14ac:dyDescent="0.25">
      <c r="B43" s="66"/>
      <c r="C43" s="140" t="s">
        <v>8</v>
      </c>
      <c r="D43" s="140"/>
      <c r="E43" s="140"/>
      <c r="F43" s="140"/>
      <c r="G43" s="140"/>
      <c r="H43" s="140"/>
      <c r="I43" s="78"/>
    </row>
    <row r="44" spans="2:42" s="18" customFormat="1" ht="15" x14ac:dyDescent="0.25">
      <c r="B44" s="75" t="str" vm="16">
        <f>CUBEMEMBER("BIDB","[Measures].[Fuldtidsledighed]","Procent ledige")</f>
        <v>Procent ledige</v>
      </c>
      <c r="C44" s="68" t="str" vm="18">
        <f>CUBEMEMBER("BIDB","[Kandidatalder].[Kandidatalder Gruppe Niveau1].[All].[&lt; 1 år]","Under 1 år")</f>
        <v>Under 1 år</v>
      </c>
      <c r="D44" s="68" t="str" vm="25">
        <f>CUBEMEMBER("BIDB","[Kandidatalder].[Kandidatalder Gruppe Niveau1].[All].[1 år]")</f>
        <v>1 år</v>
      </c>
      <c r="E44" s="68" t="str" vm="21">
        <f>CUBEMEMBER("BIDB","[Kandidatalder].[Kandidatalder Gruppe Niveau1].[All].[2-4 år]")</f>
        <v>2-4 år</v>
      </c>
      <c r="F44" s="68" t="str" vm="14">
        <f>CUBEMEMBER("BIDB","[Kandidatalder].[Kandidatalder Gruppe Niveau1].[All].[5-9 år]")</f>
        <v>5-9 år</v>
      </c>
      <c r="G44" s="68" t="str" vm="17">
        <f>CUBEMEMBER("BIDB","[Kandidatalder].[Kandidatalder Gruppe Niveau1].[All].[10-14 år]")</f>
        <v>10-14 år</v>
      </c>
      <c r="H44" s="68" t="str" vm="7">
        <f>CUBEMEMBER("BIDB","[Kandidatalder].[Kandidatalder Gruppe Niveau1].[All].[15- år]")</f>
        <v>15- år</v>
      </c>
      <c r="I44" s="69" t="s">
        <v>2</v>
      </c>
      <c r="U44" s="20"/>
      <c r="W44" s="20"/>
      <c r="X44" s="20"/>
      <c r="Z44" s="20"/>
      <c r="AA44" s="20"/>
      <c r="AC44" s="20"/>
      <c r="AD44" s="20"/>
      <c r="AF44" s="20"/>
      <c r="AG44" s="20"/>
      <c r="AI44" s="20"/>
      <c r="AJ44" s="20"/>
      <c r="AL44" s="20"/>
      <c r="AM44" s="20"/>
      <c r="AO44" s="20"/>
      <c r="AP44" s="20"/>
    </row>
    <row r="45" spans="2:42" ht="15" x14ac:dyDescent="0.25">
      <c r="B45" s="73" t="str" vm="11">
        <f>CUBEMEMBER("BIDB","[Uddannelse].[IDA Gruppe].&amp;[Bachelorer]")</f>
        <v>Bachelorer</v>
      </c>
      <c r="C45" s="90">
        <f t="shared" ref="C45:H54" si="7">IFERROR(CUBEVALUE("BIDB",CUBEMEMBER("BIDB","[Betalingsstatus].[Betalende medlem]"),$C$2,$B$44,$B45,C$44)*100,"")</f>
        <v>26.113067195636003</v>
      </c>
      <c r="D45" s="90">
        <f t="shared" si="7"/>
        <v>16.002402402402403</v>
      </c>
      <c r="E45" s="90">
        <f t="shared" si="7"/>
        <v>3.2112722478576132</v>
      </c>
      <c r="F45" s="90">
        <f t="shared" si="7"/>
        <v>4.3243243243243246</v>
      </c>
      <c r="G45" s="90">
        <f t="shared" si="7"/>
        <v>1.5913978494623657</v>
      </c>
      <c r="H45" s="90">
        <f t="shared" si="7"/>
        <v>1.6524216524216522</v>
      </c>
      <c r="I45" s="84">
        <f t="shared" ref="I45:I52" si="8">CUBEVALUE("BIDB",CUBEMEMBER("BIDB","[Betalingsstatus].[Betalende medlem]"),$C$2,$B$31,$B45,CUBEMEMBER("BIDB","[Alder].[Aldersgruppe 10 års interval].[All]","Hovedtotal"))*100</f>
        <v>10.338191132308781</v>
      </c>
    </row>
    <row r="46" spans="2:42" ht="15" x14ac:dyDescent="0.25">
      <c r="B46" s="70" t="str" vm="4">
        <f>CUBEMEMBER("BIDB","[Uddannelse].[IDA Gruppe].&amp;[Akademiingeniør]")</f>
        <v>Akademiingeniør</v>
      </c>
      <c r="C46" s="91" t="str">
        <f t="shared" si="7"/>
        <v/>
      </c>
      <c r="D46" s="91" t="str">
        <f t="shared" si="7"/>
        <v/>
      </c>
      <c r="E46" s="91" t="str">
        <f t="shared" si="7"/>
        <v/>
      </c>
      <c r="F46" s="91" t="str">
        <f t="shared" si="7"/>
        <v/>
      </c>
      <c r="G46" s="91" t="str">
        <f t="shared" si="7"/>
        <v/>
      </c>
      <c r="H46" s="91">
        <f t="shared" si="7"/>
        <v>1.0306292138413231</v>
      </c>
      <c r="I46" s="86">
        <f t="shared" si="8"/>
        <v>1.0308318542687398</v>
      </c>
    </row>
    <row r="47" spans="2:42" ht="15" x14ac:dyDescent="0.25">
      <c r="B47" s="73" t="str" vm="10">
        <f>CUBEMEMBER("BIDB","[Uddannelse].[IDA Gruppe].&amp;[Teknikumingeniør]")</f>
        <v>Teknikumingeniør</v>
      </c>
      <c r="C47" s="90" t="str">
        <f t="shared" si="7"/>
        <v/>
      </c>
      <c r="D47" s="90" t="str">
        <f t="shared" si="7"/>
        <v/>
      </c>
      <c r="E47" s="90" t="str">
        <f t="shared" si="7"/>
        <v/>
      </c>
      <c r="F47" s="90" t="str">
        <f t="shared" si="7"/>
        <v/>
      </c>
      <c r="G47" s="90" t="str">
        <f t="shared" si="7"/>
        <v/>
      </c>
      <c r="H47" s="90">
        <f t="shared" si="7"/>
        <v>1.1390505481896991</v>
      </c>
      <c r="I47" s="84">
        <f t="shared" si="8"/>
        <v>1.1393024576364053</v>
      </c>
    </row>
    <row r="48" spans="2:42" ht="15" x14ac:dyDescent="0.25">
      <c r="B48" s="70" t="str" vm="2">
        <f>CUBEMEMBER("BIDB","[Uddannelse].[IDA Gruppe].&amp;[Diplomingeniør]")</f>
        <v>Diplomingeniør</v>
      </c>
      <c r="C48" s="91">
        <f t="shared" si="7"/>
        <v>23.475730832873687</v>
      </c>
      <c r="D48" s="91">
        <f t="shared" si="7"/>
        <v>8.0974627688913401</v>
      </c>
      <c r="E48" s="91">
        <f t="shared" si="7"/>
        <v>2.5830961594795023</v>
      </c>
      <c r="F48" s="91">
        <f t="shared" si="7"/>
        <v>0.79024638673761471</v>
      </c>
      <c r="G48" s="91">
        <f t="shared" si="7"/>
        <v>0.9657882450588785</v>
      </c>
      <c r="H48" s="91">
        <f t="shared" si="7"/>
        <v>1.0840811066023528</v>
      </c>
      <c r="I48" s="86">
        <f t="shared" si="8"/>
        <v>2.6883763752873704</v>
      </c>
    </row>
    <row r="49" spans="2:9" ht="15" x14ac:dyDescent="0.25">
      <c r="B49" s="73" t="str" vm="19">
        <f>CUBEMEMBER("BIDB","[Uddannelse].[IDA Gruppe].&amp;[Civilingeniører]")</f>
        <v>Civilingeniører</v>
      </c>
      <c r="C49" s="90">
        <f t="shared" si="7"/>
        <v>30.943183272029412</v>
      </c>
      <c r="D49" s="90">
        <f t="shared" si="7"/>
        <v>5.6534812356511264</v>
      </c>
      <c r="E49" s="90">
        <f t="shared" si="7"/>
        <v>1.861598209271607</v>
      </c>
      <c r="F49" s="90">
        <f t="shared" si="7"/>
        <v>1.1230684768560351</v>
      </c>
      <c r="G49" s="90">
        <f t="shared" si="7"/>
        <v>0.95113087951598718</v>
      </c>
      <c r="H49" s="90">
        <f t="shared" si="7"/>
        <v>0.90741704201325346</v>
      </c>
      <c r="I49" s="84">
        <f t="shared" si="8"/>
        <v>2.7228623476180482</v>
      </c>
    </row>
    <row r="50" spans="2:9" ht="15" x14ac:dyDescent="0.25">
      <c r="B50" s="70" t="str" vm="3">
        <f>CUBEMEMBER("BIDB","[Uddannelse].[IDA Gruppe].&amp;[Cand.scient]")</f>
        <v>Cand.scient</v>
      </c>
      <c r="C50" s="91">
        <f t="shared" si="7"/>
        <v>35.425186409481036</v>
      </c>
      <c r="D50" s="91">
        <f t="shared" si="7"/>
        <v>12.862629092507143</v>
      </c>
      <c r="E50" s="91">
        <f t="shared" si="7"/>
        <v>4.3259962452623011</v>
      </c>
      <c r="F50" s="91">
        <f t="shared" si="7"/>
        <v>3.5728203497615256</v>
      </c>
      <c r="G50" s="91">
        <f t="shared" si="7"/>
        <v>1.2428884026258205</v>
      </c>
      <c r="H50" s="91">
        <f t="shared" si="7"/>
        <v>3.4336319881525363</v>
      </c>
      <c r="I50" s="86">
        <f t="shared" si="8"/>
        <v>11.670103717162535</v>
      </c>
    </row>
    <row r="51" spans="2:9" ht="15" x14ac:dyDescent="0.25">
      <c r="B51" s="73" t="str" vm="9">
        <f>CUBEMEMBER("BIDB","[Uddannelse].[IDA Gruppe].&amp;[Cand.it]")</f>
        <v>Cand.it</v>
      </c>
      <c r="C51" s="90">
        <f t="shared" si="7"/>
        <v>36.095495495495506</v>
      </c>
      <c r="D51" s="90">
        <f t="shared" si="7"/>
        <v>10.564885496183205</v>
      </c>
      <c r="E51" s="90">
        <f t="shared" si="7"/>
        <v>3.0939140579428352</v>
      </c>
      <c r="F51" s="90">
        <f t="shared" si="7"/>
        <v>2.0615341189753718</v>
      </c>
      <c r="G51" s="90">
        <f t="shared" si="7"/>
        <v>1.2751963786446545</v>
      </c>
      <c r="H51" s="90">
        <f t="shared" si="7"/>
        <v>2.3262411347517729</v>
      </c>
      <c r="I51" s="84">
        <f t="shared" si="8"/>
        <v>5.6120502455483905</v>
      </c>
    </row>
    <row r="52" spans="2:9" ht="15" x14ac:dyDescent="0.25">
      <c r="B52" s="70" t="str" vm="12">
        <f>CUBEMEMBER("BIDB","[Uddannelse].[IDA Gruppe].&amp;[Phd]")</f>
        <v>Phd</v>
      </c>
      <c r="C52" s="91">
        <f t="shared" si="7"/>
        <v>19.079879879879879</v>
      </c>
      <c r="D52" s="91">
        <f t="shared" si="7"/>
        <v>15.17241379310345</v>
      </c>
      <c r="E52" s="91" t="str">
        <f t="shared" si="7"/>
        <v/>
      </c>
      <c r="F52" s="91" t="str">
        <f t="shared" si="7"/>
        <v/>
      </c>
      <c r="G52" s="91" t="str">
        <f t="shared" si="7"/>
        <v/>
      </c>
      <c r="H52" s="91">
        <f t="shared" si="7"/>
        <v>3.1068312406895084</v>
      </c>
      <c r="I52" s="86">
        <f t="shared" si="8"/>
        <v>4.0864557739557732</v>
      </c>
    </row>
    <row r="53" spans="2:9" ht="15" x14ac:dyDescent="0.25">
      <c r="B53" s="73"/>
      <c r="C53" s="85" t="str">
        <f t="shared" si="7"/>
        <v/>
      </c>
      <c r="D53" s="85" t="str">
        <f t="shared" si="7"/>
        <v/>
      </c>
      <c r="E53" s="85" t="str">
        <f t="shared" si="7"/>
        <v/>
      </c>
      <c r="F53" s="85" t="str">
        <f t="shared" si="7"/>
        <v/>
      </c>
      <c r="G53" s="85" t="str">
        <f t="shared" si="7"/>
        <v/>
      </c>
      <c r="H53" s="85" t="str">
        <f t="shared" si="7"/>
        <v/>
      </c>
      <c r="I53" s="84"/>
    </row>
    <row r="54" spans="2:9" ht="15" x14ac:dyDescent="0.25">
      <c r="B54" s="77" t="str" vm="1">
        <f>CUBEMEMBER("BIDB","[Uddannelse].[IDA Gruppe Niveau1].&amp;[Ingeniører]","Ingeniører, i alt (diplom og civil)")</f>
        <v>Ingeniører, i alt (diplom og civil)</v>
      </c>
      <c r="C54" s="92">
        <f t="shared" si="7"/>
        <v>28.202320579005978</v>
      </c>
      <c r="D54" s="92">
        <f t="shared" si="7"/>
        <v>6.5476526126126116</v>
      </c>
      <c r="E54" s="92">
        <f t="shared" si="7"/>
        <v>2.1062376496419049</v>
      </c>
      <c r="F54" s="92">
        <f t="shared" si="7"/>
        <v>0.99205331966162513</v>
      </c>
      <c r="G54" s="92">
        <f t="shared" si="7"/>
        <v>0.9586453923803322</v>
      </c>
      <c r="H54" s="92">
        <f t="shared" si="7"/>
        <v>1.0331596723358485</v>
      </c>
      <c r="I54" s="87">
        <f>CUBEVALUE("BIDB",CUBEMEMBER("BIDB","[Betalingsstatus].[Betalende medlem]"),$C$2,$B$31,$B54,CUBEMEMBER("BIDB","[Alder].[Aldersgruppe 10 års interval].[All]","Hovedtotal"))*100</f>
        <v>2.2237377503125115</v>
      </c>
    </row>
    <row r="56" spans="2:9" ht="15" x14ac:dyDescent="0.25">
      <c r="B56" s="66"/>
      <c r="C56" s="140" t="s">
        <v>10</v>
      </c>
      <c r="D56" s="140"/>
      <c r="E56" s="140"/>
      <c r="F56" s="140"/>
      <c r="G56" s="140"/>
      <c r="H56" s="78"/>
    </row>
    <row r="57" spans="2:9" ht="27.6" x14ac:dyDescent="0.25">
      <c r="B57" s="75" t="str" vm="16">
        <f>CUBEMEMBER("BIDB","[Measures].[Fuldtidsledighed]","Procent ledige")</f>
        <v>Procent ledige</v>
      </c>
      <c r="C57" s="79" t="str" vm="6">
        <f>CUBEMEMBER("BIDB","[Kommune].[Region].[All].[Region Hovedstaden]")</f>
        <v>Region Hovedstaden</v>
      </c>
      <c r="D57" s="79" t="str" vm="20">
        <f>CUBEMEMBER("BIDB","[Kommune].[Region].[All].[Region Sjælland]")</f>
        <v>Region Sjælland</v>
      </c>
      <c r="E57" s="79" t="str" vm="13">
        <f>CUBEMEMBER("BIDB","[Kommune].[Region].[All].[Region Syddanmark]")</f>
        <v>Region Syddanmark</v>
      </c>
      <c r="F57" s="79" t="str" vm="15">
        <f>CUBEMEMBER("BIDB","[Kommune].[Region].[All].[Region Midtjylland]")</f>
        <v>Region Midtjylland</v>
      </c>
      <c r="G57" s="79" t="str" vm="5">
        <f>CUBEMEMBER("BIDB","[Kommune].[Region].[All].[Region Nordjylland]")</f>
        <v>Region Nordjylland</v>
      </c>
      <c r="H57" s="69" t="s">
        <v>2</v>
      </c>
    </row>
    <row r="58" spans="2:9" ht="15" x14ac:dyDescent="0.25">
      <c r="B58" s="73" t="str" vm="11">
        <f>CUBEMEMBER("BIDB","[Uddannelse].[IDA Gruppe].&amp;[Bachelorer]")</f>
        <v>Bachelorer</v>
      </c>
      <c r="C58" s="90">
        <f t="shared" ref="C58:G65" si="9">CUBEVALUE("BIDB",CUBEMEMBER("BIDB","[Betalingsstatus].[Betalende medlem]"),$C$2,$B$57,$B58,C$57)*100</f>
        <v>10.062260442260442</v>
      </c>
      <c r="D58" s="90">
        <f t="shared" si="9"/>
        <v>11.454545454545455</v>
      </c>
      <c r="E58" s="90">
        <f t="shared" si="9"/>
        <v>11.064213149319531</v>
      </c>
      <c r="F58" s="90">
        <f t="shared" si="9"/>
        <v>10.400088613203367</v>
      </c>
      <c r="G58" s="90">
        <f t="shared" si="9"/>
        <v>15.840986617685648</v>
      </c>
      <c r="H58" s="93">
        <f t="shared" ref="H58:H65" si="10">CUBEVALUE("BIDB",CUBEMEMBER("BIDB","[Betalingsstatus].[Betalende medlem]"),$C$2,$B$31,$B58,CUBEMEMBER("BIDB","[Alder].[Aldersgruppe 10 års interval].[All]","Hovedtotal"))*100</f>
        <v>10.338191132308781</v>
      </c>
    </row>
    <row r="59" spans="2:9" ht="15" x14ac:dyDescent="0.25">
      <c r="B59" s="70" t="str" vm="4">
        <f>CUBEMEMBER("BIDB","[Uddannelse].[IDA Gruppe].&amp;[Akademiingeniør]")</f>
        <v>Akademiingeniør</v>
      </c>
      <c r="C59" s="91">
        <f t="shared" si="9"/>
        <v>0.90797546012269958</v>
      </c>
      <c r="D59" s="91">
        <f t="shared" si="9"/>
        <v>0.82918311569996972</v>
      </c>
      <c r="E59" s="91">
        <f t="shared" si="9"/>
        <v>1.7507987220447285</v>
      </c>
      <c r="F59" s="91">
        <f t="shared" si="9"/>
        <v>1.3305785123966942</v>
      </c>
      <c r="G59" s="91">
        <f t="shared" si="9"/>
        <v>1.5892951775304716</v>
      </c>
      <c r="H59" s="94">
        <f t="shared" si="10"/>
        <v>1.0308318542687398</v>
      </c>
    </row>
    <row r="60" spans="2:9" ht="15" x14ac:dyDescent="0.25">
      <c r="B60" s="73" t="str" vm="10">
        <f>CUBEMEMBER("BIDB","[Uddannelse].[IDA Gruppe].&amp;[Teknikumingeniør]")</f>
        <v>Teknikumingeniør</v>
      </c>
      <c r="C60" s="90">
        <f t="shared" si="9"/>
        <v>1.2401703345099571</v>
      </c>
      <c r="D60" s="90">
        <f t="shared" si="9"/>
        <v>1.497909602659907</v>
      </c>
      <c r="E60" s="90">
        <f t="shared" si="9"/>
        <v>0.99948696552470129</v>
      </c>
      <c r="F60" s="90">
        <f t="shared" si="9"/>
        <v>1.0479631429398104</v>
      </c>
      <c r="G60" s="90">
        <f t="shared" si="9"/>
        <v>1.1191335740072204</v>
      </c>
      <c r="H60" s="93">
        <f t="shared" si="10"/>
        <v>1.1393024576364053</v>
      </c>
    </row>
    <row r="61" spans="2:9" ht="15" x14ac:dyDescent="0.25">
      <c r="B61" s="70" t="str" vm="2">
        <f>CUBEMEMBER("BIDB","[Uddannelse].[IDA Gruppe].&amp;[Diplomingeniør]")</f>
        <v>Diplomingeniør</v>
      </c>
      <c r="C61" s="91">
        <f t="shared" si="9"/>
        <v>3.1957966066355654</v>
      </c>
      <c r="D61" s="91">
        <f t="shared" si="9"/>
        <v>1.1690460359056596</v>
      </c>
      <c r="E61" s="91">
        <f t="shared" si="9"/>
        <v>2.2448903059538758</v>
      </c>
      <c r="F61" s="91">
        <f t="shared" si="9"/>
        <v>2.8198690827289909</v>
      </c>
      <c r="G61" s="91">
        <f t="shared" si="9"/>
        <v>4.2463248295023996</v>
      </c>
      <c r="H61" s="94">
        <f t="shared" si="10"/>
        <v>2.6883763752873704</v>
      </c>
    </row>
    <row r="62" spans="2:9" ht="15" x14ac:dyDescent="0.25">
      <c r="B62" s="73" t="str" vm="19">
        <f>CUBEMEMBER("BIDB","[Uddannelse].[IDA Gruppe].&amp;[Civilingeniører]")</f>
        <v>Civilingeniører</v>
      </c>
      <c r="C62" s="90">
        <f t="shared" si="9"/>
        <v>2.2722070740577349</v>
      </c>
      <c r="D62" s="90">
        <f t="shared" si="9"/>
        <v>0.78215067294014673</v>
      </c>
      <c r="E62" s="90">
        <f t="shared" si="9"/>
        <v>3.2031821628028658</v>
      </c>
      <c r="F62" s="90">
        <f t="shared" si="9"/>
        <v>3.0019201414550252</v>
      </c>
      <c r="G62" s="90">
        <f t="shared" si="9"/>
        <v>5.7399588649291378</v>
      </c>
      <c r="H62" s="93">
        <f t="shared" si="10"/>
        <v>2.7228623476180482</v>
      </c>
    </row>
    <row r="63" spans="2:9" ht="15" x14ac:dyDescent="0.25">
      <c r="B63" s="70" t="str" vm="3">
        <f>CUBEMEMBER("BIDB","[Uddannelse].[IDA Gruppe].&amp;[Cand.scient]")</f>
        <v>Cand.scient</v>
      </c>
      <c r="C63" s="91">
        <f t="shared" si="9"/>
        <v>11.130967822859713</v>
      </c>
      <c r="D63" s="91">
        <f t="shared" si="9"/>
        <v>7.6196855881669636</v>
      </c>
      <c r="E63" s="91">
        <f t="shared" si="9"/>
        <v>12.825013709361539</v>
      </c>
      <c r="F63" s="91">
        <f t="shared" si="9"/>
        <v>12.161292847725774</v>
      </c>
      <c r="G63" s="91">
        <f t="shared" si="9"/>
        <v>16.989018940200047</v>
      </c>
      <c r="H63" s="94">
        <f t="shared" si="10"/>
        <v>11.670103717162535</v>
      </c>
    </row>
    <row r="64" spans="2:9" ht="15" x14ac:dyDescent="0.25">
      <c r="B64" s="73" t="str" vm="9">
        <f>CUBEMEMBER("BIDB","[Uddannelse].[IDA Gruppe].&amp;[Cand.it]")</f>
        <v>Cand.it</v>
      </c>
      <c r="C64" s="90">
        <f t="shared" si="9"/>
        <v>4.0320536169592778</v>
      </c>
      <c r="D64" s="90">
        <f t="shared" si="9"/>
        <v>2.9743589743589745</v>
      </c>
      <c r="E64" s="90">
        <f t="shared" si="9"/>
        <v>10.134095634095635</v>
      </c>
      <c r="F64" s="90">
        <f t="shared" si="9"/>
        <v>6.6384294742503691</v>
      </c>
      <c r="G64" s="90">
        <f t="shared" si="9"/>
        <v>19.922740922740925</v>
      </c>
      <c r="H64" s="93">
        <f t="shared" si="10"/>
        <v>5.6120502455483905</v>
      </c>
    </row>
    <row r="65" spans="2:10" ht="15" x14ac:dyDescent="0.25">
      <c r="B65" s="70" t="str" vm="12">
        <f>CUBEMEMBER("BIDB","[Uddannelse].[IDA Gruppe].&amp;[Phd]")</f>
        <v>Phd</v>
      </c>
      <c r="C65" s="91">
        <f t="shared" si="9"/>
        <v>5.0778459257262245</v>
      </c>
      <c r="D65" s="91"/>
      <c r="E65" s="91">
        <f t="shared" si="9"/>
        <v>4.9629629629629637</v>
      </c>
      <c r="F65" s="91">
        <f t="shared" si="9"/>
        <v>4.1331436699857758</v>
      </c>
      <c r="G65" s="91">
        <f t="shared" si="9"/>
        <v>4.3902439024390247</v>
      </c>
      <c r="H65" s="94">
        <f t="shared" si="10"/>
        <v>4.0864557739557732</v>
      </c>
    </row>
    <row r="66" spans="2:10" x14ac:dyDescent="0.25">
      <c r="B66" s="73"/>
      <c r="C66" s="85"/>
      <c r="D66" s="85"/>
      <c r="E66" s="85"/>
      <c r="F66" s="85"/>
      <c r="G66" s="85"/>
      <c r="H66" s="84"/>
    </row>
    <row r="67" spans="2:10" x14ac:dyDescent="0.25">
      <c r="B67" s="77" t="str" vm="1">
        <f>CUBEMEMBER("BIDB","[Uddannelse].[IDA Gruppe Niveau1].&amp;[Ingeniører]","Ingeniører, i alt (diplom og civil)")</f>
        <v>Ingeniører, i alt (diplom og civil)</v>
      </c>
      <c r="C67" s="92">
        <f>CUBEVALUE("BIDB",CUBEMEMBER("BIDB","[Betalingsstatus].[Betalende medlem]"),$C$2,$B$57,$B67,C$57)*100</f>
        <v>2.1415730358827942</v>
      </c>
      <c r="D67" s="92">
        <f>CUBEVALUE("BIDB",CUBEMEMBER("BIDB","[Betalingsstatus].[Betalende medlem]"),$C$2,$B$57,$B67,D$57)*100</f>
        <v>1.0873769778181543</v>
      </c>
      <c r="E67" s="92">
        <f>CUBEVALUE("BIDB",CUBEMEMBER("BIDB","[Betalingsstatus].[Betalende medlem]"),$C$2,$B$57,$B67,E$57)*100</f>
        <v>2.0279530414541855</v>
      </c>
      <c r="F67" s="92">
        <f>CUBEVALUE("BIDB",CUBEMEMBER("BIDB","[Betalingsstatus].[Betalende medlem]"),$C$2,$B$57,$B67,F$57)*100</f>
        <v>2.2888985592838371</v>
      </c>
      <c r="G67" s="92">
        <f>CUBEVALUE("BIDB",CUBEMEMBER("BIDB","[Betalingsstatus].[Betalende medlem]"),$C$2,$B$57,$B67,G$57)*100</f>
        <v>4.7005632252289322</v>
      </c>
      <c r="H67" s="95">
        <f>CUBEVALUE("BIDB",CUBEMEMBER("BIDB","[Betalingsstatus].[Betalende medlem]"),$C$2,$B$31,$B67,CUBEMEMBER("BIDB","[Alder].[Aldersgruppe 10 års interval].[All]","Hovedtotal"))*100</f>
        <v>2.2237377503125115</v>
      </c>
    </row>
    <row r="69" spans="2:10" x14ac:dyDescent="0.25">
      <c r="B69" s="81" t="s">
        <v>13</v>
      </c>
      <c r="C69" s="82" t="s">
        <v>5</v>
      </c>
      <c r="D69" s="82" t="s">
        <v>6</v>
      </c>
      <c r="E69" s="83" t="s">
        <v>7</v>
      </c>
      <c r="G69" s="131"/>
      <c r="H69" s="132"/>
      <c r="I69" s="132"/>
      <c r="J69" s="132"/>
    </row>
    <row r="70" spans="2:10" x14ac:dyDescent="0.25">
      <c r="B70" s="70" t="str" vm="2">
        <f>CUBEMEMBER("BIDB","[Uddannelse].[IDA Gruppe].&amp;[Diplomingeniør]")</f>
        <v>Diplomingeniør</v>
      </c>
      <c r="C70" s="119">
        <f>Sommerdimittender!F1</f>
        <v>231</v>
      </c>
      <c r="D70" s="124">
        <f>Sommerdimittender!K1</f>
        <v>28.092000000000002</v>
      </c>
      <c r="E70" s="125">
        <f>D70/C70*100</f>
        <v>12.161038961038964</v>
      </c>
      <c r="G70" s="130"/>
      <c r="H70" s="133"/>
      <c r="I70" s="96"/>
      <c r="J70" s="96"/>
    </row>
    <row r="71" spans="2:10" x14ac:dyDescent="0.25">
      <c r="B71" s="73" t="str" vm="19">
        <f>CUBEMEMBER("BIDB","[Uddannelse].[IDA Gruppe].&amp;[Civilingeniører]")</f>
        <v>Civilingeniører</v>
      </c>
      <c r="C71" s="118">
        <f>Sommerdimittender!E1</f>
        <v>674</v>
      </c>
      <c r="D71" s="126">
        <f>Sommerdimittender!J1</f>
        <v>52.22421621621622</v>
      </c>
      <c r="E71" s="127">
        <f t="shared" ref="E71:E75" si="11">D71/C71*100</f>
        <v>7.7484000320795579</v>
      </c>
      <c r="G71" s="130"/>
      <c r="H71" s="133"/>
      <c r="I71" s="96"/>
      <c r="J71" s="96"/>
    </row>
    <row r="72" spans="2:10" x14ac:dyDescent="0.25">
      <c r="B72" s="80" t="str" vm="3">
        <f>CUBEMEMBER("BIDB","[Uddannelse].[IDA Gruppe].&amp;[Cand.scient]")</f>
        <v>Cand.scient</v>
      </c>
      <c r="C72" s="119">
        <f>Sommerdimittender!D1</f>
        <v>435</v>
      </c>
      <c r="D72" s="124">
        <f>Sommerdimittender!I1</f>
        <v>72.573081081081071</v>
      </c>
      <c r="E72" s="125">
        <f t="shared" si="11"/>
        <v>16.683466915191051</v>
      </c>
      <c r="G72" s="130"/>
      <c r="H72" s="133"/>
      <c r="I72" s="96"/>
      <c r="J72" s="96"/>
    </row>
    <row r="73" spans="2:10" x14ac:dyDescent="0.25">
      <c r="B73" s="73" t="str" vm="9">
        <f>CUBEMEMBER("BIDB","[Uddannelse].[IDA Gruppe].&amp;[Cand.it]")</f>
        <v>Cand.it</v>
      </c>
      <c r="C73" s="118">
        <f>Sommerdimittender!C1</f>
        <v>50</v>
      </c>
      <c r="D73" s="126">
        <f>Sommerdimittender!H1</f>
        <v>8.52</v>
      </c>
      <c r="E73" s="127">
        <f t="shared" si="11"/>
        <v>17.04</v>
      </c>
      <c r="G73" s="130"/>
      <c r="H73" s="133"/>
      <c r="I73" s="96"/>
      <c r="J73" s="96"/>
    </row>
    <row r="74" spans="2:10" x14ac:dyDescent="0.25">
      <c r="B74" s="73"/>
      <c r="C74" s="74"/>
      <c r="D74" s="126"/>
      <c r="E74" s="127"/>
      <c r="G74" s="130"/>
      <c r="H74" s="134"/>
      <c r="I74" s="96"/>
      <c r="J74" s="96"/>
    </row>
    <row r="75" spans="2:10" x14ac:dyDescent="0.25">
      <c r="B75" s="71" t="str" vm="1">
        <f>CUBEMEMBER("BIDB","[Uddannelse].[IDA Gruppe Niveau1].&amp;[Ingeniører]","Ingeniører, i alt (diplom og civil)")</f>
        <v>Ingeniører, i alt (diplom og civil)</v>
      </c>
      <c r="C75" s="72">
        <f>Sommerdimittender!G1</f>
        <v>905</v>
      </c>
      <c r="D75" s="128">
        <f>Sommerdimittender!L1</f>
        <v>80.316216216216205</v>
      </c>
      <c r="E75" s="129">
        <f t="shared" si="11"/>
        <v>8.8747200238912924</v>
      </c>
      <c r="G75" s="135"/>
      <c r="H75" s="136"/>
      <c r="I75" s="137"/>
      <c r="J75" s="137"/>
    </row>
  </sheetData>
  <mergeCells count="5">
    <mergeCell ref="C43:H43"/>
    <mergeCell ref="C56:G56"/>
    <mergeCell ref="C30:G30"/>
    <mergeCell ref="C4:E4"/>
    <mergeCell ref="C17:E17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2"/>
  <sheetViews>
    <sheetView workbookViewId="0"/>
  </sheetViews>
  <sheetFormatPr defaultRowHeight="14.4" x14ac:dyDescent="0.3"/>
  <cols>
    <col min="1" max="1" width="20.44140625" customWidth="1"/>
    <col min="2" max="2" width="17.5546875" bestFit="1" customWidth="1"/>
    <col min="3" max="12" width="15.44140625" bestFit="1" customWidth="1"/>
    <col min="13" max="13" width="10.88671875" customWidth="1"/>
    <col min="14" max="22" width="18.88671875" bestFit="1" customWidth="1"/>
    <col min="23" max="23" width="23.88671875" bestFit="1" customWidth="1"/>
    <col min="24" max="24" width="21.44140625" bestFit="1" customWidth="1"/>
  </cols>
  <sheetData>
    <row r="1" spans="1:12" s="122" customFormat="1" x14ac:dyDescent="0.3">
      <c r="A1" s="122" t="s">
        <v>11</v>
      </c>
      <c r="C1" s="122">
        <f t="shared" ref="C1:L1" si="0">SUMIF($B$4:$B$1291,1,C4:C1291)</f>
        <v>50</v>
      </c>
      <c r="D1" s="122">
        <f t="shared" si="0"/>
        <v>435</v>
      </c>
      <c r="E1" s="122">
        <f t="shared" si="0"/>
        <v>674</v>
      </c>
      <c r="F1" s="122">
        <f t="shared" si="0"/>
        <v>231</v>
      </c>
      <c r="G1" s="122">
        <f t="shared" si="0"/>
        <v>905</v>
      </c>
      <c r="H1" s="122">
        <f t="shared" si="0"/>
        <v>8.52</v>
      </c>
      <c r="I1" s="122">
        <f t="shared" si="0"/>
        <v>72.573081081081071</v>
      </c>
      <c r="J1" s="122">
        <f t="shared" si="0"/>
        <v>52.22421621621622</v>
      </c>
      <c r="K1" s="122">
        <f t="shared" si="0"/>
        <v>28.092000000000002</v>
      </c>
      <c r="L1" s="122">
        <f t="shared" si="0"/>
        <v>80.316216216216205</v>
      </c>
    </row>
    <row r="2" spans="1:12" ht="15" x14ac:dyDescent="0.25">
      <c r="C2" t="str" vm="24">
        <f>CUBEMEMBER("BIDB","[Measures].[Ledighedsmulige]","Antal forsikrede")</f>
        <v>Antal forsikrede</v>
      </c>
      <c r="D2" t="str" vm="24">
        <f>CUBEMEMBER("BIDB","[Measures].[Ledighedsmulige]","Antal forsikrede")</f>
        <v>Antal forsikrede</v>
      </c>
      <c r="E2" t="str" vm="24">
        <f>CUBEMEMBER("BIDB","[Measures].[Ledighedsmulige]","Antal forsikrede")</f>
        <v>Antal forsikrede</v>
      </c>
      <c r="F2" t="str" vm="24">
        <f>CUBEMEMBER("BIDB","[Measures].[Ledighedsmulige]","Antal forsikrede")</f>
        <v>Antal forsikrede</v>
      </c>
      <c r="G2" t="str" vm="24">
        <f>CUBEMEMBER("BIDB","[Measures].[Ledighedsmulige]","Antal forsikrede")</f>
        <v>Antal forsikrede</v>
      </c>
      <c r="H2" t="str" vm="29">
        <f>CUBEMEMBER("BIDB","[Measures].[Fuldtidsledige]","Brutto-ledige")</f>
        <v>Brutto-ledige</v>
      </c>
      <c r="I2" t="str" vm="29">
        <f>CUBEMEMBER("BIDB","[Measures].[Fuldtidsledige]","Brutto-ledige")</f>
        <v>Brutto-ledige</v>
      </c>
      <c r="J2" t="str" vm="29">
        <f>CUBEMEMBER("BIDB","[Measures].[Fuldtidsledige]","Brutto-ledige")</f>
        <v>Brutto-ledige</v>
      </c>
      <c r="K2" t="str" vm="29">
        <f>CUBEMEMBER("BIDB","[Measures].[Fuldtidsledige]","Brutto-ledige")</f>
        <v>Brutto-ledige</v>
      </c>
      <c r="L2" t="str" vm="29">
        <f>CUBEMEMBER("BIDB","[Measures].[Fuldtidsledige]","Brutto-ledige")</f>
        <v>Brutto-ledige</v>
      </c>
    </row>
    <row r="3" spans="1:12" ht="15" x14ac:dyDescent="0.25">
      <c r="A3" t="s">
        <v>12</v>
      </c>
      <c r="B3" t="str" vm="1333">
        <f>CUBEMEMBER("BIDB","[Measures].[Sommerdimittender]","Sommerdimittend")</f>
        <v>Sommerdimittend</v>
      </c>
      <c r="C3" t="str" vm="9">
        <f>CUBEMEMBER("BIDB","[Uddannelse].[IDA Gruppe].&amp;[Cand.it]")</f>
        <v>Cand.it</v>
      </c>
      <c r="D3" t="str" vm="3">
        <f>CUBEMEMBER("BIDB","[Uddannelse].[IDA Gruppe].&amp;[Cand.scient]")</f>
        <v>Cand.scient</v>
      </c>
      <c r="E3" t="str" vm="19">
        <f>CUBEMEMBER("BIDB","[Uddannelse].[IDA Gruppe].&amp;[Civilingeniører]")</f>
        <v>Civilingeniører</v>
      </c>
      <c r="F3" t="str" vm="2">
        <f>CUBEMEMBER("BIDB","[Uddannelse].[IDA Gruppe].&amp;[Diplomingeniør]")</f>
        <v>Diplomingeniør</v>
      </c>
      <c r="G3" t="str" vm="1">
        <f>CUBEMEMBER("BIDB","[Uddannelse].[IDA Gruppe Niveau1].&amp;[Ingeniører]")</f>
        <v>Ingeniører</v>
      </c>
      <c r="H3" t="str" vm="9">
        <f>CUBEMEMBER("BIDB","[Uddannelse].[IDA Gruppe].&amp;[Cand.it]")</f>
        <v>Cand.it</v>
      </c>
      <c r="I3" t="str" vm="3">
        <f>CUBEMEMBER("BIDB","[Uddannelse].[IDA Gruppe].&amp;[Cand.scient]")</f>
        <v>Cand.scient</v>
      </c>
      <c r="J3" t="str" vm="19">
        <f>CUBEMEMBER("BIDB","[Uddannelse].[IDA Gruppe].&amp;[Civilingeniører]")</f>
        <v>Civilingeniører</v>
      </c>
      <c r="K3" t="str" vm="2">
        <f>CUBEMEMBER("BIDB","[Uddannelse].[IDA Gruppe].&amp;[Diplomingeniør]")</f>
        <v>Diplomingeniør</v>
      </c>
      <c r="L3" t="str" vm="1">
        <f>CUBEMEMBER("BIDB","[Uddannelse].[IDA Gruppe Niveau1].&amp;[Ingeniører]")</f>
        <v>Ingeniører</v>
      </c>
    </row>
    <row r="4" spans="1:12" ht="15" x14ac:dyDescent="0.25">
      <c r="A4" s="123" t="str" vm="1332">
        <f>CUBEMEMBER("BIDB","[Dimittenddato].[Dimittenddato].&amp;[2007-06-01T00:00:00]")</f>
        <v>01-06-2007</v>
      </c>
      <c r="B4" t="str" vm="15547">
        <f>IFERROR(CUBEVALUE("BIDB",$A4,B$3,'Præsentationstabeller 1'!$C$2),0)</f>
        <v/>
      </c>
      <c r="C4" vm="2583">
        <f>IFERROR(CUBEVALUE("BIDB",$A4,C$3,C$2,'Præsentationstabeller 1'!$C$2),0)</f>
        <v>2</v>
      </c>
      <c r="D4" vm="10111">
        <f>IFERROR(CUBEVALUE("BIDB",$A4,D$3,D$2,'Præsentationstabeller 1'!$C$2),0)</f>
        <v>4</v>
      </c>
      <c r="E4" vm="16452">
        <f>IFERROR(CUBEVALUE("BIDB",$A4,E$3,E$2,'Præsentationstabeller 1'!$C$2),0)</f>
        <v>10</v>
      </c>
      <c r="F4" vm="1680">
        <f>IFERROR(CUBEVALUE("BIDB",$A4,F$3,F$2,'Præsentationstabeller 1'!$C$2),0)</f>
        <v>6</v>
      </c>
      <c r="G4" vm="11275">
        <f>IFERROR(CUBEVALUE("BIDB",$A4,G$3,G$2,'Præsentationstabeller 1'!$C$2),0)</f>
        <v>16</v>
      </c>
      <c r="H4" t="str" vm="8512">
        <f>IFERROR(CUBEVALUE("BIDB",$A4,H$3,H$2,'Præsentationstabeller 1'!$C$2),0)</f>
        <v/>
      </c>
      <c r="I4" t="str" vm="16890">
        <f>IFERROR(CUBEVALUE("BIDB",$A4,I$3,I$2,'Præsentationstabeller 1'!$C$2),0)</f>
        <v/>
      </c>
      <c r="J4" t="str" vm="12520">
        <f>IFERROR(CUBEVALUE("BIDB",$A4,J$3,J$2,'Præsentationstabeller 1'!$C$2),0)</f>
        <v/>
      </c>
      <c r="K4" t="str" vm="11464">
        <f>IFERROR(CUBEVALUE("BIDB",$A4,K$3,K$2,'Præsentationstabeller 1'!$C$2),0)</f>
        <v/>
      </c>
      <c r="L4" t="str" vm="2153">
        <f>IFERROR(CUBEVALUE("BIDB",$A4,L$3,L$2,'Præsentationstabeller 1'!$C$2),0)</f>
        <v/>
      </c>
    </row>
    <row r="5" spans="1:12" ht="15" x14ac:dyDescent="0.25">
      <c r="A5" s="123" t="str" vm="1331">
        <f>CUBEMEMBER("BIDB","[Dimittenddato].[Dimittenddato].&amp;[2007-06-02T00:00:00]")</f>
        <v>02-06-2007</v>
      </c>
      <c r="B5" t="str" vm="15364">
        <f>IFERROR(CUBEVALUE("BIDB",$A5,B$3,'Præsentationstabeller 1'!$C$2),0)</f>
        <v/>
      </c>
      <c r="C5" t="str" vm="1672">
        <f>IFERROR(CUBEVALUE("BIDB",$A5,C$3,C$2,'Præsentationstabeller 1'!$C$2),0)</f>
        <v/>
      </c>
      <c r="D5" t="str" vm="14224">
        <f>IFERROR(CUBEVALUE("BIDB",$A5,D$3,D$2,'Præsentationstabeller 1'!$C$2),0)</f>
        <v/>
      </c>
      <c r="E5" t="str" vm="16157">
        <f>IFERROR(CUBEVALUE("BIDB",$A5,E$3,E$2,'Præsentationstabeller 1'!$C$2),0)</f>
        <v/>
      </c>
      <c r="F5" t="str" vm="4433">
        <f>IFERROR(CUBEVALUE("BIDB",$A5,F$3,F$2,'Præsentationstabeller 1'!$C$2),0)</f>
        <v/>
      </c>
      <c r="G5" t="str" vm="1852">
        <f>IFERROR(CUBEVALUE("BIDB",$A5,G$3,G$2,'Præsentationstabeller 1'!$C$2),0)</f>
        <v/>
      </c>
      <c r="H5" t="str" vm="1355">
        <f>IFERROR(CUBEVALUE("BIDB",$A5,H$3,H$2,'Præsentationstabeller 1'!$C$2),0)</f>
        <v/>
      </c>
      <c r="I5" t="str" vm="7888">
        <f>IFERROR(CUBEVALUE("BIDB",$A5,I$3,I$2,'Præsentationstabeller 1'!$C$2),0)</f>
        <v/>
      </c>
      <c r="J5" t="str" vm="16988">
        <f>IFERROR(CUBEVALUE("BIDB",$A5,J$3,J$2,'Præsentationstabeller 1'!$C$2),0)</f>
        <v/>
      </c>
      <c r="K5" t="str" vm="12132">
        <f>IFERROR(CUBEVALUE("BIDB",$A5,K$3,K$2,'Præsentationstabeller 1'!$C$2),0)</f>
        <v/>
      </c>
      <c r="L5" t="str" vm="9896">
        <f>IFERROR(CUBEVALUE("BIDB",$A5,L$3,L$2,'Præsentationstabeller 1'!$C$2),0)</f>
        <v/>
      </c>
    </row>
    <row r="6" spans="1:12" ht="15" x14ac:dyDescent="0.25">
      <c r="A6" s="123" t="str" vm="1330">
        <f>CUBEMEMBER("BIDB","[Dimittenddato].[Dimittenddato].&amp;[2007-06-03T00:00:00]")</f>
        <v>03-06-2007</v>
      </c>
      <c r="B6" t="str" vm="13374">
        <f>IFERROR(CUBEVALUE("BIDB",$A6,B$3,'Præsentationstabeller 1'!$C$2),0)</f>
        <v/>
      </c>
      <c r="C6" t="str" vm="1825">
        <f>IFERROR(CUBEVALUE("BIDB",$A6,C$3,C$2,'Præsentationstabeller 1'!$C$2),0)</f>
        <v/>
      </c>
      <c r="D6" t="str" vm="15473">
        <f>IFERROR(CUBEVALUE("BIDB",$A6,D$3,D$2,'Præsentationstabeller 1'!$C$2),0)</f>
        <v/>
      </c>
      <c r="E6" t="str" vm="10352">
        <f>IFERROR(CUBEVALUE("BIDB",$A6,E$3,E$2,'Præsentationstabeller 1'!$C$2),0)</f>
        <v/>
      </c>
      <c r="F6" t="str" vm="14752">
        <f>IFERROR(CUBEVALUE("BIDB",$A6,F$3,F$2,'Præsentationstabeller 1'!$C$2),0)</f>
        <v/>
      </c>
      <c r="G6" t="str" vm="16465">
        <f>IFERROR(CUBEVALUE("BIDB",$A6,G$3,G$2,'Præsentationstabeller 1'!$C$2),0)</f>
        <v/>
      </c>
      <c r="H6" t="str" vm="10470">
        <f>IFERROR(CUBEVALUE("BIDB",$A6,H$3,H$2,'Præsentationstabeller 1'!$C$2),0)</f>
        <v/>
      </c>
      <c r="I6" t="str" vm="9254">
        <f>IFERROR(CUBEVALUE("BIDB",$A6,I$3,I$2,'Præsentationstabeller 1'!$C$2),0)</f>
        <v/>
      </c>
      <c r="J6" t="str" vm="15205">
        <f>IFERROR(CUBEVALUE("BIDB",$A6,J$3,J$2,'Præsentationstabeller 1'!$C$2),0)</f>
        <v/>
      </c>
      <c r="K6" t="str" vm="1404">
        <f>IFERROR(CUBEVALUE("BIDB",$A6,K$3,K$2,'Præsentationstabeller 1'!$C$2),0)</f>
        <v/>
      </c>
      <c r="L6" t="str" vm="1491">
        <f>IFERROR(CUBEVALUE("BIDB",$A6,L$3,L$2,'Præsentationstabeller 1'!$C$2),0)</f>
        <v/>
      </c>
    </row>
    <row r="7" spans="1:12" ht="15" x14ac:dyDescent="0.25">
      <c r="A7" s="123" t="str" vm="1329">
        <f>CUBEMEMBER("BIDB","[Dimittenddato].[Dimittenddato].&amp;[2007-06-04T00:00:00]")</f>
        <v>04-06-2007</v>
      </c>
      <c r="B7" t="str" vm="16127">
        <f>IFERROR(CUBEVALUE("BIDB",$A7,B$3,'Præsentationstabeller 1'!$C$2),0)</f>
        <v/>
      </c>
      <c r="C7" t="str" vm="1524">
        <f>IFERROR(CUBEVALUE("BIDB",$A7,C$3,C$2,'Præsentationstabeller 1'!$C$2),0)</f>
        <v/>
      </c>
      <c r="D7" t="str" vm="14779">
        <f>IFERROR(CUBEVALUE("BIDB",$A7,D$3,D$2,'Præsentationstabeller 1'!$C$2),0)</f>
        <v/>
      </c>
      <c r="E7" vm="11396">
        <f>IFERROR(CUBEVALUE("BIDB",$A7,E$3,E$2,'Præsentationstabeller 1'!$C$2),0)</f>
        <v>2</v>
      </c>
      <c r="F7" t="str" vm="2374">
        <f>IFERROR(CUBEVALUE("BIDB",$A7,F$3,F$2,'Præsentationstabeller 1'!$C$2),0)</f>
        <v/>
      </c>
      <c r="G7" vm="14146">
        <f>IFERROR(CUBEVALUE("BIDB",$A7,G$3,G$2,'Præsentationstabeller 1'!$C$2),0)</f>
        <v>2</v>
      </c>
      <c r="H7" t="str" vm="2624">
        <f>IFERROR(CUBEVALUE("BIDB",$A7,H$3,H$2,'Præsentationstabeller 1'!$C$2),0)</f>
        <v/>
      </c>
      <c r="I7" t="str" vm="7856">
        <f>IFERROR(CUBEVALUE("BIDB",$A7,I$3,I$2,'Præsentationstabeller 1'!$C$2),0)</f>
        <v/>
      </c>
      <c r="J7" t="str" vm="16147">
        <f>IFERROR(CUBEVALUE("BIDB",$A7,J$3,J$2,'Præsentationstabeller 1'!$C$2),0)</f>
        <v/>
      </c>
      <c r="K7" t="str" vm="1907">
        <f>IFERROR(CUBEVALUE("BIDB",$A7,K$3,K$2,'Præsentationstabeller 1'!$C$2),0)</f>
        <v/>
      </c>
      <c r="L7" t="str" vm="8454">
        <f>IFERROR(CUBEVALUE("BIDB",$A7,L$3,L$2,'Præsentationstabeller 1'!$C$2),0)</f>
        <v/>
      </c>
    </row>
    <row r="8" spans="1:12" ht="15" x14ac:dyDescent="0.25">
      <c r="A8" s="123" t="str" vm="1328">
        <f>CUBEMEMBER("BIDB","[Dimittenddato].[Dimittenddato].&amp;[2007-06-05T00:00:00]")</f>
        <v>05-06-2007</v>
      </c>
      <c r="B8" t="str" vm="3138">
        <f>IFERROR(CUBEVALUE("BIDB",$A8,B$3,'Præsentationstabeller 1'!$C$2),0)</f>
        <v/>
      </c>
      <c r="C8" t="str" vm="9937">
        <f>IFERROR(CUBEVALUE("BIDB",$A8,C$3,C$2,'Præsentationstabeller 1'!$C$2),0)</f>
        <v/>
      </c>
      <c r="D8" vm="15081">
        <f>IFERROR(CUBEVALUE("BIDB",$A8,D$3,D$2,'Præsentationstabeller 1'!$C$2),0)</f>
        <v>1</v>
      </c>
      <c r="E8" vm="14038">
        <f>IFERROR(CUBEVALUE("BIDB",$A8,E$3,E$2,'Præsentationstabeller 1'!$C$2),0)</f>
        <v>2</v>
      </c>
      <c r="F8" t="str" vm="2148">
        <f>IFERROR(CUBEVALUE("BIDB",$A8,F$3,F$2,'Præsentationstabeller 1'!$C$2),0)</f>
        <v/>
      </c>
      <c r="G8" vm="1800">
        <f>IFERROR(CUBEVALUE("BIDB",$A8,G$3,G$2,'Præsentationstabeller 1'!$C$2),0)</f>
        <v>2</v>
      </c>
      <c r="H8" t="str" vm="1946">
        <f>IFERROR(CUBEVALUE("BIDB",$A8,H$3,H$2,'Præsentationstabeller 1'!$C$2),0)</f>
        <v/>
      </c>
      <c r="I8" t="str" vm="13854">
        <f>IFERROR(CUBEVALUE("BIDB",$A8,I$3,I$2,'Præsentationstabeller 1'!$C$2),0)</f>
        <v/>
      </c>
      <c r="J8" t="str" vm="16525">
        <f>IFERROR(CUBEVALUE("BIDB",$A8,J$3,J$2,'Præsentationstabeller 1'!$C$2),0)</f>
        <v/>
      </c>
      <c r="K8" t="str" vm="17022">
        <f>IFERROR(CUBEVALUE("BIDB",$A8,K$3,K$2,'Præsentationstabeller 1'!$C$2),0)</f>
        <v/>
      </c>
      <c r="L8" t="str" vm="9072">
        <f>IFERROR(CUBEVALUE("BIDB",$A8,L$3,L$2,'Præsentationstabeller 1'!$C$2),0)</f>
        <v/>
      </c>
    </row>
    <row r="9" spans="1:12" ht="15" x14ac:dyDescent="0.25">
      <c r="A9" s="123" t="str" vm="1327">
        <f>CUBEMEMBER("BIDB","[Dimittenddato].[Dimittenddato].&amp;[2007-06-06T00:00:00]")</f>
        <v>06-06-2007</v>
      </c>
      <c r="B9" t="str" vm="8725">
        <f>IFERROR(CUBEVALUE("BIDB",$A9,B$3,'Præsentationstabeller 1'!$C$2),0)</f>
        <v/>
      </c>
      <c r="C9" t="str" vm="1723">
        <f>IFERROR(CUBEVALUE("BIDB",$A9,C$3,C$2,'Præsentationstabeller 1'!$C$2),0)</f>
        <v/>
      </c>
      <c r="D9" vm="16357">
        <f>IFERROR(CUBEVALUE("BIDB",$A9,D$3,D$2,'Præsentationstabeller 1'!$C$2),0)</f>
        <v>1</v>
      </c>
      <c r="E9" vm="12034">
        <f>IFERROR(CUBEVALUE("BIDB",$A9,E$3,E$2,'Præsentationstabeller 1'!$C$2),0)</f>
        <v>1</v>
      </c>
      <c r="F9" vm="2486">
        <f>IFERROR(CUBEVALUE("BIDB",$A9,F$3,F$2,'Præsentationstabeller 1'!$C$2),0)</f>
        <v>3</v>
      </c>
      <c r="G9" vm="2552">
        <f>IFERROR(CUBEVALUE("BIDB",$A9,G$3,G$2,'Præsentationstabeller 1'!$C$2),0)</f>
        <v>4</v>
      </c>
      <c r="H9" t="str" vm="11183">
        <f>IFERROR(CUBEVALUE("BIDB",$A9,H$3,H$2,'Præsentationstabeller 1'!$C$2),0)</f>
        <v/>
      </c>
      <c r="I9" t="str" vm="9848">
        <f>IFERROR(CUBEVALUE("BIDB",$A9,I$3,I$2,'Præsentationstabeller 1'!$C$2),0)</f>
        <v/>
      </c>
      <c r="J9" t="str" vm="16586">
        <f>IFERROR(CUBEVALUE("BIDB",$A9,J$3,J$2,'Præsentationstabeller 1'!$C$2),0)</f>
        <v/>
      </c>
      <c r="K9" t="str" vm="13632">
        <f>IFERROR(CUBEVALUE("BIDB",$A9,K$3,K$2,'Præsentationstabeller 1'!$C$2),0)</f>
        <v/>
      </c>
      <c r="L9" t="str" vm="2149">
        <f>IFERROR(CUBEVALUE("BIDB",$A9,L$3,L$2,'Præsentationstabeller 1'!$C$2),0)</f>
        <v/>
      </c>
    </row>
    <row r="10" spans="1:12" ht="15" x14ac:dyDescent="0.25">
      <c r="A10" s="123" t="str" vm="1326">
        <f>CUBEMEMBER("BIDB","[Dimittenddato].[Dimittenddato].&amp;[2007-06-07T00:00:00]")</f>
        <v>07-06-2007</v>
      </c>
      <c r="B10" t="str" vm="2401">
        <f>IFERROR(CUBEVALUE("BIDB",$A10,B$3,'Præsentationstabeller 1'!$C$2),0)</f>
        <v/>
      </c>
      <c r="C10" t="str" vm="2004">
        <f>IFERROR(CUBEVALUE("BIDB",$A10,C$3,C$2,'Præsentationstabeller 1'!$C$2),0)</f>
        <v/>
      </c>
      <c r="D10" vm="16546">
        <f>IFERROR(CUBEVALUE("BIDB",$A10,D$3,D$2,'Præsentationstabeller 1'!$C$2),0)</f>
        <v>1</v>
      </c>
      <c r="E10" vm="8969">
        <f>IFERROR(CUBEVALUE("BIDB",$A10,E$3,E$2,'Præsentationstabeller 1'!$C$2),0)</f>
        <v>2</v>
      </c>
      <c r="F10" vm="2175">
        <f>IFERROR(CUBEVALUE("BIDB",$A10,F$3,F$2,'Præsentationstabeller 1'!$C$2),0)</f>
        <v>1</v>
      </c>
      <c r="G10" vm="2719">
        <f>IFERROR(CUBEVALUE("BIDB",$A10,G$3,G$2,'Præsentationstabeller 1'!$C$2),0)</f>
        <v>3</v>
      </c>
      <c r="H10" t="str" vm="1603">
        <f>IFERROR(CUBEVALUE("BIDB",$A10,H$3,H$2,'Præsentationstabeller 1'!$C$2),0)</f>
        <v/>
      </c>
      <c r="I10" t="str" vm="12334">
        <f>IFERROR(CUBEVALUE("BIDB",$A10,I$3,I$2,'Præsentationstabeller 1'!$C$2),0)</f>
        <v/>
      </c>
      <c r="J10" t="str" vm="14675">
        <f>IFERROR(CUBEVALUE("BIDB",$A10,J$3,J$2,'Præsentationstabeller 1'!$C$2),0)</f>
        <v/>
      </c>
      <c r="K10" t="str" vm="13956">
        <f>IFERROR(CUBEVALUE("BIDB",$A10,K$3,K$2,'Præsentationstabeller 1'!$C$2),0)</f>
        <v/>
      </c>
      <c r="L10" t="str" vm="9873">
        <f>IFERROR(CUBEVALUE("BIDB",$A10,L$3,L$2,'Præsentationstabeller 1'!$C$2),0)</f>
        <v/>
      </c>
    </row>
    <row r="11" spans="1:12" ht="15" x14ac:dyDescent="0.25">
      <c r="A11" s="123" t="str" vm="1325">
        <f>CUBEMEMBER("BIDB","[Dimittenddato].[Dimittenddato].&amp;[2007-06-08T00:00:00]")</f>
        <v>08-06-2007</v>
      </c>
      <c r="B11" t="str" vm="2233">
        <f>IFERROR(CUBEVALUE("BIDB",$A11,B$3,'Præsentationstabeller 1'!$C$2),0)</f>
        <v/>
      </c>
      <c r="C11" t="str" vm="1694">
        <f>IFERROR(CUBEVALUE("BIDB",$A11,C$3,C$2,'Præsentationstabeller 1'!$C$2),0)</f>
        <v/>
      </c>
      <c r="D11" vm="16648">
        <f>IFERROR(CUBEVALUE("BIDB",$A11,D$3,D$2,'Præsentationstabeller 1'!$C$2),0)</f>
        <v>3</v>
      </c>
      <c r="E11" vm="15878">
        <f>IFERROR(CUBEVALUE("BIDB",$A11,E$3,E$2,'Præsentationstabeller 1'!$C$2),0)</f>
        <v>3</v>
      </c>
      <c r="F11" t="str" vm="3072">
        <f>IFERROR(CUBEVALUE("BIDB",$A11,F$3,F$2,'Præsentationstabeller 1'!$C$2),0)</f>
        <v/>
      </c>
      <c r="G11" vm="16852">
        <f>IFERROR(CUBEVALUE("BIDB",$A11,G$3,G$2,'Præsentationstabeller 1'!$C$2),0)</f>
        <v>3</v>
      </c>
      <c r="H11" t="str" vm="1470">
        <f>IFERROR(CUBEVALUE("BIDB",$A11,H$3,H$2,'Præsentationstabeller 1'!$C$2),0)</f>
        <v/>
      </c>
      <c r="I11" t="str" vm="10655">
        <f>IFERROR(CUBEVALUE("BIDB",$A11,I$3,I$2,'Præsentationstabeller 1'!$C$2),0)</f>
        <v/>
      </c>
      <c r="J11" t="str" vm="14649">
        <f>IFERROR(CUBEVALUE("BIDB",$A11,J$3,J$2,'Præsentationstabeller 1'!$C$2),0)</f>
        <v/>
      </c>
      <c r="K11" t="str" vm="11468">
        <f>IFERROR(CUBEVALUE("BIDB",$A11,K$3,K$2,'Præsentationstabeller 1'!$C$2),0)</f>
        <v/>
      </c>
      <c r="L11" t="str" vm="17095">
        <f>IFERROR(CUBEVALUE("BIDB",$A11,L$3,L$2,'Præsentationstabeller 1'!$C$2),0)</f>
        <v/>
      </c>
    </row>
    <row r="12" spans="1:12" ht="15" x14ac:dyDescent="0.25">
      <c r="A12" s="123" t="str" vm="1324">
        <f>CUBEMEMBER("BIDB","[Dimittenddato].[Dimittenddato].&amp;[2007-06-09T00:00:00]")</f>
        <v>09-06-2007</v>
      </c>
      <c r="B12" t="str" vm="2152">
        <f>IFERROR(CUBEVALUE("BIDB",$A12,B$3,'Præsentationstabeller 1'!$C$2),0)</f>
        <v/>
      </c>
      <c r="C12" t="str" vm="1386">
        <f>IFERROR(CUBEVALUE("BIDB",$A12,C$3,C$2,'Præsentationstabeller 1'!$C$2),0)</f>
        <v/>
      </c>
      <c r="D12" t="str" vm="10682">
        <f>IFERROR(CUBEVALUE("BIDB",$A12,D$3,D$2,'Præsentationstabeller 1'!$C$2),0)</f>
        <v/>
      </c>
      <c r="E12" t="str" vm="12016">
        <f>IFERROR(CUBEVALUE("BIDB",$A12,E$3,E$2,'Præsentationstabeller 1'!$C$2),0)</f>
        <v/>
      </c>
      <c r="F12" t="str" vm="2036">
        <f>IFERROR(CUBEVALUE("BIDB",$A12,F$3,F$2,'Præsentationstabeller 1'!$C$2),0)</f>
        <v/>
      </c>
      <c r="G12" t="str" vm="3904">
        <f>IFERROR(CUBEVALUE("BIDB",$A12,G$3,G$2,'Præsentationstabeller 1'!$C$2),0)</f>
        <v/>
      </c>
      <c r="H12" t="str" vm="12380">
        <f>IFERROR(CUBEVALUE("BIDB",$A12,H$3,H$2,'Præsentationstabeller 1'!$C$2),0)</f>
        <v/>
      </c>
      <c r="I12" t="str" vm="11027">
        <f>IFERROR(CUBEVALUE("BIDB",$A12,I$3,I$2,'Præsentationstabeller 1'!$C$2),0)</f>
        <v/>
      </c>
      <c r="J12" t="str" vm="16548">
        <f>IFERROR(CUBEVALUE("BIDB",$A12,J$3,J$2,'Præsentationstabeller 1'!$C$2),0)</f>
        <v/>
      </c>
      <c r="K12" t="str" vm="1813">
        <f>IFERROR(CUBEVALUE("BIDB",$A12,K$3,K$2,'Præsentationstabeller 1'!$C$2),0)</f>
        <v/>
      </c>
      <c r="L12" t="str" vm="14815">
        <f>IFERROR(CUBEVALUE("BIDB",$A12,L$3,L$2,'Præsentationstabeller 1'!$C$2),0)</f>
        <v/>
      </c>
    </row>
    <row r="13" spans="1:12" ht="15" x14ac:dyDescent="0.25">
      <c r="A13" s="123" t="str" vm="1323">
        <f>CUBEMEMBER("BIDB","[Dimittenddato].[Dimittenddato].&amp;[2007-06-10T00:00:00]")</f>
        <v>10-06-2007</v>
      </c>
      <c r="B13" t="str" vm="4086">
        <f>IFERROR(CUBEVALUE("BIDB",$A13,B$3,'Præsentationstabeller 1'!$C$2),0)</f>
        <v/>
      </c>
      <c r="C13" t="str" vm="1641">
        <f>IFERROR(CUBEVALUE("BIDB",$A13,C$3,C$2,'Præsentationstabeller 1'!$C$2),0)</f>
        <v/>
      </c>
      <c r="D13" vm="16159">
        <f>IFERROR(CUBEVALUE("BIDB",$A13,D$3,D$2,'Præsentationstabeller 1'!$C$2),0)</f>
        <v>1</v>
      </c>
      <c r="E13" vm="9880">
        <f>IFERROR(CUBEVALUE("BIDB",$A13,E$3,E$2,'Præsentationstabeller 1'!$C$2),0)</f>
        <v>1</v>
      </c>
      <c r="F13" t="str" vm="2225">
        <f>IFERROR(CUBEVALUE("BIDB",$A13,F$3,F$2,'Præsentationstabeller 1'!$C$2),0)</f>
        <v/>
      </c>
      <c r="G13" vm="1461">
        <f>IFERROR(CUBEVALUE("BIDB",$A13,G$3,G$2,'Præsentationstabeller 1'!$C$2),0)</f>
        <v>1</v>
      </c>
      <c r="H13" t="str" vm="9017">
        <f>IFERROR(CUBEVALUE("BIDB",$A13,H$3,H$2,'Præsentationstabeller 1'!$C$2),0)</f>
        <v/>
      </c>
      <c r="I13" t="str" vm="8526">
        <f>IFERROR(CUBEVALUE("BIDB",$A13,I$3,I$2,'Præsentationstabeller 1'!$C$2),0)</f>
        <v/>
      </c>
      <c r="J13" t="str" vm="13437">
        <f>IFERROR(CUBEVALUE("BIDB",$A13,J$3,J$2,'Præsentationstabeller 1'!$C$2),0)</f>
        <v/>
      </c>
      <c r="K13" t="str" vm="2543">
        <f>IFERROR(CUBEVALUE("BIDB",$A13,K$3,K$2,'Præsentationstabeller 1'!$C$2),0)</f>
        <v/>
      </c>
      <c r="L13" t="str" vm="15816">
        <f>IFERROR(CUBEVALUE("BIDB",$A13,L$3,L$2,'Præsentationstabeller 1'!$C$2),0)</f>
        <v/>
      </c>
    </row>
    <row r="14" spans="1:12" ht="15" x14ac:dyDescent="0.25">
      <c r="A14" s="123" t="str" vm="1322">
        <f>CUBEMEMBER("BIDB","[Dimittenddato].[Dimittenddato].&amp;[2007-06-11T00:00:00]")</f>
        <v>11-06-2007</v>
      </c>
      <c r="B14" t="str" vm="16287">
        <f>IFERROR(CUBEVALUE("BIDB",$A14,B$3,'Præsentationstabeller 1'!$C$2),0)</f>
        <v/>
      </c>
      <c r="C14" t="str" vm="1701">
        <f>IFERROR(CUBEVALUE("BIDB",$A14,C$3,C$2,'Præsentationstabeller 1'!$C$2),0)</f>
        <v/>
      </c>
      <c r="D14" t="str" vm="15403">
        <f>IFERROR(CUBEVALUE("BIDB",$A14,D$3,D$2,'Præsentationstabeller 1'!$C$2),0)</f>
        <v/>
      </c>
      <c r="E14" vm="12831">
        <f>IFERROR(CUBEVALUE("BIDB",$A14,E$3,E$2,'Præsentationstabeller 1'!$C$2),0)</f>
        <v>6</v>
      </c>
      <c r="F14" vm="2057">
        <f>IFERROR(CUBEVALUE("BIDB",$A14,F$3,F$2,'Præsentationstabeller 1'!$C$2),0)</f>
        <v>3</v>
      </c>
      <c r="G14" vm="1381">
        <f>IFERROR(CUBEVALUE("BIDB",$A14,G$3,G$2,'Præsentationstabeller 1'!$C$2),0)</f>
        <v>9</v>
      </c>
      <c r="H14" t="str" vm="12393">
        <f>IFERROR(CUBEVALUE("BIDB",$A14,H$3,H$2,'Præsentationstabeller 1'!$C$2),0)</f>
        <v/>
      </c>
      <c r="I14" t="str" vm="10670">
        <f>IFERROR(CUBEVALUE("BIDB",$A14,I$3,I$2,'Præsentationstabeller 1'!$C$2),0)</f>
        <v/>
      </c>
      <c r="J14" t="str" vm="15316">
        <f>IFERROR(CUBEVALUE("BIDB",$A14,J$3,J$2,'Præsentationstabeller 1'!$C$2),0)</f>
        <v/>
      </c>
      <c r="K14" t="str" vm="1399">
        <f>IFERROR(CUBEVALUE("BIDB",$A14,K$3,K$2,'Præsentationstabeller 1'!$C$2),0)</f>
        <v/>
      </c>
      <c r="L14" t="str" vm="1499">
        <f>IFERROR(CUBEVALUE("BIDB",$A14,L$3,L$2,'Præsentationstabeller 1'!$C$2),0)</f>
        <v/>
      </c>
    </row>
    <row r="15" spans="1:12" ht="15" x14ac:dyDescent="0.25">
      <c r="A15" s="123" t="str" vm="1321">
        <f>CUBEMEMBER("BIDB","[Dimittenddato].[Dimittenddato].&amp;[2007-06-12T00:00:00]")</f>
        <v>12-06-2007</v>
      </c>
      <c r="B15" t="str" vm="4425">
        <f>IFERROR(CUBEVALUE("BIDB",$A15,B$3,'Præsentationstabeller 1'!$C$2),0)</f>
        <v/>
      </c>
      <c r="C15" vm="2577">
        <f>IFERROR(CUBEVALUE("BIDB",$A15,C$3,C$2,'Præsentationstabeller 1'!$C$2),0)</f>
        <v>4</v>
      </c>
      <c r="D15" t="str" vm="13659">
        <f>IFERROR(CUBEVALUE("BIDB",$A15,D$3,D$2,'Præsentationstabeller 1'!$C$2),0)</f>
        <v/>
      </c>
      <c r="E15" vm="17068">
        <f>IFERROR(CUBEVALUE("BIDB",$A15,E$3,E$2,'Præsentationstabeller 1'!$C$2),0)</f>
        <v>7</v>
      </c>
      <c r="F15" vm="4527">
        <f>IFERROR(CUBEVALUE("BIDB",$A15,F$3,F$2,'Præsentationstabeller 1'!$C$2),0)</f>
        <v>4</v>
      </c>
      <c r="G15" vm="1696">
        <f>IFERROR(CUBEVALUE("BIDB",$A15,G$3,G$2,'Præsentationstabeller 1'!$C$2),0)</f>
        <v>11</v>
      </c>
      <c r="H15" t="str" vm="1883">
        <f>IFERROR(CUBEVALUE("BIDB",$A15,H$3,H$2,'Præsentationstabeller 1'!$C$2),0)</f>
        <v/>
      </c>
      <c r="I15" t="str" vm="9000">
        <f>IFERROR(CUBEVALUE("BIDB",$A15,I$3,I$2,'Præsentationstabeller 1'!$C$2),0)</f>
        <v/>
      </c>
      <c r="J15" t="str" vm="15640">
        <f>IFERROR(CUBEVALUE("BIDB",$A15,J$3,J$2,'Præsentationstabeller 1'!$C$2),0)</f>
        <v/>
      </c>
      <c r="K15" t="str" vm="1568">
        <f>IFERROR(CUBEVALUE("BIDB",$A15,K$3,K$2,'Præsentationstabeller 1'!$C$2),0)</f>
        <v/>
      </c>
      <c r="L15" t="str" vm="11242">
        <f>IFERROR(CUBEVALUE("BIDB",$A15,L$3,L$2,'Præsentationstabeller 1'!$C$2),0)</f>
        <v/>
      </c>
    </row>
    <row r="16" spans="1:12" ht="15" x14ac:dyDescent="0.25">
      <c r="A16" s="123" t="str" vm="1320">
        <f>CUBEMEMBER("BIDB","[Dimittenddato].[Dimittenddato].&amp;[2007-06-13T00:00:00]")</f>
        <v>13-06-2007</v>
      </c>
      <c r="B16" t="str" vm="2372">
        <f>IFERROR(CUBEVALUE("BIDB",$A16,B$3,'Præsentationstabeller 1'!$C$2),0)</f>
        <v/>
      </c>
      <c r="C16" vm="1392">
        <f>IFERROR(CUBEVALUE("BIDB",$A16,C$3,C$2,'Præsentationstabeller 1'!$C$2),0)</f>
        <v>1</v>
      </c>
      <c r="D16" vm="11726">
        <f>IFERROR(CUBEVALUE("BIDB",$A16,D$3,D$2,'Præsentationstabeller 1'!$C$2),0)</f>
        <v>1</v>
      </c>
      <c r="E16" vm="9499">
        <f>IFERROR(CUBEVALUE("BIDB",$A16,E$3,E$2,'Præsentationstabeller 1'!$C$2),0)</f>
        <v>6</v>
      </c>
      <c r="F16" vm="2332">
        <f>IFERROR(CUBEVALUE("BIDB",$A16,F$3,F$2,'Præsentationstabeller 1'!$C$2),0)</f>
        <v>1</v>
      </c>
      <c r="G16" vm="2035">
        <f>IFERROR(CUBEVALUE("BIDB",$A16,G$3,G$2,'Præsentationstabeller 1'!$C$2),0)</f>
        <v>7</v>
      </c>
      <c r="H16" t="str" vm="11030">
        <f>IFERROR(CUBEVALUE("BIDB",$A16,H$3,H$2,'Præsentationstabeller 1'!$C$2),0)</f>
        <v/>
      </c>
      <c r="I16" t="str" vm="16376">
        <f>IFERROR(CUBEVALUE("BIDB",$A16,I$3,I$2,'Præsentationstabeller 1'!$C$2),0)</f>
        <v/>
      </c>
      <c r="J16" t="str" vm="14149">
        <f>IFERROR(CUBEVALUE("BIDB",$A16,J$3,J$2,'Præsentationstabeller 1'!$C$2),0)</f>
        <v/>
      </c>
      <c r="K16" t="str" vm="2762">
        <f>IFERROR(CUBEVALUE("BIDB",$A16,K$3,K$2,'Præsentationstabeller 1'!$C$2),0)</f>
        <v/>
      </c>
      <c r="L16" t="str" vm="1749">
        <f>IFERROR(CUBEVALUE("BIDB",$A16,L$3,L$2,'Præsentationstabeller 1'!$C$2),0)</f>
        <v/>
      </c>
    </row>
    <row r="17" spans="1:12" ht="15" x14ac:dyDescent="0.25">
      <c r="A17" s="123" t="str" vm="1319">
        <f>CUBEMEMBER("BIDB","[Dimittenddato].[Dimittenddato].&amp;[2007-06-14T00:00:00]")</f>
        <v>14-06-2007</v>
      </c>
      <c r="B17" t="str" vm="2631">
        <f>IFERROR(CUBEVALUE("BIDB",$A17,B$3,'Præsentationstabeller 1'!$C$2),0)</f>
        <v/>
      </c>
      <c r="C17" vm="1647">
        <f>IFERROR(CUBEVALUE("BIDB",$A17,C$3,C$2,'Præsentationstabeller 1'!$C$2),0)</f>
        <v>1</v>
      </c>
      <c r="D17" vm="13599">
        <f>IFERROR(CUBEVALUE("BIDB",$A17,D$3,D$2,'Præsentationstabeller 1'!$C$2),0)</f>
        <v>3</v>
      </c>
      <c r="E17" vm="12137">
        <f>IFERROR(CUBEVALUE("BIDB",$A17,E$3,E$2,'Præsentationstabeller 1'!$C$2),0)</f>
        <v>6</v>
      </c>
      <c r="F17" vm="2827">
        <f>IFERROR(CUBEVALUE("BIDB",$A17,F$3,F$2,'Præsentationstabeller 1'!$C$2),0)</f>
        <v>1</v>
      </c>
      <c r="G17" vm="2511">
        <f>IFERROR(CUBEVALUE("BIDB",$A17,G$3,G$2,'Præsentationstabeller 1'!$C$2),0)</f>
        <v>7</v>
      </c>
      <c r="H17" t="str" vm="14716">
        <f>IFERROR(CUBEVALUE("BIDB",$A17,H$3,H$2,'Præsentationstabeller 1'!$C$2),0)</f>
        <v/>
      </c>
      <c r="I17" t="str" vm="15443">
        <f>IFERROR(CUBEVALUE("BIDB",$A17,I$3,I$2,'Præsentationstabeller 1'!$C$2),0)</f>
        <v/>
      </c>
      <c r="J17" t="str" vm="15181">
        <f>IFERROR(CUBEVALUE("BIDB",$A17,J$3,J$2,'Præsentationstabeller 1'!$C$2),0)</f>
        <v/>
      </c>
      <c r="K17" t="str" vm="3701">
        <f>IFERROR(CUBEVALUE("BIDB",$A17,K$3,K$2,'Præsentationstabeller 1'!$C$2),0)</f>
        <v/>
      </c>
      <c r="L17" t="str" vm="1790">
        <f>IFERROR(CUBEVALUE("BIDB",$A17,L$3,L$2,'Præsentationstabeller 1'!$C$2),0)</f>
        <v/>
      </c>
    </row>
    <row r="18" spans="1:12" ht="15" x14ac:dyDescent="0.25">
      <c r="A18" s="123" t="str" vm="1318">
        <f>CUBEMEMBER("BIDB","[Dimittenddato].[Dimittenddato].&amp;[2007-06-15T00:00:00]")</f>
        <v>15-06-2007</v>
      </c>
      <c r="B18" t="str" vm="2223">
        <f>IFERROR(CUBEVALUE("BIDB",$A18,B$3,'Præsentationstabeller 1'!$C$2),0)</f>
        <v/>
      </c>
      <c r="C18" vm="1636">
        <f>IFERROR(CUBEVALUE("BIDB",$A18,C$3,C$2,'Præsentationstabeller 1'!$C$2),0)</f>
        <v>2</v>
      </c>
      <c r="D18" vm="14519">
        <f>IFERROR(CUBEVALUE("BIDB",$A18,D$3,D$2,'Præsentationstabeller 1'!$C$2),0)</f>
        <v>2</v>
      </c>
      <c r="E18" vm="10249">
        <f>IFERROR(CUBEVALUE("BIDB",$A18,E$3,E$2,'Præsentationstabeller 1'!$C$2),0)</f>
        <v>12</v>
      </c>
      <c r="F18" vm="1752">
        <f>IFERROR(CUBEVALUE("BIDB",$A18,F$3,F$2,'Præsentationstabeller 1'!$C$2),0)</f>
        <v>4</v>
      </c>
      <c r="G18" vm="2265">
        <f>IFERROR(CUBEVALUE("BIDB",$A18,G$3,G$2,'Præsentationstabeller 1'!$C$2),0)</f>
        <v>16</v>
      </c>
      <c r="H18" t="str" vm="1530">
        <f>IFERROR(CUBEVALUE("BIDB",$A18,H$3,H$2,'Præsentationstabeller 1'!$C$2),0)</f>
        <v/>
      </c>
      <c r="I18" t="str" vm="12731">
        <f>IFERROR(CUBEVALUE("BIDB",$A18,I$3,I$2,'Præsentationstabeller 1'!$C$2),0)</f>
        <v/>
      </c>
      <c r="J18" t="str" vm="14918">
        <f>IFERROR(CUBEVALUE("BIDB",$A18,J$3,J$2,'Præsentationstabeller 1'!$C$2),0)</f>
        <v/>
      </c>
      <c r="K18" t="str" vm="2509">
        <f>IFERROR(CUBEVALUE("BIDB",$A18,K$3,K$2,'Præsentationstabeller 1'!$C$2),0)</f>
        <v/>
      </c>
      <c r="L18" t="str" vm="13128">
        <f>IFERROR(CUBEVALUE("BIDB",$A18,L$3,L$2,'Præsentationstabeller 1'!$C$2),0)</f>
        <v/>
      </c>
    </row>
    <row r="19" spans="1:12" ht="15" x14ac:dyDescent="0.25">
      <c r="A19" s="123" t="str" vm="1317">
        <f>CUBEMEMBER("BIDB","[Dimittenddato].[Dimittenddato].&amp;[2007-06-16T00:00:00]")</f>
        <v>16-06-2007</v>
      </c>
      <c r="B19" t="str" vm="3896">
        <f>IFERROR(CUBEVALUE("BIDB",$A19,B$3,'Præsentationstabeller 1'!$C$2),0)</f>
        <v/>
      </c>
      <c r="C19" t="str" vm="2352">
        <f>IFERROR(CUBEVALUE("BIDB",$A19,C$3,C$2,'Præsentationstabeller 1'!$C$2),0)</f>
        <v/>
      </c>
      <c r="D19" t="str" vm="16543">
        <f>IFERROR(CUBEVALUE("BIDB",$A19,D$3,D$2,'Præsentationstabeller 1'!$C$2),0)</f>
        <v/>
      </c>
      <c r="E19" t="str" vm="10994">
        <f>IFERROR(CUBEVALUE("BIDB",$A19,E$3,E$2,'Præsentationstabeller 1'!$C$2),0)</f>
        <v/>
      </c>
      <c r="F19" vm="3383">
        <f>IFERROR(CUBEVALUE("BIDB",$A19,F$3,F$2,'Præsentationstabeller 1'!$C$2),0)</f>
        <v>1</v>
      </c>
      <c r="G19" vm="2276">
        <f>IFERROR(CUBEVALUE("BIDB",$A19,G$3,G$2,'Præsentationstabeller 1'!$C$2),0)</f>
        <v>1</v>
      </c>
      <c r="H19" t="str" vm="10163">
        <f>IFERROR(CUBEVALUE("BIDB",$A19,H$3,H$2,'Præsentationstabeller 1'!$C$2),0)</f>
        <v/>
      </c>
      <c r="I19" t="str" vm="10174">
        <f>IFERROR(CUBEVALUE("BIDB",$A19,I$3,I$2,'Præsentationstabeller 1'!$C$2),0)</f>
        <v/>
      </c>
      <c r="J19" t="str" vm="16523">
        <f>IFERROR(CUBEVALUE("BIDB",$A19,J$3,J$2,'Præsentationstabeller 1'!$C$2),0)</f>
        <v/>
      </c>
      <c r="K19" t="str" vm="2263">
        <f>IFERROR(CUBEVALUE("BIDB",$A19,K$3,K$2,'Præsentationstabeller 1'!$C$2),0)</f>
        <v/>
      </c>
      <c r="L19" t="str" vm="12429">
        <f>IFERROR(CUBEVALUE("BIDB",$A19,L$3,L$2,'Præsentationstabeller 1'!$C$2),0)</f>
        <v/>
      </c>
    </row>
    <row r="20" spans="1:12" ht="15" x14ac:dyDescent="0.25">
      <c r="A20" s="123" t="str" vm="1316">
        <f>CUBEMEMBER("BIDB","[Dimittenddato].[Dimittenddato].&amp;[2007-06-17T00:00:00]")</f>
        <v>17-06-2007</v>
      </c>
      <c r="B20" t="str" vm="2098">
        <f>IFERROR(CUBEVALUE("BIDB",$A20,B$3,'Præsentationstabeller 1'!$C$2),0)</f>
        <v/>
      </c>
      <c r="C20" t="str" vm="2127">
        <f>IFERROR(CUBEVALUE("BIDB",$A20,C$3,C$2,'Præsentationstabeller 1'!$C$2),0)</f>
        <v/>
      </c>
      <c r="D20" t="str" vm="9322">
        <f>IFERROR(CUBEVALUE("BIDB",$A20,D$3,D$2,'Præsentationstabeller 1'!$C$2),0)</f>
        <v/>
      </c>
      <c r="E20" t="str" vm="12637">
        <f>IFERROR(CUBEVALUE("BIDB",$A20,E$3,E$2,'Præsentationstabeller 1'!$C$2),0)</f>
        <v/>
      </c>
      <c r="F20" t="str" vm="1910">
        <f>IFERROR(CUBEVALUE("BIDB",$A20,F$3,F$2,'Præsentationstabeller 1'!$C$2),0)</f>
        <v/>
      </c>
      <c r="G20" t="str" vm="1398">
        <f>IFERROR(CUBEVALUE("BIDB",$A20,G$3,G$2,'Præsentationstabeller 1'!$C$2),0)</f>
        <v/>
      </c>
      <c r="H20" t="str" vm="12797">
        <f>IFERROR(CUBEVALUE("BIDB",$A20,H$3,H$2,'Præsentationstabeller 1'!$C$2),0)</f>
        <v/>
      </c>
      <c r="I20" t="str" vm="9817">
        <f>IFERROR(CUBEVALUE("BIDB",$A20,I$3,I$2,'Præsentationstabeller 1'!$C$2),0)</f>
        <v/>
      </c>
      <c r="J20" t="str" vm="15417">
        <f>IFERROR(CUBEVALUE("BIDB",$A20,J$3,J$2,'Præsentationstabeller 1'!$C$2),0)</f>
        <v/>
      </c>
      <c r="K20" t="str" vm="1649">
        <f>IFERROR(CUBEVALUE("BIDB",$A20,K$3,K$2,'Præsentationstabeller 1'!$C$2),0)</f>
        <v/>
      </c>
      <c r="L20" t="str" vm="16268">
        <f>IFERROR(CUBEVALUE("BIDB",$A20,L$3,L$2,'Præsentationstabeller 1'!$C$2),0)</f>
        <v/>
      </c>
    </row>
    <row r="21" spans="1:12" ht="15" x14ac:dyDescent="0.25">
      <c r="A21" s="123" t="str" vm="1315">
        <f>CUBEMEMBER("BIDB","[Dimittenddato].[Dimittenddato].&amp;[2007-06-18T00:00:00]")</f>
        <v>18-06-2007</v>
      </c>
      <c r="B21" t="str" vm="3430">
        <f>IFERROR(CUBEVALUE("BIDB",$A21,B$3,'Præsentationstabeller 1'!$C$2),0)</f>
        <v/>
      </c>
      <c r="C21" vm="2623">
        <f>IFERROR(CUBEVALUE("BIDB",$A21,C$3,C$2,'Præsentationstabeller 1'!$C$2),0)</f>
        <v>1</v>
      </c>
      <c r="D21" vm="16218">
        <f>IFERROR(CUBEVALUE("BIDB",$A21,D$3,D$2,'Præsentationstabeller 1'!$C$2),0)</f>
        <v>2</v>
      </c>
      <c r="E21" vm="16310">
        <f>IFERROR(CUBEVALUE("BIDB",$A21,E$3,E$2,'Præsentationstabeller 1'!$C$2),0)</f>
        <v>31</v>
      </c>
      <c r="F21" vm="2901">
        <f>IFERROR(CUBEVALUE("BIDB",$A21,F$3,F$2,'Præsentationstabeller 1'!$C$2),0)</f>
        <v>19</v>
      </c>
      <c r="G21" vm="1888">
        <f>IFERROR(CUBEVALUE("BIDB",$A21,G$3,G$2,'Præsentationstabeller 1'!$C$2),0)</f>
        <v>50</v>
      </c>
      <c r="H21" t="str" vm="12337">
        <f>IFERROR(CUBEVALUE("BIDB",$A21,H$3,H$2,'Præsentationstabeller 1'!$C$2),0)</f>
        <v/>
      </c>
      <c r="I21" t="str" vm="8423">
        <f>IFERROR(CUBEVALUE("BIDB",$A21,I$3,I$2,'Præsentationstabeller 1'!$C$2),0)</f>
        <v/>
      </c>
      <c r="J21" t="str" vm="14753">
        <f>IFERROR(CUBEVALUE("BIDB",$A21,J$3,J$2,'Præsentationstabeller 1'!$C$2),0)</f>
        <v/>
      </c>
      <c r="K21" t="str" vm="3632">
        <f>IFERROR(CUBEVALUE("BIDB",$A21,K$3,K$2,'Præsentationstabeller 1'!$C$2),0)</f>
        <v/>
      </c>
      <c r="L21" t="str" vm="1691">
        <f>IFERROR(CUBEVALUE("BIDB",$A21,L$3,L$2,'Præsentationstabeller 1'!$C$2),0)</f>
        <v/>
      </c>
    </row>
    <row r="22" spans="1:12" ht="15" x14ac:dyDescent="0.25">
      <c r="A22" s="123" t="str" vm="1314">
        <f>CUBEMEMBER("BIDB","[Dimittenddato].[Dimittenddato].&amp;[2007-06-19T00:00:00]")</f>
        <v>19-06-2007</v>
      </c>
      <c r="B22" t="str" vm="2339">
        <f>IFERROR(CUBEVALUE("BIDB",$A22,B$3,'Præsentationstabeller 1'!$C$2),0)</f>
        <v/>
      </c>
      <c r="C22" t="str" vm="1574">
        <f>IFERROR(CUBEVALUE("BIDB",$A22,C$3,C$2,'Præsentationstabeller 1'!$C$2),0)</f>
        <v/>
      </c>
      <c r="D22" vm="10781">
        <f>IFERROR(CUBEVALUE("BIDB",$A22,D$3,D$2,'Præsentationstabeller 1'!$C$2),0)</f>
        <v>1</v>
      </c>
      <c r="E22" vm="17005">
        <f>IFERROR(CUBEVALUE("BIDB",$A22,E$3,E$2,'Præsentationstabeller 1'!$C$2),0)</f>
        <v>29</v>
      </c>
      <c r="F22" vm="2473">
        <f>IFERROR(CUBEVALUE("BIDB",$A22,F$3,F$2,'Præsentationstabeller 1'!$C$2),0)</f>
        <v>6</v>
      </c>
      <c r="G22" vm="2073">
        <f>IFERROR(CUBEVALUE("BIDB",$A22,G$3,G$2,'Præsentationstabeller 1'!$C$2),0)</f>
        <v>35</v>
      </c>
      <c r="H22" t="str" vm="1624">
        <f>IFERROR(CUBEVALUE("BIDB",$A22,H$3,H$2,'Præsentationstabeller 1'!$C$2),0)</f>
        <v/>
      </c>
      <c r="I22" t="str" vm="10720">
        <f>IFERROR(CUBEVALUE("BIDB",$A22,I$3,I$2,'Præsentationstabeller 1'!$C$2),0)</f>
        <v/>
      </c>
      <c r="J22" t="str" vm="13185">
        <f>IFERROR(CUBEVALUE("BIDB",$A22,J$3,J$2,'Præsentationstabeller 1'!$C$2),0)</f>
        <v/>
      </c>
      <c r="K22" t="str" vm="1841">
        <f>IFERROR(CUBEVALUE("BIDB",$A22,K$3,K$2,'Præsentationstabeller 1'!$C$2),0)</f>
        <v/>
      </c>
      <c r="L22" t="str" vm="6589">
        <f>IFERROR(CUBEVALUE("BIDB",$A22,L$3,L$2,'Præsentationstabeller 1'!$C$2),0)</f>
        <v/>
      </c>
    </row>
    <row r="23" spans="1:12" ht="15" x14ac:dyDescent="0.25">
      <c r="A23" s="123" t="str" vm="1313">
        <f>CUBEMEMBER("BIDB","[Dimittenddato].[Dimittenddato].&amp;[2007-06-20T00:00:00]")</f>
        <v>20-06-2007</v>
      </c>
      <c r="B23" t="str" vm="3009">
        <f>IFERROR(CUBEVALUE("BIDB",$A23,B$3,'Præsentationstabeller 1'!$C$2),0)</f>
        <v/>
      </c>
      <c r="C23" vm="3052">
        <f>IFERROR(CUBEVALUE("BIDB",$A23,C$3,C$2,'Præsentationstabeller 1'!$C$2),0)</f>
        <v>3</v>
      </c>
      <c r="D23" vm="11986">
        <f>IFERROR(CUBEVALUE("BIDB",$A23,D$3,D$2,'Præsentationstabeller 1'!$C$2),0)</f>
        <v>2</v>
      </c>
      <c r="E23" vm="14499">
        <f>IFERROR(CUBEVALUE("BIDB",$A23,E$3,E$2,'Præsentationstabeller 1'!$C$2),0)</f>
        <v>24</v>
      </c>
      <c r="F23" vm="2978">
        <f>IFERROR(CUBEVALUE("BIDB",$A23,F$3,F$2,'Præsentationstabeller 1'!$C$2),0)</f>
        <v>17</v>
      </c>
      <c r="G23" vm="2510">
        <f>IFERROR(CUBEVALUE("BIDB",$A23,G$3,G$2,'Præsentationstabeller 1'!$C$2),0)</f>
        <v>41</v>
      </c>
      <c r="H23" t="str" vm="13660">
        <f>IFERROR(CUBEVALUE("BIDB",$A23,H$3,H$2,'Præsentationstabeller 1'!$C$2),0)</f>
        <v/>
      </c>
      <c r="I23" t="str" vm="7239">
        <f>IFERROR(CUBEVALUE("BIDB",$A23,I$3,I$2,'Præsentationstabeller 1'!$C$2),0)</f>
        <v/>
      </c>
      <c r="J23" t="str" vm="12148">
        <f>IFERROR(CUBEVALUE("BIDB",$A23,J$3,J$2,'Præsentationstabeller 1'!$C$2),0)</f>
        <v/>
      </c>
      <c r="K23" t="str" vm="1843">
        <f>IFERROR(CUBEVALUE("BIDB",$A23,K$3,K$2,'Præsentationstabeller 1'!$C$2),0)</f>
        <v/>
      </c>
      <c r="L23" t="str" vm="16274">
        <f>IFERROR(CUBEVALUE("BIDB",$A23,L$3,L$2,'Præsentationstabeller 1'!$C$2),0)</f>
        <v/>
      </c>
    </row>
    <row r="24" spans="1:12" ht="15" x14ac:dyDescent="0.25">
      <c r="A24" s="123" t="str" vm="1312">
        <f>CUBEMEMBER("BIDB","[Dimittenddato].[Dimittenddato].&amp;[2007-06-21T00:00:00]")</f>
        <v>21-06-2007</v>
      </c>
      <c r="B24" t="str" vm="2484">
        <f>IFERROR(CUBEVALUE("BIDB",$A24,B$3,'Præsentationstabeller 1'!$C$2),0)</f>
        <v/>
      </c>
      <c r="C24" vm="1833">
        <f>IFERROR(CUBEVALUE("BIDB",$A24,C$3,C$2,'Præsentationstabeller 1'!$C$2),0)</f>
        <v>3</v>
      </c>
      <c r="D24" vm="15495">
        <f>IFERROR(CUBEVALUE("BIDB",$A24,D$3,D$2,'Præsentationstabeller 1'!$C$2),0)</f>
        <v>8</v>
      </c>
      <c r="E24" vm="10296">
        <f>IFERROR(CUBEVALUE("BIDB",$A24,E$3,E$2,'Præsentationstabeller 1'!$C$2),0)</f>
        <v>50</v>
      </c>
      <c r="F24" vm="2845">
        <f>IFERROR(CUBEVALUE("BIDB",$A24,F$3,F$2,'Præsentationstabeller 1'!$C$2),0)</f>
        <v>13</v>
      </c>
      <c r="G24" vm="2159">
        <f>IFERROR(CUBEVALUE("BIDB",$A24,G$3,G$2,'Præsentationstabeller 1'!$C$2),0)</f>
        <v>63</v>
      </c>
      <c r="H24" t="str" vm="1521">
        <f>IFERROR(CUBEVALUE("BIDB",$A24,H$3,H$2,'Præsentationstabeller 1'!$C$2),0)</f>
        <v/>
      </c>
      <c r="I24" t="str" vm="10612">
        <f>IFERROR(CUBEVALUE("BIDB",$A24,I$3,I$2,'Præsentationstabeller 1'!$C$2),0)</f>
        <v/>
      </c>
      <c r="J24" vm="14091">
        <f>IFERROR(CUBEVALUE("BIDB",$A24,J$3,J$2,'Præsentationstabeller 1'!$C$2),0)</f>
        <v>0.76</v>
      </c>
      <c r="K24" t="str" vm="1400">
        <f>IFERROR(CUBEVALUE("BIDB",$A24,K$3,K$2,'Præsentationstabeller 1'!$C$2),0)</f>
        <v/>
      </c>
      <c r="L24" vm="16680">
        <f>IFERROR(CUBEVALUE("BIDB",$A24,L$3,L$2,'Præsentationstabeller 1'!$C$2),0)</f>
        <v>0.76</v>
      </c>
    </row>
    <row r="25" spans="1:12" ht="15" x14ac:dyDescent="0.25">
      <c r="A25" s="123" t="str" vm="1311">
        <f>CUBEMEMBER("BIDB","[Dimittenddato].[Dimittenddato].&amp;[2007-06-22T00:00:00]")</f>
        <v>22-06-2007</v>
      </c>
      <c r="B25" t="str" vm="2995">
        <f>IFERROR(CUBEVALUE("BIDB",$A25,B$3,'Præsentationstabeller 1'!$C$2),0)</f>
        <v/>
      </c>
      <c r="C25" vm="1835">
        <f>IFERROR(CUBEVALUE("BIDB",$A25,C$3,C$2,'Præsentationstabeller 1'!$C$2),0)</f>
        <v>1</v>
      </c>
      <c r="D25" vm="13968">
        <f>IFERROR(CUBEVALUE("BIDB",$A25,D$3,D$2,'Præsentationstabeller 1'!$C$2),0)</f>
        <v>6</v>
      </c>
      <c r="E25" vm="11723">
        <f>IFERROR(CUBEVALUE("BIDB",$A25,E$3,E$2,'Præsentationstabeller 1'!$C$2),0)</f>
        <v>48</v>
      </c>
      <c r="F25" vm="3194">
        <f>IFERROR(CUBEVALUE("BIDB",$A25,F$3,F$2,'Præsentationstabeller 1'!$C$2),0)</f>
        <v>29</v>
      </c>
      <c r="G25" vm="2099">
        <f>IFERROR(CUBEVALUE("BIDB",$A25,G$3,G$2,'Præsentationstabeller 1'!$C$2),0)</f>
        <v>77</v>
      </c>
      <c r="H25" t="str" vm="9338">
        <f>IFERROR(CUBEVALUE("BIDB",$A25,H$3,H$2,'Præsentationstabeller 1'!$C$2),0)</f>
        <v/>
      </c>
      <c r="I25" t="str" vm="8469">
        <f>IFERROR(CUBEVALUE("BIDB",$A25,I$3,I$2,'Præsentationstabeller 1'!$C$2),0)</f>
        <v/>
      </c>
      <c r="J25" t="str" vm="16462">
        <f>IFERROR(CUBEVALUE("BIDB",$A25,J$3,J$2,'Præsentationstabeller 1'!$C$2),0)</f>
        <v/>
      </c>
      <c r="K25" t="str" vm="1485">
        <f>IFERROR(CUBEVALUE("BIDB",$A25,K$3,K$2,'Præsentationstabeller 1'!$C$2),0)</f>
        <v/>
      </c>
      <c r="L25" t="str" vm="1416">
        <f>IFERROR(CUBEVALUE("BIDB",$A25,L$3,L$2,'Præsentationstabeller 1'!$C$2),0)</f>
        <v/>
      </c>
    </row>
    <row r="26" spans="1:12" ht="15" x14ac:dyDescent="0.25">
      <c r="A26" s="123" t="str" vm="1310">
        <f>CUBEMEMBER("BIDB","[Dimittenddato].[Dimittenddato].&amp;[2007-06-23T00:00:00]")</f>
        <v>23-06-2007</v>
      </c>
      <c r="B26" t="str" vm="2059">
        <f>IFERROR(CUBEVALUE("BIDB",$A26,B$3,'Præsentationstabeller 1'!$C$2),0)</f>
        <v/>
      </c>
      <c r="C26" t="str" vm="1889">
        <f>IFERROR(CUBEVALUE("BIDB",$A26,C$3,C$2,'Præsentationstabeller 1'!$C$2),0)</f>
        <v/>
      </c>
      <c r="D26" t="str" vm="15219">
        <f>IFERROR(CUBEVALUE("BIDB",$A26,D$3,D$2,'Præsentationstabeller 1'!$C$2),0)</f>
        <v/>
      </c>
      <c r="E26" t="str" vm="9192">
        <f>IFERROR(CUBEVALUE("BIDB",$A26,E$3,E$2,'Præsentationstabeller 1'!$C$2),0)</f>
        <v/>
      </c>
      <c r="F26" t="str" vm="1708">
        <f>IFERROR(CUBEVALUE("BIDB",$A26,F$3,F$2,'Præsentationstabeller 1'!$C$2),0)</f>
        <v/>
      </c>
      <c r="G26" t="str" vm="2594">
        <f>IFERROR(CUBEVALUE("BIDB",$A26,G$3,G$2,'Præsentationstabeller 1'!$C$2),0)</f>
        <v/>
      </c>
      <c r="H26" t="str" vm="1797">
        <f>IFERROR(CUBEVALUE("BIDB",$A26,H$3,H$2,'Præsentationstabeller 1'!$C$2),0)</f>
        <v/>
      </c>
      <c r="I26" t="str" vm="10572">
        <f>IFERROR(CUBEVALUE("BIDB",$A26,I$3,I$2,'Præsentationstabeller 1'!$C$2),0)</f>
        <v/>
      </c>
      <c r="J26" t="str" vm="13886">
        <f>IFERROR(CUBEVALUE("BIDB",$A26,J$3,J$2,'Præsentationstabeller 1'!$C$2),0)</f>
        <v/>
      </c>
      <c r="K26" t="str" vm="1739">
        <f>IFERROR(CUBEVALUE("BIDB",$A26,K$3,K$2,'Præsentationstabeller 1'!$C$2),0)</f>
        <v/>
      </c>
      <c r="L26" t="str" vm="16275">
        <f>IFERROR(CUBEVALUE("BIDB",$A26,L$3,L$2,'Præsentationstabeller 1'!$C$2),0)</f>
        <v/>
      </c>
    </row>
    <row r="27" spans="1:12" ht="15" x14ac:dyDescent="0.25">
      <c r="A27" s="123" t="str" vm="1309">
        <f>CUBEMEMBER("BIDB","[Dimittenddato].[Dimittenddato].&amp;[2007-06-24T00:00:00]")</f>
        <v>24-06-2007</v>
      </c>
      <c r="B27" t="str" vm="2376">
        <f>IFERROR(CUBEVALUE("BIDB",$A27,B$3,'Præsentationstabeller 1'!$C$2),0)</f>
        <v/>
      </c>
      <c r="C27" t="str" vm="2518">
        <f>IFERROR(CUBEVALUE("BIDB",$A27,C$3,C$2,'Præsentationstabeller 1'!$C$2),0)</f>
        <v/>
      </c>
      <c r="D27" t="str" vm="11977">
        <f>IFERROR(CUBEVALUE("BIDB",$A27,D$3,D$2,'Præsentationstabeller 1'!$C$2),0)</f>
        <v/>
      </c>
      <c r="E27" t="str" vm="15393">
        <f>IFERROR(CUBEVALUE("BIDB",$A27,E$3,E$2,'Præsentationstabeller 1'!$C$2),0)</f>
        <v/>
      </c>
      <c r="F27" vm="3000">
        <f>IFERROR(CUBEVALUE("BIDB",$A27,F$3,F$2,'Præsentationstabeller 1'!$C$2),0)</f>
        <v>1</v>
      </c>
      <c r="G27" vm="2249">
        <f>IFERROR(CUBEVALUE("BIDB",$A27,G$3,G$2,'Præsentationstabeller 1'!$C$2),0)</f>
        <v>1</v>
      </c>
      <c r="H27" t="str" vm="1463">
        <f>IFERROR(CUBEVALUE("BIDB",$A27,H$3,H$2,'Præsentationstabeller 1'!$C$2),0)</f>
        <v/>
      </c>
      <c r="I27" t="str" vm="8068">
        <f>IFERROR(CUBEVALUE("BIDB",$A27,I$3,I$2,'Præsentationstabeller 1'!$C$2),0)</f>
        <v/>
      </c>
      <c r="J27" t="str" vm="12056">
        <f>IFERROR(CUBEVALUE("BIDB",$A27,J$3,J$2,'Præsentationstabeller 1'!$C$2),0)</f>
        <v/>
      </c>
      <c r="K27" t="str" vm="1741">
        <f>IFERROR(CUBEVALUE("BIDB",$A27,K$3,K$2,'Præsentationstabeller 1'!$C$2),0)</f>
        <v/>
      </c>
      <c r="L27" t="str" vm="16253">
        <f>IFERROR(CUBEVALUE("BIDB",$A27,L$3,L$2,'Præsentationstabeller 1'!$C$2),0)</f>
        <v/>
      </c>
    </row>
    <row r="28" spans="1:12" ht="15" x14ac:dyDescent="0.25">
      <c r="A28" s="123" t="str" vm="1308">
        <f>CUBEMEMBER("BIDB","[Dimittenddato].[Dimittenddato].&amp;[2007-06-25T00:00:00]")</f>
        <v>25-06-2007</v>
      </c>
      <c r="B28" t="str" vm="2052">
        <f>IFERROR(CUBEVALUE("BIDB",$A28,B$3,'Præsentationstabeller 1'!$C$2),0)</f>
        <v/>
      </c>
      <c r="C28" vm="1972">
        <f>IFERROR(CUBEVALUE("BIDB",$A28,C$3,C$2,'Præsentationstabeller 1'!$C$2),0)</f>
        <v>1</v>
      </c>
      <c r="D28" vm="15477">
        <f>IFERROR(CUBEVALUE("BIDB",$A28,D$3,D$2,'Præsentationstabeller 1'!$C$2),0)</f>
        <v>3</v>
      </c>
      <c r="E28" vm="15086">
        <f>IFERROR(CUBEVALUE("BIDB",$A28,E$3,E$2,'Præsentationstabeller 1'!$C$2),0)</f>
        <v>33</v>
      </c>
      <c r="F28" vm="1650">
        <f>IFERROR(CUBEVALUE("BIDB",$A28,F$3,F$2,'Præsentationstabeller 1'!$C$2),0)</f>
        <v>15</v>
      </c>
      <c r="G28" vm="3071">
        <f>IFERROR(CUBEVALUE("BIDB",$A28,G$3,G$2,'Præsentationstabeller 1'!$C$2),0)</f>
        <v>48</v>
      </c>
      <c r="H28" t="str" vm="1454">
        <f>IFERROR(CUBEVALUE("BIDB",$A28,H$3,H$2,'Præsentationstabeller 1'!$C$2),0)</f>
        <v/>
      </c>
      <c r="I28" t="str" vm="12278">
        <f>IFERROR(CUBEVALUE("BIDB",$A28,I$3,I$2,'Præsentationstabeller 1'!$C$2),0)</f>
        <v/>
      </c>
      <c r="J28" vm="16871">
        <f>IFERROR(CUBEVALUE("BIDB",$A28,J$3,J$2,'Præsentationstabeller 1'!$C$2),0)</f>
        <v>0.6</v>
      </c>
      <c r="K28" t="str" vm="1837">
        <f>IFERROR(CUBEVALUE("BIDB",$A28,K$3,K$2,'Præsentationstabeller 1'!$C$2),0)</f>
        <v/>
      </c>
      <c r="L28" vm="2940">
        <f>IFERROR(CUBEVALUE("BIDB",$A28,L$3,L$2,'Præsentationstabeller 1'!$C$2),0)</f>
        <v>0.6</v>
      </c>
    </row>
    <row r="29" spans="1:12" ht="15" x14ac:dyDescent="0.25">
      <c r="A29" s="123" t="str" vm="1307">
        <f>CUBEMEMBER("BIDB","[Dimittenddato].[Dimittenddato].&amp;[2007-06-26T00:00:00]")</f>
        <v>26-06-2007</v>
      </c>
      <c r="B29" t="str" vm="3919">
        <f>IFERROR(CUBEVALUE("BIDB",$A29,B$3,'Præsentationstabeller 1'!$C$2),0)</f>
        <v/>
      </c>
      <c r="C29" vm="1900">
        <f>IFERROR(CUBEVALUE("BIDB",$A29,C$3,C$2,'Præsentationstabeller 1'!$C$2),0)</f>
        <v>1</v>
      </c>
      <c r="D29" vm="15668">
        <f>IFERROR(CUBEVALUE("BIDB",$A29,D$3,D$2,'Præsentationstabeller 1'!$C$2),0)</f>
        <v>3</v>
      </c>
      <c r="E29" vm="9770">
        <f>IFERROR(CUBEVALUE("BIDB",$A29,E$3,E$2,'Præsentationstabeller 1'!$C$2),0)</f>
        <v>37</v>
      </c>
      <c r="F29" vm="2062">
        <f>IFERROR(CUBEVALUE("BIDB",$A29,F$3,F$2,'Præsentationstabeller 1'!$C$2),0)</f>
        <v>5</v>
      </c>
      <c r="G29" vm="1678">
        <f>IFERROR(CUBEVALUE("BIDB",$A29,G$3,G$2,'Præsentationstabeller 1'!$C$2),0)</f>
        <v>42</v>
      </c>
      <c r="H29" t="str" vm="1475">
        <f>IFERROR(CUBEVALUE("BIDB",$A29,H$3,H$2,'Præsentationstabeller 1'!$C$2),0)</f>
        <v/>
      </c>
      <c r="I29" vm="11158">
        <f>IFERROR(CUBEVALUE("BIDB",$A29,I$3,I$2,'Præsentationstabeller 1'!$C$2),0)</f>
        <v>1</v>
      </c>
      <c r="J29" vm="13418">
        <f>IFERROR(CUBEVALUE("BIDB",$A29,J$3,J$2,'Præsentationstabeller 1'!$C$2),0)</f>
        <v>0.8</v>
      </c>
      <c r="K29" t="str" vm="3551">
        <f>IFERROR(CUBEVALUE("BIDB",$A29,K$3,K$2,'Præsentationstabeller 1'!$C$2),0)</f>
        <v/>
      </c>
      <c r="L29" vm="1993">
        <f>IFERROR(CUBEVALUE("BIDB",$A29,L$3,L$2,'Præsentationstabeller 1'!$C$2),0)</f>
        <v>0.8</v>
      </c>
    </row>
    <row r="30" spans="1:12" ht="15" x14ac:dyDescent="0.25">
      <c r="A30" s="123" t="str" vm="1306">
        <f>CUBEMEMBER("BIDB","[Dimittenddato].[Dimittenddato].&amp;[2007-06-27T00:00:00]")</f>
        <v>27-06-2007</v>
      </c>
      <c r="B30" t="str" vm="2045">
        <f>IFERROR(CUBEVALUE("BIDB",$A30,B$3,'Præsentationstabeller 1'!$C$2),0)</f>
        <v/>
      </c>
      <c r="C30" vm="2082">
        <f>IFERROR(CUBEVALUE("BIDB",$A30,C$3,C$2,'Præsentationstabeller 1'!$C$2),0)</f>
        <v>3</v>
      </c>
      <c r="D30" vm="14145">
        <f>IFERROR(CUBEVALUE("BIDB",$A30,D$3,D$2,'Præsentationstabeller 1'!$C$2),0)</f>
        <v>3</v>
      </c>
      <c r="E30" vm="11069">
        <f>IFERROR(CUBEVALUE("BIDB",$A30,E$3,E$2,'Præsentationstabeller 1'!$C$2),0)</f>
        <v>16</v>
      </c>
      <c r="F30" vm="1809">
        <f>IFERROR(CUBEVALUE("BIDB",$A30,F$3,F$2,'Præsentationstabeller 1'!$C$2),0)</f>
        <v>9</v>
      </c>
      <c r="G30" vm="1966">
        <f>IFERROR(CUBEVALUE("BIDB",$A30,G$3,G$2,'Præsentationstabeller 1'!$C$2),0)</f>
        <v>25</v>
      </c>
      <c r="H30" t="str" vm="1667">
        <f>IFERROR(CUBEVALUE("BIDB",$A30,H$3,H$2,'Præsentationstabeller 1'!$C$2),0)</f>
        <v/>
      </c>
      <c r="I30" t="str" vm="11946">
        <f>IFERROR(CUBEVALUE("BIDB",$A30,I$3,I$2,'Præsentationstabeller 1'!$C$2),0)</f>
        <v/>
      </c>
      <c r="J30" t="str" vm="16120">
        <f>IFERROR(CUBEVALUE("BIDB",$A30,J$3,J$2,'Præsentationstabeller 1'!$C$2),0)</f>
        <v/>
      </c>
      <c r="K30" t="str" vm="2077">
        <f>IFERROR(CUBEVALUE("BIDB",$A30,K$3,K$2,'Præsentationstabeller 1'!$C$2),0)</f>
        <v/>
      </c>
      <c r="L30" t="str" vm="16755">
        <f>IFERROR(CUBEVALUE("BIDB",$A30,L$3,L$2,'Præsentationstabeller 1'!$C$2),0)</f>
        <v/>
      </c>
    </row>
    <row r="31" spans="1:12" ht="15" x14ac:dyDescent="0.25">
      <c r="A31" s="123" t="str" vm="1305">
        <f>CUBEMEMBER("BIDB","[Dimittenddato].[Dimittenddato].&amp;[2007-06-28T00:00:00]")</f>
        <v>28-06-2007</v>
      </c>
      <c r="B31" t="str" vm="3141">
        <f>IFERROR(CUBEVALUE("BIDB",$A31,B$3,'Præsentationstabeller 1'!$C$2),0)</f>
        <v/>
      </c>
      <c r="C31" t="str" vm="2783">
        <f>IFERROR(CUBEVALUE("BIDB",$A31,C$3,C$2,'Præsentationstabeller 1'!$C$2),0)</f>
        <v/>
      </c>
      <c r="D31" vm="14723">
        <f>IFERROR(CUBEVALUE("BIDB",$A31,D$3,D$2,'Præsentationstabeller 1'!$C$2),0)</f>
        <v>3</v>
      </c>
      <c r="E31" vm="15952">
        <f>IFERROR(CUBEVALUE("BIDB",$A31,E$3,E$2,'Præsentationstabeller 1'!$C$2),0)</f>
        <v>27</v>
      </c>
      <c r="F31" vm="2989">
        <f>IFERROR(CUBEVALUE("BIDB",$A31,F$3,F$2,'Præsentationstabeller 1'!$C$2),0)</f>
        <v>3</v>
      </c>
      <c r="G31" vm="1743">
        <f>IFERROR(CUBEVALUE("BIDB",$A31,G$3,G$2,'Præsentationstabeller 1'!$C$2),0)</f>
        <v>30</v>
      </c>
      <c r="H31" t="str" vm="1385">
        <f>IFERROR(CUBEVALUE("BIDB",$A31,H$3,H$2,'Præsentationstabeller 1'!$C$2),0)</f>
        <v/>
      </c>
      <c r="I31" t="str" vm="6334">
        <f>IFERROR(CUBEVALUE("BIDB",$A31,I$3,I$2,'Præsentationstabeller 1'!$C$2),0)</f>
        <v/>
      </c>
      <c r="J31" t="str" vm="15484">
        <f>IFERROR(CUBEVALUE("BIDB",$A31,J$3,J$2,'Præsentationstabeller 1'!$C$2),0)</f>
        <v/>
      </c>
      <c r="K31" t="str" vm="2591">
        <f>IFERROR(CUBEVALUE("BIDB",$A31,K$3,K$2,'Præsentationstabeller 1'!$C$2),0)</f>
        <v/>
      </c>
      <c r="L31" t="str" vm="16255">
        <f>IFERROR(CUBEVALUE("BIDB",$A31,L$3,L$2,'Præsentationstabeller 1'!$C$2),0)</f>
        <v/>
      </c>
    </row>
    <row r="32" spans="1:12" x14ac:dyDescent="0.3">
      <c r="A32" s="123" t="str" vm="1304">
        <f>CUBEMEMBER("BIDB","[Dimittenddato].[Dimittenddato].&amp;[2007-06-29T00:00:00]")</f>
        <v>29-06-2007</v>
      </c>
      <c r="B32" t="str" vm="2821">
        <f>IFERROR(CUBEVALUE("BIDB",$A32,B$3,'Præsentationstabeller 1'!$C$2),0)</f>
        <v/>
      </c>
      <c r="C32" t="str" vm="1692">
        <f>IFERROR(CUBEVALUE("BIDB",$A32,C$3,C$2,'Præsentationstabeller 1'!$C$2),0)</f>
        <v/>
      </c>
      <c r="D32" vm="11981">
        <f>IFERROR(CUBEVALUE("BIDB",$A32,D$3,D$2,'Præsentationstabeller 1'!$C$2),0)</f>
        <v>3</v>
      </c>
      <c r="E32" vm="12775">
        <f>IFERROR(CUBEVALUE("BIDB",$A32,E$3,E$2,'Præsentationstabeller 1'!$C$2),0)</f>
        <v>33</v>
      </c>
      <c r="F32" vm="2832">
        <f>IFERROR(CUBEVALUE("BIDB",$A32,F$3,F$2,'Præsentationstabeller 1'!$C$2),0)</f>
        <v>18</v>
      </c>
      <c r="G32" vm="2516">
        <f>IFERROR(CUBEVALUE("BIDB",$A32,G$3,G$2,'Præsentationstabeller 1'!$C$2),0)</f>
        <v>51</v>
      </c>
      <c r="H32" t="str" vm="1450">
        <f>IFERROR(CUBEVALUE("BIDB",$A32,H$3,H$2,'Præsentationstabeller 1'!$C$2),0)</f>
        <v/>
      </c>
      <c r="I32" t="str" vm="15016">
        <f>IFERROR(CUBEVALUE("BIDB",$A32,I$3,I$2,'Præsentationstabeller 1'!$C$2),0)</f>
        <v/>
      </c>
      <c r="J32" vm="11555">
        <f>IFERROR(CUBEVALUE("BIDB",$A32,J$3,J$2,'Præsentationstabeller 1'!$C$2),0)</f>
        <v>0.52</v>
      </c>
      <c r="K32" t="str" vm="1902">
        <f>IFERROR(CUBEVALUE("BIDB",$A32,K$3,K$2,'Præsentationstabeller 1'!$C$2),0)</f>
        <v/>
      </c>
      <c r="L32" vm="17188">
        <f>IFERROR(CUBEVALUE("BIDB",$A32,L$3,L$2,'Præsentationstabeller 1'!$C$2),0)</f>
        <v>0.52</v>
      </c>
    </row>
    <row r="33" spans="1:12" x14ac:dyDescent="0.3">
      <c r="A33" s="123" t="str" vm="1303">
        <f>CUBEMEMBER("BIDB","[Dimittenddato].[Dimittenddato].&amp;[2007-06-30T00:00:00]")</f>
        <v>30-06-2007</v>
      </c>
      <c r="B33" t="str" vm="2172">
        <f>IFERROR(CUBEVALUE("BIDB",$A33,B$3,'Præsentationstabeller 1'!$C$2),0)</f>
        <v/>
      </c>
      <c r="C33" t="str" vm="16765">
        <f>IFERROR(CUBEVALUE("BIDB",$A33,C$3,C$2,'Præsentationstabeller 1'!$C$2),0)</f>
        <v/>
      </c>
      <c r="D33" vm="15285">
        <f>IFERROR(CUBEVALUE("BIDB",$A33,D$3,D$2,'Præsentationstabeller 1'!$C$2),0)</f>
        <v>1</v>
      </c>
      <c r="E33" vm="15804">
        <f>IFERROR(CUBEVALUE("BIDB",$A33,E$3,E$2,'Præsentationstabeller 1'!$C$2),0)</f>
        <v>8</v>
      </c>
      <c r="F33" vm="2166">
        <f>IFERROR(CUBEVALUE("BIDB",$A33,F$3,F$2,'Præsentationstabeller 1'!$C$2),0)</f>
        <v>35</v>
      </c>
      <c r="G33" vm="16293">
        <f>IFERROR(CUBEVALUE("BIDB",$A33,G$3,G$2,'Præsentationstabeller 1'!$C$2),0)</f>
        <v>43</v>
      </c>
      <c r="H33" t="str" vm="4183">
        <f>IFERROR(CUBEVALUE("BIDB",$A33,H$3,H$2,'Præsentationstabeller 1'!$C$2),0)</f>
        <v/>
      </c>
      <c r="I33" t="str" vm="16320">
        <f>IFERROR(CUBEVALUE("BIDB",$A33,I$3,I$2,'Præsentationstabeller 1'!$C$2),0)</f>
        <v/>
      </c>
      <c r="J33" t="str" vm="12588">
        <f>IFERROR(CUBEVALUE("BIDB",$A33,J$3,J$2,'Præsentationstabeller 1'!$C$2),0)</f>
        <v/>
      </c>
      <c r="K33" t="str" vm="3808">
        <f>IFERROR(CUBEVALUE("BIDB",$A33,K$3,K$2,'Præsentationstabeller 1'!$C$2),0)</f>
        <v/>
      </c>
      <c r="L33" t="str" vm="15860">
        <f>IFERROR(CUBEVALUE("BIDB",$A33,L$3,L$2,'Præsentationstabeller 1'!$C$2),0)</f>
        <v/>
      </c>
    </row>
    <row r="34" spans="1:12" x14ac:dyDescent="0.3">
      <c r="A34" s="123" t="str" vm="1302">
        <f>CUBEMEMBER("BIDB","[Dimittenddato].[Dimittenddato].&amp;[2007-07-01T00:00:00]")</f>
        <v>01-07-2007</v>
      </c>
      <c r="B34" t="str" vm="4666">
        <f>IFERROR(CUBEVALUE("BIDB",$A34,B$3,'Præsentationstabeller 1'!$C$2),0)</f>
        <v/>
      </c>
      <c r="C34" t="str" vm="1968">
        <f>IFERROR(CUBEVALUE("BIDB",$A34,C$3,C$2,'Præsentationstabeller 1'!$C$2),0)</f>
        <v/>
      </c>
      <c r="D34" vm="15177">
        <f>IFERROR(CUBEVALUE("BIDB",$A34,D$3,D$2,'Præsentationstabeller 1'!$C$2),0)</f>
        <v>3</v>
      </c>
      <c r="E34" vm="8583">
        <f>IFERROR(CUBEVALUE("BIDB",$A34,E$3,E$2,'Præsentationstabeller 1'!$C$2),0)</f>
        <v>17</v>
      </c>
      <c r="F34" vm="2523">
        <f>IFERROR(CUBEVALUE("BIDB",$A34,F$3,F$2,'Præsentationstabeller 1'!$C$2),0)</f>
        <v>8</v>
      </c>
      <c r="G34" vm="1555">
        <f>IFERROR(CUBEVALUE("BIDB",$A34,G$3,G$2,'Præsentationstabeller 1'!$C$2),0)</f>
        <v>25</v>
      </c>
      <c r="H34" t="str" vm="1465">
        <f>IFERROR(CUBEVALUE("BIDB",$A34,H$3,H$2,'Præsentationstabeller 1'!$C$2),0)</f>
        <v/>
      </c>
      <c r="I34" t="str" vm="9362">
        <f>IFERROR(CUBEVALUE("BIDB",$A34,I$3,I$2,'Præsentationstabeller 1'!$C$2),0)</f>
        <v/>
      </c>
      <c r="J34" t="str" vm="16066">
        <f>IFERROR(CUBEVALUE("BIDB",$A34,J$3,J$2,'Præsentationstabeller 1'!$C$2),0)</f>
        <v/>
      </c>
      <c r="K34" t="str" vm="1379">
        <f>IFERROR(CUBEVALUE("BIDB",$A34,K$3,K$2,'Præsentationstabeller 1'!$C$2),0)</f>
        <v/>
      </c>
      <c r="L34" t="str" vm="17173">
        <f>IFERROR(CUBEVALUE("BIDB",$A34,L$3,L$2,'Præsentationstabeller 1'!$C$2),0)</f>
        <v/>
      </c>
    </row>
    <row r="35" spans="1:12" x14ac:dyDescent="0.3">
      <c r="A35" s="123" t="str" vm="1301">
        <f>CUBEMEMBER("BIDB","[Dimittenddato].[Dimittenddato].&amp;[2007-07-02T00:00:00]")</f>
        <v>02-07-2007</v>
      </c>
      <c r="B35" t="str" vm="2488">
        <f>IFERROR(CUBEVALUE("BIDB",$A35,B$3,'Præsentationstabeller 1'!$C$2),0)</f>
        <v/>
      </c>
      <c r="C35" vm="2373">
        <f>IFERROR(CUBEVALUE("BIDB",$A35,C$3,C$2,'Præsentationstabeller 1'!$C$2),0)</f>
        <v>2</v>
      </c>
      <c r="D35" vm="9266">
        <f>IFERROR(CUBEVALUE("BIDB",$A35,D$3,D$2,'Præsentationstabeller 1'!$C$2),0)</f>
        <v>1</v>
      </c>
      <c r="E35" vm="12357">
        <f>IFERROR(CUBEVALUE("BIDB",$A35,E$3,E$2,'Præsentationstabeller 1'!$C$2),0)</f>
        <v>4</v>
      </c>
      <c r="F35" vm="3116">
        <f>IFERROR(CUBEVALUE("BIDB",$A35,F$3,F$2,'Præsentationstabeller 1'!$C$2),0)</f>
        <v>4</v>
      </c>
      <c r="G35" vm="2096">
        <f>IFERROR(CUBEVALUE("BIDB",$A35,G$3,G$2,'Præsentationstabeller 1'!$C$2),0)</f>
        <v>8</v>
      </c>
      <c r="H35" t="str" vm="1959">
        <f>IFERROR(CUBEVALUE("BIDB",$A35,H$3,H$2,'Præsentationstabeller 1'!$C$2),0)</f>
        <v/>
      </c>
      <c r="I35" t="str" vm="7965">
        <f>IFERROR(CUBEVALUE("BIDB",$A35,I$3,I$2,'Præsentationstabeller 1'!$C$2),0)</f>
        <v/>
      </c>
      <c r="J35" t="str" vm="12414">
        <f>IFERROR(CUBEVALUE("BIDB",$A35,J$3,J$2,'Præsentationstabeller 1'!$C$2),0)</f>
        <v/>
      </c>
      <c r="K35" t="str" vm="1634">
        <f>IFERROR(CUBEVALUE("BIDB",$A35,K$3,K$2,'Præsentationstabeller 1'!$C$2),0)</f>
        <v/>
      </c>
      <c r="L35" t="str" vm="2139">
        <f>IFERROR(CUBEVALUE("BIDB",$A35,L$3,L$2,'Præsentationstabeller 1'!$C$2),0)</f>
        <v/>
      </c>
    </row>
    <row r="36" spans="1:12" x14ac:dyDescent="0.3">
      <c r="A36" s="123" t="str" vm="1300">
        <f>CUBEMEMBER("BIDB","[Dimittenddato].[Dimittenddato].&amp;[2007-07-03T00:00:00]")</f>
        <v>03-07-2007</v>
      </c>
      <c r="B36" t="str" vm="3799">
        <f>IFERROR(CUBEVALUE("BIDB",$A36,B$3,'Præsentationstabeller 1'!$C$2),0)</f>
        <v/>
      </c>
      <c r="C36" t="str" vm="2075">
        <f>IFERROR(CUBEVALUE("BIDB",$A36,C$3,C$2,'Præsentationstabeller 1'!$C$2),0)</f>
        <v/>
      </c>
      <c r="D36" vm="11516">
        <f>IFERROR(CUBEVALUE("BIDB",$A36,D$3,D$2,'Præsentationstabeller 1'!$C$2),0)</f>
        <v>1</v>
      </c>
      <c r="E36" vm="14305">
        <f>IFERROR(CUBEVALUE("BIDB",$A36,E$3,E$2,'Præsentationstabeller 1'!$C$2),0)</f>
        <v>4</v>
      </c>
      <c r="F36" vm="2648">
        <f>IFERROR(CUBEVALUE("BIDB",$A36,F$3,F$2,'Præsentationstabeller 1'!$C$2),0)</f>
        <v>1</v>
      </c>
      <c r="G36" vm="2400">
        <f>IFERROR(CUBEVALUE("BIDB",$A36,G$3,G$2,'Præsentationstabeller 1'!$C$2),0)</f>
        <v>5</v>
      </c>
      <c r="H36" t="str" vm="1447">
        <f>IFERROR(CUBEVALUE("BIDB",$A36,H$3,H$2,'Præsentationstabeller 1'!$C$2),0)</f>
        <v/>
      </c>
      <c r="I36" t="str" vm="12717">
        <f>IFERROR(CUBEVALUE("BIDB",$A36,I$3,I$2,'Præsentationstabeller 1'!$C$2),0)</f>
        <v/>
      </c>
      <c r="J36" t="str" vm="13827">
        <f>IFERROR(CUBEVALUE("BIDB",$A36,J$3,J$2,'Præsentationstabeller 1'!$C$2),0)</f>
        <v/>
      </c>
      <c r="K36" t="str" vm="1983">
        <f>IFERROR(CUBEVALUE("BIDB",$A36,K$3,K$2,'Præsentationstabeller 1'!$C$2),0)</f>
        <v/>
      </c>
      <c r="L36" t="str" vm="16265">
        <f>IFERROR(CUBEVALUE("BIDB",$A36,L$3,L$2,'Præsentationstabeller 1'!$C$2),0)</f>
        <v/>
      </c>
    </row>
    <row r="37" spans="1:12" x14ac:dyDescent="0.3">
      <c r="A37" s="123" t="str" vm="1299">
        <f>CUBEMEMBER("BIDB","[Dimittenddato].[Dimittenddato].&amp;[2007-07-04T00:00:00]")</f>
        <v>04-07-2007</v>
      </c>
      <c r="B37" t="str" vm="6072">
        <f>IFERROR(CUBEVALUE("BIDB",$A37,B$3,'Præsentationstabeller 1'!$C$2),0)</f>
        <v/>
      </c>
      <c r="C37" t="str" vm="2207">
        <f>IFERROR(CUBEVALUE("BIDB",$A37,C$3,C$2,'Præsentationstabeller 1'!$C$2),0)</f>
        <v/>
      </c>
      <c r="D37" t="str" vm="15655">
        <f>IFERROR(CUBEVALUE("BIDB",$A37,D$3,D$2,'Præsentationstabeller 1'!$C$2),0)</f>
        <v/>
      </c>
      <c r="E37" vm="16321">
        <f>IFERROR(CUBEVALUE("BIDB",$A37,E$3,E$2,'Præsentationstabeller 1'!$C$2),0)</f>
        <v>1</v>
      </c>
      <c r="F37" vm="2973">
        <f>IFERROR(CUBEVALUE("BIDB",$A37,F$3,F$2,'Præsentationstabeller 1'!$C$2),0)</f>
        <v>0</v>
      </c>
      <c r="G37" vm="1645">
        <f>IFERROR(CUBEVALUE("BIDB",$A37,G$3,G$2,'Præsentationstabeller 1'!$C$2),0)</f>
        <v>1</v>
      </c>
      <c r="H37" t="str" vm="3180">
        <f>IFERROR(CUBEVALUE("BIDB",$A37,H$3,H$2,'Præsentationstabeller 1'!$C$2),0)</f>
        <v/>
      </c>
      <c r="I37" t="str" vm="7399">
        <f>IFERROR(CUBEVALUE("BIDB",$A37,I$3,I$2,'Præsentationstabeller 1'!$C$2),0)</f>
        <v/>
      </c>
      <c r="J37" t="str" vm="14833">
        <f>IFERROR(CUBEVALUE("BIDB",$A37,J$3,J$2,'Præsentationstabeller 1'!$C$2),0)</f>
        <v/>
      </c>
      <c r="K37" t="str" vm="1909">
        <f>IFERROR(CUBEVALUE("BIDB",$A37,K$3,K$2,'Præsentationstabeller 1'!$C$2),0)</f>
        <v/>
      </c>
      <c r="L37" t="str" vm="15815">
        <f>IFERROR(CUBEVALUE("BIDB",$A37,L$3,L$2,'Præsentationstabeller 1'!$C$2),0)</f>
        <v/>
      </c>
    </row>
    <row r="38" spans="1:12" x14ac:dyDescent="0.3">
      <c r="A38" s="123" t="str" vm="1298">
        <f>CUBEMEMBER("BIDB","[Dimittenddato].[Dimittenddato].&amp;[2007-07-05T00:00:00]")</f>
        <v>05-07-2007</v>
      </c>
      <c r="B38" t="str" vm="16283">
        <f>IFERROR(CUBEVALUE("BIDB",$A38,B$3,'Præsentationstabeller 1'!$C$2),0)</f>
        <v/>
      </c>
      <c r="C38" t="str" vm="1557">
        <f>IFERROR(CUBEVALUE("BIDB",$A38,C$3,C$2,'Præsentationstabeller 1'!$C$2),0)</f>
        <v/>
      </c>
      <c r="D38" t="str" vm="12665">
        <f>IFERROR(CUBEVALUE("BIDB",$A38,D$3,D$2,'Præsentationstabeller 1'!$C$2),0)</f>
        <v/>
      </c>
      <c r="E38" vm="9859">
        <f>IFERROR(CUBEVALUE("BIDB",$A38,E$3,E$2,'Præsentationstabeller 1'!$C$2),0)</f>
        <v>1</v>
      </c>
      <c r="F38" t="str" vm="1660">
        <f>IFERROR(CUBEVALUE("BIDB",$A38,F$3,F$2,'Præsentationstabeller 1'!$C$2),0)</f>
        <v/>
      </c>
      <c r="G38" vm="1562">
        <f>IFERROR(CUBEVALUE("BIDB",$A38,G$3,G$2,'Præsentationstabeller 1'!$C$2),0)</f>
        <v>1</v>
      </c>
      <c r="H38" t="str" vm="1538">
        <f>IFERROR(CUBEVALUE("BIDB",$A38,H$3,H$2,'Præsentationstabeller 1'!$C$2),0)</f>
        <v/>
      </c>
      <c r="I38" t="str" vm="9971">
        <f>IFERROR(CUBEVALUE("BIDB",$A38,I$3,I$2,'Præsentationstabeller 1'!$C$2),0)</f>
        <v/>
      </c>
      <c r="J38" t="str" vm="12117">
        <f>IFERROR(CUBEVALUE("BIDB",$A38,J$3,J$2,'Præsentationstabeller 1'!$C$2),0)</f>
        <v/>
      </c>
      <c r="K38" t="str" vm="2214">
        <f>IFERROR(CUBEVALUE("BIDB",$A38,K$3,K$2,'Præsentationstabeller 1'!$C$2),0)</f>
        <v/>
      </c>
      <c r="L38" t="str" vm="16684">
        <f>IFERROR(CUBEVALUE("BIDB",$A38,L$3,L$2,'Præsentationstabeller 1'!$C$2),0)</f>
        <v/>
      </c>
    </row>
    <row r="39" spans="1:12" x14ac:dyDescent="0.3">
      <c r="A39" s="123" t="str" vm="1297">
        <f>CUBEMEMBER("BIDB","[Dimittenddato].[Dimittenddato].&amp;[2007-07-06T00:00:00]")</f>
        <v>06-07-2007</v>
      </c>
      <c r="B39" t="str" vm="8709">
        <f>IFERROR(CUBEVALUE("BIDB",$A39,B$3,'Præsentationstabeller 1'!$C$2),0)</f>
        <v/>
      </c>
      <c r="C39" vm="4420">
        <f>IFERROR(CUBEVALUE("BIDB",$A39,C$3,C$2,'Præsentationstabeller 1'!$C$2),0)</f>
        <v>0</v>
      </c>
      <c r="D39" vm="10532">
        <f>IFERROR(CUBEVALUE("BIDB",$A39,D$3,D$2,'Præsentationstabeller 1'!$C$2),0)</f>
        <v>1</v>
      </c>
      <c r="E39" vm="16458">
        <f>IFERROR(CUBEVALUE("BIDB",$A39,E$3,E$2,'Præsentationstabeller 1'!$C$2),0)</f>
        <v>4</v>
      </c>
      <c r="F39" vm="2432">
        <f>IFERROR(CUBEVALUE("BIDB",$A39,F$3,F$2,'Præsentationstabeller 1'!$C$2),0)</f>
        <v>5</v>
      </c>
      <c r="G39" vm="1550">
        <f>IFERROR(CUBEVALUE("BIDB",$A39,G$3,G$2,'Præsentationstabeller 1'!$C$2),0)</f>
        <v>9</v>
      </c>
      <c r="H39" t="str" vm="1460">
        <f>IFERROR(CUBEVALUE("BIDB",$A39,H$3,H$2,'Præsentationstabeller 1'!$C$2),0)</f>
        <v/>
      </c>
      <c r="I39" t="str" vm="7367">
        <f>IFERROR(CUBEVALUE("BIDB",$A39,I$3,I$2,'Præsentationstabeller 1'!$C$2),0)</f>
        <v/>
      </c>
      <c r="J39" t="str" vm="15433">
        <f>IFERROR(CUBEVALUE("BIDB",$A39,J$3,J$2,'Præsentationstabeller 1'!$C$2),0)</f>
        <v/>
      </c>
      <c r="K39" t="str" vm="1780">
        <f>IFERROR(CUBEVALUE("BIDB",$A39,K$3,K$2,'Præsentationstabeller 1'!$C$2),0)</f>
        <v/>
      </c>
      <c r="L39" t="str" vm="17185">
        <f>IFERROR(CUBEVALUE("BIDB",$A39,L$3,L$2,'Præsentationstabeller 1'!$C$2),0)</f>
        <v/>
      </c>
    </row>
    <row r="40" spans="1:12" x14ac:dyDescent="0.3">
      <c r="A40" s="123" t="str" vm="1296">
        <f>CUBEMEMBER("BIDB","[Dimittenddato].[Dimittenddato].&amp;[2007-07-07T00:00:00]")</f>
        <v>07-07-2007</v>
      </c>
      <c r="B40" t="str" vm="8677">
        <f>IFERROR(CUBEVALUE("BIDB",$A40,B$3,'Præsentationstabeller 1'!$C$2),0)</f>
        <v/>
      </c>
      <c r="C40" t="str" vm="2459">
        <f>IFERROR(CUBEVALUE("BIDB",$A40,C$3,C$2,'Præsentationstabeller 1'!$C$2),0)</f>
        <v/>
      </c>
      <c r="D40" t="str" vm="15348">
        <f>IFERROR(CUBEVALUE("BIDB",$A40,D$3,D$2,'Præsentationstabeller 1'!$C$2),0)</f>
        <v/>
      </c>
      <c r="E40" t="str" vm="16079">
        <f>IFERROR(CUBEVALUE("BIDB",$A40,E$3,E$2,'Præsentationstabeller 1'!$C$2),0)</f>
        <v/>
      </c>
      <c r="F40" t="str" vm="1654">
        <f>IFERROR(CUBEVALUE("BIDB",$A40,F$3,F$2,'Præsentationstabeller 1'!$C$2),0)</f>
        <v/>
      </c>
      <c r="G40" t="str" vm="2485">
        <f>IFERROR(CUBEVALUE("BIDB",$A40,G$3,G$2,'Præsentationstabeller 1'!$C$2),0)</f>
        <v/>
      </c>
      <c r="H40" t="str" vm="1442">
        <f>IFERROR(CUBEVALUE("BIDB",$A40,H$3,H$2,'Præsentationstabeller 1'!$C$2),0)</f>
        <v/>
      </c>
      <c r="I40" t="str" vm="13040">
        <f>IFERROR(CUBEVALUE("BIDB",$A40,I$3,I$2,'Præsentationstabeller 1'!$C$2),0)</f>
        <v/>
      </c>
      <c r="J40" t="str" vm="11914">
        <f>IFERROR(CUBEVALUE("BIDB",$A40,J$3,J$2,'Præsentationstabeller 1'!$C$2),0)</f>
        <v/>
      </c>
      <c r="K40" t="str" vm="2338">
        <f>IFERROR(CUBEVALUE("BIDB",$A40,K$3,K$2,'Præsentationstabeller 1'!$C$2),0)</f>
        <v/>
      </c>
      <c r="L40" t="str" vm="16278">
        <f>IFERROR(CUBEVALUE("BIDB",$A40,L$3,L$2,'Præsentationstabeller 1'!$C$2),0)</f>
        <v/>
      </c>
    </row>
    <row r="41" spans="1:12" x14ac:dyDescent="0.3">
      <c r="A41" s="123" t="str" vm="1295">
        <f>CUBEMEMBER("BIDB","[Dimittenddato].[Dimittenddato].&amp;[2007-07-08T00:00:00]")</f>
        <v>08-07-2007</v>
      </c>
      <c r="B41" t="str" vm="3097">
        <f>IFERROR(CUBEVALUE("BIDB",$A41,B$3,'Præsentationstabeller 1'!$C$2),0)</f>
        <v/>
      </c>
      <c r="C41" t="str" vm="1778">
        <f>IFERROR(CUBEVALUE("BIDB",$A41,C$3,C$2,'Præsentationstabeller 1'!$C$2),0)</f>
        <v/>
      </c>
      <c r="D41" t="str" vm="13834">
        <f>IFERROR(CUBEVALUE("BIDB",$A41,D$3,D$2,'Præsentationstabeller 1'!$C$2),0)</f>
        <v/>
      </c>
      <c r="E41" t="str" vm="14627">
        <f>IFERROR(CUBEVALUE("BIDB",$A41,E$3,E$2,'Præsentationstabeller 1'!$C$2),0)</f>
        <v/>
      </c>
      <c r="F41" t="str" vm="2421">
        <f>IFERROR(CUBEVALUE("BIDB",$A41,F$3,F$2,'Præsentationstabeller 1'!$C$2),0)</f>
        <v/>
      </c>
      <c r="G41" t="str" vm="2238">
        <f>IFERROR(CUBEVALUE("BIDB",$A41,G$3,G$2,'Præsentationstabeller 1'!$C$2),0)</f>
        <v/>
      </c>
      <c r="H41" t="str" vm="2251">
        <f>IFERROR(CUBEVALUE("BIDB",$A41,H$3,H$2,'Præsentationstabeller 1'!$C$2),0)</f>
        <v/>
      </c>
      <c r="I41" t="str" vm="12309">
        <f>IFERROR(CUBEVALUE("BIDB",$A41,I$3,I$2,'Præsentationstabeller 1'!$C$2),0)</f>
        <v/>
      </c>
      <c r="J41" t="str" vm="12160">
        <f>IFERROR(CUBEVALUE("BIDB",$A41,J$3,J$2,'Præsentationstabeller 1'!$C$2),0)</f>
        <v/>
      </c>
      <c r="K41" t="str" vm="2215">
        <f>IFERROR(CUBEVALUE("BIDB",$A41,K$3,K$2,'Præsentationstabeller 1'!$C$2),0)</f>
        <v/>
      </c>
      <c r="L41" t="str" vm="16681">
        <f>IFERROR(CUBEVALUE("BIDB",$A41,L$3,L$2,'Præsentationstabeller 1'!$C$2),0)</f>
        <v/>
      </c>
    </row>
    <row r="42" spans="1:12" x14ac:dyDescent="0.3">
      <c r="A42" s="123" t="str" vm="1294">
        <f>CUBEMEMBER("BIDB","[Dimittenddato].[Dimittenddato].&amp;[2007-07-09T00:00:00]")</f>
        <v>09-07-2007</v>
      </c>
      <c r="B42" t="str" vm="2597">
        <f>IFERROR(CUBEVALUE("BIDB",$A42,B$3,'Præsentationstabeller 1'!$C$2),0)</f>
        <v/>
      </c>
      <c r="C42" t="str" vm="1564">
        <f>IFERROR(CUBEVALUE("BIDB",$A42,C$3,C$2,'Præsentationstabeller 1'!$C$2),0)</f>
        <v/>
      </c>
      <c r="D42" t="str" vm="17012">
        <f>IFERROR(CUBEVALUE("BIDB",$A42,D$3,D$2,'Præsentationstabeller 1'!$C$2),0)</f>
        <v/>
      </c>
      <c r="E42" vm="8480">
        <f>IFERROR(CUBEVALUE("BIDB",$A42,E$3,E$2,'Præsentationstabeller 1'!$C$2),0)</f>
        <v>1</v>
      </c>
      <c r="F42" t="str" vm="2494">
        <f>IFERROR(CUBEVALUE("BIDB",$A42,F$3,F$2,'Præsentationstabeller 1'!$C$2),0)</f>
        <v/>
      </c>
      <c r="G42" vm="2612">
        <f>IFERROR(CUBEVALUE("BIDB",$A42,G$3,G$2,'Præsentationstabeller 1'!$C$2),0)</f>
        <v>1</v>
      </c>
      <c r="H42" t="str" vm="1544">
        <f>IFERROR(CUBEVALUE("BIDB",$A42,H$3,H$2,'Præsentationstabeller 1'!$C$2),0)</f>
        <v/>
      </c>
      <c r="I42" t="str" vm="11823">
        <f>IFERROR(CUBEVALUE("BIDB",$A42,I$3,I$2,'Præsentationstabeller 1'!$C$2),0)</f>
        <v/>
      </c>
      <c r="J42" t="str" vm="12011">
        <f>IFERROR(CUBEVALUE("BIDB",$A42,J$3,J$2,'Præsentationstabeller 1'!$C$2),0)</f>
        <v/>
      </c>
      <c r="K42" t="str" vm="2816">
        <f>IFERROR(CUBEVALUE("BIDB",$A42,K$3,K$2,'Præsentationstabeller 1'!$C$2),0)</f>
        <v/>
      </c>
      <c r="L42" t="str" vm="16256">
        <f>IFERROR(CUBEVALUE("BIDB",$A42,L$3,L$2,'Præsentationstabeller 1'!$C$2),0)</f>
        <v/>
      </c>
    </row>
    <row r="43" spans="1:12" x14ac:dyDescent="0.3">
      <c r="A43" s="123" t="str" vm="1293">
        <f>CUBEMEMBER("BIDB","[Dimittenddato].[Dimittenddato].&amp;[2007-07-10T00:00:00]")</f>
        <v>10-07-2007</v>
      </c>
      <c r="B43" t="str" vm="3433">
        <f>IFERROR(CUBEVALUE("BIDB",$A43,B$3,'Præsentationstabeller 1'!$C$2),0)</f>
        <v/>
      </c>
      <c r="C43" t="str" vm="2541">
        <f>IFERROR(CUBEVALUE("BIDB",$A43,C$3,C$2,'Præsentationstabeller 1'!$C$2),0)</f>
        <v/>
      </c>
      <c r="D43" vm="11839">
        <f>IFERROR(CUBEVALUE("BIDB",$A43,D$3,D$2,'Præsentationstabeller 1'!$C$2),0)</f>
        <v>1</v>
      </c>
      <c r="E43" vm="11050">
        <f>IFERROR(CUBEVALUE("BIDB",$A43,E$3,E$2,'Præsentationstabeller 1'!$C$2),0)</f>
        <v>1</v>
      </c>
      <c r="F43" vm="2231">
        <f>IFERROR(CUBEVALUE("BIDB",$A43,F$3,F$2,'Præsentationstabeller 1'!$C$2),0)</f>
        <v>1</v>
      </c>
      <c r="G43" vm="1887">
        <f>IFERROR(CUBEVALUE("BIDB",$A43,G$3,G$2,'Præsentationstabeller 1'!$C$2),0)</f>
        <v>2</v>
      </c>
      <c r="H43" t="str" vm="1477">
        <f>IFERROR(CUBEVALUE("BIDB",$A43,H$3,H$2,'Præsentationstabeller 1'!$C$2),0)</f>
        <v/>
      </c>
      <c r="I43" t="str" vm="12453">
        <f>IFERROR(CUBEVALUE("BIDB",$A43,I$3,I$2,'Præsentationstabeller 1'!$C$2),0)</f>
        <v/>
      </c>
      <c r="J43" vm="13371">
        <f>IFERROR(CUBEVALUE("BIDB",$A43,J$3,J$2,'Præsentationstabeller 1'!$C$2),0)</f>
        <v>1</v>
      </c>
      <c r="K43" t="str" vm="3106">
        <f>IFERROR(CUBEVALUE("BIDB",$A43,K$3,K$2,'Præsentationstabeller 1'!$C$2),0)</f>
        <v/>
      </c>
      <c r="L43" vm="1927">
        <f>IFERROR(CUBEVALUE("BIDB",$A43,L$3,L$2,'Præsentationstabeller 1'!$C$2),0)</f>
        <v>1</v>
      </c>
    </row>
    <row r="44" spans="1:12" x14ac:dyDescent="0.3">
      <c r="A44" s="123" t="str" vm="1292">
        <f>CUBEMEMBER("BIDB","[Dimittenddato].[Dimittenddato].&amp;[2007-07-11T00:00:00]")</f>
        <v>11-07-2007</v>
      </c>
      <c r="B44" t="str" vm="2842">
        <f>IFERROR(CUBEVALUE("BIDB",$A44,B$3,'Præsentationstabeller 1'!$C$2),0)</f>
        <v/>
      </c>
      <c r="C44" t="str" vm="1731">
        <f>IFERROR(CUBEVALUE("BIDB",$A44,C$3,C$2,'Præsentationstabeller 1'!$C$2),0)</f>
        <v/>
      </c>
      <c r="D44" t="str" vm="11875">
        <f>IFERROR(CUBEVALUE("BIDB",$A44,D$3,D$2,'Præsentationstabeller 1'!$C$2),0)</f>
        <v/>
      </c>
      <c r="E44" vm="14609">
        <f>IFERROR(CUBEVALUE("BIDB",$A44,E$3,E$2,'Præsentationstabeller 1'!$C$2),0)</f>
        <v>3</v>
      </c>
      <c r="F44" vm="1955">
        <f>IFERROR(CUBEVALUE("BIDB",$A44,F$3,F$2,'Præsentationstabeller 1'!$C$2),0)</f>
        <v>2</v>
      </c>
      <c r="G44" vm="2437">
        <f>IFERROR(CUBEVALUE("BIDB",$A44,G$3,G$2,'Præsentationstabeller 1'!$C$2),0)</f>
        <v>5</v>
      </c>
      <c r="H44" t="str" vm="3065">
        <f>IFERROR(CUBEVALUE("BIDB",$A44,H$3,H$2,'Præsentationstabeller 1'!$C$2),0)</f>
        <v/>
      </c>
      <c r="I44" t="str" vm="10516">
        <f>IFERROR(CUBEVALUE("BIDB",$A44,I$3,I$2,'Præsentationstabeller 1'!$C$2),0)</f>
        <v/>
      </c>
      <c r="J44" t="str" vm="16666">
        <f>IFERROR(CUBEVALUE("BIDB",$A44,J$3,J$2,'Præsentationstabeller 1'!$C$2),0)</f>
        <v/>
      </c>
      <c r="K44" t="str" vm="2093">
        <f>IFERROR(CUBEVALUE("BIDB",$A44,K$3,K$2,'Præsentationstabeller 1'!$C$2),0)</f>
        <v/>
      </c>
      <c r="L44" t="str" vm="1748">
        <f>IFERROR(CUBEVALUE("BIDB",$A44,L$3,L$2,'Præsentationstabeller 1'!$C$2),0)</f>
        <v/>
      </c>
    </row>
    <row r="45" spans="1:12" x14ac:dyDescent="0.3">
      <c r="A45" s="123" t="str" vm="1291">
        <f>CUBEMEMBER("BIDB","[Dimittenddato].[Dimittenddato].&amp;[2007-07-12T00:00:00]")</f>
        <v>12-07-2007</v>
      </c>
      <c r="B45" t="str" vm="6260">
        <f>IFERROR(CUBEVALUE("BIDB",$A45,B$3,'Præsentationstabeller 1'!$C$2),0)</f>
        <v/>
      </c>
      <c r="C45" t="str" vm="1733">
        <f>IFERROR(CUBEVALUE("BIDB",$A45,C$3,C$2,'Præsentationstabeller 1'!$C$2),0)</f>
        <v/>
      </c>
      <c r="D45" t="str" vm="14125">
        <f>IFERROR(CUBEVALUE("BIDB",$A45,D$3,D$2,'Præsentationstabeller 1'!$C$2),0)</f>
        <v/>
      </c>
      <c r="E45" vm="12341">
        <f>IFERROR(CUBEVALUE("BIDB",$A45,E$3,E$2,'Præsentationstabeller 1'!$C$2),0)</f>
        <v>3</v>
      </c>
      <c r="F45" vm="2527">
        <f>IFERROR(CUBEVALUE("BIDB",$A45,F$3,F$2,'Præsentationstabeller 1'!$C$2),0)</f>
        <v>1</v>
      </c>
      <c r="G45" vm="1675">
        <f>IFERROR(CUBEVALUE("BIDB",$A45,G$3,G$2,'Præsentationstabeller 1'!$C$2),0)</f>
        <v>4</v>
      </c>
      <c r="H45" t="str" vm="5431">
        <f>IFERROR(CUBEVALUE("BIDB",$A45,H$3,H$2,'Præsentationstabeller 1'!$C$2),0)</f>
        <v/>
      </c>
      <c r="I45" t="str" vm="8140">
        <f>IFERROR(CUBEVALUE("BIDB",$A45,I$3,I$2,'Præsentationstabeller 1'!$C$2),0)</f>
        <v/>
      </c>
      <c r="J45" t="str" vm="16663">
        <f>IFERROR(CUBEVALUE("BIDB",$A45,J$3,J$2,'Præsentationstabeller 1'!$C$2),0)</f>
        <v/>
      </c>
      <c r="K45" t="str" vm="2224">
        <f>IFERROR(CUBEVALUE("BIDB",$A45,K$3,K$2,'Præsentationstabeller 1'!$C$2),0)</f>
        <v/>
      </c>
      <c r="L45" t="str" vm="1911">
        <f>IFERROR(CUBEVALUE("BIDB",$A45,L$3,L$2,'Præsentationstabeller 1'!$C$2),0)</f>
        <v/>
      </c>
    </row>
    <row r="46" spans="1:12" x14ac:dyDescent="0.3">
      <c r="A46" s="123" t="str" vm="1290">
        <f>CUBEMEMBER("BIDB","[Dimittenddato].[Dimittenddato].&amp;[2007-07-13T00:00:00]")</f>
        <v>13-07-2007</v>
      </c>
      <c r="B46" t="str" vm="16720">
        <f>IFERROR(CUBEVALUE("BIDB",$A46,B$3,'Præsentationstabeller 1'!$C$2),0)</f>
        <v/>
      </c>
      <c r="C46" t="str" vm="2360">
        <f>IFERROR(CUBEVALUE("BIDB",$A46,C$3,C$2,'Præsentationstabeller 1'!$C$2),0)</f>
        <v/>
      </c>
      <c r="D46" vm="16883">
        <f>IFERROR(CUBEVALUE("BIDB",$A46,D$3,D$2,'Præsentationstabeller 1'!$C$2),0)</f>
        <v>2</v>
      </c>
      <c r="E46" t="str" vm="12320">
        <f>IFERROR(CUBEVALUE("BIDB",$A46,E$3,E$2,'Præsentationstabeller 1'!$C$2),0)</f>
        <v/>
      </c>
      <c r="F46" vm="2467">
        <f>IFERROR(CUBEVALUE("BIDB",$A46,F$3,F$2,'Præsentationstabeller 1'!$C$2),0)</f>
        <v>1</v>
      </c>
      <c r="G46" vm="1726">
        <f>IFERROR(CUBEVALUE("BIDB",$A46,G$3,G$2,'Præsentationstabeller 1'!$C$2),0)</f>
        <v>1</v>
      </c>
      <c r="H46" t="str" vm="2506">
        <f>IFERROR(CUBEVALUE("BIDB",$A46,H$3,H$2,'Præsentationstabeller 1'!$C$2),0)</f>
        <v/>
      </c>
      <c r="I46" t="str" vm="10768">
        <f>IFERROR(CUBEVALUE("BIDB",$A46,I$3,I$2,'Præsentationstabeller 1'!$C$2),0)</f>
        <v/>
      </c>
      <c r="J46" t="str" vm="13675">
        <f>IFERROR(CUBEVALUE("BIDB",$A46,J$3,J$2,'Præsentationstabeller 1'!$C$2),0)</f>
        <v/>
      </c>
      <c r="K46" t="str" vm="1724">
        <f>IFERROR(CUBEVALUE("BIDB",$A46,K$3,K$2,'Præsentationstabeller 1'!$C$2),0)</f>
        <v/>
      </c>
      <c r="L46" t="str" vm="15825">
        <f>IFERROR(CUBEVALUE("BIDB",$A46,L$3,L$2,'Præsentationstabeller 1'!$C$2),0)</f>
        <v/>
      </c>
    </row>
    <row r="47" spans="1:12" x14ac:dyDescent="0.3">
      <c r="A47" s="123" t="str" vm="1289">
        <f>CUBEMEMBER("BIDB","[Dimittenddato].[Dimittenddato].&amp;[2007-07-14T00:00:00]")</f>
        <v>14-07-2007</v>
      </c>
      <c r="B47" t="str" vm="4548">
        <f>IFERROR(CUBEVALUE("BIDB",$A47,B$3,'Præsentationstabeller 1'!$C$2),0)</f>
        <v/>
      </c>
      <c r="C47" t="str" vm="2151">
        <f>IFERROR(CUBEVALUE("BIDB",$A47,C$3,C$2,'Præsentationstabeller 1'!$C$2),0)</f>
        <v/>
      </c>
      <c r="D47" t="str" vm="13043">
        <f>IFERROR(CUBEVALUE("BIDB",$A47,D$3,D$2,'Præsentationstabeller 1'!$C$2),0)</f>
        <v/>
      </c>
      <c r="E47" vm="11897">
        <f>IFERROR(CUBEVALUE("BIDB",$A47,E$3,E$2,'Præsentationstabeller 1'!$C$2),0)</f>
        <v>0</v>
      </c>
      <c r="F47" vm="2638">
        <f>IFERROR(CUBEVALUE("BIDB",$A47,F$3,F$2,'Præsentationstabeller 1'!$C$2),0)</f>
        <v>1</v>
      </c>
      <c r="G47" vm="2942">
        <f>IFERROR(CUBEVALUE("BIDB",$A47,G$3,G$2,'Præsentationstabeller 1'!$C$2),0)</f>
        <v>1</v>
      </c>
      <c r="H47" t="str" vm="1929">
        <f>IFERROR(CUBEVALUE("BIDB",$A47,H$3,H$2,'Præsentationstabeller 1'!$C$2),0)</f>
        <v/>
      </c>
      <c r="I47" t="str" vm="8897">
        <f>IFERROR(CUBEVALUE("BIDB",$A47,I$3,I$2,'Præsentationstabeller 1'!$C$2),0)</f>
        <v/>
      </c>
      <c r="J47" t="str" vm="15220">
        <f>IFERROR(CUBEVALUE("BIDB",$A47,J$3,J$2,'Præsentationstabeller 1'!$C$2),0)</f>
        <v/>
      </c>
      <c r="K47" t="str" vm="1764">
        <f>IFERROR(CUBEVALUE("BIDB",$A47,K$3,K$2,'Præsentationstabeller 1'!$C$2),0)</f>
        <v/>
      </c>
      <c r="L47" t="str" vm="17189">
        <f>IFERROR(CUBEVALUE("BIDB",$A47,L$3,L$2,'Præsentationstabeller 1'!$C$2),0)</f>
        <v/>
      </c>
    </row>
    <row r="48" spans="1:12" x14ac:dyDescent="0.3">
      <c r="A48" s="123" t="str" vm="1288">
        <f>CUBEMEMBER("BIDB","[Dimittenddato].[Dimittenddato].&amp;[2007-07-15T00:00:00]")</f>
        <v>15-07-2007</v>
      </c>
      <c r="B48" t="str" vm="3077">
        <f>IFERROR(CUBEVALUE("BIDB",$A48,B$3,'Præsentationstabeller 1'!$C$2),0)</f>
        <v/>
      </c>
      <c r="C48" t="str" vm="2333">
        <f>IFERROR(CUBEVALUE("BIDB",$A48,C$3,C$2,'Præsentationstabeller 1'!$C$2),0)</f>
        <v/>
      </c>
      <c r="D48" vm="11855">
        <f>IFERROR(CUBEVALUE("BIDB",$A48,D$3,D$2,'Præsentationstabeller 1'!$C$2),0)</f>
        <v>2</v>
      </c>
      <c r="E48" vm="11013">
        <f>IFERROR(CUBEVALUE("BIDB",$A48,E$3,E$2,'Præsentationstabeller 1'!$C$2),0)</f>
        <v>1</v>
      </c>
      <c r="F48" vm="2340">
        <f>IFERROR(CUBEVALUE("BIDB",$A48,F$3,F$2,'Præsentationstabeller 1'!$C$2),0)</f>
        <v>0</v>
      </c>
      <c r="G48" vm="2056">
        <f>IFERROR(CUBEVALUE("BIDB",$A48,G$3,G$2,'Præsentationstabeller 1'!$C$2),0)</f>
        <v>1</v>
      </c>
      <c r="H48" t="str" vm="1518">
        <f>IFERROR(CUBEVALUE("BIDB",$A48,H$3,H$2,'Præsentationstabeller 1'!$C$2),0)</f>
        <v/>
      </c>
      <c r="I48" t="str" vm="14721">
        <f>IFERROR(CUBEVALUE("BIDB",$A48,I$3,I$2,'Præsentationstabeller 1'!$C$2),0)</f>
        <v/>
      </c>
      <c r="J48" t="str" vm="14915">
        <f>IFERROR(CUBEVALUE("BIDB",$A48,J$3,J$2,'Præsentationstabeller 1'!$C$2),0)</f>
        <v/>
      </c>
      <c r="K48" t="str" vm="1735">
        <f>IFERROR(CUBEVALUE("BIDB",$A48,K$3,K$2,'Præsentationstabeller 1'!$C$2),0)</f>
        <v/>
      </c>
      <c r="L48" t="str" vm="16252">
        <f>IFERROR(CUBEVALUE("BIDB",$A48,L$3,L$2,'Præsentationstabeller 1'!$C$2),0)</f>
        <v/>
      </c>
    </row>
    <row r="49" spans="1:12" x14ac:dyDescent="0.3">
      <c r="A49" s="123" t="str" vm="1287">
        <f>CUBEMEMBER("BIDB","[Dimittenddato].[Dimittenddato].&amp;[2007-07-16T00:00:00]")</f>
        <v>16-07-2007</v>
      </c>
      <c r="B49" t="str" vm="2560">
        <f>IFERROR(CUBEVALUE("BIDB",$A49,B$3,'Præsentationstabeller 1'!$C$2),0)</f>
        <v/>
      </c>
      <c r="C49" t="str" vm="2031">
        <f>IFERROR(CUBEVALUE("BIDB",$A49,C$3,C$2,'Præsentationstabeller 1'!$C$2),0)</f>
        <v/>
      </c>
      <c r="D49" t="str" vm="16474">
        <f>IFERROR(CUBEVALUE("BIDB",$A49,D$3,D$2,'Præsentationstabeller 1'!$C$2),0)</f>
        <v/>
      </c>
      <c r="E49" t="str" vm="16220">
        <f>IFERROR(CUBEVALUE("BIDB",$A49,E$3,E$2,'Præsentationstabeller 1'!$C$2),0)</f>
        <v/>
      </c>
      <c r="F49" vm="2252">
        <f>IFERROR(CUBEVALUE("BIDB",$A49,F$3,F$2,'Præsentationstabeller 1'!$C$2),0)</f>
        <v>1</v>
      </c>
      <c r="G49" vm="2029">
        <f>IFERROR(CUBEVALUE("BIDB",$A49,G$3,G$2,'Præsentationstabeller 1'!$C$2),0)</f>
        <v>1</v>
      </c>
      <c r="H49" t="str" vm="1957">
        <f>IFERROR(CUBEVALUE("BIDB",$A49,H$3,H$2,'Præsentationstabeller 1'!$C$2),0)</f>
        <v/>
      </c>
      <c r="I49" t="str" vm="11002">
        <f>IFERROR(CUBEVALUE("BIDB",$A49,I$3,I$2,'Præsentationstabeller 1'!$C$2),0)</f>
        <v/>
      </c>
      <c r="J49" t="str" vm="13904">
        <f>IFERROR(CUBEVALUE("BIDB",$A49,J$3,J$2,'Præsentationstabeller 1'!$C$2),0)</f>
        <v/>
      </c>
      <c r="K49" t="str" vm="2111">
        <f>IFERROR(CUBEVALUE("BIDB",$A49,K$3,K$2,'Præsentationstabeller 1'!$C$2),0)</f>
        <v/>
      </c>
      <c r="L49" t="str" vm="1920">
        <f>IFERROR(CUBEVALUE("BIDB",$A49,L$3,L$2,'Præsentationstabeller 1'!$C$2),0)</f>
        <v/>
      </c>
    </row>
    <row r="50" spans="1:12" x14ac:dyDescent="0.3">
      <c r="A50" s="123" t="str" vm="1286">
        <f>CUBEMEMBER("BIDB","[Dimittenddato].[Dimittenddato].&amp;[2007-07-17T00:00:00]")</f>
        <v>17-07-2007</v>
      </c>
      <c r="B50" t="str" vm="2279">
        <f>IFERROR(CUBEVALUE("BIDB",$A50,B$3,'Præsentationstabeller 1'!$C$2),0)</f>
        <v/>
      </c>
      <c r="C50" t="str" vm="1728">
        <f>IFERROR(CUBEVALUE("BIDB",$A50,C$3,C$2,'Præsentationstabeller 1'!$C$2),0)</f>
        <v/>
      </c>
      <c r="D50" vm="14750">
        <f>IFERROR(CUBEVALUE("BIDB",$A50,D$3,D$2,'Præsentationstabeller 1'!$C$2),0)</f>
        <v>0</v>
      </c>
      <c r="E50" vm="9658">
        <f>IFERROR(CUBEVALUE("BIDB",$A50,E$3,E$2,'Præsentationstabeller 1'!$C$2),0)</f>
        <v>1</v>
      </c>
      <c r="F50" t="str" vm="2095">
        <f>IFERROR(CUBEVALUE("BIDB",$A50,F$3,F$2,'Præsentationstabeller 1'!$C$2),0)</f>
        <v/>
      </c>
      <c r="G50" vm="1794">
        <f>IFERROR(CUBEVALUE("BIDB",$A50,G$3,G$2,'Præsentationstabeller 1'!$C$2),0)</f>
        <v>1</v>
      </c>
      <c r="H50" t="str" vm="2147">
        <f>IFERROR(CUBEVALUE("BIDB",$A50,H$3,H$2,'Præsentationstabeller 1'!$C$2),0)</f>
        <v/>
      </c>
      <c r="I50" t="str" vm="11973">
        <f>IFERROR(CUBEVALUE("BIDB",$A50,I$3,I$2,'Præsentationstabeller 1'!$C$2),0)</f>
        <v/>
      </c>
      <c r="J50" t="str" vm="16901">
        <f>IFERROR(CUBEVALUE("BIDB",$A50,J$3,J$2,'Præsentationstabeller 1'!$C$2),0)</f>
        <v/>
      </c>
      <c r="K50" t="str" vm="1376">
        <f>IFERROR(CUBEVALUE("BIDB",$A50,K$3,K$2,'Præsentationstabeller 1'!$C$2),0)</f>
        <v/>
      </c>
      <c r="L50" t="str" vm="15833">
        <f>IFERROR(CUBEVALUE("BIDB",$A50,L$3,L$2,'Præsentationstabeller 1'!$C$2),0)</f>
        <v/>
      </c>
    </row>
    <row r="51" spans="1:12" x14ac:dyDescent="0.3">
      <c r="A51" s="123" t="str" vm="1285">
        <f>CUBEMEMBER("BIDB","[Dimittenddato].[Dimittenddato].&amp;[2007-07-18T00:00:00]")</f>
        <v>18-07-2007</v>
      </c>
      <c r="B51" t="str" vm="2822">
        <f>IFERROR(CUBEVALUE("BIDB",$A51,B$3,'Præsentationstabeller 1'!$C$2),0)</f>
        <v/>
      </c>
      <c r="C51" t="str" vm="2946">
        <f>IFERROR(CUBEVALUE("BIDB",$A51,C$3,C$2,'Præsentationstabeller 1'!$C$2),0)</f>
        <v/>
      </c>
      <c r="D51" t="str" vm="10476">
        <f>IFERROR(CUBEVALUE("BIDB",$A51,D$3,D$2,'Præsentationstabeller 1'!$C$2),0)</f>
        <v/>
      </c>
      <c r="E51" t="str" vm="9784">
        <f>IFERROR(CUBEVALUE("BIDB",$A51,E$3,E$2,'Præsentationstabeller 1'!$C$2),0)</f>
        <v/>
      </c>
      <c r="F51" t="str" vm="2363">
        <f>IFERROR(CUBEVALUE("BIDB",$A51,F$3,F$2,'Præsentationstabeller 1'!$C$2),0)</f>
        <v/>
      </c>
      <c r="G51" t="str" vm="2455">
        <f>IFERROR(CUBEVALUE("BIDB",$A51,G$3,G$2,'Præsentationstabeller 1'!$C$2),0)</f>
        <v/>
      </c>
      <c r="H51" t="str" vm="2772">
        <f>IFERROR(CUBEVALUE("BIDB",$A51,H$3,H$2,'Præsentationstabeller 1'!$C$2),0)</f>
        <v/>
      </c>
      <c r="I51" t="str" vm="9681">
        <f>IFERROR(CUBEVALUE("BIDB",$A51,I$3,I$2,'Præsentationstabeller 1'!$C$2),0)</f>
        <v/>
      </c>
      <c r="J51" t="str" vm="14083">
        <f>IFERROR(CUBEVALUE("BIDB",$A51,J$3,J$2,'Præsentationstabeller 1'!$C$2),0)</f>
        <v/>
      </c>
      <c r="K51" t="str" vm="1894">
        <f>IFERROR(CUBEVALUE("BIDB",$A51,K$3,K$2,'Præsentationstabeller 1'!$C$2),0)</f>
        <v/>
      </c>
      <c r="L51" t="str" vm="1583">
        <f>IFERROR(CUBEVALUE("BIDB",$A51,L$3,L$2,'Præsentationstabeller 1'!$C$2),0)</f>
        <v/>
      </c>
    </row>
    <row r="52" spans="1:12" x14ac:dyDescent="0.3">
      <c r="A52" s="123" t="str" vm="1284">
        <f>CUBEMEMBER("BIDB","[Dimittenddato].[Dimittenddato].&amp;[2007-07-19T00:00:00]")</f>
        <v>19-07-2007</v>
      </c>
      <c r="B52" t="str" vm="2520">
        <f>IFERROR(CUBEVALUE("BIDB",$A52,B$3,'Præsentationstabeller 1'!$C$2),0)</f>
        <v/>
      </c>
      <c r="C52" t="str" vm="1898">
        <f>IFERROR(CUBEVALUE("BIDB",$A52,C$3,C$2,'Præsentationstabeller 1'!$C$2),0)</f>
        <v/>
      </c>
      <c r="D52" t="str" vm="13919">
        <f>IFERROR(CUBEVALUE("BIDB",$A52,D$3,D$2,'Præsentationstabeller 1'!$C$2),0)</f>
        <v/>
      </c>
      <c r="E52" vm="16544">
        <f>IFERROR(CUBEVALUE("BIDB",$A52,E$3,E$2,'Præsentationstabeller 1'!$C$2),0)</f>
        <v>1</v>
      </c>
      <c r="F52" t="str" vm="1805">
        <f>IFERROR(CUBEVALUE("BIDB",$A52,F$3,F$2,'Præsentationstabeller 1'!$C$2),0)</f>
        <v/>
      </c>
      <c r="G52" vm="2898">
        <f>IFERROR(CUBEVALUE("BIDB",$A52,G$3,G$2,'Præsentationstabeller 1'!$C$2),0)</f>
        <v>1</v>
      </c>
      <c r="H52" t="str" vm="1718">
        <f>IFERROR(CUBEVALUE("BIDB",$A52,H$3,H$2,'Præsentationstabeller 1'!$C$2),0)</f>
        <v/>
      </c>
      <c r="I52" t="str" vm="9306">
        <f>IFERROR(CUBEVALUE("BIDB",$A52,I$3,I$2,'Præsentationstabeller 1'!$C$2),0)</f>
        <v/>
      </c>
      <c r="J52" t="str" vm="15528">
        <f>IFERROR(CUBEVALUE("BIDB",$A52,J$3,J$2,'Præsentationstabeller 1'!$C$2),0)</f>
        <v/>
      </c>
      <c r="K52" t="str" vm="2033">
        <f>IFERROR(CUBEVALUE("BIDB",$A52,K$3,K$2,'Præsentationstabeller 1'!$C$2),0)</f>
        <v/>
      </c>
      <c r="L52" t="str" vm="1824">
        <f>IFERROR(CUBEVALUE("BIDB",$A52,L$3,L$2,'Præsentationstabeller 1'!$C$2),0)</f>
        <v/>
      </c>
    </row>
    <row r="53" spans="1:12" x14ac:dyDescent="0.3">
      <c r="A53" s="123" t="str" vm="1283">
        <f>CUBEMEMBER("BIDB","[Dimittenddato].[Dimittenddato].&amp;[2007-07-20T00:00:00]")</f>
        <v>20-07-2007</v>
      </c>
      <c r="B53" t="str" vm="2689">
        <f>IFERROR(CUBEVALUE("BIDB",$A53,B$3,'Præsentationstabeller 1'!$C$2),0)</f>
        <v/>
      </c>
      <c r="C53" t="str" vm="2047">
        <f>IFERROR(CUBEVALUE("BIDB",$A53,C$3,C$2,'Præsentationstabeller 1'!$C$2),0)</f>
        <v/>
      </c>
      <c r="D53" t="str" vm="14073">
        <f>IFERROR(CUBEVALUE("BIDB",$A53,D$3,D$2,'Præsentationstabeller 1'!$C$2),0)</f>
        <v/>
      </c>
      <c r="E53" vm="11034">
        <f>IFERROR(CUBEVALUE("BIDB",$A53,E$3,E$2,'Præsentationstabeller 1'!$C$2),0)</f>
        <v>4</v>
      </c>
      <c r="F53" vm="2104">
        <f>IFERROR(CUBEVALUE("BIDB",$A53,F$3,F$2,'Præsentationstabeller 1'!$C$2),0)</f>
        <v>2</v>
      </c>
      <c r="G53" vm="1964">
        <f>IFERROR(CUBEVALUE("BIDB",$A53,G$3,G$2,'Præsentationstabeller 1'!$C$2),0)</f>
        <v>6</v>
      </c>
      <c r="H53" t="str" vm="2107">
        <f>IFERROR(CUBEVALUE("BIDB",$A53,H$3,H$2,'Præsentationstabeller 1'!$C$2),0)</f>
        <v/>
      </c>
      <c r="I53" t="str" vm="8037">
        <f>IFERROR(CUBEVALUE("BIDB",$A53,I$3,I$2,'Præsentationstabeller 1'!$C$2),0)</f>
        <v/>
      </c>
      <c r="J53" t="str" vm="16186">
        <f>IFERROR(CUBEVALUE("BIDB",$A53,J$3,J$2,'Præsentationstabeller 1'!$C$2),0)</f>
        <v/>
      </c>
      <c r="K53" t="str" vm="2209">
        <f>IFERROR(CUBEVALUE("BIDB",$A53,K$3,K$2,'Præsentationstabeller 1'!$C$2),0)</f>
        <v/>
      </c>
      <c r="L53" t="str" vm="1716">
        <f>IFERROR(CUBEVALUE("BIDB",$A53,L$3,L$2,'Præsentationstabeller 1'!$C$2),0)</f>
        <v/>
      </c>
    </row>
    <row r="54" spans="1:12" x14ac:dyDescent="0.3">
      <c r="A54" s="123" t="str" vm="1282">
        <f>CUBEMEMBER("BIDB","[Dimittenddato].[Dimittenddato].&amp;[2007-07-21T00:00:00]")</f>
        <v>21-07-2007</v>
      </c>
      <c r="B54" t="str" vm="2817">
        <f>IFERROR(CUBEVALUE("BIDB",$A54,B$3,'Præsentationstabeller 1'!$C$2),0)</f>
        <v/>
      </c>
      <c r="C54" vm="1796">
        <f>IFERROR(CUBEVALUE("BIDB",$A54,C$3,C$2,'Præsentationstabeller 1'!$C$2),0)</f>
        <v>1</v>
      </c>
      <c r="D54" t="str" vm="14199">
        <f>IFERROR(CUBEVALUE("BIDB",$A54,D$3,D$2,'Præsentationstabeller 1'!$C$2),0)</f>
        <v/>
      </c>
      <c r="E54" t="str" vm="11705">
        <f>IFERROR(CUBEVALUE("BIDB",$A54,E$3,E$2,'Præsentationstabeller 1'!$C$2),0)</f>
        <v/>
      </c>
      <c r="F54" t="str" vm="2117">
        <f>IFERROR(CUBEVALUE("BIDB",$A54,F$3,F$2,'Præsentationstabeller 1'!$C$2),0)</f>
        <v/>
      </c>
      <c r="G54" t="str" vm="1981">
        <f>IFERROR(CUBEVALUE("BIDB",$A54,G$3,G$2,'Præsentationstabeller 1'!$C$2),0)</f>
        <v/>
      </c>
      <c r="H54" t="str" vm="1443">
        <f>IFERROR(CUBEVALUE("BIDB",$A54,H$3,H$2,'Præsentationstabeller 1'!$C$2),0)</f>
        <v/>
      </c>
      <c r="I54" t="str" vm="10209">
        <f>IFERROR(CUBEVALUE("BIDB",$A54,I$3,I$2,'Præsentationstabeller 1'!$C$2),0)</f>
        <v/>
      </c>
      <c r="J54" t="str" vm="14748">
        <f>IFERROR(CUBEVALUE("BIDB",$A54,J$3,J$2,'Præsentationstabeller 1'!$C$2),0)</f>
        <v/>
      </c>
      <c r="K54" t="str" vm="1865">
        <f>IFERROR(CUBEVALUE("BIDB",$A54,K$3,K$2,'Præsentationstabeller 1'!$C$2),0)</f>
        <v/>
      </c>
      <c r="L54" t="str" vm="16701">
        <f>IFERROR(CUBEVALUE("BIDB",$A54,L$3,L$2,'Præsentationstabeller 1'!$C$2),0)</f>
        <v/>
      </c>
    </row>
    <row r="55" spans="1:12" x14ac:dyDescent="0.3">
      <c r="A55" s="123" t="str" vm="1281">
        <f>CUBEMEMBER("BIDB","[Dimittenddato].[Dimittenddato].&amp;[2007-07-22T00:00:00]")</f>
        <v>22-07-2007</v>
      </c>
      <c r="B55" t="str" vm="2830">
        <f>IFERROR(CUBEVALUE("BIDB",$A55,B$3,'Præsentationstabeller 1'!$C$2),0)</f>
        <v/>
      </c>
      <c r="C55" t="str" vm="8099">
        <f>IFERROR(CUBEVALUE("BIDB",$A55,C$3,C$2,'Præsentationstabeller 1'!$C$2),0)</f>
        <v/>
      </c>
      <c r="D55" t="str" vm="12721">
        <f>IFERROR(CUBEVALUE("BIDB",$A55,D$3,D$2,'Præsentationstabeller 1'!$C$2),0)</f>
        <v/>
      </c>
      <c r="E55" t="str" vm="15492">
        <f>IFERROR(CUBEVALUE("BIDB",$A55,E$3,E$2,'Præsentationstabeller 1'!$C$2),0)</f>
        <v/>
      </c>
      <c r="F55" t="str" vm="2653">
        <f>IFERROR(CUBEVALUE("BIDB",$A55,F$3,F$2,'Præsentationstabeller 1'!$C$2),0)</f>
        <v/>
      </c>
      <c r="G55" t="str" vm="1896">
        <f>IFERROR(CUBEVALUE("BIDB",$A55,G$3,G$2,'Præsentationstabeller 1'!$C$2),0)</f>
        <v/>
      </c>
      <c r="H55" t="str" vm="3124">
        <f>IFERROR(CUBEVALUE("BIDB",$A55,H$3,H$2,'Præsentationstabeller 1'!$C$2),0)</f>
        <v/>
      </c>
      <c r="I55" t="str" vm="8705">
        <f>IFERROR(CUBEVALUE("BIDB",$A55,I$3,I$2,'Præsentationstabeller 1'!$C$2),0)</f>
        <v/>
      </c>
      <c r="J55" t="str" vm="13463">
        <f>IFERROR(CUBEVALUE("BIDB",$A55,J$3,J$2,'Præsentationstabeller 1'!$C$2),0)</f>
        <v/>
      </c>
      <c r="K55" t="str" vm="1469">
        <f>IFERROR(CUBEVALUE("BIDB",$A55,K$3,K$2,'Præsentationstabeller 1'!$C$2),0)</f>
        <v/>
      </c>
      <c r="L55" t="str" vm="2382">
        <f>IFERROR(CUBEVALUE("BIDB",$A55,L$3,L$2,'Præsentationstabeller 1'!$C$2),0)</f>
        <v/>
      </c>
    </row>
    <row r="56" spans="1:12" x14ac:dyDescent="0.3">
      <c r="A56" s="123" t="str" vm="1280">
        <f>CUBEMEMBER("BIDB","[Dimittenddato].[Dimittenddato].&amp;[2007-07-23T00:00:00]")</f>
        <v>23-07-2007</v>
      </c>
      <c r="B56" t="str" vm="3887">
        <f>IFERROR(CUBEVALUE("BIDB",$A56,B$3,'Præsentationstabeller 1'!$C$2),0)</f>
        <v/>
      </c>
      <c r="C56" t="str" vm="2508">
        <f>IFERROR(CUBEVALUE("BIDB",$A56,C$3,C$2,'Præsentationstabeller 1'!$C$2),0)</f>
        <v/>
      </c>
      <c r="D56" t="str" vm="13861">
        <f>IFERROR(CUBEVALUE("BIDB",$A56,D$3,D$2,'Præsentationstabeller 1'!$C$2),0)</f>
        <v/>
      </c>
      <c r="E56" vm="9803">
        <f>IFERROR(CUBEVALUE("BIDB",$A56,E$3,E$2,'Præsentationstabeller 1'!$C$2),0)</f>
        <v>1</v>
      </c>
      <c r="F56" t="str" vm="2211">
        <f>IFERROR(CUBEVALUE("BIDB",$A56,F$3,F$2,'Præsentationstabeller 1'!$C$2),0)</f>
        <v/>
      </c>
      <c r="G56" vm="4564">
        <f>IFERROR(CUBEVALUE("BIDB",$A56,G$3,G$2,'Præsentationstabeller 1'!$C$2),0)</f>
        <v>1</v>
      </c>
      <c r="H56" t="str" vm="1421">
        <f>IFERROR(CUBEVALUE("BIDB",$A56,H$3,H$2,'Præsentationstabeller 1'!$C$2),0)</f>
        <v/>
      </c>
      <c r="I56" t="str" vm="9402">
        <f>IFERROR(CUBEVALUE("BIDB",$A56,I$3,I$2,'Præsentationstabeller 1'!$C$2),0)</f>
        <v/>
      </c>
      <c r="J56" t="str" vm="11497">
        <f>IFERROR(CUBEVALUE("BIDB",$A56,J$3,J$2,'Præsentationstabeller 1'!$C$2),0)</f>
        <v/>
      </c>
      <c r="K56" t="str" vm="1866">
        <f>IFERROR(CUBEVALUE("BIDB",$A56,K$3,K$2,'Præsentationstabeller 1'!$C$2),0)</f>
        <v/>
      </c>
      <c r="L56" t="str" vm="17182">
        <f>IFERROR(CUBEVALUE("BIDB",$A56,L$3,L$2,'Præsentationstabeller 1'!$C$2),0)</f>
        <v/>
      </c>
    </row>
    <row r="57" spans="1:12" x14ac:dyDescent="0.3">
      <c r="A57" s="123" t="str" vm="1279">
        <f>CUBEMEMBER("BIDB","[Dimittenddato].[Dimittenddato].&amp;[2007-07-24T00:00:00]")</f>
        <v>24-07-2007</v>
      </c>
      <c r="B57" t="str" vm="2183">
        <f>IFERROR(CUBEVALUE("BIDB",$A57,B$3,'Præsentationstabeller 1'!$C$2),0)</f>
        <v/>
      </c>
      <c r="C57" t="str" vm="1548">
        <f>IFERROR(CUBEVALUE("BIDB",$A57,C$3,C$2,'Præsentationstabeller 1'!$C$2),0)</f>
        <v/>
      </c>
      <c r="D57" t="str" vm="16870">
        <f>IFERROR(CUBEVALUE("BIDB",$A57,D$3,D$2,'Præsentationstabeller 1'!$C$2),0)</f>
        <v/>
      </c>
      <c r="E57" t="str" vm="10630">
        <f>IFERROR(CUBEVALUE("BIDB",$A57,E$3,E$2,'Præsentationstabeller 1'!$C$2),0)</f>
        <v/>
      </c>
      <c r="F57" t="str" vm="3608">
        <f>IFERROR(CUBEVALUE("BIDB",$A57,F$3,F$2,'Præsentationstabeller 1'!$C$2),0)</f>
        <v/>
      </c>
      <c r="G57" t="str" vm="1979">
        <f>IFERROR(CUBEVALUE("BIDB",$A57,G$3,G$2,'Præsentationstabeller 1'!$C$2),0)</f>
        <v/>
      </c>
      <c r="H57" t="str" vm="2461">
        <f>IFERROR(CUBEVALUE("BIDB",$A57,H$3,H$2,'Præsentationstabeller 1'!$C$2),0)</f>
        <v/>
      </c>
      <c r="I57" t="str" vm="10166">
        <f>IFERROR(CUBEVALUE("BIDB",$A57,I$3,I$2,'Præsentationstabeller 1'!$C$2),0)</f>
        <v/>
      </c>
      <c r="J57" t="str" vm="16441">
        <f>IFERROR(CUBEVALUE("BIDB",$A57,J$3,J$2,'Præsentationstabeller 1'!$C$2),0)</f>
        <v/>
      </c>
      <c r="K57" t="str" vm="3297">
        <f>IFERROR(CUBEVALUE("BIDB",$A57,K$3,K$2,'Præsentationstabeller 1'!$C$2),0)</f>
        <v/>
      </c>
      <c r="L57" t="str" vm="2202">
        <f>IFERROR(CUBEVALUE("BIDB",$A57,L$3,L$2,'Præsentationstabeller 1'!$C$2),0)</f>
        <v/>
      </c>
    </row>
    <row r="58" spans="1:12" x14ac:dyDescent="0.3">
      <c r="A58" s="123" t="str" vm="1278">
        <f>CUBEMEMBER("BIDB","[Dimittenddato].[Dimittenddato].&amp;[2007-07-25T00:00:00]")</f>
        <v>25-07-2007</v>
      </c>
      <c r="B58" t="str" vm="2456">
        <f>IFERROR(CUBEVALUE("BIDB",$A58,B$3,'Præsentationstabeller 1'!$C$2),0)</f>
        <v/>
      </c>
      <c r="C58" t="str" vm="1908">
        <f>IFERROR(CUBEVALUE("BIDB",$A58,C$3,C$2,'Præsentationstabeller 1'!$C$2),0)</f>
        <v/>
      </c>
      <c r="D58" t="str" vm="12146">
        <f>IFERROR(CUBEVALUE("BIDB",$A58,D$3,D$2,'Præsentationstabeller 1'!$C$2),0)</f>
        <v/>
      </c>
      <c r="E58" vm="10706">
        <f>IFERROR(CUBEVALUE("BIDB",$A58,E$3,E$2,'Præsentationstabeller 1'!$C$2),0)</f>
        <v>1</v>
      </c>
      <c r="F58" vm="1868">
        <f>IFERROR(CUBEVALUE("BIDB",$A58,F$3,F$2,'Præsentationstabeller 1'!$C$2),0)</f>
        <v>0</v>
      </c>
      <c r="G58" vm="1858">
        <f>IFERROR(CUBEVALUE("BIDB",$A58,G$3,G$2,'Præsentationstabeller 1'!$C$2),0)</f>
        <v>1</v>
      </c>
      <c r="H58" t="str" vm="1389">
        <f>IFERROR(CUBEVALUE("BIDB",$A58,H$3,H$2,'Præsentationstabeller 1'!$C$2),0)</f>
        <v/>
      </c>
      <c r="I58" t="str" vm="10079">
        <f>IFERROR(CUBEVALUE("BIDB",$A58,I$3,I$2,'Præsentationstabeller 1'!$C$2),0)</f>
        <v/>
      </c>
      <c r="J58" t="str" vm="14232">
        <f>IFERROR(CUBEVALUE("BIDB",$A58,J$3,J$2,'Præsentationstabeller 1'!$C$2),0)</f>
        <v/>
      </c>
      <c r="K58" t="str" vm="1639">
        <f>IFERROR(CUBEVALUE("BIDB",$A58,K$3,K$2,'Præsentationstabeller 1'!$C$2),0)</f>
        <v/>
      </c>
      <c r="L58" t="str" vm="16708">
        <f>IFERROR(CUBEVALUE("BIDB",$A58,L$3,L$2,'Præsentationstabeller 1'!$C$2),0)</f>
        <v/>
      </c>
    </row>
    <row r="59" spans="1:12" x14ac:dyDescent="0.3">
      <c r="A59" s="123" t="str" vm="1277">
        <f>CUBEMEMBER("BIDB","[Dimittenddato].[Dimittenddato].&amp;[2007-07-26T00:00:00]")</f>
        <v>26-07-2007</v>
      </c>
      <c r="B59" t="str" vm="5260">
        <f>IFERROR(CUBEVALUE("BIDB",$A59,B$3,'Præsentationstabeller 1'!$C$2),0)</f>
        <v/>
      </c>
      <c r="C59" t="str" vm="1396">
        <f>IFERROR(CUBEVALUE("BIDB",$A59,C$3,C$2,'Præsentationstabeller 1'!$C$2),0)</f>
        <v/>
      </c>
      <c r="D59" vm="9378">
        <f>IFERROR(CUBEVALUE("BIDB",$A59,D$3,D$2,'Præsentationstabeller 1'!$C$2),0)</f>
        <v>0</v>
      </c>
      <c r="E59" vm="12600">
        <f>IFERROR(CUBEVALUE("BIDB",$A59,E$3,E$2,'Præsentationstabeller 1'!$C$2),0)</f>
        <v>1</v>
      </c>
      <c r="F59" vm="3033">
        <f>IFERROR(CUBEVALUE("BIDB",$A59,F$3,F$2,'Præsentationstabeller 1'!$C$2),0)</f>
        <v>1</v>
      </c>
      <c r="G59" vm="1471">
        <f>IFERROR(CUBEVALUE("BIDB",$A59,G$3,G$2,'Præsentationstabeller 1'!$C$2),0)</f>
        <v>2</v>
      </c>
      <c r="H59" t="str" vm="3022">
        <f>IFERROR(CUBEVALUE("BIDB",$A59,H$3,H$2,'Præsentationstabeller 1'!$C$2),0)</f>
        <v/>
      </c>
      <c r="I59" t="str" vm="7579">
        <f>IFERROR(CUBEVALUE("BIDB",$A59,I$3,I$2,'Præsentationstabeller 1'!$C$2),0)</f>
        <v/>
      </c>
      <c r="J59" t="str" vm="15559">
        <f>IFERROR(CUBEVALUE("BIDB",$A59,J$3,J$2,'Præsentationstabeller 1'!$C$2),0)</f>
        <v/>
      </c>
      <c r="K59" t="str" vm="1476">
        <f>IFERROR(CUBEVALUE("BIDB",$A59,K$3,K$2,'Præsentationstabeller 1'!$C$2),0)</f>
        <v/>
      </c>
      <c r="L59" t="str" vm="16686">
        <f>IFERROR(CUBEVALUE("BIDB",$A59,L$3,L$2,'Præsentationstabeller 1'!$C$2),0)</f>
        <v/>
      </c>
    </row>
    <row r="60" spans="1:12" x14ac:dyDescent="0.3">
      <c r="A60" s="123" t="str" vm="1276">
        <f>CUBEMEMBER("BIDB","[Dimittenddato].[Dimittenddato].&amp;[2007-07-27T00:00:00]")</f>
        <v>27-07-2007</v>
      </c>
      <c r="B60" t="str" vm="2089">
        <f>IFERROR(CUBEVALUE("BIDB",$A60,B$3,'Præsentationstabeller 1'!$C$2),0)</f>
        <v/>
      </c>
      <c r="C60" t="str" vm="1632">
        <f>IFERROR(CUBEVALUE("BIDB",$A60,C$3,C$2,'Præsentationstabeller 1'!$C$2),0)</f>
        <v/>
      </c>
      <c r="D60" t="str" vm="13936">
        <f>IFERROR(CUBEVALUE("BIDB",$A60,D$3,D$2,'Præsentationstabeller 1'!$C$2),0)</f>
        <v/>
      </c>
      <c r="E60" vm="9605">
        <f>IFERROR(CUBEVALUE("BIDB",$A60,E$3,E$2,'Præsentationstabeller 1'!$C$2),0)</f>
        <v>2</v>
      </c>
      <c r="F60" t="str" vm="1565">
        <f>IFERROR(CUBEVALUE("BIDB",$A60,F$3,F$2,'Præsentationstabeller 1'!$C$2),0)</f>
        <v/>
      </c>
      <c r="G60" vm="4546">
        <f>IFERROR(CUBEVALUE("BIDB",$A60,G$3,G$2,'Præsentationstabeller 1'!$C$2),0)</f>
        <v>2</v>
      </c>
      <c r="H60" t="str" vm="1411">
        <f>IFERROR(CUBEVALUE("BIDB",$A60,H$3,H$2,'Præsentationstabeller 1'!$C$2),0)</f>
        <v/>
      </c>
      <c r="I60" t="str" vm="11767">
        <f>IFERROR(CUBEVALUE("BIDB",$A60,I$3,I$2,'Præsentationstabeller 1'!$C$2),0)</f>
        <v/>
      </c>
      <c r="J60" t="str" vm="13724">
        <f>IFERROR(CUBEVALUE("BIDB",$A60,J$3,J$2,'Præsentationstabeller 1'!$C$2),0)</f>
        <v/>
      </c>
      <c r="K60" t="str" vm="1464">
        <f>IFERROR(CUBEVALUE("BIDB",$A60,K$3,K$2,'Præsentationstabeller 1'!$C$2),0)</f>
        <v/>
      </c>
      <c r="L60" t="str" vm="16687">
        <f>IFERROR(CUBEVALUE("BIDB",$A60,L$3,L$2,'Præsentationstabeller 1'!$C$2),0)</f>
        <v/>
      </c>
    </row>
    <row r="61" spans="1:12" x14ac:dyDescent="0.3">
      <c r="A61" s="123" t="str" vm="1275">
        <f>CUBEMEMBER("BIDB","[Dimittenddato].[Dimittenddato].&amp;[2007-07-28T00:00:00]")</f>
        <v>28-07-2007</v>
      </c>
      <c r="B61" t="str" vm="2796">
        <f>IFERROR(CUBEVALUE("BIDB",$A61,B$3,'Præsentationstabeller 1'!$C$2),0)</f>
        <v/>
      </c>
      <c r="C61" t="str" vm="3376">
        <f>IFERROR(CUBEVALUE("BIDB",$A61,C$3,C$2,'Præsentationstabeller 1'!$C$2),0)</f>
        <v/>
      </c>
      <c r="D61" t="str" vm="11531">
        <f>IFERROR(CUBEVALUE("BIDB",$A61,D$3,D$2,'Præsentationstabeller 1'!$C$2),0)</f>
        <v/>
      </c>
      <c r="E61" t="str" vm="11186">
        <f>IFERROR(CUBEVALUE("BIDB",$A61,E$3,E$2,'Præsentationstabeller 1'!$C$2),0)</f>
        <v/>
      </c>
      <c r="F61" t="str" vm="2335">
        <f>IFERROR(CUBEVALUE("BIDB",$A61,F$3,F$2,'Præsentationstabeller 1'!$C$2),0)</f>
        <v/>
      </c>
      <c r="G61" t="str" vm="1930">
        <f>IFERROR(CUBEVALUE("BIDB",$A61,G$3,G$2,'Præsentationstabeller 1'!$C$2),0)</f>
        <v/>
      </c>
      <c r="H61" t="str" vm="2571">
        <f>IFERROR(CUBEVALUE("BIDB",$A61,H$3,H$2,'Præsentationstabeller 1'!$C$2),0)</f>
        <v/>
      </c>
      <c r="I61" t="str" vm="7934">
        <f>IFERROR(CUBEVALUE("BIDB",$A61,I$3,I$2,'Præsentationstabeller 1'!$C$2),0)</f>
        <v/>
      </c>
      <c r="J61" t="str" vm="13475">
        <f>IFERROR(CUBEVALUE("BIDB",$A61,J$3,J$2,'Præsentationstabeller 1'!$C$2),0)</f>
        <v/>
      </c>
      <c r="K61" t="str" vm="2702">
        <f>IFERROR(CUBEVALUE("BIDB",$A61,K$3,K$2,'Præsentationstabeller 1'!$C$2),0)</f>
        <v/>
      </c>
      <c r="L61" t="str" vm="1409">
        <f>IFERROR(CUBEVALUE("BIDB",$A61,L$3,L$2,'Præsentationstabeller 1'!$C$2),0)</f>
        <v/>
      </c>
    </row>
    <row r="62" spans="1:12" x14ac:dyDescent="0.3">
      <c r="A62" s="123" t="str" vm="1274">
        <f>CUBEMEMBER("BIDB","[Dimittenddato].[Dimittenddato].&amp;[2007-07-29T00:00:00]")</f>
        <v>29-07-2007</v>
      </c>
      <c r="B62" t="str" vm="2208">
        <f>IFERROR(CUBEVALUE("BIDB",$A62,B$3,'Præsentationstabeller 1'!$C$2),0)</f>
        <v/>
      </c>
      <c r="C62" t="str" vm="2040">
        <f>IFERROR(CUBEVALUE("BIDB",$A62,C$3,C$2,'Præsentationstabeller 1'!$C$2),0)</f>
        <v/>
      </c>
      <c r="D62" t="str" vm="14088">
        <f>IFERROR(CUBEVALUE("BIDB",$A62,D$3,D$2,'Præsentationstabeller 1'!$C$2),0)</f>
        <v/>
      </c>
      <c r="E62" vm="10558">
        <f>IFERROR(CUBEVALUE("BIDB",$A62,E$3,E$2,'Præsentationstabeller 1'!$C$2),0)</f>
        <v>1</v>
      </c>
      <c r="F62" vm="2042">
        <f>IFERROR(CUBEVALUE("BIDB",$A62,F$3,F$2,'Præsentationstabeller 1'!$C$2),0)</f>
        <v>2</v>
      </c>
      <c r="G62" vm="3105">
        <f>IFERROR(CUBEVALUE("BIDB",$A62,G$3,G$2,'Præsentationstabeller 1'!$C$2),0)</f>
        <v>3</v>
      </c>
      <c r="H62" t="str" vm="1924">
        <f>IFERROR(CUBEVALUE("BIDB",$A62,H$3,H$2,'Præsentationstabeller 1'!$C$2),0)</f>
        <v/>
      </c>
      <c r="I62" t="str" vm="11730">
        <f>IFERROR(CUBEVALUE("BIDB",$A62,I$3,I$2,'Præsentationstabeller 1'!$C$2),0)</f>
        <v/>
      </c>
      <c r="J62" t="str" vm="12082">
        <f>IFERROR(CUBEVALUE("BIDB",$A62,J$3,J$2,'Præsentationstabeller 1'!$C$2),0)</f>
        <v/>
      </c>
      <c r="K62" t="str" vm="2039">
        <f>IFERROR(CUBEVALUE("BIDB",$A62,K$3,K$2,'Præsentationstabeller 1'!$C$2),0)</f>
        <v/>
      </c>
      <c r="L62" t="str" vm="15844">
        <f>IFERROR(CUBEVALUE("BIDB",$A62,L$3,L$2,'Præsentationstabeller 1'!$C$2),0)</f>
        <v/>
      </c>
    </row>
    <row r="63" spans="1:12" x14ac:dyDescent="0.3">
      <c r="A63" s="123" t="str" vm="1273">
        <f>CUBEMEMBER("BIDB","[Dimittenddato].[Dimittenddato].&amp;[2007-07-30T00:00:00]")</f>
        <v>30-07-2007</v>
      </c>
      <c r="B63" t="str" vm="3099">
        <f>IFERROR(CUBEVALUE("BIDB",$A63,B$3,'Præsentationstabeller 1'!$C$2),0)</f>
        <v/>
      </c>
      <c r="C63" t="str" vm="2038">
        <f>IFERROR(CUBEVALUE("BIDB",$A63,C$3,C$2,'Præsentationstabeller 1'!$C$2),0)</f>
        <v/>
      </c>
      <c r="D63" t="str" vm="15018">
        <f>IFERROR(CUBEVALUE("BIDB",$A63,D$3,D$2,'Præsentationstabeller 1'!$C$2),0)</f>
        <v/>
      </c>
      <c r="E63" t="str" vm="12071">
        <f>IFERROR(CUBEVALUE("BIDB",$A63,E$3,E$2,'Præsentationstabeller 1'!$C$2),0)</f>
        <v/>
      </c>
      <c r="F63" vm="4920">
        <f>IFERROR(CUBEVALUE("BIDB",$A63,F$3,F$2,'Præsentationstabeller 1'!$C$2),0)</f>
        <v>1</v>
      </c>
      <c r="G63" vm="1478">
        <f>IFERROR(CUBEVALUE("BIDB",$A63,G$3,G$2,'Præsentationstabeller 1'!$C$2),0)</f>
        <v>1</v>
      </c>
      <c r="H63" t="str" vm="1644">
        <f>IFERROR(CUBEVALUE("BIDB",$A63,H$3,H$2,'Præsentationstabeller 1'!$C$2),0)</f>
        <v/>
      </c>
      <c r="I63" t="str" vm="7097">
        <f>IFERROR(CUBEVALUE("BIDB",$A63,I$3,I$2,'Præsentationstabeller 1'!$C$2),0)</f>
        <v/>
      </c>
      <c r="J63" t="str" vm="14781">
        <f>IFERROR(CUBEVALUE("BIDB",$A63,J$3,J$2,'Præsentationstabeller 1'!$C$2),0)</f>
        <v/>
      </c>
      <c r="K63" t="str" vm="2530">
        <f>IFERROR(CUBEVALUE("BIDB",$A63,K$3,K$2,'Præsentationstabeller 1'!$C$2),0)</f>
        <v/>
      </c>
      <c r="L63" t="str" vm="16688">
        <f>IFERROR(CUBEVALUE("BIDB",$A63,L$3,L$2,'Præsentationstabeller 1'!$C$2),0)</f>
        <v/>
      </c>
    </row>
    <row r="64" spans="1:12" x14ac:dyDescent="0.3">
      <c r="A64" s="123" t="str" vm="1272">
        <f>CUBEMEMBER("BIDB","[Dimittenddato].[Dimittenddato].&amp;[2007-07-31T00:00:00]")</f>
        <v>31-07-2007</v>
      </c>
      <c r="B64" t="str" vm="2976">
        <f>IFERROR(CUBEVALUE("BIDB",$A64,B$3,'Præsentationstabeller 1'!$C$2),0)</f>
        <v/>
      </c>
      <c r="C64" t="str" vm="1560">
        <f>IFERROR(CUBEVALUE("BIDB",$A64,C$3,C$2,'Præsentationstabeller 1'!$C$2),0)</f>
        <v/>
      </c>
      <c r="D64" vm="9394">
        <f>IFERROR(CUBEVALUE("BIDB",$A64,D$3,D$2,'Præsentationstabeller 1'!$C$2),0)</f>
        <v>1</v>
      </c>
      <c r="E64" vm="12264">
        <f>IFERROR(CUBEVALUE("BIDB",$A64,E$3,E$2,'Præsentationstabeller 1'!$C$2),0)</f>
        <v>6</v>
      </c>
      <c r="F64" t="str" vm="3548">
        <f>IFERROR(CUBEVALUE("BIDB",$A64,F$3,F$2,'Præsentationstabeller 1'!$C$2),0)</f>
        <v/>
      </c>
      <c r="G64" vm="1751">
        <f>IFERROR(CUBEVALUE("BIDB",$A64,G$3,G$2,'Præsentationstabeller 1'!$C$2),0)</f>
        <v>6</v>
      </c>
      <c r="H64" t="str" vm="3021">
        <f>IFERROR(CUBEVALUE("BIDB",$A64,H$3,H$2,'Præsentationstabeller 1'!$C$2),0)</f>
        <v/>
      </c>
      <c r="I64" t="str" vm="16633">
        <f>IFERROR(CUBEVALUE("BIDB",$A64,I$3,I$2,'Præsentationstabeller 1'!$C$2),0)</f>
        <v/>
      </c>
      <c r="J64" t="str" vm="15404">
        <f>IFERROR(CUBEVALUE("BIDB",$A64,J$3,J$2,'Præsentationstabeller 1'!$C$2),0)</f>
        <v/>
      </c>
      <c r="K64" t="str" vm="2691">
        <f>IFERROR(CUBEVALUE("BIDB",$A64,K$3,K$2,'Præsentationstabeller 1'!$C$2),0)</f>
        <v/>
      </c>
      <c r="L64" t="str" vm="15838">
        <f>IFERROR(CUBEVALUE("BIDB",$A64,L$3,L$2,'Præsentationstabeller 1'!$C$2),0)</f>
        <v/>
      </c>
    </row>
    <row r="65" spans="1:12" x14ac:dyDescent="0.3">
      <c r="A65" s="123" t="str" vm="1271">
        <f>CUBEMEMBER("BIDB","[Dimittenddato].[Dimittenddato].&amp;[2007-08-01T00:00:00]")</f>
        <v>01-08-2007</v>
      </c>
      <c r="B65" t="str" vm="2358">
        <f>IFERROR(CUBEVALUE("BIDB",$A65,B$3,'Præsentationstabeller 1'!$C$2),0)</f>
        <v/>
      </c>
      <c r="C65" t="str" vm="2205">
        <f>IFERROR(CUBEVALUE("BIDB",$A65,C$3,C$2,'Præsentationstabeller 1'!$C$2),0)</f>
        <v/>
      </c>
      <c r="D65" vm="12685">
        <f>IFERROR(CUBEVALUE("BIDB",$A65,D$3,D$2,'Præsentationstabeller 1'!$C$2),0)</f>
        <v>5</v>
      </c>
      <c r="E65" vm="15025">
        <f>IFERROR(CUBEVALUE("BIDB",$A65,E$3,E$2,'Præsentationstabeller 1'!$C$2),0)</f>
        <v>7</v>
      </c>
      <c r="F65" vm="2853">
        <f>IFERROR(CUBEVALUE("BIDB",$A65,F$3,F$2,'Præsentationstabeller 1'!$C$2),0)</f>
        <v>1</v>
      </c>
      <c r="G65" vm="3066">
        <f>IFERROR(CUBEVALUE("BIDB",$A65,G$3,G$2,'Præsentationstabeller 1'!$C$2),0)</f>
        <v>8</v>
      </c>
      <c r="H65" t="str" vm="2491">
        <f>IFERROR(CUBEVALUE("BIDB",$A65,H$3,H$2,'Præsentationstabeller 1'!$C$2),0)</f>
        <v/>
      </c>
      <c r="I65" t="str" vm="12594">
        <f>IFERROR(CUBEVALUE("BIDB",$A65,I$3,I$2,'Præsentationstabeller 1'!$C$2),0)</f>
        <v/>
      </c>
      <c r="J65" t="str" vm="16865">
        <f>IFERROR(CUBEVALUE("BIDB",$A65,J$3,J$2,'Præsentationstabeller 1'!$C$2),0)</f>
        <v/>
      </c>
      <c r="K65" t="str" vm="2549">
        <f>IFERROR(CUBEVALUE("BIDB",$A65,K$3,K$2,'Præsentationstabeller 1'!$C$2),0)</f>
        <v/>
      </c>
      <c r="L65" t="str" vm="2200">
        <f>IFERROR(CUBEVALUE("BIDB",$A65,L$3,L$2,'Præsentationstabeller 1'!$C$2),0)</f>
        <v/>
      </c>
    </row>
    <row r="66" spans="1:12" x14ac:dyDescent="0.3">
      <c r="A66" s="123" t="str" vm="1270">
        <f>CUBEMEMBER("BIDB","[Dimittenddato].[Dimittenddato].&amp;[2007-08-02T00:00:00]")</f>
        <v>02-08-2007</v>
      </c>
      <c r="B66" t="str" vm="2102">
        <f>IFERROR(CUBEVALUE("BIDB",$A66,B$3,'Præsentationstabeller 1'!$C$2),0)</f>
        <v/>
      </c>
      <c r="C66" t="str" vm="2941">
        <f>IFERROR(CUBEVALUE("BIDB",$A66,C$3,C$2,'Præsentationstabeller 1'!$C$2),0)</f>
        <v/>
      </c>
      <c r="D66" t="str" vm="15595">
        <f>IFERROR(CUBEVALUE("BIDB",$A66,D$3,D$2,'Præsentationstabeller 1'!$C$2),0)</f>
        <v/>
      </c>
      <c r="E66" vm="8094">
        <f>IFERROR(CUBEVALUE("BIDB",$A66,E$3,E$2,'Præsentationstabeller 1'!$C$2),0)</f>
        <v>2</v>
      </c>
      <c r="F66" vm="2694">
        <f>IFERROR(CUBEVALUE("BIDB",$A66,F$3,F$2,'Præsentationstabeller 1'!$C$2),0)</f>
        <v>0</v>
      </c>
      <c r="G66" vm="2025">
        <f>IFERROR(CUBEVALUE("BIDB",$A66,G$3,G$2,'Præsentationstabeller 1'!$C$2),0)</f>
        <v>2</v>
      </c>
      <c r="H66" t="str" vm="2070">
        <f>IFERROR(CUBEVALUE("BIDB",$A66,H$3,H$2,'Præsentationstabeller 1'!$C$2),0)</f>
        <v/>
      </c>
      <c r="I66" t="str" vm="10876">
        <f>IFERROR(CUBEVALUE("BIDB",$A66,I$3,I$2,'Præsentationstabeller 1'!$C$2),0)</f>
        <v/>
      </c>
      <c r="J66" t="str" vm="15465">
        <f>IFERROR(CUBEVALUE("BIDB",$A66,J$3,J$2,'Præsentationstabeller 1'!$C$2),0)</f>
        <v/>
      </c>
      <c r="K66" t="str" vm="1586">
        <f>IFERROR(CUBEVALUE("BIDB",$A66,K$3,K$2,'Præsentationstabeller 1'!$C$2),0)</f>
        <v/>
      </c>
      <c r="L66" t="str" vm="3104">
        <f>IFERROR(CUBEVALUE("BIDB",$A66,L$3,L$2,'Præsentationstabeller 1'!$C$2),0)</f>
        <v/>
      </c>
    </row>
    <row r="67" spans="1:12" x14ac:dyDescent="0.3">
      <c r="A67" s="123" t="str" vm="1269">
        <f>CUBEMEMBER("BIDB","[Dimittenddato].[Dimittenddato].&amp;[2007-08-03T00:00:00]")</f>
        <v>03-08-2007</v>
      </c>
      <c r="B67" t="str" vm="3078">
        <f>IFERROR(CUBEVALUE("BIDB",$A67,B$3,'Præsentationstabeller 1'!$C$2),0)</f>
        <v/>
      </c>
      <c r="C67" t="str" vm="2212">
        <f>IFERROR(CUBEVALUE("BIDB",$A67,C$3,C$2,'Præsentationstabeller 1'!$C$2),0)</f>
        <v/>
      </c>
      <c r="D67" t="str" vm="12707">
        <f>IFERROR(CUBEVALUE("BIDB",$A67,D$3,D$2,'Præsentationstabeller 1'!$C$2),0)</f>
        <v/>
      </c>
      <c r="E67" vm="12226">
        <f>IFERROR(CUBEVALUE("BIDB",$A67,E$3,E$2,'Præsentationstabeller 1'!$C$2),0)</f>
        <v>3</v>
      </c>
      <c r="F67" vm="3419">
        <f>IFERROR(CUBEVALUE("BIDB",$A67,F$3,F$2,'Præsentationstabeller 1'!$C$2),0)</f>
        <v>1</v>
      </c>
      <c r="G67" vm="2777">
        <f>IFERROR(CUBEVALUE("BIDB",$A67,G$3,G$2,'Præsentationstabeller 1'!$C$2),0)</f>
        <v>4</v>
      </c>
      <c r="H67" t="str" vm="2589">
        <f>IFERROR(CUBEVALUE("BIDB",$A67,H$3,H$2,'Præsentationstabeller 1'!$C$2),0)</f>
        <v/>
      </c>
      <c r="I67" t="str" vm="7476">
        <f>IFERROR(CUBEVALUE("BIDB",$A67,I$3,I$2,'Præsentationstabeller 1'!$C$2),0)</f>
        <v/>
      </c>
      <c r="J67" t="str" vm="11489">
        <f>IFERROR(CUBEVALUE("BIDB",$A67,J$3,J$2,'Præsentationstabeller 1'!$C$2),0)</f>
        <v/>
      </c>
      <c r="K67" t="str" vm="2017">
        <f>IFERROR(CUBEVALUE("BIDB",$A67,K$3,K$2,'Præsentationstabeller 1'!$C$2),0)</f>
        <v/>
      </c>
      <c r="L67" t="str" vm="16249">
        <f>IFERROR(CUBEVALUE("BIDB",$A67,L$3,L$2,'Præsentationstabeller 1'!$C$2),0)</f>
        <v/>
      </c>
    </row>
    <row r="68" spans="1:12" x14ac:dyDescent="0.3">
      <c r="A68" s="123" t="str" vm="1268">
        <f>CUBEMEMBER("BIDB","[Dimittenddato].[Dimittenddato].&amp;[2007-08-04T00:00:00]")</f>
        <v>04-08-2007</v>
      </c>
      <c r="B68" t="str" vm="2464">
        <f>IFERROR(CUBEVALUE("BIDB",$A68,B$3,'Præsentationstabeller 1'!$C$2),0)</f>
        <v/>
      </c>
      <c r="C68" t="str" vm="2815">
        <f>IFERROR(CUBEVALUE("BIDB",$A68,C$3,C$2,'Præsentationstabeller 1'!$C$2),0)</f>
        <v/>
      </c>
      <c r="D68" t="str" vm="9414">
        <f>IFERROR(CUBEVALUE("BIDB",$A68,D$3,D$2,'Præsentationstabeller 1'!$C$2),0)</f>
        <v/>
      </c>
      <c r="E68" t="str" vm="13481">
        <f>IFERROR(CUBEVALUE("BIDB",$A68,E$3,E$2,'Præsentationstabeller 1'!$C$2),0)</f>
        <v/>
      </c>
      <c r="F68" t="str" vm="2327">
        <f>IFERROR(CUBEVALUE("BIDB",$A68,F$3,F$2,'Præsentationstabeller 1'!$C$2),0)</f>
        <v/>
      </c>
      <c r="G68" t="str" vm="2334">
        <f>IFERROR(CUBEVALUE("BIDB",$A68,G$3,G$2,'Præsentationstabeller 1'!$C$2),0)</f>
        <v/>
      </c>
      <c r="H68" t="str" vm="1366">
        <f>IFERROR(CUBEVALUE("BIDB",$A68,H$3,H$2,'Præsentationstabeller 1'!$C$2),0)</f>
        <v/>
      </c>
      <c r="I68" t="str" vm="11959">
        <f>IFERROR(CUBEVALUE("BIDB",$A68,I$3,I$2,'Præsentationstabeller 1'!$C$2),0)</f>
        <v/>
      </c>
      <c r="J68" t="str" vm="14020">
        <f>IFERROR(CUBEVALUE("BIDB",$A68,J$3,J$2,'Præsentationstabeller 1'!$C$2),0)</f>
        <v/>
      </c>
      <c r="K68" t="str" vm="2448">
        <f>IFERROR(CUBEVALUE("BIDB",$A68,K$3,K$2,'Præsentationstabeller 1'!$C$2),0)</f>
        <v/>
      </c>
      <c r="L68" t="str" vm="16707">
        <f>IFERROR(CUBEVALUE("BIDB",$A68,L$3,L$2,'Præsentationstabeller 1'!$C$2),0)</f>
        <v/>
      </c>
    </row>
    <row r="69" spans="1:12" x14ac:dyDescent="0.3">
      <c r="A69" s="123" t="str" vm="1267">
        <f>CUBEMEMBER("BIDB","[Dimittenddato].[Dimittenddato].&amp;[2007-08-05T00:00:00]")</f>
        <v>05-08-2007</v>
      </c>
      <c r="B69" t="str" vm="3411">
        <f>IFERROR(CUBEVALUE("BIDB",$A69,B$3,'Præsentationstabeller 1'!$C$2),0)</f>
        <v/>
      </c>
      <c r="C69" t="str" vm="2521">
        <f>IFERROR(CUBEVALUE("BIDB",$A69,C$3,C$2,'Præsentationstabeller 1'!$C$2),0)</f>
        <v/>
      </c>
      <c r="D69" t="str" vm="11890">
        <f>IFERROR(CUBEVALUE("BIDB",$A69,D$3,D$2,'Præsentationstabeller 1'!$C$2),0)</f>
        <v/>
      </c>
      <c r="E69" t="str" vm="12598">
        <f>IFERROR(CUBEVALUE("BIDB",$A69,E$3,E$2,'Præsentationstabeller 1'!$C$2),0)</f>
        <v/>
      </c>
      <c r="F69" t="str" vm="3633">
        <f>IFERROR(CUBEVALUE("BIDB",$A69,F$3,F$2,'Præsentationstabeller 1'!$C$2),0)</f>
        <v/>
      </c>
      <c r="G69" t="str" vm="3127">
        <f>IFERROR(CUBEVALUE("BIDB",$A69,G$3,G$2,'Præsentationstabeller 1'!$C$2),0)</f>
        <v/>
      </c>
      <c r="H69" t="str" vm="2024">
        <f>IFERROR(CUBEVALUE("BIDB",$A69,H$3,H$2,'Præsentationstabeller 1'!$C$2),0)</f>
        <v/>
      </c>
      <c r="I69" t="str" vm="8865">
        <f>IFERROR(CUBEVALUE("BIDB",$A69,I$3,I$2,'Præsentationstabeller 1'!$C$2),0)</f>
        <v/>
      </c>
      <c r="J69" t="str" vm="14793">
        <f>IFERROR(CUBEVALUE("BIDB",$A69,J$3,J$2,'Præsentationstabeller 1'!$C$2),0)</f>
        <v/>
      </c>
      <c r="K69" t="str" vm="2350">
        <f>IFERROR(CUBEVALUE("BIDB",$A69,K$3,K$2,'Præsentationstabeller 1'!$C$2),0)</f>
        <v/>
      </c>
      <c r="L69" t="str" vm="15817">
        <f>IFERROR(CUBEVALUE("BIDB",$A69,L$3,L$2,'Præsentationstabeller 1'!$C$2),0)</f>
        <v/>
      </c>
    </row>
    <row r="70" spans="1:12" x14ac:dyDescent="0.3">
      <c r="A70" s="123" t="str" vm="1266">
        <f>CUBEMEMBER("BIDB","[Dimittenddato].[Dimittenddato].&amp;[2007-08-06T00:00:00]")</f>
        <v>06-08-2007</v>
      </c>
      <c r="B70" t="str" vm="16716">
        <f>IFERROR(CUBEVALUE("BIDB",$A70,B$3,'Præsentationstabeller 1'!$C$2),0)</f>
        <v/>
      </c>
      <c r="C70" t="str" vm="2027">
        <f>IFERROR(CUBEVALUE("BIDB",$A70,C$3,C$2,'Præsentationstabeller 1'!$C$2),0)</f>
        <v/>
      </c>
      <c r="D70" t="str" vm="15953">
        <f>IFERROR(CUBEVALUE("BIDB",$A70,D$3,D$2,'Præsentationstabeller 1'!$C$2),0)</f>
        <v/>
      </c>
      <c r="E70" vm="9348">
        <f>IFERROR(CUBEVALUE("BIDB",$A70,E$3,E$2,'Præsentationstabeller 1'!$C$2),0)</f>
        <v>1</v>
      </c>
      <c r="F70" t="str" vm="1994">
        <f>IFERROR(CUBEVALUE("BIDB",$A70,F$3,F$2,'Præsentationstabeller 1'!$C$2),0)</f>
        <v/>
      </c>
      <c r="G70" vm="1950">
        <f>IFERROR(CUBEVALUE("BIDB",$A70,G$3,G$2,'Præsentationstabeller 1'!$C$2),0)</f>
        <v>1</v>
      </c>
      <c r="H70" t="str" vm="1579">
        <f>IFERROR(CUBEVALUE("BIDB",$A70,H$3,H$2,'Præsentationstabeller 1'!$C$2),0)</f>
        <v/>
      </c>
      <c r="I70" t="str" vm="14539">
        <f>IFERROR(CUBEVALUE("BIDB",$A70,I$3,I$2,'Præsentationstabeller 1'!$C$2),0)</f>
        <v/>
      </c>
      <c r="J70" t="str" vm="15621">
        <f>IFERROR(CUBEVALUE("BIDB",$A70,J$3,J$2,'Præsentationstabeller 1'!$C$2),0)</f>
        <v/>
      </c>
      <c r="K70" t="str" vm="2447">
        <f>IFERROR(CUBEVALUE("BIDB",$A70,K$3,K$2,'Præsentationstabeller 1'!$C$2),0)</f>
        <v/>
      </c>
      <c r="L70" t="str" vm="2814">
        <f>IFERROR(CUBEVALUE("BIDB",$A70,L$3,L$2,'Præsentationstabeller 1'!$C$2),0)</f>
        <v/>
      </c>
    </row>
    <row r="71" spans="1:12" x14ac:dyDescent="0.3">
      <c r="A71" s="123" t="str" vm="1265">
        <f>CUBEMEMBER("BIDB","[Dimittenddato].[Dimittenddato].&amp;[2007-08-07T00:00:00]")</f>
        <v>07-08-2007</v>
      </c>
      <c r="B71" t="str" vm="2641">
        <f>IFERROR(CUBEVALUE("BIDB",$A71,B$3,'Præsentationstabeller 1'!$C$2),0)</f>
        <v/>
      </c>
      <c r="C71" t="str" vm="2888">
        <f>IFERROR(CUBEVALUE("BIDB",$A71,C$3,C$2,'Præsentationstabeller 1'!$C$2),0)</f>
        <v/>
      </c>
      <c r="D71" t="str" vm="12294">
        <f>IFERROR(CUBEVALUE("BIDB",$A71,D$3,D$2,'Præsentationstabeller 1'!$C$2),0)</f>
        <v/>
      </c>
      <c r="E71" vm="13082">
        <f>IFERROR(CUBEVALUE("BIDB",$A71,E$3,E$2,'Præsentationstabeller 1'!$C$2),0)</f>
        <v>3</v>
      </c>
      <c r="F71" t="str" vm="2875">
        <f>IFERROR(CUBEVALUE("BIDB",$A71,F$3,F$2,'Præsentationstabeller 1'!$C$2),0)</f>
        <v/>
      </c>
      <c r="G71" vm="2019">
        <f>IFERROR(CUBEVALUE("BIDB",$A71,G$3,G$2,'Præsentationstabeller 1'!$C$2),0)</f>
        <v>3</v>
      </c>
      <c r="H71" t="str" vm="1886">
        <f>IFERROR(CUBEVALUE("BIDB",$A71,H$3,H$2,'Præsentationstabeller 1'!$C$2),0)</f>
        <v/>
      </c>
      <c r="I71" t="str" vm="8833">
        <f>IFERROR(CUBEVALUE("BIDB",$A71,I$3,I$2,'Præsentationstabeller 1'!$C$2),0)</f>
        <v/>
      </c>
      <c r="J71" t="str" vm="14293">
        <f>IFERROR(CUBEVALUE("BIDB",$A71,J$3,J$2,'Præsentationstabeller 1'!$C$2),0)</f>
        <v/>
      </c>
      <c r="K71" t="str" vm="1686">
        <f>IFERROR(CUBEVALUE("BIDB",$A71,K$3,K$2,'Præsentationstabeller 1'!$C$2),0)</f>
        <v/>
      </c>
      <c r="L71" t="str" vm="15832">
        <f>IFERROR(CUBEVALUE("BIDB",$A71,L$3,L$2,'Præsentationstabeller 1'!$C$2),0)</f>
        <v/>
      </c>
    </row>
    <row r="72" spans="1:12" x14ac:dyDescent="0.3">
      <c r="A72" s="123" t="str" vm="1264">
        <f>CUBEMEMBER("BIDB","[Dimittenddato].[Dimittenddato].&amp;[2007-08-08T00:00:00]")</f>
        <v>08-08-2007</v>
      </c>
      <c r="B72" t="str" vm="4796">
        <f>IFERROR(CUBEVALUE("BIDB",$A72,B$3,'Præsentationstabeller 1'!$C$2),0)</f>
        <v/>
      </c>
      <c r="C72" t="str" vm="1629">
        <f>IFERROR(CUBEVALUE("BIDB",$A72,C$3,C$2,'Præsentationstabeller 1'!$C$2),0)</f>
        <v/>
      </c>
      <c r="D72" t="str" vm="14727">
        <f>IFERROR(CUBEVALUE("BIDB",$A72,D$3,D$2,'Præsentationstabeller 1'!$C$2),0)</f>
        <v/>
      </c>
      <c r="E72" vm="11691">
        <f>IFERROR(CUBEVALUE("BIDB",$A72,E$3,E$2,'Præsentationstabeller 1'!$C$2),0)</f>
        <v>1</v>
      </c>
      <c r="F72" t="str" vm="1702">
        <f>IFERROR(CUBEVALUE("BIDB",$A72,F$3,F$2,'Præsentationstabeller 1'!$C$2),0)</f>
        <v/>
      </c>
      <c r="G72" vm="3130">
        <f>IFERROR(CUBEVALUE("BIDB",$A72,G$3,G$2,'Præsentationstabeller 1'!$C$2),0)</f>
        <v>1</v>
      </c>
      <c r="H72" t="str" vm="1362">
        <f>IFERROR(CUBEVALUE("BIDB",$A72,H$3,H$2,'Præsentationstabeller 1'!$C$2),0)</f>
        <v/>
      </c>
      <c r="I72" t="str" vm="11927">
        <f>IFERROR(CUBEVALUE("BIDB",$A72,I$3,I$2,'Præsentationstabeller 1'!$C$2),0)</f>
        <v/>
      </c>
      <c r="J72" t="str" vm="13335">
        <f>IFERROR(CUBEVALUE("BIDB",$A72,J$3,J$2,'Præsentationstabeller 1'!$C$2),0)</f>
        <v/>
      </c>
      <c r="K72" t="str" vm="3378">
        <f>IFERROR(CUBEVALUE("BIDB",$A72,K$3,K$2,'Præsentationstabeller 1'!$C$2),0)</f>
        <v/>
      </c>
      <c r="L72" t="str" vm="16711">
        <f>IFERROR(CUBEVALUE("BIDB",$A72,L$3,L$2,'Præsentationstabeller 1'!$C$2),0)</f>
        <v/>
      </c>
    </row>
    <row r="73" spans="1:12" x14ac:dyDescent="0.3">
      <c r="A73" s="123" t="str" vm="1263">
        <f>CUBEMEMBER("BIDB","[Dimittenddato].[Dimittenddato].&amp;[2007-08-09T00:00:00]")</f>
        <v>09-08-2007</v>
      </c>
      <c r="B73" t="str" vm="2889">
        <f>IFERROR(CUBEVALUE("BIDB",$A73,B$3,'Præsentationstabeller 1'!$C$2),0)</f>
        <v/>
      </c>
      <c r="C73" t="str" vm="1787">
        <f>IFERROR(CUBEVALUE("BIDB",$A73,C$3,C$2,'Præsentationstabeller 1'!$C$2),0)</f>
        <v/>
      </c>
      <c r="D73" t="str" vm="12610">
        <f>IFERROR(CUBEVALUE("BIDB",$A73,D$3,D$2,'Præsentationstabeller 1'!$C$2),0)</f>
        <v/>
      </c>
      <c r="E73" vm="15891">
        <f>IFERROR(CUBEVALUE("BIDB",$A73,E$3,E$2,'Præsentationstabeller 1'!$C$2),0)</f>
        <v>4</v>
      </c>
      <c r="F73" vm="2864">
        <f>IFERROR(CUBEVALUE("BIDB",$A73,F$3,F$2,'Præsentationstabeller 1'!$C$2),0)</f>
        <v>1</v>
      </c>
      <c r="G73" vm="2023">
        <f>IFERROR(CUBEVALUE("BIDB",$A73,G$3,G$2,'Præsentationstabeller 1'!$C$2),0)</f>
        <v>5</v>
      </c>
      <c r="H73" t="str" vm="1878">
        <f>IFERROR(CUBEVALUE("BIDB",$A73,H$3,H$2,'Præsentationstabeller 1'!$C$2),0)</f>
        <v/>
      </c>
      <c r="I73" t="str" vm="12214">
        <f>IFERROR(CUBEVALUE("BIDB",$A73,I$3,I$2,'Præsentationstabeller 1'!$C$2),0)</f>
        <v/>
      </c>
      <c r="J73" t="str" vm="16199">
        <f>IFERROR(CUBEVALUE("BIDB",$A73,J$3,J$2,'Præsentationstabeller 1'!$C$2),0)</f>
        <v/>
      </c>
      <c r="K73" t="str" vm="2454">
        <f>IFERROR(CUBEVALUE("BIDB",$A73,K$3,K$2,'Præsentationstabeller 1'!$C$2),0)</f>
        <v/>
      </c>
      <c r="L73" t="str" vm="3908">
        <f>IFERROR(CUBEVALUE("BIDB",$A73,L$3,L$2,'Præsentationstabeller 1'!$C$2),0)</f>
        <v/>
      </c>
    </row>
    <row r="74" spans="1:12" x14ac:dyDescent="0.3">
      <c r="A74" s="123" t="str" vm="1262">
        <f>CUBEMEMBER("BIDB","[Dimittenddato].[Dimittenddato].&amp;[2007-08-10T00:00:00]")</f>
        <v>10-08-2007</v>
      </c>
      <c r="B74" t="str" vm="2945">
        <f>IFERROR(CUBEVALUE("BIDB",$A74,B$3,'Præsentationstabeller 1'!$C$2),0)</f>
        <v/>
      </c>
      <c r="C74" vm="1952">
        <f>IFERROR(CUBEVALUE("BIDB",$A74,C$3,C$2,'Præsentationstabeller 1'!$C$2),0)</f>
        <v>1</v>
      </c>
      <c r="D74" t="str" vm="12052">
        <f>IFERROR(CUBEVALUE("BIDB",$A74,D$3,D$2,'Præsentationstabeller 1'!$C$2),0)</f>
        <v/>
      </c>
      <c r="E74" vm="7991">
        <f>IFERROR(CUBEVALUE("BIDB",$A74,E$3,E$2,'Præsentationstabeller 1'!$C$2),0)</f>
        <v>3</v>
      </c>
      <c r="F74" vm="6609">
        <f>IFERROR(CUBEVALUE("BIDB",$A74,F$3,F$2,'Præsentationstabeller 1'!$C$2),0)</f>
        <v>3</v>
      </c>
      <c r="G74" vm="1918">
        <f>IFERROR(CUBEVALUE("BIDB",$A74,G$3,G$2,'Præsentationstabeller 1'!$C$2),0)</f>
        <v>6</v>
      </c>
      <c r="H74" t="str" vm="2068">
        <f>IFERROR(CUBEVALUE("BIDB",$A74,H$3,H$2,'Præsentationstabeller 1'!$C$2),0)</f>
        <v/>
      </c>
      <c r="I74" t="str" vm="11311">
        <f>IFERROR(CUBEVALUE("BIDB",$A74,I$3,I$2,'Præsentationstabeller 1'!$C$2),0)</f>
        <v/>
      </c>
      <c r="J74" t="str" vm="14972">
        <f>IFERROR(CUBEVALUE("BIDB",$A74,J$3,J$2,'Præsentationstabeller 1'!$C$2),0)</f>
        <v/>
      </c>
      <c r="K74" t="str" vm="2015">
        <f>IFERROR(CUBEVALUE("BIDB",$A74,K$3,K$2,'Præsentationstabeller 1'!$C$2),0)</f>
        <v/>
      </c>
      <c r="L74" t="str" vm="16689">
        <f>IFERROR(CUBEVALUE("BIDB",$A74,L$3,L$2,'Præsentationstabeller 1'!$C$2),0)</f>
        <v/>
      </c>
    </row>
    <row r="75" spans="1:12" x14ac:dyDescent="0.3">
      <c r="A75" s="123" t="str" vm="1261">
        <f>CUBEMEMBER("BIDB","[Dimittenddato].[Dimittenddato].&amp;[2007-08-11T00:00:00]")</f>
        <v>11-08-2007</v>
      </c>
      <c r="B75" t="str" vm="2850">
        <f>IFERROR(CUBEVALUE("BIDB",$A75,B$3,'Præsentationstabeller 1'!$C$2),0)</f>
        <v/>
      </c>
      <c r="C75" t="str" vm="2581">
        <f>IFERROR(CUBEVALUE("BIDB",$A75,C$3,C$2,'Præsentationstabeller 1'!$C$2),0)</f>
        <v/>
      </c>
      <c r="D75" t="str" vm="10588">
        <f>IFERROR(CUBEVALUE("BIDB",$A75,D$3,D$2,'Præsentationstabeller 1'!$C$2),0)</f>
        <v/>
      </c>
      <c r="E75" t="str" vm="9840">
        <f>IFERROR(CUBEVALUE("BIDB",$A75,E$3,E$2,'Præsentationstabeller 1'!$C$2),0)</f>
        <v/>
      </c>
      <c r="F75" t="str" vm="2532">
        <f>IFERROR(CUBEVALUE("BIDB",$A75,F$3,F$2,'Præsentationstabeller 1'!$C$2),0)</f>
        <v/>
      </c>
      <c r="G75" t="str" vm="1688">
        <f>IFERROR(CUBEVALUE("BIDB",$A75,G$3,G$2,'Præsentationstabeller 1'!$C$2),0)</f>
        <v/>
      </c>
      <c r="H75" t="str" vm="2326">
        <f>IFERROR(CUBEVALUE("BIDB",$A75,H$3,H$2,'Præsentationstabeller 1'!$C$2),0)</f>
        <v/>
      </c>
      <c r="I75" t="str" vm="9956">
        <f>IFERROR(CUBEVALUE("BIDB",$A75,I$3,I$2,'Præsentationstabeller 1'!$C$2),0)</f>
        <v/>
      </c>
      <c r="J75" t="str" vm="15160">
        <f>IFERROR(CUBEVALUE("BIDB",$A75,J$3,J$2,'Præsentationstabeller 1'!$C$2),0)</f>
        <v/>
      </c>
      <c r="K75" t="str" vm="1906">
        <f>IFERROR(CUBEVALUE("BIDB",$A75,K$3,K$2,'Præsentationstabeller 1'!$C$2),0)</f>
        <v/>
      </c>
      <c r="L75" t="str" vm="2067">
        <f>IFERROR(CUBEVALUE("BIDB",$A75,L$3,L$2,'Præsentationstabeller 1'!$C$2),0)</f>
        <v/>
      </c>
    </row>
    <row r="76" spans="1:12" x14ac:dyDescent="0.3">
      <c r="A76" s="123" t="str" vm="1260">
        <f>CUBEMEMBER("BIDB","[Dimittenddato].[Dimittenddato].&amp;[2007-08-12T00:00:00]")</f>
        <v>12-08-2007</v>
      </c>
      <c r="B76" t="str" vm="2693">
        <f>IFERROR(CUBEVALUE("BIDB",$A76,B$3,'Præsentationstabeller 1'!$C$2),0)</f>
        <v/>
      </c>
      <c r="C76" t="str" vm="3025">
        <f>IFERROR(CUBEVALUE("BIDB",$A76,C$3,C$2,'Præsentationstabeller 1'!$C$2),0)</f>
        <v/>
      </c>
      <c r="D76" t="str" vm="15457">
        <f>IFERROR(CUBEVALUE("BIDB",$A76,D$3,D$2,'Præsentationstabeller 1'!$C$2),0)</f>
        <v/>
      </c>
      <c r="E76" t="str" vm="16810">
        <f>IFERROR(CUBEVALUE("BIDB",$A76,E$3,E$2,'Præsentationstabeller 1'!$C$2),0)</f>
        <v/>
      </c>
      <c r="F76" t="str" vm="1854">
        <f>IFERROR(CUBEVALUE("BIDB",$A76,F$3,F$2,'Præsentationstabeller 1'!$C$2),0)</f>
        <v/>
      </c>
      <c r="G76" t="str" vm="3164">
        <f>IFERROR(CUBEVALUE("BIDB",$A76,G$3,G$2,'Præsentationstabeller 1'!$C$2),0)</f>
        <v/>
      </c>
      <c r="H76" t="str" vm="1372">
        <f>IFERROR(CUBEVALUE("BIDB",$A76,H$3,H$2,'Præsentationstabeller 1'!$C$2),0)</f>
        <v/>
      </c>
      <c r="I76" t="str" vm="10023">
        <f>IFERROR(CUBEVALUE("BIDB",$A76,I$3,I$2,'Præsentationstabeller 1'!$C$2),0)</f>
        <v/>
      </c>
      <c r="J76" t="str" vm="14808">
        <f>IFERROR(CUBEVALUE("BIDB",$A76,J$3,J$2,'Præsentationstabeller 1'!$C$2),0)</f>
        <v/>
      </c>
      <c r="K76" t="str" vm="1788">
        <f>IFERROR(CUBEVALUE("BIDB",$A76,K$3,K$2,'Præsentationstabeller 1'!$C$2),0)</f>
        <v/>
      </c>
      <c r="L76" t="str" vm="17170">
        <f>IFERROR(CUBEVALUE("BIDB",$A76,L$3,L$2,'Præsentationstabeller 1'!$C$2),0)</f>
        <v/>
      </c>
    </row>
    <row r="77" spans="1:12" x14ac:dyDescent="0.3">
      <c r="A77" s="123" t="str" vm="1259">
        <f>CUBEMEMBER("BIDB","[Dimittenddato].[Dimittenddato].&amp;[2007-08-13T00:00:00]")</f>
        <v>13-08-2007</v>
      </c>
      <c r="B77" t="str" vm="4852">
        <f>IFERROR(CUBEVALUE("BIDB",$A77,B$3,'Præsentationstabeller 1'!$C$2),0)</f>
        <v/>
      </c>
      <c r="C77" t="str" vm="1387">
        <f>IFERROR(CUBEVALUE("BIDB",$A77,C$3,C$2,'Præsentationstabeller 1'!$C$2),0)</f>
        <v/>
      </c>
      <c r="D77" t="str" vm="14383">
        <f>IFERROR(CUBEVALUE("BIDB",$A77,D$3,D$2,'Præsentationstabeller 1'!$C$2),0)</f>
        <v/>
      </c>
      <c r="E77" vm="12222">
        <f>IFERROR(CUBEVALUE("BIDB",$A77,E$3,E$2,'Præsentationstabeller 1'!$C$2),0)</f>
        <v>3</v>
      </c>
      <c r="F77" t="str" vm="2586">
        <f>IFERROR(CUBEVALUE("BIDB",$A77,F$3,F$2,'Præsentationstabeller 1'!$C$2),0)</f>
        <v/>
      </c>
      <c r="G77" vm="2336">
        <f>IFERROR(CUBEVALUE("BIDB",$A77,G$3,G$2,'Præsentationstabeller 1'!$C$2),0)</f>
        <v>3</v>
      </c>
      <c r="H77" t="str" vm="2016">
        <f>IFERROR(CUBEVALUE("BIDB",$A77,H$3,H$2,'Præsentationstabeller 1'!$C$2),0)</f>
        <v/>
      </c>
      <c r="I77" t="str" vm="13209">
        <f>IFERROR(CUBEVALUE("BIDB",$A77,I$3,I$2,'Præsentationstabeller 1'!$C$2),0)</f>
        <v/>
      </c>
      <c r="J77" t="str" vm="16169">
        <f>IFERROR(CUBEVALUE("BIDB",$A77,J$3,J$2,'Præsentationstabeller 1'!$C$2),0)</f>
        <v/>
      </c>
      <c r="K77" t="str" vm="2977">
        <f>IFERROR(CUBEVALUE("BIDB",$A77,K$3,K$2,'Præsentationstabeller 1'!$C$2),0)</f>
        <v/>
      </c>
      <c r="L77" t="str" vm="16254">
        <f>IFERROR(CUBEVALUE("BIDB",$A77,L$3,L$2,'Præsentationstabeller 1'!$C$2),0)</f>
        <v/>
      </c>
    </row>
    <row r="78" spans="1:12" x14ac:dyDescent="0.3">
      <c r="A78" s="123" t="str" vm="1258">
        <f>CUBEMEMBER("BIDB","[Dimittenddato].[Dimittenddato].&amp;[2007-08-14T00:00:00]")</f>
        <v>14-08-2007</v>
      </c>
      <c r="B78" t="str" vm="16762">
        <f>IFERROR(CUBEVALUE("BIDB",$A78,B$3,'Præsentationstabeller 1'!$C$2),0)</f>
        <v/>
      </c>
      <c r="C78" t="str" vm="1707">
        <f>IFERROR(CUBEVALUE("BIDB",$A78,C$3,C$2,'Præsentationstabeller 1'!$C$2),0)</f>
        <v/>
      </c>
      <c r="D78" vm="16061">
        <f>IFERROR(CUBEVALUE("BIDB",$A78,D$3,D$2,'Præsentationstabeller 1'!$C$2),0)</f>
        <v>0</v>
      </c>
      <c r="E78" vm="11809">
        <f>IFERROR(CUBEVALUE("BIDB",$A78,E$3,E$2,'Præsentationstabeller 1'!$C$2),0)</f>
        <v>6</v>
      </c>
      <c r="F78" t="str" vm="2720">
        <f>IFERROR(CUBEVALUE("BIDB",$A78,F$3,F$2,'Præsentationstabeller 1'!$C$2),0)</f>
        <v/>
      </c>
      <c r="G78" vm="1462">
        <f>IFERROR(CUBEVALUE("BIDB",$A78,G$3,G$2,'Præsentationstabeller 1'!$C$2),0)</f>
        <v>6</v>
      </c>
      <c r="H78" t="str" vm="1451">
        <f>IFERROR(CUBEVALUE("BIDB",$A78,H$3,H$2,'Præsentationstabeller 1'!$C$2),0)</f>
        <v/>
      </c>
      <c r="I78" t="str" vm="9460">
        <f>IFERROR(CUBEVALUE("BIDB",$A78,I$3,I$2,'Præsentationstabeller 1'!$C$2),0)</f>
        <v/>
      </c>
      <c r="J78" t="str" vm="15594">
        <f>IFERROR(CUBEVALUE("BIDB",$A78,J$3,J$2,'Præsentationstabeller 1'!$C$2),0)</f>
        <v/>
      </c>
      <c r="K78" t="str" vm="1948">
        <f>IFERROR(CUBEVALUE("BIDB",$A78,K$3,K$2,'Præsentationstabeller 1'!$C$2),0)</f>
        <v/>
      </c>
      <c r="L78" t="str" vm="16258">
        <f>IFERROR(CUBEVALUE("BIDB",$A78,L$3,L$2,'Præsentationstabeller 1'!$C$2),0)</f>
        <v/>
      </c>
    </row>
    <row r="79" spans="1:12" x14ac:dyDescent="0.3">
      <c r="A79" s="123" t="str" vm="1257">
        <f>CUBEMEMBER("BIDB","[Dimittenddato].[Dimittenddato].&amp;[2007-08-15T00:00:00]")</f>
        <v>15-08-2007</v>
      </c>
      <c r="B79" t="str" vm="2090">
        <f>IFERROR(CUBEVALUE("BIDB",$A79,B$3,'Præsentationstabeller 1'!$C$2),0)</f>
        <v/>
      </c>
      <c r="C79" t="str" vm="2087">
        <f>IFERROR(CUBEVALUE("BIDB",$A79,C$3,C$2,'Præsentationstabeller 1'!$C$2),0)</f>
        <v/>
      </c>
      <c r="D79" t="str" vm="10616">
        <f>IFERROR(CUBEVALUE("BIDB",$A79,D$3,D$2,'Præsentationstabeller 1'!$C$2),0)</f>
        <v/>
      </c>
      <c r="E79" vm="14844">
        <f>IFERROR(CUBEVALUE("BIDB",$A79,E$3,E$2,'Præsentationstabeller 1'!$C$2),0)</f>
        <v>7</v>
      </c>
      <c r="F79" t="str" vm="4980">
        <f>IFERROR(CUBEVALUE("BIDB",$A79,F$3,F$2,'Præsentationstabeller 1'!$C$2),0)</f>
        <v/>
      </c>
      <c r="G79" vm="1803">
        <f>IFERROR(CUBEVALUE("BIDB",$A79,G$3,G$2,'Præsentationstabeller 1'!$C$2),0)</f>
        <v>7</v>
      </c>
      <c r="H79" t="str" vm="1585">
        <f>IFERROR(CUBEVALUE("BIDB",$A79,H$3,H$2,'Præsentationstabeller 1'!$C$2),0)</f>
        <v/>
      </c>
      <c r="I79" t="str" vm="10231">
        <f>IFERROR(CUBEVALUE("BIDB",$A79,I$3,I$2,'Præsentationstabeller 1'!$C$2),0)</f>
        <v/>
      </c>
      <c r="J79" t="str" vm="14827">
        <f>IFERROR(CUBEVALUE("BIDB",$A79,J$3,J$2,'Præsentationstabeller 1'!$C$2),0)</f>
        <v/>
      </c>
      <c r="K79" t="str" vm="1807">
        <f>IFERROR(CUBEVALUE("BIDB",$A79,K$3,K$2,'Præsentationstabeller 1'!$C$2),0)</f>
        <v/>
      </c>
      <c r="L79" t="str" vm="15841">
        <f>IFERROR(CUBEVALUE("BIDB",$A79,L$3,L$2,'Præsentationstabeller 1'!$C$2),0)</f>
        <v/>
      </c>
    </row>
    <row r="80" spans="1:12" x14ac:dyDescent="0.3">
      <c r="A80" s="123" t="str" vm="1256">
        <f>CUBEMEMBER("BIDB","[Dimittenddato].[Dimittenddato].&amp;[2007-08-16T00:00:00]")</f>
        <v>16-08-2007</v>
      </c>
      <c r="B80" t="str" vm="2800">
        <f>IFERROR(CUBEVALUE("BIDB",$A80,B$3,'Præsentationstabeller 1'!$C$2),0)</f>
        <v/>
      </c>
      <c r="C80" t="str" vm="1792">
        <f>IFERROR(CUBEVALUE("BIDB",$A80,C$3,C$2,'Præsentationstabeller 1'!$C$2),0)</f>
        <v/>
      </c>
      <c r="D80" t="str" vm="10604">
        <f>IFERROR(CUBEVALUE("BIDB",$A80,D$3,D$2,'Præsentationstabeller 1'!$C$2),0)</f>
        <v/>
      </c>
      <c r="E80" vm="10502">
        <f>IFERROR(CUBEVALUE("BIDB",$A80,E$3,E$2,'Præsentationstabeller 1'!$C$2),0)</f>
        <v>4</v>
      </c>
      <c r="F80" t="str" vm="2749">
        <f>IFERROR(CUBEVALUE("BIDB",$A80,F$3,F$2,'Præsentationstabeller 1'!$C$2),0)</f>
        <v/>
      </c>
      <c r="G80" vm="2206">
        <f>IFERROR(CUBEVALUE("BIDB",$A80,G$3,G$2,'Præsentationstabeller 1'!$C$2),0)</f>
        <v>4</v>
      </c>
      <c r="H80" t="str" vm="1430">
        <f>IFERROR(CUBEVALUE("BIDB",$A80,H$3,H$2,'Præsentationstabeller 1'!$C$2),0)</f>
        <v/>
      </c>
      <c r="I80" t="str" vm="13913">
        <f>IFERROR(CUBEVALUE("BIDB",$A80,I$3,I$2,'Præsentationstabeller 1'!$C$2),0)</f>
        <v/>
      </c>
      <c r="J80" t="str" vm="14660">
        <f>IFERROR(CUBEVALUE("BIDB",$A80,J$3,J$2,'Præsentationstabeller 1'!$C$2),0)</f>
        <v/>
      </c>
      <c r="K80" t="str" vm="1388">
        <f>IFERROR(CUBEVALUE("BIDB",$A80,K$3,K$2,'Præsentationstabeller 1'!$C$2),0)</f>
        <v/>
      </c>
      <c r="L80" t="str" vm="3122">
        <f>IFERROR(CUBEVALUE("BIDB",$A80,L$3,L$2,'Præsentationstabeller 1'!$C$2),0)</f>
        <v/>
      </c>
    </row>
    <row r="81" spans="1:12" x14ac:dyDescent="0.3">
      <c r="A81" s="123" t="str" vm="1255">
        <f>CUBEMEMBER("BIDB","[Dimittenddato].[Dimittenddato].&amp;[2007-08-17T00:00:00]")</f>
        <v>17-08-2007</v>
      </c>
      <c r="B81" t="str" vm="2146">
        <f>IFERROR(CUBEVALUE("BIDB",$A81,B$3,'Præsentationstabeller 1'!$C$2),0)</f>
        <v/>
      </c>
      <c r="C81" vm="1393">
        <f>IFERROR(CUBEVALUE("BIDB",$A81,C$3,C$2,'Præsentationstabeller 1'!$C$2),0)</f>
        <v>2</v>
      </c>
      <c r="D81" t="str" vm="14706">
        <f>IFERROR(CUBEVALUE("BIDB",$A81,D$3,D$2,'Præsentationstabeller 1'!$C$2),0)</f>
        <v/>
      </c>
      <c r="E81" vm="14730">
        <f>IFERROR(CUBEVALUE("BIDB",$A81,E$3,E$2,'Præsentationstabeller 1'!$C$2),0)</f>
        <v>5</v>
      </c>
      <c r="F81" vm="1575">
        <f>IFERROR(CUBEVALUE("BIDB",$A81,F$3,F$2,'Præsentationstabeller 1'!$C$2),0)</f>
        <v>2</v>
      </c>
      <c r="G81" vm="1892">
        <f>IFERROR(CUBEVALUE("BIDB",$A81,G$3,G$2,'Præsentationstabeller 1'!$C$2),0)</f>
        <v>7</v>
      </c>
      <c r="H81" t="str" vm="2721">
        <f>IFERROR(CUBEVALUE("BIDB",$A81,H$3,H$2,'Præsentationstabeller 1'!$C$2),0)</f>
        <v/>
      </c>
      <c r="I81" t="str" vm="9792">
        <f>IFERROR(CUBEVALUE("BIDB",$A81,I$3,I$2,'Præsentationstabeller 1'!$C$2),0)</f>
        <v/>
      </c>
      <c r="J81" t="str" vm="13648">
        <f>IFERROR(CUBEVALUE("BIDB",$A81,J$3,J$2,'Præsentationstabeller 1'!$C$2),0)</f>
        <v/>
      </c>
      <c r="K81" t="str" vm="2790">
        <f>IFERROR(CUBEVALUE("BIDB",$A81,K$3,K$2,'Præsentationstabeller 1'!$C$2),0)</f>
        <v/>
      </c>
      <c r="L81" t="str" vm="2144">
        <f>IFERROR(CUBEVALUE("BIDB",$A81,L$3,L$2,'Præsentationstabeller 1'!$C$2),0)</f>
        <v/>
      </c>
    </row>
    <row r="82" spans="1:12" x14ac:dyDescent="0.3">
      <c r="A82" s="123" t="str" vm="1254">
        <f>CUBEMEMBER("BIDB","[Dimittenddato].[Dimittenddato].&amp;[2007-08-18T00:00:00]")</f>
        <v>18-08-2007</v>
      </c>
      <c r="B82" t="str" vm="2379">
        <f>IFERROR(CUBEVALUE("BIDB",$A82,B$3,'Præsentationstabeller 1'!$C$2),0)</f>
        <v/>
      </c>
      <c r="C82" t="str" vm="1382">
        <f>IFERROR(CUBEVALUE("BIDB",$A82,C$3,C$2,'Præsentationstabeller 1'!$C$2),0)</f>
        <v/>
      </c>
      <c r="D82" t="str" vm="15321">
        <f>IFERROR(CUBEVALUE("BIDB",$A82,D$3,D$2,'Præsentationstabeller 1'!$C$2),0)</f>
        <v/>
      </c>
      <c r="E82" t="str" vm="15874">
        <f>IFERROR(CUBEVALUE("BIDB",$A82,E$3,E$2,'Præsentationstabeller 1'!$C$2),0)</f>
        <v/>
      </c>
      <c r="F82" t="str" vm="2309">
        <f>IFERROR(CUBEVALUE("BIDB",$A82,F$3,F$2,'Præsentationstabeller 1'!$C$2),0)</f>
        <v/>
      </c>
      <c r="G82" t="str" vm="2203">
        <f>IFERROR(CUBEVALUE("BIDB",$A82,G$3,G$2,'Præsentationstabeller 1'!$C$2),0)</f>
        <v/>
      </c>
      <c r="H82" t="str" vm="1352">
        <f>IFERROR(CUBEVALUE("BIDB",$A82,H$3,H$2,'Præsentationstabeller 1'!$C$2),0)</f>
        <v/>
      </c>
      <c r="I82" t="str" vm="14566">
        <f>IFERROR(CUBEVALUE("BIDB",$A82,I$3,I$2,'Præsentationstabeller 1'!$C$2),0)</f>
        <v/>
      </c>
      <c r="J82" t="str" vm="14527">
        <f>IFERROR(CUBEVALUE("BIDB",$A82,J$3,J$2,'Præsentationstabeller 1'!$C$2),0)</f>
        <v/>
      </c>
      <c r="K82" t="str" vm="1963">
        <f>IFERROR(CUBEVALUE("BIDB",$A82,K$3,K$2,'Præsentationstabeller 1'!$C$2),0)</f>
        <v/>
      </c>
      <c r="L82" t="str" vm="2174">
        <f>IFERROR(CUBEVALUE("BIDB",$A82,L$3,L$2,'Præsentationstabeller 1'!$C$2),0)</f>
        <v/>
      </c>
    </row>
    <row r="83" spans="1:12" x14ac:dyDescent="0.3">
      <c r="A83" s="123" t="str" vm="1253">
        <f>CUBEMEMBER("BIDB","[Dimittenddato].[Dimittenddato].&amp;[2007-08-19T00:00:00]")</f>
        <v>19-08-2007</v>
      </c>
      <c r="B83" t="str" vm="1867">
        <f>IFERROR(CUBEVALUE("BIDB",$A83,B$3,'Præsentationstabeller 1'!$C$2),0)</f>
        <v/>
      </c>
      <c r="C83" t="str" vm="1829">
        <f>IFERROR(CUBEVALUE("BIDB",$A83,C$3,C$2,'Præsentationstabeller 1'!$C$2),0)</f>
        <v/>
      </c>
      <c r="D83" t="str" vm="11193">
        <f>IFERROR(CUBEVALUE("BIDB",$A83,D$3,D$2,'Præsentationstabeller 1'!$C$2),0)</f>
        <v/>
      </c>
      <c r="E83" t="str" vm="11200">
        <f>IFERROR(CUBEVALUE("BIDB",$A83,E$3,E$2,'Præsentationstabeller 1'!$C$2),0)</f>
        <v/>
      </c>
      <c r="F83" t="str" vm="2971">
        <f>IFERROR(CUBEVALUE("BIDB",$A83,F$3,F$2,'Præsentationstabeller 1'!$C$2),0)</f>
        <v/>
      </c>
      <c r="G83" t="str" vm="4065">
        <f>IFERROR(CUBEVALUE("BIDB",$A83,G$3,G$2,'Præsentationstabeller 1'!$C$2),0)</f>
        <v/>
      </c>
      <c r="H83" t="str" vm="1516">
        <f>IFERROR(CUBEVALUE("BIDB",$A83,H$3,H$2,'Præsentationstabeller 1'!$C$2),0)</f>
        <v/>
      </c>
      <c r="I83" t="str" vm="9148">
        <f>IFERROR(CUBEVALUE("BIDB",$A83,I$3,I$2,'Præsentationstabeller 1'!$C$2),0)</f>
        <v/>
      </c>
      <c r="J83" t="str" vm="13329">
        <f>IFERROR(CUBEVALUE("BIDB",$A83,J$3,J$2,'Præsentationstabeller 1'!$C$2),0)</f>
        <v/>
      </c>
      <c r="K83" t="str" vm="1988">
        <f>IFERROR(CUBEVALUE("BIDB",$A83,K$3,K$2,'Præsentationstabeller 1'!$C$2),0)</f>
        <v/>
      </c>
      <c r="L83" t="str" vm="2567">
        <f>IFERROR(CUBEVALUE("BIDB",$A83,L$3,L$2,'Præsentationstabeller 1'!$C$2),0)</f>
        <v/>
      </c>
    </row>
    <row r="84" spans="1:12" x14ac:dyDescent="0.3">
      <c r="A84" s="123" t="str" vm="1252">
        <f>CUBEMEMBER("BIDB","[Dimittenddato].[Dimittenddato].&amp;[2007-08-20T00:00:00]")</f>
        <v>20-08-2007</v>
      </c>
      <c r="B84" t="str" vm="15855">
        <f>IFERROR(CUBEVALUE("BIDB",$A84,B$3,'Præsentationstabeller 1'!$C$2),0)</f>
        <v/>
      </c>
      <c r="C84" t="str" vm="1828">
        <f>IFERROR(CUBEVALUE("BIDB",$A84,C$3,C$2,'Præsentationstabeller 1'!$C$2),0)</f>
        <v/>
      </c>
      <c r="D84" t="str" vm="15022">
        <f>IFERROR(CUBEVALUE("BIDB",$A84,D$3,D$2,'Præsentationstabeller 1'!$C$2),0)</f>
        <v/>
      </c>
      <c r="E84" vm="15230">
        <f>IFERROR(CUBEVALUE("BIDB",$A84,E$3,E$2,'Præsentationstabeller 1'!$C$2),0)</f>
        <v>7</v>
      </c>
      <c r="F84" t="str" vm="3888">
        <f>IFERROR(CUBEVALUE("BIDB",$A84,F$3,F$2,'Præsentationstabeller 1'!$C$2),0)</f>
        <v/>
      </c>
      <c r="G84" vm="2201">
        <f>IFERROR(CUBEVALUE("BIDB",$A84,G$3,G$2,'Præsentationstabeller 1'!$C$2),0)</f>
        <v>7</v>
      </c>
      <c r="H84" t="str" vm="1453">
        <f>IFERROR(CUBEVALUE("BIDB",$A84,H$3,H$2,'Præsentationstabeller 1'!$C$2),0)</f>
        <v/>
      </c>
      <c r="I84" t="str" vm="10820">
        <f>IFERROR(CUBEVALUE("BIDB",$A84,I$3,I$2,'Præsentationstabeller 1'!$C$2),0)</f>
        <v/>
      </c>
      <c r="J84" t="str" vm="14712">
        <f>IFERROR(CUBEVALUE("BIDB",$A84,J$3,J$2,'Præsentationstabeller 1'!$C$2),0)</f>
        <v/>
      </c>
      <c r="K84" t="str" vm="1706">
        <f>IFERROR(CUBEVALUE("BIDB",$A84,K$3,K$2,'Præsentationstabeller 1'!$C$2),0)</f>
        <v/>
      </c>
      <c r="L84" t="str" vm="16691">
        <f>IFERROR(CUBEVALUE("BIDB",$A84,L$3,L$2,'Præsentationstabeller 1'!$C$2),0)</f>
        <v/>
      </c>
    </row>
    <row r="85" spans="1:12" x14ac:dyDescent="0.3">
      <c r="A85" s="123" t="str" vm="1251">
        <f>CUBEMEMBER("BIDB","[Dimittenddato].[Dimittenddato].&amp;[2007-08-21T00:00:00]")</f>
        <v>21-08-2007</v>
      </c>
      <c r="B85" t="str" vm="2041">
        <f>IFERROR(CUBEVALUE("BIDB",$A85,B$3,'Præsentationstabeller 1'!$C$2),0)</f>
        <v/>
      </c>
      <c r="C85" vm="1699">
        <f>IFERROR(CUBEVALUE("BIDB",$A85,C$3,C$2,'Præsentationstabeller 1'!$C$2),0)</f>
        <v>1</v>
      </c>
      <c r="D85" t="str" vm="11479">
        <f>IFERROR(CUBEVALUE("BIDB",$A85,D$3,D$2,'Præsentationstabeller 1'!$C$2),0)</f>
        <v/>
      </c>
      <c r="E85" vm="9824">
        <f>IFERROR(CUBEVALUE("BIDB",$A85,E$3,E$2,'Præsentationstabeller 1'!$C$2),0)</f>
        <v>3</v>
      </c>
      <c r="F85" t="str" vm="2299">
        <f>IFERROR(CUBEVALUE("BIDB",$A85,F$3,F$2,'Præsentationstabeller 1'!$C$2),0)</f>
        <v/>
      </c>
      <c r="G85" vm="1756">
        <f>IFERROR(CUBEVALUE("BIDB",$A85,G$3,G$2,'Præsentationstabeller 1'!$C$2),0)</f>
        <v>3</v>
      </c>
      <c r="H85" t="str" vm="2026">
        <f>IFERROR(CUBEVALUE("BIDB",$A85,H$3,H$2,'Præsentationstabeller 1'!$C$2),0)</f>
        <v/>
      </c>
      <c r="I85" t="str" vm="7651">
        <f>IFERROR(CUBEVALUE("BIDB",$A85,I$3,I$2,'Præsentationstabeller 1'!$C$2),0)</f>
        <v/>
      </c>
      <c r="J85" t="str" vm="15585">
        <f>IFERROR(CUBEVALUE("BIDB",$A85,J$3,J$2,'Præsentationstabeller 1'!$C$2),0)</f>
        <v/>
      </c>
      <c r="K85" t="str" vm="1395">
        <f>IFERROR(CUBEVALUE("BIDB",$A85,K$3,K$2,'Præsentationstabeller 1'!$C$2),0)</f>
        <v/>
      </c>
      <c r="L85" t="str" vm="16692">
        <f>IFERROR(CUBEVALUE("BIDB",$A85,L$3,L$2,'Præsentationstabeller 1'!$C$2),0)</f>
        <v/>
      </c>
    </row>
    <row r="86" spans="1:12" x14ac:dyDescent="0.3">
      <c r="A86" s="123" t="str" vm="1250">
        <f>CUBEMEMBER("BIDB","[Dimittenddato].[Dimittenddato].&amp;[2007-08-22T00:00:00]")</f>
        <v>22-08-2007</v>
      </c>
      <c r="B86" t="str" vm="2718">
        <f>IFERROR(CUBEVALUE("BIDB",$A86,B$3,'Præsentationstabeller 1'!$C$2),0)</f>
        <v/>
      </c>
      <c r="C86" t="str" vm="2925">
        <f>IFERROR(CUBEVALUE("BIDB",$A86,C$3,C$2,'Præsentationstabeller 1'!$C$2),0)</f>
        <v/>
      </c>
      <c r="D86" t="str" vm="13090">
        <f>IFERROR(CUBEVALUE("BIDB",$A86,D$3,D$2,'Præsentationstabeller 1'!$C$2),0)</f>
        <v/>
      </c>
      <c r="E86" vm="12991">
        <f>IFERROR(CUBEVALUE("BIDB",$A86,E$3,E$2,'Præsentationstabeller 1'!$C$2),0)</f>
        <v>6</v>
      </c>
      <c r="F86" t="str" vm="1697">
        <f>IFERROR(CUBEVALUE("BIDB",$A86,F$3,F$2,'Præsentationstabeller 1'!$C$2),0)</f>
        <v/>
      </c>
      <c r="G86" vm="1905">
        <f>IFERROR(CUBEVALUE("BIDB",$A86,G$3,G$2,'Præsentationstabeller 1'!$C$2),0)</f>
        <v>6</v>
      </c>
      <c r="H86" t="str" vm="1600">
        <f>IFERROR(CUBEVALUE("BIDB",$A86,H$3,H$2,'Præsentationstabeller 1'!$C$2),0)</f>
        <v/>
      </c>
      <c r="I86" t="str" vm="9716">
        <f>IFERROR(CUBEVALUE("BIDB",$A86,I$3,I$2,'Præsentationstabeller 1'!$C$2),0)</f>
        <v/>
      </c>
      <c r="J86" t="str" vm="14501">
        <f>IFERROR(CUBEVALUE("BIDB",$A86,J$3,J$2,'Præsentationstabeller 1'!$C$2),0)</f>
        <v/>
      </c>
      <c r="K86" t="str" vm="1978">
        <f>IFERROR(CUBEVALUE("BIDB",$A86,K$3,K$2,'Præsentationstabeller 1'!$C$2),0)</f>
        <v/>
      </c>
      <c r="L86" t="str" vm="1577">
        <f>IFERROR(CUBEVALUE("BIDB",$A86,L$3,L$2,'Præsentationstabeller 1'!$C$2),0)</f>
        <v/>
      </c>
    </row>
    <row r="87" spans="1:12" x14ac:dyDescent="0.3">
      <c r="A87" s="123" t="str" vm="1249">
        <f>CUBEMEMBER("BIDB","[Dimittenddato].[Dimittenddato].&amp;[2007-08-23T00:00:00]")</f>
        <v>23-08-2007</v>
      </c>
      <c r="B87" t="str" vm="2696">
        <f>IFERROR(CUBEVALUE("BIDB",$A87,B$3,'Præsentationstabeller 1'!$C$2),0)</f>
        <v/>
      </c>
      <c r="C87" vm="1919">
        <f>IFERROR(CUBEVALUE("BIDB",$A87,C$3,C$2,'Præsentationstabeller 1'!$C$2),0)</f>
        <v>1</v>
      </c>
      <c r="D87" t="str" vm="9833">
        <f>IFERROR(CUBEVALUE("BIDB",$A87,D$3,D$2,'Præsentationstabeller 1'!$C$2),0)</f>
        <v/>
      </c>
      <c r="E87" vm="16154">
        <f>IFERROR(CUBEVALUE("BIDB",$A87,E$3,E$2,'Præsentationstabeller 1'!$C$2),0)</f>
        <v>7</v>
      </c>
      <c r="F87" vm="3369">
        <f>IFERROR(CUBEVALUE("BIDB",$A87,F$3,F$2,'Præsentationstabeller 1'!$C$2),0)</f>
        <v>3</v>
      </c>
      <c r="G87" vm="2446">
        <f>IFERROR(CUBEVALUE("BIDB",$A87,G$3,G$2,'Præsentationstabeller 1'!$C$2),0)</f>
        <v>10</v>
      </c>
      <c r="H87" t="str" vm="1826">
        <f>IFERROR(CUBEVALUE("BIDB",$A87,H$3,H$2,'Præsentationstabeller 1'!$C$2),0)</f>
        <v/>
      </c>
      <c r="I87" t="str" vm="8216">
        <f>IFERROR(CUBEVALUE("BIDB",$A87,I$3,I$2,'Præsentationstabeller 1'!$C$2),0)</f>
        <v/>
      </c>
      <c r="J87" vm="15582">
        <f>IFERROR(CUBEVALUE("BIDB",$A87,J$3,J$2,'Præsentationstabeller 1'!$C$2),0)</f>
        <v>0.12</v>
      </c>
      <c r="K87" t="str" vm="2145">
        <f>IFERROR(CUBEVALUE("BIDB",$A87,K$3,K$2,'Præsentationstabeller 1'!$C$2),0)</f>
        <v/>
      </c>
      <c r="L87" vm="1407">
        <f>IFERROR(CUBEVALUE("BIDB",$A87,L$3,L$2,'Præsentationstabeller 1'!$C$2),0)</f>
        <v>0.12</v>
      </c>
    </row>
    <row r="88" spans="1:12" x14ac:dyDescent="0.3">
      <c r="A88" s="123" t="str" vm="1248">
        <f>CUBEMEMBER("BIDB","[Dimittenddato].[Dimittenddato].&amp;[2007-08-24T00:00:00]")</f>
        <v>24-08-2007</v>
      </c>
      <c r="B88" t="str" vm="2403">
        <f>IFERROR(CUBEVALUE("BIDB",$A88,B$3,'Præsentationstabeller 1'!$C$2),0)</f>
        <v/>
      </c>
      <c r="C88" t="str" vm="1638">
        <f>IFERROR(CUBEVALUE("BIDB",$A88,C$3,C$2,'Præsentationstabeller 1'!$C$2),0)</f>
        <v/>
      </c>
      <c r="D88" vm="10624">
        <f>IFERROR(CUBEVALUE("BIDB",$A88,D$3,D$2,'Præsentationstabeller 1'!$C$2),0)</f>
        <v>0</v>
      </c>
      <c r="E88" vm="9292">
        <f>IFERROR(CUBEVALUE("BIDB",$A88,E$3,E$2,'Præsentationstabeller 1'!$C$2),0)</f>
        <v>7</v>
      </c>
      <c r="F88" vm="2329">
        <f>IFERROR(CUBEVALUE("BIDB",$A88,F$3,F$2,'Præsentationstabeller 1'!$C$2),0)</f>
        <v>2</v>
      </c>
      <c r="G88" vm="1553">
        <f>IFERROR(CUBEVALUE("BIDB",$A88,G$3,G$2,'Præsentationstabeller 1'!$C$2),0)</f>
        <v>9</v>
      </c>
      <c r="H88" t="str" vm="1606">
        <f>IFERROR(CUBEVALUE("BIDB",$A88,H$3,H$2,'Præsentationstabeller 1'!$C$2),0)</f>
        <v/>
      </c>
      <c r="I88" t="str" vm="11863">
        <f>IFERROR(CUBEVALUE("BIDB",$A88,I$3,I$2,'Præsentationstabeller 1'!$C$2),0)</f>
        <v/>
      </c>
      <c r="J88" t="str" vm="16319">
        <f>IFERROR(CUBEVALUE("BIDB",$A88,J$3,J$2,'Præsentationstabeller 1'!$C$2),0)</f>
        <v/>
      </c>
      <c r="K88" t="str" vm="2236">
        <f>IFERROR(CUBEVALUE("BIDB",$A88,K$3,K$2,'Præsentationstabeller 1'!$C$2),0)</f>
        <v/>
      </c>
      <c r="L88" t="str" vm="16266">
        <f>IFERROR(CUBEVALUE("BIDB",$A88,L$3,L$2,'Præsentationstabeller 1'!$C$2),0)</f>
        <v/>
      </c>
    </row>
    <row r="89" spans="1:12" x14ac:dyDescent="0.3">
      <c r="A89" s="123" t="str" vm="1247">
        <f>CUBEMEMBER("BIDB","[Dimittenddato].[Dimittenddato].&amp;[2007-08-25T00:00:00]")</f>
        <v>25-08-2007</v>
      </c>
      <c r="B89" t="str" vm="1853">
        <f>IFERROR(CUBEVALUE("BIDB",$A89,B$3,'Præsentationstabeller 1'!$C$2),0)</f>
        <v/>
      </c>
      <c r="C89" t="str" vm="2444">
        <f>IFERROR(CUBEVALUE("BIDB",$A89,C$3,C$2,'Præsentationstabeller 1'!$C$2),0)</f>
        <v/>
      </c>
      <c r="D89" t="str" vm="13712">
        <f>IFERROR(CUBEVALUE("BIDB",$A89,D$3,D$2,'Præsentationstabeller 1'!$C$2),0)</f>
        <v/>
      </c>
      <c r="E89" t="str" vm="9420">
        <f>IFERROR(CUBEVALUE("BIDB",$A89,E$3,E$2,'Præsentationstabeller 1'!$C$2),0)</f>
        <v/>
      </c>
      <c r="F89" t="str" vm="3940">
        <f>IFERROR(CUBEVALUE("BIDB",$A89,F$3,F$2,'Præsentationstabeller 1'!$C$2),0)</f>
        <v/>
      </c>
      <c r="G89" t="str" vm="1502">
        <f>IFERROR(CUBEVALUE("BIDB",$A89,G$3,G$2,'Præsentationstabeller 1'!$C$2),0)</f>
        <v/>
      </c>
      <c r="H89" t="str" vm="2441">
        <f>IFERROR(CUBEVALUE("BIDB",$A89,H$3,H$2,'Præsentationstabeller 1'!$C$2),0)</f>
        <v/>
      </c>
      <c r="I89" t="str" vm="10696">
        <f>IFERROR(CUBEVALUE("BIDB",$A89,I$3,I$2,'Præsentationstabeller 1'!$C$2),0)</f>
        <v/>
      </c>
      <c r="J89" t="str" vm="14343">
        <f>IFERROR(CUBEVALUE("BIDB",$A89,J$3,J$2,'Præsentationstabeller 1'!$C$2),0)</f>
        <v/>
      </c>
      <c r="K89" t="str" vm="1943">
        <f>IFERROR(CUBEVALUE("BIDB",$A89,K$3,K$2,'Præsentationstabeller 1'!$C$2),0)</f>
        <v/>
      </c>
      <c r="L89" t="str" vm="16267">
        <f>IFERROR(CUBEVALUE("BIDB",$A89,L$3,L$2,'Præsentationstabeller 1'!$C$2),0)</f>
        <v/>
      </c>
    </row>
    <row r="90" spans="1:12" x14ac:dyDescent="0.3">
      <c r="A90" s="123" t="str" vm="1246">
        <f>CUBEMEMBER("BIDB","[Dimittenddato].[Dimittenddato].&amp;[2007-08-26T00:00:00]")</f>
        <v>26-08-2007</v>
      </c>
      <c r="B90" t="str" vm="2911">
        <f>IFERROR(CUBEVALUE("BIDB",$A90,B$3,'Præsentationstabeller 1'!$C$2),0)</f>
        <v/>
      </c>
      <c r="C90" t="str" vm="1503">
        <f>IFERROR(CUBEVALUE("BIDB",$A90,C$3,C$2,'Præsentationstabeller 1'!$C$2),0)</f>
        <v/>
      </c>
      <c r="D90" t="str" vm="16174">
        <f>IFERROR(CUBEVALUE("BIDB",$A90,D$3,D$2,'Præsentationstabeller 1'!$C$2),0)</f>
        <v/>
      </c>
      <c r="E90" t="str" vm="10195">
        <f>IFERROR(CUBEVALUE("BIDB",$A90,E$3,E$2,'Præsentationstabeller 1'!$C$2),0)</f>
        <v/>
      </c>
      <c r="F90" t="str" vm="2109">
        <f>IFERROR(CUBEVALUE("BIDB",$A90,F$3,F$2,'Præsentationstabeller 1'!$C$2),0)</f>
        <v/>
      </c>
      <c r="G90" t="str" vm="2776">
        <f>IFERROR(CUBEVALUE("BIDB",$A90,G$3,G$2,'Præsentationstabeller 1'!$C$2),0)</f>
        <v/>
      </c>
      <c r="H90" t="str" vm="1341">
        <f>IFERROR(CUBEVALUE("BIDB",$A90,H$3,H$2,'Præsentationstabeller 1'!$C$2),0)</f>
        <v/>
      </c>
      <c r="I90" t="str" vm="9568">
        <f>IFERROR(CUBEVALUE("BIDB",$A90,I$3,I$2,'Præsentationstabeller 1'!$C$2),0)</f>
        <v/>
      </c>
      <c r="J90" t="str" vm="14870">
        <f>IFERROR(CUBEVALUE("BIDB",$A90,J$3,J$2,'Præsentationstabeller 1'!$C$2),0)</f>
        <v/>
      </c>
      <c r="K90" t="str" vm="1378">
        <f>IFERROR(CUBEVALUE("BIDB",$A90,K$3,K$2,'Præsentationstabeller 1'!$C$2),0)</f>
        <v/>
      </c>
      <c r="L90" t="str" vm="2006">
        <f>IFERROR(CUBEVALUE("BIDB",$A90,L$3,L$2,'Præsentationstabeller 1'!$C$2),0)</f>
        <v/>
      </c>
    </row>
    <row r="91" spans="1:12" x14ac:dyDescent="0.3">
      <c r="A91" s="123" t="str" vm="1245">
        <f>CUBEMEMBER("BIDB","[Dimittenddato].[Dimittenddato].&amp;[2007-08-27T00:00:00]")</f>
        <v>27-08-2007</v>
      </c>
      <c r="B91" t="str" vm="3938">
        <f>IFERROR(CUBEVALUE("BIDB",$A91,B$3,'Præsentationstabeller 1'!$C$2),0)</f>
        <v/>
      </c>
      <c r="C91" vm="6611">
        <f>IFERROR(CUBEVALUE("BIDB",$A91,C$3,C$2,'Præsentationstabeller 1'!$C$2),0)</f>
        <v>1</v>
      </c>
      <c r="D91" t="str" vm="12735">
        <f>IFERROR(CUBEVALUE("BIDB",$A91,D$3,D$2,'Præsentationstabeller 1'!$C$2),0)</f>
        <v/>
      </c>
      <c r="E91" vm="10125">
        <f>IFERROR(CUBEVALUE("BIDB",$A91,E$3,E$2,'Præsentationstabeller 1'!$C$2),0)</f>
        <v>4</v>
      </c>
      <c r="F91" t="str" vm="2613">
        <f>IFERROR(CUBEVALUE("BIDB",$A91,F$3,F$2,'Præsentationstabeller 1'!$C$2),0)</f>
        <v/>
      </c>
      <c r="G91" vm="1935">
        <f>IFERROR(CUBEVALUE("BIDB",$A91,G$3,G$2,'Præsentationstabeller 1'!$C$2),0)</f>
        <v>4</v>
      </c>
      <c r="H91" t="str" vm="1498">
        <f>IFERROR(CUBEVALUE("BIDB",$A91,H$3,H$2,'Præsentationstabeller 1'!$C$2),0)</f>
        <v/>
      </c>
      <c r="I91" t="str" vm="9045">
        <f>IFERROR(CUBEVALUE("BIDB",$A91,I$3,I$2,'Præsentationstabeller 1'!$C$2),0)</f>
        <v/>
      </c>
      <c r="J91" t="str" vm="12567">
        <f>IFERROR(CUBEVALUE("BIDB",$A91,J$3,J$2,'Præsentationstabeller 1'!$C$2),0)</f>
        <v/>
      </c>
      <c r="K91" t="str" vm="1546">
        <f>IFERROR(CUBEVALUE("BIDB",$A91,K$3,K$2,'Præsentationstabeller 1'!$C$2),0)</f>
        <v/>
      </c>
      <c r="L91" t="str" vm="17172">
        <f>IFERROR(CUBEVALUE("BIDB",$A91,L$3,L$2,'Præsentationstabeller 1'!$C$2),0)</f>
        <v/>
      </c>
    </row>
    <row r="92" spans="1:12" x14ac:dyDescent="0.3">
      <c r="A92" s="123" t="str" vm="1244">
        <f>CUBEMEMBER("BIDB","[Dimittenddato].[Dimittenddato].&amp;[2007-08-28T00:00:00]")</f>
        <v>28-08-2007</v>
      </c>
      <c r="B92" t="str" vm="2399">
        <f>IFERROR(CUBEVALUE("BIDB",$A92,B$3,'Præsentationstabeller 1'!$C$2),0)</f>
        <v/>
      </c>
      <c r="C92" vm="1958">
        <f>IFERROR(CUBEVALUE("BIDB",$A92,C$3,C$2,'Præsentationstabeller 1'!$C$2),0)</f>
        <v>5</v>
      </c>
      <c r="D92" t="str" vm="15787">
        <f>IFERROR(CUBEVALUE("BIDB",$A92,D$3,D$2,'Præsentationstabeller 1'!$C$2),0)</f>
        <v/>
      </c>
      <c r="E92" vm="10402">
        <f>IFERROR(CUBEVALUE("BIDB",$A92,E$3,E$2,'Præsentationstabeller 1'!$C$2),0)</f>
        <v>5</v>
      </c>
      <c r="F92" vm="2125">
        <f>IFERROR(CUBEVALUE("BIDB",$A92,F$3,F$2,'Præsentationstabeller 1'!$C$2),0)</f>
        <v>1</v>
      </c>
      <c r="G92" vm="2590">
        <f>IFERROR(CUBEVALUE("BIDB",$A92,G$3,G$2,'Præsentationstabeller 1'!$C$2),0)</f>
        <v>6</v>
      </c>
      <c r="H92" t="str" vm="1714">
        <f>IFERROR(CUBEVALUE("BIDB",$A92,H$3,H$2,'Præsentationstabeller 1'!$C$2),0)</f>
        <v/>
      </c>
      <c r="I92" t="str" vm="11255">
        <f>IFERROR(CUBEVALUE("BIDB",$A92,I$3,I$2,'Præsentationstabeller 1'!$C$2),0)</f>
        <v/>
      </c>
      <c r="J92" t="str" vm="13175">
        <f>IFERROR(CUBEVALUE("BIDB",$A92,J$3,J$2,'Præsentationstabeller 1'!$C$2),0)</f>
        <v/>
      </c>
      <c r="K92" t="str" vm="2389">
        <f>IFERROR(CUBEVALUE("BIDB",$A92,K$3,K$2,'Præsentationstabeller 1'!$C$2),0)</f>
        <v/>
      </c>
      <c r="L92" t="str" vm="17187">
        <f>IFERROR(CUBEVALUE("BIDB",$A92,L$3,L$2,'Præsentationstabeller 1'!$C$2),0)</f>
        <v/>
      </c>
    </row>
    <row r="93" spans="1:12" x14ac:dyDescent="0.3">
      <c r="A93" s="123" t="str" vm="1243">
        <f>CUBEMEMBER("BIDB","[Dimittenddato].[Dimittenddato].&amp;[2007-08-29T00:00:00]")</f>
        <v>29-08-2007</v>
      </c>
      <c r="B93" t="str" vm="16715">
        <f>IFERROR(CUBEVALUE("BIDB",$A93,B$3,'Præsentationstabeller 1'!$C$2),0)</f>
        <v/>
      </c>
      <c r="C93" vm="2220">
        <f>IFERROR(CUBEVALUE("BIDB",$A93,C$3,C$2,'Præsentationstabeller 1'!$C$2),0)</f>
        <v>1</v>
      </c>
      <c r="D93" t="str" vm="15398">
        <f>IFERROR(CUBEVALUE("BIDB",$A93,D$3,D$2,'Præsentationstabeller 1'!$C$2),0)</f>
        <v/>
      </c>
      <c r="E93" vm="10727">
        <f>IFERROR(CUBEVALUE("BIDB",$A93,E$3,E$2,'Præsentationstabeller 1'!$C$2),0)</f>
        <v>4</v>
      </c>
      <c r="F93" vm="2664">
        <f>IFERROR(CUBEVALUE("BIDB",$A93,F$3,F$2,'Præsentationstabeller 1'!$C$2),0)</f>
        <v>0</v>
      </c>
      <c r="G93" vm="1559">
        <f>IFERROR(CUBEVALUE("BIDB",$A93,G$3,G$2,'Præsentationstabeller 1'!$C$2),0)</f>
        <v>4</v>
      </c>
      <c r="H93" t="str" vm="2968">
        <f>IFERROR(CUBEVALUE("BIDB",$A93,H$3,H$2,'Præsentationstabeller 1'!$C$2),0)</f>
        <v/>
      </c>
      <c r="I93" t="str" vm="7548">
        <f>IFERROR(CUBEVALUE("BIDB",$A93,I$3,I$2,'Præsentationstabeller 1'!$C$2),0)</f>
        <v/>
      </c>
      <c r="J93" t="str" vm="16926">
        <f>IFERROR(CUBEVALUE("BIDB",$A93,J$3,J$2,'Præsentationstabeller 1'!$C$2),0)</f>
        <v/>
      </c>
      <c r="K93" t="str" vm="1700">
        <f>IFERROR(CUBEVALUE("BIDB",$A93,K$3,K$2,'Præsentationstabeller 1'!$C$2),0)</f>
        <v/>
      </c>
      <c r="L93" t="str" vm="16751">
        <f>IFERROR(CUBEVALUE("BIDB",$A93,L$3,L$2,'Præsentationstabeller 1'!$C$2),0)</f>
        <v/>
      </c>
    </row>
    <row r="94" spans="1:12" x14ac:dyDescent="0.3">
      <c r="A94" s="123" t="str" vm="1242">
        <f>CUBEMEMBER("BIDB","[Dimittenddato].[Dimittenddato].&amp;[2007-08-30T00:00:00]")</f>
        <v>30-08-2007</v>
      </c>
      <c r="B94" t="str" vm="1876">
        <f>IFERROR(CUBEVALUE("BIDB",$A94,B$3,'Præsentationstabeller 1'!$C$2),0)</f>
        <v/>
      </c>
      <c r="C94" vm="1808">
        <f>IFERROR(CUBEVALUE("BIDB",$A94,C$3,C$2,'Præsentationstabeller 1'!$C$2),0)</f>
        <v>1</v>
      </c>
      <c r="D94" vm="11551">
        <f>IFERROR(CUBEVALUE("BIDB",$A94,D$3,D$2,'Præsentationstabeller 1'!$C$2),0)</f>
        <v>1</v>
      </c>
      <c r="E94" vm="10065">
        <f>IFERROR(CUBEVALUE("BIDB",$A94,E$3,E$2,'Præsentationstabeller 1'!$C$2),0)</f>
        <v>15</v>
      </c>
      <c r="F94" vm="4168">
        <f>IFERROR(CUBEVALUE("BIDB",$A94,F$3,F$2,'Præsentationstabeller 1'!$C$2),0)</f>
        <v>1</v>
      </c>
      <c r="G94" vm="1945">
        <f>IFERROR(CUBEVALUE("BIDB",$A94,G$3,G$2,'Præsentationstabeller 1'!$C$2),0)</f>
        <v>16</v>
      </c>
      <c r="H94" t="str" vm="1419">
        <f>IFERROR(CUBEVALUE("BIDB",$A94,H$3,H$2,'Præsentationstabeller 1'!$C$2),0)</f>
        <v/>
      </c>
      <c r="I94" t="str" vm="10257">
        <f>IFERROR(CUBEVALUE("BIDB",$A94,I$3,I$2,'Præsentationstabeller 1'!$C$2),0)</f>
        <v/>
      </c>
      <c r="J94" t="str" vm="15107">
        <f>IFERROR(CUBEVALUE("BIDB",$A94,J$3,J$2,'Præsentationstabeller 1'!$C$2),0)</f>
        <v/>
      </c>
      <c r="K94" t="str" vm="1628">
        <f>IFERROR(CUBEVALUE("BIDB",$A94,K$3,K$2,'Præsentationstabeller 1'!$C$2),0)</f>
        <v/>
      </c>
      <c r="L94" t="str" vm="16261">
        <f>IFERROR(CUBEVALUE("BIDB",$A94,L$3,L$2,'Præsentationstabeller 1'!$C$2),0)</f>
        <v/>
      </c>
    </row>
    <row r="95" spans="1:12" x14ac:dyDescent="0.3">
      <c r="A95" s="123" t="str" vm="1241">
        <f>CUBEMEMBER("BIDB","[Dimittenddato].[Dimittenddato].&amp;[2007-08-31T00:00:00]")</f>
        <v>31-08-2007</v>
      </c>
      <c r="B95" t="str" vm="15851">
        <f>IFERROR(CUBEVALUE("BIDB",$A95,B$3,'Præsentationstabeller 1'!$C$2),0)</f>
        <v/>
      </c>
      <c r="C95" vm="1849">
        <f>IFERROR(CUBEVALUE("BIDB",$A95,C$3,C$2,'Præsentationstabeller 1'!$C$2),0)</f>
        <v>3</v>
      </c>
      <c r="D95" vm="16652">
        <f>IFERROR(CUBEVALUE("BIDB",$A95,D$3,D$2,'Præsentationstabeller 1'!$C$2),0)</f>
        <v>1</v>
      </c>
      <c r="E95" vm="13177">
        <f>IFERROR(CUBEVALUE("BIDB",$A95,E$3,E$2,'Præsentationstabeller 1'!$C$2),0)</f>
        <v>15</v>
      </c>
      <c r="F95" vm="2980">
        <f>IFERROR(CUBEVALUE("BIDB",$A95,F$3,F$2,'Præsentationstabeller 1'!$C$2),0)</f>
        <v>2</v>
      </c>
      <c r="G95" vm="1474">
        <f>IFERROR(CUBEVALUE("BIDB",$A95,G$3,G$2,'Præsentationstabeller 1'!$C$2),0)</f>
        <v>17</v>
      </c>
      <c r="H95" t="str" vm="2198">
        <f>IFERROR(CUBEVALUE("BIDB",$A95,H$3,H$2,'Præsentationstabeller 1'!$C$2),0)</f>
        <v/>
      </c>
      <c r="I95" t="str" vm="6843">
        <f>IFERROR(CUBEVALUE("BIDB",$A95,I$3,I$2,'Præsentationstabeller 1'!$C$2),0)</f>
        <v/>
      </c>
      <c r="J95" t="str" vm="11665">
        <f>IFERROR(CUBEVALUE("BIDB",$A95,J$3,J$2,'Præsentationstabeller 1'!$C$2),0)</f>
        <v/>
      </c>
      <c r="K95" t="str" vm="2254">
        <f>IFERROR(CUBEVALUE("BIDB",$A95,K$3,K$2,'Præsentationstabeller 1'!$C$2),0)</f>
        <v/>
      </c>
      <c r="L95" t="str" vm="16262">
        <f>IFERROR(CUBEVALUE("BIDB",$A95,L$3,L$2,'Præsentationstabeller 1'!$C$2),0)</f>
        <v/>
      </c>
    </row>
    <row r="96" spans="1:12" x14ac:dyDescent="0.3">
      <c r="A96" s="123" t="str" vm="1240">
        <f>CUBEMEMBER("BIDB","[Dimittenddato].[Dimittenddato].&amp;[2008-06-01T00:00:00]")</f>
        <v>01-06-2008</v>
      </c>
      <c r="B96" t="str" vm="2130">
        <f>IFERROR(CUBEVALUE("BIDB",$A96,B$3,'Præsentationstabeller 1'!$C$2),0)</f>
        <v/>
      </c>
      <c r="C96" vm="2647">
        <f>IFERROR(CUBEVALUE("BIDB",$A96,C$3,C$2,'Præsentationstabeller 1'!$C$2),0)</f>
        <v>1</v>
      </c>
      <c r="D96" vm="14621">
        <f>IFERROR(CUBEVALUE("BIDB",$A96,D$3,D$2,'Præsentationstabeller 1'!$C$2),0)</f>
        <v>2</v>
      </c>
      <c r="E96" vm="11753">
        <f>IFERROR(CUBEVALUE("BIDB",$A96,E$3,E$2,'Præsentationstabeller 1'!$C$2),0)</f>
        <v>5</v>
      </c>
      <c r="F96" vm="1870">
        <f>IFERROR(CUBEVALUE("BIDB",$A96,F$3,F$2,'Præsentationstabeller 1'!$C$2),0)</f>
        <v>7</v>
      </c>
      <c r="G96" vm="1937">
        <f>IFERROR(CUBEVALUE("BIDB",$A96,G$3,G$2,'Præsentationstabeller 1'!$C$2),0)</f>
        <v>12</v>
      </c>
      <c r="H96" t="str" vm="1597">
        <f>IFERROR(CUBEVALUE("BIDB",$A96,H$3,H$2,'Præsentationstabeller 1'!$C$2),0)</f>
        <v/>
      </c>
      <c r="I96" t="str" vm="13189">
        <f>IFERROR(CUBEVALUE("BIDB",$A96,I$3,I$2,'Præsentationstabeller 1'!$C$2),0)</f>
        <v/>
      </c>
      <c r="J96" t="str" vm="12067">
        <f>IFERROR(CUBEVALUE("BIDB",$A96,J$3,J$2,'Præsentationstabeller 1'!$C$2),0)</f>
        <v/>
      </c>
      <c r="K96" t="str" vm="1973">
        <f>IFERROR(CUBEVALUE("BIDB",$A96,K$3,K$2,'Præsentationstabeller 1'!$C$2),0)</f>
        <v/>
      </c>
      <c r="L96" t="str" vm="17190">
        <f>IFERROR(CUBEVALUE("BIDB",$A96,L$3,L$2,'Præsentationstabeller 1'!$C$2),0)</f>
        <v/>
      </c>
    </row>
    <row r="97" spans="1:12" x14ac:dyDescent="0.3">
      <c r="A97" s="123" t="str" vm="1239">
        <f>CUBEMEMBER("BIDB","[Dimittenddato].[Dimittenddato].&amp;[2008-06-02T00:00:00]")</f>
        <v>02-06-2008</v>
      </c>
      <c r="B97" t="str" vm="15858">
        <f>IFERROR(CUBEVALUE("BIDB",$A97,B$3,'Præsentationstabeller 1'!$C$2),0)</f>
        <v/>
      </c>
      <c r="C97" t="str" vm="16724">
        <f>IFERROR(CUBEVALUE("BIDB",$A97,C$3,C$2,'Præsentationstabeller 1'!$C$2),0)</f>
        <v/>
      </c>
      <c r="D97" t="str" vm="14008">
        <f>IFERROR(CUBEVALUE("BIDB",$A97,D$3,D$2,'Præsentationstabeller 1'!$C$2),0)</f>
        <v/>
      </c>
      <c r="E97" vm="11599">
        <f>IFERROR(CUBEVALUE("BIDB",$A97,E$3,E$2,'Præsentationstabeller 1'!$C$2),0)</f>
        <v>1</v>
      </c>
      <c r="F97" t="str" vm="16291">
        <f>IFERROR(CUBEVALUE("BIDB",$A97,F$3,F$2,'Præsentationstabeller 1'!$C$2),0)</f>
        <v/>
      </c>
      <c r="G97" vm="2896">
        <f>IFERROR(CUBEVALUE("BIDB",$A97,G$3,G$2,'Præsentationstabeller 1'!$C$2),0)</f>
        <v>1</v>
      </c>
      <c r="H97" t="str" vm="17196">
        <f>IFERROR(CUBEVALUE("BIDB",$A97,H$3,H$2,'Præsentationstabeller 1'!$C$2),0)</f>
        <v/>
      </c>
      <c r="I97" t="str" vm="10113">
        <f>IFERROR(CUBEVALUE("BIDB",$A97,I$3,I$2,'Præsentationstabeller 1'!$C$2),0)</f>
        <v/>
      </c>
      <c r="J97" t="str" vm="13099">
        <f>IFERROR(CUBEVALUE("BIDB",$A97,J$3,J$2,'Præsentationstabeller 1'!$C$2),0)</f>
        <v/>
      </c>
      <c r="K97" t="str" vm="2999">
        <f>IFERROR(CUBEVALUE("BIDB",$A97,K$3,K$2,'Præsentationstabeller 1'!$C$2),0)</f>
        <v/>
      </c>
      <c r="L97" t="str" vm="15859">
        <f>IFERROR(CUBEVALUE("BIDB",$A97,L$3,L$2,'Præsentationstabeller 1'!$C$2),0)</f>
        <v/>
      </c>
    </row>
    <row r="98" spans="1:12" x14ac:dyDescent="0.3">
      <c r="A98" s="123" t="str" vm="1238">
        <f>CUBEMEMBER("BIDB","[Dimittenddato].[Dimittenddato].&amp;[2008-06-03T00:00:00]")</f>
        <v>03-06-2008</v>
      </c>
      <c r="B98" t="str" vm="3327">
        <f>IFERROR(CUBEVALUE("BIDB",$A98,B$3,'Præsentationstabeller 1'!$C$2),0)</f>
        <v/>
      </c>
      <c r="C98" t="str" vm="2580">
        <f>IFERROR(CUBEVALUE("BIDB",$A98,C$3,C$2,'Præsentationstabeller 1'!$C$2),0)</f>
        <v/>
      </c>
      <c r="D98" vm="12584">
        <f>IFERROR(CUBEVALUE("BIDB",$A98,D$3,D$2,'Præsentationstabeller 1'!$C$2),0)</f>
        <v>1</v>
      </c>
      <c r="E98" vm="7605">
        <f>IFERROR(CUBEVALUE("BIDB",$A98,E$3,E$2,'Præsentationstabeller 1'!$C$2),0)</f>
        <v>2</v>
      </c>
      <c r="F98" t="str" vm="1879">
        <f>IFERROR(CUBEVALUE("BIDB",$A98,F$3,F$2,'Præsentationstabeller 1'!$C$2),0)</f>
        <v/>
      </c>
      <c r="G98" vm="1679">
        <f>IFERROR(CUBEVALUE("BIDB",$A98,G$3,G$2,'Præsentationstabeller 1'!$C$2),0)</f>
        <v>2</v>
      </c>
      <c r="H98" t="str" vm="1536">
        <f>IFERROR(CUBEVALUE("BIDB",$A98,H$3,H$2,'Præsentationstabeller 1'!$C$2),0)</f>
        <v/>
      </c>
      <c r="I98" t="str" vm="10365">
        <f>IFERROR(CUBEVALUE("BIDB",$A98,I$3,I$2,'Præsentationstabeller 1'!$C$2),0)</f>
        <v/>
      </c>
      <c r="J98" t="str" vm="13774">
        <f>IFERROR(CUBEVALUE("BIDB",$A98,J$3,J$2,'Præsentationstabeller 1'!$C$2),0)</f>
        <v/>
      </c>
      <c r="K98" t="str" vm="2975">
        <f>IFERROR(CUBEVALUE("BIDB",$A98,K$3,K$2,'Præsentationstabeller 1'!$C$2),0)</f>
        <v/>
      </c>
      <c r="L98" t="str" vm="16250">
        <f>IFERROR(CUBEVALUE("BIDB",$A98,L$3,L$2,'Præsentationstabeller 1'!$C$2),0)</f>
        <v/>
      </c>
    </row>
    <row r="99" spans="1:12" x14ac:dyDescent="0.3">
      <c r="A99" s="123" t="str" vm="1237">
        <f>CUBEMEMBER("BIDB","[Dimittenddato].[Dimittenddato].&amp;[2008-06-04T00:00:00]")</f>
        <v>04-06-2008</v>
      </c>
      <c r="B99" t="str" vm="8737">
        <f>IFERROR(CUBEVALUE("BIDB",$A99,B$3,'Præsentationstabeller 1'!$C$2),0)</f>
        <v/>
      </c>
      <c r="C99" vm="2445">
        <f>IFERROR(CUBEVALUE("BIDB",$A99,C$3,C$2,'Præsentationstabeller 1'!$C$2),0)</f>
        <v>1</v>
      </c>
      <c r="D99" t="str" vm="9777">
        <f>IFERROR(CUBEVALUE("BIDB",$A99,D$3,D$2,'Præsentationstabeller 1'!$C$2),0)</f>
        <v/>
      </c>
      <c r="E99" vm="10595">
        <f>IFERROR(CUBEVALUE("BIDB",$A99,E$3,E$2,'Præsentationstabeller 1'!$C$2),0)</f>
        <v>3</v>
      </c>
      <c r="F99" t="str" vm="1863">
        <f>IFERROR(CUBEVALUE("BIDB",$A99,F$3,F$2,'Præsentationstabeller 1'!$C$2),0)</f>
        <v/>
      </c>
      <c r="G99" vm="2344">
        <f>IFERROR(CUBEVALUE("BIDB",$A99,G$3,G$2,'Præsentationstabeller 1'!$C$2),0)</f>
        <v>3</v>
      </c>
      <c r="H99" t="str" vm="1426">
        <f>IFERROR(CUBEVALUE("BIDB",$A99,H$3,H$2,'Præsentationstabeller 1'!$C$2),0)</f>
        <v/>
      </c>
      <c r="I99" t="str" vm="8942">
        <f>IFERROR(CUBEVALUE("BIDB",$A99,I$3,I$2,'Præsentationstabeller 1'!$C$2),0)</f>
        <v/>
      </c>
      <c r="J99" t="str" vm="12925">
        <f>IFERROR(CUBEVALUE("BIDB",$A99,J$3,J$2,'Præsentationstabeller 1'!$C$2),0)</f>
        <v/>
      </c>
      <c r="K99" t="str" vm="1851">
        <f>IFERROR(CUBEVALUE("BIDB",$A99,K$3,K$2,'Præsentationstabeller 1'!$C$2),0)</f>
        <v/>
      </c>
      <c r="L99" t="str" vm="2003">
        <f>IFERROR(CUBEVALUE("BIDB",$A99,L$3,L$2,'Præsentationstabeller 1'!$C$2),0)</f>
        <v/>
      </c>
    </row>
    <row r="100" spans="1:12" x14ac:dyDescent="0.3">
      <c r="A100" s="123" t="str" vm="1236">
        <f>CUBEMEMBER("BIDB","[Dimittenddato].[Dimittenddato].&amp;[2008-06-05T00:00:00]")</f>
        <v>05-06-2008</v>
      </c>
      <c r="B100" t="str" vm="3547">
        <f>IFERROR(CUBEVALUE("BIDB",$A100,B$3,'Præsentationstabeller 1'!$C$2),0)</f>
        <v/>
      </c>
      <c r="C100" t="str" vm="2771">
        <f>IFERROR(CUBEVALUE("BIDB",$A100,C$3,C$2,'Præsentationstabeller 1'!$C$2),0)</f>
        <v/>
      </c>
      <c r="D100" t="str" vm="14309">
        <f>IFERROR(CUBEVALUE("BIDB",$A100,D$3,D$2,'Præsentationstabeller 1'!$C$2),0)</f>
        <v/>
      </c>
      <c r="E100" t="str" vm="14443">
        <f>IFERROR(CUBEVALUE("BIDB",$A100,E$3,E$2,'Præsentationstabeller 1'!$C$2),0)</f>
        <v/>
      </c>
      <c r="F100" t="str" vm="3675">
        <f>IFERROR(CUBEVALUE("BIDB",$A100,F$3,F$2,'Præsentationstabeller 1'!$C$2),0)</f>
        <v/>
      </c>
      <c r="G100" t="str" vm="1658">
        <f>IFERROR(CUBEVALUE("BIDB",$A100,G$3,G$2,'Præsentationstabeller 1'!$C$2),0)</f>
        <v/>
      </c>
      <c r="H100" t="str" vm="1517">
        <f>IFERROR(CUBEVALUE("BIDB",$A100,H$3,H$2,'Præsentationstabeller 1'!$C$2),0)</f>
        <v/>
      </c>
      <c r="I100" t="str" vm="14552">
        <f>IFERROR(CUBEVALUE("BIDB",$A100,I$3,I$2,'Præsentationstabeller 1'!$C$2),0)</f>
        <v/>
      </c>
      <c r="J100" t="str" vm="16229">
        <f>IFERROR(CUBEVALUE("BIDB",$A100,J$3,J$2,'Præsentationstabeller 1'!$C$2),0)</f>
        <v/>
      </c>
      <c r="K100" t="str" vm="2443">
        <f>IFERROR(CUBEVALUE("BIDB",$A100,K$3,K$2,'Præsentationstabeller 1'!$C$2),0)</f>
        <v/>
      </c>
      <c r="L100" t="str" vm="16277">
        <f>IFERROR(CUBEVALUE("BIDB",$A100,L$3,L$2,'Præsentationstabeller 1'!$C$2),0)</f>
        <v/>
      </c>
    </row>
    <row r="101" spans="1:12" x14ac:dyDescent="0.3">
      <c r="A101" s="123" t="str" vm="1235">
        <f>CUBEMEMBER("BIDB","[Dimittenddato].[Dimittenddato].&amp;[2008-06-06T00:00:00]")</f>
        <v>06-06-2008</v>
      </c>
      <c r="B101" t="str" vm="2969">
        <f>IFERROR(CUBEVALUE("BIDB",$A101,B$3,'Præsentationstabeller 1'!$C$2),0)</f>
        <v/>
      </c>
      <c r="C101" t="str" vm="2913">
        <f>IFERROR(CUBEVALUE("BIDB",$A101,C$3,C$2,'Præsentationstabeller 1'!$C$2),0)</f>
        <v/>
      </c>
      <c r="D101" vm="12238">
        <f>IFERROR(CUBEVALUE("BIDB",$A101,D$3,D$2,'Præsentationstabeller 1'!$C$2),0)</f>
        <v>3</v>
      </c>
      <c r="E101" t="str" vm="10121">
        <f>IFERROR(CUBEVALUE("BIDB",$A101,E$3,E$2,'Præsentationstabeller 1'!$C$2),0)</f>
        <v/>
      </c>
      <c r="F101" vm="2241">
        <f>IFERROR(CUBEVALUE("BIDB",$A101,F$3,F$2,'Præsentationstabeller 1'!$C$2),0)</f>
        <v>2</v>
      </c>
      <c r="G101" vm="2325">
        <f>IFERROR(CUBEVALUE("BIDB",$A101,G$3,G$2,'Præsentationstabeller 1'!$C$2),0)</f>
        <v>2</v>
      </c>
      <c r="H101" t="str" vm="1884">
        <f>IFERROR(CUBEVALUE("BIDB",$A101,H$3,H$2,'Præsentationstabeller 1'!$C$2),0)</f>
        <v/>
      </c>
      <c r="I101" t="str" vm="8376">
        <f>IFERROR(CUBEVALUE("BIDB",$A101,I$3,I$2,'Præsentationstabeller 1'!$C$2),0)</f>
        <v/>
      </c>
      <c r="J101" t="str" vm="15226">
        <f>IFERROR(CUBEVALUE("BIDB",$A101,J$3,J$2,'Præsentationstabeller 1'!$C$2),0)</f>
        <v/>
      </c>
      <c r="K101" t="str" vm="1975">
        <f>IFERROR(CUBEVALUE("BIDB",$A101,K$3,K$2,'Præsentationstabeller 1'!$C$2),0)</f>
        <v/>
      </c>
      <c r="L101" t="str" vm="16263">
        <f>IFERROR(CUBEVALUE("BIDB",$A101,L$3,L$2,'Præsentationstabeller 1'!$C$2),0)</f>
        <v/>
      </c>
    </row>
    <row r="102" spans="1:12" x14ac:dyDescent="0.3">
      <c r="A102" s="123" t="str" vm="1234">
        <f>CUBEMEMBER("BIDB","[Dimittenddato].[Dimittenddato].&amp;[2008-06-07T00:00:00]")</f>
        <v>07-06-2008</v>
      </c>
      <c r="B102" t="str" vm="2164">
        <f>IFERROR(CUBEVALUE("BIDB",$A102,B$3,'Præsentationstabeller 1'!$C$2),0)</f>
        <v/>
      </c>
      <c r="C102" t="str" vm="1801">
        <f>IFERROR(CUBEVALUE("BIDB",$A102,C$3,C$2,'Præsentationstabeller 1'!$C$2),0)</f>
        <v/>
      </c>
      <c r="D102" t="str" vm="16411">
        <f>IFERROR(CUBEVALUE("BIDB",$A102,D$3,D$2,'Præsentationstabeller 1'!$C$2),0)</f>
        <v/>
      </c>
      <c r="E102" t="str" vm="10862">
        <f>IFERROR(CUBEVALUE("BIDB",$A102,E$3,E$2,'Præsentationstabeller 1'!$C$2),0)</f>
        <v/>
      </c>
      <c r="F102" t="str" vm="2780">
        <f>IFERROR(CUBEVALUE("BIDB",$A102,F$3,F$2,'Præsentationstabeller 1'!$C$2),0)</f>
        <v/>
      </c>
      <c r="G102" t="str" vm="4963">
        <f>IFERROR(CUBEVALUE("BIDB",$A102,G$3,G$2,'Præsentationstabeller 1'!$C$2),0)</f>
        <v/>
      </c>
      <c r="H102" t="str" vm="1449">
        <f>IFERROR(CUBEVALUE("BIDB",$A102,H$3,H$2,'Præsentationstabeller 1'!$C$2),0)</f>
        <v/>
      </c>
      <c r="I102" t="str" vm="9666">
        <f>IFERROR(CUBEVALUE("BIDB",$A102,I$3,I$2,'Præsentationstabeller 1'!$C$2),0)</f>
        <v/>
      </c>
      <c r="J102" t="str" vm="17156">
        <f>IFERROR(CUBEVALUE("BIDB",$A102,J$3,J$2,'Præsentationstabeller 1'!$C$2),0)</f>
        <v/>
      </c>
      <c r="K102" t="str" vm="2022">
        <f>IFERROR(CUBEVALUE("BIDB",$A102,K$3,K$2,'Præsentationstabeller 1'!$C$2),0)</f>
        <v/>
      </c>
      <c r="L102" t="str" vm="16271">
        <f>IFERROR(CUBEVALUE("BIDB",$A102,L$3,L$2,'Præsentationstabeller 1'!$C$2),0)</f>
        <v/>
      </c>
    </row>
    <row r="103" spans="1:12" x14ac:dyDescent="0.3">
      <c r="A103" s="123" t="str" vm="1233">
        <f>CUBEMEMBER("BIDB","[Dimittenddato].[Dimittenddato].&amp;[2008-06-08T00:00:00]")</f>
        <v>08-06-2008</v>
      </c>
      <c r="B103" t="str" vm="16286">
        <f>IFERROR(CUBEVALUE("BIDB",$A103,B$3,'Præsentationstabeller 1'!$C$2),0)</f>
        <v/>
      </c>
      <c r="C103" t="str" vm="6095">
        <f>IFERROR(CUBEVALUE("BIDB",$A103,C$3,C$2,'Præsentationstabeller 1'!$C$2),0)</f>
        <v/>
      </c>
      <c r="D103" t="str" vm="11043">
        <f>IFERROR(CUBEVALUE("BIDB",$A103,D$3,D$2,'Præsentationstabeller 1'!$C$2),0)</f>
        <v/>
      </c>
      <c r="E103" vm="12661">
        <f>IFERROR(CUBEVALUE("BIDB",$A103,E$3,E$2,'Præsentationstabeller 1'!$C$2),0)</f>
        <v>1</v>
      </c>
      <c r="F103" t="str" vm="2904">
        <f>IFERROR(CUBEVALUE("BIDB",$A103,F$3,F$2,'Præsentationstabeller 1'!$C$2),0)</f>
        <v/>
      </c>
      <c r="G103" vm="1681">
        <f>IFERROR(CUBEVALUE("BIDB",$A103,G$3,G$2,'Præsentationstabeller 1'!$C$2),0)</f>
        <v>1</v>
      </c>
      <c r="H103" t="str" vm="1923">
        <f>IFERROR(CUBEVALUE("BIDB",$A103,H$3,H$2,'Præsentationstabeller 1'!$C$2),0)</f>
        <v/>
      </c>
      <c r="I103" t="str" vm="8344">
        <f>IFERROR(CUBEVALUE("BIDB",$A103,I$3,I$2,'Præsentationstabeller 1'!$C$2),0)</f>
        <v/>
      </c>
      <c r="J103" t="str" vm="15440">
        <f>IFERROR(CUBEVALUE("BIDB",$A103,J$3,J$2,'Præsentationstabeller 1'!$C$2),0)</f>
        <v/>
      </c>
      <c r="K103" t="str" vm="1640">
        <f>IFERROR(CUBEVALUE("BIDB",$A103,K$3,K$2,'Præsentationstabeller 1'!$C$2),0)</f>
        <v/>
      </c>
      <c r="L103" t="str" vm="16272">
        <f>IFERROR(CUBEVALUE("BIDB",$A103,L$3,L$2,'Præsentationstabeller 1'!$C$2),0)</f>
        <v/>
      </c>
    </row>
    <row r="104" spans="1:12" x14ac:dyDescent="0.3">
      <c r="A104" s="123" t="str" vm="1232">
        <f>CUBEMEMBER("BIDB","[Dimittenddato].[Dimittenddato].&amp;[2008-06-09T00:00:00]")</f>
        <v>09-06-2008</v>
      </c>
      <c r="B104" t="str" vm="3634">
        <f>IFERROR(CUBEVALUE("BIDB",$A104,B$3,'Præsentationstabeller 1'!$C$2),0)</f>
        <v/>
      </c>
      <c r="C104" vm="2014">
        <f>IFERROR(CUBEVALUE("BIDB",$A104,C$3,C$2,'Præsentationstabeller 1'!$C$2),0)</f>
        <v>1</v>
      </c>
      <c r="D104" vm="12744">
        <f>IFERROR(CUBEVALUE("BIDB",$A104,D$3,D$2,'Præsentationstabeller 1'!$C$2),0)</f>
        <v>1</v>
      </c>
      <c r="E104" t="str" vm="12977">
        <f>IFERROR(CUBEVALUE("BIDB",$A104,E$3,E$2,'Præsentationstabeller 1'!$C$2),0)</f>
        <v/>
      </c>
      <c r="F104" vm="2157">
        <f>IFERROR(CUBEVALUE("BIDB",$A104,F$3,F$2,'Præsentationstabeller 1'!$C$2),0)</f>
        <v>1</v>
      </c>
      <c r="G104" vm="2690">
        <f>IFERROR(CUBEVALUE("BIDB",$A104,G$3,G$2,'Præsentationstabeller 1'!$C$2),0)</f>
        <v>1</v>
      </c>
      <c r="H104" vm="1505">
        <f>IFERROR(CUBEVALUE("BIDB",$A104,H$3,H$2,'Præsentationstabeller 1'!$C$2),0)</f>
        <v>0.8</v>
      </c>
      <c r="I104" t="str" vm="13589">
        <f>IFERROR(CUBEVALUE("BIDB",$A104,I$3,I$2,'Præsentationstabeller 1'!$C$2),0)</f>
        <v/>
      </c>
      <c r="J104" t="str" vm="12425">
        <f>IFERROR(CUBEVALUE("BIDB",$A104,J$3,J$2,'Præsentationstabeller 1'!$C$2),0)</f>
        <v/>
      </c>
      <c r="K104" t="str" vm="2988">
        <f>IFERROR(CUBEVALUE("BIDB",$A104,K$3,K$2,'Præsentationstabeller 1'!$C$2),0)</f>
        <v/>
      </c>
      <c r="L104" t="str" vm="15818">
        <f>IFERROR(CUBEVALUE("BIDB",$A104,L$3,L$2,'Præsentationstabeller 1'!$C$2),0)</f>
        <v/>
      </c>
    </row>
    <row r="105" spans="1:12" x14ac:dyDescent="0.3">
      <c r="A105" s="123" t="str" vm="1231">
        <f>CUBEMEMBER("BIDB","[Dimittenddato].[Dimittenddato].&amp;[2008-06-10T00:00:00]")</f>
        <v>10-06-2008</v>
      </c>
      <c r="B105" t="str" vm="16289">
        <f>IFERROR(CUBEVALUE("BIDB",$A105,B$3,'Præsentationstabeller 1'!$C$2),0)</f>
        <v/>
      </c>
      <c r="C105" vm="1488">
        <f>IFERROR(CUBEVALUE("BIDB",$A105,C$3,C$2,'Præsentationstabeller 1'!$C$2),0)</f>
        <v>1</v>
      </c>
      <c r="D105" vm="16954">
        <f>IFERROR(CUBEVALUE("BIDB",$A105,D$3,D$2,'Præsentationstabeller 1'!$C$2),0)</f>
        <v>2</v>
      </c>
      <c r="E105" vm="14887">
        <f>IFERROR(CUBEVALUE("BIDB",$A105,E$3,E$2,'Præsentationstabeller 1'!$C$2),0)</f>
        <v>1</v>
      </c>
      <c r="F105" t="str" vm="1874">
        <f>IFERROR(CUBEVALUE("BIDB",$A105,F$3,F$2,'Præsentationstabeller 1'!$C$2),0)</f>
        <v/>
      </c>
      <c r="G105" vm="1720">
        <f>IFERROR(CUBEVALUE("BIDB",$A105,G$3,G$2,'Præsentationstabeller 1'!$C$2),0)</f>
        <v>1</v>
      </c>
      <c r="H105" t="str" vm="1422">
        <f>IFERROR(CUBEVALUE("BIDB",$A105,H$3,H$2,'Præsentationstabeller 1'!$C$2),0)</f>
        <v/>
      </c>
      <c r="I105" t="str" vm="10547">
        <f>IFERROR(CUBEVALUE("BIDB",$A105,I$3,I$2,'Præsentationstabeller 1'!$C$2),0)</f>
        <v/>
      </c>
      <c r="J105" t="str" vm="15264">
        <f>IFERROR(CUBEVALUE("BIDB",$A105,J$3,J$2,'Præsentationstabeller 1'!$C$2),0)</f>
        <v/>
      </c>
      <c r="K105" t="str" vm="1380">
        <f>IFERROR(CUBEVALUE("BIDB",$A105,K$3,K$2,'Præsentationstabeller 1'!$C$2),0)</f>
        <v/>
      </c>
      <c r="L105" t="str" vm="16251">
        <f>IFERROR(CUBEVALUE("BIDB",$A105,L$3,L$2,'Præsentationstabeller 1'!$C$2),0)</f>
        <v/>
      </c>
    </row>
    <row r="106" spans="1:12" x14ac:dyDescent="0.3">
      <c r="A106" s="123" t="str" vm="1230">
        <f>CUBEMEMBER("BIDB","[Dimittenddato].[Dimittenddato].&amp;[2008-06-11T00:00:00]")</f>
        <v>11-06-2008</v>
      </c>
      <c r="B106" t="str" vm="5816">
        <f>IFERROR(CUBEVALUE("BIDB",$A106,B$3,'Præsentationstabeller 1'!$C$2),0)</f>
        <v/>
      </c>
      <c r="C106" vm="2388">
        <f>IFERROR(CUBEVALUE("BIDB",$A106,C$3,C$2,'Præsentationstabeller 1'!$C$2),0)</f>
        <v>1</v>
      </c>
      <c r="D106" vm="12410">
        <f>IFERROR(CUBEVALUE("BIDB",$A106,D$3,D$2,'Præsentationstabeller 1'!$C$2),0)</f>
        <v>1</v>
      </c>
      <c r="E106" vm="7502">
        <f>IFERROR(CUBEVALUE("BIDB",$A106,E$3,E$2,'Præsentationstabeller 1'!$C$2),0)</f>
        <v>6</v>
      </c>
      <c r="F106" t="str" vm="5570">
        <f>IFERROR(CUBEVALUE("BIDB",$A106,F$3,F$2,'Præsentationstabeller 1'!$C$2),0)</f>
        <v/>
      </c>
      <c r="G106" vm="2218">
        <f>IFERROR(CUBEVALUE("BIDB",$A106,G$3,G$2,'Præsentationstabeller 1'!$C$2),0)</f>
        <v>6</v>
      </c>
      <c r="H106" t="str" vm="1439">
        <f>IFERROR(CUBEVALUE("BIDB",$A106,H$3,H$2,'Præsentationstabeller 1'!$C$2),0)</f>
        <v/>
      </c>
      <c r="I106" t="str" vm="12844">
        <f>IFERROR(CUBEVALUE("BIDB",$A106,I$3,I$2,'Præsentationstabeller 1'!$C$2),0)</f>
        <v/>
      </c>
      <c r="J106" t="str" vm="17155">
        <f>IFERROR(CUBEVALUE("BIDB",$A106,J$3,J$2,'Præsentationstabeller 1'!$C$2),0)</f>
        <v/>
      </c>
      <c r="K106" t="str" vm="2081">
        <f>IFERROR(CUBEVALUE("BIDB",$A106,K$3,K$2,'Præsentationstabeller 1'!$C$2),0)</f>
        <v/>
      </c>
      <c r="L106" t="str" vm="16698">
        <f>IFERROR(CUBEVALUE("BIDB",$A106,L$3,L$2,'Præsentationstabeller 1'!$C$2),0)</f>
        <v/>
      </c>
    </row>
    <row r="107" spans="1:12" x14ac:dyDescent="0.3">
      <c r="A107" s="123" t="str" vm="1229">
        <f>CUBEMEMBER("BIDB","[Dimittenddato].[Dimittenddato].&amp;[2008-06-12T00:00:00]")</f>
        <v>12-06-2008</v>
      </c>
      <c r="B107" t="str" vm="16288">
        <f>IFERROR(CUBEVALUE("BIDB",$A107,B$3,'Præsentationstabeller 1'!$C$2),0)</f>
        <v/>
      </c>
      <c r="C107" vm="1695">
        <f>IFERROR(CUBEVALUE("BIDB",$A107,C$3,C$2,'Præsentationstabeller 1'!$C$2),0)</f>
        <v>1</v>
      </c>
      <c r="D107" t="str" vm="12350">
        <f>IFERROR(CUBEVALUE("BIDB",$A107,D$3,D$2,'Præsentationstabeller 1'!$C$2),0)</f>
        <v/>
      </c>
      <c r="E107" vm="12301">
        <f>IFERROR(CUBEVALUE("BIDB",$A107,E$3,E$2,'Præsentationstabeller 1'!$C$2),0)</f>
        <v>10</v>
      </c>
      <c r="F107" vm="2395">
        <f>IFERROR(CUBEVALUE("BIDB",$A107,F$3,F$2,'Præsentationstabeller 1'!$C$2),0)</f>
        <v>1</v>
      </c>
      <c r="G107" vm="1482">
        <f>IFERROR(CUBEVALUE("BIDB",$A107,G$3,G$2,'Præsentationstabeller 1'!$C$2),0)</f>
        <v>11</v>
      </c>
      <c r="H107" t="str" vm="1434">
        <f>IFERROR(CUBEVALUE("BIDB",$A107,H$3,H$2,'Præsentationstabeller 1'!$C$2),0)</f>
        <v/>
      </c>
      <c r="I107" t="str" vm="10753">
        <f>IFERROR(CUBEVALUE("BIDB",$A107,I$3,I$2,'Præsentationstabeller 1'!$C$2),0)</f>
        <v/>
      </c>
      <c r="J107" t="str" vm="13883">
        <f>IFERROR(CUBEVALUE("BIDB",$A107,J$3,J$2,'Præsentationstabeller 1'!$C$2),0)</f>
        <v/>
      </c>
      <c r="K107" t="str" vm="1941">
        <f>IFERROR(CUBEVALUE("BIDB",$A107,K$3,K$2,'Præsentationstabeller 1'!$C$2),0)</f>
        <v/>
      </c>
      <c r="L107" t="str" vm="16749">
        <f>IFERROR(CUBEVALUE("BIDB",$A107,L$3,L$2,'Præsentationstabeller 1'!$C$2),0)</f>
        <v/>
      </c>
    </row>
    <row r="108" spans="1:12" x14ac:dyDescent="0.3">
      <c r="A108" s="123" t="str" vm="1228">
        <f>CUBEMEMBER("BIDB","[Dimittenddato].[Dimittenddato].&amp;[2008-06-13T00:00:00]")</f>
        <v>13-06-2008</v>
      </c>
      <c r="B108" t="str" vm="2268">
        <f>IFERROR(CUBEVALUE("BIDB",$A108,B$3,'Præsentationstabeller 1'!$C$2),0)</f>
        <v/>
      </c>
      <c r="C108" vm="1947">
        <f>IFERROR(CUBEVALUE("BIDB",$A108,C$3,C$2,'Præsentationstabeller 1'!$C$2),0)</f>
        <v>1</v>
      </c>
      <c r="D108" t="str" vm="12134">
        <f>IFERROR(CUBEVALUE("BIDB",$A108,D$3,D$2,'Præsentationstabeller 1'!$C$2),0)</f>
        <v/>
      </c>
      <c r="E108" vm="12945">
        <f>IFERROR(CUBEVALUE("BIDB",$A108,E$3,E$2,'Præsentationstabeller 1'!$C$2),0)</f>
        <v>10</v>
      </c>
      <c r="F108" vm="4422">
        <f>IFERROR(CUBEVALUE("BIDB",$A108,F$3,F$2,'Præsentationstabeller 1'!$C$2),0)</f>
        <v>1</v>
      </c>
      <c r="G108" vm="1954">
        <f>IFERROR(CUBEVALUE("BIDB",$A108,G$3,G$2,'Præsentationstabeller 1'!$C$2),0)</f>
        <v>11</v>
      </c>
      <c r="H108" t="str" vm="2472">
        <f>IFERROR(CUBEVALUE("BIDB",$A108,H$3,H$2,'Præsentationstabeller 1'!$C$2),0)</f>
        <v/>
      </c>
      <c r="I108" t="str" vm="9512">
        <f>IFERROR(CUBEVALUE("BIDB",$A108,I$3,I$2,'Præsentationstabeller 1'!$C$2),0)</f>
        <v/>
      </c>
      <c r="J108" t="str" vm="14183">
        <f>IFERROR(CUBEVALUE("BIDB",$A108,J$3,J$2,'Præsentationstabeller 1'!$C$2),0)</f>
        <v/>
      </c>
      <c r="K108" t="str" vm="1642">
        <f>IFERROR(CUBEVALUE("BIDB",$A108,K$3,K$2,'Præsentationstabeller 1'!$C$2),0)</f>
        <v/>
      </c>
      <c r="L108" t="str" vm="17174">
        <f>IFERROR(CUBEVALUE("BIDB",$A108,L$3,L$2,'Præsentationstabeller 1'!$C$2),0)</f>
        <v/>
      </c>
    </row>
    <row r="109" spans="1:12" x14ac:dyDescent="0.3">
      <c r="A109" s="123" t="str" vm="1227">
        <f>CUBEMEMBER("BIDB","[Dimittenddato].[Dimittenddato].&amp;[2008-06-14T00:00:00]")</f>
        <v>14-06-2008</v>
      </c>
      <c r="B109" t="str" vm="2951">
        <f>IFERROR(CUBEVALUE("BIDB",$A109,B$3,'Præsentationstabeller 1'!$C$2),0)</f>
        <v/>
      </c>
      <c r="C109" t="str" vm="1646">
        <f>IFERROR(CUBEVALUE("BIDB",$A109,C$3,C$2,'Præsentationstabeller 1'!$C$2),0)</f>
        <v/>
      </c>
      <c r="D109" t="str" vm="14636">
        <f>IFERROR(CUBEVALUE("BIDB",$A109,D$3,D$2,'Præsentationstabeller 1'!$C$2),0)</f>
        <v/>
      </c>
      <c r="E109" t="str" vm="10579">
        <f>IFERROR(CUBEVALUE("BIDB",$A109,E$3,E$2,'Præsentationstabeller 1'!$C$2),0)</f>
        <v/>
      </c>
      <c r="F109" vm="2469">
        <f>IFERROR(CUBEVALUE("BIDB",$A109,F$3,F$2,'Præsentationstabeller 1'!$C$2),0)</f>
        <v>0</v>
      </c>
      <c r="G109" vm="1791">
        <f>IFERROR(CUBEVALUE("BIDB",$A109,G$3,G$2,'Præsentationstabeller 1'!$C$2),0)</f>
        <v>0</v>
      </c>
      <c r="H109" t="str" vm="2483">
        <f>IFERROR(CUBEVALUE("BIDB",$A109,H$3,H$2,'Præsentationstabeller 1'!$C$2),0)</f>
        <v/>
      </c>
      <c r="I109" t="str" vm="7445">
        <f>IFERROR(CUBEVALUE("BIDB",$A109,I$3,I$2,'Præsentationstabeller 1'!$C$2),0)</f>
        <v/>
      </c>
      <c r="J109" t="str" vm="15709">
        <f>IFERROR(CUBEVALUE("BIDB",$A109,J$3,J$2,'Præsentationstabeller 1'!$C$2),0)</f>
        <v/>
      </c>
      <c r="K109" t="str" vm="1933">
        <f>IFERROR(CUBEVALUE("BIDB",$A109,K$3,K$2,'Præsentationstabeller 1'!$C$2),0)</f>
        <v/>
      </c>
      <c r="L109" t="str" vm="15819">
        <f>IFERROR(CUBEVALUE("BIDB",$A109,L$3,L$2,'Præsentationstabeller 1'!$C$2),0)</f>
        <v/>
      </c>
    </row>
    <row r="110" spans="1:12" x14ac:dyDescent="0.3">
      <c r="A110" s="123" t="str" vm="1226">
        <f>CUBEMEMBER("BIDB","[Dimittenddato].[Dimittenddato].&amp;[2008-06-15T00:00:00]")</f>
        <v>15-06-2008</v>
      </c>
      <c r="B110" t="str" vm="17193">
        <f>IFERROR(CUBEVALUE("BIDB",$A110,B$3,'Præsentationstabeller 1'!$C$2),0)</f>
        <v/>
      </c>
      <c r="C110" t="str" vm="7001">
        <f>IFERROR(CUBEVALUE("BIDB",$A110,C$3,C$2,'Præsentationstabeller 1'!$C$2),0)</f>
        <v/>
      </c>
      <c r="D110" t="str" vm="15359">
        <f>IFERROR(CUBEVALUE("BIDB",$A110,D$3,D$2,'Præsentationstabeller 1'!$C$2),0)</f>
        <v/>
      </c>
      <c r="E110" vm="11297">
        <f>IFERROR(CUBEVALUE("BIDB",$A110,E$3,E$2,'Præsentationstabeller 1'!$C$2),0)</f>
        <v>1</v>
      </c>
      <c r="F110" vm="1759">
        <f>IFERROR(CUBEVALUE("BIDB",$A110,F$3,F$2,'Præsentationstabeller 1'!$C$2),0)</f>
        <v>1</v>
      </c>
      <c r="G110" vm="1635">
        <f>IFERROR(CUBEVALUE("BIDB",$A110,G$3,G$2,'Præsentationstabeller 1'!$C$2),0)</f>
        <v>2</v>
      </c>
      <c r="H110" t="str" vm="1609">
        <f>IFERROR(CUBEVALUE("BIDB",$A110,H$3,H$2,'Præsentationstabeller 1'!$C$2),0)</f>
        <v/>
      </c>
      <c r="I110" t="str" vm="16797">
        <f>IFERROR(CUBEVALUE("BIDB",$A110,I$3,I$2,'Præsentationstabeller 1'!$C$2),0)</f>
        <v/>
      </c>
      <c r="J110" t="str" vm="13397">
        <f>IFERROR(CUBEVALUE("BIDB",$A110,J$3,J$2,'Præsentationstabeller 1'!$C$2),0)</f>
        <v/>
      </c>
      <c r="K110" t="str" vm="1414">
        <f>IFERROR(CUBEVALUE("BIDB",$A110,K$3,K$2,'Præsentationstabeller 1'!$C$2),0)</f>
        <v/>
      </c>
      <c r="L110" t="str" vm="17191">
        <f>IFERROR(CUBEVALUE("BIDB",$A110,L$3,L$2,'Præsentationstabeller 1'!$C$2),0)</f>
        <v/>
      </c>
    </row>
    <row r="111" spans="1:12" x14ac:dyDescent="0.3">
      <c r="A111" s="123" t="str" vm="1225">
        <f>CUBEMEMBER("BIDB","[Dimittenddato].[Dimittenddato].&amp;[2008-06-16T00:00:00]")</f>
        <v>16-06-2008</v>
      </c>
      <c r="B111" t="str" vm="2522">
        <f>IFERROR(CUBEVALUE("BIDB",$A111,B$3,'Præsentationstabeller 1'!$C$2),0)</f>
        <v/>
      </c>
      <c r="C111" vm="2143">
        <f>IFERROR(CUBEVALUE("BIDB",$A111,C$3,C$2,'Præsentationstabeller 1'!$C$2),0)</f>
        <v>3</v>
      </c>
      <c r="D111" vm="14367">
        <f>IFERROR(CUBEVALUE("BIDB",$A111,D$3,D$2,'Præsentationstabeller 1'!$C$2),0)</f>
        <v>6</v>
      </c>
      <c r="E111" vm="11538">
        <f>IFERROR(CUBEVALUE("BIDB",$A111,E$3,E$2,'Præsentationstabeller 1'!$C$2),0)</f>
        <v>27</v>
      </c>
      <c r="F111" vm="3054">
        <f>IFERROR(CUBEVALUE("BIDB",$A111,F$3,F$2,'Præsentationstabeller 1'!$C$2),0)</f>
        <v>9</v>
      </c>
      <c r="G111" vm="1721">
        <f>IFERROR(CUBEVALUE("BIDB",$A111,G$3,G$2,'Præsentationstabeller 1'!$C$2),0)</f>
        <v>36</v>
      </c>
      <c r="H111" t="str" vm="1939">
        <f>IFERROR(CUBEVALUE("BIDB",$A111,H$3,H$2,'Præsentationstabeller 1'!$C$2),0)</f>
        <v/>
      </c>
      <c r="I111" t="str" vm="8614">
        <f>IFERROR(CUBEVALUE("BIDB",$A111,I$3,I$2,'Præsentationstabeller 1'!$C$2),0)</f>
        <v/>
      </c>
      <c r="J111" t="str" vm="12627">
        <f>IFERROR(CUBEVALUE("BIDB",$A111,J$3,J$2,'Præsentationstabeller 1'!$C$2),0)</f>
        <v/>
      </c>
      <c r="K111" t="str" vm="2165">
        <f>IFERROR(CUBEVALUE("BIDB",$A111,K$3,K$2,'Præsentationstabeller 1'!$C$2),0)</f>
        <v/>
      </c>
      <c r="L111" t="str" vm="16757">
        <f>IFERROR(CUBEVALUE("BIDB",$A111,L$3,L$2,'Præsentationstabeller 1'!$C$2),0)</f>
        <v/>
      </c>
    </row>
    <row r="112" spans="1:12" x14ac:dyDescent="0.3">
      <c r="A112" s="123" t="str" vm="1224">
        <f>CUBEMEMBER("BIDB","[Dimittenddato].[Dimittenddato].&amp;[2008-06-17T00:00:00]")</f>
        <v>17-06-2008</v>
      </c>
      <c r="B112" t="str" vm="3890">
        <f>IFERROR(CUBEVALUE("BIDB",$A112,B$3,'Præsentationstabeller 1'!$C$2),0)</f>
        <v/>
      </c>
      <c r="C112" t="str" vm="1891">
        <f>IFERROR(CUBEVALUE("BIDB",$A112,C$3,C$2,'Præsentationstabeller 1'!$C$2),0)</f>
        <v/>
      </c>
      <c r="D112" vm="12028">
        <f>IFERROR(CUBEVALUE("BIDB",$A112,D$3,D$2,'Præsentationstabeller 1'!$C$2),0)</f>
        <v>0</v>
      </c>
      <c r="E112" vm="10009">
        <f>IFERROR(CUBEVALUE("BIDB",$A112,E$3,E$2,'Præsentationstabeller 1'!$C$2),0)</f>
        <v>25</v>
      </c>
      <c r="F112" vm="3622">
        <f>IFERROR(CUBEVALUE("BIDB",$A112,F$3,F$2,'Præsentationstabeller 1'!$C$2),0)</f>
        <v>9</v>
      </c>
      <c r="G112" vm="1653">
        <f>IFERROR(CUBEVALUE("BIDB",$A112,G$3,G$2,'Præsentationstabeller 1'!$C$2),0)</f>
        <v>34</v>
      </c>
      <c r="H112" t="str" vm="1368">
        <f>IFERROR(CUBEVALUE("BIDB",$A112,H$3,H$2,'Præsentationstabeller 1'!$C$2),0)</f>
        <v/>
      </c>
      <c r="I112" t="str" vm="16831">
        <f>IFERROR(CUBEVALUE("BIDB",$A112,I$3,I$2,'Præsentationstabeller 1'!$C$2),0)</f>
        <v/>
      </c>
      <c r="J112" t="str" vm="13382">
        <f>IFERROR(CUBEVALUE("BIDB",$A112,J$3,J$2,'Præsentationstabeller 1'!$C$2),0)</f>
        <v/>
      </c>
      <c r="K112" vm="2141">
        <f>IFERROR(CUBEVALUE("BIDB",$A112,K$3,K$2,'Præsentationstabeller 1'!$C$2),0)</f>
        <v>0.6</v>
      </c>
      <c r="L112" vm="17179">
        <f>IFERROR(CUBEVALUE("BIDB",$A112,L$3,L$2,'Præsentationstabeller 1'!$C$2),0)</f>
        <v>0.6</v>
      </c>
    </row>
    <row r="113" spans="1:12" x14ac:dyDescent="0.3">
      <c r="A113" s="123" t="str" vm="1223">
        <f>CUBEMEMBER("BIDB","[Dimittenddato].[Dimittenddato].&amp;[2008-06-18T00:00:00]")</f>
        <v>18-06-2008</v>
      </c>
      <c r="B113" t="str" vm="2094">
        <f>IFERROR(CUBEVALUE("BIDB",$A113,B$3,'Præsentationstabeller 1'!$C$2),0)</f>
        <v/>
      </c>
      <c r="C113" t="str" vm="2843">
        <f>IFERROR(CUBEVALUE("BIDB",$A113,C$3,C$2,'Præsentationstabeller 1'!$C$2),0)</f>
        <v/>
      </c>
      <c r="D113" vm="16392">
        <f>IFERROR(CUBEVALUE("BIDB",$A113,D$3,D$2,'Præsentationstabeller 1'!$C$2),0)</f>
        <v>4</v>
      </c>
      <c r="E113" vm="13922">
        <f>IFERROR(CUBEVALUE("BIDB",$A113,E$3,E$2,'Præsentationstabeller 1'!$C$2),0)</f>
        <v>32</v>
      </c>
      <c r="F113" vm="1961">
        <f>IFERROR(CUBEVALUE("BIDB",$A113,F$3,F$2,'Præsentationstabeller 1'!$C$2),0)</f>
        <v>8</v>
      </c>
      <c r="G113" vm="16281">
        <f>IFERROR(CUBEVALUE("BIDB",$A113,G$3,G$2,'Præsentationstabeller 1'!$C$2),0)</f>
        <v>40</v>
      </c>
      <c r="H113" t="str" vm="3295">
        <f>IFERROR(CUBEVALUE("BIDB",$A113,H$3,H$2,'Præsentationstabeller 1'!$C$2),0)</f>
        <v/>
      </c>
      <c r="I113" t="str" vm="11208">
        <f>IFERROR(CUBEVALUE("BIDB",$A113,I$3,I$2,'Præsentationstabeller 1'!$C$2),0)</f>
        <v/>
      </c>
      <c r="J113" t="str" vm="14415">
        <f>IFERROR(CUBEVALUE("BIDB",$A113,J$3,J$2,'Præsentationstabeller 1'!$C$2),0)</f>
        <v/>
      </c>
      <c r="K113" t="str" vm="16714">
        <f>IFERROR(CUBEVALUE("BIDB",$A113,K$3,K$2,'Præsentationstabeller 1'!$C$2),0)</f>
        <v/>
      </c>
      <c r="L113" t="str" vm="16758">
        <f>IFERROR(CUBEVALUE("BIDB",$A113,L$3,L$2,'Præsentationstabeller 1'!$C$2),0)</f>
        <v/>
      </c>
    </row>
    <row r="114" spans="1:12" x14ac:dyDescent="0.3">
      <c r="A114" s="123" t="str" vm="1222">
        <f>CUBEMEMBER("BIDB","[Dimittenddato].[Dimittenddato].&amp;[2008-06-19T00:00:00]")</f>
        <v>19-06-2008</v>
      </c>
      <c r="B114" t="str" vm="4478">
        <f>IFERROR(CUBEVALUE("BIDB",$A114,B$3,'Præsentationstabeller 1'!$C$2),0)</f>
        <v/>
      </c>
      <c r="C114" vm="1648">
        <f>IFERROR(CUBEVALUE("BIDB",$A114,C$3,C$2,'Præsentationstabeller 1'!$C$2),0)</f>
        <v>1</v>
      </c>
      <c r="D114" vm="16553">
        <f>IFERROR(CUBEVALUE("BIDB",$A114,D$3,D$2,'Præsentationstabeller 1'!$C$2),0)</f>
        <v>5</v>
      </c>
      <c r="E114" vm="10966">
        <f>IFERROR(CUBEVALUE("BIDB",$A114,E$3,E$2,'Præsentationstabeller 1'!$C$2),0)</f>
        <v>34</v>
      </c>
      <c r="F114" vm="2824">
        <f>IFERROR(CUBEVALUE("BIDB",$A114,F$3,F$2,'Præsentationstabeller 1'!$C$2),0)</f>
        <v>4</v>
      </c>
      <c r="G114" vm="2307">
        <f>IFERROR(CUBEVALUE("BIDB",$A114,G$3,G$2,'Præsentationstabeller 1'!$C$2),0)</f>
        <v>38</v>
      </c>
      <c r="H114" t="str" vm="1602">
        <f>IFERROR(CUBEVALUE("BIDB",$A114,H$3,H$2,'Præsentationstabeller 1'!$C$2),0)</f>
        <v/>
      </c>
      <c r="I114" t="str" vm="16802">
        <f>IFERROR(CUBEVALUE("BIDB",$A114,I$3,I$2,'Præsentationstabeller 1'!$C$2),0)</f>
        <v/>
      </c>
      <c r="J114" t="str" vm="14663">
        <f>IFERROR(CUBEVALUE("BIDB",$A114,J$3,J$2,'Præsentationstabeller 1'!$C$2),0)</f>
        <v/>
      </c>
      <c r="K114" vm="1904">
        <f>IFERROR(CUBEVALUE("BIDB",$A114,K$3,K$2,'Præsentationstabeller 1'!$C$2),0)</f>
        <v>0.91999999999999993</v>
      </c>
      <c r="L114" vm="1917">
        <f>IFERROR(CUBEVALUE("BIDB",$A114,L$3,L$2,'Præsentationstabeller 1'!$C$2),0)</f>
        <v>0.91999999999999993</v>
      </c>
    </row>
    <row r="115" spans="1:12" x14ac:dyDescent="0.3">
      <c r="A115" s="123" t="str" vm="1221">
        <f>CUBEMEMBER("BIDB","[Dimittenddato].[Dimittenddato].&amp;[2008-06-20T00:00:00]")</f>
        <v>20-06-2008</v>
      </c>
      <c r="B115" t="str" vm="2943">
        <f>IFERROR(CUBEVALUE("BIDB",$A115,B$3,'Præsentationstabeller 1'!$C$2),0)</f>
        <v/>
      </c>
      <c r="C115" vm="1847">
        <f>IFERROR(CUBEVALUE("BIDB",$A115,C$3,C$2,'Præsentationstabeller 1'!$C$2),0)</f>
        <v>0</v>
      </c>
      <c r="D115" vm="10987">
        <f>IFERROR(CUBEVALUE("BIDB",$A115,D$3,D$2,'Præsentationstabeller 1'!$C$2),0)</f>
        <v>3</v>
      </c>
      <c r="E115" vm="12198">
        <f>IFERROR(CUBEVALUE("BIDB",$A115,E$3,E$2,'Præsentationstabeller 1'!$C$2),0)</f>
        <v>28</v>
      </c>
      <c r="F115" vm="2085">
        <f>IFERROR(CUBEVALUE("BIDB",$A115,F$3,F$2,'Præsentationstabeller 1'!$C$2),0)</f>
        <v>11</v>
      </c>
      <c r="G115" vm="2155">
        <f>IFERROR(CUBEVALUE("BIDB",$A115,G$3,G$2,'Præsentationstabeller 1'!$C$2),0)</f>
        <v>39</v>
      </c>
      <c r="H115" t="str" vm="1508">
        <f>IFERROR(CUBEVALUE("BIDB",$A115,H$3,H$2,'Præsentationstabeller 1'!$C$2),0)</f>
        <v/>
      </c>
      <c r="I115" t="str" vm="9170">
        <f>IFERROR(CUBEVALUE("BIDB",$A115,I$3,I$2,'Præsentationstabeller 1'!$C$2),0)</f>
        <v/>
      </c>
      <c r="J115" t="str" vm="15452">
        <f>IFERROR(CUBEVALUE("BIDB",$A115,J$3,J$2,'Præsentationstabeller 1'!$C$2),0)</f>
        <v/>
      </c>
      <c r="K115" t="str" vm="2387">
        <f>IFERROR(CUBEVALUE("BIDB",$A115,K$3,K$2,'Præsentationstabeller 1'!$C$2),0)</f>
        <v/>
      </c>
      <c r="L115" t="str" vm="4922">
        <f>IFERROR(CUBEVALUE("BIDB",$A115,L$3,L$2,'Præsentationstabeller 1'!$C$2),0)</f>
        <v/>
      </c>
    </row>
    <row r="116" spans="1:12" x14ac:dyDescent="0.3">
      <c r="A116" s="123" t="str" vm="1220">
        <f>CUBEMEMBER("BIDB","[Dimittenddato].[Dimittenddato].&amp;[2008-06-21T00:00:00]")</f>
        <v>21-06-2008</v>
      </c>
      <c r="B116" t="str" vm="2726">
        <f>IFERROR(CUBEVALUE("BIDB",$A116,B$3,'Præsentationstabeller 1'!$C$2),0)</f>
        <v/>
      </c>
      <c r="C116" t="str" vm="1542">
        <f>IFERROR(CUBEVALUE("BIDB",$A116,C$3,C$2,'Præsentationstabeller 1'!$C$2),0)</f>
        <v/>
      </c>
      <c r="D116" t="str" vm="16172">
        <f>IFERROR(CUBEVALUE("BIDB",$A116,D$3,D$2,'Præsentationstabeller 1'!$C$2),0)</f>
        <v/>
      </c>
      <c r="E116" t="str" vm="14422">
        <f>IFERROR(CUBEVALUE("BIDB",$A116,E$3,E$2,'Præsentationstabeller 1'!$C$2),0)</f>
        <v/>
      </c>
      <c r="F116" vm="2284">
        <f>IFERROR(CUBEVALUE("BIDB",$A116,F$3,F$2,'Præsentationstabeller 1'!$C$2),0)</f>
        <v>0</v>
      </c>
      <c r="G116" vm="2460">
        <f>IFERROR(CUBEVALUE("BIDB",$A116,G$3,G$2,'Præsentationstabeller 1'!$C$2),0)</f>
        <v>0</v>
      </c>
      <c r="H116" t="str" vm="2646">
        <f>IFERROR(CUBEVALUE("BIDB",$A116,H$3,H$2,'Præsentationstabeller 1'!$C$2),0)</f>
        <v/>
      </c>
      <c r="I116" t="str" vm="10309">
        <f>IFERROR(CUBEVALUE("BIDB",$A116,I$3,I$2,'Præsentationstabeller 1'!$C$2),0)</f>
        <v/>
      </c>
      <c r="J116" t="str" vm="17089">
        <f>IFERROR(CUBEVALUE("BIDB",$A116,J$3,J$2,'Præsentationstabeller 1'!$C$2),0)</f>
        <v/>
      </c>
      <c r="K116" t="str" vm="1684">
        <f>IFERROR(CUBEVALUE("BIDB",$A116,K$3,K$2,'Præsentationstabeller 1'!$C$2),0)</f>
        <v/>
      </c>
      <c r="L116" t="str" vm="17181">
        <f>IFERROR(CUBEVALUE("BIDB",$A116,L$3,L$2,'Præsentationstabeller 1'!$C$2),0)</f>
        <v/>
      </c>
    </row>
    <row r="117" spans="1:12" x14ac:dyDescent="0.3">
      <c r="A117" s="123" t="str" vm="1219">
        <f>CUBEMEMBER("BIDB","[Dimittenddato].[Dimittenddato].&amp;[2008-06-22T00:00:00]")</f>
        <v>22-06-2008</v>
      </c>
      <c r="B117" t="str" vm="2692">
        <f>IFERROR(CUBEVALUE("BIDB",$A117,B$3,'Præsentationstabeller 1'!$C$2),0)</f>
        <v/>
      </c>
      <c r="C117" t="str" vm="4545">
        <f>IFERROR(CUBEVALUE("BIDB",$A117,C$3,C$2,'Præsentationstabeller 1'!$C$2),0)</f>
        <v/>
      </c>
      <c r="D117" t="str" vm="15385">
        <f>IFERROR(CUBEVALUE("BIDB",$A117,D$3,D$2,'Præsentationstabeller 1'!$C$2),0)</f>
        <v/>
      </c>
      <c r="E117" t="str" vm="12285">
        <f>IFERROR(CUBEVALUE("BIDB",$A117,E$3,E$2,'Præsentationstabeller 1'!$C$2),0)</f>
        <v/>
      </c>
      <c r="F117" vm="2728">
        <f>IFERROR(CUBEVALUE("BIDB",$A117,F$3,F$2,'Præsentationstabeller 1'!$C$2),0)</f>
        <v>1</v>
      </c>
      <c r="G117" vm="1552">
        <f>IFERROR(CUBEVALUE("BIDB",$A117,G$3,G$2,'Præsentationstabeller 1'!$C$2),0)</f>
        <v>1</v>
      </c>
      <c r="H117" t="str" vm="2018">
        <f>IFERROR(CUBEVALUE("BIDB",$A117,H$3,H$2,'Præsentationstabeller 1'!$C$2),0)</f>
        <v/>
      </c>
      <c r="I117" t="str" vm="10441">
        <f>IFERROR(CUBEVALUE("BIDB",$A117,I$3,I$2,'Præsentationstabeller 1'!$C$2),0)</f>
        <v/>
      </c>
      <c r="J117" t="str" vm="15323">
        <f>IFERROR(CUBEVALUE("BIDB",$A117,J$3,J$2,'Præsentationstabeller 1'!$C$2),0)</f>
        <v/>
      </c>
      <c r="K117" t="str" vm="2385">
        <f>IFERROR(CUBEVALUE("BIDB",$A117,K$3,K$2,'Præsentationstabeller 1'!$C$2),0)</f>
        <v/>
      </c>
      <c r="L117" t="str" vm="16747">
        <f>IFERROR(CUBEVALUE("BIDB",$A117,L$3,L$2,'Præsentationstabeller 1'!$C$2),0)</f>
        <v/>
      </c>
    </row>
    <row r="118" spans="1:12" x14ac:dyDescent="0.3">
      <c r="A118" s="123" t="str" vm="1218">
        <f>CUBEMEMBER("BIDB","[Dimittenddato].[Dimittenddato].&amp;[2008-06-23T00:00:00]")</f>
        <v>23-06-2008</v>
      </c>
      <c r="B118" t="str" vm="2341">
        <f>IFERROR(CUBEVALUE("BIDB",$A118,B$3,'Præsentationstabeller 1'!$C$2),0)</f>
        <v/>
      </c>
      <c r="C118" vm="1842">
        <f>IFERROR(CUBEVALUE("BIDB",$A118,C$3,C$2,'Præsentationstabeller 1'!$C$2),0)</f>
        <v>3</v>
      </c>
      <c r="D118" vm="17077">
        <f>IFERROR(CUBEVALUE("BIDB",$A118,D$3,D$2,'Præsentationstabeller 1'!$C$2),0)</f>
        <v>5</v>
      </c>
      <c r="E118" vm="13540">
        <f>IFERROR(CUBEVALUE("BIDB",$A118,E$3,E$2,'Præsentationstabeller 1'!$C$2),0)</f>
        <v>32</v>
      </c>
      <c r="F118" vm="1745">
        <f>IFERROR(CUBEVALUE("BIDB",$A118,F$3,F$2,'Præsentationstabeller 1'!$C$2),0)</f>
        <v>9</v>
      </c>
      <c r="G118" vm="1415">
        <f>IFERROR(CUBEVALUE("BIDB",$A118,G$3,G$2,'Præsentationstabeller 1'!$C$2),0)</f>
        <v>41</v>
      </c>
      <c r="H118" t="str" vm="1513">
        <f>IFERROR(CUBEVALUE("BIDB",$A118,H$3,H$2,'Præsentationstabeller 1'!$C$2),0)</f>
        <v/>
      </c>
      <c r="I118" t="str" vm="9205">
        <f>IFERROR(CUBEVALUE("BIDB",$A118,I$3,I$2,'Præsentationstabeller 1'!$C$2),0)</f>
        <v/>
      </c>
      <c r="J118" t="str" vm="13630">
        <f>IFERROR(CUBEVALUE("BIDB",$A118,J$3,J$2,'Præsentationstabeller 1'!$C$2),0)</f>
        <v/>
      </c>
      <c r="K118" t="str" vm="1631">
        <f>IFERROR(CUBEVALUE("BIDB",$A118,K$3,K$2,'Præsentationstabeller 1'!$C$2),0)</f>
        <v/>
      </c>
      <c r="L118" t="str" vm="16685">
        <f>IFERROR(CUBEVALUE("BIDB",$A118,L$3,L$2,'Præsentationstabeller 1'!$C$2),0)</f>
        <v/>
      </c>
    </row>
    <row r="119" spans="1:12" x14ac:dyDescent="0.3">
      <c r="A119" s="123" t="str" vm="1217">
        <f>CUBEMEMBER("BIDB","[Dimittenddato].[Dimittenddato].&amp;[2008-06-24T00:00:00]")</f>
        <v>24-06-2008</v>
      </c>
      <c r="B119" t="str" vm="3636">
        <f>IFERROR(CUBEVALUE("BIDB",$A119,B$3,'Præsentationstabeller 1'!$C$2),0)</f>
        <v/>
      </c>
      <c r="C119" vm="2598">
        <f>IFERROR(CUBEVALUE("BIDB",$A119,C$3,C$2,'Præsentationstabeller 1'!$C$2),0)</f>
        <v>1</v>
      </c>
      <c r="D119" vm="16891">
        <f>IFERROR(CUBEVALUE("BIDB",$A119,D$3,D$2,'Præsentationstabeller 1'!$C$2),0)</f>
        <v>4</v>
      </c>
      <c r="E119" vm="13906">
        <f>IFERROR(CUBEVALUE("BIDB",$A119,E$3,E$2,'Præsentationstabeller 1'!$C$2),0)</f>
        <v>35</v>
      </c>
      <c r="F119" vm="4877">
        <f>IFERROR(CUBEVALUE("BIDB",$A119,F$3,F$2,'Præsentationstabeller 1'!$C$2),0)</f>
        <v>10</v>
      </c>
      <c r="G119" vm="2658">
        <f>IFERROR(CUBEVALUE("BIDB",$A119,G$3,G$2,'Præsentationstabeller 1'!$C$2),0)</f>
        <v>45</v>
      </c>
      <c r="H119" t="str" vm="1533">
        <f>IFERROR(CUBEVALUE("BIDB",$A119,H$3,H$2,'Præsentationstabeller 1'!$C$2),0)</f>
        <v/>
      </c>
      <c r="I119" t="str" vm="7727">
        <f>IFERROR(CUBEVALUE("BIDB",$A119,I$3,I$2,'Præsentationstabeller 1'!$C$2),0)</f>
        <v/>
      </c>
      <c r="J119" t="str" vm="15252">
        <f>IFERROR(CUBEVALUE("BIDB",$A119,J$3,J$2,'Præsentationstabeller 1'!$C$2),0)</f>
        <v/>
      </c>
      <c r="K119" t="str" vm="1834">
        <f>IFERROR(CUBEVALUE("BIDB",$A119,K$3,K$2,'Præsentationstabeller 1'!$C$2),0)</f>
        <v/>
      </c>
      <c r="L119" t="str" vm="17175">
        <f>IFERROR(CUBEVALUE("BIDB",$A119,L$3,L$2,'Præsentationstabeller 1'!$C$2),0)</f>
        <v/>
      </c>
    </row>
    <row r="120" spans="1:12" x14ac:dyDescent="0.3">
      <c r="A120" s="123" t="str" vm="1216">
        <f>CUBEMEMBER("BIDB","[Dimittenddato].[Dimittenddato].&amp;[2008-06-25T00:00:00]")</f>
        <v>25-06-2008</v>
      </c>
      <c r="B120" t="str" vm="3296">
        <f>IFERROR(CUBEVALUE("BIDB",$A120,B$3,'Præsentationstabeller 1'!$C$2),0)</f>
        <v/>
      </c>
      <c r="C120" t="str" vm="1987">
        <f>IFERROR(CUBEVALUE("BIDB",$A120,C$3,C$2,'Præsentationstabeller 1'!$C$2),0)</f>
        <v/>
      </c>
      <c r="D120" vm="12386">
        <f>IFERROR(CUBEVALUE("BIDB",$A120,D$3,D$2,'Præsentationstabeller 1'!$C$2),0)</f>
        <v>4</v>
      </c>
      <c r="E120" vm="10806">
        <f>IFERROR(CUBEVALUE("BIDB",$A120,E$3,E$2,'Præsentationstabeller 1'!$C$2),0)</f>
        <v>22</v>
      </c>
      <c r="F120" vm="1656">
        <f>IFERROR(CUBEVALUE("BIDB",$A120,F$3,F$2,'Præsentationstabeller 1'!$C$2),0)</f>
        <v>3</v>
      </c>
      <c r="G120" vm="1785">
        <f>IFERROR(CUBEVALUE("BIDB",$A120,G$3,G$2,'Præsentationstabeller 1'!$C$2),0)</f>
        <v>25</v>
      </c>
      <c r="H120" t="str" vm="1520">
        <f>IFERROR(CUBEVALUE("BIDB",$A120,H$3,H$2,'Præsentationstabeller 1'!$C$2),0)</f>
        <v/>
      </c>
      <c r="I120" vm="11983">
        <f>IFERROR(CUBEVALUE("BIDB",$A120,I$3,I$2,'Præsentationstabeller 1'!$C$2),0)</f>
        <v>1</v>
      </c>
      <c r="J120" t="str" vm="14602">
        <f>IFERROR(CUBEVALUE("BIDB",$A120,J$3,J$2,'Præsentationstabeller 1'!$C$2),0)</f>
        <v/>
      </c>
      <c r="K120" t="str" vm="1991">
        <f>IFERROR(CUBEVALUE("BIDB",$A120,K$3,K$2,'Præsentationstabeller 1'!$C$2),0)</f>
        <v/>
      </c>
      <c r="L120" t="str" vm="16699">
        <f>IFERROR(CUBEVALUE("BIDB",$A120,L$3,L$2,'Præsentationstabeller 1'!$C$2),0)</f>
        <v/>
      </c>
    </row>
    <row r="121" spans="1:12" x14ac:dyDescent="0.3">
      <c r="A121" s="123" t="str" vm="1215">
        <f>CUBEMEMBER("BIDB","[Dimittenddato].[Dimittenddato].&amp;[2008-06-26T00:00:00]")</f>
        <v>26-06-2008</v>
      </c>
      <c r="B121" t="str" vm="1744">
        <f>IFERROR(CUBEVALUE("BIDB",$A121,B$3,'Præsentationstabeller 1'!$C$2),0)</f>
        <v/>
      </c>
      <c r="C121" vm="1782">
        <f>IFERROR(CUBEVALUE("BIDB",$A121,C$3,C$2,'Præsentationstabeller 1'!$C$2),0)</f>
        <v>1</v>
      </c>
      <c r="D121" vm="13163">
        <f>IFERROR(CUBEVALUE("BIDB",$A121,D$3,D$2,'Præsentationstabeller 1'!$C$2),0)</f>
        <v>8</v>
      </c>
      <c r="E121" vm="11881">
        <f>IFERROR(CUBEVALUE("BIDB",$A121,E$3,E$2,'Præsentationstabeller 1'!$C$2),0)</f>
        <v>19</v>
      </c>
      <c r="F121" vm="2343">
        <f>IFERROR(CUBEVALUE("BIDB",$A121,F$3,F$2,'Præsentationstabeller 1'!$C$2),0)</f>
        <v>5</v>
      </c>
      <c r="G121" vm="2320">
        <f>IFERROR(CUBEVALUE("BIDB",$A121,G$3,G$2,'Præsentationstabeller 1'!$C$2),0)</f>
        <v>24</v>
      </c>
      <c r="H121" t="str" vm="2007">
        <f>IFERROR(CUBEVALUE("BIDB",$A121,H$3,H$2,'Præsentationstabeller 1'!$C$2),0)</f>
        <v/>
      </c>
      <c r="I121" t="str" vm="8083">
        <f>IFERROR(CUBEVALUE("BIDB",$A121,I$3,I$2,'Præsentationstabeller 1'!$C$2),0)</f>
        <v/>
      </c>
      <c r="J121" t="str" vm="16197">
        <f>IFERROR(CUBEVALUE("BIDB",$A121,J$3,J$2,'Præsentationstabeller 1'!$C$2),0)</f>
        <v/>
      </c>
      <c r="K121" t="str" vm="2944">
        <f>IFERROR(CUBEVALUE("BIDB",$A121,K$3,K$2,'Præsentationstabeller 1'!$C$2),0)</f>
        <v/>
      </c>
      <c r="L121" t="str" vm="16700">
        <f>IFERROR(CUBEVALUE("BIDB",$A121,L$3,L$2,'Præsentationstabeller 1'!$C$2),0)</f>
        <v/>
      </c>
    </row>
    <row r="122" spans="1:12" x14ac:dyDescent="0.3">
      <c r="A122" s="123" t="str" vm="1214">
        <f>CUBEMEMBER("BIDB","[Dimittenddato].[Dimittenddato].&amp;[2008-06-27T00:00:00]")</f>
        <v>27-06-2008</v>
      </c>
      <c r="B122" t="str" vm="3185">
        <f>IFERROR(CUBEVALUE("BIDB",$A122,B$3,'Præsentationstabeller 1'!$C$2),0)</f>
        <v/>
      </c>
      <c r="C122" vm="1573">
        <f>IFERROR(CUBEVALUE("BIDB",$A122,C$3,C$2,'Præsentationstabeller 1'!$C$2),0)</f>
        <v>1</v>
      </c>
      <c r="D122" vm="14291">
        <f>IFERROR(CUBEVALUE("BIDB",$A122,D$3,D$2,'Præsentationstabeller 1'!$C$2),0)</f>
        <v>1</v>
      </c>
      <c r="E122" vm="9702">
        <f>IFERROR(CUBEVALUE("BIDB",$A122,E$3,E$2,'Præsentationstabeller 1'!$C$2),0)</f>
        <v>34</v>
      </c>
      <c r="F122" vm="4679">
        <f>IFERROR(CUBEVALUE("BIDB",$A122,F$3,F$2,'Præsentationstabeller 1'!$C$2),0)</f>
        <v>29</v>
      </c>
      <c r="G122" vm="1659">
        <f>IFERROR(CUBEVALUE("BIDB",$A122,G$3,G$2,'Præsentationstabeller 1'!$C$2),0)</f>
        <v>63</v>
      </c>
      <c r="H122" t="str" vm="1593">
        <f>IFERROR(CUBEVALUE("BIDB",$A122,H$3,H$2,'Præsentationstabeller 1'!$C$2),0)</f>
        <v/>
      </c>
      <c r="I122" t="str" vm="11082">
        <f>IFERROR(CUBEVALUE("BIDB",$A122,I$3,I$2,'Præsentationstabeller 1'!$C$2),0)</f>
        <v/>
      </c>
      <c r="J122" vm="16235">
        <f>IFERROR(CUBEVALUE("BIDB",$A122,J$3,J$2,'Præsentationstabeller 1'!$C$2),0)</f>
        <v>1</v>
      </c>
      <c r="K122" t="str" vm="1473">
        <f>IFERROR(CUBEVALUE("BIDB",$A122,K$3,K$2,'Præsentationstabeller 1'!$C$2),0)</f>
        <v/>
      </c>
      <c r="L122" vm="1669">
        <f>IFERROR(CUBEVALUE("BIDB",$A122,L$3,L$2,'Præsentationstabeller 1'!$C$2),0)</f>
        <v>1</v>
      </c>
    </row>
    <row r="123" spans="1:12" x14ac:dyDescent="0.3">
      <c r="A123" s="123" t="str" vm="1213">
        <f>CUBEMEMBER("BIDB","[Dimittenddato].[Dimittenddato].&amp;[2008-06-28T00:00:00]")</f>
        <v>28-06-2008</v>
      </c>
      <c r="B123" t="str" vm="1873">
        <f>IFERROR(CUBEVALUE("BIDB",$A123,B$3,'Præsentationstabeller 1'!$C$2),0)</f>
        <v/>
      </c>
      <c r="C123" t="str" vm="1844">
        <f>IFERROR(CUBEVALUE("BIDB",$A123,C$3,C$2,'Præsentationstabeller 1'!$C$2),0)</f>
        <v/>
      </c>
      <c r="D123" t="str" vm="9889">
        <f>IFERROR(CUBEVALUE("BIDB",$A123,D$3,D$2,'Præsentationstabeller 1'!$C$2),0)</f>
        <v/>
      </c>
      <c r="E123" vm="14253">
        <f>IFERROR(CUBEVALUE("BIDB",$A123,E$3,E$2,'Præsentationstabeller 1'!$C$2),0)</f>
        <v>4</v>
      </c>
      <c r="F123" vm="2430">
        <f>IFERROR(CUBEVALUE("BIDB",$A123,F$3,F$2,'Præsentationstabeller 1'!$C$2),0)</f>
        <v>10</v>
      </c>
      <c r="G123" vm="1740">
        <f>IFERROR(CUBEVALUE("BIDB",$A123,G$3,G$2,'Præsentationstabeller 1'!$C$2),0)</f>
        <v>14</v>
      </c>
      <c r="H123" t="str" vm="1519">
        <f>IFERROR(CUBEVALUE("BIDB",$A123,H$3,H$2,'Præsentationstabeller 1'!$C$2),0)</f>
        <v/>
      </c>
      <c r="I123" t="str" vm="8556">
        <f>IFERROR(CUBEVALUE("BIDB",$A123,I$3,I$2,'Præsentationstabeller 1'!$C$2),0)</f>
        <v/>
      </c>
      <c r="J123" t="str" vm="16976">
        <f>IFERROR(CUBEVALUE("BIDB",$A123,J$3,J$2,'Præsentationstabeller 1'!$C$2),0)</f>
        <v/>
      </c>
      <c r="K123" vm="1799">
        <f>IFERROR(CUBEVALUE("BIDB",$A123,K$3,K$2,'Præsentationstabeller 1'!$C$2),0)</f>
        <v>0.6</v>
      </c>
      <c r="L123" vm="1775">
        <f>IFERROR(CUBEVALUE("BIDB",$A123,L$3,L$2,'Præsentationstabeller 1'!$C$2),0)</f>
        <v>0.6</v>
      </c>
    </row>
    <row r="124" spans="1:12" x14ac:dyDescent="0.3">
      <c r="A124" s="123" t="str" vm="1212">
        <f>CUBEMEMBER("BIDB","[Dimittenddato].[Dimittenddato].&amp;[2008-06-29T00:00:00]")</f>
        <v>29-06-2008</v>
      </c>
      <c r="B124" t="str" vm="15849">
        <f>IFERROR(CUBEVALUE("BIDB",$A124,B$3,'Præsentationstabeller 1'!$C$2),0)</f>
        <v/>
      </c>
      <c r="C124" t="str" vm="2323">
        <f>IFERROR(CUBEVALUE("BIDB",$A124,C$3,C$2,'Præsentationstabeller 1'!$C$2),0)</f>
        <v/>
      </c>
      <c r="D124" t="str" vm="13663">
        <f>IFERROR(CUBEVALUE("BIDB",$A124,D$3,D$2,'Præsentationstabeller 1'!$C$2),0)</f>
        <v/>
      </c>
      <c r="E124" t="str" vm="12881">
        <f>IFERROR(CUBEVALUE("BIDB",$A124,E$3,E$2,'Præsentationstabeller 1'!$C$2),0)</f>
        <v/>
      </c>
      <c r="F124" t="str" vm="2660">
        <f>IFERROR(CUBEVALUE("BIDB",$A124,F$3,F$2,'Præsentationstabeller 1'!$C$2),0)</f>
        <v/>
      </c>
      <c r="G124" t="str" vm="2725">
        <f>IFERROR(CUBEVALUE("BIDB",$A124,G$3,G$2,'Præsentationstabeller 1'!$C$2),0)</f>
        <v/>
      </c>
      <c r="H124" t="str" vm="1529">
        <f>IFERROR(CUBEVALUE("BIDB",$A124,H$3,H$2,'Præsentationstabeller 1'!$C$2),0)</f>
        <v/>
      </c>
      <c r="I124" t="str" vm="12788">
        <f>IFERROR(CUBEVALUE("BIDB",$A124,I$3,I$2,'Præsentationstabeller 1'!$C$2),0)</f>
        <v/>
      </c>
      <c r="J124" t="str" vm="14491">
        <f>IFERROR(CUBEVALUE("BIDB",$A124,J$3,J$2,'Præsentationstabeller 1'!$C$2),0)</f>
        <v/>
      </c>
      <c r="K124" t="str" vm="1836">
        <f>IFERROR(CUBEVALUE("BIDB",$A124,K$3,K$2,'Præsentationstabeller 1'!$C$2),0)</f>
        <v/>
      </c>
      <c r="L124" t="str" vm="15836">
        <f>IFERROR(CUBEVALUE("BIDB",$A124,L$3,L$2,'Præsentationstabeller 1'!$C$2),0)</f>
        <v/>
      </c>
    </row>
    <row r="125" spans="1:12" x14ac:dyDescent="0.3">
      <c r="A125" s="123" t="str" vm="1211">
        <f>CUBEMEMBER("BIDB","[Dimittenddato].[Dimittenddato].&amp;[2008-06-30T00:00:00]")</f>
        <v>30-06-2008</v>
      </c>
      <c r="B125" t="str" vm="1758">
        <f>IFERROR(CUBEVALUE("BIDB",$A125,B$3,'Præsentationstabeller 1'!$C$2),0)</f>
        <v/>
      </c>
      <c r="C125" t="str" vm="1899">
        <f>IFERROR(CUBEVALUE("BIDB",$A125,C$3,C$2,'Præsentationstabeller 1'!$C$2),0)</f>
        <v/>
      </c>
      <c r="D125" vm="12043">
        <f>IFERROR(CUBEVALUE("BIDB",$A125,D$3,D$2,'Præsentationstabeller 1'!$C$2),0)</f>
        <v>4</v>
      </c>
      <c r="E125" vm="13216">
        <f>IFERROR(CUBEVALUE("BIDB",$A125,E$3,E$2,'Præsentationstabeller 1'!$C$2),0)</f>
        <v>19</v>
      </c>
      <c r="F125" vm="2750">
        <f>IFERROR(CUBEVALUE("BIDB",$A125,F$3,F$2,'Præsentationstabeller 1'!$C$2),0)</f>
        <v>9</v>
      </c>
      <c r="G125" vm="2321">
        <f>IFERROR(CUBEVALUE("BIDB",$A125,G$3,G$2,'Præsentationstabeller 1'!$C$2),0)</f>
        <v>28</v>
      </c>
      <c r="H125" t="str" vm="1949">
        <f>IFERROR(CUBEVALUE("BIDB",$A125,H$3,H$2,'Præsentationstabeller 1'!$C$2),0)</f>
        <v/>
      </c>
      <c r="I125" t="str" vm="9117">
        <f>IFERROR(CUBEVALUE("BIDB",$A125,I$3,I$2,'Præsentationstabeller 1'!$C$2),0)</f>
        <v/>
      </c>
      <c r="J125" t="str" vm="12671">
        <f>IFERROR(CUBEVALUE("BIDB",$A125,J$3,J$2,'Præsentationstabeller 1'!$C$2),0)</f>
        <v/>
      </c>
      <c r="K125" t="str" vm="1543">
        <f>IFERROR(CUBEVALUE("BIDB",$A125,K$3,K$2,'Præsentationstabeller 1'!$C$2),0)</f>
        <v/>
      </c>
      <c r="L125" t="str" vm="15837">
        <f>IFERROR(CUBEVALUE("BIDB",$A125,L$3,L$2,'Præsentationstabeller 1'!$C$2),0)</f>
        <v/>
      </c>
    </row>
    <row r="126" spans="1:12" x14ac:dyDescent="0.3">
      <c r="A126" s="123" t="str" vm="1210">
        <f>CUBEMEMBER("BIDB","[Dimittenddato].[Dimittenddato].&amp;[2008-07-01T00:00:00]")</f>
        <v>01-07-2008</v>
      </c>
      <c r="B126" t="str" vm="3026">
        <f>IFERROR(CUBEVALUE("BIDB",$A126,B$3,'Præsentationstabeller 1'!$C$2),0)</f>
        <v/>
      </c>
      <c r="C126" vm="3874">
        <f>IFERROR(CUBEVALUE("BIDB",$A126,C$3,C$2,'Præsentationstabeller 1'!$C$2),0)</f>
        <v>1</v>
      </c>
      <c r="D126" vm="11910">
        <f>IFERROR(CUBEVALUE("BIDB",$A126,D$3,D$2,'Præsentationstabeller 1'!$C$2),0)</f>
        <v>3</v>
      </c>
      <c r="E126" vm="9554">
        <f>IFERROR(CUBEVALUE("BIDB",$A126,E$3,E$2,'Præsentationstabeller 1'!$C$2),0)</f>
        <v>17</v>
      </c>
      <c r="F126" vm="1989">
        <f>IFERROR(CUBEVALUE("BIDB",$A126,F$3,F$2,'Præsentationstabeller 1'!$C$2),0)</f>
        <v>12</v>
      </c>
      <c r="G126" vm="2154">
        <f>IFERROR(CUBEVALUE("BIDB",$A126,G$3,G$2,'Præsentationstabeller 1'!$C$2),0)</f>
        <v>29</v>
      </c>
      <c r="H126" t="str" vm="1339">
        <f>IFERROR(CUBEVALUE("BIDB",$A126,H$3,H$2,'Præsentationstabeller 1'!$C$2),0)</f>
        <v/>
      </c>
      <c r="I126" t="str" vm="10974">
        <f>IFERROR(CUBEVALUE("BIDB",$A126,I$3,I$2,'Præsentationstabeller 1'!$C$2),0)</f>
        <v/>
      </c>
      <c r="J126" t="str" vm="15924">
        <f>IFERROR(CUBEVALUE("BIDB",$A126,J$3,J$2,'Præsentationstabeller 1'!$C$2),0)</f>
        <v/>
      </c>
      <c r="K126" t="str" vm="2010">
        <f>IFERROR(CUBEVALUE("BIDB",$A126,K$3,K$2,'Præsentationstabeller 1'!$C$2),0)</f>
        <v/>
      </c>
      <c r="L126" t="str" vm="16694">
        <f>IFERROR(CUBEVALUE("BIDB",$A126,L$3,L$2,'Præsentationstabeller 1'!$C$2),0)</f>
        <v/>
      </c>
    </row>
    <row r="127" spans="1:12" x14ac:dyDescent="0.3">
      <c r="A127" s="123" t="str" vm="1209">
        <f>CUBEMEMBER("BIDB","[Dimittenddato].[Dimittenddato].&amp;[2008-07-02T00:00:00]")</f>
        <v>02-07-2008</v>
      </c>
      <c r="B127" t="str" vm="1960">
        <f>IFERROR(CUBEVALUE("BIDB",$A127,B$3,'Præsentationstabeller 1'!$C$2),0)</f>
        <v/>
      </c>
      <c r="C127" t="str" vm="1965">
        <f>IFERROR(CUBEVALUE("BIDB",$A127,C$3,C$2,'Præsentationstabeller 1'!$C$2),0)</f>
        <v/>
      </c>
      <c r="D127" vm="13678">
        <f>IFERROR(CUBEVALUE("BIDB",$A127,D$3,D$2,'Præsentationstabeller 1'!$C$2),0)</f>
        <v>2</v>
      </c>
      <c r="E127" vm="15454">
        <f>IFERROR(CUBEVALUE("BIDB",$A127,E$3,E$2,'Præsentationstabeller 1'!$C$2),0)</f>
        <v>3</v>
      </c>
      <c r="F127" vm="3002">
        <f>IFERROR(CUBEVALUE("BIDB",$A127,F$3,F$2,'Præsentationstabeller 1'!$C$2),0)</f>
        <v>1</v>
      </c>
      <c r="G127" vm="1467">
        <f>IFERROR(CUBEVALUE("BIDB",$A127,G$3,G$2,'Præsentationstabeller 1'!$C$2),0)</f>
        <v>4</v>
      </c>
      <c r="H127" t="str" vm="2005">
        <f>IFERROR(CUBEVALUE("BIDB",$A127,H$3,H$2,'Præsentationstabeller 1'!$C$2),0)</f>
        <v/>
      </c>
      <c r="I127" t="str" vm="6588">
        <f>IFERROR(CUBEVALUE("BIDB",$A127,I$3,I$2,'Præsentationstabeller 1'!$C$2),0)</f>
        <v/>
      </c>
      <c r="J127" t="str" vm="13503">
        <f>IFERROR(CUBEVALUE("BIDB",$A127,J$3,J$2,'Præsentationstabeller 1'!$C$2),0)</f>
        <v/>
      </c>
      <c r="K127" t="str" vm="3923">
        <f>IFERROR(CUBEVALUE("BIDB",$A127,K$3,K$2,'Præsentationstabeller 1'!$C$2),0)</f>
        <v/>
      </c>
      <c r="L127" t="str" vm="16695">
        <f>IFERROR(CUBEVALUE("BIDB",$A127,L$3,L$2,'Præsentationstabeller 1'!$C$2),0)</f>
        <v/>
      </c>
    </row>
    <row r="128" spans="1:12" x14ac:dyDescent="0.3">
      <c r="A128" s="123" t="str" vm="1208">
        <f>CUBEMEMBER("BIDB","[Dimittenddato].[Dimittenddato].&amp;[2008-07-03T00:00:00]")</f>
        <v>03-07-2008</v>
      </c>
      <c r="B128" t="str" vm="2739">
        <f>IFERROR(CUBEVALUE("BIDB",$A128,B$3,'Præsentationstabeller 1'!$C$2),0)</f>
        <v/>
      </c>
      <c r="C128" t="str" vm="5562">
        <f>IFERROR(CUBEVALUE("BIDB",$A128,C$3,C$2,'Præsentationstabeller 1'!$C$2),0)</f>
        <v/>
      </c>
      <c r="D128" t="str" vm="14372">
        <f>IFERROR(CUBEVALUE("BIDB",$A128,D$3,D$2,'Præsentationstabeller 1'!$C$2),0)</f>
        <v/>
      </c>
      <c r="E128" vm="11241">
        <f>IFERROR(CUBEVALUE("BIDB",$A128,E$3,E$2,'Præsentationstabeller 1'!$C$2),0)</f>
        <v>1</v>
      </c>
      <c r="F128" vm="2774">
        <f>IFERROR(CUBEVALUE("BIDB",$A128,F$3,F$2,'Præsentationstabeller 1'!$C$2),0)</f>
        <v>1</v>
      </c>
      <c r="G128" vm="1742">
        <f>IFERROR(CUBEVALUE("BIDB",$A128,G$3,G$2,'Præsentationstabeller 1'!$C$2),0)</f>
        <v>2</v>
      </c>
      <c r="H128" t="str" vm="1511">
        <f>IFERROR(CUBEVALUE("BIDB",$A128,H$3,H$2,'Præsentationstabeller 1'!$C$2),0)</f>
        <v/>
      </c>
      <c r="I128" t="str" vm="13677">
        <f>IFERROR(CUBEVALUE("BIDB",$A128,I$3,I$2,'Præsentationstabeller 1'!$C$2),0)</f>
        <v/>
      </c>
      <c r="J128" t="str" vm="16917">
        <f>IFERROR(CUBEVALUE("BIDB",$A128,J$3,J$2,'Præsentationstabeller 1'!$C$2),0)</f>
        <v/>
      </c>
      <c r="K128" t="str" vm="2271">
        <f>IFERROR(CUBEVALUE("BIDB",$A128,K$3,K$2,'Præsentationstabeller 1'!$C$2),0)</f>
        <v/>
      </c>
      <c r="L128" t="str" vm="15843">
        <f>IFERROR(CUBEVALUE("BIDB",$A128,L$3,L$2,'Præsentationstabeller 1'!$C$2),0)</f>
        <v/>
      </c>
    </row>
    <row r="129" spans="1:12" x14ac:dyDescent="0.3">
      <c r="A129" s="123" t="str" vm="1207">
        <f>CUBEMEMBER("BIDB","[Dimittenddato].[Dimittenddato].&amp;[2008-07-04T00:00:00]")</f>
        <v>04-07-2008</v>
      </c>
      <c r="B129" t="str" vm="16285">
        <f>IFERROR(CUBEVALUE("BIDB",$A129,B$3,'Præsentationstabeller 1'!$C$2),0)</f>
        <v/>
      </c>
      <c r="C129" t="str" vm="15814">
        <f>IFERROR(CUBEVALUE("BIDB",$A129,C$3,C$2,'Præsentationstabeller 1'!$C$2),0)</f>
        <v/>
      </c>
      <c r="D129" t="str" vm="16228">
        <f>IFERROR(CUBEVALUE("BIDB",$A129,D$3,D$2,'Præsentationstabeller 1'!$C$2),0)</f>
        <v/>
      </c>
      <c r="E129" vm="15350">
        <f>IFERROR(CUBEVALUE("BIDB",$A129,E$3,E$2,'Præsentationstabeller 1'!$C$2),0)</f>
        <v>4</v>
      </c>
      <c r="F129" vm="1984">
        <f>IFERROR(CUBEVALUE("BIDB",$A129,F$3,F$2,'Præsentationstabeller 1'!$C$2),0)</f>
        <v>6</v>
      </c>
      <c r="G129" vm="2266">
        <f>IFERROR(CUBEVALUE("BIDB",$A129,G$3,G$2,'Præsentationstabeller 1'!$C$2),0)</f>
        <v>10</v>
      </c>
      <c r="H129" t="str" vm="2092">
        <f>IFERROR(CUBEVALUE("BIDB",$A129,H$3,H$2,'Præsentationstabeller 1'!$C$2),0)</f>
        <v/>
      </c>
      <c r="I129" t="str" vm="14247">
        <f>IFERROR(CUBEVALUE("BIDB",$A129,I$3,I$2,'Præsentationstabeller 1'!$C$2),0)</f>
        <v/>
      </c>
      <c r="J129" t="str" vm="17032">
        <f>IFERROR(CUBEVALUE("BIDB",$A129,J$3,J$2,'Præsentationstabeller 1'!$C$2),0)</f>
        <v/>
      </c>
      <c r="K129" t="str" vm="17169">
        <f>IFERROR(CUBEVALUE("BIDB",$A129,K$3,K$2,'Præsentationstabeller 1'!$C$2),0)</f>
        <v/>
      </c>
      <c r="L129" t="str" vm="16247">
        <f>IFERROR(CUBEVALUE("BIDB",$A129,L$3,L$2,'Præsentationstabeller 1'!$C$2),0)</f>
        <v/>
      </c>
    </row>
    <row r="130" spans="1:12" x14ac:dyDescent="0.3">
      <c r="A130" s="123" t="str" vm="1206">
        <f>CUBEMEMBER("BIDB","[Dimittenddato].[Dimittenddato].&amp;[2008-07-05T00:00:00]")</f>
        <v>05-07-2008</v>
      </c>
      <c r="B130" t="str" vm="3986">
        <f>IFERROR(CUBEVALUE("BIDB",$A130,B$3,'Præsentationstabeller 1'!$C$2),0)</f>
        <v/>
      </c>
      <c r="C130" t="str" vm="1901">
        <f>IFERROR(CUBEVALUE("BIDB",$A130,C$3,C$2,'Præsentationstabeller 1'!$C$2),0)</f>
        <v/>
      </c>
      <c r="D130" t="str" vm="12157">
        <f>IFERROR(CUBEVALUE("BIDB",$A130,D$3,D$2,'Præsentationstabeller 1'!$C$2),0)</f>
        <v/>
      </c>
      <c r="E130" vm="9071">
        <f>IFERROR(CUBEVALUE("BIDB",$A130,E$3,E$2,'Præsentationstabeller 1'!$C$2),0)</f>
        <v>1</v>
      </c>
      <c r="F130" vm="2848">
        <f>IFERROR(CUBEVALUE("BIDB",$A130,F$3,F$2,'Præsentationstabeller 1'!$C$2),0)</f>
        <v>12</v>
      </c>
      <c r="G130" vm="1693">
        <f>IFERROR(CUBEVALUE("BIDB",$A130,G$3,G$2,'Præsentationstabeller 1'!$C$2),0)</f>
        <v>13</v>
      </c>
      <c r="H130" t="str" vm="2197">
        <f>IFERROR(CUBEVALUE("BIDB",$A130,H$3,H$2,'Præsentationstabeller 1'!$C$2),0)</f>
        <v/>
      </c>
      <c r="I130" t="str" vm="9872">
        <f>IFERROR(CUBEVALUE("BIDB",$A130,I$3,I$2,'Præsentationstabeller 1'!$C$2),0)</f>
        <v/>
      </c>
      <c r="J130" t="str" vm="16627">
        <f>IFERROR(CUBEVALUE("BIDB",$A130,J$3,J$2,'Præsentationstabeller 1'!$C$2),0)</f>
        <v/>
      </c>
      <c r="K130" t="str" vm="1940">
        <f>IFERROR(CUBEVALUE("BIDB",$A130,K$3,K$2,'Præsentationstabeller 1'!$C$2),0)</f>
        <v/>
      </c>
      <c r="L130" t="str" vm="17177">
        <f>IFERROR(CUBEVALUE("BIDB",$A130,L$3,L$2,'Præsentationstabeller 1'!$C$2),0)</f>
        <v/>
      </c>
    </row>
    <row r="131" spans="1:12" x14ac:dyDescent="0.3">
      <c r="A131" s="123" t="str" vm="1205">
        <f>CUBEMEMBER("BIDB","[Dimittenddato].[Dimittenddato].&amp;[2008-07-06T00:00:00]")</f>
        <v>06-07-2008</v>
      </c>
      <c r="B131" t="str" vm="2601">
        <f>IFERROR(CUBEVALUE("BIDB",$A131,B$3,'Præsentationstabeller 1'!$C$2),0)</f>
        <v/>
      </c>
      <c r="C131" t="str" vm="1652">
        <f>IFERROR(CUBEVALUE("BIDB",$A131,C$3,C$2,'Præsentationstabeller 1'!$C$2),0)</f>
        <v/>
      </c>
      <c r="D131" t="str" vm="15965">
        <f>IFERROR(CUBEVALUE("BIDB",$A131,D$3,D$2,'Præsentationstabeller 1'!$C$2),0)</f>
        <v/>
      </c>
      <c r="E131" t="str" vm="9385">
        <f>IFERROR(CUBEVALUE("BIDB",$A131,E$3,E$2,'Præsentationstabeller 1'!$C$2),0)</f>
        <v/>
      </c>
      <c r="F131" t="str" vm="2392">
        <f>IFERROR(CUBEVALUE("BIDB",$A131,F$3,F$2,'Præsentationstabeller 1'!$C$2),0)</f>
        <v/>
      </c>
      <c r="G131" t="str" vm="2836">
        <f>IFERROR(CUBEVALUE("BIDB",$A131,G$3,G$2,'Præsentationstabeller 1'!$C$2),0)</f>
        <v/>
      </c>
      <c r="H131" t="str" vm="1592">
        <f>IFERROR(CUBEVALUE("BIDB",$A131,H$3,H$2,'Præsentationstabeller 1'!$C$2),0)</f>
        <v/>
      </c>
      <c r="I131" t="str" vm="8453">
        <f>IFERROR(CUBEVALUE("BIDB",$A131,I$3,I$2,'Præsentationstabeller 1'!$C$2),0)</f>
        <v/>
      </c>
      <c r="J131" t="str" vm="14594">
        <f>IFERROR(CUBEVALUE("BIDB",$A131,J$3,J$2,'Præsentationstabeller 1'!$C$2),0)</f>
        <v/>
      </c>
      <c r="K131" t="str" vm="1967">
        <f>IFERROR(CUBEVALUE("BIDB",$A131,K$3,K$2,'Præsentationstabeller 1'!$C$2),0)</f>
        <v/>
      </c>
      <c r="L131" t="str" vm="15822">
        <f>IFERROR(CUBEVALUE("BIDB",$A131,L$3,L$2,'Præsentationstabeller 1'!$C$2),0)</f>
        <v/>
      </c>
    </row>
    <row r="132" spans="1:12" x14ac:dyDescent="0.3">
      <c r="A132" s="123" t="str" vm="1204">
        <f>CUBEMEMBER("BIDB","[Dimittenddato].[Dimittenddato].&amp;[2008-07-07T00:00:00]")</f>
        <v>07-07-2008</v>
      </c>
      <c r="B132" t="str" vm="3698">
        <f>IFERROR(CUBEVALUE("BIDB",$A132,B$3,'Præsentationstabeller 1'!$C$2),0)</f>
        <v/>
      </c>
      <c r="C132" t="str" vm="1673">
        <f>IFERROR(CUBEVALUE("BIDB",$A132,C$3,C$2,'Præsentationstabeller 1'!$C$2),0)</f>
        <v/>
      </c>
      <c r="D132" t="str" vm="15945">
        <f>IFERROR(CUBEVALUE("BIDB",$A132,D$3,D$2,'Præsentationstabeller 1'!$C$2),0)</f>
        <v/>
      </c>
      <c r="E132" vm="11654">
        <f>IFERROR(CUBEVALUE("BIDB",$A132,E$3,E$2,'Præsentationstabeller 1'!$C$2),0)</f>
        <v>5</v>
      </c>
      <c r="F132" t="str" vm="3893">
        <f>IFERROR(CUBEVALUE("BIDB",$A132,F$3,F$2,'Præsentationstabeller 1'!$C$2),0)</f>
        <v/>
      </c>
      <c r="G132" vm="1554">
        <f>IFERROR(CUBEVALUE("BIDB",$A132,G$3,G$2,'Præsentationstabeller 1'!$C$2),0)</f>
        <v>5</v>
      </c>
      <c r="H132" t="str" vm="1595">
        <f>IFERROR(CUBEVALUE("BIDB",$A132,H$3,H$2,'Præsentationstabeller 1'!$C$2),0)</f>
        <v/>
      </c>
      <c r="I132" t="str" vm="15377">
        <f>IFERROR(CUBEVALUE("BIDB",$A132,I$3,I$2,'Præsentationstabeller 1'!$C$2),0)</f>
        <v/>
      </c>
      <c r="J132" t="str" vm="13764">
        <f>IFERROR(CUBEVALUE("BIDB",$A132,J$3,J$2,'Præsentationstabeller 1'!$C$2),0)</f>
        <v/>
      </c>
      <c r="K132" t="str" vm="2442">
        <f>IFERROR(CUBEVALUE("BIDB",$A132,K$3,K$2,'Præsentationstabeller 1'!$C$2),0)</f>
        <v/>
      </c>
      <c r="L132" t="str" vm="16710">
        <f>IFERROR(CUBEVALUE("BIDB",$A132,L$3,L$2,'Præsentationstabeller 1'!$C$2),0)</f>
        <v/>
      </c>
    </row>
    <row r="133" spans="1:12" x14ac:dyDescent="0.3">
      <c r="A133" s="123" t="str" vm="1203">
        <f>CUBEMEMBER("BIDB","[Dimittenddato].[Dimittenddato].&amp;[2008-07-08T00:00:00]")</f>
        <v>08-07-2008</v>
      </c>
      <c r="B133" t="str" vm="2100">
        <f>IFERROR(CUBEVALUE("BIDB",$A133,B$3,'Præsentationstabeller 1'!$C$2),0)</f>
        <v/>
      </c>
      <c r="C133" t="str" vm="2431">
        <f>IFERROR(CUBEVALUE("BIDB",$A133,C$3,C$2,'Præsentationstabeller 1'!$C$2),0)</f>
        <v/>
      </c>
      <c r="D133" t="str" vm="12401">
        <f>IFERROR(CUBEVALUE("BIDB",$A133,D$3,D$2,'Præsentationstabeller 1'!$C$2),0)</f>
        <v/>
      </c>
      <c r="E133" t="str" vm="14251">
        <f>IFERROR(CUBEVALUE("BIDB",$A133,E$3,E$2,'Præsentationstabeller 1'!$C$2),0)</f>
        <v/>
      </c>
      <c r="F133" t="str" vm="2409">
        <f>IFERROR(CUBEVALUE("BIDB",$A133,F$3,F$2,'Præsentationstabeller 1'!$C$2),0)</f>
        <v/>
      </c>
      <c r="G133" t="str" vm="1932">
        <f>IFERROR(CUBEVALUE("BIDB",$A133,G$3,G$2,'Præsentationstabeller 1'!$C$2),0)</f>
        <v/>
      </c>
      <c r="H133" t="str" vm="2948">
        <f>IFERROR(CUBEVALUE("BIDB",$A133,H$3,H$2,'Præsentationstabeller 1'!$C$2),0)</f>
        <v/>
      </c>
      <c r="I133" t="str" vm="7887">
        <f>IFERROR(CUBEVALUE("BIDB",$A133,I$3,I$2,'Præsentationstabeller 1'!$C$2),0)</f>
        <v/>
      </c>
      <c r="J133" t="str" vm="15745">
        <f>IFERROR(CUBEVALUE("BIDB",$A133,J$3,J$2,'Præsentationstabeller 1'!$C$2),0)</f>
        <v/>
      </c>
      <c r="K133" t="str" vm="3024">
        <f>IFERROR(CUBEVALUE("BIDB",$A133,K$3,K$2,'Præsentationstabeller 1'!$C$2),0)</f>
        <v/>
      </c>
      <c r="L133" t="str" vm="16696">
        <f>IFERROR(CUBEVALUE("BIDB",$A133,L$3,L$2,'Præsentationstabeller 1'!$C$2),0)</f>
        <v/>
      </c>
    </row>
    <row r="134" spans="1:12" x14ac:dyDescent="0.3">
      <c r="A134" s="123" t="str" vm="1202">
        <f>CUBEMEMBER("BIDB","[Dimittenddato].[Dimittenddato].&amp;[2008-07-09T00:00:00]")</f>
        <v>09-07-2008</v>
      </c>
      <c r="B134" t="str" vm="2419">
        <f>IFERROR(CUBEVALUE("BIDB",$A134,B$3,'Præsentationstabeller 1'!$C$2),0)</f>
        <v/>
      </c>
      <c r="C134" t="str" vm="1633">
        <f>IFERROR(CUBEVALUE("BIDB",$A134,C$3,C$2,'Præsentationstabeller 1'!$C$2),0)</f>
        <v/>
      </c>
      <c r="D134" t="str" vm="16350">
        <f>IFERROR(CUBEVALUE("BIDB",$A134,D$3,D$2,'Præsentationstabeller 1'!$C$2),0)</f>
        <v/>
      </c>
      <c r="E134" t="str" vm="10351">
        <f>IFERROR(CUBEVALUE("BIDB",$A134,E$3,E$2,'Præsentationstabeller 1'!$C$2),0)</f>
        <v/>
      </c>
      <c r="F134" vm="2775">
        <f>IFERROR(CUBEVALUE("BIDB",$A134,F$3,F$2,'Præsentationstabeller 1'!$C$2),0)</f>
        <v>1</v>
      </c>
      <c r="G134" vm="1391">
        <f>IFERROR(CUBEVALUE("BIDB",$A134,G$3,G$2,'Præsentationstabeller 1'!$C$2),0)</f>
        <v>1</v>
      </c>
      <c r="H134" t="str" vm="2440">
        <f>IFERROR(CUBEVALUE("BIDB",$A134,H$3,H$2,'Præsentationstabeller 1'!$C$2),0)</f>
        <v/>
      </c>
      <c r="I134" t="str" vm="9764">
        <f>IFERROR(CUBEVALUE("BIDB",$A134,I$3,I$2,'Præsentationstabeller 1'!$C$2),0)</f>
        <v/>
      </c>
      <c r="J134" t="str" vm="16206">
        <f>IFERROR(CUBEVALUE("BIDB",$A134,J$3,J$2,'Præsentationstabeller 1'!$C$2),0)</f>
        <v/>
      </c>
      <c r="K134" t="str" vm="3108">
        <f>IFERROR(CUBEVALUE("BIDB",$A134,K$3,K$2,'Præsentationstabeller 1'!$C$2),0)</f>
        <v/>
      </c>
      <c r="L134" t="str" vm="16704">
        <f>IFERROR(CUBEVALUE("BIDB",$A134,L$3,L$2,'Præsentationstabeller 1'!$C$2),0)</f>
        <v/>
      </c>
    </row>
    <row r="135" spans="1:12" x14ac:dyDescent="0.3">
      <c r="A135" s="123" t="str" vm="1201">
        <f>CUBEMEMBER("BIDB","[Dimittenddato].[Dimittenddato].&amp;[2008-07-10T00:00:00]")</f>
        <v>10-07-2008</v>
      </c>
      <c r="B135" t="str" vm="16759">
        <f>IFERROR(CUBEVALUE("BIDB",$A135,B$3,'Præsentationstabeller 1'!$C$2),0)</f>
        <v/>
      </c>
      <c r="C135" t="str" vm="5685">
        <f>IFERROR(CUBEVALUE("BIDB",$A135,C$3,C$2,'Præsentationstabeller 1'!$C$2),0)</f>
        <v/>
      </c>
      <c r="D135" t="str" vm="12805">
        <f>IFERROR(CUBEVALUE("BIDB",$A135,D$3,D$2,'Præsentationstabeller 1'!$C$2),0)</f>
        <v/>
      </c>
      <c r="E135" vm="12004">
        <f>IFERROR(CUBEVALUE("BIDB",$A135,E$3,E$2,'Præsentationstabeller 1'!$C$2),0)</f>
        <v>1</v>
      </c>
      <c r="F135" t="str" vm="3801">
        <f>IFERROR(CUBEVALUE("BIDB",$A135,F$3,F$2,'Præsentationstabeller 1'!$C$2),0)</f>
        <v/>
      </c>
      <c r="G135" vm="1925">
        <f>IFERROR(CUBEVALUE("BIDB",$A135,G$3,G$2,'Præsentationstabeller 1'!$C$2),0)</f>
        <v>1</v>
      </c>
      <c r="H135" t="str" vm="1528">
        <f>IFERROR(CUBEVALUE("BIDB",$A135,H$3,H$2,'Præsentationstabeller 1'!$C$2),0)</f>
        <v/>
      </c>
      <c r="I135" t="str" vm="7855">
        <f>IFERROR(CUBEVALUE("BIDB",$A135,I$3,I$2,'Præsentationstabeller 1'!$C$2),0)</f>
        <v/>
      </c>
      <c r="J135" t="str" vm="15602">
        <f>IFERROR(CUBEVALUE("BIDB",$A135,J$3,J$2,'Præsentationstabeller 1'!$C$2),0)</f>
        <v/>
      </c>
      <c r="K135" t="str" vm="1982">
        <f>IFERROR(CUBEVALUE("BIDB",$A135,K$3,K$2,'Præsentationstabeller 1'!$C$2),0)</f>
        <v/>
      </c>
      <c r="L135" t="str" vm="16705">
        <f>IFERROR(CUBEVALUE("BIDB",$A135,L$3,L$2,'Præsentationstabeller 1'!$C$2),0)</f>
        <v/>
      </c>
    </row>
    <row r="136" spans="1:12" x14ac:dyDescent="0.3">
      <c r="A136" s="123" t="str" vm="1200">
        <f>CUBEMEMBER("BIDB","[Dimittenddato].[Dimittenddato].&amp;[2008-07-11T00:00:00]")</f>
        <v>11-07-2008</v>
      </c>
      <c r="B136" t="str" vm="3657">
        <f>IFERROR(CUBEVALUE("BIDB",$A136,B$3,'Præsentationstabeller 1'!$C$2),0)</f>
        <v/>
      </c>
      <c r="C136" t="str" vm="1846">
        <f>IFERROR(CUBEVALUE("BIDB",$A136,C$3,C$2,'Præsentationstabeller 1'!$C$2),0)</f>
        <v/>
      </c>
      <c r="D136" t="str" vm="9925">
        <f>IFERROR(CUBEVALUE("BIDB",$A136,D$3,D$2,'Præsentationstabeller 1'!$C$2),0)</f>
        <v/>
      </c>
      <c r="E136" t="str" vm="13526">
        <f>IFERROR(CUBEVALUE("BIDB",$A136,E$3,E$2,'Præsentationstabeller 1'!$C$2),0)</f>
        <v/>
      </c>
      <c r="F136" vm="1768">
        <f>IFERROR(CUBEVALUE("BIDB",$A136,F$3,F$2,'Præsentationstabeller 1'!$C$2),0)</f>
        <v>0</v>
      </c>
      <c r="G136" vm="2269">
        <f>IFERROR(CUBEVALUE("BIDB",$A136,G$3,G$2,'Præsentationstabeller 1'!$C$2),0)</f>
        <v>0</v>
      </c>
      <c r="H136" t="str" vm="1417">
        <f>IFERROR(CUBEVALUE("BIDB",$A136,H$3,H$2,'Præsentationstabeller 1'!$C$2),0)</f>
        <v/>
      </c>
      <c r="I136" t="str" vm="16973">
        <f>IFERROR(CUBEVALUE("BIDB",$A136,I$3,I$2,'Præsentationstabeller 1'!$C$2),0)</f>
        <v/>
      </c>
      <c r="J136" t="str" vm="12009">
        <f>IFERROR(CUBEVALUE("BIDB",$A136,J$3,J$2,'Præsentationstabeller 1'!$C$2),0)</f>
        <v/>
      </c>
      <c r="K136" t="str" vm="1348">
        <f>IFERROR(CUBEVALUE("BIDB",$A136,K$3,K$2,'Præsentationstabeller 1'!$C$2),0)</f>
        <v/>
      </c>
      <c r="L136" t="str" vm="2065">
        <f>IFERROR(CUBEVALUE("BIDB",$A136,L$3,L$2,'Præsentationstabeller 1'!$C$2),0)</f>
        <v/>
      </c>
    </row>
    <row r="137" spans="1:12" x14ac:dyDescent="0.3">
      <c r="A137" s="123" t="str" vm="1199">
        <f>CUBEMEMBER("BIDB","[Dimittenddato].[Dimittenddato].&amp;[2008-07-12T00:00:00]")</f>
        <v>12-07-2008</v>
      </c>
      <c r="B137" t="str" vm="16722">
        <f>IFERROR(CUBEVALUE("BIDB",$A137,B$3,'Præsentationstabeller 1'!$C$2),0)</f>
        <v/>
      </c>
      <c r="C137" t="str" vm="2386">
        <f>IFERROR(CUBEVALUE("BIDB",$A137,C$3,C$2,'Præsentationstabeller 1'!$C$2),0)</f>
        <v/>
      </c>
      <c r="D137" t="str" vm="16231">
        <f>IFERROR(CUBEVALUE("BIDB",$A137,D$3,D$2,'Præsentationstabeller 1'!$C$2),0)</f>
        <v/>
      </c>
      <c r="E137" t="str" vm="11522">
        <f>IFERROR(CUBEVALUE("BIDB",$A137,E$3,E$2,'Præsentationstabeller 1'!$C$2),0)</f>
        <v/>
      </c>
      <c r="F137" t="str" vm="1489">
        <f>IFERROR(CUBEVALUE("BIDB",$A137,F$3,F$2,'Præsentationstabeller 1'!$C$2),0)</f>
        <v/>
      </c>
      <c r="G137" t="str" vm="1456">
        <f>IFERROR(CUBEVALUE("BIDB",$A137,G$3,G$2,'Præsentationstabeller 1'!$C$2),0)</f>
        <v/>
      </c>
      <c r="H137" t="str" vm="1713">
        <f>IFERROR(CUBEVALUE("BIDB",$A137,H$3,H$2,'Præsentationstabeller 1'!$C$2),0)</f>
        <v/>
      </c>
      <c r="I137" t="str" vm="9337">
        <f>IFERROR(CUBEVALUE("BIDB",$A137,I$3,I$2,'Præsentationstabeller 1'!$C$2),0)</f>
        <v/>
      </c>
      <c r="J137" t="str" vm="15207">
        <f>IFERROR(CUBEVALUE("BIDB",$A137,J$3,J$2,'Præsentationstabeller 1'!$C$2),0)</f>
        <v/>
      </c>
      <c r="K137" t="str" vm="1412">
        <f>IFERROR(CUBEVALUE("BIDB",$A137,K$3,K$2,'Præsentationstabeller 1'!$C$2),0)</f>
        <v/>
      </c>
      <c r="L137" t="str" vm="2564">
        <f>IFERROR(CUBEVALUE("BIDB",$A137,L$3,L$2,'Præsentationstabeller 1'!$C$2),0)</f>
        <v/>
      </c>
    </row>
    <row r="138" spans="1:12" x14ac:dyDescent="0.3">
      <c r="A138" s="123" t="str" vm="1198">
        <f>CUBEMEMBER("BIDB","[Dimittenddato].[Dimittenddato].&amp;[2008-07-13T00:00:00]")</f>
        <v>13-07-2008</v>
      </c>
      <c r="B138" t="str" vm="2991">
        <f>IFERROR(CUBEVALUE("BIDB",$A138,B$3,'Præsentationstabeller 1'!$C$2),0)</f>
        <v/>
      </c>
      <c r="C138" t="str" vm="1522">
        <f>IFERROR(CUBEVALUE("BIDB",$A138,C$3,C$2,'Præsentationstabeller 1'!$C$2),0)</f>
        <v/>
      </c>
      <c r="D138" t="str" vm="14390">
        <f>IFERROR(CUBEVALUE("BIDB",$A138,D$3,D$2,'Præsentationstabeller 1'!$C$2),0)</f>
        <v/>
      </c>
      <c r="E138" t="str" vm="8968">
        <f>IFERROR(CUBEVALUE("BIDB",$A138,E$3,E$2,'Præsentationstabeller 1'!$C$2),0)</f>
        <v/>
      </c>
      <c r="F138" t="str" vm="2187">
        <f>IFERROR(CUBEVALUE("BIDB",$A138,F$3,F$2,'Præsentationstabeller 1'!$C$2),0)</f>
        <v/>
      </c>
      <c r="G138" t="str" vm="1804">
        <f>IFERROR(CUBEVALUE("BIDB",$A138,G$3,G$2,'Præsentationstabeller 1'!$C$2),0)</f>
        <v/>
      </c>
      <c r="H138" t="str" vm="1360">
        <f>IFERROR(CUBEVALUE("BIDB",$A138,H$3,H$2,'Præsentationstabeller 1'!$C$2),0)</f>
        <v/>
      </c>
      <c r="I138" t="str" vm="12333">
        <f>IFERROR(CUBEVALUE("BIDB",$A138,I$3,I$2,'Præsentationstabeller 1'!$C$2),0)</f>
        <v/>
      </c>
      <c r="J138" t="str" vm="16903">
        <f>IFERROR(CUBEVALUE("BIDB",$A138,J$3,J$2,'Præsentationstabeller 1'!$C$2),0)</f>
        <v/>
      </c>
      <c r="K138" t="str" vm="1683">
        <f>IFERROR(CUBEVALUE("BIDB",$A138,K$3,K$2,'Præsentationstabeller 1'!$C$2),0)</f>
        <v/>
      </c>
      <c r="L138" t="str" vm="16754">
        <f>IFERROR(CUBEVALUE("BIDB",$A138,L$3,L$2,'Præsentationstabeller 1'!$C$2),0)</f>
        <v/>
      </c>
    </row>
    <row r="139" spans="1:12" x14ac:dyDescent="0.3">
      <c r="A139" s="123" t="str" vm="1197">
        <f>CUBEMEMBER("BIDB","[Dimittenddato].[Dimittenddato].&amp;[2008-07-14T00:00:00]")</f>
        <v>14-07-2008</v>
      </c>
      <c r="B139" t="str" vm="16284">
        <f>IFERROR(CUBEVALUE("BIDB",$A139,B$3,'Præsentationstabeller 1'!$C$2),0)</f>
        <v/>
      </c>
      <c r="C139" t="str" vm="1531">
        <f>IFERROR(CUBEVALUE("BIDB",$A139,C$3,C$2,'Præsentationstabeller 1'!$C$2),0)</f>
        <v/>
      </c>
      <c r="D139" t="str" vm="11099">
        <f>IFERROR(CUBEVALUE("BIDB",$A139,D$3,D$2,'Præsentationstabeller 1'!$C$2),0)</f>
        <v/>
      </c>
      <c r="E139" vm="12212">
        <f>IFERROR(CUBEVALUE("BIDB",$A139,E$3,E$2,'Præsentationstabeller 1'!$C$2),0)</f>
        <v>4</v>
      </c>
      <c r="F139" t="str" vm="1761">
        <f>IFERROR(CUBEVALUE("BIDB",$A139,F$3,F$2,'Præsentationstabeller 1'!$C$2),0)</f>
        <v/>
      </c>
      <c r="G139" vm="16244">
        <f>IFERROR(CUBEVALUE("BIDB",$A139,G$3,G$2,'Præsentationstabeller 1'!$C$2),0)</f>
        <v>4</v>
      </c>
      <c r="H139" t="str" vm="1424">
        <f>IFERROR(CUBEVALUE("BIDB",$A139,H$3,H$2,'Præsentationstabeller 1'!$C$2),0)</f>
        <v/>
      </c>
      <c r="I139" t="str" vm="10162">
        <f>IFERROR(CUBEVALUE("BIDB",$A139,I$3,I$2,'Præsentationstabeller 1'!$C$2),0)</f>
        <v/>
      </c>
      <c r="J139" t="str" vm="13627">
        <f>IFERROR(CUBEVALUE("BIDB",$A139,J$3,J$2,'Præsentationstabeller 1'!$C$2),0)</f>
        <v/>
      </c>
      <c r="K139" t="str" vm="1556">
        <f>IFERROR(CUBEVALUE("BIDB",$A139,K$3,K$2,'Præsentationstabeller 1'!$C$2),0)</f>
        <v/>
      </c>
      <c r="L139" t="str" vm="15842">
        <f>IFERROR(CUBEVALUE("BIDB",$A139,L$3,L$2,'Præsentationstabeller 1'!$C$2),0)</f>
        <v/>
      </c>
    </row>
    <row r="140" spans="1:12" x14ac:dyDescent="0.3">
      <c r="A140" s="123" t="str" vm="1196">
        <f>CUBEMEMBER("BIDB","[Dimittenddato].[Dimittenddato].&amp;[2008-07-15T00:00:00]")</f>
        <v>15-07-2008</v>
      </c>
      <c r="B140" t="str" vm="15856">
        <f>IFERROR(CUBEVALUE("BIDB",$A140,B$3,'Præsentationstabeller 1'!$C$2),0)</f>
        <v/>
      </c>
      <c r="C140" t="str" vm="1784">
        <f>IFERROR(CUBEVALUE("BIDB",$A140,C$3,C$2,'Præsentationstabeller 1'!$C$2),0)</f>
        <v/>
      </c>
      <c r="D140" t="str" vm="13449">
        <f>IFERROR(CUBEVALUE("BIDB",$A140,D$3,D$2,'Præsentationstabeller 1'!$C$2),0)</f>
        <v/>
      </c>
      <c r="E140" vm="13852">
        <f>IFERROR(CUBEVALUE("BIDB",$A140,E$3,E$2,'Præsentationstabeller 1'!$C$2),0)</f>
        <v>2</v>
      </c>
      <c r="F140" vm="3569">
        <f>IFERROR(CUBEVALUE("BIDB",$A140,F$3,F$2,'Præsentationstabeller 1'!$C$2),0)</f>
        <v>1</v>
      </c>
      <c r="G140" vm="16676">
        <f>IFERROR(CUBEVALUE("BIDB",$A140,G$3,G$2,'Præsentationstabeller 1'!$C$2),0)</f>
        <v>3</v>
      </c>
      <c r="H140" t="str" vm="2570">
        <f>IFERROR(CUBEVALUE("BIDB",$A140,H$3,H$2,'Præsentationstabeller 1'!$C$2),0)</f>
        <v/>
      </c>
      <c r="I140" t="str" vm="11026">
        <f>IFERROR(CUBEVALUE("BIDB",$A140,I$3,I$2,'Præsentationstabeller 1'!$C$2),0)</f>
        <v/>
      </c>
      <c r="J140" t="str" vm="16583">
        <f>IFERROR(CUBEVALUE("BIDB",$A140,J$3,J$2,'Præsentationstabeller 1'!$C$2),0)</f>
        <v/>
      </c>
      <c r="K140" t="str" vm="1370">
        <f>IFERROR(CUBEVALUE("BIDB",$A140,K$3,K$2,'Præsentationstabeller 1'!$C$2),0)</f>
        <v/>
      </c>
      <c r="L140" t="str" vm="1881">
        <f>IFERROR(CUBEVALUE("BIDB",$A140,L$3,L$2,'Præsentationstabeller 1'!$C$2),0)</f>
        <v/>
      </c>
    </row>
    <row r="141" spans="1:12" x14ac:dyDescent="0.3">
      <c r="A141" s="123" t="str" vm="1195">
        <f>CUBEMEMBER("BIDB","[Dimittenddato].[Dimittenddato].&amp;[2008-07-16T00:00:00]")</f>
        <v>16-07-2008</v>
      </c>
      <c r="B141" t="str" vm="4180">
        <f>IFERROR(CUBEVALUE("BIDB",$A141,B$3,'Præsentationstabeller 1'!$C$2),0)</f>
        <v/>
      </c>
      <c r="C141" t="str" vm="1561">
        <f>IFERROR(CUBEVALUE("BIDB",$A141,C$3,C$2,'Præsentationstabeller 1'!$C$2),0)</f>
        <v/>
      </c>
      <c r="D141" t="str" vm="14894">
        <f>IFERROR(CUBEVALUE("BIDB",$A141,D$3,D$2,'Præsentationstabeller 1'!$C$2),0)</f>
        <v/>
      </c>
      <c r="E141" vm="9369">
        <f>IFERROR(CUBEVALUE("BIDB",$A141,E$3,E$2,'Præsentationstabeller 1'!$C$2),0)</f>
        <v>1</v>
      </c>
      <c r="F141" t="str" vm="1771">
        <f>IFERROR(CUBEVALUE("BIDB",$A141,F$3,F$2,'Præsentationstabeller 1'!$C$2),0)</f>
        <v/>
      </c>
      <c r="G141" vm="1487">
        <f>IFERROR(CUBEVALUE("BIDB",$A141,G$3,G$2,'Præsentationstabeller 1'!$C$2),0)</f>
        <v>1</v>
      </c>
      <c r="H141" t="str" vm="2903">
        <f>IFERROR(CUBEVALUE("BIDB",$A141,H$3,H$2,'Præsentationstabeller 1'!$C$2),0)</f>
        <v/>
      </c>
      <c r="I141" t="str" vm="9014">
        <f>IFERROR(CUBEVALUE("BIDB",$A141,I$3,I$2,'Præsentationstabeller 1'!$C$2),0)</f>
        <v/>
      </c>
      <c r="J141" t="str" vm="12633">
        <f>IFERROR(CUBEVALUE("BIDB",$A141,J$3,J$2,'Præsentationstabeller 1'!$C$2),0)</f>
        <v/>
      </c>
      <c r="K141" t="str" vm="1903">
        <f>IFERROR(CUBEVALUE("BIDB",$A141,K$3,K$2,'Præsentationstabeller 1'!$C$2),0)</f>
        <v/>
      </c>
      <c r="L141" t="str" vm="2318">
        <f>IFERROR(CUBEVALUE("BIDB",$A141,L$3,L$2,'Præsentationstabeller 1'!$C$2),0)</f>
        <v/>
      </c>
    </row>
    <row r="142" spans="1:12" x14ac:dyDescent="0.3">
      <c r="A142" s="123" t="str" vm="1194">
        <f>CUBEMEMBER("BIDB","[Dimittenddato].[Dimittenddato].&amp;[2008-07-17T00:00:00]")</f>
        <v>17-07-2008</v>
      </c>
      <c r="B142" t="str" vm="1754">
        <f>IFERROR(CUBEVALUE("BIDB",$A142,B$3,'Præsentationstabeller 1'!$C$2),0)</f>
        <v/>
      </c>
      <c r="C142" t="str" vm="16241">
        <f>IFERROR(CUBEVALUE("BIDB",$A142,C$3,C$2,'Præsentationstabeller 1'!$C$2),0)</f>
        <v/>
      </c>
      <c r="D142" t="str" vm="14693">
        <f>IFERROR(CUBEVALUE("BIDB",$A142,D$3,D$2,'Præsentationstabeller 1'!$C$2),0)</f>
        <v/>
      </c>
      <c r="E142" vm="12830">
        <f>IFERROR(CUBEVALUE("BIDB",$A142,E$3,E$2,'Præsentationstabeller 1'!$C$2),0)</f>
        <v>2</v>
      </c>
      <c r="F142" t="str" vm="1569">
        <f>IFERROR(CUBEVALUE("BIDB",$A142,F$3,F$2,'Præsentationstabeller 1'!$C$2),0)</f>
        <v/>
      </c>
      <c r="G142" vm="2384">
        <f>IFERROR(CUBEVALUE("BIDB",$A142,G$3,G$2,'Præsentationstabeller 1'!$C$2),0)</f>
        <v>2</v>
      </c>
      <c r="H142" t="str" vm="1523">
        <f>IFERROR(CUBEVALUE("BIDB",$A142,H$3,H$2,'Præsentationstabeller 1'!$C$2),0)</f>
        <v/>
      </c>
      <c r="I142" t="str" vm="11180">
        <f>IFERROR(CUBEVALUE("BIDB",$A142,I$3,I$2,'Præsentationstabeller 1'!$C$2),0)</f>
        <v/>
      </c>
      <c r="J142" t="str" vm="12514">
        <f>IFERROR(CUBEVALUE("BIDB",$A142,J$3,J$2,'Præsentationstabeller 1'!$C$2),0)</f>
        <v/>
      </c>
      <c r="K142" t="str" vm="2261">
        <f>IFERROR(CUBEVALUE("BIDB",$A142,K$3,K$2,'Præsentationstabeller 1'!$C$2),0)</f>
        <v/>
      </c>
      <c r="L142" t="str" vm="15846">
        <f>IFERROR(CUBEVALUE("BIDB",$A142,L$3,L$2,'Præsentationstabeller 1'!$C$2),0)</f>
        <v/>
      </c>
    </row>
    <row r="143" spans="1:12" x14ac:dyDescent="0.3">
      <c r="A143" s="123" t="str" vm="1193">
        <f>CUBEMEMBER("BIDB","[Dimittenddato].[Dimittenddato].&amp;[2008-07-18T00:00:00]")</f>
        <v>18-07-2008</v>
      </c>
      <c r="B143" t="str" vm="3069">
        <f>IFERROR(CUBEVALUE("BIDB",$A143,B$3,'Præsentationstabeller 1'!$C$2),0)</f>
        <v/>
      </c>
      <c r="C143" t="str" vm="1373">
        <f>IFERROR(CUBEVALUE("BIDB",$A143,C$3,C$2,'Præsentationstabeller 1'!$C$2),0)</f>
        <v/>
      </c>
      <c r="D143" t="str" vm="12742">
        <f>IFERROR(CUBEVALUE("BIDB",$A143,D$3,D$2,'Præsentationstabeller 1'!$C$2),0)</f>
        <v/>
      </c>
      <c r="E143" t="str" vm="15479">
        <f>IFERROR(CUBEVALUE("BIDB",$A143,E$3,E$2,'Præsentationstabeller 1'!$C$2),0)</f>
        <v/>
      </c>
      <c r="F143" t="str" vm="3478">
        <f>IFERROR(CUBEVALUE("BIDB",$A143,F$3,F$2,'Præsentationstabeller 1'!$C$2),0)</f>
        <v/>
      </c>
      <c r="G143" t="str" vm="15810">
        <f>IFERROR(CUBEVALUE("BIDB",$A143,G$3,G$2,'Præsentationstabeller 1'!$C$2),0)</f>
        <v/>
      </c>
      <c r="H143" t="str" vm="2013">
        <f>IFERROR(CUBEVALUE("BIDB",$A143,H$3,H$2,'Præsentationstabeller 1'!$C$2),0)</f>
        <v/>
      </c>
      <c r="I143" t="str" vm="8511">
        <f>IFERROR(CUBEVALUE("BIDB",$A143,I$3,I$2,'Præsentationstabeller 1'!$C$2),0)</f>
        <v/>
      </c>
      <c r="J143" t="str" vm="17087">
        <f>IFERROR(CUBEVALUE("BIDB",$A143,J$3,J$2,'Præsentationstabeller 1'!$C$2),0)</f>
        <v/>
      </c>
      <c r="K143" t="str" vm="2705">
        <f>IFERROR(CUBEVALUE("BIDB",$A143,K$3,K$2,'Præsentationstabeller 1'!$C$2),0)</f>
        <v/>
      </c>
      <c r="L143" t="str" vm="15847">
        <f>IFERROR(CUBEVALUE("BIDB",$A143,L$3,L$2,'Præsentationstabeller 1'!$C$2),0)</f>
        <v/>
      </c>
    </row>
    <row r="144" spans="1:12" x14ac:dyDescent="0.3">
      <c r="A144" s="123" t="str" vm="1192">
        <f>CUBEMEMBER("BIDB","[Dimittenddato].[Dimittenddato].&amp;[2008-07-19T00:00:00]")</f>
        <v>19-07-2008</v>
      </c>
      <c r="B144" t="str" vm="2177">
        <f>IFERROR(CUBEVALUE("BIDB",$A144,B$3,'Præsentationstabeller 1'!$C$2),0)</f>
        <v/>
      </c>
      <c r="C144" t="str" vm="1798">
        <f>IFERROR(CUBEVALUE("BIDB",$A144,C$3,C$2,'Præsentationstabeller 1'!$C$2),0)</f>
        <v/>
      </c>
      <c r="D144" t="str" vm="15552">
        <f>IFERROR(CUBEVALUE("BIDB",$A144,D$3,D$2,'Præsentationstabeller 1'!$C$2),0)</f>
        <v/>
      </c>
      <c r="E144" t="str" vm="9498">
        <f>IFERROR(CUBEVALUE("BIDB",$A144,E$3,E$2,'Præsentationstabeller 1'!$C$2),0)</f>
        <v/>
      </c>
      <c r="F144" t="str" vm="2229">
        <f>IFERROR(CUBEVALUE("BIDB",$A144,F$3,F$2,'Præsentationstabeller 1'!$C$2),0)</f>
        <v/>
      </c>
      <c r="G144" t="str" vm="1580">
        <f>IFERROR(CUBEVALUE("BIDB",$A144,G$3,G$2,'Præsentationstabeller 1'!$C$2),0)</f>
        <v/>
      </c>
      <c r="H144" t="str" vm="2196">
        <f>IFERROR(CUBEVALUE("BIDB",$A144,H$3,H$2,'Præsentationstabeller 1'!$C$2),0)</f>
        <v/>
      </c>
      <c r="I144" t="str" vm="12597">
        <f>IFERROR(CUBEVALUE("BIDB",$A144,I$3,I$2,'Præsentationstabeller 1'!$C$2),0)</f>
        <v/>
      </c>
      <c r="J144" t="str" vm="15171">
        <f>IFERROR(CUBEVALUE("BIDB",$A144,J$3,J$2,'Præsentationstabeller 1'!$C$2),0)</f>
        <v/>
      </c>
      <c r="K144" t="str" vm="1623">
        <f>IFERROR(CUBEVALUE("BIDB",$A144,K$3,K$2,'Præsentationstabeller 1'!$C$2),0)</f>
        <v/>
      </c>
      <c r="L144" t="str" vm="15824">
        <f>IFERROR(CUBEVALUE("BIDB",$A144,L$3,L$2,'Præsentationstabeller 1'!$C$2),0)</f>
        <v/>
      </c>
    </row>
    <row r="145" spans="1:12" x14ac:dyDescent="0.3">
      <c r="A145" s="123" t="str" vm="1191">
        <f>CUBEMEMBER("BIDB","[Dimittenddato].[Dimittenddato].&amp;[2008-07-20T00:00:00]")</f>
        <v>20-07-2008</v>
      </c>
      <c r="B145" t="str" vm="4918">
        <f>IFERROR(CUBEVALUE("BIDB",$A145,B$3,'Præsentationstabeller 1'!$C$2),0)</f>
        <v/>
      </c>
      <c r="C145" t="str" vm="1549">
        <f>IFERROR(CUBEVALUE("BIDB",$A145,C$3,C$2,'Præsentationstabeller 1'!$C$2),0)</f>
        <v/>
      </c>
      <c r="D145" t="str" vm="12113">
        <f>IFERROR(CUBEVALUE("BIDB",$A145,D$3,D$2,'Præsentationstabeller 1'!$C$2),0)</f>
        <v/>
      </c>
      <c r="E145" t="str" vm="16343">
        <f>IFERROR(CUBEVALUE("BIDB",$A145,E$3,E$2,'Præsentationstabeller 1'!$C$2),0)</f>
        <v/>
      </c>
      <c r="F145" t="str" vm="2873">
        <f>IFERROR(CUBEVALUE("BIDB",$A145,F$3,F$2,'Præsentationstabeller 1'!$C$2),0)</f>
        <v/>
      </c>
      <c r="G145" t="str" vm="1466">
        <f>IFERROR(CUBEVALUE("BIDB",$A145,G$3,G$2,'Præsentationstabeller 1'!$C$2),0)</f>
        <v/>
      </c>
      <c r="H145" t="str" vm="1729">
        <f>IFERROR(CUBEVALUE("BIDB",$A145,H$3,H$2,'Præsentationstabeller 1'!$C$2),0)</f>
        <v/>
      </c>
      <c r="I145" t="str" vm="12200">
        <f>IFERROR(CUBEVALUE("BIDB",$A145,I$3,I$2,'Præsentationstabeller 1'!$C$2),0)</f>
        <v/>
      </c>
      <c r="J145" t="str" vm="14160">
        <f>IFERROR(CUBEVALUE("BIDB",$A145,J$3,J$2,'Præsentationstabeller 1'!$C$2),0)</f>
        <v/>
      </c>
      <c r="K145" t="str" vm="1537">
        <f>IFERROR(CUBEVALUE("BIDB",$A145,K$3,K$2,'Præsentationstabeller 1'!$C$2),0)</f>
        <v/>
      </c>
      <c r="L145" t="str" vm="15820">
        <f>IFERROR(CUBEVALUE("BIDB",$A145,L$3,L$2,'Præsentationstabeller 1'!$C$2),0)</f>
        <v/>
      </c>
    </row>
    <row r="146" spans="1:12" x14ac:dyDescent="0.3">
      <c r="A146" s="123" t="str" vm="1190">
        <f>CUBEMEMBER("BIDB","[Dimittenddato].[Dimittenddato].&amp;[2008-07-21T00:00:00]")</f>
        <v>21-07-2008</v>
      </c>
      <c r="B146" t="str" vm="2859">
        <f>IFERROR(CUBEVALUE("BIDB",$A146,B$3,'Præsentationstabeller 1'!$C$2),0)</f>
        <v/>
      </c>
      <c r="C146" t="str" vm="1604">
        <f>IFERROR(CUBEVALUE("BIDB",$A146,C$3,C$2,'Præsentationstabeller 1'!$C$2),0)</f>
        <v/>
      </c>
      <c r="D146" t="str" vm="16385">
        <f>IFERROR(CUBEVALUE("BIDB",$A146,D$3,D$2,'Præsentationstabeller 1'!$C$2),0)</f>
        <v/>
      </c>
      <c r="E146" t="str" vm="9756">
        <f>IFERROR(CUBEVALUE("BIDB",$A146,E$3,E$2,'Præsentationstabeller 1'!$C$2),0)</f>
        <v/>
      </c>
      <c r="F146" vm="2475">
        <f>IFERROR(CUBEVALUE("BIDB",$A146,F$3,F$2,'Præsentationstabeller 1'!$C$2),0)</f>
        <v>0</v>
      </c>
      <c r="G146" vm="2071">
        <f>IFERROR(CUBEVALUE("BIDB",$A146,G$3,G$2,'Præsentationstabeller 1'!$C$2),0)</f>
        <v>0</v>
      </c>
      <c r="H146" t="str" vm="1515">
        <f>IFERROR(CUBEVALUE("BIDB",$A146,H$3,H$2,'Præsentationstabeller 1'!$C$2),0)</f>
        <v/>
      </c>
      <c r="I146" t="str" vm="12220">
        <f>IFERROR(CUBEVALUE("BIDB",$A146,I$3,I$2,'Præsentationstabeller 1'!$C$2),0)</f>
        <v/>
      </c>
      <c r="J146" t="str" vm="16131">
        <f>IFERROR(CUBEVALUE("BIDB",$A146,J$3,J$2,'Præsentationstabeller 1'!$C$2),0)</f>
        <v/>
      </c>
      <c r="K146" t="str" vm="1545">
        <f>IFERROR(CUBEVALUE("BIDB",$A146,K$3,K$2,'Præsentationstabeller 1'!$C$2),0)</f>
        <v/>
      </c>
      <c r="L146" t="str" vm="1976">
        <f>IFERROR(CUBEVALUE("BIDB",$A146,L$3,L$2,'Præsentationstabeller 1'!$C$2),0)</f>
        <v/>
      </c>
    </row>
    <row r="147" spans="1:12" x14ac:dyDescent="0.3">
      <c r="A147" s="123" t="str" vm="1189">
        <f>CUBEMEMBER("BIDB","[Dimittenddato].[Dimittenddato].&amp;[2008-07-22T00:00:00]")</f>
        <v>22-07-2008</v>
      </c>
      <c r="B147" t="str" vm="16719">
        <f>IFERROR(CUBEVALUE("BIDB",$A147,B$3,'Præsentationstabeller 1'!$C$2),0)</f>
        <v/>
      </c>
      <c r="C147" vm="1551">
        <f>IFERROR(CUBEVALUE("BIDB",$A147,C$3,C$2,'Præsentationstabeller 1'!$C$2),0)</f>
        <v>0</v>
      </c>
      <c r="D147" t="str" vm="12244">
        <f>IFERROR(CUBEVALUE("BIDB",$A147,D$3,D$2,'Præsentationstabeller 1'!$C$2),0)</f>
        <v/>
      </c>
      <c r="E147" t="str" vm="10483">
        <f>IFERROR(CUBEVALUE("BIDB",$A147,E$3,E$2,'Præsentationstabeller 1'!$C$2),0)</f>
        <v/>
      </c>
      <c r="F147" t="str" vm="2846">
        <f>IFERROR(CUBEVALUE("BIDB",$A147,F$3,F$2,'Præsentationstabeller 1'!$C$2),0)</f>
        <v/>
      </c>
      <c r="G147" t="str" vm="1535">
        <f>IFERROR(CUBEVALUE("BIDB",$A147,G$3,G$2,'Præsentationstabeller 1'!$C$2),0)</f>
        <v/>
      </c>
      <c r="H147" t="str" vm="1712">
        <f>IFERROR(CUBEVALUE("BIDB",$A147,H$3,H$2,'Præsentationstabeller 1'!$C$2),0)</f>
        <v/>
      </c>
      <c r="I147" t="str" vm="10684">
        <f>IFERROR(CUBEVALUE("BIDB",$A147,I$3,I$2,'Præsentationstabeller 1'!$C$2),0)</f>
        <v/>
      </c>
      <c r="J147" t="str" vm="12001">
        <f>IFERROR(CUBEVALUE("BIDB",$A147,J$3,J$2,'Præsentationstabeller 1'!$C$2),0)</f>
        <v/>
      </c>
      <c r="K147" t="str" vm="2011">
        <f>IFERROR(CUBEVALUE("BIDB",$A147,K$3,K$2,'Præsentationstabeller 1'!$C$2),0)</f>
        <v/>
      </c>
      <c r="L147" t="str" vm="2512">
        <f>IFERROR(CUBEVALUE("BIDB",$A147,L$3,L$2,'Præsentationstabeller 1'!$C$2),0)</f>
        <v/>
      </c>
    </row>
    <row r="148" spans="1:12" x14ac:dyDescent="0.3">
      <c r="A148" s="123" t="str" vm="1188">
        <f>CUBEMEMBER("BIDB","[Dimittenddato].[Dimittenddato].&amp;[2008-07-23T00:00:00]")</f>
        <v>23-07-2008</v>
      </c>
      <c r="B148" t="str" vm="2595">
        <f>IFERROR(CUBEVALUE("BIDB",$A148,B$3,'Præsentationstabeller 1'!$C$2),0)</f>
        <v/>
      </c>
      <c r="C148" t="str" vm="1928">
        <f>IFERROR(CUBEVALUE("BIDB",$A148,C$3,C$2,'Præsentationstabeller 1'!$C$2),0)</f>
        <v/>
      </c>
      <c r="D148" t="str" vm="14767">
        <f>IFERROR(CUBEVALUE("BIDB",$A148,D$3,D$2,'Præsentationstabeller 1'!$C$2),0)</f>
        <v/>
      </c>
      <c r="E148" vm="16442">
        <f>IFERROR(CUBEVALUE("BIDB",$A148,E$3,E$2,'Præsentationstabeller 1'!$C$2),0)</f>
        <v>1</v>
      </c>
      <c r="F148" t="str" vm="2168">
        <f>IFERROR(CUBEVALUE("BIDB",$A148,F$3,F$2,'Præsentationstabeller 1'!$C$2),0)</f>
        <v/>
      </c>
      <c r="G148" vm="1367">
        <f>IFERROR(CUBEVALUE("BIDB",$A148,G$3,G$2,'Præsentationstabeller 1'!$C$2),0)</f>
        <v>1</v>
      </c>
      <c r="H148" t="str" vm="1717">
        <f>IFERROR(CUBEVALUE("BIDB",$A148,H$3,H$2,'Præsentationstabeller 1'!$C$2),0)</f>
        <v/>
      </c>
      <c r="I148" t="str" vm="9816">
        <f>IFERROR(CUBEVALUE("BIDB",$A148,I$3,I$2,'Præsentationstabeller 1'!$C$2),0)</f>
        <v/>
      </c>
      <c r="J148" t="str" vm="12119">
        <f>IFERROR(CUBEVALUE("BIDB",$A148,J$3,J$2,'Præsentationstabeller 1'!$C$2),0)</f>
        <v/>
      </c>
      <c r="K148" t="str" vm="1418">
        <f>IFERROR(CUBEVALUE("BIDB",$A148,K$3,K$2,'Præsentationstabeller 1'!$C$2),0)</f>
        <v/>
      </c>
      <c r="L148" t="str" vm="15826">
        <f>IFERROR(CUBEVALUE("BIDB",$A148,L$3,L$2,'Præsentationstabeller 1'!$C$2),0)</f>
        <v/>
      </c>
    </row>
    <row r="149" spans="1:12" x14ac:dyDescent="0.3">
      <c r="A149" s="123" t="str" vm="1187">
        <f>CUBEMEMBER("BIDB","[Dimittenddato].[Dimittenddato].&amp;[2008-07-24T00:00:00]")</f>
        <v>24-07-2008</v>
      </c>
      <c r="B149" t="str" vm="16721">
        <f>IFERROR(CUBEVALUE("BIDB",$A149,B$3,'Præsentationstabeller 1'!$C$2),0)</f>
        <v/>
      </c>
      <c r="C149" t="str" vm="2420">
        <f>IFERROR(CUBEVALUE("BIDB",$A149,C$3,C$2,'Præsentationstabeller 1'!$C$2),0)</f>
        <v/>
      </c>
      <c r="D149" t="str" vm="14584">
        <f>IFERROR(CUBEVALUE("BIDB",$A149,D$3,D$2,'Præsentationstabeller 1'!$C$2),0)</f>
        <v/>
      </c>
      <c r="E149" vm="12208">
        <f>IFERROR(CUBEVALUE("BIDB",$A149,E$3,E$2,'Præsentationstabeller 1'!$C$2),0)</f>
        <v>0</v>
      </c>
      <c r="F149" t="str" vm="3391">
        <f>IFERROR(CUBEVALUE("BIDB",$A149,F$3,F$2,'Præsentationstabeller 1'!$C$2),0)</f>
        <v/>
      </c>
      <c r="G149" vm="1567">
        <f>IFERROR(CUBEVALUE("BIDB",$A149,G$3,G$2,'Præsentationstabeller 1'!$C$2),0)</f>
        <v>0</v>
      </c>
      <c r="H149" t="str" vm="2342">
        <f>IFERROR(CUBEVALUE("BIDB",$A149,H$3,H$2,'Præsentationstabeller 1'!$C$2),0)</f>
        <v/>
      </c>
      <c r="I149" t="str" vm="8911">
        <f>IFERROR(CUBEVALUE("BIDB",$A149,I$3,I$2,'Præsentationstabeller 1'!$C$2),0)</f>
        <v/>
      </c>
      <c r="J149" t="str" vm="13987">
        <f>IFERROR(CUBEVALUE("BIDB",$A149,J$3,J$2,'Præsentationstabeller 1'!$C$2),0)</f>
        <v/>
      </c>
      <c r="K149" t="str" vm="1452">
        <f>IFERROR(CUBEVALUE("BIDB",$A149,K$3,K$2,'Præsentationstabeller 1'!$C$2),0)</f>
        <v/>
      </c>
      <c r="L149" t="str" vm="15827">
        <f>IFERROR(CUBEVALUE("BIDB",$A149,L$3,L$2,'Præsentationstabeller 1'!$C$2),0)</f>
        <v/>
      </c>
    </row>
    <row r="150" spans="1:12" x14ac:dyDescent="0.3">
      <c r="A150" s="123" t="str" vm="1186">
        <f>CUBEMEMBER("BIDB","[Dimittenddato].[Dimittenddato].&amp;[2008-07-25T00:00:00]")</f>
        <v>25-07-2008</v>
      </c>
      <c r="B150" t="str" vm="2592">
        <f>IFERROR(CUBEVALUE("BIDB",$A150,B$3,'Præsentationstabeller 1'!$C$2),0)</f>
        <v/>
      </c>
      <c r="C150" t="str" vm="1613">
        <f>IFERROR(CUBEVALUE("BIDB",$A150,C$3,C$2,'Præsentationstabeller 1'!$C$2),0)</f>
        <v/>
      </c>
      <c r="D150" t="str" vm="12149">
        <f>IFERROR(CUBEVALUE("BIDB",$A150,D$3,D$2,'Præsentationstabeller 1'!$C$2),0)</f>
        <v/>
      </c>
      <c r="E150" vm="17131">
        <f>IFERROR(CUBEVALUE("BIDB",$A150,E$3,E$2,'Præsentationstabeller 1'!$C$2),0)</f>
        <v>3</v>
      </c>
      <c r="F150" t="str" vm="2074">
        <f>IFERROR(CUBEVALUE("BIDB",$A150,F$3,F$2,'Præsentationstabeller 1'!$C$2),0)</f>
        <v/>
      </c>
      <c r="G150" vm="2773">
        <f>IFERROR(CUBEVALUE("BIDB",$A150,G$3,G$2,'Præsentationstabeller 1'!$C$2),0)</f>
        <v>3</v>
      </c>
      <c r="H150" t="str" vm="1425">
        <f>IFERROR(CUBEVALUE("BIDB",$A150,H$3,H$2,'Præsentationstabeller 1'!$C$2),0)</f>
        <v/>
      </c>
      <c r="I150" t="str" vm="10719">
        <f>IFERROR(CUBEVALUE("BIDB",$A150,I$3,I$2,'Præsentationstabeller 1'!$C$2),0)</f>
        <v/>
      </c>
      <c r="J150" t="str" vm="12155">
        <f>IFERROR(CUBEVALUE("BIDB",$A150,J$3,J$2,'Præsentationstabeller 1'!$C$2),0)</f>
        <v/>
      </c>
      <c r="K150" t="str" vm="1390">
        <f>IFERROR(CUBEVALUE("BIDB",$A150,K$3,K$2,'Præsentationstabeller 1'!$C$2),0)</f>
        <v/>
      </c>
      <c r="L150" t="str" vm="2064">
        <f>IFERROR(CUBEVALUE("BIDB",$A150,L$3,L$2,'Præsentationstabeller 1'!$C$2),0)</f>
        <v/>
      </c>
    </row>
    <row r="151" spans="1:12" x14ac:dyDescent="0.3">
      <c r="A151" s="123" t="str" vm="1185">
        <f>CUBEMEMBER("BIDB","[Dimittenddato].[Dimittenddato].&amp;[2008-07-26T00:00:00]")</f>
        <v>26-07-2008</v>
      </c>
      <c r="B151" t="str" vm="2748">
        <f>IFERROR(CUBEVALUE("BIDB",$A151,B$3,'Præsentationstabeller 1'!$C$2),0)</f>
        <v/>
      </c>
      <c r="C151" t="str" vm="1363">
        <f>IFERROR(CUBEVALUE("BIDB",$A151,C$3,C$2,'Præsentationstabeller 1'!$C$2),0)</f>
        <v/>
      </c>
      <c r="D151" t="str" vm="10326">
        <f>IFERROR(CUBEVALUE("BIDB",$A151,D$3,D$2,'Præsentationstabeller 1'!$C$2),0)</f>
        <v/>
      </c>
      <c r="E151" t="str" vm="17153">
        <f>IFERROR(CUBEVALUE("BIDB",$A151,E$3,E$2,'Præsentationstabeller 1'!$C$2),0)</f>
        <v/>
      </c>
      <c r="F151" t="str" vm="3326">
        <f>IFERROR(CUBEVALUE("BIDB",$A151,F$3,F$2,'Præsentationstabeller 1'!$C$2),0)</f>
        <v/>
      </c>
      <c r="G151" t="str" vm="2331">
        <f>IFERROR(CUBEVALUE("BIDB",$A151,G$3,G$2,'Præsentationstabeller 1'!$C$2),0)</f>
        <v/>
      </c>
      <c r="H151" t="str" vm="1500">
        <f>IFERROR(CUBEVALUE("BIDB",$A151,H$3,H$2,'Præsentationstabeller 1'!$C$2),0)</f>
        <v/>
      </c>
      <c r="I151" t="str" vm="7238">
        <f>IFERROR(CUBEVALUE("BIDB",$A151,I$3,I$2,'Præsentationstabeller 1'!$C$2),0)</f>
        <v/>
      </c>
      <c r="J151" t="str" vm="12659">
        <f>IFERROR(CUBEVALUE("BIDB",$A151,J$3,J$2,'Præsentationstabeller 1'!$C$2),0)</f>
        <v/>
      </c>
      <c r="K151" t="str" vm="2069">
        <f>IFERROR(CUBEVALUE("BIDB",$A151,K$3,K$2,'Præsentationstabeller 1'!$C$2),0)</f>
        <v/>
      </c>
      <c r="L151" t="str" vm="2563">
        <f>IFERROR(CUBEVALUE("BIDB",$A151,L$3,L$2,'Præsentationstabeller 1'!$C$2),0)</f>
        <v/>
      </c>
    </row>
    <row r="152" spans="1:12" x14ac:dyDescent="0.3">
      <c r="A152" s="123" t="str" vm="1184">
        <f>CUBEMEMBER("BIDB","[Dimittenddato].[Dimittenddato].&amp;[2008-07-27T00:00:00]")</f>
        <v>27-07-2008</v>
      </c>
      <c r="B152" t="str" vm="2281">
        <f>IFERROR(CUBEVALUE("BIDB",$A152,B$3,'Præsentationstabeller 1'!$C$2),0)</f>
        <v/>
      </c>
      <c r="C152" vm="2264">
        <f>IFERROR(CUBEVALUE("BIDB",$A152,C$3,C$2,'Præsentationstabeller 1'!$C$2),0)</f>
        <v>1</v>
      </c>
      <c r="D152" t="str" vm="11135">
        <f>IFERROR(CUBEVALUE("BIDB",$A152,D$3,D$2,'Præsentationstabeller 1'!$C$2),0)</f>
        <v/>
      </c>
      <c r="E152" vm="10295">
        <f>IFERROR(CUBEVALUE("BIDB",$A152,E$3,E$2,'Præsentationstabeller 1'!$C$2),0)</f>
        <v>0</v>
      </c>
      <c r="F152" t="str" vm="1811">
        <f>IFERROR(CUBEVALUE("BIDB",$A152,F$3,F$2,'Præsentationstabeller 1'!$C$2),0)</f>
        <v/>
      </c>
      <c r="G152" vm="1630">
        <f>IFERROR(CUBEVALUE("BIDB",$A152,G$3,G$2,'Præsentationstabeller 1'!$C$2),0)</f>
        <v>0</v>
      </c>
      <c r="H152" vm="1433">
        <f>IFERROR(CUBEVALUE("BIDB",$A152,H$3,H$2,'Præsentationstabeller 1'!$C$2),0)</f>
        <v>0.48</v>
      </c>
      <c r="I152" t="str" vm="10119">
        <f>IFERROR(CUBEVALUE("BIDB",$A152,I$3,I$2,'Præsentationstabeller 1'!$C$2),0)</f>
        <v/>
      </c>
      <c r="J152" t="str" vm="13847">
        <f>IFERROR(CUBEVALUE("BIDB",$A152,J$3,J$2,'Præsentationstabeller 1'!$C$2),0)</f>
        <v/>
      </c>
      <c r="K152" t="str" vm="1438">
        <f>IFERROR(CUBEVALUE("BIDB",$A152,K$3,K$2,'Præsentationstabeller 1'!$C$2),0)</f>
        <v/>
      </c>
      <c r="L152" t="str" vm="17186">
        <f>IFERROR(CUBEVALUE("BIDB",$A152,L$3,L$2,'Præsentationstabeller 1'!$C$2),0)</f>
        <v/>
      </c>
    </row>
    <row r="153" spans="1:12" x14ac:dyDescent="0.3">
      <c r="A153" s="123" t="str" vm="1183">
        <f>CUBEMEMBER("BIDB","[Dimittenddato].[Dimittenddato].&amp;[2008-07-28T00:00:00]")</f>
        <v>28-07-2008</v>
      </c>
      <c r="B153" t="str" vm="2034">
        <f>IFERROR(CUBEVALUE("BIDB",$A153,B$3,'Præsentationstabeller 1'!$C$2),0)</f>
        <v/>
      </c>
      <c r="C153" t="str" vm="3132">
        <f>IFERROR(CUBEVALUE("BIDB",$A153,C$3,C$2,'Præsentationstabeller 1'!$C$2),0)</f>
        <v/>
      </c>
      <c r="D153" t="str" vm="14479">
        <f>IFERROR(CUBEVALUE("BIDB",$A153,D$3,D$2,'Præsentationstabeller 1'!$C$2),0)</f>
        <v/>
      </c>
      <c r="E153" vm="13009">
        <f>IFERROR(CUBEVALUE("BIDB",$A153,E$3,E$2,'Præsentationstabeller 1'!$C$2),0)</f>
        <v>1</v>
      </c>
      <c r="F153" t="str" vm="2452">
        <f>IFERROR(CUBEVALUE("BIDB",$A153,F$3,F$2,'Præsentationstabeller 1'!$C$2),0)</f>
        <v/>
      </c>
      <c r="G153" vm="1584">
        <f>IFERROR(CUBEVALUE("BIDB",$A153,G$3,G$2,'Præsentationstabeller 1'!$C$2),0)</f>
        <v>1</v>
      </c>
      <c r="H153" t="str" vm="1621">
        <f>IFERROR(CUBEVALUE("BIDB",$A153,H$3,H$2,'Præsentationstabeller 1'!$C$2),0)</f>
        <v/>
      </c>
      <c r="I153" t="str" vm="7980">
        <f>IFERROR(CUBEVALUE("BIDB",$A153,I$3,I$2,'Præsentationstabeller 1'!$C$2),0)</f>
        <v/>
      </c>
      <c r="J153" t="str" vm="15304">
        <f>IFERROR(CUBEVALUE("BIDB",$A153,J$3,J$2,'Præsentationstabeller 1'!$C$2),0)</f>
        <v/>
      </c>
      <c r="K153" t="str" vm="2566">
        <f>IFERROR(CUBEVALUE("BIDB",$A153,K$3,K$2,'Præsentationstabeller 1'!$C$2),0)</f>
        <v/>
      </c>
      <c r="L153" t="str" vm="16750">
        <f>IFERROR(CUBEVALUE("BIDB",$A153,L$3,L$2,'Præsentationstabeller 1'!$C$2),0)</f>
        <v/>
      </c>
    </row>
    <row r="154" spans="1:12" x14ac:dyDescent="0.3">
      <c r="A154" s="123" t="str" vm="1182">
        <f>CUBEMEMBER("BIDB","[Dimittenddato].[Dimittenddato].&amp;[2008-07-29T00:00:00]")</f>
        <v>29-07-2008</v>
      </c>
      <c r="B154" t="str" vm="3815">
        <f>IFERROR(CUBEVALUE("BIDB",$A154,B$3,'Præsentationstabeller 1'!$C$2),0)</f>
        <v/>
      </c>
      <c r="C154" t="str" vm="1448">
        <f>IFERROR(CUBEVALUE("BIDB",$A154,C$3,C$2,'Præsentationstabeller 1'!$C$2),0)</f>
        <v/>
      </c>
      <c r="D154" t="str" vm="16995">
        <f>IFERROR(CUBEVALUE("BIDB",$A154,D$3,D$2,'Præsentationstabeller 1'!$C$2),0)</f>
        <v/>
      </c>
      <c r="E154" vm="9191">
        <f>IFERROR(CUBEVALUE("BIDB",$A154,E$3,E$2,'Præsentationstabeller 1'!$C$2),0)</f>
        <v>2</v>
      </c>
      <c r="F154" t="str" vm="2496">
        <f>IFERROR(CUBEVALUE("BIDB",$A154,F$3,F$2,'Præsentationstabeller 1'!$C$2),0)</f>
        <v/>
      </c>
      <c r="G154" vm="3432">
        <f>IFERROR(CUBEVALUE("BIDB",$A154,G$3,G$2,'Præsentationstabeller 1'!$C$2),0)</f>
        <v>2</v>
      </c>
      <c r="H154" t="str" vm="1507">
        <f>IFERROR(CUBEVALUE("BIDB",$A154,H$3,H$2,'Præsentationstabeller 1'!$C$2),0)</f>
        <v/>
      </c>
      <c r="I154" t="str" vm="10571">
        <f>IFERROR(CUBEVALUE("BIDB",$A154,I$3,I$2,'Præsentationstabeller 1'!$C$2),0)</f>
        <v/>
      </c>
      <c r="J154" t="str" vm="11638">
        <f>IFERROR(CUBEVALUE("BIDB",$A154,J$3,J$2,'Præsentationstabeller 1'!$C$2),0)</f>
        <v/>
      </c>
      <c r="K154" t="str" vm="2262">
        <f>IFERROR(CUBEVALUE("BIDB",$A154,K$3,K$2,'Præsentationstabeller 1'!$C$2),0)</f>
        <v/>
      </c>
      <c r="L154" t="str" vm="16682">
        <f>IFERROR(CUBEVALUE("BIDB",$A154,L$3,L$2,'Præsentationstabeller 1'!$C$2),0)</f>
        <v/>
      </c>
    </row>
    <row r="155" spans="1:12" x14ac:dyDescent="0.3">
      <c r="A155" s="123" t="str" vm="1181">
        <f>CUBEMEMBER("BIDB","[Dimittenddato].[Dimittenddato].&amp;[2008-07-30T00:00:00]")</f>
        <v>30-07-2008</v>
      </c>
      <c r="B155" t="str" vm="2844">
        <f>IFERROR(CUBEVALUE("BIDB",$A155,B$3,'Præsentationstabeller 1'!$C$2),0)</f>
        <v/>
      </c>
      <c r="C155" t="str" vm="2066">
        <f>IFERROR(CUBEVALUE("BIDB",$A155,C$3,C$2,'Præsentationstabeller 1'!$C$2),0)</f>
        <v/>
      </c>
      <c r="D155" t="str" vm="15972">
        <f>IFERROR(CUBEVALUE("BIDB",$A155,D$3,D$2,'Præsentationstabeller 1'!$C$2),0)</f>
        <v/>
      </c>
      <c r="E155" vm="14368">
        <f>IFERROR(CUBEVALUE("BIDB",$A155,E$3,E$2,'Præsentationstabeller 1'!$C$2),0)</f>
        <v>1</v>
      </c>
      <c r="F155" t="str" vm="2887">
        <f>IFERROR(CUBEVALUE("BIDB",$A155,F$3,F$2,'Præsentationstabeller 1'!$C$2),0)</f>
        <v/>
      </c>
      <c r="G155" vm="16675">
        <f>IFERROR(CUBEVALUE("BIDB",$A155,G$3,G$2,'Præsentationstabeller 1'!$C$2),0)</f>
        <v>1</v>
      </c>
      <c r="H155" t="str" vm="2319">
        <f>IFERROR(CUBEVALUE("BIDB",$A155,H$3,H$2,'Præsentationstabeller 1'!$C$2),0)</f>
        <v/>
      </c>
      <c r="I155" t="str" vm="8067">
        <f>IFERROR(CUBEVALUE("BIDB",$A155,I$3,I$2,'Præsentationstabeller 1'!$C$2),0)</f>
        <v/>
      </c>
      <c r="J155" t="str" vm="13078">
        <f>IFERROR(CUBEVALUE("BIDB",$A155,J$3,J$2,'Præsentationstabeller 1'!$C$2),0)</f>
        <v/>
      </c>
      <c r="K155" t="str" vm="1563">
        <f>IFERROR(CUBEVALUE("BIDB",$A155,K$3,K$2,'Præsentationstabeller 1'!$C$2),0)</f>
        <v/>
      </c>
      <c r="L155" t="str" vm="1823">
        <f>IFERROR(CUBEVALUE("BIDB",$A155,L$3,L$2,'Præsentationstabeller 1'!$C$2),0)</f>
        <v/>
      </c>
    </row>
    <row r="156" spans="1:12" x14ac:dyDescent="0.3">
      <c r="A156" s="123" t="str" vm="1180">
        <f>CUBEMEMBER("BIDB","[Dimittenddato].[Dimittenddato].&amp;[2008-07-31T00:00:00]")</f>
        <v>31-07-2008</v>
      </c>
      <c r="B156" t="str" vm="2450">
        <f>IFERROR(CUBEVALUE("BIDB",$A156,B$3,'Præsentationstabeller 1'!$C$2),0)</f>
        <v/>
      </c>
      <c r="C156" vm="2997">
        <f>IFERROR(CUBEVALUE("BIDB",$A156,C$3,C$2,'Præsentationstabeller 1'!$C$2),0)</f>
        <v>0</v>
      </c>
      <c r="D156" t="str" vm="13114">
        <f>IFERROR(CUBEVALUE("BIDB",$A156,D$3,D$2,'Præsentationstabeller 1'!$C$2),0)</f>
        <v/>
      </c>
      <c r="E156" vm="16406">
        <f>IFERROR(CUBEVALUE("BIDB",$A156,E$3,E$2,'Præsentationstabeller 1'!$C$2),0)</f>
        <v>5</v>
      </c>
      <c r="F156" vm="3925">
        <f>IFERROR(CUBEVALUE("BIDB",$A156,F$3,F$2,'Præsentationstabeller 1'!$C$2),0)</f>
        <v>3</v>
      </c>
      <c r="G156" vm="16242">
        <f>IFERROR(CUBEVALUE("BIDB",$A156,G$3,G$2,'Præsentationstabeller 1'!$C$2),0)</f>
        <v>8</v>
      </c>
      <c r="H156" t="str" vm="1432">
        <f>IFERROR(CUBEVALUE("BIDB",$A156,H$3,H$2,'Præsentationstabeller 1'!$C$2),0)</f>
        <v/>
      </c>
      <c r="I156" t="str" vm="12277">
        <f>IFERROR(CUBEVALUE("BIDB",$A156,I$3,I$2,'Præsentationstabeller 1'!$C$2),0)</f>
        <v/>
      </c>
      <c r="J156" t="str" vm="17051">
        <f>IFERROR(CUBEVALUE("BIDB",$A156,J$3,J$2,'Præsentationstabeller 1'!$C$2),0)</f>
        <v/>
      </c>
      <c r="K156" t="str" vm="1581">
        <f>IFERROR(CUBEVALUE("BIDB",$A156,K$3,K$2,'Præsentationstabeller 1'!$C$2),0)</f>
        <v/>
      </c>
      <c r="L156" t="str" vm="16269">
        <f>IFERROR(CUBEVALUE("BIDB",$A156,L$3,L$2,'Præsentationstabeller 1'!$C$2),0)</f>
        <v/>
      </c>
    </row>
    <row r="157" spans="1:12" x14ac:dyDescent="0.3">
      <c r="A157" s="123" t="str" vm="1179">
        <f>CUBEMEMBER("BIDB","[Dimittenddato].[Dimittenddato].&amp;[2008-08-01T00:00:00]")</f>
        <v>01-08-2008</v>
      </c>
      <c r="B157" t="str" vm="2330">
        <f>IFERROR(CUBEVALUE("BIDB",$A157,B$3,'Præsentationstabeller 1'!$C$2),0)</f>
        <v/>
      </c>
      <c r="C157" vm="2296">
        <f>IFERROR(CUBEVALUE("BIDB",$A157,C$3,C$2,'Præsentationstabeller 1'!$C$2),0)</f>
        <v>1</v>
      </c>
      <c r="D157" vm="16911">
        <f>IFERROR(CUBEVALUE("BIDB",$A157,D$3,D$2,'Præsentationstabeller 1'!$C$2),0)</f>
        <v>0</v>
      </c>
      <c r="E157" vm="10469">
        <f>IFERROR(CUBEVALUE("BIDB",$A157,E$3,E$2,'Præsentationstabeller 1'!$C$2),0)</f>
        <v>4</v>
      </c>
      <c r="F157" vm="2119">
        <f>IFERROR(CUBEVALUE("BIDB",$A157,F$3,F$2,'Præsentationstabeller 1'!$C$2),0)</f>
        <v>0</v>
      </c>
      <c r="G157" vm="2072">
        <f>IFERROR(CUBEVALUE("BIDB",$A157,G$3,G$2,'Præsentationstabeller 1'!$C$2),0)</f>
        <v>4</v>
      </c>
      <c r="H157" t="str" vm="1685">
        <f>IFERROR(CUBEVALUE("BIDB",$A157,H$3,H$2,'Præsentationstabeller 1'!$C$2),0)</f>
        <v/>
      </c>
      <c r="I157" t="str" vm="9231">
        <f>IFERROR(CUBEVALUE("BIDB",$A157,I$3,I$2,'Præsentationstabeller 1'!$C$2),0)</f>
        <v/>
      </c>
      <c r="J157" t="str" vm="17157">
        <f>IFERROR(CUBEVALUE("BIDB",$A157,J$3,J$2,'Præsentationstabeller 1'!$C$2),0)</f>
        <v/>
      </c>
      <c r="K157" t="str" vm="1481">
        <f>IFERROR(CUBEVALUE("BIDB",$A157,K$3,K$2,'Præsentationstabeller 1'!$C$2),0)</f>
        <v/>
      </c>
      <c r="L157" t="str" vm="16270">
        <f>IFERROR(CUBEVALUE("BIDB",$A157,L$3,L$2,'Præsentationstabeller 1'!$C$2),0)</f>
        <v/>
      </c>
    </row>
    <row r="158" spans="1:12" x14ac:dyDescent="0.3">
      <c r="A158" s="123" t="str" vm="1178">
        <f>CUBEMEMBER("BIDB","[Dimittenddato].[Dimittenddato].&amp;[2008-08-02T00:00:00]")</f>
        <v>02-08-2008</v>
      </c>
      <c r="B158" t="str" vm="2524">
        <f>IFERROR(CUBEVALUE("BIDB",$A158,B$3,'Præsentationstabeller 1'!$C$2),0)</f>
        <v/>
      </c>
      <c r="C158" t="str" vm="1601">
        <f>IFERROR(CUBEVALUE("BIDB",$A158,C$3,C$2,'Præsentationstabeller 1'!$C$2),0)</f>
        <v/>
      </c>
      <c r="D158" t="str" vm="14911">
        <f>IFERROR(CUBEVALUE("BIDB",$A158,D$3,D$2,'Præsentationstabeller 1'!$C$2),0)</f>
        <v/>
      </c>
      <c r="E158" t="str" vm="11068">
        <f>IFERROR(CUBEVALUE("BIDB",$A158,E$3,E$2,'Præsentationstabeller 1'!$C$2),0)</f>
        <v/>
      </c>
      <c r="F158" t="str" vm="2862">
        <f>IFERROR(CUBEVALUE("BIDB",$A158,F$3,F$2,'Præsentationstabeller 1'!$C$2),0)</f>
        <v/>
      </c>
      <c r="G158" t="str" vm="1781">
        <f>IFERROR(CUBEVALUE("BIDB",$A158,G$3,G$2,'Præsentationstabeller 1'!$C$2),0)</f>
        <v/>
      </c>
      <c r="H158" t="str" vm="1591">
        <f>IFERROR(CUBEVALUE("BIDB",$A158,H$3,H$2,'Præsentationstabeller 1'!$C$2),0)</f>
        <v/>
      </c>
      <c r="I158" t="str" vm="12193">
        <f>IFERROR(CUBEVALUE("BIDB",$A158,I$3,I$2,'Præsentationstabeller 1'!$C$2),0)</f>
        <v/>
      </c>
      <c r="J158" t="str" vm="16431">
        <f>IFERROR(CUBEVALUE("BIDB",$A158,J$3,J$2,'Præsentationstabeller 1'!$C$2),0)</f>
        <v/>
      </c>
      <c r="K158" t="str" vm="1374">
        <f>IFERROR(CUBEVALUE("BIDB",$A158,K$3,K$2,'Præsentationstabeller 1'!$C$2),0)</f>
        <v/>
      </c>
      <c r="L158" t="str" vm="17183">
        <f>IFERROR(CUBEVALUE("BIDB",$A158,L$3,L$2,'Præsentationstabeller 1'!$C$2),0)</f>
        <v/>
      </c>
    </row>
    <row r="159" spans="1:12" x14ac:dyDescent="0.3">
      <c r="A159" s="123" t="str" vm="1177">
        <f>CUBEMEMBER("BIDB","[Dimittenddato].[Dimittenddato].&amp;[2008-08-03T00:00:00]")</f>
        <v>03-08-2008</v>
      </c>
      <c r="B159" t="str" vm="2328">
        <f>IFERROR(CUBEVALUE("BIDB",$A159,B$3,'Præsentationstabeller 1'!$C$2),0)</f>
        <v/>
      </c>
      <c r="C159" t="str" vm="2008">
        <f>IFERROR(CUBEVALUE("BIDB",$A159,C$3,C$2,'Præsentationstabeller 1'!$C$2),0)</f>
        <v/>
      </c>
      <c r="D159" t="str" vm="12130">
        <f>IFERROR(CUBEVALUE("BIDB",$A159,D$3,D$2,'Præsentationstabeller 1'!$C$2),0)</f>
        <v/>
      </c>
      <c r="E159" t="str" vm="16600">
        <f>IFERROR(CUBEVALUE("BIDB",$A159,E$3,E$2,'Præsentationstabeller 1'!$C$2),0)</f>
        <v/>
      </c>
      <c r="F159" t="str" vm="2349">
        <f>IFERROR(CUBEVALUE("BIDB",$A159,F$3,F$2,'Præsentationstabeller 1'!$C$2),0)</f>
        <v/>
      </c>
      <c r="G159" t="str" vm="1435">
        <f>IFERROR(CUBEVALUE("BIDB",$A159,G$3,G$2,'Præsentationstabeller 1'!$C$2),0)</f>
        <v/>
      </c>
      <c r="H159" t="str" vm="1668">
        <f>IFERROR(CUBEVALUE("BIDB",$A159,H$3,H$2,'Præsentationstabeller 1'!$C$2),0)</f>
        <v/>
      </c>
      <c r="I159" t="str" vm="6333">
        <f>IFERROR(CUBEVALUE("BIDB",$A159,I$3,I$2,'Præsentationstabeller 1'!$C$2),0)</f>
        <v/>
      </c>
      <c r="J159" t="str" vm="15592">
        <f>IFERROR(CUBEVALUE("BIDB",$A159,J$3,J$2,'Præsentationstabeller 1'!$C$2),0)</f>
        <v/>
      </c>
      <c r="K159" t="str" vm="2371">
        <f>IFERROR(CUBEVALUE("BIDB",$A159,K$3,K$2,'Præsentationstabeller 1'!$C$2),0)</f>
        <v/>
      </c>
      <c r="L159" t="str" vm="17184">
        <f>IFERROR(CUBEVALUE("BIDB",$A159,L$3,L$2,'Præsentationstabeller 1'!$C$2),0)</f>
        <v/>
      </c>
    </row>
    <row r="160" spans="1:12" x14ac:dyDescent="0.3">
      <c r="A160" s="123" t="str" vm="1176">
        <f>CUBEMEMBER("BIDB","[Dimittenddato].[Dimittenddato].&amp;[2008-08-04T00:00:00]")</f>
        <v>04-08-2008</v>
      </c>
      <c r="B160" t="str" vm="4169">
        <f>IFERROR(CUBEVALUE("BIDB",$A160,B$3,'Præsentationstabeller 1'!$C$2),0)</f>
        <v/>
      </c>
      <c r="C160" t="str" vm="1839">
        <f>IFERROR(CUBEVALUE("BIDB",$A160,C$3,C$2,'Præsentationstabeller 1'!$C$2),0)</f>
        <v/>
      </c>
      <c r="D160" vm="15132">
        <f>IFERROR(CUBEVALUE("BIDB",$A160,D$3,D$2,'Præsentationstabeller 1'!$C$2),0)</f>
        <v>1</v>
      </c>
      <c r="E160" vm="12774">
        <f>IFERROR(CUBEVALUE("BIDB",$A160,E$3,E$2,'Præsentationstabeller 1'!$C$2),0)</f>
        <v>0</v>
      </c>
      <c r="F160" vm="2273">
        <f>IFERROR(CUBEVALUE("BIDB",$A160,F$3,F$2,'Præsentationstabeller 1'!$C$2),0)</f>
        <v>1</v>
      </c>
      <c r="G160" vm="1444">
        <f>IFERROR(CUBEVALUE("BIDB",$A160,G$3,G$2,'Præsentationstabeller 1'!$C$2),0)</f>
        <v>1</v>
      </c>
      <c r="H160" t="str" vm="1423">
        <f>IFERROR(CUBEVALUE("BIDB",$A160,H$3,H$2,'Præsentationstabeller 1'!$C$2),0)</f>
        <v/>
      </c>
      <c r="I160" t="str" vm="14250">
        <f>IFERROR(CUBEVALUE("BIDB",$A160,I$3,I$2,'Præsentationstabeller 1'!$C$2),0)</f>
        <v/>
      </c>
      <c r="J160" t="str" vm="12578">
        <f>IFERROR(CUBEVALUE("BIDB",$A160,J$3,J$2,'Præsentationstabeller 1'!$C$2),0)</f>
        <v/>
      </c>
      <c r="K160" t="str" vm="1594">
        <f>IFERROR(CUBEVALUE("BIDB",$A160,K$3,K$2,'Præsentationstabeller 1'!$C$2),0)</f>
        <v/>
      </c>
      <c r="L160" t="str" vm="16276">
        <f>IFERROR(CUBEVALUE("BIDB",$A160,L$3,L$2,'Præsentationstabeller 1'!$C$2),0)</f>
        <v/>
      </c>
    </row>
    <row r="161" spans="1:12" x14ac:dyDescent="0.3">
      <c r="A161" s="123" t="str" vm="1175">
        <f>CUBEMEMBER("BIDB","[Dimittenddato].[Dimittenddato].&amp;[2008-08-05T00:00:00]")</f>
        <v>05-08-2008</v>
      </c>
      <c r="B161" t="str" vm="16730">
        <f>IFERROR(CUBEVALUE("BIDB",$A161,B$3,'Præsentationstabeller 1'!$C$2),0)</f>
        <v/>
      </c>
      <c r="C161" t="str" vm="16768">
        <f>IFERROR(CUBEVALUE("BIDB",$A161,C$3,C$2,'Præsentationstabeller 1'!$C$2),0)</f>
        <v/>
      </c>
      <c r="D161" vm="13752">
        <f>IFERROR(CUBEVALUE("BIDB",$A161,D$3,D$2,'Præsentationstabeller 1'!$C$2),0)</f>
        <v>1</v>
      </c>
      <c r="E161" vm="15332">
        <f>IFERROR(CUBEVALUE("BIDB",$A161,E$3,E$2,'Præsentationstabeller 1'!$C$2),0)</f>
        <v>2</v>
      </c>
      <c r="F161" vm="16781">
        <f>IFERROR(CUBEVALUE("BIDB",$A161,F$3,F$2,'Præsentationstabeller 1'!$C$2),0)</f>
        <v>1</v>
      </c>
      <c r="G161" vm="16297">
        <f>IFERROR(CUBEVALUE("BIDB",$A161,G$3,G$2,'Præsentationstabeller 1'!$C$2),0)</f>
        <v>3</v>
      </c>
      <c r="H161" t="str" vm="17198">
        <f>IFERROR(CUBEVALUE("BIDB",$A161,H$3,H$2,'Præsentationstabeller 1'!$C$2),0)</f>
        <v/>
      </c>
      <c r="I161" t="str" vm="14872">
        <f>IFERROR(CUBEVALUE("BIDB",$A161,I$3,I$2,'Præsentationstabeller 1'!$C$2),0)</f>
        <v/>
      </c>
      <c r="J161" t="str" vm="11566">
        <f>IFERROR(CUBEVALUE("BIDB",$A161,J$3,J$2,'Præsentationstabeller 1'!$C$2),0)</f>
        <v/>
      </c>
      <c r="K161" t="str" vm="17204">
        <f>IFERROR(CUBEVALUE("BIDB",$A161,K$3,K$2,'Præsentationstabeller 1'!$C$2),0)</f>
        <v/>
      </c>
      <c r="L161" t="str" vm="16298">
        <f>IFERROR(CUBEVALUE("BIDB",$A161,L$3,L$2,'Præsentationstabeller 1'!$C$2),0)</f>
        <v/>
      </c>
    </row>
    <row r="162" spans="1:12" x14ac:dyDescent="0.3">
      <c r="A162" s="123" t="str" vm="1174">
        <f>CUBEMEMBER("BIDB","[Dimittenddato].[Dimittenddato].&amp;[2008-08-06T00:00:00]")</f>
        <v>06-08-2008</v>
      </c>
      <c r="B162" t="str" vm="4915">
        <f>IFERROR(CUBEVALUE("BIDB",$A162,B$3,'Præsentationstabeller 1'!$C$2),0)</f>
        <v/>
      </c>
      <c r="C162" t="str" vm="1617">
        <f>IFERROR(CUBEVALUE("BIDB",$A162,C$3,C$2,'Præsentationstabeller 1'!$C$2),0)</f>
        <v/>
      </c>
      <c r="D162" t="str" vm="13900">
        <f>IFERROR(CUBEVALUE("BIDB",$A162,D$3,D$2,'Præsentationstabeller 1'!$C$2),0)</f>
        <v/>
      </c>
      <c r="E162" t="str" vm="8582">
        <f>IFERROR(CUBEVALUE("BIDB",$A162,E$3,E$2,'Præsentationstabeller 1'!$C$2),0)</f>
        <v/>
      </c>
      <c r="F162" t="str" vm="2346">
        <f>IFERROR(CUBEVALUE("BIDB",$A162,F$3,F$2,'Præsentationstabeller 1'!$C$2),0)</f>
        <v/>
      </c>
      <c r="G162" t="str" vm="6988">
        <f>IFERROR(CUBEVALUE("BIDB",$A162,G$3,G$2,'Præsentationstabeller 1'!$C$2),0)</f>
        <v/>
      </c>
      <c r="H162" t="str" vm="2001">
        <f>IFERROR(CUBEVALUE("BIDB",$A162,H$3,H$2,'Præsentationstabeller 1'!$C$2),0)</f>
        <v/>
      </c>
      <c r="I162" t="str" vm="9361">
        <f>IFERROR(CUBEVALUE("BIDB",$A162,I$3,I$2,'Præsentationstabeller 1'!$C$2),0)</f>
        <v/>
      </c>
      <c r="J162" t="str" vm="12070">
        <f>IFERROR(CUBEVALUE("BIDB",$A162,J$3,J$2,'Præsentationstabeller 1'!$C$2),0)</f>
        <v/>
      </c>
      <c r="K162" t="str" vm="2579">
        <f>IFERROR(CUBEVALUE("BIDB",$A162,K$3,K$2,'Præsentationstabeller 1'!$C$2),0)</f>
        <v/>
      </c>
      <c r="L162" t="str" vm="16264">
        <f>IFERROR(CUBEVALUE("BIDB",$A162,L$3,L$2,'Præsentationstabeller 1'!$C$2),0)</f>
        <v/>
      </c>
    </row>
    <row r="163" spans="1:12" x14ac:dyDescent="0.3">
      <c r="A163" s="123" t="str" vm="1173">
        <f>CUBEMEMBER("BIDB","[Dimittenddato].[Dimittenddato].&amp;[2008-08-07T00:00:00]")</f>
        <v>07-08-2008</v>
      </c>
      <c r="B163" t="str" vm="2737">
        <f>IFERROR(CUBEVALUE("BIDB",$A163,B$3,'Præsentationstabeller 1'!$C$2),0)</f>
        <v/>
      </c>
      <c r="C163" t="str" vm="1472">
        <f>IFERROR(CUBEVALUE("BIDB",$A163,C$3,C$2,'Præsentationstabeller 1'!$C$2),0)</f>
        <v/>
      </c>
      <c r="D163" t="str" vm="10270">
        <f>IFERROR(CUBEVALUE("BIDB",$A163,D$3,D$2,'Præsentationstabeller 1'!$C$2),0)</f>
        <v/>
      </c>
      <c r="E163" vm="11846">
        <f>IFERROR(CUBEVALUE("BIDB",$A163,E$3,E$2,'Præsentationstabeller 1'!$C$2),0)</f>
        <v>3</v>
      </c>
      <c r="F163" vm="1571">
        <f>IFERROR(CUBEVALUE("BIDB",$A163,F$3,F$2,'Præsentationstabeller 1'!$C$2),0)</f>
        <v>3</v>
      </c>
      <c r="G163" vm="17167">
        <f>IFERROR(CUBEVALUE("BIDB",$A163,G$3,G$2,'Præsentationstabeller 1'!$C$2),0)</f>
        <v>6</v>
      </c>
      <c r="H163" t="str" vm="1710">
        <f>IFERROR(CUBEVALUE("BIDB",$A163,H$3,H$2,'Præsentationstabeller 1'!$C$2),0)</f>
        <v/>
      </c>
      <c r="I163" t="str" vm="7964">
        <f>IFERROR(CUBEVALUE("BIDB",$A163,I$3,I$2,'Præsentationstabeller 1'!$C$2),0)</f>
        <v/>
      </c>
      <c r="J163" t="str" vm="11392">
        <f>IFERROR(CUBEVALUE("BIDB",$A163,J$3,J$2,'Præsentationstabeller 1'!$C$2),0)</f>
        <v/>
      </c>
      <c r="K163" t="str" vm="1840">
        <f>IFERROR(CUBEVALUE("BIDB",$A163,K$3,K$2,'Præsentationstabeller 1'!$C$2),0)</f>
        <v/>
      </c>
      <c r="L163" t="str" vm="16697">
        <f>IFERROR(CUBEVALUE("BIDB",$A163,L$3,L$2,'Præsentationstabeller 1'!$C$2),0)</f>
        <v/>
      </c>
    </row>
    <row r="164" spans="1:12" x14ac:dyDescent="0.3">
      <c r="A164" s="123" t="str" vm="1172">
        <f>CUBEMEMBER("BIDB","[Dimittenddato].[Dimittenddato].&amp;[2008-08-08T00:00:00]")</f>
        <v>08-08-2008</v>
      </c>
      <c r="B164" t="str" vm="1766">
        <f>IFERROR(CUBEVALUE("BIDB",$A164,B$3,'Præsentationstabeller 1'!$C$2),0)</f>
        <v/>
      </c>
      <c r="C164" t="str" vm="1776">
        <f>IFERROR(CUBEVALUE("BIDB",$A164,C$3,C$2,'Præsentationstabeller 1'!$C$2),0)</f>
        <v/>
      </c>
      <c r="D164" vm="16190">
        <f>IFERROR(CUBEVALUE("BIDB",$A164,D$3,D$2,'Præsentationstabeller 1'!$C$2),0)</f>
        <v>0</v>
      </c>
      <c r="E164" vm="16156">
        <f>IFERROR(CUBEVALUE("BIDB",$A164,E$3,E$2,'Præsentationstabeller 1'!$C$2),0)</f>
        <v>5</v>
      </c>
      <c r="F164" vm="3660">
        <f>IFERROR(CUBEVALUE("BIDB",$A164,F$3,F$2,'Præsentationstabeller 1'!$C$2),0)</f>
        <v>2</v>
      </c>
      <c r="G164" vm="1671">
        <f>IFERROR(CUBEVALUE("BIDB",$A164,G$3,G$2,'Præsentationstabeller 1'!$C$2),0)</f>
        <v>7</v>
      </c>
      <c r="H164" t="str" vm="2002">
        <f>IFERROR(CUBEVALUE("BIDB",$A164,H$3,H$2,'Præsentationstabeller 1'!$C$2),0)</f>
        <v/>
      </c>
      <c r="I164" t="str" vm="12206">
        <f>IFERROR(CUBEVALUE("BIDB",$A164,I$3,I$2,'Præsentationstabeller 1'!$C$2),0)</f>
        <v/>
      </c>
      <c r="J164" t="str" vm="11667">
        <f>IFERROR(CUBEVALUE("BIDB",$A164,J$3,J$2,'Præsentationstabeller 1'!$C$2),0)</f>
        <v/>
      </c>
      <c r="K164" t="str" vm="1598">
        <f>IFERROR(CUBEVALUE("BIDB",$A164,K$3,K$2,'Præsentationstabeller 1'!$C$2),0)</f>
        <v/>
      </c>
      <c r="L164" t="str" vm="16756">
        <f>IFERROR(CUBEVALUE("BIDB",$A164,L$3,L$2,'Præsentationstabeller 1'!$C$2),0)</f>
        <v/>
      </c>
    </row>
    <row r="165" spans="1:12" x14ac:dyDescent="0.3">
      <c r="A165" s="123" t="str" vm="1171">
        <f>CUBEMEMBER("BIDB","[Dimittenddato].[Dimittenddato].&amp;[2008-08-09T00:00:00]")</f>
        <v>09-08-2008</v>
      </c>
      <c r="B165" t="str" vm="1765">
        <f>IFERROR(CUBEVALUE("BIDB",$A165,B$3,'Præsentationstabeller 1'!$C$2),0)</f>
        <v/>
      </c>
      <c r="C165" t="str" vm="2257">
        <f>IFERROR(CUBEVALUE("BIDB",$A165,C$3,C$2,'Præsentationstabeller 1'!$C$2),0)</f>
        <v/>
      </c>
      <c r="D165" t="str" vm="11991">
        <f>IFERROR(CUBEVALUE("BIDB",$A165,D$3,D$2,'Præsentationstabeller 1'!$C$2),0)</f>
        <v/>
      </c>
      <c r="E165" t="str" vm="13855">
        <f>IFERROR(CUBEVALUE("BIDB",$A165,E$3,E$2,'Præsentationstabeller 1'!$C$2),0)</f>
        <v/>
      </c>
      <c r="F165" t="str" vm="3461">
        <f>IFERROR(CUBEVALUE("BIDB",$A165,F$3,F$2,'Præsentationstabeller 1'!$C$2),0)</f>
        <v/>
      </c>
      <c r="G165" t="str" vm="1737">
        <f>IFERROR(CUBEVALUE("BIDB",$A165,G$3,G$2,'Præsentationstabeller 1'!$C$2),0)</f>
        <v/>
      </c>
      <c r="H165" t="str" vm="2897">
        <f>IFERROR(CUBEVALUE("BIDB",$A165,H$3,H$2,'Præsentationstabeller 1'!$C$2),0)</f>
        <v/>
      </c>
      <c r="I165" t="str" vm="7398">
        <f>IFERROR(CUBEVALUE("BIDB",$A165,I$3,I$2,'Præsentationstabeller 1'!$C$2),0)</f>
        <v/>
      </c>
      <c r="J165" t="str" vm="17128">
        <f>IFERROR(CUBEVALUE("BIDB",$A165,J$3,J$2,'Præsentationstabeller 1'!$C$2),0)</f>
        <v/>
      </c>
      <c r="K165" t="str" vm="1822">
        <f>IFERROR(CUBEVALUE("BIDB",$A165,K$3,K$2,'Præsentationstabeller 1'!$C$2),0)</f>
        <v/>
      </c>
      <c r="L165" t="str" vm="16748">
        <f>IFERROR(CUBEVALUE("BIDB",$A165,L$3,L$2,'Præsentationstabeller 1'!$C$2),0)</f>
        <v/>
      </c>
    </row>
    <row r="166" spans="1:12" x14ac:dyDescent="0.3">
      <c r="A166" s="123" t="str" vm="1170">
        <f>CUBEMEMBER("BIDB","[Dimittenddato].[Dimittenddato].&amp;[2008-08-10T00:00:00]")</f>
        <v>10-08-2008</v>
      </c>
      <c r="B166" t="str" vm="2250">
        <f>IFERROR(CUBEVALUE("BIDB",$A166,B$3,'Præsentationstabeller 1'!$C$2),0)</f>
        <v/>
      </c>
      <c r="C166" t="str" vm="1774">
        <f>IFERROR(CUBEVALUE("BIDB",$A166,C$3,C$2,'Præsentationstabeller 1'!$C$2),0)</f>
        <v/>
      </c>
      <c r="D166" t="str" vm="15962">
        <f>IFERROR(CUBEVALUE("BIDB",$A166,D$3,D$2,'Præsentationstabeller 1'!$C$2),0)</f>
        <v/>
      </c>
      <c r="E166" t="str" vm="9858">
        <f>IFERROR(CUBEVALUE("BIDB",$A166,E$3,E$2,'Præsentationstabeller 1'!$C$2),0)</f>
        <v/>
      </c>
      <c r="F166" t="str" vm="2049">
        <f>IFERROR(CUBEVALUE("BIDB",$A166,F$3,F$2,'Præsentationstabeller 1'!$C$2),0)</f>
        <v/>
      </c>
      <c r="G166" t="str" vm="1885">
        <f>IFERROR(CUBEVALUE("BIDB",$A166,G$3,G$2,'Præsentationstabeller 1'!$C$2),0)</f>
        <v/>
      </c>
      <c r="H166" t="str" vm="1999">
        <f>IFERROR(CUBEVALUE("BIDB",$A166,H$3,H$2,'Præsentationstabeller 1'!$C$2),0)</f>
        <v/>
      </c>
      <c r="I166" t="str" vm="10463">
        <f>IFERROR(CUBEVALUE("BIDB",$A166,I$3,I$2,'Præsentationstabeller 1'!$C$2),0)</f>
        <v/>
      </c>
      <c r="J166" t="str" vm="13081">
        <f>IFERROR(CUBEVALUE("BIDB",$A166,J$3,J$2,'Præsentationstabeller 1'!$C$2),0)</f>
        <v/>
      </c>
      <c r="K166" t="str" vm="1970">
        <f>IFERROR(CUBEVALUE("BIDB",$A166,K$3,K$2,'Præsentationstabeller 1'!$C$2),0)</f>
        <v/>
      </c>
      <c r="L166" t="str" vm="16752">
        <f>IFERROR(CUBEVALUE("BIDB",$A166,L$3,L$2,'Præsentationstabeller 1'!$C$2),0)</f>
        <v/>
      </c>
    </row>
    <row r="167" spans="1:12" x14ac:dyDescent="0.3">
      <c r="A167" s="123" t="str" vm="1169">
        <f>CUBEMEMBER("BIDB","[Dimittenddato].[Dimittenddato].&amp;[2008-08-11T00:00:00]")</f>
        <v>11-08-2008</v>
      </c>
      <c r="B167" t="str" vm="2048">
        <f>IFERROR(CUBEVALUE("BIDB",$A167,B$3,'Præsentationstabeller 1'!$C$2),0)</f>
        <v/>
      </c>
      <c r="C167" t="str" vm="1882">
        <f>IFERROR(CUBEVALUE("BIDB",$A167,C$3,C$2,'Præsentationstabeller 1'!$C$2),0)</f>
        <v/>
      </c>
      <c r="D167" t="str" vm="9529">
        <f>IFERROR(CUBEVALUE("BIDB",$A167,D$3,D$2,'Præsentationstabeller 1'!$C$2),0)</f>
        <v/>
      </c>
      <c r="E167" vm="13944">
        <f>IFERROR(CUBEVALUE("BIDB",$A167,E$3,E$2,'Præsentationstabeller 1'!$C$2),0)</f>
        <v>1</v>
      </c>
      <c r="F167" t="str" vm="3005">
        <f>IFERROR(CUBEVALUE("BIDB",$A167,F$3,F$2,'Præsentationstabeller 1'!$C$2),0)</f>
        <v/>
      </c>
      <c r="G167" vm="15811">
        <f>IFERROR(CUBEVALUE("BIDB",$A167,G$3,G$2,'Præsentationstabeller 1'!$C$2),0)</f>
        <v>1</v>
      </c>
      <c r="H167" t="str" vm="1431">
        <f>IFERROR(CUBEVALUE("BIDB",$A167,H$3,H$2,'Præsentationstabeller 1'!$C$2),0)</f>
        <v/>
      </c>
      <c r="I167" t="str" vm="7366">
        <f>IFERROR(CUBEVALUE("BIDB",$A167,I$3,I$2,'Præsentationstabeller 1'!$C$2),0)</f>
        <v/>
      </c>
      <c r="J167" t="str" vm="16500">
        <f>IFERROR(CUBEVALUE("BIDB",$A167,J$3,J$2,'Præsentationstabeller 1'!$C$2),0)</f>
        <v/>
      </c>
      <c r="K167" t="str" vm="1732">
        <f>IFERROR(CUBEVALUE("BIDB",$A167,K$3,K$2,'Præsentationstabeller 1'!$C$2),0)</f>
        <v/>
      </c>
      <c r="L167" t="str" vm="16753">
        <f>IFERROR(CUBEVALUE("BIDB",$A167,L$3,L$2,'Præsentationstabeller 1'!$C$2),0)</f>
        <v/>
      </c>
    </row>
    <row r="168" spans="1:12" x14ac:dyDescent="0.3">
      <c r="A168" s="123" t="str" vm="1168">
        <f>CUBEMEMBER("BIDB","[Dimittenddato].[Dimittenddato].&amp;[2008-08-12T00:00:00]")</f>
        <v>12-08-2008</v>
      </c>
      <c r="B168" t="str" vm="5177">
        <f>IFERROR(CUBEVALUE("BIDB",$A168,B$3,'Præsentationstabeller 1'!$C$2),0)</f>
        <v/>
      </c>
      <c r="C168" vm="1588">
        <f>IFERROR(CUBEVALUE("BIDB",$A168,C$3,C$2,'Præsentationstabeller 1'!$C$2),0)</f>
        <v>1</v>
      </c>
      <c r="D168" vm="16407">
        <f>IFERROR(CUBEVALUE("BIDB",$A168,D$3,D$2,'Præsentationstabeller 1'!$C$2),0)</f>
        <v>1</v>
      </c>
      <c r="E168" vm="16968">
        <f>IFERROR(CUBEVALUE("BIDB",$A168,E$3,E$2,'Præsentationstabeller 1'!$C$2),0)</f>
        <v>5</v>
      </c>
      <c r="F168" vm="2468">
        <f>IFERROR(CUBEVALUE("BIDB",$A168,F$3,F$2,'Præsentationstabeller 1'!$C$2),0)</f>
        <v>1</v>
      </c>
      <c r="G168" vm="2142">
        <f>IFERROR(CUBEVALUE("BIDB",$A168,G$3,G$2,'Præsentationstabeller 1'!$C$2),0)</f>
        <v>6</v>
      </c>
      <c r="H168" t="str" vm="1337">
        <f>IFERROR(CUBEVALUE("BIDB",$A168,H$3,H$2,'Præsentationstabeller 1'!$C$2),0)</f>
        <v/>
      </c>
      <c r="I168" t="str" vm="13287">
        <f>IFERROR(CUBEVALUE("BIDB",$A168,I$3,I$2,'Præsentationstabeller 1'!$C$2),0)</f>
        <v/>
      </c>
      <c r="J168" t="str" vm="12936">
        <f>IFERROR(CUBEVALUE("BIDB",$A168,J$3,J$2,'Præsentationstabeller 1'!$C$2),0)</f>
        <v/>
      </c>
      <c r="K168" t="str" vm="2458">
        <f>IFERROR(CUBEVALUE("BIDB",$A168,K$3,K$2,'Præsentationstabeller 1'!$C$2),0)</f>
        <v/>
      </c>
      <c r="L168" t="str" vm="1818">
        <f>IFERROR(CUBEVALUE("BIDB",$A168,L$3,L$2,'Præsentationstabeller 1'!$C$2),0)</f>
        <v/>
      </c>
    </row>
    <row r="169" spans="1:12" x14ac:dyDescent="0.3">
      <c r="A169" s="123" t="str" vm="1167">
        <f>CUBEMEMBER("BIDB","[Dimittenddato].[Dimittenddato].&amp;[2008-08-13T00:00:00]")</f>
        <v>13-08-2008</v>
      </c>
      <c r="B169" t="str" vm="16763">
        <f>IFERROR(CUBEVALUE("BIDB",$A169,B$3,'Præsentationstabeller 1'!$C$2),0)</f>
        <v/>
      </c>
      <c r="C169" t="str" vm="1674">
        <f>IFERROR(CUBEVALUE("BIDB",$A169,C$3,C$2,'Præsentationstabeller 1'!$C$2),0)</f>
        <v/>
      </c>
      <c r="D169" t="str" vm="13926">
        <f>IFERROR(CUBEVALUE("BIDB",$A169,D$3,D$2,'Præsentationstabeller 1'!$C$2),0)</f>
        <v/>
      </c>
      <c r="E169" vm="14116">
        <f>IFERROR(CUBEVALUE("BIDB",$A169,E$3,E$2,'Præsentationstabeller 1'!$C$2),0)</f>
        <v>4</v>
      </c>
      <c r="F169" t="str" vm="1860">
        <f>IFERROR(CUBEVALUE("BIDB",$A169,F$3,F$2,'Præsentationstabeller 1'!$C$2),0)</f>
        <v/>
      </c>
      <c r="G169" vm="1827">
        <f>IFERROR(CUBEVALUE("BIDB",$A169,G$3,G$2,'Præsentationstabeller 1'!$C$2),0)</f>
        <v>4</v>
      </c>
      <c r="H169" t="str" vm="1615">
        <f>IFERROR(CUBEVALUE("BIDB",$A169,H$3,H$2,'Præsentationstabeller 1'!$C$2),0)</f>
        <v/>
      </c>
      <c r="I169" t="str" vm="11798">
        <f>IFERROR(CUBEVALUE("BIDB",$A169,I$3,I$2,'Præsentationstabeller 1'!$C$2),0)</f>
        <v/>
      </c>
      <c r="J169" t="str" vm="15949">
        <f>IFERROR(CUBEVALUE("BIDB",$A169,J$3,J$2,'Præsentationstabeller 1'!$C$2),0)</f>
        <v/>
      </c>
      <c r="K169" t="str" vm="1622">
        <f>IFERROR(CUBEVALUE("BIDB",$A169,K$3,K$2,'Præsentationstabeller 1'!$C$2),0)</f>
        <v/>
      </c>
      <c r="L169" t="str" vm="2000">
        <f>IFERROR(CUBEVALUE("BIDB",$A169,L$3,L$2,'Præsentationstabeller 1'!$C$2),0)</f>
        <v/>
      </c>
    </row>
    <row r="170" spans="1:12" x14ac:dyDescent="0.3">
      <c r="A170" s="123" t="str" vm="1166">
        <f>CUBEMEMBER("BIDB","[Dimittenddato].[Dimittenddato].&amp;[2008-08-14T00:00:00]")</f>
        <v>14-08-2008</v>
      </c>
      <c r="B170" t="str" vm="3371">
        <f>IFERROR(CUBEVALUE("BIDB",$A170,B$3,'Præsentationstabeller 1'!$C$2),0)</f>
        <v/>
      </c>
      <c r="C170" t="str" vm="17164">
        <f>IFERROR(CUBEVALUE("BIDB",$A170,C$3,C$2,'Præsentationstabeller 1'!$C$2),0)</f>
        <v/>
      </c>
      <c r="D170" vm="14080">
        <f>IFERROR(CUBEVALUE("BIDB",$A170,D$3,D$2,'Præsentationstabeller 1'!$C$2),0)</f>
        <v>1</v>
      </c>
      <c r="E170" vm="8479">
        <f>IFERROR(CUBEVALUE("BIDB",$A170,E$3,E$2,'Præsentationstabeller 1'!$C$2),0)</f>
        <v>7</v>
      </c>
      <c r="F170" t="str" vm="3030">
        <f>IFERROR(CUBEVALUE("BIDB",$A170,F$3,F$2,'Præsentationstabeller 1'!$C$2),0)</f>
        <v/>
      </c>
      <c r="G170" vm="2526">
        <f>IFERROR(CUBEVALUE("BIDB",$A170,G$3,G$2,'Præsentationstabeller 1'!$C$2),0)</f>
        <v>7</v>
      </c>
      <c r="H170" t="str" vm="1611">
        <f>IFERROR(CUBEVALUE("BIDB",$A170,H$3,H$2,'Præsentationstabeller 1'!$C$2),0)</f>
        <v/>
      </c>
      <c r="I170" t="str" vm="11822">
        <f>IFERROR(CUBEVALUE("BIDB",$A170,I$3,I$2,'Præsentationstabeller 1'!$C$2),0)</f>
        <v/>
      </c>
      <c r="J170" t="str" vm="14856">
        <f>IFERROR(CUBEVALUE("BIDB",$A170,J$3,J$2,'Præsentationstabeller 1'!$C$2),0)</f>
        <v/>
      </c>
      <c r="K170" t="str" vm="2575">
        <f>IFERROR(CUBEVALUE("BIDB",$A170,K$3,K$2,'Præsentationstabeller 1'!$C$2),0)</f>
        <v/>
      </c>
      <c r="L170" t="str" vm="16683">
        <f>IFERROR(CUBEVALUE("BIDB",$A170,L$3,L$2,'Præsentationstabeller 1'!$C$2),0)</f>
        <v/>
      </c>
    </row>
    <row r="171" spans="1:12" x14ac:dyDescent="0.3">
      <c r="A171" s="123" t="str" vm="1165">
        <f>CUBEMEMBER("BIDB","[Dimittenddato].[Dimittenddato].&amp;[2008-08-15T00:00:00]")</f>
        <v>15-08-2008</v>
      </c>
      <c r="B171" t="str" vm="1859">
        <f>IFERROR(CUBEVALUE("BIDB",$A171,B$3,'Præsentationstabeller 1'!$C$2),0)</f>
        <v/>
      </c>
      <c r="C171" t="str" vm="1497">
        <f>IFERROR(CUBEVALUE("BIDB",$A171,C$3,C$2,'Præsentationstabeller 1'!$C$2),0)</f>
        <v/>
      </c>
      <c r="D171" t="str" vm="12861">
        <f>IFERROR(CUBEVALUE("BIDB",$A171,D$3,D$2,'Præsentationstabeller 1'!$C$2),0)</f>
        <v/>
      </c>
      <c r="E171" vm="10539">
        <f>IFERROR(CUBEVALUE("BIDB",$A171,E$3,E$2,'Præsentationstabeller 1'!$C$2),0)</f>
        <v>5</v>
      </c>
      <c r="F171" vm="2079">
        <f>IFERROR(CUBEVALUE("BIDB",$A171,F$3,F$2,'Præsentationstabeller 1'!$C$2),0)</f>
        <v>1</v>
      </c>
      <c r="G171" vm="1526">
        <f>IFERROR(CUBEVALUE("BIDB",$A171,G$3,G$2,'Præsentationstabeller 1'!$C$2),0)</f>
        <v>6</v>
      </c>
      <c r="H171" t="str" vm="1338">
        <f>IFERROR(CUBEVALUE("BIDB",$A171,H$3,H$2,'Præsentationstabeller 1'!$C$2),0)</f>
        <v/>
      </c>
      <c r="I171" t="str" vm="15046">
        <f>IFERROR(CUBEVALUE("BIDB",$A171,I$3,I$2,'Præsentationstabeller 1'!$C$2),0)</f>
        <v/>
      </c>
      <c r="J171" t="str" vm="14394">
        <f>IFERROR(CUBEVALUE("BIDB",$A171,J$3,J$2,'Præsentationstabeller 1'!$C$2),0)</f>
        <v/>
      </c>
      <c r="K171" t="str" vm="3182">
        <f>IFERROR(CUBEVALUE("BIDB",$A171,K$3,K$2,'Præsentationstabeller 1'!$C$2),0)</f>
        <v/>
      </c>
      <c r="L171" t="str" vm="1922">
        <f>IFERROR(CUBEVALUE("BIDB",$A171,L$3,L$2,'Præsentationstabeller 1'!$C$2),0)</f>
        <v/>
      </c>
    </row>
    <row r="172" spans="1:12" x14ac:dyDescent="0.3">
      <c r="A172" s="123" t="str" vm="1164">
        <f>CUBEMEMBER("BIDB","[Dimittenddato].[Dimittenddato].&amp;[2008-08-16T00:00:00]")</f>
        <v>16-08-2008</v>
      </c>
      <c r="B172" t="str" vm="15852">
        <f>IFERROR(CUBEVALUE("BIDB",$A172,B$3,'Præsentationstabeller 1'!$C$2),0)</f>
        <v/>
      </c>
      <c r="C172" t="str" vm="1690">
        <f>IFERROR(CUBEVALUE("BIDB",$A172,C$3,C$2,'Præsentationstabeller 1'!$C$2),0)</f>
        <v/>
      </c>
      <c r="D172" t="str" vm="16444">
        <f>IFERROR(CUBEVALUE("BIDB",$A172,D$3,D$2,'Præsentationstabeller 1'!$C$2),0)</f>
        <v/>
      </c>
      <c r="E172" t="str" vm="11504">
        <f>IFERROR(CUBEVALUE("BIDB",$A172,E$3,E$2,'Præsentationstabeller 1'!$C$2),0)</f>
        <v/>
      </c>
      <c r="F172" t="str" vm="3319">
        <f>IFERROR(CUBEVALUE("BIDB",$A172,F$3,F$2,'Præsentationstabeller 1'!$C$2),0)</f>
        <v/>
      </c>
      <c r="G172" t="str" vm="1616">
        <f>IFERROR(CUBEVALUE("BIDB",$A172,G$3,G$2,'Præsentationstabeller 1'!$C$2),0)</f>
        <v/>
      </c>
      <c r="H172" t="str" vm="2020">
        <f>IFERROR(CUBEVALUE("BIDB",$A172,H$3,H$2,'Præsentationstabeller 1'!$C$2),0)</f>
        <v/>
      </c>
      <c r="I172" t="str" vm="10515">
        <f>IFERROR(CUBEVALUE("BIDB",$A172,I$3,I$2,'Præsentationstabeller 1'!$C$2),0)</f>
        <v/>
      </c>
      <c r="J172" t="str" vm="15434">
        <f>IFERROR(CUBEVALUE("BIDB",$A172,J$3,J$2,'Præsentationstabeller 1'!$C$2),0)</f>
        <v/>
      </c>
      <c r="K172" t="str" vm="1689">
        <f>IFERROR(CUBEVALUE("BIDB",$A172,K$3,K$2,'Præsentationstabeller 1'!$C$2),0)</f>
        <v/>
      </c>
      <c r="L172" t="str" vm="1816">
        <f>IFERROR(CUBEVALUE("BIDB",$A172,L$3,L$2,'Præsentationstabeller 1'!$C$2),0)</f>
        <v/>
      </c>
    </row>
    <row r="173" spans="1:12" x14ac:dyDescent="0.3">
      <c r="A173" s="123" t="str" vm="1163">
        <f>CUBEMEMBER("BIDB","[Dimittenddato].[Dimittenddato].&amp;[2008-08-17T00:00:00]")</f>
        <v>17-08-2008</v>
      </c>
      <c r="B173" t="str" vm="2163">
        <f>IFERROR(CUBEVALUE("BIDB",$A173,B$3,'Præsentationstabeller 1'!$C$2),0)</f>
        <v/>
      </c>
      <c r="C173" t="str" vm="1725">
        <f>IFERROR(CUBEVALUE("BIDB",$A173,C$3,C$2,'Præsentationstabeller 1'!$C$2),0)</f>
        <v/>
      </c>
      <c r="D173" t="str" vm="15147">
        <f>IFERROR(CUBEVALUE("BIDB",$A173,D$3,D$2,'Præsentationstabeller 1'!$C$2),0)</f>
        <v/>
      </c>
      <c r="E173" t="str" vm="11830">
        <f>IFERROR(CUBEVALUE("BIDB",$A173,E$3,E$2,'Præsentationstabeller 1'!$C$2),0)</f>
        <v/>
      </c>
      <c r="F173" t="str" vm="2695">
        <f>IFERROR(CUBEVALUE("BIDB",$A173,F$3,F$2,'Præsentationstabeller 1'!$C$2),0)</f>
        <v/>
      </c>
      <c r="G173" t="str" vm="1384">
        <f>IFERROR(CUBEVALUE("BIDB",$A173,G$3,G$2,'Præsentationstabeller 1'!$C$2),0)</f>
        <v/>
      </c>
      <c r="H173" t="str" vm="2362">
        <f>IFERROR(CUBEVALUE("BIDB",$A173,H$3,H$2,'Præsentationstabeller 1'!$C$2),0)</f>
        <v/>
      </c>
      <c r="I173" t="str" vm="8628">
        <f>IFERROR(CUBEVALUE("BIDB",$A173,I$3,I$2,'Præsentationstabeller 1'!$C$2),0)</f>
        <v/>
      </c>
      <c r="J173" t="str" vm="12692">
        <f>IFERROR(CUBEVALUE("BIDB",$A173,J$3,J$2,'Præsentationstabeller 1'!$C$2),0)</f>
        <v/>
      </c>
      <c r="K173" t="str" vm="2140">
        <f>IFERROR(CUBEVALUE("BIDB",$A173,K$3,K$2,'Præsentationstabeller 1'!$C$2),0)</f>
        <v/>
      </c>
      <c r="L173" t="str" vm="1998">
        <f>IFERROR(CUBEVALUE("BIDB",$A173,L$3,L$2,'Præsentationstabeller 1'!$C$2),0)</f>
        <v/>
      </c>
    </row>
    <row r="174" spans="1:12" x14ac:dyDescent="0.3">
      <c r="A174" s="123" t="str" vm="1162">
        <f>CUBEMEMBER("BIDB","[Dimittenddato].[Dimittenddato].&amp;[2008-08-18T00:00:00]")</f>
        <v>18-08-2008</v>
      </c>
      <c r="B174" t="str" vm="2216">
        <f>IFERROR(CUBEVALUE("BIDB",$A174,B$3,'Præsentationstabeller 1'!$C$2),0)</f>
        <v/>
      </c>
      <c r="C174" t="str" vm="1359">
        <f>IFERROR(CUBEVALUE("BIDB",$A174,C$3,C$2,'Præsentationstabeller 1'!$C$2),0)</f>
        <v/>
      </c>
      <c r="D174" vm="15474">
        <f>IFERROR(CUBEVALUE("BIDB",$A174,D$3,D$2,'Præsentationstabeller 1'!$C$2),0)</f>
        <v>1</v>
      </c>
      <c r="E174" vm="12319">
        <f>IFERROR(CUBEVALUE("BIDB",$A174,E$3,E$2,'Præsentationstabeller 1'!$C$2),0)</f>
        <v>4</v>
      </c>
      <c r="F174" t="str" vm="2285">
        <f>IFERROR(CUBEVALUE("BIDB",$A174,F$3,F$2,'Præsentationstabeller 1'!$C$2),0)</f>
        <v/>
      </c>
      <c r="G174" vm="1832">
        <f>IFERROR(CUBEVALUE("BIDB",$A174,G$3,G$2,'Præsentationstabeller 1'!$C$2),0)</f>
        <v>4</v>
      </c>
      <c r="H174" t="str" vm="1436">
        <f>IFERROR(CUBEVALUE("BIDB",$A174,H$3,H$2,'Præsentationstabeller 1'!$C$2),0)</f>
        <v/>
      </c>
      <c r="I174" t="str" vm="9253">
        <f>IFERROR(CUBEVALUE("BIDB",$A174,I$3,I$2,'Præsentationstabeller 1'!$C$2),0)</f>
        <v/>
      </c>
      <c r="J174" t="str" vm="16662">
        <f>IFERROR(CUBEVALUE("BIDB",$A174,J$3,J$2,'Præsentationstabeller 1'!$C$2),0)</f>
        <v/>
      </c>
      <c r="K174" t="str" vm="1501">
        <f>IFERROR(CUBEVALUE("BIDB",$A174,K$3,K$2,'Præsentationstabeller 1'!$C$2),0)</f>
        <v/>
      </c>
      <c r="L174" t="str" vm="16279">
        <f>IFERROR(CUBEVALUE("BIDB",$A174,L$3,L$2,'Præsentationstabeller 1'!$C$2),0)</f>
        <v/>
      </c>
    </row>
    <row r="175" spans="1:12" x14ac:dyDescent="0.3">
      <c r="A175" s="123" t="str" vm="1161">
        <f>CUBEMEMBER("BIDB","[Dimittenddato].[Dimittenddato].&amp;[2008-08-19T00:00:00]")</f>
        <v>19-08-2008</v>
      </c>
      <c r="B175" t="str" vm="2398">
        <f>IFERROR(CUBEVALUE("BIDB",$A175,B$3,'Præsentationstabeller 1'!$C$2),0)</f>
        <v/>
      </c>
      <c r="C175" vm="1626">
        <f>IFERROR(CUBEVALUE("BIDB",$A175,C$3,C$2,'Præsentationstabeller 1'!$C$2),0)</f>
        <v>2</v>
      </c>
      <c r="D175" t="str" vm="17018">
        <f>IFERROR(CUBEVALUE("BIDB",$A175,D$3,D$2,'Præsentationstabeller 1'!$C$2),0)</f>
        <v/>
      </c>
      <c r="E175" vm="14589">
        <f>IFERROR(CUBEVALUE("BIDB",$A175,E$3,E$2,'Præsentationstabeller 1'!$C$2),0)</f>
        <v>1</v>
      </c>
      <c r="F175" vm="2884">
        <f>IFERROR(CUBEVALUE("BIDB",$A175,F$3,F$2,'Præsentationstabeller 1'!$C$2),0)</f>
        <v>1</v>
      </c>
      <c r="G175" vm="1773">
        <f>IFERROR(CUBEVALUE("BIDB",$A175,G$3,G$2,'Præsentationstabeller 1'!$C$2),0)</f>
        <v>2</v>
      </c>
      <c r="H175" t="str" vm="2465">
        <f>IFERROR(CUBEVALUE("BIDB",$A175,H$3,H$2,'Præsentationstabeller 1'!$C$2),0)</f>
        <v/>
      </c>
      <c r="I175" t="str" vm="8408">
        <f>IFERROR(CUBEVALUE("BIDB",$A175,I$3,I$2,'Præsentationstabeller 1'!$C$2),0)</f>
        <v/>
      </c>
      <c r="J175" t="str" vm="13943">
        <f>IFERROR(CUBEVALUE("BIDB",$A175,J$3,J$2,'Præsentationstabeller 1'!$C$2),0)</f>
        <v/>
      </c>
      <c r="K175" t="str" vm="3685">
        <f>IFERROR(CUBEVALUE("BIDB",$A175,K$3,K$2,'Præsentationstabeller 1'!$C$2),0)</f>
        <v/>
      </c>
      <c r="L175" t="str" vm="16280">
        <f>IFERROR(CUBEVALUE("BIDB",$A175,L$3,L$2,'Præsentationstabeller 1'!$C$2),0)</f>
        <v/>
      </c>
    </row>
    <row r="176" spans="1:12" x14ac:dyDescent="0.3">
      <c r="A176" s="123" t="str" vm="1160">
        <f>CUBEMEMBER("BIDB","[Dimittenddato].[Dimittenddato].&amp;[2008-08-20T00:00:00]")</f>
        <v>20-08-2008</v>
      </c>
      <c r="B176" t="str" vm="2603">
        <f>IFERROR(CUBEVALUE("BIDB",$A176,B$3,'Præsentationstabeller 1'!$C$2),0)</f>
        <v/>
      </c>
      <c r="C176" vm="1459">
        <f>IFERROR(CUBEVALUE("BIDB",$A176,C$3,C$2,'Præsentationstabeller 1'!$C$2),0)</f>
        <v>6</v>
      </c>
      <c r="D176" t="str" vm="12539">
        <f>IFERROR(CUBEVALUE("BIDB",$A176,D$3,D$2,'Præsentationstabeller 1'!$C$2),0)</f>
        <v/>
      </c>
      <c r="E176" vm="11012">
        <f>IFERROR(CUBEVALUE("BIDB",$A176,E$3,E$2,'Præsentationstabeller 1'!$C$2),0)</f>
        <v>3</v>
      </c>
      <c r="F176" t="str" vm="2361">
        <f>IFERROR(CUBEVALUE("BIDB",$A176,F$3,F$2,'Præsentationstabeller 1'!$C$2),0)</f>
        <v/>
      </c>
      <c r="G176" vm="1371">
        <f>IFERROR(CUBEVALUE("BIDB",$A176,G$3,G$2,'Præsentationstabeller 1'!$C$2),0)</f>
        <v>3</v>
      </c>
      <c r="H176" t="str" vm="1997">
        <f>IFERROR(CUBEVALUE("BIDB",$A176,H$3,H$2,'Præsentationstabeller 1'!$C$2),0)</f>
        <v/>
      </c>
      <c r="I176" t="str" vm="14976">
        <f>IFERROR(CUBEVALUE("BIDB",$A176,I$3,I$2,'Præsentationstabeller 1'!$C$2),0)</f>
        <v/>
      </c>
      <c r="J176" t="str" vm="13894">
        <f>IFERROR(CUBEVALUE("BIDB",$A176,J$3,J$2,'Præsentationstabeller 1'!$C$2),0)</f>
        <v/>
      </c>
      <c r="K176" t="str" vm="1429">
        <f>IFERROR(CUBEVALUE("BIDB",$A176,K$3,K$2,'Præsentationstabeller 1'!$C$2),0)</f>
        <v/>
      </c>
      <c r="L176" t="str" vm="16257">
        <f>IFERROR(CUBEVALUE("BIDB",$A176,L$3,L$2,'Præsentationstabeller 1'!$C$2),0)</f>
        <v/>
      </c>
    </row>
    <row r="177" spans="1:12" x14ac:dyDescent="0.3">
      <c r="A177" s="123" t="str" vm="1159">
        <f>CUBEMEMBER("BIDB","[Dimittenddato].[Dimittenddato].&amp;[2008-08-21T00:00:00]")</f>
        <v>21-08-2008</v>
      </c>
      <c r="B177" t="str" vm="2572">
        <f>IFERROR(CUBEVALUE("BIDB",$A177,B$3,'Præsentationstabeller 1'!$C$2),0)</f>
        <v/>
      </c>
      <c r="C177" vm="3023">
        <f>IFERROR(CUBEVALUE("BIDB",$A177,C$3,C$2,'Præsentationstabeller 1'!$C$2),0)</f>
        <v>3</v>
      </c>
      <c r="D177" vm="13428">
        <f>IFERROR(CUBEVALUE("BIDB",$A177,D$3,D$2,'Præsentationstabeller 1'!$C$2),0)</f>
        <v>2</v>
      </c>
      <c r="E177" vm="12606">
        <f>IFERROR(CUBEVALUE("BIDB",$A177,E$3,E$2,'Præsentationstabeller 1'!$C$2),0)</f>
        <v>4</v>
      </c>
      <c r="F177" t="str" vm="2277">
        <f>IFERROR(CUBEVALUE("BIDB",$A177,F$3,F$2,'Præsentationstabeller 1'!$C$2),0)</f>
        <v/>
      </c>
      <c r="G177" vm="2573">
        <f>IFERROR(CUBEVALUE("BIDB",$A177,G$3,G$2,'Præsentationstabeller 1'!$C$2),0)</f>
        <v>4</v>
      </c>
      <c r="H177" t="str" vm="1830">
        <f>IFERROR(CUBEVALUE("BIDB",$A177,H$3,H$2,'Præsentationstabeller 1'!$C$2),0)</f>
        <v/>
      </c>
      <c r="I177" t="str" vm="10491">
        <f>IFERROR(CUBEVALUE("BIDB",$A177,I$3,I$2,'Præsentationstabeller 1'!$C$2),0)</f>
        <v/>
      </c>
      <c r="J177" t="str" vm="14926">
        <f>IFERROR(CUBEVALUE("BIDB",$A177,J$3,J$2,'Præsentationstabeller 1'!$C$2),0)</f>
        <v/>
      </c>
      <c r="K177" t="str" vm="15848">
        <f>IFERROR(CUBEVALUE("BIDB",$A177,K$3,K$2,'Præsentationstabeller 1'!$C$2),0)</f>
        <v/>
      </c>
      <c r="L177" t="str" vm="17192">
        <f>IFERROR(CUBEVALUE("BIDB",$A177,L$3,L$2,'Præsentationstabeller 1'!$C$2),0)</f>
        <v/>
      </c>
    </row>
    <row r="178" spans="1:12" x14ac:dyDescent="0.3">
      <c r="A178" s="123" t="str" vm="1158">
        <f>CUBEMEMBER("BIDB","[Dimittenddato].[Dimittenddato].&amp;[2008-08-22T00:00:00]")</f>
        <v>22-08-2008</v>
      </c>
      <c r="B178" t="str" vm="2870">
        <f>IFERROR(CUBEVALUE("BIDB",$A178,B$3,'Præsentationstabeller 1'!$C$2),0)</f>
        <v/>
      </c>
      <c r="C178" vm="1539">
        <f>IFERROR(CUBEVALUE("BIDB",$A178,C$3,C$2,'Præsentationstabeller 1'!$C$2),0)</f>
        <v>2</v>
      </c>
      <c r="D178" vm="14695">
        <f>IFERROR(CUBEVALUE("BIDB",$A178,D$3,D$2,'Præsentationstabeller 1'!$C$2),0)</f>
        <v>1</v>
      </c>
      <c r="E178" vm="11172">
        <f>IFERROR(CUBEVALUE("BIDB",$A178,E$3,E$2,'Præsentationstabeller 1'!$C$2),0)</f>
        <v>7</v>
      </c>
      <c r="F178" vm="5943">
        <f>IFERROR(CUBEVALUE("BIDB",$A178,F$3,F$2,'Præsentationstabeller 1'!$C$2),0)</f>
        <v>1</v>
      </c>
      <c r="G178" vm="2054">
        <f>IFERROR(CUBEVALUE("BIDB",$A178,G$3,G$2,'Præsentationstabeller 1'!$C$2),0)</f>
        <v>8</v>
      </c>
      <c r="H178" t="str" vm="1427">
        <f>IFERROR(CUBEVALUE("BIDB",$A178,H$3,H$2,'Præsentationstabeller 1'!$C$2),0)</f>
        <v/>
      </c>
      <c r="I178" t="str" vm="11461">
        <f>IFERROR(CUBEVALUE("BIDB",$A178,I$3,I$2,'Præsentationstabeller 1'!$C$2),0)</f>
        <v/>
      </c>
      <c r="J178" vm="17060">
        <f>IFERROR(CUBEVALUE("BIDB",$A178,J$3,J$2,'Præsentationstabeller 1'!$C$2),0)</f>
        <v>1</v>
      </c>
      <c r="K178" t="str" vm="1643">
        <f>IFERROR(CUBEVALUE("BIDB",$A178,K$3,K$2,'Præsentationstabeller 1'!$C$2),0)</f>
        <v/>
      </c>
      <c r="L178" vm="16248">
        <f>IFERROR(CUBEVALUE("BIDB",$A178,L$3,L$2,'Præsentationstabeller 1'!$C$2),0)</f>
        <v>1</v>
      </c>
    </row>
    <row r="179" spans="1:12" x14ac:dyDescent="0.3">
      <c r="A179" s="123" t="str" vm="1157">
        <f>CUBEMEMBER("BIDB","[Dimittenddato].[Dimittenddato].&amp;[2008-08-23T00:00:00]")</f>
        <v>23-08-2008</v>
      </c>
      <c r="B179" t="str" vm="15850">
        <f>IFERROR(CUBEVALUE("BIDB",$A179,B$3,'Præsentationstabeller 1'!$C$2),0)</f>
        <v/>
      </c>
      <c r="C179" t="str" vm="2184">
        <f>IFERROR(CUBEVALUE("BIDB",$A179,C$3,C$2,'Præsentationstabeller 1'!$C$2),0)</f>
        <v/>
      </c>
      <c r="D179" t="str" vm="9473">
        <f>IFERROR(CUBEVALUE("BIDB",$A179,D$3,D$2,'Præsentationstabeller 1'!$C$2),0)</f>
        <v/>
      </c>
      <c r="E179" t="str" vm="9273">
        <f>IFERROR(CUBEVALUE("BIDB",$A179,E$3,E$2,'Præsentationstabeller 1'!$C$2),0)</f>
        <v/>
      </c>
      <c r="F179" t="str" vm="2058">
        <f>IFERROR(CUBEVALUE("BIDB",$A179,F$3,F$2,'Præsentationstabeller 1'!$C$2),0)</f>
        <v/>
      </c>
      <c r="G179" t="str" vm="17165">
        <f>IFERROR(CUBEVALUE("BIDB",$A179,G$3,G$2,'Præsentationstabeller 1'!$C$2),0)</f>
        <v/>
      </c>
      <c r="H179" t="str" vm="1612">
        <f>IFERROR(CUBEVALUE("BIDB",$A179,H$3,H$2,'Præsentationstabeller 1'!$C$2),0)</f>
        <v/>
      </c>
      <c r="I179" t="str" vm="10173">
        <f>IFERROR(CUBEVALUE("BIDB",$A179,I$3,I$2,'Præsentationstabeller 1'!$C$2),0)</f>
        <v/>
      </c>
      <c r="J179" t="str" vm="13841">
        <f>IFERROR(CUBEVALUE("BIDB",$A179,J$3,J$2,'Præsentationstabeller 1'!$C$2),0)</f>
        <v/>
      </c>
      <c r="K179" t="str" vm="2275">
        <f>IFERROR(CUBEVALUE("BIDB",$A179,K$3,K$2,'Præsentationstabeller 1'!$C$2),0)</f>
        <v/>
      </c>
      <c r="L179" t="str" vm="1938">
        <f>IFERROR(CUBEVALUE("BIDB",$A179,L$3,L$2,'Præsentationstabeller 1'!$C$2),0)</f>
        <v/>
      </c>
    </row>
    <row r="180" spans="1:12" x14ac:dyDescent="0.3">
      <c r="A180" s="123" t="str" vm="1156">
        <f>CUBEMEMBER("BIDB","[Dimittenddato].[Dimittenddato].&amp;[2008-08-24T00:00:00]")</f>
        <v>24-08-2008</v>
      </c>
      <c r="B180" t="str" vm="16282">
        <f>IFERROR(CUBEVALUE("BIDB",$A180,B$3,'Præsentationstabeller 1'!$C$2),0)</f>
        <v/>
      </c>
      <c r="C180" t="str" vm="1627">
        <f>IFERROR(CUBEVALUE("BIDB",$A180,C$3,C$2,'Præsentationstabeller 1'!$C$2),0)</f>
        <v/>
      </c>
      <c r="D180" t="str" vm="13815">
        <f>IFERROR(CUBEVALUE("BIDB",$A180,D$3,D$2,'Præsentationstabeller 1'!$C$2),0)</f>
        <v/>
      </c>
      <c r="E180" t="str" vm="13106">
        <f>IFERROR(CUBEVALUE("BIDB",$A180,E$3,E$2,'Præsentationstabeller 1'!$C$2),0)</f>
        <v/>
      </c>
      <c r="F180" t="str" vm="2434">
        <f>IFERROR(CUBEVALUE("BIDB",$A180,F$3,F$2,'Præsentationstabeller 1'!$C$2),0)</f>
        <v/>
      </c>
      <c r="G180" t="str" vm="2507">
        <f>IFERROR(CUBEVALUE("BIDB",$A180,G$3,G$2,'Præsentationstabeller 1'!$C$2),0)</f>
        <v/>
      </c>
      <c r="H180" t="str" vm="1620">
        <f>IFERROR(CUBEVALUE("BIDB",$A180,H$3,H$2,'Præsentationstabeller 1'!$C$2),0)</f>
        <v/>
      </c>
      <c r="I180" t="str" vm="9305">
        <f>IFERROR(CUBEVALUE("BIDB",$A180,I$3,I$2,'Præsentationstabeller 1'!$C$2),0)</f>
        <v/>
      </c>
      <c r="J180" t="str" vm="14319">
        <f>IFERROR(CUBEVALUE("BIDB",$A180,J$3,J$2,'Præsentationstabeller 1'!$C$2),0)</f>
        <v/>
      </c>
      <c r="K180" t="str" vm="1357">
        <f>IFERROR(CUBEVALUE("BIDB",$A180,K$3,K$2,'Præsentationstabeller 1'!$C$2),0)</f>
        <v/>
      </c>
      <c r="L180" t="str" vm="16259">
        <f>IFERROR(CUBEVALUE("BIDB",$A180,L$3,L$2,'Præsentationstabeller 1'!$C$2),0)</f>
        <v/>
      </c>
    </row>
    <row r="181" spans="1:12" x14ac:dyDescent="0.3">
      <c r="A181" s="123" t="str" vm="1155">
        <f>CUBEMEMBER("BIDB","[Dimittenddato].[Dimittenddato].&amp;[2008-08-25T00:00:00]")</f>
        <v>25-08-2008</v>
      </c>
      <c r="B181" t="str" vm="16717">
        <f>IFERROR(CUBEVALUE("BIDB",$A181,B$3,'Præsentationstabeller 1'!$C$2),0)</f>
        <v/>
      </c>
      <c r="C181" t="str" vm="2221">
        <f>IFERROR(CUBEVALUE("BIDB",$A181,C$3,C$2,'Præsentationstabeller 1'!$C$2),0)</f>
        <v/>
      </c>
      <c r="D181" vm="12749">
        <f>IFERROR(CUBEVALUE("BIDB",$A181,D$3,D$2,'Præsentationstabeller 1'!$C$2),0)</f>
        <v>1</v>
      </c>
      <c r="E181" vm="10523">
        <f>IFERROR(CUBEVALUE("BIDB",$A181,E$3,E$2,'Præsentationstabeller 1'!$C$2),0)</f>
        <v>7</v>
      </c>
      <c r="F181" t="str" vm="2625">
        <f>IFERROR(CUBEVALUE("BIDB",$A181,F$3,F$2,'Præsentationstabeller 1'!$C$2),0)</f>
        <v/>
      </c>
      <c r="G181" vm="1779">
        <f>IFERROR(CUBEVALUE("BIDB",$A181,G$3,G$2,'Præsentationstabeller 1'!$C$2),0)</f>
        <v>7</v>
      </c>
      <c r="H181" t="str" vm="1951">
        <f>IFERROR(CUBEVALUE("BIDB",$A181,H$3,H$2,'Præsentationstabeller 1'!$C$2),0)</f>
        <v/>
      </c>
      <c r="I181" t="str" vm="8525">
        <f>IFERROR(CUBEVALUE("BIDB",$A181,I$3,I$2,'Præsentationstabeller 1'!$C$2),0)</f>
        <v/>
      </c>
      <c r="J181" t="str" vm="17076">
        <f>IFERROR(CUBEVALUE("BIDB",$A181,J$3,J$2,'Præsentationstabeller 1'!$C$2),0)</f>
        <v/>
      </c>
      <c r="K181" t="str" vm="1364">
        <f>IFERROR(CUBEVALUE("BIDB",$A181,K$3,K$2,'Præsentationstabeller 1'!$C$2),0)</f>
        <v/>
      </c>
      <c r="L181" t="str" vm="16260">
        <f>IFERROR(CUBEVALUE("BIDB",$A181,L$3,L$2,'Præsentationstabeller 1'!$C$2),0)</f>
        <v/>
      </c>
    </row>
    <row r="182" spans="1:12" x14ac:dyDescent="0.3">
      <c r="A182" s="123" t="str" vm="1154">
        <f>CUBEMEMBER("BIDB","[Dimittenddato].[Dimittenddato].&amp;[2008-08-26T00:00:00]")</f>
        <v>26-08-2008</v>
      </c>
      <c r="B182" t="str" vm="2051">
        <f>IFERROR(CUBEVALUE("BIDB",$A182,B$3,'Præsentationstabeller 1'!$C$2),0)</f>
        <v/>
      </c>
      <c r="C182" vm="15808">
        <f>IFERROR(CUBEVALUE("BIDB",$A182,C$3,C$2,'Præsentationstabeller 1'!$C$2),0)</f>
        <v>0</v>
      </c>
      <c r="D182" vm="11404">
        <f>IFERROR(CUBEVALUE("BIDB",$A182,D$3,D$2,'Præsentationstabeller 1'!$C$2),0)</f>
        <v>1</v>
      </c>
      <c r="E182" vm="13238">
        <f>IFERROR(CUBEVALUE("BIDB",$A182,E$3,E$2,'Præsentationstabeller 1'!$C$2),0)</f>
        <v>0</v>
      </c>
      <c r="F182" t="str" vm="1479">
        <f>IFERROR(CUBEVALUE("BIDB",$A182,F$3,F$2,'Præsentationstabeller 1'!$C$2),0)</f>
        <v/>
      </c>
      <c r="G182" vm="1734">
        <f>IFERROR(CUBEVALUE("BIDB",$A182,G$3,G$2,'Præsentationstabeller 1'!$C$2),0)</f>
        <v>0</v>
      </c>
      <c r="H182" t="str" vm="1346">
        <f>IFERROR(CUBEVALUE("BIDB",$A182,H$3,H$2,'Præsentationstabeller 1'!$C$2),0)</f>
        <v/>
      </c>
      <c r="I182" t="str" vm="10208">
        <f>IFERROR(CUBEVALUE("BIDB",$A182,I$3,I$2,'Præsentationstabeller 1'!$C$2),0)</f>
        <v/>
      </c>
      <c r="J182" t="str" vm="16155">
        <f>IFERROR(CUBEVALUE("BIDB",$A182,J$3,J$2,'Præsentationstabeller 1'!$C$2),0)</f>
        <v/>
      </c>
      <c r="K182" t="str" vm="1777">
        <f>IFERROR(CUBEVALUE("BIDB",$A182,K$3,K$2,'Præsentationstabeller 1'!$C$2),0)</f>
        <v/>
      </c>
      <c r="L182" t="str" vm="1814">
        <f>IFERROR(CUBEVALUE("BIDB",$A182,L$3,L$2,'Præsentationstabeller 1'!$C$2),0)</f>
        <v/>
      </c>
    </row>
    <row r="183" spans="1:12" x14ac:dyDescent="0.3">
      <c r="A183" s="123" t="str" vm="1153">
        <f>CUBEMEMBER("BIDB","[Dimittenddato].[Dimittenddato].&amp;[2008-08-27T00:00:00]")</f>
        <v>27-08-2008</v>
      </c>
      <c r="B183" t="str" vm="3095">
        <f>IFERROR(CUBEVALUE("BIDB",$A183,B$3,'Præsentationstabeller 1'!$C$2),0)</f>
        <v/>
      </c>
      <c r="C183" vm="17163">
        <f>IFERROR(CUBEVALUE("BIDB",$A183,C$3,C$2,'Præsentationstabeller 1'!$C$2),0)</f>
        <v>0</v>
      </c>
      <c r="D183" t="str" vm="15067">
        <f>IFERROR(CUBEVALUE("BIDB",$A183,D$3,D$2,'Præsentationstabeller 1'!$C$2),0)</f>
        <v/>
      </c>
      <c r="E183" vm="13183">
        <f>IFERROR(CUBEVALUE("BIDB",$A183,E$3,E$2,'Præsentationstabeller 1'!$C$2),0)</f>
        <v>1</v>
      </c>
      <c r="F183" t="str" vm="8236">
        <f>IFERROR(CUBEVALUE("BIDB",$A183,F$3,F$2,'Præsentationstabeller 1'!$C$2),0)</f>
        <v/>
      </c>
      <c r="G183" vm="15809">
        <f>IFERROR(CUBEVALUE("BIDB",$A183,G$3,G$2,'Præsentationstabeller 1'!$C$2),0)</f>
        <v>1</v>
      </c>
      <c r="H183" t="str" vm="1455">
        <f>IFERROR(CUBEVALUE("BIDB",$A183,H$3,H$2,'Præsentationstabeller 1'!$C$2),0)</f>
        <v/>
      </c>
      <c r="I183" t="str" vm="8704">
        <f>IFERROR(CUBEVALUE("BIDB",$A183,I$3,I$2,'Præsentationstabeller 1'!$C$2),0)</f>
        <v/>
      </c>
      <c r="J183" t="str" vm="13975">
        <f>IFERROR(CUBEVALUE("BIDB",$A183,J$3,J$2,'Præsentationstabeller 1'!$C$2),0)</f>
        <v/>
      </c>
      <c r="K183" t="str" vm="2030">
        <f>IFERROR(CUBEVALUE("BIDB",$A183,K$3,K$2,'Præsentationstabeller 1'!$C$2),0)</f>
        <v/>
      </c>
      <c r="L183" t="str" vm="1996">
        <f>IFERROR(CUBEVALUE("BIDB",$A183,L$3,L$2,'Præsentationstabeller 1'!$C$2),0)</f>
        <v/>
      </c>
    </row>
    <row r="184" spans="1:12" x14ac:dyDescent="0.3">
      <c r="A184" s="123" t="str" vm="1152">
        <f>CUBEMEMBER("BIDB","[Dimittenddato].[Dimittenddato].&amp;[2008-08-28T00:00:00]")</f>
        <v>28-08-2008</v>
      </c>
      <c r="B184" t="str" vm="2061">
        <f>IFERROR(CUBEVALUE("BIDB",$A184,B$3,'Præsentationstabeller 1'!$C$2),0)</f>
        <v/>
      </c>
      <c r="C184" vm="2986">
        <f>IFERROR(CUBEVALUE("BIDB",$A184,C$3,C$2,'Præsentationstabeller 1'!$C$2),0)</f>
        <v>3</v>
      </c>
      <c r="D184" t="str" vm="12897">
        <f>IFERROR(CUBEVALUE("BIDB",$A184,D$3,D$2,'Præsentationstabeller 1'!$C$2),0)</f>
        <v/>
      </c>
      <c r="E184" vm="9802">
        <f>IFERROR(CUBEVALUE("BIDB",$A184,E$3,E$2,'Præsentationstabeller 1'!$C$2),0)</f>
        <v>8</v>
      </c>
      <c r="F184" vm="2044">
        <f>IFERROR(CUBEVALUE("BIDB",$A184,F$3,F$2,'Præsentationstabeller 1'!$C$2),0)</f>
        <v>2</v>
      </c>
      <c r="G184" vm="2337">
        <f>IFERROR(CUBEVALUE("BIDB",$A184,G$3,G$2,'Præsentationstabeller 1'!$C$2),0)</f>
        <v>10</v>
      </c>
      <c r="H184" t="str" vm="1356">
        <f>IFERROR(CUBEVALUE("BIDB",$A184,H$3,H$2,'Præsentationstabeller 1'!$C$2),0)</f>
        <v/>
      </c>
      <c r="I184" t="str" vm="10916">
        <f>IFERROR(CUBEVALUE("BIDB",$A184,I$3,I$2,'Præsentationstabeller 1'!$C$2),0)</f>
        <v/>
      </c>
      <c r="J184" t="str" vm="15980">
        <f>IFERROR(CUBEVALUE("BIDB",$A184,J$3,J$2,'Præsentationstabeller 1'!$C$2),0)</f>
        <v/>
      </c>
      <c r="K184" t="str" vm="1340">
        <f>IFERROR(CUBEVALUE("BIDB",$A184,K$3,K$2,'Præsentationstabeller 1'!$C$2),0)</f>
        <v/>
      </c>
      <c r="L184" t="str" vm="15834">
        <f>IFERROR(CUBEVALUE("BIDB",$A184,L$3,L$2,'Præsentationstabeller 1'!$C$2),0)</f>
        <v/>
      </c>
    </row>
    <row r="185" spans="1:12" x14ac:dyDescent="0.3">
      <c r="A185" s="123" t="str" vm="1151">
        <f>CUBEMEMBER("BIDB","[Dimittenddato].[Dimittenddato].&amp;[2008-08-29T00:00:00]")</f>
        <v>29-08-2008</v>
      </c>
      <c r="B185" t="str" vm="1953">
        <f>IFERROR(CUBEVALUE("BIDB",$A185,B$3,'Præsentationstabeller 1'!$C$2),0)</f>
        <v/>
      </c>
      <c r="C185" vm="1738">
        <f>IFERROR(CUBEVALUE("BIDB",$A185,C$3,C$2,'Præsentationstabeller 1'!$C$2),0)</f>
        <v>2</v>
      </c>
      <c r="D185" vm="17048">
        <f>IFERROR(CUBEVALUE("BIDB",$A185,D$3,D$2,'Præsentationstabeller 1'!$C$2),0)</f>
        <v>1</v>
      </c>
      <c r="E185" vm="10137">
        <f>IFERROR(CUBEVALUE("BIDB",$A185,E$3,E$2,'Præsentationstabeller 1'!$C$2),0)</f>
        <v>6</v>
      </c>
      <c r="F185" t="str" vm="1913">
        <f>IFERROR(CUBEVALUE("BIDB",$A185,F$3,F$2,'Præsentationstabeller 1'!$C$2),0)</f>
        <v/>
      </c>
      <c r="G185" vm="3629">
        <f>IFERROR(CUBEVALUE("BIDB",$A185,G$3,G$2,'Præsentationstabeller 1'!$C$2),0)</f>
        <v>6</v>
      </c>
      <c r="H185" t="str" vm="1670">
        <f>IFERROR(CUBEVALUE("BIDB",$A185,H$3,H$2,'Præsentationstabeller 1'!$C$2),0)</f>
        <v/>
      </c>
      <c r="I185" t="str" vm="15047">
        <f>IFERROR(CUBEVALUE("BIDB",$A185,I$3,I$2,'Præsentationstabeller 1'!$C$2),0)</f>
        <v/>
      </c>
      <c r="J185" t="str" vm="13949">
        <f>IFERROR(CUBEVALUE("BIDB",$A185,J$3,J$2,'Præsentationstabeller 1'!$C$2),0)</f>
        <v/>
      </c>
      <c r="K185" t="str" vm="1926">
        <f>IFERROR(CUBEVALUE("BIDB",$A185,K$3,K$2,'Præsentationstabeller 1'!$C$2),0)</f>
        <v/>
      </c>
      <c r="L185" t="str" vm="15835">
        <f>IFERROR(CUBEVALUE("BIDB",$A185,L$3,L$2,'Præsentationstabeller 1'!$C$2),0)</f>
        <v/>
      </c>
    </row>
    <row r="186" spans="1:12" x14ac:dyDescent="0.3">
      <c r="A186" s="123" t="str" vm="1150">
        <f>CUBEMEMBER("BIDB","[Dimittenddato].[Dimittenddato].&amp;[2008-08-30T00:00:00]")</f>
        <v>30-08-2008</v>
      </c>
      <c r="B186" t="str" vm="2710">
        <f>IFERROR(CUBEVALUE("BIDB",$A186,B$3,'Præsentationstabeller 1'!$C$2),0)</f>
        <v/>
      </c>
      <c r="C186" t="str" vm="1512">
        <f>IFERROR(CUBEVALUE("BIDB",$A186,C$3,C$2,'Præsentationstabeller 1'!$C$2),0)</f>
        <v/>
      </c>
      <c r="D186" t="str" vm="13461">
        <f>IFERROR(CUBEVALUE("BIDB",$A186,D$3,D$2,'Præsentationstabeller 1'!$C$2),0)</f>
        <v/>
      </c>
      <c r="E186" vm="10705">
        <f>IFERROR(CUBEVALUE("BIDB",$A186,E$3,E$2,'Præsentationstabeller 1'!$C$2),0)</f>
        <v>1</v>
      </c>
      <c r="F186" vm="2614">
        <f>IFERROR(CUBEVALUE("BIDB",$A186,F$3,F$2,'Præsentationstabeller 1'!$C$2),0)</f>
        <v>1</v>
      </c>
      <c r="G186" vm="2365">
        <f>IFERROR(CUBEVALUE("BIDB",$A186,G$3,G$2,'Præsentationstabeller 1'!$C$2),0)</f>
        <v>2</v>
      </c>
      <c r="H186" t="str" vm="1420">
        <f>IFERROR(CUBEVALUE("BIDB",$A186,H$3,H$2,'Præsentationstabeller 1'!$C$2),0)</f>
        <v/>
      </c>
      <c r="I186" t="str" vm="10078">
        <f>IFERROR(CUBEVALUE("BIDB",$A186,I$3,I$2,'Præsentationstabeller 1'!$C$2),0)</f>
        <v/>
      </c>
      <c r="J186" t="str" vm="12428">
        <f>IFERROR(CUBEVALUE("BIDB",$A186,J$3,J$2,'Præsentationstabeller 1'!$C$2),0)</f>
        <v/>
      </c>
      <c r="K186" t="str" vm="3630">
        <f>IFERROR(CUBEVALUE("BIDB",$A186,K$3,K$2,'Præsentationstabeller 1'!$C$2),0)</f>
        <v/>
      </c>
      <c r="L186" t="str" vm="17176">
        <f>IFERROR(CUBEVALUE("BIDB",$A186,L$3,L$2,'Præsentationstabeller 1'!$C$2),0)</f>
        <v/>
      </c>
    </row>
    <row r="187" spans="1:12" x14ac:dyDescent="0.3">
      <c r="A187" s="123" t="str" vm="1149">
        <f>CUBEMEMBER("BIDB","[Dimittenddato].[Dimittenddato].&amp;[2008-08-31T00:00:00]")</f>
        <v>31-08-2008</v>
      </c>
      <c r="B187" t="str" vm="2466">
        <f>IFERROR(CUBEVALUE("BIDB",$A187,B$3,'Præsentationstabeller 1'!$C$2),0)</f>
        <v/>
      </c>
      <c r="C187" t="str" vm="4416">
        <f>IFERROR(CUBEVALUE("BIDB",$A187,C$3,C$2,'Præsentationstabeller 1'!$C$2),0)</f>
        <v/>
      </c>
      <c r="D187" vm="10382">
        <f>IFERROR(CUBEVALUE("BIDB",$A187,D$3,D$2,'Præsentationstabeller 1'!$C$2),0)</f>
        <v>1</v>
      </c>
      <c r="E187" t="str" vm="14979">
        <f>IFERROR(CUBEVALUE("BIDB",$A187,E$3,E$2,'Præsentationstabeller 1'!$C$2),0)</f>
        <v/>
      </c>
      <c r="F187" t="str" vm="2902">
        <f>IFERROR(CUBEVALUE("BIDB",$A187,F$3,F$2,'Præsentationstabeller 1'!$C$2),0)</f>
        <v/>
      </c>
      <c r="G187" t="str" vm="1819">
        <f>IFERROR(CUBEVALUE("BIDB",$A187,G$3,G$2,'Præsentationstabeller 1'!$C$2),0)</f>
        <v/>
      </c>
      <c r="H187" t="str" vm="4665">
        <f>IFERROR(CUBEVALUE("BIDB",$A187,H$3,H$2,'Præsentationstabeller 1'!$C$2),0)</f>
        <v/>
      </c>
      <c r="I187" t="str" vm="7578">
        <f>IFERROR(CUBEVALUE("BIDB",$A187,I$3,I$2,'Præsentationstabeller 1'!$C$2),0)</f>
        <v/>
      </c>
      <c r="J187" t="str" vm="16537">
        <f>IFERROR(CUBEVALUE("BIDB",$A187,J$3,J$2,'Præsentationstabeller 1'!$C$2),0)</f>
        <v/>
      </c>
      <c r="K187" t="str" vm="1727">
        <f>IFERROR(CUBEVALUE("BIDB",$A187,K$3,K$2,'Præsentationstabeller 1'!$C$2),0)</f>
        <v/>
      </c>
      <c r="L187" t="str" vm="15821">
        <f>IFERROR(CUBEVALUE("BIDB",$A187,L$3,L$2,'Præsentationstabeller 1'!$C$2),0)</f>
        <v/>
      </c>
    </row>
    <row r="188" spans="1:12" x14ac:dyDescent="0.3">
      <c r="A188" s="123" t="str" vm="1148">
        <f>CUBEMEMBER("BIDB","[Dimittenddato].[Dimittenddato].&amp;[2009-06-01T00:00:00]")</f>
        <v>01-06-2009</v>
      </c>
      <c r="B188" t="str" vm="16723">
        <f>IFERROR(CUBEVALUE("BIDB",$A188,B$3,'Præsentationstabeller 1'!$C$2),0)</f>
        <v/>
      </c>
      <c r="C188" t="str" vm="1730">
        <f>IFERROR(CUBEVALUE("BIDB",$A188,C$3,C$2,'Præsentationstabeller 1'!$C$2),0)</f>
        <v/>
      </c>
      <c r="D188" vm="14430">
        <f>IFERROR(CUBEVALUE("BIDB",$A188,D$3,D$2,'Præsentationstabeller 1'!$C$2),0)</f>
        <v>0</v>
      </c>
      <c r="E188" vm="11119">
        <f>IFERROR(CUBEVALUE("BIDB",$A188,E$3,E$2,'Præsentationstabeller 1'!$C$2),0)</f>
        <v>3</v>
      </c>
      <c r="F188" vm="4293">
        <f>IFERROR(CUBEVALUE("BIDB",$A188,F$3,F$2,'Præsentationstabeller 1'!$C$2),0)</f>
        <v>4</v>
      </c>
      <c r="G188" vm="1820">
        <f>IFERROR(CUBEVALUE("BIDB",$A188,G$3,G$2,'Præsentationstabeller 1'!$C$2),0)</f>
        <v>7</v>
      </c>
      <c r="H188" t="str" vm="1510">
        <f>IFERROR(CUBEVALUE("BIDB",$A188,H$3,H$2,'Præsentationstabeller 1'!$C$2),0)</f>
        <v/>
      </c>
      <c r="I188" t="str" vm="11766">
        <f>IFERROR(CUBEVALUE("BIDB",$A188,I$3,I$2,'Præsentationstabeller 1'!$C$2),0)</f>
        <v/>
      </c>
      <c r="J188" t="str" vm="14236">
        <f>IFERROR(CUBEVALUE("BIDB",$A188,J$3,J$2,'Præsentationstabeller 1'!$C$2),0)</f>
        <v/>
      </c>
      <c r="K188" t="str" vm="1369">
        <f>IFERROR(CUBEVALUE("BIDB",$A188,K$3,K$2,'Præsentationstabeller 1'!$C$2),0)</f>
        <v/>
      </c>
      <c r="L188" t="str" vm="16702">
        <f>IFERROR(CUBEVALUE("BIDB",$A188,L$3,L$2,'Præsentationstabeller 1'!$C$2),0)</f>
        <v/>
      </c>
    </row>
    <row r="189" spans="1:12" x14ac:dyDescent="0.3">
      <c r="A189" s="123" t="str" vm="1147">
        <f>CUBEMEMBER("BIDB","[Dimittenddato].[Dimittenddato].&amp;[2009-06-02T00:00:00]")</f>
        <v>02-06-2009</v>
      </c>
      <c r="B189" t="str" vm="16761">
        <f>IFERROR(CUBEVALUE("BIDB",$A189,B$3,'Præsentationstabeller 1'!$C$2),0)</f>
        <v/>
      </c>
      <c r="C189" t="str" vm="1793">
        <f>IFERROR(CUBEVALUE("BIDB",$A189,C$3,C$2,'Præsentationstabeller 1'!$C$2),0)</f>
        <v/>
      </c>
      <c r="D189" t="str" vm="12554">
        <f>IFERROR(CUBEVALUE("BIDB",$A189,D$3,D$2,'Præsentationstabeller 1'!$C$2),0)</f>
        <v/>
      </c>
      <c r="E189" vm="9259">
        <f>IFERROR(CUBEVALUE("BIDB",$A189,E$3,E$2,'Præsentationstabeller 1'!$C$2),0)</f>
        <v>0</v>
      </c>
      <c r="F189" vm="2538">
        <f>IFERROR(CUBEVALUE("BIDB",$A189,F$3,F$2,'Præsentationstabeller 1'!$C$2),0)</f>
        <v>1</v>
      </c>
      <c r="G189" vm="1831">
        <f>IFERROR(CUBEVALUE("BIDB",$A189,G$3,G$2,'Præsentationstabeller 1'!$C$2),0)</f>
        <v>1</v>
      </c>
      <c r="H189" t="str" vm="1786">
        <f>IFERROR(CUBEVALUE("BIDB",$A189,H$3,H$2,'Præsentationstabeller 1'!$C$2),0)</f>
        <v/>
      </c>
      <c r="I189" t="str" vm="8422">
        <f>IFERROR(CUBEVALUE("BIDB",$A189,I$3,I$2,'Præsentationstabeller 1'!$C$2),0)</f>
        <v/>
      </c>
      <c r="J189" t="str" vm="13731">
        <f>IFERROR(CUBEVALUE("BIDB",$A189,J$3,J$2,'Præsentationstabeller 1'!$C$2),0)</f>
        <v/>
      </c>
      <c r="K189" t="str" vm="1838">
        <f>IFERROR(CUBEVALUE("BIDB",$A189,K$3,K$2,'Præsentationstabeller 1'!$C$2),0)</f>
        <v/>
      </c>
      <c r="L189" t="str" vm="16703">
        <f>IFERROR(CUBEVALUE("BIDB",$A189,L$3,L$2,'Præsentationstabeller 1'!$C$2),0)</f>
        <v/>
      </c>
    </row>
    <row r="190" spans="1:12" x14ac:dyDescent="0.3">
      <c r="A190" s="123" t="str" vm="1146">
        <f>CUBEMEMBER("BIDB","[Dimittenddato].[Dimittenddato].&amp;[2009-06-03T00:00:00]")</f>
        <v>03-06-2009</v>
      </c>
      <c r="B190" t="str" vm="16764">
        <f>IFERROR(CUBEVALUE("BIDB",$A190,B$3,'Præsentationstabeller 1'!$C$2),0)</f>
        <v/>
      </c>
      <c r="C190" t="str" vm="1817">
        <f>IFERROR(CUBEVALUE("BIDB",$A190,C$3,C$2,'Præsentationstabeller 1'!$C$2),0)</f>
        <v/>
      </c>
      <c r="D190" t="str" vm="11494">
        <f>IFERROR(CUBEVALUE("BIDB",$A190,D$3,D$2,'Præsentationstabeller 1'!$C$2),0)</f>
        <v/>
      </c>
      <c r="E190" t="str" vm="10557">
        <f>IFERROR(CUBEVALUE("BIDB",$A190,E$3,E$2,'Præsentationstabeller 1'!$C$2),0)</f>
        <v/>
      </c>
      <c r="F190" vm="2287">
        <f>IFERROR(CUBEVALUE("BIDB",$A190,F$3,F$2,'Præsentationstabeller 1'!$C$2),0)</f>
        <v>2</v>
      </c>
      <c r="G190" vm="1457">
        <f>IFERROR(CUBEVALUE("BIDB",$A190,G$3,G$2,'Præsentationstabeller 1'!$C$2),0)</f>
        <v>2</v>
      </c>
      <c r="H190" t="str" vm="1506">
        <f>IFERROR(CUBEVALUE("BIDB",$A190,H$3,H$2,'Præsentationstabeller 1'!$C$2),0)</f>
        <v/>
      </c>
      <c r="I190" t="str" vm="10669">
        <f>IFERROR(CUBEVALUE("BIDB",$A190,I$3,I$2,'Præsentationstabeller 1'!$C$2),0)</f>
        <v/>
      </c>
      <c r="J190" t="str" vm="11395">
        <f>IFERROR(CUBEVALUE("BIDB",$A190,J$3,J$2,'Præsentationstabeller 1'!$C$2),0)</f>
        <v/>
      </c>
      <c r="K190" t="str" vm="1719">
        <f>IFERROR(CUBEVALUE("BIDB",$A190,K$3,K$2,'Præsentationstabeller 1'!$C$2),0)</f>
        <v/>
      </c>
      <c r="L190" t="str" vm="15829">
        <f>IFERROR(CUBEVALUE("BIDB",$A190,L$3,L$2,'Præsentationstabeller 1'!$C$2),0)</f>
        <v/>
      </c>
    </row>
    <row r="191" spans="1:12" x14ac:dyDescent="0.3">
      <c r="A191" s="123" t="str" vm="1145">
        <f>CUBEMEMBER("BIDB","[Dimittenddato].[Dimittenddato].&amp;[2009-06-04T00:00:00]")</f>
        <v>04-06-2009</v>
      </c>
      <c r="B191" t="str" vm="17195">
        <f>IFERROR(CUBEVALUE("BIDB",$A191,B$3,'Præsentationstabeller 1'!$C$2),0)</f>
        <v/>
      </c>
      <c r="C191" t="str" vm="1532">
        <f>IFERROR(CUBEVALUE("BIDB",$A191,C$3,C$2,'Præsentationstabeller 1'!$C$2),0)</f>
        <v/>
      </c>
      <c r="D191" vm="16604">
        <f>IFERROR(CUBEVALUE("BIDB",$A191,D$3,D$2,'Præsentationstabeller 1'!$C$2),0)</f>
        <v>1</v>
      </c>
      <c r="E191" vm="14664">
        <f>IFERROR(CUBEVALUE("BIDB",$A191,E$3,E$2,'Præsentationstabeller 1'!$C$2),0)</f>
        <v>1</v>
      </c>
      <c r="F191" vm="3109">
        <f>IFERROR(CUBEVALUE("BIDB",$A191,F$3,F$2,'Præsentationstabeller 1'!$C$2),0)</f>
        <v>1</v>
      </c>
      <c r="G191" vm="15812">
        <f>IFERROR(CUBEVALUE("BIDB",$A191,G$3,G$2,'Præsentationstabeller 1'!$C$2),0)</f>
        <v>2</v>
      </c>
      <c r="H191" t="str" vm="1619">
        <f>IFERROR(CUBEVALUE("BIDB",$A191,H$3,H$2,'Præsentationstabeller 1'!$C$2),0)</f>
        <v/>
      </c>
      <c r="I191" t="str" vm="7096">
        <f>IFERROR(CUBEVALUE("BIDB",$A191,I$3,I$2,'Præsentationstabeller 1'!$C$2),0)</f>
        <v/>
      </c>
      <c r="J191" t="str" vm="15292">
        <f>IFERROR(CUBEVALUE("BIDB",$A191,J$3,J$2,'Præsentationstabeller 1'!$C$2),0)</f>
        <v/>
      </c>
      <c r="K191" t="str" vm="2230">
        <f>IFERROR(CUBEVALUE("BIDB",$A191,K$3,K$2,'Præsentationstabeller 1'!$C$2),0)</f>
        <v/>
      </c>
      <c r="L191" t="str" vm="15830">
        <f>IFERROR(CUBEVALUE("BIDB",$A191,L$3,L$2,'Præsentationstabeller 1'!$C$2),0)</f>
        <v/>
      </c>
    </row>
    <row r="192" spans="1:12" x14ac:dyDescent="0.3">
      <c r="A192" s="123" t="str" vm="1144">
        <f>CUBEMEMBER("BIDB","[Dimittenddato].[Dimittenddato].&amp;[2009-06-05T00:00:00]")</f>
        <v>05-06-2009</v>
      </c>
      <c r="B192" t="str" vm="16760">
        <f>IFERROR(CUBEVALUE("BIDB",$A192,B$3,'Præsentationstabeller 1'!$C$2),0)</f>
        <v/>
      </c>
      <c r="C192" t="str" vm="1763">
        <f>IFERROR(CUBEVALUE("BIDB",$A192,C$3,C$2,'Præsentationstabeller 1'!$C$2),0)</f>
        <v/>
      </c>
      <c r="D192" t="str" vm="13297">
        <f>IFERROR(CUBEVALUE("BIDB",$A192,D$3,D$2,'Præsentationstabeller 1'!$C$2),0)</f>
        <v/>
      </c>
      <c r="E192" t="str" vm="12263">
        <f>IFERROR(CUBEVALUE("BIDB",$A192,E$3,E$2,'Præsentationstabeller 1'!$C$2),0)</f>
        <v/>
      </c>
      <c r="F192" t="str" vm="2083">
        <f>IFERROR(CUBEVALUE("BIDB",$A192,F$3,F$2,'Præsentationstabeller 1'!$C$2),0)</f>
        <v/>
      </c>
      <c r="G192" t="str" vm="1715">
        <f>IFERROR(CUBEVALUE("BIDB",$A192,G$3,G$2,'Præsentationstabeller 1'!$C$2),0)</f>
        <v/>
      </c>
      <c r="H192" t="str" vm="1343">
        <f>IFERROR(CUBEVALUE("BIDB",$A192,H$3,H$2,'Præsentationstabeller 1'!$C$2),0)</f>
        <v/>
      </c>
      <c r="I192" t="str" vm="13794">
        <f>IFERROR(CUBEVALUE("BIDB",$A192,I$3,I$2,'Præsentationstabeller 1'!$C$2),0)</f>
        <v/>
      </c>
      <c r="J192" t="str" vm="17140">
        <f>IFERROR(CUBEVALUE("BIDB",$A192,J$3,J$2,'Præsentationstabeller 1'!$C$2),0)</f>
        <v/>
      </c>
      <c r="K192" t="str" vm="1440">
        <f>IFERROR(CUBEVALUE("BIDB",$A192,K$3,K$2,'Præsentationstabeller 1'!$C$2),0)</f>
        <v/>
      </c>
      <c r="L192" t="str" vm="16709">
        <f>IFERROR(CUBEVALUE("BIDB",$A192,L$3,L$2,'Præsentationstabeller 1'!$C$2),0)</f>
        <v/>
      </c>
    </row>
    <row r="193" spans="1:12" x14ac:dyDescent="0.3">
      <c r="A193" s="123" t="str" vm="1143">
        <f>CUBEMEMBER("BIDB","[Dimittenddato].[Dimittenddato].&amp;[2009-06-06T00:00:00]")</f>
        <v>06-06-2009</v>
      </c>
      <c r="B193" t="str" vm="16718">
        <f>IFERROR(CUBEVALUE("BIDB",$A193,B$3,'Præsentationstabeller 1'!$C$2),0)</f>
        <v/>
      </c>
      <c r="C193" t="str" vm="1872">
        <f>IFERROR(CUBEVALUE("BIDB",$A193,C$3,C$2,'Præsentationstabeller 1'!$C$2),0)</f>
        <v/>
      </c>
      <c r="D193" t="str" vm="14842">
        <f>IFERROR(CUBEVALUE("BIDB",$A193,D$3,D$2,'Præsentationstabeller 1'!$C$2),0)</f>
        <v/>
      </c>
      <c r="E193" t="str" vm="14259">
        <f>IFERROR(CUBEVALUE("BIDB",$A193,E$3,E$2,'Præsentationstabeller 1'!$C$2),0)</f>
        <v/>
      </c>
      <c r="F193" t="str" vm="15813">
        <f>IFERROR(CUBEVALUE("BIDB",$A193,F$3,F$2,'Præsentationstabeller 1'!$C$2),0)</f>
        <v/>
      </c>
      <c r="G193" t="str" vm="2028">
        <f>IFERROR(CUBEVALUE("BIDB",$A193,G$3,G$2,'Præsentationstabeller 1'!$C$2),0)</f>
        <v/>
      </c>
      <c r="H193" t="str" vm="1821">
        <f>IFERROR(CUBEVALUE("BIDB",$A193,H$3,H$2,'Præsentationstabeller 1'!$C$2),0)</f>
        <v/>
      </c>
      <c r="I193" t="str" vm="14973">
        <f>IFERROR(CUBEVALUE("BIDB",$A193,I$3,I$2,'Præsentationstabeller 1'!$C$2),0)</f>
        <v/>
      </c>
      <c r="J193" t="str" vm="16332">
        <f>IFERROR(CUBEVALUE("BIDB",$A193,J$3,J$2,'Præsentationstabeller 1'!$C$2),0)</f>
        <v/>
      </c>
      <c r="K193" t="str" vm="16246">
        <f>IFERROR(CUBEVALUE("BIDB",$A193,K$3,K$2,'Præsentationstabeller 1'!$C$2),0)</f>
        <v/>
      </c>
      <c r="L193" t="str" vm="16679">
        <f>IFERROR(CUBEVALUE("BIDB",$A193,L$3,L$2,'Præsentationstabeller 1'!$C$2),0)</f>
        <v/>
      </c>
    </row>
    <row r="194" spans="1:12" x14ac:dyDescent="0.3">
      <c r="A194" s="123" t="str" vm="1142">
        <f>CUBEMEMBER("BIDB","[Dimittenddato].[Dimittenddato].&amp;[2009-06-07T00:00:00]")</f>
        <v>07-06-2009</v>
      </c>
      <c r="B194" t="str" vm="16290">
        <f>IFERROR(CUBEVALUE("BIDB",$A194,B$3,'Præsentationstabeller 1'!$C$2),0)</f>
        <v/>
      </c>
      <c r="C194" t="str" vm="1383">
        <f>IFERROR(CUBEVALUE("BIDB",$A194,C$3,C$2,'Præsentationstabeller 1'!$C$2),0)</f>
        <v/>
      </c>
      <c r="D194" t="str" vm="13809">
        <f>IFERROR(CUBEVALUE("BIDB",$A194,D$3,D$2,'Præsentationstabeller 1'!$C$2),0)</f>
        <v/>
      </c>
      <c r="E194" t="str" vm="8093">
        <f>IFERROR(CUBEVALUE("BIDB",$A194,E$3,E$2,'Præsentationstabeller 1'!$C$2),0)</f>
        <v/>
      </c>
      <c r="F194" t="str" vm="2301">
        <f>IFERROR(CUBEVALUE("BIDB",$A194,F$3,F$2,'Præsentationstabeller 1'!$C$2),0)</f>
        <v/>
      </c>
      <c r="G194" t="str" vm="1893">
        <f>IFERROR(CUBEVALUE("BIDB",$A194,G$3,G$2,'Præsentationstabeller 1'!$C$2),0)</f>
        <v/>
      </c>
      <c r="H194" t="str" vm="1666">
        <f>IFERROR(CUBEVALUE("BIDB",$A194,H$3,H$2,'Præsentationstabeller 1'!$C$2),0)</f>
        <v/>
      </c>
      <c r="I194" t="str" vm="10875">
        <f>IFERROR(CUBEVALUE("BIDB",$A194,I$3,I$2,'Præsentationstabeller 1'!$C$2),0)</f>
        <v/>
      </c>
      <c r="J194" t="str" vm="15475">
        <f>IFERROR(CUBEVALUE("BIDB",$A194,J$3,J$2,'Præsentationstabeller 1'!$C$2),0)</f>
        <v/>
      </c>
      <c r="K194" t="str" vm="1897">
        <f>IFERROR(CUBEVALUE("BIDB",$A194,K$3,K$2,'Præsentationstabeller 1'!$C$2),0)</f>
        <v/>
      </c>
      <c r="L194" t="str" vm="16273">
        <f>IFERROR(CUBEVALUE("BIDB",$A194,L$3,L$2,'Præsentationstabeller 1'!$C$2),0)</f>
        <v/>
      </c>
    </row>
    <row r="195" spans="1:12" x14ac:dyDescent="0.3">
      <c r="A195" s="123" t="str" vm="1141">
        <f>CUBEMEMBER("BIDB","[Dimittenddato].[Dimittenddato].&amp;[2009-06-08T00:00:00]")</f>
        <v>08-06-2009</v>
      </c>
      <c r="B195" t="str" vm="2429">
        <f>IFERROR(CUBEVALUE("BIDB",$A195,B$3,'Præsentationstabeller 1'!$C$2),0)</f>
        <v/>
      </c>
      <c r="C195" t="str" vm="1931">
        <f>IFERROR(CUBEVALUE("BIDB",$A195,C$3,C$2,'Præsentationstabeller 1'!$C$2),0)</f>
        <v/>
      </c>
      <c r="D195" t="str" vm="15053">
        <f>IFERROR(CUBEVALUE("BIDB",$A195,D$3,D$2,'Præsentationstabeller 1'!$C$2),0)</f>
        <v/>
      </c>
      <c r="E195" vm="11467">
        <f>IFERROR(CUBEVALUE("BIDB",$A195,E$3,E$2,'Præsentationstabeller 1'!$C$2),0)</f>
        <v>2</v>
      </c>
      <c r="F195" vm="1912">
        <f>IFERROR(CUBEVALUE("BIDB",$A195,F$3,F$2,'Præsentationstabeller 1'!$C$2),0)</f>
        <v>5</v>
      </c>
      <c r="G195" vm="1610">
        <f>IFERROR(CUBEVALUE("BIDB",$A195,G$3,G$2,'Præsentationstabeller 1'!$C$2),0)</f>
        <v>7</v>
      </c>
      <c r="H195" t="str" vm="1437">
        <f>IFERROR(CUBEVALUE("BIDB",$A195,H$3,H$2,'Præsentationstabeller 1'!$C$2),0)</f>
        <v/>
      </c>
      <c r="I195" t="str" vm="7475">
        <f>IFERROR(CUBEVALUE("BIDB",$A195,I$3,I$2,'Præsentationstabeller 1'!$C$2),0)</f>
        <v/>
      </c>
      <c r="J195" t="str" vm="15978">
        <f>IFERROR(CUBEVALUE("BIDB",$A195,J$3,J$2,'Præsentationstabeller 1'!$C$2),0)</f>
        <v/>
      </c>
      <c r="K195" t="str" vm="1971">
        <f>IFERROR(CUBEVALUE("BIDB",$A195,K$3,K$2,'Præsentationstabeller 1'!$C$2),0)</f>
        <v/>
      </c>
      <c r="L195" t="str" vm="16706">
        <f>IFERROR(CUBEVALUE("BIDB",$A195,L$3,L$2,'Præsentationstabeller 1'!$C$2),0)</f>
        <v/>
      </c>
    </row>
    <row r="196" spans="1:12" x14ac:dyDescent="0.3">
      <c r="A196" s="123" t="str" vm="1140">
        <f>CUBEMEMBER("BIDB","[Dimittenddato].[Dimittenddato].&amp;[2009-06-09T00:00:00]")</f>
        <v>09-06-2009</v>
      </c>
      <c r="B196" t="str" vm="2569">
        <f>IFERROR(CUBEVALUE("BIDB",$A196,B$3,'Præsentationstabeller 1'!$C$2),0)</f>
        <v/>
      </c>
      <c r="C196" t="str" vm="1413">
        <f>IFERROR(CUBEVALUE("BIDB",$A196,C$3,C$2,'Præsentationstabeller 1'!$C$2),0)</f>
        <v/>
      </c>
      <c r="D196" vm="13680">
        <f>IFERROR(CUBEVALUE("BIDB",$A196,D$3,D$2,'Præsentationstabeller 1'!$C$2),0)</f>
        <v>1</v>
      </c>
      <c r="E196" vm="14759">
        <f>IFERROR(CUBEVALUE("BIDB",$A196,E$3,E$2,'Præsentationstabeller 1'!$C$2),0)</f>
        <v>2</v>
      </c>
      <c r="F196" t="str" vm="3945">
        <f>IFERROR(CUBEVALUE("BIDB",$A196,F$3,F$2,'Præsentationstabeller 1'!$C$2),0)</f>
        <v/>
      </c>
      <c r="G196" vm="1582">
        <f>IFERROR(CUBEVALUE("BIDB",$A196,G$3,G$2,'Præsentationstabeller 1'!$C$2),0)</f>
        <v>2</v>
      </c>
      <c r="H196" t="str" vm="1614">
        <f>IFERROR(CUBEVALUE("BIDB",$A196,H$3,H$2,'Præsentationstabeller 1'!$C$2),0)</f>
        <v/>
      </c>
      <c r="I196" t="str" vm="11447">
        <f>IFERROR(CUBEVALUE("BIDB",$A196,I$3,I$2,'Præsentationstabeller 1'!$C$2),0)</f>
        <v/>
      </c>
      <c r="J196" t="str" vm="17061">
        <f>IFERROR(CUBEVALUE("BIDB",$A196,J$3,J$2,'Præsentationstabeller 1'!$C$2),0)</f>
        <v/>
      </c>
      <c r="K196" t="str" vm="1815">
        <f>IFERROR(CUBEVALUE("BIDB",$A196,K$3,K$2,'Præsentationstabeller 1'!$C$2),0)</f>
        <v/>
      </c>
      <c r="L196" t="str" vm="15845">
        <f>IFERROR(CUBEVALUE("BIDB",$A196,L$3,L$2,'Præsentationstabeller 1'!$C$2),0)</f>
        <v/>
      </c>
    </row>
    <row r="197" spans="1:12" x14ac:dyDescent="0.3">
      <c r="A197" s="123" t="str" vm="1139">
        <f>CUBEMEMBER("BIDB","[Dimittenddato].[Dimittenddato].&amp;[2009-06-10T00:00:00]")</f>
        <v>10-06-2009</v>
      </c>
      <c r="B197" t="str" vm="2650">
        <f>IFERROR(CUBEVALUE("BIDB",$A197,B$3,'Præsentationstabeller 1'!$C$2),0)</f>
        <v/>
      </c>
      <c r="C197" t="str" vm="1402">
        <f>IFERROR(CUBEVALUE("BIDB",$A197,C$3,C$2,'Præsentationstabeller 1'!$C$2),0)</f>
        <v/>
      </c>
      <c r="D197" t="str" vm="12912">
        <f>IFERROR(CUBEVALUE("BIDB",$A197,D$3,D$2,'Præsentationstabeller 1'!$C$2),0)</f>
        <v/>
      </c>
      <c r="E197" vm="14977">
        <f>IFERROR(CUBEVALUE("BIDB",$A197,E$3,E$2,'Præsentationstabeller 1'!$C$2),0)</f>
        <v>4</v>
      </c>
      <c r="F197" vm="1394">
        <f>IFERROR(CUBEVALUE("BIDB",$A197,F$3,F$2,'Præsentationstabeller 1'!$C$2),0)</f>
        <v>2</v>
      </c>
      <c r="G197" vm="1676">
        <f>IFERROR(CUBEVALUE("BIDB",$A197,G$3,G$2,'Præsentationstabeller 1'!$C$2),0)</f>
        <v>6</v>
      </c>
      <c r="H197" t="str" vm="1375">
        <f>IFERROR(CUBEVALUE("BIDB",$A197,H$3,H$2,'Præsentationstabeller 1'!$C$2),0)</f>
        <v/>
      </c>
      <c r="I197" t="str" vm="8864">
        <f>IFERROR(CUBEVALUE("BIDB",$A197,I$3,I$2,'Præsentationstabeller 1'!$C$2),0)</f>
        <v/>
      </c>
      <c r="J197" t="str" vm="16952">
        <f>IFERROR(CUBEVALUE("BIDB",$A197,J$3,J$2,'Præsentationstabeller 1'!$C$2),0)</f>
        <v/>
      </c>
      <c r="K197" t="str" vm="1408">
        <f>IFERROR(CUBEVALUE("BIDB",$A197,K$3,K$2,'Præsentationstabeller 1'!$C$2),0)</f>
        <v/>
      </c>
      <c r="L197" t="str" vm="15831">
        <f>IFERROR(CUBEVALUE("BIDB",$A197,L$3,L$2,'Præsentationstabeller 1'!$C$2),0)</f>
        <v/>
      </c>
    </row>
    <row r="198" spans="1:12" x14ac:dyDescent="0.3">
      <c r="A198" s="123" t="str" vm="1138">
        <f>CUBEMEMBER("BIDB","[Dimittenddato].[Dimittenddato].&amp;[2009-06-11T00:00:00]")</f>
        <v>11-06-2009</v>
      </c>
      <c r="B198" t="str" vm="2568">
        <f>IFERROR(CUBEVALUE("BIDB",$A198,B$3,'Præsentationstabeller 1'!$C$2),0)</f>
        <v/>
      </c>
      <c r="C198" vm="1353">
        <f>IFERROR(CUBEVALUE("BIDB",$A198,C$3,C$2,'Præsentationstabeller 1'!$C$2),0)</f>
        <v>2</v>
      </c>
      <c r="D198" t="str" vm="12058">
        <f>IFERROR(CUBEVALUE("BIDB",$A198,D$3,D$2,'Præsentationstabeller 1'!$C$2),0)</f>
        <v/>
      </c>
      <c r="E198" vm="9347">
        <f>IFERROR(CUBEVALUE("BIDB",$A198,E$3,E$2,'Præsentationstabeller 1'!$C$2),0)</f>
        <v>1</v>
      </c>
      <c r="F198" vm="3882">
        <f>IFERROR(CUBEVALUE("BIDB",$A198,F$3,F$2,'Præsentationstabeller 1'!$C$2),0)</f>
        <v>2</v>
      </c>
      <c r="G198" vm="2032">
        <f>IFERROR(CUBEVALUE("BIDB",$A198,G$3,G$2,'Præsentationstabeller 1'!$C$2),0)</f>
        <v>3</v>
      </c>
      <c r="H198" t="str" vm="1664">
        <f>IFERROR(CUBEVALUE("BIDB",$A198,H$3,H$2,'Præsentationstabeller 1'!$C$2),0)</f>
        <v/>
      </c>
      <c r="I198" t="str" vm="11434">
        <f>IFERROR(CUBEVALUE("BIDB",$A198,I$3,I$2,'Præsentationstabeller 1'!$C$2),0)</f>
        <v/>
      </c>
      <c r="J198" t="str" vm="14809">
        <f>IFERROR(CUBEVALUE("BIDB",$A198,J$3,J$2,'Præsentationstabeller 1'!$C$2),0)</f>
        <v/>
      </c>
      <c r="K198" t="str" vm="2046">
        <f>IFERROR(CUBEVALUE("BIDB",$A198,K$3,K$2,'Præsentationstabeller 1'!$C$2),0)</f>
        <v/>
      </c>
      <c r="L198" t="str" vm="15839">
        <f>IFERROR(CUBEVALUE("BIDB",$A198,L$3,L$2,'Præsentationstabeller 1'!$C$2),0)</f>
        <v/>
      </c>
    </row>
    <row r="199" spans="1:12" x14ac:dyDescent="0.3">
      <c r="A199" s="123" t="str" vm="1137">
        <f>CUBEMEMBER("BIDB","[Dimittenddato].[Dimittenddato].&amp;[2009-06-12T00:00:00]")</f>
        <v>12-06-2009</v>
      </c>
      <c r="B199" t="str" vm="2393">
        <f>IFERROR(CUBEVALUE("BIDB",$A199,B$3,'Præsentationstabeller 1'!$C$2),0)</f>
        <v/>
      </c>
      <c r="C199" t="str" vm="1605">
        <f>IFERROR(CUBEVALUE("BIDB",$A199,C$3,C$2,'Præsentationstabeller 1'!$C$2),0)</f>
        <v/>
      </c>
      <c r="D199" vm="11272">
        <f>IFERROR(CUBEVALUE("BIDB",$A199,D$3,D$2,'Præsentationstabeller 1'!$C$2),0)</f>
        <v>1</v>
      </c>
      <c r="E199" vm="13631">
        <f>IFERROR(CUBEVALUE("BIDB",$A199,E$3,E$2,'Præsentationstabeller 1'!$C$2),0)</f>
        <v>9</v>
      </c>
      <c r="F199" vm="2324">
        <f>IFERROR(CUBEVALUE("BIDB",$A199,F$3,F$2,'Præsentationstabeller 1'!$C$2),0)</f>
        <v>2</v>
      </c>
      <c r="G199" vm="1446">
        <f>IFERROR(CUBEVALUE("BIDB",$A199,G$3,G$2,'Præsentationstabeller 1'!$C$2),0)</f>
        <v>11</v>
      </c>
      <c r="H199" t="str" vm="1509">
        <f>IFERROR(CUBEVALUE("BIDB",$A199,H$3,H$2,'Præsentationstabeller 1'!$C$2),0)</f>
        <v/>
      </c>
      <c r="I199" vm="8832">
        <f>IFERROR(CUBEVALUE("BIDB",$A199,I$3,I$2,'Præsentationstabeller 1'!$C$2),0)</f>
        <v>0.4</v>
      </c>
      <c r="J199" t="str" vm="14804">
        <f>IFERROR(CUBEVALUE("BIDB",$A199,J$3,J$2,'Præsentationstabeller 1'!$C$2),0)</f>
        <v/>
      </c>
      <c r="K199" t="str" vm="2453">
        <f>IFERROR(CUBEVALUE("BIDB",$A199,K$3,K$2,'Præsentationstabeller 1'!$C$2),0)</f>
        <v/>
      </c>
      <c r="L199" t="str" vm="15840">
        <f>IFERROR(CUBEVALUE("BIDB",$A199,L$3,L$2,'Præsentationstabeller 1'!$C$2),0)</f>
        <v/>
      </c>
    </row>
    <row r="200" spans="1:12" x14ac:dyDescent="0.3">
      <c r="A200" s="123" t="str" vm="1136">
        <f>CUBEMEMBER("BIDB","[Dimittenddato].[Dimittenddato].&amp;[2009-06-13T00:00:00]")</f>
        <v>13-06-2009</v>
      </c>
      <c r="B200" t="str" vm="3895">
        <f>IFERROR(CUBEVALUE("BIDB",$A200,B$3,'Præsentationstabeller 1'!$C$2),0)</f>
        <v/>
      </c>
      <c r="C200" t="str" vm="1977">
        <f>IFERROR(CUBEVALUE("BIDB",$A200,C$3,C$2,'Præsentationstabeller 1'!$C$2),0)</f>
        <v/>
      </c>
      <c r="D200" vm="10418">
        <f>IFERROR(CUBEVALUE("BIDB",$A200,D$3,D$2,'Præsentationstabeller 1'!$C$2),0)</f>
        <v>1</v>
      </c>
      <c r="E200" t="str" vm="13224">
        <f>IFERROR(CUBEVALUE("BIDB",$A200,E$3,E$2,'Præsentationstabeller 1'!$C$2),0)</f>
        <v/>
      </c>
      <c r="F200" vm="3881">
        <f>IFERROR(CUBEVALUE("BIDB",$A200,F$3,F$2,'Præsentationstabeller 1'!$C$2),0)</f>
        <v>0</v>
      </c>
      <c r="G200" vm="4544">
        <f>IFERROR(CUBEVALUE("BIDB",$A200,G$3,G$2,'Præsentationstabeller 1'!$C$2),0)</f>
        <v>0</v>
      </c>
      <c r="H200" t="str" vm="1589">
        <f>IFERROR(CUBEVALUE("BIDB",$A200,H$3,H$2,'Præsentationstabeller 1'!$C$2),0)</f>
        <v/>
      </c>
      <c r="I200" t="str" vm="11415">
        <f>IFERROR(CUBEVALUE("BIDB",$A200,I$3,I$2,'Præsentationstabeller 1'!$C$2),0)</f>
        <v/>
      </c>
      <c r="J200" t="str" vm="15113">
        <f>IFERROR(CUBEVALUE("BIDB",$A200,J$3,J$2,'Præsentationstabeller 1'!$C$2),0)</f>
        <v/>
      </c>
      <c r="K200" t="str" vm="1514">
        <f>IFERROR(CUBEVALUE("BIDB",$A200,K$3,K$2,'Præsentationstabeller 1'!$C$2),0)</f>
        <v/>
      </c>
      <c r="L200" t="str" vm="1494">
        <f>IFERROR(CUBEVALUE("BIDB",$A200,L$3,L$2,'Præsentationstabeller 1'!$C$2),0)</f>
        <v/>
      </c>
    </row>
    <row r="201" spans="1:12" x14ac:dyDescent="0.3">
      <c r="A201" s="123" t="str" vm="1135">
        <f>CUBEMEMBER("BIDB","[Dimittenddato].[Dimittenddato].&amp;[2009-06-14T00:00:00]")</f>
        <v>14-06-2009</v>
      </c>
      <c r="B201" t="str" vm="15857">
        <f>IFERROR(CUBEVALUE("BIDB",$A201,B$3,'Præsentationstabeller 1'!$C$2),0)</f>
        <v/>
      </c>
      <c r="C201" t="str" vm="1677">
        <f>IFERROR(CUBEVALUE("BIDB",$A201,C$3,C$2,'Præsentationstabeller 1'!$C$2),0)</f>
        <v/>
      </c>
      <c r="D201" t="str" vm="13775">
        <f>IFERROR(CUBEVALUE("BIDB",$A201,D$3,D$2,'Præsentationstabeller 1'!$C$2),0)</f>
        <v/>
      </c>
      <c r="E201" vm="17021">
        <f>IFERROR(CUBEVALUE("BIDB",$A201,E$3,E$2,'Præsentationstabeller 1'!$C$2),0)</f>
        <v>2</v>
      </c>
      <c r="F201" t="str" vm="2322">
        <f>IFERROR(CUBEVALUE("BIDB",$A201,F$3,F$2,'Præsentationstabeller 1'!$C$2),0)</f>
        <v/>
      </c>
      <c r="G201" vm="1541">
        <f>IFERROR(CUBEVALUE("BIDB",$A201,G$3,G$2,'Præsentationstabeller 1'!$C$2),0)</f>
        <v>2</v>
      </c>
      <c r="H201" t="str" vm="1354">
        <f>IFERROR(CUBEVALUE("BIDB",$A201,H$3,H$2,'Præsentationstabeller 1'!$C$2),0)</f>
        <v/>
      </c>
      <c r="I201" t="str" vm="11455">
        <f>IFERROR(CUBEVALUE("BIDB",$A201,I$3,I$2,'Præsentationstabeller 1'!$C$2),0)</f>
        <v/>
      </c>
      <c r="J201" t="str" vm="12614">
        <f>IFERROR(CUBEVALUE("BIDB",$A201,J$3,J$2,'Præsentationstabeller 1'!$C$2),0)</f>
        <v/>
      </c>
      <c r="K201" t="str" vm="1540">
        <f>IFERROR(CUBEVALUE("BIDB",$A201,K$3,K$2,'Præsentationstabeller 1'!$C$2),0)</f>
        <v/>
      </c>
      <c r="L201" t="str" vm="1665">
        <f>IFERROR(CUBEVALUE("BIDB",$A201,L$3,L$2,'Præsentationstabeller 1'!$C$2),0)</f>
        <v/>
      </c>
    </row>
    <row r="202" spans="1:12" x14ac:dyDescent="0.3">
      <c r="A202" s="123" t="str" vm="1134">
        <f>CUBEMEMBER("BIDB","[Dimittenddato].[Dimittenddato].&amp;[2009-06-15T00:00:00]")</f>
        <v>15-06-2009</v>
      </c>
      <c r="B202" t="str" vm="2513">
        <f>IFERROR(CUBEVALUE("BIDB",$A202,B$3,'Præsentationstabeller 1'!$C$2),0)</f>
        <v/>
      </c>
      <c r="C202" t="str" vm="1607">
        <f>IFERROR(CUBEVALUE("BIDB",$A202,C$3,C$2,'Præsentationstabeller 1'!$C$2),0)</f>
        <v/>
      </c>
      <c r="D202" vm="15558">
        <f>IFERROR(CUBEVALUE("BIDB",$A202,D$3,D$2,'Præsentationstabeller 1'!$C$2),0)</f>
        <v>2</v>
      </c>
      <c r="E202" vm="7990">
        <f>IFERROR(CUBEVALUE("BIDB",$A202,E$3,E$2,'Præsentationstabeller 1'!$C$2),0)</f>
        <v>27</v>
      </c>
      <c r="F202" vm="3566">
        <f>IFERROR(CUBEVALUE("BIDB",$A202,F$3,F$2,'Præsentationstabeller 1'!$C$2),0)</f>
        <v>11</v>
      </c>
      <c r="G202" vm="2217">
        <f>IFERROR(CUBEVALUE("BIDB",$A202,G$3,G$2,'Præsentationstabeller 1'!$C$2),0)</f>
        <v>38</v>
      </c>
      <c r="H202" t="str" vm="1525">
        <f>IFERROR(CUBEVALUE("BIDB",$A202,H$3,H$2,'Præsentationstabeller 1'!$C$2),0)</f>
        <v/>
      </c>
      <c r="I202" t="str" vm="11310">
        <f>IFERROR(CUBEVALUE("BIDB",$A202,I$3,I$2,'Præsentationstabeller 1'!$C$2),0)</f>
        <v/>
      </c>
      <c r="J202" vm="16581">
        <f>IFERROR(CUBEVALUE("BIDB",$A202,J$3,J$2,'Præsentationstabeller 1'!$C$2),0)</f>
        <v>0.52</v>
      </c>
      <c r="K202" vm="1637">
        <f>IFERROR(CUBEVALUE("BIDB",$A202,K$3,K$2,'Præsentationstabeller 1'!$C$2),0)</f>
        <v>1</v>
      </c>
      <c r="L202" vm="17178">
        <f>IFERROR(CUBEVALUE("BIDB",$A202,L$3,L$2,'Præsentationstabeller 1'!$C$2),0)</f>
        <v>1.52</v>
      </c>
    </row>
    <row r="203" spans="1:12" x14ac:dyDescent="0.3">
      <c r="A203" s="123" t="str" vm="1133">
        <f>CUBEMEMBER("BIDB","[Dimittenddato].[Dimittenddato].&amp;[2009-06-16T00:00:00]")</f>
        <v>16-06-2009</v>
      </c>
      <c r="B203" t="str" vm="2391">
        <f>IFERROR(CUBEVALUE("BIDB",$A203,B$3,'Præsentationstabeller 1'!$C$2),0)</f>
        <v/>
      </c>
      <c r="C203" vm="1618">
        <f>IFERROR(CUBEVALUE("BIDB",$A203,C$3,C$2,'Præsentationstabeller 1'!$C$2),0)</f>
        <v>2</v>
      </c>
      <c r="D203" vm="9585">
        <f>IFERROR(CUBEVALUE("BIDB",$A203,D$3,D$2,'Præsentationstabeller 1'!$C$2),0)</f>
        <v>3</v>
      </c>
      <c r="E203" vm="9329">
        <f>IFERROR(CUBEVALUE("BIDB",$A203,E$3,E$2,'Præsentationstabeller 1'!$C$2),0)</f>
        <v>20</v>
      </c>
      <c r="F203" vm="3671">
        <f>IFERROR(CUBEVALUE("BIDB",$A203,F$3,F$2,'Præsentationstabeller 1'!$C$2),0)</f>
        <v>3</v>
      </c>
      <c r="G203" vm="16677">
        <f>IFERROR(CUBEVALUE("BIDB",$A203,G$3,G$2,'Præsentationstabeller 1'!$C$2),0)</f>
        <v>23</v>
      </c>
      <c r="H203" t="str" vm="1709">
        <f>IFERROR(CUBEVALUE("BIDB",$A203,H$3,H$2,'Præsentationstabeller 1'!$C$2),0)</f>
        <v/>
      </c>
      <c r="I203" t="str" vm="9445">
        <f>IFERROR(CUBEVALUE("BIDB",$A203,I$3,I$2,'Præsentationstabeller 1'!$C$2),0)</f>
        <v/>
      </c>
      <c r="J203" t="str" vm="14139">
        <f>IFERROR(CUBEVALUE("BIDB",$A203,J$3,J$2,'Præsentationstabeller 1'!$C$2),0)</f>
        <v/>
      </c>
      <c r="K203" t="str" vm="1795">
        <f>IFERROR(CUBEVALUE("BIDB",$A203,K$3,K$2,'Præsentationstabeller 1'!$C$2),0)</f>
        <v/>
      </c>
      <c r="L203" t="str" vm="15823">
        <f>IFERROR(CUBEVALUE("BIDB",$A203,L$3,L$2,'Præsentationstabeller 1'!$C$2),0)</f>
        <v/>
      </c>
    </row>
    <row r="204" spans="1:12" x14ac:dyDescent="0.3">
      <c r="A204" s="123" t="str" vm="1132">
        <f>CUBEMEMBER("BIDB","[Dimittenddato].[Dimittenddato].&amp;[2009-06-17T00:00:00]")</f>
        <v>17-06-2009</v>
      </c>
      <c r="B204" t="str" vm="1942">
        <f>IFERROR(CUBEVALUE("BIDB",$A204,B$3,'Præsentationstabeller 1'!$C$2),0)</f>
        <v/>
      </c>
      <c r="C204" vm="1377">
        <f>IFERROR(CUBEVALUE("BIDB",$A204,C$3,C$2,'Præsentationstabeller 1'!$C$2),0)</f>
        <v>1</v>
      </c>
      <c r="D204" vm="15238">
        <f>IFERROR(CUBEVALUE("BIDB",$A204,D$3,D$2,'Præsentationstabeller 1'!$C$2),0)</f>
        <v>4</v>
      </c>
      <c r="E204" vm="14098">
        <f>IFERROR(CUBEVALUE("BIDB",$A204,E$3,E$2,'Præsentationstabeller 1'!$C$2),0)</f>
        <v>36</v>
      </c>
      <c r="F204" vm="2723">
        <f>IFERROR(CUBEVALUE("BIDB",$A204,F$3,F$2,'Præsentationstabeller 1'!$C$2),0)</f>
        <v>12</v>
      </c>
      <c r="G204" vm="17166">
        <f>IFERROR(CUBEVALUE("BIDB",$A204,G$3,G$2,'Præsentationstabeller 1'!$C$2),0)</f>
        <v>48</v>
      </c>
      <c r="H204" t="str" vm="1722">
        <f>IFERROR(CUBEVALUE("BIDB",$A204,H$3,H$2,'Præsentationstabeller 1'!$C$2),0)</f>
        <v/>
      </c>
      <c r="I204" t="str" vm="10022">
        <f>IFERROR(CUBEVALUE("BIDB",$A204,I$3,I$2,'Præsentationstabeller 1'!$C$2),0)</f>
        <v/>
      </c>
      <c r="J204" vm="11589">
        <f>IFERROR(CUBEVALUE("BIDB",$A204,J$3,J$2,'Præsentationstabeller 1'!$C$2),0)</f>
        <v>0.6</v>
      </c>
      <c r="K204" vm="1342">
        <f>IFERROR(CUBEVALUE("BIDB",$A204,K$3,K$2,'Præsentationstabeller 1'!$C$2),0)</f>
        <v>0.48</v>
      </c>
      <c r="L204" vm="1492">
        <f>IFERROR(CUBEVALUE("BIDB",$A204,L$3,L$2,'Præsentationstabeller 1'!$C$2),0)</f>
        <v>1.08</v>
      </c>
    </row>
    <row r="205" spans="1:12" x14ac:dyDescent="0.3">
      <c r="A205" s="123" t="str" vm="1131">
        <f>CUBEMEMBER("BIDB","[Dimittenddato].[Dimittenddato].&amp;[2009-06-18T00:00:00]")</f>
        <v>18-06-2009</v>
      </c>
      <c r="B205" t="str" vm="2418">
        <f>IFERROR(CUBEVALUE("BIDB",$A205,B$3,'Præsentationstabeller 1'!$C$2),0)</f>
        <v/>
      </c>
      <c r="C205" t="str" vm="1980">
        <f>IFERROR(CUBEVALUE("BIDB",$A205,C$3,C$2,'Præsentationstabeller 1'!$C$2),0)</f>
        <v/>
      </c>
      <c r="D205" vm="13312">
        <f>IFERROR(CUBEVALUE("BIDB",$A205,D$3,D$2,'Præsentationstabeller 1'!$C$2),0)</f>
        <v>6</v>
      </c>
      <c r="E205" vm="11463">
        <f>IFERROR(CUBEVALUE("BIDB",$A205,E$3,E$2,'Præsentationstabeller 1'!$C$2),0)</f>
        <v>17</v>
      </c>
      <c r="F205" vm="2267">
        <f>IFERROR(CUBEVALUE("BIDB",$A205,F$3,F$2,'Præsentationstabeller 1'!$C$2),0)</f>
        <v>9</v>
      </c>
      <c r="G205" vm="1857">
        <f>IFERROR(CUBEVALUE("BIDB",$A205,G$3,G$2,'Præsentationstabeller 1'!$C$2),0)</f>
        <v>26</v>
      </c>
      <c r="H205" t="str" vm="2966">
        <f>IFERROR(CUBEVALUE("BIDB",$A205,H$3,H$2,'Præsentationstabeller 1'!$C$2),0)</f>
        <v/>
      </c>
      <c r="I205" t="str" vm="10647">
        <f>IFERROR(CUBEVALUE("BIDB",$A205,I$3,I$2,'Præsentationstabeller 1'!$C$2),0)</f>
        <v/>
      </c>
      <c r="J205" vm="15344">
        <f>IFERROR(CUBEVALUE("BIDB",$A205,J$3,J$2,'Præsentationstabeller 1'!$C$2),0)</f>
        <v>0.6</v>
      </c>
      <c r="K205" t="str" vm="1736">
        <f>IFERROR(CUBEVALUE("BIDB",$A205,K$3,K$2,'Præsentationstabeller 1'!$C$2),0)</f>
        <v/>
      </c>
      <c r="L205" vm="1663">
        <f>IFERROR(CUBEVALUE("BIDB",$A205,L$3,L$2,'Præsentationstabeller 1'!$C$2),0)</f>
        <v>0.6</v>
      </c>
    </row>
    <row r="206" spans="1:12" x14ac:dyDescent="0.3">
      <c r="A206" s="123" t="str" vm="1130">
        <f>CUBEMEMBER("BIDB","[Dimittenddato].[Dimittenddato].&amp;[2009-06-19T00:00:00]")</f>
        <v>19-06-2009</v>
      </c>
      <c r="B206" t="str" vm="1934">
        <f>IFERROR(CUBEVALUE("BIDB",$A206,B$3,'Præsentationstabeller 1'!$C$2),0)</f>
        <v/>
      </c>
      <c r="C206" t="str" vm="16674">
        <f>IFERROR(CUBEVALUE("BIDB",$A206,C$3,C$2,'Præsentationstabeller 1'!$C$2),0)</f>
        <v/>
      </c>
      <c r="D206" vm="13722">
        <f>IFERROR(CUBEVALUE("BIDB",$A206,D$3,D$2,'Præsentationstabeller 1'!$C$2),0)</f>
        <v>8</v>
      </c>
      <c r="E206" vm="11808">
        <f>IFERROR(CUBEVALUE("BIDB",$A206,E$3,E$2,'Præsentationstabeller 1'!$C$2),0)</f>
        <v>29</v>
      </c>
      <c r="F206" vm="1704">
        <f>IFERROR(CUBEVALUE("BIDB",$A206,F$3,F$2,'Præsentationstabeller 1'!$C$2),0)</f>
        <v>19</v>
      </c>
      <c r="G206" vm="3107">
        <f>IFERROR(CUBEVALUE("BIDB",$A206,G$3,G$2,'Præsentationstabeller 1'!$C$2),0)</f>
        <v>48</v>
      </c>
      <c r="H206" t="str" vm="1358">
        <f>IFERROR(CUBEVALUE("BIDB",$A206,H$3,H$2,'Præsentationstabeller 1'!$C$2),0)</f>
        <v/>
      </c>
      <c r="I206" t="str" vm="9970">
        <f>IFERROR(CUBEVALUE("BIDB",$A206,I$3,I$2,'Præsentationstabeller 1'!$C$2),0)</f>
        <v/>
      </c>
      <c r="J206" t="str" vm="15186">
        <f>IFERROR(CUBEVALUE("BIDB",$A206,J$3,J$2,'Præsentationstabeller 1'!$C$2),0)</f>
        <v/>
      </c>
      <c r="K206" vm="2199">
        <f>IFERROR(CUBEVALUE("BIDB",$A206,K$3,K$2,'Præsentationstabeller 1'!$C$2),0)</f>
        <v>1</v>
      </c>
      <c r="L206" vm="16712">
        <f>IFERROR(CUBEVALUE("BIDB",$A206,L$3,L$2,'Præsentationstabeller 1'!$C$2),0)</f>
        <v>1</v>
      </c>
    </row>
    <row r="207" spans="1:12" x14ac:dyDescent="0.3">
      <c r="A207" s="123" t="str" vm="1129">
        <f>CUBEMEMBER("BIDB","[Dimittenddato].[Dimittenddato].&amp;[2009-06-20T00:00:00]")</f>
        <v>20-06-2009</v>
      </c>
      <c r="B207" t="str" vm="2055">
        <f>IFERROR(CUBEVALUE("BIDB",$A207,B$3,'Præsentationstabeller 1'!$C$2),0)</f>
        <v/>
      </c>
      <c r="C207" vm="2213">
        <f>IFERROR(CUBEVALUE("BIDB",$A207,C$3,C$2,'Præsentationstabeller 1'!$C$2),0)</f>
        <v>1</v>
      </c>
      <c r="D207" t="str" vm="12378">
        <f>IFERROR(CUBEVALUE("BIDB",$A207,D$3,D$2,'Præsentationstabeller 1'!$C$2),0)</f>
        <v/>
      </c>
      <c r="E207" vm="15805">
        <f>IFERROR(CUBEVALUE("BIDB",$A207,E$3,E$2,'Præsentationstabeller 1'!$C$2),0)</f>
        <v>3</v>
      </c>
      <c r="F207" t="str" vm="1944">
        <f>IFERROR(CUBEVALUE("BIDB",$A207,F$3,F$2,'Præsentationstabeller 1'!$C$2),0)</f>
        <v/>
      </c>
      <c r="G207" vm="16243">
        <f>IFERROR(CUBEVALUE("BIDB",$A207,G$3,G$2,'Præsentationstabeller 1'!$C$2),0)</f>
        <v>3</v>
      </c>
      <c r="H207" t="str" vm="1845">
        <f>IFERROR(CUBEVALUE("BIDB",$A207,H$3,H$2,'Præsentationstabeller 1'!$C$2),0)</f>
        <v/>
      </c>
      <c r="I207" t="str" vm="9640">
        <f>IFERROR(CUBEVALUE("BIDB",$A207,I$3,I$2,'Præsentationstabeller 1'!$C$2),0)</f>
        <v/>
      </c>
      <c r="J207" t="str" vm="16356">
        <f>IFERROR(CUBEVALUE("BIDB",$A207,J$3,J$2,'Præsentationstabeller 1'!$C$2),0)</f>
        <v/>
      </c>
      <c r="K207" t="str" vm="4118">
        <f>IFERROR(CUBEVALUE("BIDB",$A207,K$3,K$2,'Præsentationstabeller 1'!$C$2),0)</f>
        <v/>
      </c>
      <c r="L207" t="str" vm="16713">
        <f>IFERROR(CUBEVALUE("BIDB",$A207,L$3,L$2,'Præsentationstabeller 1'!$C$2),0)</f>
        <v/>
      </c>
    </row>
    <row r="208" spans="1:12" x14ac:dyDescent="0.3">
      <c r="A208" s="123" t="str" vm="1128">
        <f>CUBEMEMBER("BIDB","[Dimittenddato].[Dimittenddato].&amp;[2009-06-21T00:00:00]")</f>
        <v>21-06-2009</v>
      </c>
      <c r="B208" t="str" vm="2397">
        <f>IFERROR(CUBEVALUE("BIDB",$A208,B$3,'Præsentationstabeller 1'!$C$2),0)</f>
        <v/>
      </c>
      <c r="C208" t="str" vm="1558">
        <f>IFERROR(CUBEVALUE("BIDB",$A208,C$3,C$2,'Præsentationstabeller 1'!$C$2),0)</f>
        <v/>
      </c>
      <c r="D208" t="str" vm="16484">
        <f>IFERROR(CUBEVALUE("BIDB",$A208,D$3,D$2,'Præsentationstabeller 1'!$C$2),0)</f>
        <v/>
      </c>
      <c r="E208" vm="10501">
        <f>IFERROR(CUBEVALUE("BIDB",$A208,E$3,E$2,'Præsentationstabeller 1'!$C$2),0)</f>
        <v>3</v>
      </c>
      <c r="F208" t="str" vm="1405">
        <f>IFERROR(CUBEVALUE("BIDB",$A208,F$3,F$2,'Præsentationstabeller 1'!$C$2),0)</f>
        <v/>
      </c>
      <c r="G208" vm="1625">
        <f>IFERROR(CUBEVALUE("BIDB",$A208,G$3,G$2,'Præsentationstabeller 1'!$C$2),0)</f>
        <v>3</v>
      </c>
      <c r="H208" t="str" vm="1662">
        <f>IFERROR(CUBEVALUE("BIDB",$A208,H$3,H$2,'Præsentationstabeller 1'!$C$2),0)</f>
        <v/>
      </c>
      <c r="I208" t="str" vm="15190">
        <f>IFERROR(CUBEVALUE("BIDB",$A208,I$3,I$2,'Præsentationstabeller 1'!$C$2),0)</f>
        <v/>
      </c>
      <c r="J208" t="str" vm="13638">
        <f>IFERROR(CUBEVALUE("BIDB",$A208,J$3,J$2,'Præsentationstabeller 1'!$C$2),0)</f>
        <v/>
      </c>
      <c r="K208" t="str" vm="1495">
        <f>IFERROR(CUBEVALUE("BIDB",$A208,K$3,K$2,'Præsentationstabeller 1'!$C$2),0)</f>
        <v/>
      </c>
      <c r="L208" t="str" vm="16690">
        <f>IFERROR(CUBEVALUE("BIDB",$A208,L$3,L$2,'Præsentationstabeller 1'!$C$2),0)</f>
        <v/>
      </c>
    </row>
    <row r="209" spans="1:12" x14ac:dyDescent="0.3">
      <c r="A209" s="123" t="str" vm="1127">
        <f>CUBEMEMBER("BIDB","[Dimittenddato].[Dimittenddato].&amp;[2009-06-22T00:00:00]")</f>
        <v>22-06-2009</v>
      </c>
      <c r="B209" t="str" vm="2514">
        <f>IFERROR(CUBEVALUE("BIDB",$A209,B$3,'Præsentationstabeller 1'!$C$2),0)</f>
        <v/>
      </c>
      <c r="C209" vm="1895">
        <f>IFERROR(CUBEVALUE("BIDB",$A209,C$3,C$2,'Præsentationstabeller 1'!$C$2),0)</f>
        <v>2</v>
      </c>
      <c r="D209" vm="16162">
        <f>IFERROR(CUBEVALUE("BIDB",$A209,D$3,D$2,'Præsentationstabeller 1'!$C$2),0)</f>
        <v>6</v>
      </c>
      <c r="E209" vm="14985">
        <f>IFERROR(CUBEVALUE("BIDB",$A209,E$3,E$2,'Præsentationstabeller 1'!$C$2),0)</f>
        <v>39</v>
      </c>
      <c r="F209" vm="1936">
        <f>IFERROR(CUBEVALUE("BIDB",$A209,F$3,F$2,'Præsentationstabeller 1'!$C$2),0)</f>
        <v>12</v>
      </c>
      <c r="G209" vm="3123">
        <f>IFERROR(CUBEVALUE("BIDB",$A209,G$3,G$2,'Præsentationstabeller 1'!$C$2),0)</f>
        <v>51</v>
      </c>
      <c r="H209" t="str" vm="2053">
        <f>IFERROR(CUBEVALUE("BIDB",$A209,H$3,H$2,'Præsentationstabeller 1'!$C$2),0)</f>
        <v/>
      </c>
      <c r="I209" vm="9281">
        <f>IFERROR(CUBEVALUE("BIDB",$A209,I$3,I$2,'Præsentationstabeller 1'!$C$2),0)</f>
        <v>1</v>
      </c>
      <c r="J209" t="str" vm="14671">
        <f>IFERROR(CUBEVALUE("BIDB",$A209,J$3,J$2,'Præsentationstabeller 1'!$C$2),0)</f>
        <v/>
      </c>
      <c r="K209" t="str" vm="1496">
        <f>IFERROR(CUBEVALUE("BIDB",$A209,K$3,K$2,'Præsentationstabeller 1'!$C$2),0)</f>
        <v/>
      </c>
      <c r="L209" t="str" vm="17180">
        <f>IFERROR(CUBEVALUE("BIDB",$A209,L$3,L$2,'Præsentationstabeller 1'!$C$2),0)</f>
        <v/>
      </c>
    </row>
    <row r="210" spans="1:12" x14ac:dyDescent="0.3">
      <c r="A210" s="123" t="str" vm="1126">
        <f>CUBEMEMBER("BIDB","[Dimittenddato].[Dimittenddato].&amp;[2009-06-23T00:00:00]")</f>
        <v>23-06-2009</v>
      </c>
      <c r="B210" t="str" vm="1848">
        <f>IFERROR(CUBEVALUE("BIDB",$A210,B$3,'Præsentationstabeller 1'!$C$2),0)</f>
        <v/>
      </c>
      <c r="C210" t="str" vm="1441">
        <f>IFERROR(CUBEVALUE("BIDB",$A210,C$3,C$2,'Præsentationstabeller 1'!$C$2),0)</f>
        <v/>
      </c>
      <c r="D210" vm="13472">
        <f>IFERROR(CUBEVALUE("BIDB",$A210,D$3,D$2,'Præsentationstabeller 1'!$C$2),0)</f>
        <v>8</v>
      </c>
      <c r="E210" vm="12191">
        <f>IFERROR(CUBEVALUE("BIDB",$A210,E$3,E$2,'Præsentationstabeller 1'!$C$2),0)</f>
        <v>35</v>
      </c>
      <c r="F210" vm="9938">
        <f>IFERROR(CUBEVALUE("BIDB",$A210,F$3,F$2,'Præsentationstabeller 1'!$C$2),0)</f>
        <v>12</v>
      </c>
      <c r="G210" vm="1468">
        <f>IFERROR(CUBEVALUE("BIDB",$A210,G$3,G$2,'Præsentationstabeller 1'!$C$2),0)</f>
        <v>47</v>
      </c>
      <c r="H210" t="str" vm="1351">
        <f>IFERROR(CUBEVALUE("BIDB",$A210,H$3,H$2,'Præsentationstabeller 1'!$C$2),0)</f>
        <v/>
      </c>
      <c r="I210" t="str" vm="14055">
        <f>IFERROR(CUBEVALUE("BIDB",$A210,I$3,I$2,'Præsentationstabeller 1'!$C$2),0)</f>
        <v/>
      </c>
      <c r="J210" vm="13385">
        <f>IFERROR(CUBEVALUE("BIDB",$A210,J$3,J$2,'Præsentationstabeller 1'!$C$2),0)</f>
        <v>1</v>
      </c>
      <c r="K210" t="str" vm="3880">
        <f>IFERROR(CUBEVALUE("BIDB",$A210,K$3,K$2,'Præsentationstabeller 1'!$C$2),0)</f>
        <v/>
      </c>
      <c r="L210" vm="17171">
        <f>IFERROR(CUBEVALUE("BIDB",$A210,L$3,L$2,'Præsentationstabeller 1'!$C$2),0)</f>
        <v>1</v>
      </c>
    </row>
    <row r="211" spans="1:12" x14ac:dyDescent="0.3">
      <c r="A211" s="123" t="str" vm="1125">
        <f>CUBEMEMBER("BIDB","[Dimittenddato].[Dimittenddato].&amp;[2009-06-24T00:00:00]")</f>
        <v>24-06-2009</v>
      </c>
      <c r="B211" t="str" vm="2088">
        <f>IFERROR(CUBEVALUE("BIDB",$A211,B$3,'Præsentationstabeller 1'!$C$2),0)</f>
        <v/>
      </c>
      <c r="C211" vm="1969">
        <f>IFERROR(CUBEVALUE("BIDB",$A211,C$3,C$2,'Præsentationstabeller 1'!$C$2),0)</f>
        <v>0</v>
      </c>
      <c r="D211" vm="12755">
        <f>IFERROR(CUBEVALUE("BIDB",$A211,D$3,D$2,'Præsentationstabeller 1'!$C$2),0)</f>
        <v>4</v>
      </c>
      <c r="E211" vm="12249">
        <f>IFERROR(CUBEVALUE("BIDB",$A211,E$3,E$2,'Præsentationstabeller 1'!$C$2),0)</f>
        <v>18</v>
      </c>
      <c r="F211" vm="4417">
        <f>IFERROR(CUBEVALUE("BIDB",$A211,F$3,F$2,'Præsentationstabeller 1'!$C$2),0)</f>
        <v>15</v>
      </c>
      <c r="G211" vm="1493">
        <f>IFERROR(CUBEVALUE("BIDB",$A211,G$3,G$2,'Præsentationstabeller 1'!$C$2),0)</f>
        <v>33</v>
      </c>
      <c r="H211" t="str" vm="1428">
        <f>IFERROR(CUBEVALUE("BIDB",$A211,H$3,H$2,'Præsentationstabeller 1'!$C$2),0)</f>
        <v/>
      </c>
      <c r="I211" t="str" vm="9147">
        <f>IFERROR(CUBEVALUE("BIDB",$A211,I$3,I$2,'Præsentationstabeller 1'!$C$2),0)</f>
        <v/>
      </c>
      <c r="J211" t="str" vm="15105">
        <f>IFERROR(CUBEVALUE("BIDB",$A211,J$3,J$2,'Præsentationstabeller 1'!$C$2),0)</f>
        <v/>
      </c>
      <c r="K211" t="str" vm="2383">
        <f>IFERROR(CUBEVALUE("BIDB",$A211,K$3,K$2,'Præsentationstabeller 1'!$C$2),0)</f>
        <v/>
      </c>
      <c r="L211" t="str" vm="2012">
        <f>IFERROR(CUBEVALUE("BIDB",$A211,L$3,L$2,'Præsentationstabeller 1'!$C$2),0)</f>
        <v/>
      </c>
    </row>
    <row r="212" spans="1:12" x14ac:dyDescent="0.3">
      <c r="A212" s="123" t="str" vm="1124">
        <f>CUBEMEMBER("BIDB","[Dimittenddato].[Dimittenddato].&amp;[2009-06-25T00:00:00]")</f>
        <v>25-06-2009</v>
      </c>
      <c r="B212" t="str" vm="17194">
        <f>IFERROR(CUBEVALUE("BIDB",$A212,B$3,'Præsentationstabeller 1'!$C$2),0)</f>
        <v/>
      </c>
      <c r="C212" t="str" vm="2009">
        <f>IFERROR(CUBEVALUE("BIDB",$A212,C$3,C$2,'Præsentationstabeller 1'!$C$2),0)</f>
        <v/>
      </c>
      <c r="D212" vm="13489">
        <f>IFERROR(CUBEVALUE("BIDB",$A212,D$3,D$2,'Præsentationstabeller 1'!$C$2),0)</f>
        <v>3</v>
      </c>
      <c r="E212" vm="13441">
        <f>IFERROR(CUBEVALUE("BIDB",$A212,E$3,E$2,'Præsentationstabeller 1'!$C$2),0)</f>
        <v>31</v>
      </c>
      <c r="F212" vm="2554">
        <f>IFERROR(CUBEVALUE("BIDB",$A212,F$3,F$2,'Præsentationstabeller 1'!$C$2),0)</f>
        <v>11</v>
      </c>
      <c r="G212" vm="16245">
        <f>IFERROR(CUBEVALUE("BIDB",$A212,G$3,G$2,'Præsentationstabeller 1'!$C$2),0)</f>
        <v>42</v>
      </c>
      <c r="H212" t="str" vm="1410">
        <f>IFERROR(CUBEVALUE("BIDB",$A212,H$3,H$2,'Præsentationstabeller 1'!$C$2),0)</f>
        <v/>
      </c>
      <c r="I212" t="str" vm="10819">
        <f>IFERROR(CUBEVALUE("BIDB",$A212,I$3,I$2,'Præsentationstabeller 1'!$C$2),0)</f>
        <v/>
      </c>
      <c r="J212" vm="13434">
        <f>IFERROR(CUBEVALUE("BIDB",$A212,J$3,J$2,'Præsentationstabeller 1'!$C$2),0)</f>
        <v>1.6</v>
      </c>
      <c r="K212" t="str" vm="17168">
        <f>IFERROR(CUBEVALUE("BIDB",$A212,K$3,K$2,'Præsentationstabeller 1'!$C$2),0)</f>
        <v/>
      </c>
      <c r="L212" vm="16678">
        <f>IFERROR(CUBEVALUE("BIDB",$A212,L$3,L$2,'Præsentationstabeller 1'!$C$2),0)</f>
        <v>1.6</v>
      </c>
    </row>
    <row r="213" spans="1:12" x14ac:dyDescent="0.3">
      <c r="A213" s="123" t="str" vm="1123">
        <f>CUBEMEMBER("BIDB","[Dimittenddato].[Dimittenddato].&amp;[2009-06-26T00:00:00]")</f>
        <v>26-06-2009</v>
      </c>
      <c r="B213" t="str" vm="1750">
        <f>IFERROR(CUBEVALUE("BIDB",$A213,B$3,'Præsentationstabeller 1'!$C$2),0)</f>
        <v/>
      </c>
      <c r="C213" vm="3012">
        <f>IFERROR(CUBEVALUE("BIDB",$A213,C$3,C$2,'Præsentationstabeller 1'!$C$2),0)</f>
        <v>2</v>
      </c>
      <c r="D213" vm="16898">
        <f>IFERROR(CUBEVALUE("BIDB",$A213,D$3,D$2,'Præsentationstabeller 1'!$C$2),0)</f>
        <v>3</v>
      </c>
      <c r="E213" vm="9313">
        <f>IFERROR(CUBEVALUE("BIDB",$A213,E$3,E$2,'Præsentationstabeller 1'!$C$2),0)</f>
        <v>18</v>
      </c>
      <c r="F213" vm="1850">
        <f>IFERROR(CUBEVALUE("BIDB",$A213,F$3,F$2,'Præsentationstabeller 1'!$C$2),0)</f>
        <v>18</v>
      </c>
      <c r="G213" vm="2406">
        <f>IFERROR(CUBEVALUE("BIDB",$A213,G$3,G$2,'Præsentationstabeller 1'!$C$2),0)</f>
        <v>36</v>
      </c>
      <c r="H213" t="str" vm="1687">
        <f>IFERROR(CUBEVALUE("BIDB",$A213,H$3,H$2,'Præsentationstabeller 1'!$C$2),0)</f>
        <v/>
      </c>
      <c r="I213" t="str" vm="8139">
        <f>IFERROR(CUBEVALUE("BIDB",$A213,I$3,I$2,'Præsentationstabeller 1'!$C$2),0)</f>
        <v/>
      </c>
      <c r="J213" t="str" vm="13182">
        <f>IFERROR(CUBEVALUE("BIDB",$A213,J$3,J$2,'Præsentationstabeller 1'!$C$2),0)</f>
        <v/>
      </c>
      <c r="K213" t="str" vm="2565">
        <f>IFERROR(CUBEVALUE("BIDB",$A213,K$3,K$2,'Præsentationstabeller 1'!$C$2),0)</f>
        <v/>
      </c>
      <c r="L213" t="str" vm="16693">
        <f>IFERROR(CUBEVALUE("BIDB",$A213,L$3,L$2,'Præsentationstabeller 1'!$C$2),0)</f>
        <v/>
      </c>
    </row>
    <row r="214" spans="1:12" x14ac:dyDescent="0.3">
      <c r="A214" s="123" t="str" vm="1122">
        <f>CUBEMEMBER("BIDB","[Dimittenddato].[Dimittenddato].&amp;[2009-06-27T00:00:00]")</f>
        <v>27-06-2009</v>
      </c>
      <c r="B214" t="str" vm="15853">
        <f>IFERROR(CUBEVALUE("BIDB",$A214,B$3,'Præsentationstabeller 1'!$C$2),0)</f>
        <v/>
      </c>
      <c r="C214" t="str" vm="1361">
        <f>IFERROR(CUBEVALUE("BIDB",$A214,C$3,C$2,'Præsentationstabeller 1'!$C$2),0)</f>
        <v/>
      </c>
      <c r="D214" t="str" vm="14163">
        <f>IFERROR(CUBEVALUE("BIDB",$A214,D$3,D$2,'Præsentationstabeller 1'!$C$2),0)</f>
        <v/>
      </c>
      <c r="E214" vm="12480">
        <f>IFERROR(CUBEVALUE("BIDB",$A214,E$3,E$2,'Præsentationstabeller 1'!$C$2),0)</f>
        <v>1</v>
      </c>
      <c r="F214" vm="4979">
        <f>IFERROR(CUBEVALUE("BIDB",$A214,F$3,F$2,'Præsentationstabeller 1'!$C$2),0)</f>
        <v>1</v>
      </c>
      <c r="G214" vm="1757">
        <f>IFERROR(CUBEVALUE("BIDB",$A214,G$3,G$2,'Præsentationstabeller 1'!$C$2),0)</f>
        <v>2</v>
      </c>
      <c r="H214" t="str" vm="1599">
        <f>IFERROR(CUBEVALUE("BIDB",$A214,H$3,H$2,'Præsentationstabeller 1'!$C$2),0)</f>
        <v/>
      </c>
      <c r="I214" t="str" vm="9715">
        <f>IFERROR(CUBEVALUE("BIDB",$A214,I$3,I$2,'Præsentationstabeller 1'!$C$2),0)</f>
        <v/>
      </c>
      <c r="J214" t="str" vm="14397">
        <f>IFERROR(CUBEVALUE("BIDB",$A214,J$3,J$2,'Præsentationstabeller 1'!$C$2),0)</f>
        <v/>
      </c>
      <c r="K214" t="str" vm="2204">
        <f>IFERROR(CUBEVALUE("BIDB",$A214,K$3,K$2,'Præsentationstabeller 1'!$C$2),0)</f>
        <v/>
      </c>
      <c r="L214" t="str" vm="1490">
        <f>IFERROR(CUBEVALUE("BIDB",$A214,L$3,L$2,'Præsentationstabeller 1'!$C$2),0)</f>
        <v/>
      </c>
    </row>
    <row r="215" spans="1:12" x14ac:dyDescent="0.3">
      <c r="A215" s="123" t="str" vm="1121">
        <f>CUBEMEMBER("BIDB","[Dimittenddato].[Dimittenddato].&amp;[2009-06-28T00:00:00]")</f>
        <v>28-06-2009</v>
      </c>
      <c r="B215" t="str" vm="2228">
        <f>IFERROR(CUBEVALUE("BIDB",$A215,B$3,'Præsentationstabeller 1'!$C$2),0)</f>
        <v/>
      </c>
      <c r="C215" t="str" vm="1527">
        <f>IFERROR(CUBEVALUE("BIDB",$A215,C$3,C$2,'Præsentationstabeller 1'!$C$2),0)</f>
        <v/>
      </c>
      <c r="D215" t="str" vm="10837">
        <f>IFERROR(CUBEVALUE("BIDB",$A215,D$3,D$2,'Præsentationstabeller 1'!$C$2),0)</f>
        <v/>
      </c>
      <c r="E215" t="str" vm="14323">
        <f>IFERROR(CUBEVALUE("BIDB",$A215,E$3,E$2,'Præsentationstabeller 1'!$C$2),0)</f>
        <v/>
      </c>
      <c r="F215" vm="1974">
        <f>IFERROR(CUBEVALUE("BIDB",$A215,F$3,F$2,'Præsentationstabeller 1'!$C$2),0)</f>
        <v>1</v>
      </c>
      <c r="G215" vm="1458">
        <f>IFERROR(CUBEVALUE("BIDB",$A215,G$3,G$2,'Præsentationstabeller 1'!$C$2),0)</f>
        <v>1</v>
      </c>
      <c r="H215" t="str" vm="3937">
        <f>IFERROR(CUBEVALUE("BIDB",$A215,H$3,H$2,'Præsentationstabeller 1'!$C$2),0)</f>
        <v/>
      </c>
      <c r="I215" t="str" vm="8215">
        <f>IFERROR(CUBEVALUE("BIDB",$A215,I$3,I$2,'Præsentationstabeller 1'!$C$2),0)</f>
        <v/>
      </c>
      <c r="J215" t="str" vm="15628">
        <f>IFERROR(CUBEVALUE("BIDB",$A215,J$3,J$2,'Præsentationstabeller 1'!$C$2),0)</f>
        <v/>
      </c>
      <c r="K215" t="str" vm="1547">
        <f>IFERROR(CUBEVALUE("BIDB",$A215,K$3,K$2,'Præsentationstabeller 1'!$C$2),0)</f>
        <v/>
      </c>
      <c r="L215" t="str" vm="1661">
        <f>IFERROR(CUBEVALUE("BIDB",$A215,L$3,L$2,'Præsentationstabeller 1'!$C$2),0)</f>
        <v/>
      </c>
    </row>
    <row r="216" spans="1:12" x14ac:dyDescent="0.3">
      <c r="A216" s="123" t="str" vm="1120">
        <f>CUBEMEMBER("BIDB","[Dimittenddato].[Dimittenddato].&amp;[2009-06-29T00:00:00]")</f>
        <v>29-06-2009</v>
      </c>
      <c r="B216" t="str" vm="15854">
        <f>IFERROR(CUBEVALUE("BIDB",$A216,B$3,'Præsentationstabeller 1'!$C$2),0)</f>
        <v/>
      </c>
      <c r="C216" t="str" vm="2021">
        <f>IFERROR(CUBEVALUE("BIDB",$A216,C$3,C$2,'Præsentationstabeller 1'!$C$2),0)</f>
        <v/>
      </c>
      <c r="D216" t="str" vm="9621">
        <f>IFERROR(CUBEVALUE("BIDB",$A216,D$3,D$2,'Præsentationstabeller 1'!$C$2),0)</f>
        <v/>
      </c>
      <c r="E216" vm="9567">
        <f>IFERROR(CUBEVALUE("BIDB",$A216,E$3,E$2,'Præsentationstabeller 1'!$C$2),0)</f>
        <v>13</v>
      </c>
      <c r="F216" vm="9291">
        <f>IFERROR(CUBEVALUE("BIDB",$A216,F$3,F$2,'Præsentationstabeller 1'!$C$2),0)</f>
        <v>6</v>
      </c>
      <c r="G216" vm="1483">
        <f>IFERROR(CUBEVALUE("BIDB",$A216,G$3,G$2,'Præsentationstabeller 1'!$C$2),0)</f>
        <v>19</v>
      </c>
      <c r="H216" t="str" vm="1587">
        <f>IFERROR(CUBEVALUE("BIDB",$A216,H$3,H$2,'Præsentationstabeller 1'!$C$2),0)</f>
        <v/>
      </c>
      <c r="I216" t="str" vm="10185">
        <f>IFERROR(CUBEVALUE("BIDB",$A216,I$3,I$2,'Præsentationstabeller 1'!$C$2),0)</f>
        <v/>
      </c>
      <c r="J216" t="str" vm="11351">
        <f>IFERROR(CUBEVALUE("BIDB",$A216,J$3,J$2,'Præsentationstabeller 1'!$C$2),0)</f>
        <v/>
      </c>
      <c r="K216" t="str" vm="10934">
        <f>IFERROR(CUBEVALUE("BIDB",$A216,K$3,K$2,'Præsentationstabeller 1'!$C$2),0)</f>
        <v/>
      </c>
      <c r="L216" t="str" vm="15828">
        <f>IFERROR(CUBEVALUE("BIDB",$A216,L$3,L$2,'Præsentationstabeller 1'!$C$2),0)</f>
        <v/>
      </c>
    </row>
    <row r="217" spans="1:12" x14ac:dyDescent="0.3">
      <c r="A217" s="123" t="str" vm="1119">
        <f>CUBEMEMBER("BIDB","[Dimittenddato].[Dimittenddato].&amp;[2009-06-30T00:00:00]")</f>
        <v>30-06-2009</v>
      </c>
      <c r="B217" t="str" vm="10922">
        <f>IFERROR(CUBEVALUE("BIDB",$A217,B$3,'Præsentationstabeller 1'!$C$2),0)</f>
        <v/>
      </c>
      <c r="C217" vm="12634">
        <f>IFERROR(CUBEVALUE("BIDB",$A217,C$3,C$2,'Præsentationstabeller 1'!$C$2),0)</f>
        <v>3</v>
      </c>
      <c r="D217" vm="15095">
        <f>IFERROR(CUBEVALUE("BIDB",$A217,D$3,D$2,'Præsentationstabeller 1'!$C$2),0)</f>
        <v>3</v>
      </c>
      <c r="E217" vm="9909">
        <f>IFERROR(CUBEVALUE("BIDB",$A217,E$3,E$2,'Præsentationstabeller 1'!$C$2),0)</f>
        <v>12</v>
      </c>
      <c r="F217" vm="9044">
        <f>IFERROR(CUBEVALUE("BIDB",$A217,F$3,F$2,'Præsentationstabeller 1'!$C$2),0)</f>
        <v>13</v>
      </c>
      <c r="G217" vm="9588">
        <f>IFERROR(CUBEVALUE("BIDB",$A217,G$3,G$2,'Præsentationstabeller 1'!$C$2),0)</f>
        <v>25</v>
      </c>
      <c r="H217" t="str" vm="14689">
        <f>IFERROR(CUBEVALUE("BIDB",$A217,H$3,H$2,'Præsentationstabeller 1'!$C$2),0)</f>
        <v/>
      </c>
      <c r="I217" t="str" vm="11254">
        <f>IFERROR(CUBEVALUE("BIDB",$A217,I$3,I$2,'Præsentationstabeller 1'!$C$2),0)</f>
        <v/>
      </c>
      <c r="J217" t="str" vm="10194">
        <f>IFERROR(CUBEVALUE("BIDB",$A217,J$3,J$2,'Præsentationstabeller 1'!$C$2),0)</f>
        <v/>
      </c>
      <c r="K217" t="str" vm="14261">
        <f>IFERROR(CUBEVALUE("BIDB",$A217,K$3,K$2,'Præsentationstabeller 1'!$C$2),0)</f>
        <v/>
      </c>
      <c r="L217" t="str" vm="9555">
        <f>IFERROR(CUBEVALUE("BIDB",$A217,L$3,L$2,'Præsentationstabeller 1'!$C$2),0)</f>
        <v/>
      </c>
    </row>
    <row r="218" spans="1:12" x14ac:dyDescent="0.3">
      <c r="A218" s="123" t="str" vm="1118">
        <f>CUBEMEMBER("BIDB","[Dimittenddato].[Dimittenddato].&amp;[2009-07-01T00:00:00]")</f>
        <v>01-07-2009</v>
      </c>
      <c r="B218" t="str" vm="10767">
        <f>IFERROR(CUBEVALUE("BIDB",$A218,B$3,'Præsentationstabeller 1'!$C$2),0)</f>
        <v/>
      </c>
      <c r="C218" t="str" vm="10323">
        <f>IFERROR(CUBEVALUE("BIDB",$A218,C$3,C$2,'Præsentationstabeller 1'!$C$2),0)</f>
        <v/>
      </c>
      <c r="D218" vm="13786">
        <f>IFERROR(CUBEVALUE("BIDB",$A218,D$3,D$2,'Præsentationstabeller 1'!$C$2),0)</f>
        <v>2</v>
      </c>
      <c r="E218" vm="6842">
        <f>IFERROR(CUBEVALUE("BIDB",$A218,E$3,E$2,'Præsentationstabeller 1'!$C$2),0)</f>
        <v>12</v>
      </c>
      <c r="F218" vm="10216">
        <f>IFERROR(CUBEVALUE("BIDB",$A218,F$3,F$2,'Præsentationstabeller 1'!$C$2),0)</f>
        <v>17</v>
      </c>
      <c r="G218" vm="15178">
        <f>IFERROR(CUBEVALUE("BIDB",$A218,G$3,G$2,'Præsentationstabeller 1'!$C$2),0)</f>
        <v>29</v>
      </c>
      <c r="H218" t="str" vm="16905">
        <f>IFERROR(CUBEVALUE("BIDB",$A218,H$3,H$2,'Præsentationstabeller 1'!$C$2),0)</f>
        <v/>
      </c>
      <c r="I218" t="str" vm="10064">
        <f>IFERROR(CUBEVALUE("BIDB",$A218,I$3,I$2,'Præsentationstabeller 1'!$C$2),0)</f>
        <v/>
      </c>
      <c r="J218" vm="8036">
        <f>IFERROR(CUBEVALUE("BIDB",$A218,J$3,J$2,'Præsentationstabeller 1'!$C$2),0)</f>
        <v>1.36</v>
      </c>
      <c r="K218" vm="14665">
        <f>IFERROR(CUBEVALUE("BIDB",$A218,K$3,K$2,'Præsentationstabeller 1'!$C$2),0)</f>
        <v>0.4</v>
      </c>
      <c r="L218" vm="10464">
        <f>IFERROR(CUBEVALUE("BIDB",$A218,L$3,L$2,'Præsentationstabeller 1'!$C$2),0)</f>
        <v>1.7600000000000002</v>
      </c>
    </row>
    <row r="219" spans="1:12" x14ac:dyDescent="0.3">
      <c r="A219" s="123" t="str" vm="1117">
        <f>CUBEMEMBER("BIDB","[Dimittenddato].[Dimittenddato].&amp;[2009-07-02T00:00:00]")</f>
        <v>02-07-2009</v>
      </c>
      <c r="B219" t="str" vm="11752">
        <f>IFERROR(CUBEVALUE("BIDB",$A219,B$3,'Præsentationstabeller 1'!$C$2),0)</f>
        <v/>
      </c>
      <c r="C219" t="str" vm="9412">
        <f>IFERROR(CUBEVALUE("BIDB",$A219,C$3,C$2,'Præsentationstabeller 1'!$C$2),0)</f>
        <v/>
      </c>
      <c r="D219" t="str" vm="10040">
        <f>IFERROR(CUBEVALUE("BIDB",$A219,D$3,D$2,'Præsentationstabeller 1'!$C$2),0)</f>
        <v/>
      </c>
      <c r="E219" vm="15769">
        <f>IFERROR(CUBEVALUE("BIDB",$A219,E$3,E$2,'Præsentationstabeller 1'!$C$2),0)</f>
        <v>9</v>
      </c>
      <c r="F219" vm="16132">
        <f>IFERROR(CUBEVALUE("BIDB",$A219,F$3,F$2,'Præsentationstabeller 1'!$C$2),0)</f>
        <v>3</v>
      </c>
      <c r="G219" vm="13315">
        <f>IFERROR(CUBEVALUE("BIDB",$A219,G$3,G$2,'Præsentationstabeller 1'!$C$2),0)</f>
        <v>12</v>
      </c>
      <c r="H219" t="str" vm="13366">
        <f>IFERROR(CUBEVALUE("BIDB",$A219,H$3,H$2,'Præsentationstabeller 1'!$C$2),0)</f>
        <v/>
      </c>
      <c r="I219" t="str" vm="10910">
        <f>IFERROR(CUBEVALUE("BIDB",$A219,I$3,I$2,'Præsentationstabeller 1'!$C$2),0)</f>
        <v/>
      </c>
      <c r="J219" t="str" vm="16057">
        <f>IFERROR(CUBEVALUE("BIDB",$A219,J$3,J$2,'Præsentationstabeller 1'!$C$2),0)</f>
        <v/>
      </c>
      <c r="K219" t="str" vm="9262">
        <f>IFERROR(CUBEVALUE("BIDB",$A219,K$3,K$2,'Præsentationstabeller 1'!$C$2),0)</f>
        <v/>
      </c>
      <c r="L219" t="str" vm="10980">
        <f>IFERROR(CUBEVALUE("BIDB",$A219,L$3,L$2,'Præsentationstabeller 1'!$C$2),0)</f>
        <v/>
      </c>
    </row>
    <row r="220" spans="1:12" x14ac:dyDescent="0.3">
      <c r="A220" s="123" t="str" vm="1116">
        <f>CUBEMEMBER("BIDB","[Dimittenddato].[Dimittenddato].&amp;[2009-07-03T00:00:00]")</f>
        <v>03-07-2009</v>
      </c>
      <c r="B220" t="str" vm="8941">
        <f>IFERROR(CUBEVALUE("BIDB",$A220,B$3,'Præsentationstabeller 1'!$C$2),0)</f>
        <v/>
      </c>
      <c r="C220" vm="13455">
        <f>IFERROR(CUBEVALUE("BIDB",$A220,C$3,C$2,'Præsentationstabeller 1'!$C$2),0)</f>
        <v>1</v>
      </c>
      <c r="D220" vm="15090">
        <f>IFERROR(CUBEVALUE("BIDB",$A220,D$3,D$2,'Præsentationstabeller 1'!$C$2),0)</f>
        <v>1</v>
      </c>
      <c r="E220" vm="14041">
        <f>IFERROR(CUBEVALUE("BIDB",$A220,E$3,E$2,'Præsentationstabeller 1'!$C$2),0)</f>
        <v>5</v>
      </c>
      <c r="F220" vm="7604">
        <f>IFERROR(CUBEVALUE("BIDB",$A220,F$3,F$2,'Præsentationstabeller 1'!$C$2),0)</f>
        <v>4</v>
      </c>
      <c r="G220" vm="11651">
        <f>IFERROR(CUBEVALUE("BIDB",$A220,G$3,G$2,'Præsentationstabeller 1'!$C$2),0)</f>
        <v>9</v>
      </c>
      <c r="H220" t="str" vm="7859">
        <f>IFERROR(CUBEVALUE("BIDB",$A220,H$3,H$2,'Præsentationstabeller 1'!$C$2),0)</f>
        <v/>
      </c>
      <c r="I220" t="str" vm="10102">
        <f>IFERROR(CUBEVALUE("BIDB",$A220,I$3,I$2,'Præsentationstabeller 1'!$C$2),0)</f>
        <v/>
      </c>
      <c r="J220" t="str" vm="10364">
        <f>IFERROR(CUBEVALUE("BIDB",$A220,J$3,J$2,'Præsentationstabeller 1'!$C$2),0)</f>
        <v/>
      </c>
      <c r="K220" t="str" vm="16529">
        <f>IFERROR(CUBEVALUE("BIDB",$A220,K$3,K$2,'Præsentationstabeller 1'!$C$2),0)</f>
        <v/>
      </c>
      <c r="L220" t="str" vm="8629">
        <f>IFERROR(CUBEVALUE("BIDB",$A220,L$3,L$2,'Præsentationstabeller 1'!$C$2),0)</f>
        <v/>
      </c>
    </row>
    <row r="221" spans="1:12" x14ac:dyDescent="0.3">
      <c r="A221" s="123" t="str" vm="1115">
        <f>CUBEMEMBER("BIDB","[Dimittenddato].[Dimittenddato].&amp;[2009-07-04T00:00:00]")</f>
        <v>04-07-2009</v>
      </c>
      <c r="B221" t="str" vm="10918">
        <f>IFERROR(CUBEVALUE("BIDB",$A221,B$3,'Præsentationstabeller 1'!$C$2),0)</f>
        <v/>
      </c>
      <c r="C221" t="str" vm="14315">
        <f>IFERROR(CUBEVALUE("BIDB",$A221,C$3,C$2,'Præsentationstabeller 1'!$C$2),0)</f>
        <v/>
      </c>
      <c r="D221" t="str" vm="15437">
        <f>IFERROR(CUBEVALUE("BIDB",$A221,D$3,D$2,'Præsentationstabeller 1'!$C$2),0)</f>
        <v/>
      </c>
      <c r="E221" t="str" vm="10861">
        <f>IFERROR(CUBEVALUE("BIDB",$A221,E$3,E$2,'Præsentationstabeller 1'!$C$2),0)</f>
        <v/>
      </c>
      <c r="F221" vm="8375">
        <f>IFERROR(CUBEVALUE("BIDB",$A221,F$3,F$2,'Præsentationstabeller 1'!$C$2),0)</f>
        <v>3</v>
      </c>
      <c r="G221" vm="11868">
        <f>IFERROR(CUBEVALUE("BIDB",$A221,G$3,G$2,'Præsentationstabeller 1'!$C$2),0)</f>
        <v>3</v>
      </c>
      <c r="H221" t="str" vm="11091">
        <f>IFERROR(CUBEVALUE("BIDB",$A221,H$3,H$2,'Præsentationstabeller 1'!$C$2),0)</f>
        <v/>
      </c>
      <c r="I221" t="str" vm="11218">
        <f>IFERROR(CUBEVALUE("BIDB",$A221,I$3,I$2,'Præsentationstabeller 1'!$C$2),0)</f>
        <v/>
      </c>
      <c r="J221" t="str" vm="13127">
        <f>IFERROR(CUBEVALUE("BIDB",$A221,J$3,J$2,'Præsentationstabeller 1'!$C$2),0)</f>
        <v/>
      </c>
      <c r="K221" t="str" vm="10141">
        <f>IFERROR(CUBEVALUE("BIDB",$A221,K$3,K$2,'Præsentationstabeller 1'!$C$2),0)</f>
        <v/>
      </c>
      <c r="L221" t="str" vm="11348">
        <f>IFERROR(CUBEVALUE("BIDB",$A221,L$3,L$2,'Præsentationstabeller 1'!$C$2),0)</f>
        <v/>
      </c>
    </row>
    <row r="222" spans="1:12" x14ac:dyDescent="0.3">
      <c r="A222" s="123" t="str" vm="1114">
        <f>CUBEMEMBER("BIDB","[Dimittenddato].[Dimittenddato].&amp;[2009-07-05T00:00:00]")</f>
        <v>05-07-2009</v>
      </c>
      <c r="B222" t="str" vm="12529">
        <f>IFERROR(CUBEVALUE("BIDB",$A222,B$3,'Præsentationstabeller 1'!$C$2),0)</f>
        <v/>
      </c>
      <c r="C222" t="str" vm="16857">
        <f>IFERROR(CUBEVALUE("BIDB",$A222,C$3,C$2,'Præsentationstabeller 1'!$C$2),0)</f>
        <v/>
      </c>
      <c r="D222" t="str" vm="11486">
        <f>IFERROR(CUBEVALUE("BIDB",$A222,D$3,D$2,'Præsentationstabeller 1'!$C$2),0)</f>
        <v/>
      </c>
      <c r="E222" t="str" vm="10054">
        <f>IFERROR(CUBEVALUE("BIDB",$A222,E$3,E$2,'Præsentationstabeller 1'!$C$2),0)</f>
        <v/>
      </c>
      <c r="F222" t="str" vm="14295">
        <f>IFERROR(CUBEVALUE("BIDB",$A222,F$3,F$2,'Præsentationstabeller 1'!$C$2),0)</f>
        <v/>
      </c>
      <c r="G222" t="str" vm="16369">
        <f>IFERROR(CUBEVALUE("BIDB",$A222,G$3,G$2,'Præsentationstabeller 1'!$C$2),0)</f>
        <v/>
      </c>
      <c r="H222" t="str" vm="9767">
        <f>IFERROR(CUBEVALUE("BIDB",$A222,H$3,H$2,'Præsentationstabeller 1'!$C$2),0)</f>
        <v/>
      </c>
      <c r="I222" t="str" vm="12466">
        <f>IFERROR(CUBEVALUE("BIDB",$A222,I$3,I$2,'Præsentationstabeller 1'!$C$2),0)</f>
        <v/>
      </c>
      <c r="J222" t="str" vm="8343">
        <f>IFERROR(CUBEVALUE("BIDB",$A222,J$3,J$2,'Præsentationstabeller 1'!$C$2),0)</f>
        <v/>
      </c>
      <c r="K222" t="str" vm="16826">
        <f>IFERROR(CUBEVALUE("BIDB",$A222,K$3,K$2,'Præsentationstabeller 1'!$C$2),0)</f>
        <v/>
      </c>
      <c r="L222" t="str" vm="12789">
        <f>IFERROR(CUBEVALUE("BIDB",$A222,L$3,L$2,'Præsentationstabeller 1'!$C$2),0)</f>
        <v/>
      </c>
    </row>
    <row r="223" spans="1:12" x14ac:dyDescent="0.3">
      <c r="A223" s="123" t="str" vm="1113">
        <f>CUBEMEMBER("BIDB","[Dimittenddato].[Dimittenddato].&amp;[2009-07-06T00:00:00]")</f>
        <v>06-07-2009</v>
      </c>
      <c r="B223" t="str" vm="7501">
        <f>IFERROR(CUBEVALUE("BIDB",$A223,B$3,'Præsentationstabeller 1'!$C$2),0)</f>
        <v/>
      </c>
      <c r="C223" vm="14726">
        <f>IFERROR(CUBEVALUE("BIDB",$A223,C$3,C$2,'Præsentationstabeller 1'!$C$2),0)</f>
        <v>1</v>
      </c>
      <c r="D223" vm="11328">
        <f>IFERROR(CUBEVALUE("BIDB",$A223,D$3,D$2,'Præsentationstabeller 1'!$C$2),0)</f>
        <v>1</v>
      </c>
      <c r="E223" vm="11790">
        <f>IFERROR(CUBEVALUE("BIDB",$A223,E$3,E$2,'Præsentationstabeller 1'!$C$2),0)</f>
        <v>0</v>
      </c>
      <c r="F223" t="str" vm="12843">
        <f>IFERROR(CUBEVALUE("BIDB",$A223,F$3,F$2,'Præsentationstabeller 1'!$C$2),0)</f>
        <v/>
      </c>
      <c r="G223" vm="14962">
        <f>IFERROR(CUBEVALUE("BIDB",$A223,G$3,G$2,'Præsentationstabeller 1'!$C$2),0)</f>
        <v>0</v>
      </c>
      <c r="H223" t="str" vm="12444">
        <f>IFERROR(CUBEVALUE("BIDB",$A223,H$3,H$2,'Præsentationstabeller 1'!$C$2),0)</f>
        <v/>
      </c>
      <c r="I223" t="str" vm="10242">
        <f>IFERROR(CUBEVALUE("BIDB",$A223,I$3,I$2,'Præsentationstabeller 1'!$C$2),0)</f>
        <v/>
      </c>
      <c r="J223" t="str" vm="14376">
        <f>IFERROR(CUBEVALUE("BIDB",$A223,J$3,J$2,'Præsentationstabeller 1'!$C$2),0)</f>
        <v/>
      </c>
      <c r="K223" t="str" vm="10527">
        <f>IFERROR(CUBEVALUE("BIDB",$A223,K$3,K$2,'Præsentationstabeller 1'!$C$2),0)</f>
        <v/>
      </c>
      <c r="L223" t="str" vm="15472">
        <f>IFERROR(CUBEVALUE("BIDB",$A223,L$3,L$2,'Præsentationstabeller 1'!$C$2),0)</f>
        <v/>
      </c>
    </row>
    <row r="224" spans="1:12" x14ac:dyDescent="0.3">
      <c r="A224" s="123" t="str" vm="1112">
        <f>CUBEMEMBER("BIDB","[Dimittenddato].[Dimittenddato].&amp;[2009-07-07T00:00:00]")</f>
        <v>07-07-2009</v>
      </c>
      <c r="B224" t="str" vm="7933">
        <f>IFERROR(CUBEVALUE("BIDB",$A224,B$3,'Præsentationstabeller 1'!$C$2),0)</f>
        <v/>
      </c>
      <c r="C224" t="str" vm="15555">
        <f>IFERROR(CUBEVALUE("BIDB",$A224,C$3,C$2,'Præsentationstabeller 1'!$C$2),0)</f>
        <v/>
      </c>
      <c r="D224" vm="12645">
        <f>IFERROR(CUBEVALUE("BIDB",$A224,D$3,D$2,'Præsentationstabeller 1'!$C$2),0)</f>
        <v>1</v>
      </c>
      <c r="E224" vm="14028">
        <f>IFERROR(CUBEVALUE("BIDB",$A224,E$3,E$2,'Præsentationstabeller 1'!$C$2),0)</f>
        <v>3</v>
      </c>
      <c r="F224" vm="12434">
        <f>IFERROR(CUBEVALUE("BIDB",$A224,F$3,F$2,'Præsentationstabeller 1'!$C$2),0)</f>
        <v>1</v>
      </c>
      <c r="G224" vm="16363">
        <f>IFERROR(CUBEVALUE("BIDB",$A224,G$3,G$2,'Præsentationstabeller 1'!$C$2),0)</f>
        <v>4</v>
      </c>
      <c r="H224" t="str" vm="7891">
        <f>IFERROR(CUBEVALUE("BIDB",$A224,H$3,H$2,'Præsentationstabeller 1'!$C$2),0)</f>
        <v/>
      </c>
      <c r="I224" t="str" vm="10086">
        <f>IFERROR(CUBEVALUE("BIDB",$A224,I$3,I$2,'Præsentationstabeller 1'!$C$2),0)</f>
        <v/>
      </c>
      <c r="J224" t="str" vm="9511">
        <f>IFERROR(CUBEVALUE("BIDB",$A224,J$3,J$2,'Præsentationstabeller 1'!$C$2),0)</f>
        <v/>
      </c>
      <c r="K224" t="str" vm="15429">
        <f>IFERROR(CUBEVALUE("BIDB",$A224,K$3,K$2,'Præsentationstabeller 1'!$C$2),0)</f>
        <v/>
      </c>
      <c r="L224" t="str" vm="8557">
        <f>IFERROR(CUBEVALUE("BIDB",$A224,L$3,L$2,'Præsentationstabeller 1'!$C$2),0)</f>
        <v/>
      </c>
    </row>
    <row r="225" spans="1:12" x14ac:dyDescent="0.3">
      <c r="A225" s="123" t="str" vm="1111">
        <f>CUBEMEMBER("BIDB","[Dimittenddato].[Dimittenddato].&amp;[2009-07-08T00:00:00]")</f>
        <v>08-07-2009</v>
      </c>
      <c r="B225" t="str" vm="14132">
        <f>IFERROR(CUBEVALUE("BIDB",$A225,B$3,'Præsentationstabeller 1'!$C$2),0)</f>
        <v/>
      </c>
      <c r="C225" t="str" vm="13377">
        <f>IFERROR(CUBEVALUE("BIDB",$A225,C$3,C$2,'Præsentationstabeller 1'!$C$2),0)</f>
        <v/>
      </c>
      <c r="D225" t="str" vm="13614">
        <f>IFERROR(CUBEVALUE("BIDB",$A225,D$3,D$2,'Præsentationstabeller 1'!$C$2),0)</f>
        <v/>
      </c>
      <c r="E225" vm="10008">
        <f>IFERROR(CUBEVALUE("BIDB",$A225,E$3,E$2,'Præsentationstabeller 1'!$C$2),0)</f>
        <v>3</v>
      </c>
      <c r="F225" vm="8125">
        <f>IFERROR(CUBEVALUE("BIDB",$A225,F$3,F$2,'Præsentationstabeller 1'!$C$2),0)</f>
        <v>1</v>
      </c>
      <c r="G225" vm="11224">
        <f>IFERROR(CUBEVALUE("BIDB",$A225,G$3,G$2,'Præsentationstabeller 1'!$C$2),0)</f>
        <v>4</v>
      </c>
      <c r="H225" t="str" vm="14888">
        <f>IFERROR(CUBEVALUE("BIDB",$A225,H$3,H$2,'Præsentationstabeller 1'!$C$2),0)</f>
        <v/>
      </c>
      <c r="I225" t="str" vm="11616">
        <f>IFERROR(CUBEVALUE("BIDB",$A225,I$3,I$2,'Præsentationstabeller 1'!$C$2),0)</f>
        <v/>
      </c>
      <c r="J225" vm="11296">
        <f>IFERROR(CUBEVALUE("BIDB",$A225,J$3,J$2,'Præsentationstabeller 1'!$C$2),0)</f>
        <v>0.6</v>
      </c>
      <c r="K225" t="str" vm="12608">
        <f>IFERROR(CUBEVALUE("BIDB",$A225,K$3,K$2,'Præsentationstabeller 1'!$C$2),0)</f>
        <v/>
      </c>
      <c r="L225" vm="9703">
        <f>IFERROR(CUBEVALUE("BIDB",$A225,L$3,L$2,'Præsentationstabeller 1'!$C$2),0)</f>
        <v>0.6</v>
      </c>
    </row>
    <row r="226" spans="1:12" x14ac:dyDescent="0.3">
      <c r="A226" s="123" t="str" vm="1110">
        <f>CUBEMEMBER("BIDB","[Dimittenddato].[Dimittenddato].&amp;[2009-07-09T00:00:00]")</f>
        <v>09-07-2009</v>
      </c>
      <c r="B226" t="str" vm="16516">
        <f>IFERROR(CUBEVALUE("BIDB",$A226,B$3,'Præsentationstabeller 1'!$C$2),0)</f>
        <v/>
      </c>
      <c r="C226" t="str" vm="17045">
        <f>IFERROR(CUBEVALUE("BIDB",$A226,C$3,C$2,'Præsentationstabeller 1'!$C$2),0)</f>
        <v/>
      </c>
      <c r="D226" vm="14018">
        <f>IFERROR(CUBEVALUE("BIDB",$A226,D$3,D$2,'Præsentationstabeller 1'!$C$2),0)</f>
        <v>1</v>
      </c>
      <c r="E226" vm="9680">
        <f>IFERROR(CUBEVALUE("BIDB",$A226,E$3,E$2,'Præsentationstabeller 1'!$C$2),0)</f>
        <v>2</v>
      </c>
      <c r="F226" vm="15199">
        <f>IFERROR(CUBEVALUE("BIDB",$A226,F$3,F$2,'Præsentationstabeller 1'!$C$2),0)</f>
        <v>2</v>
      </c>
      <c r="G226" vm="14240">
        <f>IFERROR(CUBEVALUE("BIDB",$A226,G$3,G$2,'Præsentationstabeller 1'!$C$2),0)</f>
        <v>4</v>
      </c>
      <c r="H226" t="str" vm="15877">
        <f>IFERROR(CUBEVALUE("BIDB",$A226,H$3,H$2,'Præsentationstabeller 1'!$C$2),0)</f>
        <v/>
      </c>
      <c r="I226" t="str" vm="10455">
        <f>IFERROR(CUBEVALUE("BIDB",$A226,I$3,I$2,'Præsentationstabeller 1'!$C$2),0)</f>
        <v/>
      </c>
      <c r="J226" t="str" vm="12255">
        <f>IFERROR(CUBEVALUE("BIDB",$A226,J$3,J$2,'Præsentationstabeller 1'!$C$2),0)</f>
        <v/>
      </c>
      <c r="K226" t="str" vm="14079">
        <f>IFERROR(CUBEVALUE("BIDB",$A226,K$3,K$2,'Præsentationstabeller 1'!$C$2),0)</f>
        <v/>
      </c>
      <c r="L226" t="str" vm="11083">
        <f>IFERROR(CUBEVALUE("BIDB",$A226,L$3,L$2,'Præsentationstabeller 1'!$C$2),0)</f>
        <v/>
      </c>
    </row>
    <row r="227" spans="1:12" x14ac:dyDescent="0.3">
      <c r="A227" s="123" t="str" vm="1109">
        <f>CUBEMEMBER("BIDB","[Dimittenddato].[Dimittenddato].&amp;[2009-07-10T00:00:00]")</f>
        <v>10-07-2009</v>
      </c>
      <c r="B227" t="str" vm="13655">
        <f>IFERROR(CUBEVALUE("BIDB",$A227,B$3,'Præsentationstabeller 1'!$C$2),0)</f>
        <v/>
      </c>
      <c r="C227" t="str" vm="17132">
        <f>IFERROR(CUBEVALUE("BIDB",$A227,C$3,C$2,'Præsentationstabeller 1'!$C$2),0)</f>
        <v/>
      </c>
      <c r="D227" vm="12442">
        <f>IFERROR(CUBEVALUE("BIDB",$A227,D$3,D$2,'Præsentationstabeller 1'!$C$2),0)</f>
        <v>2</v>
      </c>
      <c r="E227" vm="11774">
        <f>IFERROR(CUBEVALUE("BIDB",$A227,E$3,E$2,'Præsentationstabeller 1'!$C$2),0)</f>
        <v>2</v>
      </c>
      <c r="F227" t="str" vm="10308">
        <f>IFERROR(CUBEVALUE("BIDB",$A227,F$3,F$2,'Præsentationstabeller 1'!$C$2),0)</f>
        <v/>
      </c>
      <c r="G227" vm="16971">
        <f>IFERROR(CUBEVALUE("BIDB",$A227,G$3,G$2,'Præsentationstabeller 1'!$C$2),0)</f>
        <v>2</v>
      </c>
      <c r="H227" t="str" vm="15800">
        <f>IFERROR(CUBEVALUE("BIDB",$A227,H$3,H$2,'Præsentationstabeller 1'!$C$2),0)</f>
        <v/>
      </c>
      <c r="I227" t="str" vm="12451">
        <f>IFERROR(CUBEVALUE("BIDB",$A227,I$3,I$2,'Præsentationstabeller 1'!$C$2),0)</f>
        <v/>
      </c>
      <c r="J227" t="str" vm="11439">
        <f>IFERROR(CUBEVALUE("BIDB",$A227,J$3,J$2,'Præsentationstabeller 1'!$C$2),0)</f>
        <v/>
      </c>
      <c r="K227" t="str" vm="11834">
        <f>IFERROR(CUBEVALUE("BIDB",$A227,K$3,K$2,'Præsentationstabeller 1'!$C$2),0)</f>
        <v/>
      </c>
      <c r="L227" t="str" vm="12392">
        <f>IFERROR(CUBEVALUE("BIDB",$A227,L$3,L$2,'Præsentationstabeller 1'!$C$2),0)</f>
        <v/>
      </c>
    </row>
    <row r="228" spans="1:12" x14ac:dyDescent="0.3">
      <c r="A228" s="123" t="str" vm="1108">
        <f>CUBEMEMBER("BIDB","[Dimittenddato].[Dimittenddato].&amp;[2009-07-11T00:00:00]")</f>
        <v>11-07-2009</v>
      </c>
      <c r="B228" t="str" vm="7726">
        <f>IFERROR(CUBEVALUE("BIDB",$A228,B$3,'Præsentationstabeller 1'!$C$2),0)</f>
        <v/>
      </c>
      <c r="C228" t="str" vm="14773">
        <f>IFERROR(CUBEVALUE("BIDB",$A228,C$3,C$2,'Præsentationstabeller 1'!$C$2),0)</f>
        <v/>
      </c>
      <c r="D228" t="str" vm="13050">
        <f>IFERROR(CUBEVALUE("BIDB",$A228,D$3,D$2,'Præsentationstabeller 1'!$C$2),0)</f>
        <v/>
      </c>
      <c r="E228" t="str" vm="14576">
        <f>IFERROR(CUBEVALUE("BIDB",$A228,E$3,E$2,'Præsentationstabeller 1'!$C$2),0)</f>
        <v/>
      </c>
      <c r="F228" t="str" vm="15073">
        <f>IFERROR(CUBEVALUE("BIDB",$A228,F$3,F$2,'Præsentationstabeller 1'!$C$2),0)</f>
        <v/>
      </c>
      <c r="G228" t="str" vm="15919">
        <f>IFERROR(CUBEVALUE("BIDB",$A228,G$3,G$2,'Præsentationstabeller 1'!$C$2),0)</f>
        <v/>
      </c>
      <c r="H228" t="str" vm="8457">
        <f>IFERROR(CUBEVALUE("BIDB",$A228,H$3,H$2,'Præsentationstabeller 1'!$C$2),0)</f>
        <v/>
      </c>
      <c r="I228" t="str" vm="12590">
        <f>IFERROR(CUBEVALUE("BIDB",$A228,I$3,I$2,'Præsentationstabeller 1'!$C$2),0)</f>
        <v/>
      </c>
      <c r="J228" t="str" vm="9204">
        <f>IFERROR(CUBEVALUE("BIDB",$A228,J$3,J$2,'Præsentationstabeller 1'!$C$2),0)</f>
        <v/>
      </c>
      <c r="K228" t="str" vm="12382">
        <f>IFERROR(CUBEVALUE("BIDB",$A228,K$3,K$2,'Præsentationstabeller 1'!$C$2),0)</f>
        <v/>
      </c>
      <c r="L228" t="str" vm="8572">
        <f>IFERROR(CUBEVALUE("BIDB",$A228,L$3,L$2,'Præsentationstabeller 1'!$C$2),0)</f>
        <v/>
      </c>
    </row>
    <row r="229" spans="1:12" x14ac:dyDescent="0.3">
      <c r="A229" s="123" t="str" vm="1107">
        <f>CUBEMEMBER("BIDB","[Dimittenddato].[Dimittenddato].&amp;[2009-07-12T00:00:00]")</f>
        <v>12-07-2009</v>
      </c>
      <c r="B229" t="str" vm="11369">
        <f>IFERROR(CUBEVALUE("BIDB",$A229,B$3,'Præsentationstabeller 1'!$C$2),0)</f>
        <v/>
      </c>
      <c r="C229" t="str" vm="14410">
        <f>IFERROR(CUBEVALUE("BIDB",$A229,C$3,C$2,'Præsentationstabeller 1'!$C$2),0)</f>
        <v/>
      </c>
      <c r="D229" t="str" vm="16006">
        <f>IFERROR(CUBEVALUE("BIDB",$A229,D$3,D$2,'Præsentationstabeller 1'!$C$2),0)</f>
        <v/>
      </c>
      <c r="E229" t="str" vm="9701">
        <f>IFERROR(CUBEVALUE("BIDB",$A229,E$3,E$2,'Præsentationstabeller 1'!$C$2),0)</f>
        <v/>
      </c>
      <c r="F229" t="str" vm="7594">
        <f>IFERROR(CUBEVALUE("BIDB",$A229,F$3,F$2,'Præsentationstabeller 1'!$C$2),0)</f>
        <v/>
      </c>
      <c r="G229" t="str" vm="10840">
        <f>IFERROR(CUBEVALUE("BIDB",$A229,G$3,G$2,'Præsentationstabeller 1'!$C$2),0)</f>
        <v/>
      </c>
      <c r="H229" t="str" vm="11719">
        <f>IFERROR(CUBEVALUE("BIDB",$A229,H$3,H$2,'Præsentationstabeller 1'!$C$2),0)</f>
        <v/>
      </c>
      <c r="I229" t="str" vm="11081">
        <f>IFERROR(CUBEVALUE("BIDB",$A229,I$3,I$2,'Præsentationstabeller 1'!$C$2),0)</f>
        <v/>
      </c>
      <c r="J229" t="str" vm="10805">
        <f>IFERROR(CUBEVALUE("BIDB",$A229,J$3,J$2,'Præsentationstabeller 1'!$C$2),0)</f>
        <v/>
      </c>
      <c r="K229" t="str" vm="14120">
        <f>IFERROR(CUBEVALUE("BIDB",$A229,K$3,K$2,'Præsentationstabeller 1'!$C$2),0)</f>
        <v/>
      </c>
      <c r="L229" t="str" vm="10807">
        <f>IFERROR(CUBEVALUE("BIDB",$A229,L$3,L$2,'Præsentationstabeller 1'!$C$2),0)</f>
        <v/>
      </c>
    </row>
    <row r="230" spans="1:12" x14ac:dyDescent="0.3">
      <c r="A230" s="123" t="str" vm="1106">
        <f>CUBEMEMBER("BIDB","[Dimittenddato].[Dimittenddato].&amp;[2009-07-13T00:00:00]")</f>
        <v>13-07-2009</v>
      </c>
      <c r="B230" t="str" vm="12787">
        <f>IFERROR(CUBEVALUE("BIDB",$A230,B$3,'Præsentationstabeller 1'!$C$2),0)</f>
        <v/>
      </c>
      <c r="C230" t="str" vm="12970">
        <f>IFERROR(CUBEVALUE("BIDB",$A230,C$3,C$2,'Præsentationstabeller 1'!$C$2),0)</f>
        <v/>
      </c>
      <c r="D230" vm="14790">
        <f>IFERROR(CUBEVALUE("BIDB",$A230,D$3,D$2,'Præsentationstabeller 1'!$C$2),0)</f>
        <v>1</v>
      </c>
      <c r="E230" vm="7650">
        <f>IFERROR(CUBEVALUE("BIDB",$A230,E$3,E$2,'Præsentationstabeller 1'!$C$2),0)</f>
        <v>1</v>
      </c>
      <c r="F230" t="str" vm="15725">
        <f>IFERROR(CUBEVALUE("BIDB",$A230,F$3,F$2,'Præsentationstabeller 1'!$C$2),0)</f>
        <v/>
      </c>
      <c r="G230" vm="13168">
        <f>IFERROR(CUBEVALUE("BIDB",$A230,G$3,G$2,'Præsentationstabeller 1'!$C$2),0)</f>
        <v>1</v>
      </c>
      <c r="H230" t="str" vm="9876">
        <f>IFERROR(CUBEVALUE("BIDB",$A230,H$3,H$2,'Præsentationstabeller 1'!$C$2),0)</f>
        <v/>
      </c>
      <c r="I230" t="str" vm="12370">
        <f>IFERROR(CUBEVALUE("BIDB",$A230,I$3,I$2,'Præsentationstabeller 1'!$C$2),0)</f>
        <v/>
      </c>
      <c r="J230" t="str" vm="8555">
        <f>IFERROR(CUBEVALUE("BIDB",$A230,J$3,J$2,'Præsentationstabeller 1'!$C$2),0)</f>
        <v/>
      </c>
      <c r="K230" t="str" vm="14455">
        <f>IFERROR(CUBEVALUE("BIDB",$A230,K$3,K$2,'Præsentationstabeller 1'!$C$2),0)</f>
        <v/>
      </c>
      <c r="L230" t="str" vm="12741">
        <f>IFERROR(CUBEVALUE("BIDB",$A230,L$3,L$2,'Præsentationstabeller 1'!$C$2),0)</f>
        <v/>
      </c>
    </row>
    <row r="231" spans="1:12" x14ac:dyDescent="0.3">
      <c r="A231" s="123" t="str" vm="1105">
        <f>CUBEMEMBER("BIDB","[Dimittenddato].[Dimittenddato].&amp;[2009-07-14T00:00:00]")</f>
        <v>14-07-2009</v>
      </c>
      <c r="B231" t="str" vm="9553">
        <f>IFERROR(CUBEVALUE("BIDB",$A231,B$3,'Præsentationstabeller 1'!$C$2),0)</f>
        <v/>
      </c>
      <c r="C231" t="str" vm="12026">
        <f>IFERROR(CUBEVALUE("BIDB",$A231,C$3,C$2,'Præsentationstabeller 1'!$C$2),0)</f>
        <v/>
      </c>
      <c r="D231" t="str" vm="9984">
        <f>IFERROR(CUBEVALUE("BIDB",$A231,D$3,D$2,'Præsentationstabeller 1'!$C$2),0)</f>
        <v/>
      </c>
      <c r="E231" vm="13849">
        <f>IFERROR(CUBEVALUE("BIDB",$A231,E$3,E$2,'Præsentationstabeller 1'!$C$2),0)</f>
        <v>1</v>
      </c>
      <c r="F231" t="str" vm="9459">
        <f>IFERROR(CUBEVALUE("BIDB",$A231,F$3,F$2,'Præsentationstabeller 1'!$C$2),0)</f>
        <v/>
      </c>
      <c r="G231" vm="15247">
        <f>IFERROR(CUBEVALUE("BIDB",$A231,G$3,G$2,'Præsentationstabeller 1'!$C$2),0)</f>
        <v>1</v>
      </c>
      <c r="H231" t="str" vm="11107">
        <f>IFERROR(CUBEVALUE("BIDB",$A231,H$3,H$2,'Præsentationstabeller 1'!$C$2),0)</f>
        <v/>
      </c>
      <c r="I231" t="str" vm="6587">
        <f>IFERROR(CUBEVALUE("BIDB",$A231,I$3,I$2,'Præsentationstabeller 1'!$C$2),0)</f>
        <v/>
      </c>
      <c r="J231" t="str" vm="10675">
        <f>IFERROR(CUBEVALUE("BIDB",$A231,J$3,J$2,'Præsentationstabeller 1'!$C$2),0)</f>
        <v/>
      </c>
      <c r="K231" t="str" vm="14877">
        <f>IFERROR(CUBEVALUE("BIDB",$A231,K$3,K$2,'Præsentationstabeller 1'!$C$2),0)</f>
        <v/>
      </c>
      <c r="L231" t="str" vm="17141">
        <f>IFERROR(CUBEVALUE("BIDB",$A231,L$3,L$2,'Præsentationstabeller 1'!$C$2),0)</f>
        <v/>
      </c>
    </row>
    <row r="232" spans="1:12" x14ac:dyDescent="0.3">
      <c r="A232" s="123" t="str" vm="1104">
        <f>CUBEMEMBER("BIDB","[Dimittenddato].[Dimittenddato].&amp;[2009-07-15T00:00:00]")</f>
        <v>15-07-2009</v>
      </c>
      <c r="B232" t="str" vm="14698">
        <f>IFERROR(CUBEVALUE("BIDB",$A232,B$3,'Præsentationstabeller 1'!$C$2),0)</f>
        <v/>
      </c>
      <c r="C232" t="str" vm="11147">
        <f>IFERROR(CUBEVALUE("BIDB",$A232,C$3,C$2,'Præsentationstabeller 1'!$C$2),0)</f>
        <v/>
      </c>
      <c r="D232" t="str" vm="16454">
        <f>IFERROR(CUBEVALUE("BIDB",$A232,D$3,D$2,'Præsentationstabeller 1'!$C$2),0)</f>
        <v/>
      </c>
      <c r="E232" vm="9871">
        <f>IFERROR(CUBEVALUE("BIDB",$A232,E$3,E$2,'Præsentationstabeller 1'!$C$2),0)</f>
        <v>1</v>
      </c>
      <c r="F232" t="str" vm="11240">
        <f>IFERROR(CUBEVALUE("BIDB",$A232,F$3,F$2,'Præsentationstabeller 1'!$C$2),0)</f>
        <v/>
      </c>
      <c r="G232" vm="13577">
        <f>IFERROR(CUBEVALUE("BIDB",$A232,G$3,G$2,'Præsentationstabeller 1'!$C$2),0)</f>
        <v>1</v>
      </c>
      <c r="H232" t="str" vm="15013">
        <f>IFERROR(CUBEVALUE("BIDB",$A232,H$3,H$2,'Præsentationstabeller 1'!$C$2),0)</f>
        <v/>
      </c>
      <c r="I232" t="str" vm="16567">
        <f>IFERROR(CUBEVALUE("BIDB",$A232,I$3,I$2,'Præsentationstabeller 1'!$C$2),0)</f>
        <v/>
      </c>
      <c r="J232" t="str" vm="15512">
        <f>IFERROR(CUBEVALUE("BIDB",$A232,J$3,J$2,'Præsentationstabeller 1'!$C$2),0)</f>
        <v/>
      </c>
      <c r="K232" t="str" vm="11850">
        <f>IFERROR(CUBEVALUE("BIDB",$A232,K$3,K$2,'Præsentationstabeller 1'!$C$2),0)</f>
        <v/>
      </c>
      <c r="L232" t="str" vm="7728">
        <f>IFERROR(CUBEVALUE("BIDB",$A232,L$3,L$2,'Præsentationstabeller 1'!$C$2),0)</f>
        <v/>
      </c>
    </row>
    <row r="233" spans="1:12" x14ac:dyDescent="0.3">
      <c r="A233" s="123" t="str" vm="1103">
        <f>CUBEMEMBER("BIDB","[Dimittenddato].[Dimittenddato].&amp;[2009-07-16T00:00:00]")</f>
        <v>16-07-2009</v>
      </c>
      <c r="B233" t="str" vm="10899">
        <f>IFERROR(CUBEVALUE("BIDB",$A233,B$3,'Præsentationstabeller 1'!$C$2),0)</f>
        <v/>
      </c>
      <c r="C233" t="str" vm="16835">
        <f>IFERROR(CUBEVALUE("BIDB",$A233,C$3,C$2,'Præsentationstabeller 1'!$C$2),0)</f>
        <v/>
      </c>
      <c r="D233" t="str" vm="12502">
        <f>IFERROR(CUBEVALUE("BIDB",$A233,D$3,D$2,'Præsentationstabeller 1'!$C$2),0)</f>
        <v/>
      </c>
      <c r="E233" vm="15738">
        <f>IFERROR(CUBEVALUE("BIDB",$A233,E$3,E$2,'Præsentationstabeller 1'!$C$2),0)</f>
        <v>1</v>
      </c>
      <c r="F233" t="str" vm="8452">
        <f>IFERROR(CUBEVALUE("BIDB",$A233,F$3,F$2,'Præsentationstabeller 1'!$C$2),0)</f>
        <v/>
      </c>
      <c r="G233" vm="14571">
        <f>IFERROR(CUBEVALUE("BIDB",$A233,G$3,G$2,'Præsentationstabeller 1'!$C$2),0)</f>
        <v>1</v>
      </c>
      <c r="H233" t="str" vm="13426">
        <f>IFERROR(CUBEVALUE("BIDB",$A233,H$3,H$2,'Præsentationstabeller 1'!$C$2),0)</f>
        <v/>
      </c>
      <c r="I233" t="str" vm="15647">
        <f>IFERROR(CUBEVALUE("BIDB",$A233,I$3,I$2,'Præsentationstabeller 1'!$C$2),0)</f>
        <v/>
      </c>
      <c r="J233" t="str" vm="9070">
        <f>IFERROR(CUBEVALUE("BIDB",$A233,J$3,J$2,'Præsentationstabeller 1'!$C$2),0)</f>
        <v/>
      </c>
      <c r="K233" t="str" vm="14194">
        <f>IFERROR(CUBEVALUE("BIDB",$A233,K$3,K$2,'Præsentationstabeller 1'!$C$2),0)</f>
        <v/>
      </c>
      <c r="L233" t="str" vm="14052">
        <f>IFERROR(CUBEVALUE("BIDB",$A233,L$3,L$2,'Præsentationstabeller 1'!$C$2),0)</f>
        <v/>
      </c>
    </row>
    <row r="234" spans="1:12" x14ac:dyDescent="0.3">
      <c r="A234" s="123" t="str" vm="1102">
        <f>CUBEMEMBER("BIDB","[Dimittenddato].[Dimittenddato].&amp;[2009-07-17T00:00:00]")</f>
        <v>17-07-2009</v>
      </c>
      <c r="B234" t="str" vm="10256">
        <f>IFERROR(CUBEVALUE("BIDB",$A234,B$3,'Præsentationstabeller 1'!$C$2),0)</f>
        <v/>
      </c>
      <c r="C234" t="str" vm="9526">
        <f>IFERROR(CUBEVALUE("BIDB",$A234,C$3,C$2,'Præsentationstabeller 1'!$C$2),0)</f>
        <v/>
      </c>
      <c r="D234" t="str" vm="17097">
        <f>IFERROR(CUBEVALUE("BIDB",$A234,D$3,D$2,'Præsentationstabeller 1'!$C$2),0)</f>
        <v/>
      </c>
      <c r="E234" vm="7854">
        <f>IFERROR(CUBEVALUE("BIDB",$A234,E$3,E$2,'Præsentationstabeller 1'!$C$2),0)</f>
        <v>4</v>
      </c>
      <c r="F234" vm="15414">
        <f>IFERROR(CUBEVALUE("BIDB",$A234,F$3,F$2,'Præsentationstabeller 1'!$C$2),0)</f>
        <v>1</v>
      </c>
      <c r="G234" vm="17063">
        <f>IFERROR(CUBEVALUE("BIDB",$A234,G$3,G$2,'Præsentationstabeller 1'!$C$2),0)</f>
        <v>5</v>
      </c>
      <c r="H234" t="str" vm="17111">
        <f>IFERROR(CUBEVALUE("BIDB",$A234,H$3,H$2,'Præsentationstabeller 1'!$C$2),0)</f>
        <v/>
      </c>
      <c r="I234" t="str" vm="10350">
        <f>IFERROR(CUBEVALUE("BIDB",$A234,I$3,I$2,'Præsentationstabeller 1'!$C$2),0)</f>
        <v/>
      </c>
      <c r="J234" t="str" vm="7886">
        <f>IFERROR(CUBEVALUE("BIDB",$A234,J$3,J$2,'Præsentationstabeller 1'!$C$2),0)</f>
        <v/>
      </c>
      <c r="K234" t="str" vm="12156">
        <f>IFERROR(CUBEVALUE("BIDB",$A234,K$3,K$2,'Præsentationstabeller 1'!$C$2),0)</f>
        <v/>
      </c>
      <c r="L234" t="str" vm="9206">
        <f>IFERROR(CUBEVALUE("BIDB",$A234,L$3,L$2,'Præsentationstabeller 1'!$C$2),0)</f>
        <v/>
      </c>
    </row>
    <row r="235" spans="1:12" x14ac:dyDescent="0.3">
      <c r="A235" s="123" t="str" vm="1101">
        <f>CUBEMEMBER("BIDB","[Dimittenddato].[Dimittenddato].&amp;[2009-07-18T00:00:00]")</f>
        <v>18-07-2009</v>
      </c>
      <c r="B235" t="str" vm="15059">
        <f>IFERROR(CUBEVALUE("BIDB",$A235,B$3,'Præsentationstabeller 1'!$C$2),0)</f>
        <v/>
      </c>
      <c r="C235" t="str" vm="15021">
        <f>IFERROR(CUBEVALUE("BIDB",$A235,C$3,C$2,'Præsentationstabeller 1'!$C$2),0)</f>
        <v/>
      </c>
      <c r="D235" t="str" vm="12474">
        <f>IFERROR(CUBEVALUE("BIDB",$A235,D$3,D$2,'Præsentationstabeller 1'!$C$2),0)</f>
        <v/>
      </c>
      <c r="E235" t="str" vm="13055">
        <f>IFERROR(CUBEVALUE("BIDB",$A235,E$3,E$2,'Præsentationstabeller 1'!$C$2),0)</f>
        <v/>
      </c>
      <c r="F235" t="str" vm="15122">
        <f>IFERROR(CUBEVALUE("BIDB",$A235,F$3,F$2,'Præsentationstabeller 1'!$C$2),0)</f>
        <v/>
      </c>
      <c r="G235" t="str" vm="15940">
        <f>IFERROR(CUBEVALUE("BIDB",$A235,G$3,G$2,'Præsentationstabeller 1'!$C$2),0)</f>
        <v/>
      </c>
      <c r="H235" t="str" vm="13672">
        <f>IFERROR(CUBEVALUE("BIDB",$A235,H$3,H$2,'Præsentationstabeller 1'!$C$2),0)</f>
        <v/>
      </c>
      <c r="I235" t="str" vm="10851">
        <f>IFERROR(CUBEVALUE("BIDB",$A235,I$3,I$2,'Præsentationstabeller 1'!$C$2),0)</f>
        <v/>
      </c>
      <c r="J235" t="str" vm="14597">
        <f>IFERROR(CUBEVALUE("BIDB",$A235,J$3,J$2,'Præsentationstabeller 1'!$C$2),0)</f>
        <v/>
      </c>
      <c r="K235" t="str" vm="10472">
        <f>IFERROR(CUBEVALUE("BIDB",$A235,K$3,K$2,'Præsentationstabeller 1'!$C$2),0)</f>
        <v/>
      </c>
      <c r="L235" t="str" vm="12796">
        <f>IFERROR(CUBEVALUE("BIDB",$A235,L$3,L$2,'Præsentationstabeller 1'!$C$2),0)</f>
        <v/>
      </c>
    </row>
    <row r="236" spans="1:12" x14ac:dyDescent="0.3">
      <c r="A236" s="123" t="str" vm="1100">
        <f>CUBEMEMBER("BIDB","[Dimittenddato].[Dimittenddato].&amp;[2009-07-19T00:00:00]")</f>
        <v>19-07-2009</v>
      </c>
      <c r="B236" t="str" vm="9651">
        <f>IFERROR(CUBEVALUE("BIDB",$A236,B$3,'Præsentationstabeller 1'!$C$2),0)</f>
        <v/>
      </c>
      <c r="C236" t="str" vm="13669">
        <f>IFERROR(CUBEVALUE("BIDB",$A236,C$3,C$2,'Præsentationstabeller 1'!$C$2),0)</f>
        <v/>
      </c>
      <c r="D236" t="str" vm="11364">
        <f>IFERROR(CUBEVALUE("BIDB",$A236,D$3,D$2,'Præsentationstabeller 1'!$C$2),0)</f>
        <v/>
      </c>
      <c r="E236" t="str" vm="11025">
        <f>IFERROR(CUBEVALUE("BIDB",$A236,E$3,E$2,'Præsentationstabeller 1'!$C$2),0)</f>
        <v/>
      </c>
      <c r="F236" t="str" vm="8967">
        <f>IFERROR(CUBEVALUE("BIDB",$A236,F$3,F$2,'Præsentationstabeller 1'!$C$2),0)</f>
        <v/>
      </c>
      <c r="G236" t="str" vm="17118">
        <f>IFERROR(CUBEVALUE("BIDB",$A236,G$3,G$2,'Præsentationstabeller 1'!$C$2),0)</f>
        <v/>
      </c>
      <c r="H236" t="str" vm="6592">
        <f>IFERROR(CUBEVALUE("BIDB",$A236,H$3,H$2,'Præsentationstabeller 1'!$C$2),0)</f>
        <v/>
      </c>
      <c r="I236" t="str" vm="11453">
        <f>IFERROR(CUBEVALUE("BIDB",$A236,I$3,I$2,'Præsentationstabeller 1'!$C$2),0)</f>
        <v/>
      </c>
      <c r="J236" t="str" vm="12332">
        <f>IFERROR(CUBEVALUE("BIDB",$A236,J$3,J$2,'Præsentationstabeller 1'!$C$2),0)</f>
        <v/>
      </c>
      <c r="K236" t="str" vm="13661">
        <f>IFERROR(CUBEVALUE("BIDB",$A236,K$3,K$2,'Præsentationstabeller 1'!$C$2),0)</f>
        <v/>
      </c>
      <c r="L236" t="str" vm="9742">
        <f>IFERROR(CUBEVALUE("BIDB",$A236,L$3,L$2,'Præsentationstabeller 1'!$C$2),0)</f>
        <v/>
      </c>
    </row>
    <row r="237" spans="1:12" x14ac:dyDescent="0.3">
      <c r="A237" s="123" t="str" vm="1099">
        <f>CUBEMEMBER("BIDB","[Dimittenddato].[Dimittenddato].&amp;[2009-07-20T00:00:00]")</f>
        <v>20-07-2009</v>
      </c>
      <c r="B237" t="str" vm="10883">
        <f>IFERROR(CUBEVALUE("BIDB",$A237,B$3,'Præsentationstabeller 1'!$C$2),0)</f>
        <v/>
      </c>
      <c r="C237" t="str" vm="15977">
        <f>IFERROR(CUBEVALUE("BIDB",$A237,C$3,C$2,'Præsentationstabeller 1'!$C$2),0)</f>
        <v/>
      </c>
      <c r="D237" t="str" vm="11630">
        <f>IFERROR(CUBEVALUE("BIDB",$A237,D$3,D$2,'Præsentationstabeller 1'!$C$2),0)</f>
        <v/>
      </c>
      <c r="E237" t="str" vm="12829">
        <f>IFERROR(CUBEVALUE("BIDB",$A237,E$3,E$2,'Præsentationstabeller 1'!$C$2),0)</f>
        <v/>
      </c>
      <c r="F237" t="str" vm="7547">
        <f>IFERROR(CUBEVALUE("BIDB",$A237,F$3,F$2,'Præsentationstabeller 1'!$C$2),0)</f>
        <v/>
      </c>
      <c r="G237" t="str" vm="14937">
        <f>IFERROR(CUBEVALUE("BIDB",$A237,G$3,G$2,'Præsentationstabeller 1'!$C$2),0)</f>
        <v/>
      </c>
      <c r="H237" t="str" vm="9214">
        <f>IFERROR(CUBEVALUE("BIDB",$A237,H$3,H$2,'Præsentationstabeller 1'!$C$2),0)</f>
        <v/>
      </c>
      <c r="I237" t="str" vm="9665">
        <f>IFERROR(CUBEVALUE("BIDB",$A237,I$3,I$2,'Præsentationstabeller 1'!$C$2),0)</f>
        <v/>
      </c>
      <c r="J237" t="str" vm="16094">
        <f>IFERROR(CUBEVALUE("BIDB",$A237,J$3,J$2,'Præsentationstabeller 1'!$C$2),0)</f>
        <v/>
      </c>
      <c r="K237" t="str" vm="13010">
        <f>IFERROR(CUBEVALUE("BIDB",$A237,K$3,K$2,'Præsentationstabeller 1'!$C$2),0)</f>
        <v/>
      </c>
      <c r="L237" t="str" vm="14167">
        <f>IFERROR(CUBEVALUE("BIDB",$A237,L$3,L$2,'Præsentationstabeller 1'!$C$2),0)</f>
        <v/>
      </c>
    </row>
    <row r="238" spans="1:12" x14ac:dyDescent="0.3">
      <c r="A238" s="123" t="str" vm="1098">
        <f>CUBEMEMBER("BIDB","[Dimittenddato].[Dimittenddato].&amp;[2009-07-21T00:00:00]")</f>
        <v>21-07-2009</v>
      </c>
      <c r="B238" t="str" vm="16432">
        <f>IFERROR(CUBEVALUE("BIDB",$A238,B$3,'Præsentationstabeller 1'!$C$2),0)</f>
        <v/>
      </c>
      <c r="C238" t="str" vm="12858">
        <f>IFERROR(CUBEVALUE("BIDB",$A238,C$3,C$2,'Præsentationstabeller 1'!$C$2),0)</f>
        <v/>
      </c>
      <c r="D238" t="str" vm="15439">
        <f>IFERROR(CUBEVALUE("BIDB",$A238,D$3,D$2,'Præsentationstabeller 1'!$C$2),0)</f>
        <v/>
      </c>
      <c r="E238" t="str" vm="11441">
        <f>IFERROR(CUBEVALUE("BIDB",$A238,E$3,E$2,'Præsentationstabeller 1'!$C$2),0)</f>
        <v/>
      </c>
      <c r="F238" t="str" vm="11672">
        <f>IFERROR(CUBEVALUE("BIDB",$A238,F$3,F$2,'Præsentationstabeller 1'!$C$2),0)</f>
        <v/>
      </c>
      <c r="G238" t="str" vm="12053">
        <f>IFERROR(CUBEVALUE("BIDB",$A238,G$3,G$2,'Præsentationstabeller 1'!$C$2),0)</f>
        <v/>
      </c>
      <c r="H238" t="str" vm="10977">
        <f>IFERROR(CUBEVALUE("BIDB",$A238,H$3,H$2,'Præsentationstabeller 1'!$C$2),0)</f>
        <v/>
      </c>
      <c r="I238" t="str" vm="9497">
        <f>IFERROR(CUBEVALUE("BIDB",$A238,I$3,I$2,'Præsentationstabeller 1'!$C$2),0)</f>
        <v/>
      </c>
      <c r="J238" t="str" vm="8022">
        <f>IFERROR(CUBEVALUE("BIDB",$A238,J$3,J$2,'Præsentationstabeller 1'!$C$2),0)</f>
        <v/>
      </c>
      <c r="K238" t="str" vm="15710">
        <f>IFERROR(CUBEVALUE("BIDB",$A238,K$3,K$2,'Præsentationstabeller 1'!$C$2),0)</f>
        <v/>
      </c>
      <c r="L238" t="str" vm="10310">
        <f>IFERROR(CUBEVALUE("BIDB",$A238,L$3,L$2,'Præsentationstabeller 1'!$C$2),0)</f>
        <v/>
      </c>
    </row>
    <row r="239" spans="1:12" x14ac:dyDescent="0.3">
      <c r="A239" s="123" t="str" vm="1097">
        <f>CUBEMEMBER("BIDB","[Dimittenddato].[Dimittenddato].&amp;[2009-07-22T00:00:00]")</f>
        <v>22-07-2009</v>
      </c>
      <c r="B239" t="str" vm="9245">
        <f>IFERROR(CUBEVALUE("BIDB",$A239,B$3,'Præsentationstabeller 1'!$C$2),0)</f>
        <v/>
      </c>
      <c r="C239" t="str" vm="10622">
        <f>IFERROR(CUBEVALUE("BIDB",$A239,C$3,C$2,'Præsentationstabeller 1'!$C$2),0)</f>
        <v/>
      </c>
      <c r="D239" t="str" vm="10893">
        <f>IFERROR(CUBEVALUE("BIDB",$A239,D$3,D$2,'Præsentationstabeller 1'!$C$2),0)</f>
        <v/>
      </c>
      <c r="E239" t="str" vm="9990">
        <f>IFERROR(CUBEVALUE("BIDB",$A239,E$3,E$2,'Præsentationstabeller 1'!$C$2),0)</f>
        <v/>
      </c>
      <c r="F239" t="str" vm="11708">
        <f>IFERROR(CUBEVALUE("BIDB",$A239,F$3,F$2,'Præsentationstabeller 1'!$C$2),0)</f>
        <v/>
      </c>
      <c r="G239" t="str" vm="13498">
        <f>IFERROR(CUBEVALUE("BIDB",$A239,G$3,G$2,'Præsentationstabeller 1'!$C$2),0)</f>
        <v/>
      </c>
      <c r="H239" t="str" vm="16360">
        <f>IFERROR(CUBEVALUE("BIDB",$A239,H$3,H$2,'Præsentationstabeller 1'!$C$2),0)</f>
        <v/>
      </c>
      <c r="I239" t="str" vm="9169">
        <f>IFERROR(CUBEVALUE("BIDB",$A239,I$3,I$2,'Præsentationstabeller 1'!$C$2),0)</f>
        <v/>
      </c>
      <c r="J239" t="str" vm="11625">
        <f>IFERROR(CUBEVALUE("BIDB",$A239,J$3,J$2,'Præsentationstabeller 1'!$C$2),0)</f>
        <v/>
      </c>
      <c r="K239" t="str" vm="12209">
        <f>IFERROR(CUBEVALUE("BIDB",$A239,K$3,K$2,'Præsentationstabeller 1'!$C$2),0)</f>
        <v/>
      </c>
      <c r="L239" t="str" vm="15375">
        <f>IFERROR(CUBEVALUE("BIDB",$A239,L$3,L$2,'Præsentationstabeller 1'!$C$2),0)</f>
        <v/>
      </c>
    </row>
    <row r="240" spans="1:12" x14ac:dyDescent="0.3">
      <c r="A240" s="123" t="str" vm="1096">
        <f>CUBEMEMBER("BIDB","[Dimittenddato].[Dimittenddato].&amp;[2009-07-23T00:00:00]")</f>
        <v>23-07-2009</v>
      </c>
      <c r="B240" t="str" vm="7444">
        <f>IFERROR(CUBEVALUE("BIDB",$A240,B$3,'Præsentationstabeller 1'!$C$2),0)</f>
        <v/>
      </c>
      <c r="C240" t="str" vm="15144">
        <f>IFERROR(CUBEVALUE("BIDB",$A240,C$3,C$2,'Præsentationstabeller 1'!$C$2),0)</f>
        <v/>
      </c>
      <c r="D240" t="str" vm="14175">
        <f>IFERROR(CUBEVALUE("BIDB",$A240,D$3,D$2,'Præsentationstabeller 1'!$C$2),0)</f>
        <v/>
      </c>
      <c r="E240" t="str" vm="10718">
        <f>IFERROR(CUBEVALUE("BIDB",$A240,E$3,E$2,'Præsentationstabeller 1'!$C$2),0)</f>
        <v/>
      </c>
      <c r="F240" t="str" vm="12126">
        <f>IFERROR(CUBEVALUE("BIDB",$A240,F$3,F$2,'Præsentationstabeller 1'!$C$2),0)</f>
        <v/>
      </c>
      <c r="G240" t="str" vm="15913">
        <f>IFERROR(CUBEVALUE("BIDB",$A240,G$3,G$2,'Præsentationstabeller 1'!$C$2),0)</f>
        <v/>
      </c>
      <c r="H240" t="str" vm="9120">
        <f>IFERROR(CUBEVALUE("BIDB",$A240,H$3,H$2,'Præsentationstabeller 1'!$C$2),0)</f>
        <v/>
      </c>
      <c r="I240" t="str" vm="11449">
        <f>IFERROR(CUBEVALUE("BIDB",$A240,I$3,I$2,'Præsentationstabeller 1'!$C$2),0)</f>
        <v/>
      </c>
      <c r="J240" t="str" vm="9815">
        <f>IFERROR(CUBEVALUE("BIDB",$A240,J$3,J$2,'Præsentationstabeller 1'!$C$2),0)</f>
        <v/>
      </c>
      <c r="K240" t="str" vm="12446">
        <f>IFERROR(CUBEVALUE("BIDB",$A240,K$3,K$2,'Præsentationstabeller 1'!$C$2),0)</f>
        <v/>
      </c>
      <c r="L240" t="str" vm="10685">
        <f>IFERROR(CUBEVALUE("BIDB",$A240,L$3,L$2,'Præsentationstabeller 1'!$C$2),0)</f>
        <v/>
      </c>
    </row>
    <row r="241" spans="1:12" x14ac:dyDescent="0.3">
      <c r="A241" s="123" t="str" vm="1095">
        <f>CUBEMEMBER("BIDB","[Dimittenddato].[Dimittenddato].&amp;[2009-07-24T00:00:00]")</f>
        <v>24-07-2009</v>
      </c>
      <c r="B241" t="str" vm="16116">
        <f>IFERROR(CUBEVALUE("BIDB",$A241,B$3,'Præsentationstabeller 1'!$C$2),0)</f>
        <v/>
      </c>
      <c r="C241" t="str" vm="17117">
        <f>IFERROR(CUBEVALUE("BIDB",$A241,C$3,C$2,'Præsentationstabeller 1'!$C$2),0)</f>
        <v/>
      </c>
      <c r="D241" t="str" vm="13065">
        <f>IFERROR(CUBEVALUE("BIDB",$A241,D$3,D$2,'Præsentationstabeller 1'!$C$2),0)</f>
        <v/>
      </c>
      <c r="E241" vm="10294">
        <f>IFERROR(CUBEVALUE("BIDB",$A241,E$3,E$2,'Præsentationstabeller 1'!$C$2),0)</f>
        <v>1</v>
      </c>
      <c r="F241" t="str" vm="7237">
        <f>IFERROR(CUBEVALUE("BIDB",$A241,F$3,F$2,'Præsentationstabeller 1'!$C$2),0)</f>
        <v/>
      </c>
      <c r="G241" vm="10784">
        <f>IFERROR(CUBEVALUE("BIDB",$A241,G$3,G$2,'Præsentationstabeller 1'!$C$2),0)</f>
        <v>1</v>
      </c>
      <c r="H241" t="str" vm="9932">
        <f>IFERROR(CUBEVALUE("BIDB",$A241,H$3,H$2,'Præsentationstabeller 1'!$C$2),0)</f>
        <v/>
      </c>
      <c r="I241" t="str" vm="9608">
        <f>IFERROR(CUBEVALUE("BIDB",$A241,I$3,I$2,'Præsentationstabeller 1'!$C$2),0)</f>
        <v/>
      </c>
      <c r="J241" t="str" vm="15970">
        <f>IFERROR(CUBEVALUE("BIDB",$A241,J$3,J$2,'Præsentationstabeller 1'!$C$2),0)</f>
        <v/>
      </c>
      <c r="K241" t="str" vm="15422">
        <f>IFERROR(CUBEVALUE("BIDB",$A241,K$3,K$2,'Præsentationstabeller 1'!$C$2),0)</f>
        <v/>
      </c>
      <c r="L241" t="str" vm="9452">
        <f>IFERROR(CUBEVALUE("BIDB",$A241,L$3,L$2,'Præsentationstabeller 1'!$C$2),0)</f>
        <v/>
      </c>
    </row>
    <row r="242" spans="1:12" x14ac:dyDescent="0.3">
      <c r="A242" s="123" t="str" vm="1094">
        <f>CUBEMEMBER("BIDB","[Dimittenddato].[Dimittenddato].&amp;[2009-07-25T00:00:00]")</f>
        <v>25-07-2009</v>
      </c>
      <c r="B242" t="str" vm="10570">
        <f>IFERROR(CUBEVALUE("BIDB",$A242,B$3,'Præsentationstabeller 1'!$C$2),0)</f>
        <v/>
      </c>
      <c r="C242" t="str" vm="13856">
        <f>IFERROR(CUBEVALUE("BIDB",$A242,C$3,C$2,'Præsentationstabeller 1'!$C$2),0)</f>
        <v/>
      </c>
      <c r="D242" t="str" vm="14866">
        <f>IFERROR(CUBEVALUE("BIDB",$A242,D$3,D$2,'Præsentationstabeller 1'!$C$2),0)</f>
        <v/>
      </c>
      <c r="E242" vm="8066">
        <f>IFERROR(CUBEVALUE("BIDB",$A242,E$3,E$2,'Præsentationstabeller 1'!$C$2),0)</f>
        <v>0</v>
      </c>
      <c r="F242" t="str" vm="13558">
        <f>IFERROR(CUBEVALUE("BIDB",$A242,F$3,F$2,'Præsentationstabeller 1'!$C$2),0)</f>
        <v/>
      </c>
      <c r="G242" vm="15206">
        <f>IFERROR(CUBEVALUE("BIDB",$A242,G$3,G$2,'Præsentationstabeller 1'!$C$2),0)</f>
        <v>0</v>
      </c>
      <c r="H242" t="str" vm="12792">
        <f>IFERROR(CUBEVALUE("BIDB",$A242,H$3,H$2,'Præsentationstabeller 1'!$C$2),0)</f>
        <v/>
      </c>
      <c r="I242" t="str" vm="9190">
        <f>IFERROR(CUBEVALUE("BIDB",$A242,I$3,I$2,'Præsentationstabeller 1'!$C$2),0)</f>
        <v/>
      </c>
      <c r="J242" t="str" vm="7491">
        <f>IFERROR(CUBEVALUE("BIDB",$A242,J$3,J$2,'Præsentationstabeller 1'!$C$2),0)</f>
        <v/>
      </c>
      <c r="K242" t="str" vm="16983">
        <f>IFERROR(CUBEVALUE("BIDB",$A242,K$3,K$2,'Præsentationstabeller 1'!$C$2),0)</f>
        <v/>
      </c>
      <c r="L242" t="str" vm="15971">
        <f>IFERROR(CUBEVALUE("BIDB",$A242,L$3,L$2,'Præsentationstabeller 1'!$C$2),0)</f>
        <v/>
      </c>
    </row>
    <row r="243" spans="1:12" x14ac:dyDescent="0.3">
      <c r="A243" s="123" t="str" vm="1093">
        <f>CUBEMEMBER("BIDB","[Dimittenddato].[Dimittenddato].&amp;[2009-07-26T00:00:00]")</f>
        <v>26-07-2009</v>
      </c>
      <c r="B243" t="str" vm="12740">
        <f>IFERROR(CUBEVALUE("BIDB",$A243,B$3,'Præsentationstabeller 1'!$C$2),0)</f>
        <v/>
      </c>
      <c r="C243" t="str" vm="12874">
        <f>IFERROR(CUBEVALUE("BIDB",$A243,C$3,C$2,'Præsentationstabeller 1'!$C$2),0)</f>
        <v/>
      </c>
      <c r="D243" t="str" vm="17080">
        <f>IFERROR(CUBEVALUE("BIDB",$A243,D$3,D$2,'Præsentationstabeller 1'!$C$2),0)</f>
        <v/>
      </c>
      <c r="E243" vm="12458">
        <f>IFERROR(CUBEVALUE("BIDB",$A243,E$3,E$2,'Præsentationstabeller 1'!$C$2),0)</f>
        <v>1</v>
      </c>
      <c r="F243" t="str" vm="12276">
        <f>IFERROR(CUBEVALUE("BIDB",$A243,F$3,F$2,'Præsentationstabeller 1'!$C$2),0)</f>
        <v/>
      </c>
      <c r="G243" vm="13564">
        <f>IFERROR(CUBEVALUE("BIDB",$A243,G$3,G$2,'Præsentationstabeller 1'!$C$2),0)</f>
        <v>1</v>
      </c>
      <c r="H243" t="str" vm="11650">
        <f>IFERROR(CUBEVALUE("BIDB",$A243,H$3,H$2,'Præsentationstabeller 1'!$C$2),0)</f>
        <v/>
      </c>
      <c r="I243" t="str" vm="9948">
        <f>IFERROR(CUBEVALUE("BIDB",$A243,I$3,I$2,'Præsentationstabeller 1'!$C$2),0)</f>
        <v/>
      </c>
      <c r="J243" t="str" vm="11421">
        <f>IFERROR(CUBEVALUE("BIDB",$A243,J$3,J$2,'Præsentationstabeller 1'!$C$2),0)</f>
        <v/>
      </c>
      <c r="K243" t="str" vm="9373">
        <f>IFERROR(CUBEVALUE("BIDB",$A243,K$3,K$2,'Præsentationstabeller 1'!$C$2),0)</f>
        <v/>
      </c>
      <c r="L243" t="str" vm="13666">
        <f>IFERROR(CUBEVALUE("BIDB",$A243,L$3,L$2,'Præsentationstabeller 1'!$C$2),0)</f>
        <v/>
      </c>
    </row>
    <row r="244" spans="1:12" x14ac:dyDescent="0.3">
      <c r="A244" s="123" t="str" vm="1092">
        <f>CUBEMEMBER("BIDB","[Dimittenddato].[Dimittenddato].&amp;[2009-07-27T00:00:00]")</f>
        <v>27-07-2009</v>
      </c>
      <c r="B244" t="str" vm="6332">
        <f>IFERROR(CUBEVALUE("BIDB",$A244,B$3,'Præsentationstabeller 1'!$C$2),0)</f>
        <v/>
      </c>
      <c r="C244" t="str" vm="15639">
        <f>IFERROR(CUBEVALUE("BIDB",$A244,C$3,C$2,'Præsentationstabeller 1'!$C$2),0)</f>
        <v/>
      </c>
      <c r="D244" t="str" vm="14883">
        <f>IFERROR(CUBEVALUE("BIDB",$A244,D$3,D$2,'Præsentationstabeller 1'!$C$2),0)</f>
        <v/>
      </c>
      <c r="E244" t="str" vm="14505">
        <f>IFERROR(CUBEVALUE("BIDB",$A244,E$3,E$2,'Præsentationstabeller 1'!$C$2),0)</f>
        <v/>
      </c>
      <c r="F244" t="str" vm="11067">
        <f>IFERROR(CUBEVALUE("BIDB",$A244,F$3,F$2,'Præsentationstabeller 1'!$C$2),0)</f>
        <v/>
      </c>
      <c r="G244" t="str" vm="15746">
        <f>IFERROR(CUBEVALUE("BIDB",$A244,G$3,G$2,'Præsentationstabeller 1'!$C$2),0)</f>
        <v/>
      </c>
      <c r="H244" t="str" vm="8560">
        <f>IFERROR(CUBEVALUE("BIDB",$A244,H$3,H$2,'Præsentationstabeller 1'!$C$2),0)</f>
        <v/>
      </c>
      <c r="I244" t="str" vm="16027">
        <f>IFERROR(CUBEVALUE("BIDB",$A244,I$3,I$2,'Præsentationstabeller 1'!$C$2),0)</f>
        <v/>
      </c>
      <c r="J244" t="str" vm="16999">
        <f>IFERROR(CUBEVALUE("BIDB",$A244,J$3,J$2,'Præsentationstabeller 1'!$C$2),0)</f>
        <v/>
      </c>
      <c r="K244" t="str" vm="14308">
        <f>IFERROR(CUBEVALUE("BIDB",$A244,K$3,K$2,'Præsentationstabeller 1'!$C$2),0)</f>
        <v/>
      </c>
      <c r="L244" t="str" vm="12766">
        <f>IFERROR(CUBEVALUE("BIDB",$A244,L$3,L$2,'Præsentationstabeller 1'!$C$2),0)</f>
        <v/>
      </c>
    </row>
    <row r="245" spans="1:12" x14ac:dyDescent="0.3">
      <c r="A245" s="123" t="str" vm="1091">
        <f>CUBEMEMBER("BIDB","[Dimittenddato].[Dimittenddato].&amp;[2009-07-28T00:00:00]")</f>
        <v>28-07-2009</v>
      </c>
      <c r="B245" t="str" vm="14193">
        <f>IFERROR(CUBEVALUE("BIDB",$A245,B$3,'Præsentationstabeller 1'!$C$2),0)</f>
        <v/>
      </c>
      <c r="C245" t="str" vm="16991">
        <f>IFERROR(CUBEVALUE("BIDB",$A245,C$3,C$2,'Præsentationstabeller 1'!$C$2),0)</f>
        <v/>
      </c>
      <c r="D245" t="str" vm="17058">
        <f>IFERROR(CUBEVALUE("BIDB",$A245,D$3,D$2,'Præsentationstabeller 1'!$C$2),0)</f>
        <v/>
      </c>
      <c r="E245" t="str" vm="8581">
        <f>IFERROR(CUBEVALUE("BIDB",$A245,E$3,E$2,'Præsentationstabeller 1'!$C$2),0)</f>
        <v/>
      </c>
      <c r="F245" t="str" vm="11409">
        <f>IFERROR(CUBEVALUE("BIDB",$A245,F$3,F$2,'Præsentationstabeller 1'!$C$2),0)</f>
        <v/>
      </c>
      <c r="G245" t="str" vm="10043">
        <f>IFERROR(CUBEVALUE("BIDB",$A245,G$3,G$2,'Præsentationstabeller 1'!$C$2),0)</f>
        <v/>
      </c>
      <c r="H245" t="str" vm="10318">
        <f>IFERROR(CUBEVALUE("BIDB",$A245,H$3,H$2,'Præsentationstabeller 1'!$C$2),0)</f>
        <v/>
      </c>
      <c r="I245" t="str" vm="9360">
        <f>IFERROR(CUBEVALUE("BIDB",$A245,I$3,I$2,'Præsentationstabeller 1'!$C$2),0)</f>
        <v/>
      </c>
      <c r="J245" t="str" vm="12773">
        <f>IFERROR(CUBEVALUE("BIDB",$A245,J$3,J$2,'Præsentationstabeller 1'!$C$2),0)</f>
        <v/>
      </c>
      <c r="K245" t="str" vm="11526">
        <f>IFERROR(CUBEVALUE("BIDB",$A245,K$3,K$2,'Præsentationstabeller 1'!$C$2),0)</f>
        <v/>
      </c>
      <c r="L245" t="str" vm="10010">
        <f>IFERROR(CUBEVALUE("BIDB",$A245,L$3,L$2,'Præsentationstabeller 1'!$C$2),0)</f>
        <v/>
      </c>
    </row>
    <row r="246" spans="1:12" x14ac:dyDescent="0.3">
      <c r="A246" s="123" t="str" vm="1090">
        <f>CUBEMEMBER("BIDB","[Dimittenddato].[Dimittenddato].&amp;[2009-07-29T00:00:00]")</f>
        <v>29-07-2009</v>
      </c>
      <c r="B246" t="str" vm="11694">
        <f>IFERROR(CUBEVALUE("BIDB",$A246,B$3,'Præsentationstabeller 1'!$C$2),0)</f>
        <v/>
      </c>
      <c r="C246" t="str" vm="10680">
        <f>IFERROR(CUBEVALUE("BIDB",$A246,C$3,C$2,'Præsentationstabeller 1'!$C$2),0)</f>
        <v/>
      </c>
      <c r="D246" vm="15956">
        <f>IFERROR(CUBEVALUE("BIDB",$A246,D$3,D$2,'Præsentationstabeller 1'!$C$2),0)</f>
        <v>1</v>
      </c>
      <c r="E246" vm="7397">
        <f>IFERROR(CUBEVALUE("BIDB",$A246,E$3,E$2,'Præsentationstabeller 1'!$C$2),0)</f>
        <v>1</v>
      </c>
      <c r="F246" t="str" vm="11334">
        <f>IFERROR(CUBEVALUE("BIDB",$A246,F$3,F$2,'Præsentationstabeller 1'!$C$2),0)</f>
        <v/>
      </c>
      <c r="G246" vm="15631">
        <f>IFERROR(CUBEVALUE("BIDB",$A246,G$3,G$2,'Præsentationstabeller 1'!$C$2),0)</f>
        <v>1</v>
      </c>
      <c r="H246" t="str" vm="11086">
        <f>IFERROR(CUBEVALUE("BIDB",$A246,H$3,H$2,'Præsentationstabeller 1'!$C$2),0)</f>
        <v/>
      </c>
      <c r="I246" t="str" vm="16390">
        <f>IFERROR(CUBEVALUE("BIDB",$A246,I$3,I$2,'Præsentationstabeller 1'!$C$2),0)</f>
        <v/>
      </c>
      <c r="J246" t="str" vm="7963">
        <f>IFERROR(CUBEVALUE("BIDB",$A246,J$3,J$2,'Præsentationstabeller 1'!$C$2),0)</f>
        <v/>
      </c>
      <c r="K246" t="str" vm="11493">
        <f>IFERROR(CUBEVALUE("BIDB",$A246,K$3,K$2,'Præsentationstabeller 1'!$C$2),0)</f>
        <v/>
      </c>
      <c r="L246" t="str" vm="12128">
        <f>IFERROR(CUBEVALUE("BIDB",$A246,L$3,L$2,'Præsentationstabeller 1'!$C$2),0)</f>
        <v/>
      </c>
    </row>
    <row r="247" spans="1:12" x14ac:dyDescent="0.3">
      <c r="A247" s="123" t="str" vm="1089">
        <f>CUBEMEMBER("BIDB","[Dimittenddato].[Dimittenddato].&amp;[2009-07-30T00:00:00]")</f>
        <v>30-07-2009</v>
      </c>
      <c r="B247" t="str" vm="9857">
        <f>IFERROR(CUBEVALUE("BIDB",$A247,B$3,'Præsentationstabeller 1'!$C$2),0)</f>
        <v/>
      </c>
      <c r="C247" t="str" vm="16489">
        <f>IFERROR(CUBEVALUE("BIDB",$A247,C$3,C$2,'Præsentationstabeller 1'!$C$2),0)</f>
        <v/>
      </c>
      <c r="D247" t="str" vm="12460">
        <f>IFERROR(CUBEVALUE("BIDB",$A247,D$3,D$2,'Præsentationstabeller 1'!$C$2),0)</f>
        <v/>
      </c>
      <c r="E247" t="str" vm="13505">
        <f>IFERROR(CUBEVALUE("BIDB",$A247,E$3,E$2,'Præsentationstabeller 1'!$C$2),0)</f>
        <v/>
      </c>
      <c r="F247" vm="10973">
        <f>IFERROR(CUBEVALUE("BIDB",$A247,F$3,F$2,'Præsentationstabeller 1'!$C$2),0)</f>
        <v>2</v>
      </c>
      <c r="G247" vm="16664">
        <f>IFERROR(CUBEVALUE("BIDB",$A247,G$3,G$2,'Præsentationstabeller 1'!$C$2),0)</f>
        <v>2</v>
      </c>
      <c r="H247" t="str" vm="9919">
        <f>IFERROR(CUBEVALUE("BIDB",$A247,H$3,H$2,'Præsentationstabeller 1'!$C$2),0)</f>
        <v/>
      </c>
      <c r="I247" t="str" vm="7365">
        <f>IFERROR(CUBEVALUE("BIDB",$A247,I$3,I$2,'Præsentationstabeller 1'!$C$2),0)</f>
        <v/>
      </c>
      <c r="J247" t="str" vm="11417">
        <f>IFERROR(CUBEVALUE("BIDB",$A247,J$3,J$2,'Præsentationstabeller 1'!$C$2),0)</f>
        <v/>
      </c>
      <c r="K247" t="str" vm="15273">
        <f>IFERROR(CUBEVALUE("BIDB",$A247,K$3,K$2,'Præsentationstabeller 1'!$C$2),0)</f>
        <v/>
      </c>
      <c r="L247" t="str" vm="14899">
        <f>IFERROR(CUBEVALUE("BIDB",$A247,L$3,L$2,'Præsentationstabeller 1'!$C$2),0)</f>
        <v/>
      </c>
    </row>
    <row r="248" spans="1:12" x14ac:dyDescent="0.3">
      <c r="A248" s="123" t="str" vm="1088">
        <f>CUBEMEMBER("BIDB","[Dimittenddato].[Dimittenddato].&amp;[2009-07-31T00:00:00]")</f>
        <v>31-07-2009</v>
      </c>
      <c r="B248" t="str" vm="11286">
        <f>IFERROR(CUBEVALUE("BIDB",$A248,B$3,'Præsentationstabeller 1'!$C$2),0)</f>
        <v/>
      </c>
      <c r="C248" vm="15975">
        <f>IFERROR(CUBEVALUE("BIDB",$A248,C$3,C$2,'Præsentationstabeller 1'!$C$2),0)</f>
        <v>1</v>
      </c>
      <c r="D248" vm="13131">
        <f>IFERROR(CUBEVALUE("BIDB",$A248,D$3,D$2,'Præsentationstabeller 1'!$C$2),0)</f>
        <v>1</v>
      </c>
      <c r="E248" vm="11821">
        <f>IFERROR(CUBEVALUE("BIDB",$A248,E$3,E$2,'Præsentationstabeller 1'!$C$2),0)</f>
        <v>1</v>
      </c>
      <c r="F248" t="str" vm="16889">
        <f>IFERROR(CUBEVALUE("BIDB",$A248,F$3,F$2,'Præsentationstabeller 1'!$C$2),0)</f>
        <v/>
      </c>
      <c r="G248" vm="11552">
        <f>IFERROR(CUBEVALUE("BIDB",$A248,G$3,G$2,'Præsentationstabeller 1'!$C$2),0)</f>
        <v>1</v>
      </c>
      <c r="H248" t="str" vm="8084">
        <f>IFERROR(CUBEVALUE("BIDB",$A248,H$3,H$2,'Præsentationstabeller 1'!$C$2),0)</f>
        <v/>
      </c>
      <c r="I248" t="str" vm="13604">
        <f>IFERROR(CUBEVALUE("BIDB",$A248,I$3,I$2,'Præsentationstabeller 1'!$C$2),0)</f>
        <v/>
      </c>
      <c r="J248" t="str" vm="16415">
        <f>IFERROR(CUBEVALUE("BIDB",$A248,J$3,J$2,'Præsentationstabeller 1'!$C$2),0)</f>
        <v/>
      </c>
      <c r="K248" t="str" vm="9389">
        <f>IFERROR(CUBEVALUE("BIDB",$A248,K$3,K$2,'Præsentationstabeller 1'!$C$2),0)</f>
        <v/>
      </c>
      <c r="L248" t="str" vm="9103">
        <f>IFERROR(CUBEVALUE("BIDB",$A248,L$3,L$2,'Præsentationstabeller 1'!$C$2),0)</f>
        <v/>
      </c>
    </row>
    <row r="249" spans="1:12" x14ac:dyDescent="0.3">
      <c r="A249" s="123" t="str" vm="1087">
        <f>CUBEMEMBER("BIDB","[Dimittenddato].[Dimittenddato].&amp;[2009-08-01T00:00:00]")</f>
        <v>01-08-2009</v>
      </c>
      <c r="B249" t="str" vm="10046">
        <f>IFERROR(CUBEVALUE("BIDB",$A249,B$3,'Præsentationstabeller 1'!$C$2),0)</f>
        <v/>
      </c>
      <c r="C249" t="str" vm="12937">
        <f>IFERROR(CUBEVALUE("BIDB",$A249,C$3,C$2,'Præsentationstabeller 1'!$C$2),0)</f>
        <v/>
      </c>
      <c r="D249" vm="11379">
        <f>IFERROR(CUBEVALUE("BIDB",$A249,D$3,D$2,'Præsentationstabeller 1'!$C$2),0)</f>
        <v>2</v>
      </c>
      <c r="E249" vm="13340">
        <f>IFERROR(CUBEVALUE("BIDB",$A249,E$3,E$2,'Præsentationstabeller 1'!$C$2),0)</f>
        <v>2</v>
      </c>
      <c r="F249" t="str" vm="16396">
        <f>IFERROR(CUBEVALUE("BIDB",$A249,F$3,F$2,'Præsentationstabeller 1'!$C$2),0)</f>
        <v/>
      </c>
      <c r="G249" vm="11331">
        <f>IFERROR(CUBEVALUE("BIDB",$A249,G$3,G$2,'Præsentationstabeller 1'!$C$2),0)</f>
        <v>2</v>
      </c>
      <c r="H249" t="str" vm="14475">
        <f>IFERROR(CUBEVALUE("BIDB",$A249,H$3,H$2,'Præsentationstabeller 1'!$C$2),0)</f>
        <v/>
      </c>
      <c r="I249" t="str" vm="10514">
        <f>IFERROR(CUBEVALUE("BIDB",$A249,I$3,I$2,'Præsentationstabeller 1'!$C$2),0)</f>
        <v/>
      </c>
      <c r="J249" t="str" vm="8478">
        <f>IFERROR(CUBEVALUE("BIDB",$A249,J$3,J$2,'Præsentationstabeller 1'!$C$2),0)</f>
        <v/>
      </c>
      <c r="K249" t="str" vm="13818">
        <f>IFERROR(CUBEVALUE("BIDB",$A249,K$3,K$2,'Præsentationstabeller 1'!$C$2),0)</f>
        <v/>
      </c>
      <c r="L249" t="str" vm="11298">
        <f>IFERROR(CUBEVALUE("BIDB",$A249,L$3,L$2,'Præsentationstabeller 1'!$C$2),0)</f>
        <v/>
      </c>
    </row>
    <row r="250" spans="1:12" x14ac:dyDescent="0.3">
      <c r="A250" s="123" t="str" vm="1086">
        <f>CUBEMEMBER("BIDB","[Dimittenddato].[Dimittenddato].&amp;[2009-08-02T00:00:00]")</f>
        <v>02-08-2009</v>
      </c>
      <c r="B250" t="str" vm="9763">
        <f>IFERROR(CUBEVALUE("BIDB",$A250,B$3,'Præsentationstabeller 1'!$C$2),0)</f>
        <v/>
      </c>
      <c r="C250" t="str" vm="13533">
        <f>IFERROR(CUBEVALUE("BIDB",$A250,C$3,C$2,'Præsentationstabeller 1'!$C$2),0)</f>
        <v/>
      </c>
      <c r="D250" t="str" vm="14500">
        <f>IFERROR(CUBEVALUE("BIDB",$A250,D$3,D$2,'Præsentationstabeller 1'!$C$2),0)</f>
        <v/>
      </c>
      <c r="E250" t="str" vm="7919">
        <f>IFERROR(CUBEVALUE("BIDB",$A250,E$3,E$2,'Præsentationstabeller 1'!$C$2),0)</f>
        <v/>
      </c>
      <c r="F250" t="str" vm="11318">
        <f>IFERROR(CUBEVALUE("BIDB",$A250,F$3,F$2,'Præsentationstabeller 1'!$C$2),0)</f>
        <v/>
      </c>
      <c r="G250" t="str" vm="12585">
        <f>IFERROR(CUBEVALUE("BIDB",$A250,G$3,G$2,'Præsentationstabeller 1'!$C$2),0)</f>
        <v/>
      </c>
      <c r="H250" t="str" vm="12494">
        <f>IFERROR(CUBEVALUE("BIDB",$A250,H$3,H$2,'Præsentationstabeller 1'!$C$2),0)</f>
        <v/>
      </c>
      <c r="I250" t="str" vm="12318">
        <f>IFERROR(CUBEVALUE("BIDB",$A250,I$3,I$2,'Præsentationstabeller 1'!$C$2),0)</f>
        <v/>
      </c>
      <c r="J250" t="str" vm="9116">
        <f>IFERROR(CUBEVALUE("BIDB",$A250,J$3,J$2,'Præsentationstabeller 1'!$C$2),0)</f>
        <v/>
      </c>
      <c r="K250" t="str" vm="15632">
        <f>IFERROR(CUBEVALUE("BIDB",$A250,K$3,K$2,'Præsentationstabeller 1'!$C$2),0)</f>
        <v/>
      </c>
      <c r="L250" t="str" vm="12704">
        <f>IFERROR(CUBEVALUE("BIDB",$A250,L$3,L$2,'Præsentationstabeller 1'!$C$2),0)</f>
        <v/>
      </c>
    </row>
    <row r="251" spans="1:12" x14ac:dyDescent="0.3">
      <c r="A251" s="123" t="str" vm="1085">
        <f>CUBEMEMBER("BIDB","[Dimittenddato].[Dimittenddato].&amp;[2009-08-03T00:00:00]")</f>
        <v>03-08-2009</v>
      </c>
      <c r="B251" t="str" vm="11011">
        <f>IFERROR(CUBEVALUE("BIDB",$A251,B$3,'Præsentationstabeller 1'!$C$2),0)</f>
        <v/>
      </c>
      <c r="C251" vm="13348">
        <f>IFERROR(CUBEVALUE("BIDB",$A251,C$3,C$2,'Præsentationstabeller 1'!$C$2),0)</f>
        <v>1</v>
      </c>
      <c r="D251" t="str" vm="11784">
        <f>IFERROR(CUBEVALUE("BIDB",$A251,D$3,D$2,'Præsentationstabeller 1'!$C$2),0)</f>
        <v/>
      </c>
      <c r="E251" vm="16924">
        <f>IFERROR(CUBEVALUE("BIDB",$A251,E$3,E$2,'Præsentationstabeller 1'!$C$2),0)</f>
        <v>1</v>
      </c>
      <c r="F251" t="str" vm="14210">
        <f>IFERROR(CUBEVALUE("BIDB",$A251,F$3,F$2,'Præsentationstabeller 1'!$C$2),0)</f>
        <v/>
      </c>
      <c r="G251" vm="13617">
        <f>IFERROR(CUBEVALUE("BIDB",$A251,G$3,G$2,'Præsentationstabeller 1'!$C$2),0)</f>
        <v>1</v>
      </c>
      <c r="H251" t="str" vm="11603">
        <f>IFERROR(CUBEVALUE("BIDB",$A251,H$3,H$2,'Præsentationstabeller 1'!$C$2),0)</f>
        <v/>
      </c>
      <c r="I251" t="str" vm="9998">
        <f>IFERROR(CUBEVALUE("BIDB",$A251,I$3,I$2,'Præsentationstabeller 1'!$C$2),0)</f>
        <v/>
      </c>
      <c r="J251" t="str" vm="15451">
        <f>IFERROR(CUBEVALUE("BIDB",$A251,J$3,J$2,'Præsentationstabeller 1'!$C$2),0)</f>
        <v/>
      </c>
      <c r="K251" t="str" vm="12706">
        <f>IFERROR(CUBEVALUE("BIDB",$A251,K$3,K$2,'Præsentationstabeller 1'!$C$2),0)</f>
        <v/>
      </c>
      <c r="L251" t="str" vm="11090">
        <f>IFERROR(CUBEVALUE("BIDB",$A251,L$3,L$2,'Præsentationstabeller 1'!$C$2),0)</f>
        <v/>
      </c>
    </row>
    <row r="252" spans="1:12" x14ac:dyDescent="0.3">
      <c r="A252" s="123" t="str" vm="1084">
        <f>CUBEMEMBER("BIDB","[Dimittenddato].[Dimittenddato].&amp;[2009-08-04T00:00:00]")</f>
        <v>04-08-2009</v>
      </c>
      <c r="B252" t="str" vm="10683">
        <f>IFERROR(CUBEVALUE("BIDB",$A252,B$3,'Præsentationstabeller 1'!$C$2),0)</f>
        <v/>
      </c>
      <c r="C252" t="str" vm="15580">
        <f>IFERROR(CUBEVALUE("BIDB",$A252,C$3,C$2,'Præsentationstabeller 1'!$C$2),0)</f>
        <v/>
      </c>
      <c r="D252" t="str" vm="10929">
        <f>IFERROR(CUBEVALUE("BIDB",$A252,D$3,D$2,'Præsentationstabeller 1'!$C$2),0)</f>
        <v/>
      </c>
      <c r="E252" vm="9304">
        <f>IFERROR(CUBEVALUE("BIDB",$A252,E$3,E$2,'Præsentationstabeller 1'!$C$2),0)</f>
        <v>1</v>
      </c>
      <c r="F252" vm="10661">
        <f>IFERROR(CUBEVALUE("BIDB",$A252,F$3,F$2,'Præsentationstabeller 1'!$C$2),0)</f>
        <v>2</v>
      </c>
      <c r="G252" vm="13885">
        <f>IFERROR(CUBEVALUE("BIDB",$A252,G$3,G$2,'Præsentationstabeller 1'!$C$2),0)</f>
        <v>3</v>
      </c>
      <c r="H252" t="str" vm="16894">
        <f>IFERROR(CUBEVALUE("BIDB",$A252,H$3,H$2,'Præsentationstabeller 1'!$C$2),0)</f>
        <v/>
      </c>
      <c r="I252" t="str" vm="10787">
        <f>IFERROR(CUBEVALUE("BIDB",$A252,I$3,I$2,'Præsentationstabeller 1'!$C$2),0)</f>
        <v/>
      </c>
      <c r="J252" t="str" vm="12994">
        <f>IFERROR(CUBEVALUE("BIDB",$A252,J$3,J$2,'Præsentationstabeller 1'!$C$2),0)</f>
        <v/>
      </c>
      <c r="K252" t="str" vm="9921">
        <f>IFERROR(CUBEVALUE("BIDB",$A252,K$3,K$2,'Præsentationstabeller 1'!$C$2),0)</f>
        <v/>
      </c>
      <c r="L252" t="str" vm="8912">
        <f>IFERROR(CUBEVALUE("BIDB",$A252,L$3,L$2,'Præsentationstabeller 1'!$C$2),0)</f>
        <v/>
      </c>
    </row>
    <row r="253" spans="1:12" x14ac:dyDescent="0.3">
      <c r="A253" s="123" t="str" vm="1083">
        <f>CUBEMEMBER("BIDB","[Dimittenddato].[Dimittenddato].&amp;[2009-08-05T00:00:00]")</f>
        <v>05-08-2009</v>
      </c>
      <c r="B253" t="str" vm="10030">
        <f>IFERROR(CUBEVALUE("BIDB",$A253,B$3,'Præsentationstabeller 1'!$C$2),0)</f>
        <v/>
      </c>
      <c r="C253" t="str" vm="14228">
        <f>IFERROR(CUBEVALUE("BIDB",$A253,C$3,C$2,'Præsentationstabeller 1'!$C$2),0)</f>
        <v/>
      </c>
      <c r="D253" t="str" vm="16377">
        <f>IFERROR(CUBEVALUE("BIDB",$A253,D$3,D$2,'Præsentationstabeller 1'!$C$2),0)</f>
        <v/>
      </c>
      <c r="E253" vm="12727">
        <f>IFERROR(CUBEVALUE("BIDB",$A253,E$3,E$2,'Præsentationstabeller 1'!$C$2),0)</f>
        <v>1</v>
      </c>
      <c r="F253" t="str" vm="9013">
        <f>IFERROR(CUBEVALUE("BIDB",$A253,F$3,F$2,'Præsentationstabeller 1'!$C$2),0)</f>
        <v/>
      </c>
      <c r="G253" vm="11932">
        <f>IFERROR(CUBEVALUE("BIDB",$A253,G$3,G$2,'Præsentationstabeller 1'!$C$2),0)</f>
        <v>1</v>
      </c>
      <c r="H253" t="str" vm="13446">
        <f>IFERROR(CUBEVALUE("BIDB",$A253,H$3,H$2,'Præsentationstabeller 1'!$C$2),0)</f>
        <v/>
      </c>
      <c r="I253" t="str" vm="10207">
        <f>IFERROR(CUBEVALUE("BIDB",$A253,I$3,I$2,'Præsentationstabeller 1'!$C$2),0)</f>
        <v/>
      </c>
      <c r="J253" t="str" vm="15623">
        <f>IFERROR(CUBEVALUE("BIDB",$A253,J$3,J$2,'Præsentationstabeller 1'!$C$2),0)</f>
        <v/>
      </c>
      <c r="K253" t="str" vm="11885">
        <f>IFERROR(CUBEVALUE("BIDB",$A253,K$3,K$2,'Præsentationstabeller 1'!$C$2),0)</f>
        <v/>
      </c>
      <c r="L253" t="str" vm="11412">
        <f>IFERROR(CUBEVALUE("BIDB",$A253,L$3,L$2,'Præsentationstabeller 1'!$C$2),0)</f>
        <v/>
      </c>
    </row>
    <row r="254" spans="1:12" x14ac:dyDescent="0.3">
      <c r="A254" s="123" t="str" vm="1082">
        <f>CUBEMEMBER("BIDB","[Dimittenddato].[Dimittenddato].&amp;[2009-08-06T00:00:00]")</f>
        <v>06-08-2009</v>
      </c>
      <c r="B254" t="str" vm="10405">
        <f>IFERROR(CUBEVALUE("BIDB",$A254,B$3,'Præsentationstabeller 1'!$C$2),0)</f>
        <v/>
      </c>
      <c r="C254" t="str" vm="10379">
        <f>IFERROR(CUBEVALUE("BIDB",$A254,C$3,C$2,'Præsentationstabeller 1'!$C$2),0)</f>
        <v/>
      </c>
      <c r="D254" vm="15156">
        <f>IFERROR(CUBEVALUE("BIDB",$A254,D$3,D$2,'Præsentationstabeller 1'!$C$2),0)</f>
        <v>1</v>
      </c>
      <c r="E254" vm="9449">
        <f>IFERROR(CUBEVALUE("BIDB",$A254,E$3,E$2,'Præsentationstabeller 1'!$C$2),0)</f>
        <v>3</v>
      </c>
      <c r="F254" t="str" vm="16030">
        <f>IFERROR(CUBEVALUE("BIDB",$A254,F$3,F$2,'Præsentationstabeller 1'!$C$2),0)</f>
        <v/>
      </c>
      <c r="G254" vm="12411">
        <f>IFERROR(CUBEVALUE("BIDB",$A254,G$3,G$2,'Præsentationstabeller 1'!$C$2),0)</f>
        <v>3</v>
      </c>
      <c r="H254" t="str" vm="9209">
        <f>IFERROR(CUBEVALUE("BIDB",$A254,H$3,H$2,'Præsentationstabeller 1'!$C$2),0)</f>
        <v/>
      </c>
      <c r="I254" t="str" vm="9801">
        <f>IFERROR(CUBEVALUE("BIDB",$A254,I$3,I$2,'Præsentationstabeller 1'!$C$2),0)</f>
        <v/>
      </c>
      <c r="J254" t="str" vm="8703">
        <f>IFERROR(CUBEVALUE("BIDB",$A254,J$3,J$2,'Præsentationstabeller 1'!$C$2),0)</f>
        <v/>
      </c>
      <c r="K254" t="str" vm="13383">
        <f>IFERROR(CUBEVALUE("BIDB",$A254,K$3,K$2,'Præsentationstabeller 1'!$C$2),0)</f>
        <v/>
      </c>
      <c r="L254" t="str" vm="9513">
        <f>IFERROR(CUBEVALUE("BIDB",$A254,L$3,L$2,'Præsentationstabeller 1'!$C$2),0)</f>
        <v/>
      </c>
    </row>
    <row r="255" spans="1:12" x14ac:dyDescent="0.3">
      <c r="A255" s="123" t="str" vm="1081">
        <f>CUBEMEMBER("BIDB","[Dimittenddato].[Dimittenddato].&amp;[2009-08-07T00:00:00]")</f>
        <v>07-08-2009</v>
      </c>
      <c r="B255" t="str" vm="10704">
        <f>IFERROR(CUBEVALUE("BIDB",$A255,B$3,'Præsentationstabeller 1'!$C$2),0)</f>
        <v/>
      </c>
      <c r="C255" t="str" vm="15905">
        <f>IFERROR(CUBEVALUE("BIDB",$A255,C$3,C$2,'Præsentationstabeller 1'!$C$2),0)</f>
        <v/>
      </c>
      <c r="D255" t="str" vm="10096">
        <f>IFERROR(CUBEVALUE("BIDB",$A255,D$3,D$2,'Præsentationstabeller 1'!$C$2),0)</f>
        <v/>
      </c>
      <c r="E255" vm="15193">
        <f>IFERROR(CUBEVALUE("BIDB",$A255,E$3,E$2,'Præsentationstabeller 1'!$C$2),0)</f>
        <v>2</v>
      </c>
      <c r="F255" t="str" vm="10077">
        <f>IFERROR(CUBEVALUE("BIDB",$A255,F$3,F$2,'Præsentationstabeller 1'!$C$2),0)</f>
        <v/>
      </c>
      <c r="G255" vm="13802">
        <f>IFERROR(CUBEVALUE("BIDB",$A255,G$3,G$2,'Præsentationstabeller 1'!$C$2),0)</f>
        <v>2</v>
      </c>
      <c r="H255" t="str" vm="16909">
        <f>IFERROR(CUBEVALUE("BIDB",$A255,H$3,H$2,'Præsentationstabeller 1'!$C$2),0)</f>
        <v/>
      </c>
      <c r="I255" t="str" vm="7577">
        <f>IFERROR(CUBEVALUE("BIDB",$A255,I$3,I$2,'Præsentationstabeller 1'!$C$2),0)</f>
        <v/>
      </c>
      <c r="J255" t="str" vm="9626">
        <f>IFERROR(CUBEVALUE("BIDB",$A255,J$3,J$2,'Præsentationstabeller 1'!$C$2),0)</f>
        <v/>
      </c>
      <c r="K255" t="str" vm="12289">
        <f>IFERROR(CUBEVALUE("BIDB",$A255,K$3,K$2,'Præsentationstabeller 1'!$C$2),0)</f>
        <v/>
      </c>
      <c r="L255" t="str" vm="12812">
        <f>IFERROR(CUBEVALUE("BIDB",$A255,L$3,L$2,'Præsentationstabeller 1'!$C$2),0)</f>
        <v/>
      </c>
    </row>
    <row r="256" spans="1:12" x14ac:dyDescent="0.3">
      <c r="A256" s="123" t="str" vm="1080">
        <f>CUBEMEMBER("BIDB","[Dimittenddato].[Dimittenddato].&amp;[2009-08-08T00:00:00]")</f>
        <v>08-08-2009</v>
      </c>
      <c r="B256" t="str" vm="8910">
        <f>IFERROR(CUBEVALUE("BIDB",$A256,B$3,'Præsentationstabeller 1'!$C$2),0)</f>
        <v/>
      </c>
      <c r="C256" t="str" vm="12551">
        <f>IFERROR(CUBEVALUE("BIDB",$A256,C$3,C$2,'Præsentationstabeller 1'!$C$2),0)</f>
        <v/>
      </c>
      <c r="D256" t="str" vm="13961">
        <f>IFERROR(CUBEVALUE("BIDB",$A256,D$3,D$2,'Præsentationstabeller 1'!$C$2),0)</f>
        <v/>
      </c>
      <c r="E256" t="str" vm="11179">
        <f>IFERROR(CUBEVALUE("BIDB",$A256,E$3,E$2,'Præsentationstabeller 1'!$C$2),0)</f>
        <v/>
      </c>
      <c r="F256" t="str" vm="10608">
        <f>IFERROR(CUBEVALUE("BIDB",$A256,F$3,F$2,'Præsentationstabeller 1'!$C$2),0)</f>
        <v/>
      </c>
      <c r="G256" t="str" vm="12178">
        <f>IFERROR(CUBEVALUE("BIDB",$A256,G$3,G$2,'Præsentationstabeller 1'!$C$2),0)</f>
        <v/>
      </c>
      <c r="H256" t="str" vm="14909">
        <f>IFERROR(CUBEVALUE("BIDB",$A256,H$3,H$2,'Præsentationstabeller 1'!$C$2),0)</f>
        <v/>
      </c>
      <c r="I256" t="str" vm="9976">
        <f>IFERROR(CUBEVALUE("BIDB",$A256,I$3,I$2,'Præsentationstabeller 1'!$C$2),0)</f>
        <v/>
      </c>
      <c r="J256" t="str" vm="11765">
        <f>IFERROR(CUBEVALUE("BIDB",$A256,J$3,J$2,'Præsentationstabeller 1'!$C$2),0)</f>
        <v/>
      </c>
      <c r="K256" t="str" vm="13447">
        <f>IFERROR(CUBEVALUE("BIDB",$A256,K$3,K$2,'Præsentationstabeller 1'!$C$2),0)</f>
        <v/>
      </c>
      <c r="L256" t="str" vm="9239">
        <f>IFERROR(CUBEVALUE("BIDB",$A256,L$3,L$2,'Præsentationstabeller 1'!$C$2),0)</f>
        <v/>
      </c>
    </row>
    <row r="257" spans="1:12" x14ac:dyDescent="0.3">
      <c r="A257" s="123" t="str" vm="1079">
        <f>CUBEMEMBER("BIDB","[Dimittenddato].[Dimittenddato].&amp;[2009-08-09T00:00:00]")</f>
        <v>09-08-2009</v>
      </c>
      <c r="B257" t="str" vm="15405">
        <f>IFERROR(CUBEVALUE("BIDB",$A257,B$3,'Præsentationstabeller 1'!$C$2),0)</f>
        <v/>
      </c>
      <c r="C257" vm="15109">
        <f>IFERROR(CUBEVALUE("BIDB",$A257,C$3,C$2,'Præsentationstabeller 1'!$C$2),0)</f>
        <v>1</v>
      </c>
      <c r="D257" t="str" vm="13361">
        <f>IFERROR(CUBEVALUE("BIDB",$A257,D$3,D$2,'Præsentationstabeller 1'!$C$2),0)</f>
        <v/>
      </c>
      <c r="E257" t="str" vm="12262">
        <f>IFERROR(CUBEVALUE("BIDB",$A257,E$3,E$2,'Præsentationstabeller 1'!$C$2),0)</f>
        <v/>
      </c>
      <c r="F257" t="str" vm="7095">
        <f>IFERROR(CUBEVALUE("BIDB",$A257,F$3,F$2,'Præsentationstabeller 1'!$C$2),0)</f>
        <v/>
      </c>
      <c r="G257" t="str" vm="9987">
        <f>IFERROR(CUBEVALUE("BIDB",$A257,G$3,G$2,'Præsentationstabeller 1'!$C$2),0)</f>
        <v/>
      </c>
      <c r="H257" t="str" vm="12129">
        <f>IFERROR(CUBEVALUE("BIDB",$A257,H$3,H$2,'Præsentationstabeller 1'!$C$2),0)</f>
        <v/>
      </c>
      <c r="I257" t="str" vm="13933">
        <f>IFERROR(CUBEVALUE("BIDB",$A257,I$3,I$2,'Præsentationstabeller 1'!$C$2),0)</f>
        <v/>
      </c>
      <c r="J257" t="str" vm="10556">
        <f>IFERROR(CUBEVALUE("BIDB",$A257,J$3,J$2,'Præsentationstabeller 1'!$C$2),0)</f>
        <v/>
      </c>
      <c r="K257" t="str" vm="13924">
        <f>IFERROR(CUBEVALUE("BIDB",$A257,K$3,K$2,'Præsentationstabeller 1'!$C$2),0)</f>
        <v/>
      </c>
      <c r="L257" t="str" vm="7503">
        <f>IFERROR(CUBEVALUE("BIDB",$A257,L$3,L$2,'Præsentationstabeller 1'!$C$2),0)</f>
        <v/>
      </c>
    </row>
    <row r="258" spans="1:12" x14ac:dyDescent="0.3">
      <c r="A258" s="123" t="str" vm="1078">
        <f>CUBEMEMBER("BIDB","[Dimittenddato].[Dimittenddato].&amp;[2009-08-10T00:00:00]")</f>
        <v>10-08-2009</v>
      </c>
      <c r="B258" t="str" vm="10874">
        <f>IFERROR(CUBEVALUE("BIDB",$A258,B$3,'Præsentationstabeller 1'!$C$2),0)</f>
        <v/>
      </c>
      <c r="C258" t="str" vm="12680">
        <f>IFERROR(CUBEVALUE("BIDB",$A258,C$3,C$2,'Præsentationstabeller 1'!$C$2),0)</f>
        <v/>
      </c>
      <c r="D258" vm="16582">
        <f>IFERROR(CUBEVALUE("BIDB",$A258,D$3,D$2,'Præsentationstabeller 1'!$C$2),0)</f>
        <v>1</v>
      </c>
      <c r="E258" vm="7474">
        <f>IFERROR(CUBEVALUE("BIDB",$A258,E$3,E$2,'Præsentationstabeller 1'!$C$2),0)</f>
        <v>3</v>
      </c>
      <c r="F258" vm="14514">
        <f>IFERROR(CUBEVALUE("BIDB",$A258,F$3,F$2,'Præsentationstabeller 1'!$C$2),0)</f>
        <v>1</v>
      </c>
      <c r="G258" vm="12121">
        <f>IFERROR(CUBEVALUE("BIDB",$A258,G$3,G$2,'Præsentationstabeller 1'!$C$2),0)</f>
        <v>4</v>
      </c>
      <c r="H258" t="str" vm="10313">
        <f>IFERROR(CUBEVALUE("BIDB",$A258,H$3,H$2,'Præsentationstabeller 1'!$C$2),0)</f>
        <v/>
      </c>
      <c r="I258" t="str" vm="8092">
        <f>IFERROR(CUBEVALUE("BIDB",$A258,I$3,I$2,'Præsentationstabeller 1'!$C$2),0)</f>
        <v/>
      </c>
      <c r="J258" t="str" vm="15187">
        <f>IFERROR(CUBEVALUE("BIDB",$A258,J$3,J$2,'Præsentationstabeller 1'!$C$2),0)</f>
        <v/>
      </c>
      <c r="K258" t="str" vm="11539">
        <f>IFERROR(CUBEVALUE("BIDB",$A258,K$3,K$2,'Præsentationstabeller 1'!$C$2),0)</f>
        <v/>
      </c>
      <c r="L258" t="str" vm="12845">
        <f>IFERROR(CUBEVALUE("BIDB",$A258,L$3,L$2,'Præsentationstabeller 1'!$C$2),0)</f>
        <v/>
      </c>
    </row>
    <row r="259" spans="1:12" x14ac:dyDescent="0.3">
      <c r="A259" s="123" t="str" vm="1077">
        <f>CUBEMEMBER("BIDB","[Dimittenddato].[Dimittenddato].&amp;[2009-08-11T00:00:00]")</f>
        <v>11-08-2009</v>
      </c>
      <c r="B259" t="str" vm="15014">
        <f>IFERROR(CUBEVALUE("BIDB",$A259,B$3,'Præsentationstabeller 1'!$C$2),0)</f>
        <v/>
      </c>
      <c r="C259" vm="10395">
        <f>IFERROR(CUBEVALUE("BIDB",$A259,C$3,C$2,'Præsentationstabeller 1'!$C$2),0)</f>
        <v>1</v>
      </c>
      <c r="D259" vm="9917">
        <f>IFERROR(CUBEVALUE("BIDB",$A259,D$3,D$2,'Præsentationstabeller 1'!$C$2),0)</f>
        <v>2</v>
      </c>
      <c r="E259" vm="15191">
        <f>IFERROR(CUBEVALUE("BIDB",$A259,E$3,E$2,'Præsentationstabeller 1'!$C$2),0)</f>
        <v>2</v>
      </c>
      <c r="F259" vm="12980">
        <f>IFERROR(CUBEVALUE("BIDB",$A259,F$3,F$2,'Præsentationstabeller 1'!$C$2),0)</f>
        <v>1</v>
      </c>
      <c r="G259" vm="13015">
        <f>IFERROR(CUBEVALUE("BIDB",$A259,G$3,G$2,'Præsentationstabeller 1'!$C$2),0)</f>
        <v>3</v>
      </c>
      <c r="H259" t="str" vm="16895">
        <f>IFERROR(CUBEVALUE("BIDB",$A259,H$3,H$2,'Præsentationstabeller 1'!$C$2),0)</f>
        <v/>
      </c>
      <c r="I259" t="str" vm="8863">
        <f>IFERROR(CUBEVALUE("BIDB",$A259,I$3,I$2,'Præsentationstabeller 1'!$C$2),0)</f>
        <v/>
      </c>
      <c r="J259" t="str" vm="14061">
        <f>IFERROR(CUBEVALUE("BIDB",$A259,J$3,J$2,'Præsentationstabeller 1'!$C$2),0)</f>
        <v/>
      </c>
      <c r="K259" t="str" vm="10583">
        <f>IFERROR(CUBEVALUE("BIDB",$A259,K$3,K$2,'Præsentationstabeller 1'!$C$2),0)</f>
        <v/>
      </c>
      <c r="L259" t="str" vm="13354">
        <f>IFERROR(CUBEVALUE("BIDB",$A259,L$3,L$2,'Præsentationstabeller 1'!$C$2),0)</f>
        <v/>
      </c>
    </row>
    <row r="260" spans="1:12" x14ac:dyDescent="0.3">
      <c r="A260" s="123" t="str" vm="1076">
        <f>CUBEMEMBER("BIDB","[Dimittenddato].[Dimittenddato].&amp;[2009-08-12T00:00:00]")</f>
        <v>12-08-2009</v>
      </c>
      <c r="B260" t="str" vm="8831">
        <f>IFERROR(CUBEVALUE("BIDB",$A260,B$3,'Præsentationstabeller 1'!$C$2),0)</f>
        <v/>
      </c>
      <c r="C260" vm="15352">
        <f>IFERROR(CUBEVALUE("BIDB",$A260,C$3,C$2,'Præsentationstabeller 1'!$C$2),0)</f>
        <v>1</v>
      </c>
      <c r="D260" vm="16530">
        <f>IFERROR(CUBEVALUE("BIDB",$A260,D$3,D$2,'Præsentationstabeller 1'!$C$2),0)</f>
        <v>2</v>
      </c>
      <c r="E260" vm="12948">
        <f>IFERROR(CUBEVALUE("BIDB",$A260,E$3,E$2,'Præsentationstabeller 1'!$C$2),0)</f>
        <v>5</v>
      </c>
      <c r="F260" vm="9346">
        <f>IFERROR(CUBEVALUE("BIDB",$A260,F$3,F$2,'Præsentationstabeller 1'!$C$2),0)</f>
        <v>1</v>
      </c>
      <c r="G260" vm="12521">
        <f>IFERROR(CUBEVALUE("BIDB",$A260,G$3,G$2,'Præsentationstabeller 1'!$C$2),0)</f>
        <v>6</v>
      </c>
      <c r="H260" t="str" vm="13748">
        <f>IFERROR(CUBEVALUE("BIDB",$A260,H$3,H$2,'Præsentationstabeller 1'!$C$2),0)</f>
        <v/>
      </c>
      <c r="I260" t="str" vm="15784">
        <f>IFERROR(CUBEVALUE("BIDB",$A260,I$3,I$2,'Præsentationstabeller 1'!$C$2),0)</f>
        <v/>
      </c>
      <c r="J260" t="str" vm="11681">
        <f>IFERROR(CUBEVALUE("BIDB",$A260,J$3,J$2,'Præsentationstabeller 1'!$C$2),0)</f>
        <v/>
      </c>
      <c r="K260" t="str" vm="14107">
        <f>IFERROR(CUBEVALUE("BIDB",$A260,K$3,K$2,'Præsentationstabeller 1'!$C$2),0)</f>
        <v/>
      </c>
      <c r="L260" t="str" vm="11058">
        <f>IFERROR(CUBEVALUE("BIDB",$A260,L$3,L$2,'Præsentationstabeller 1'!$C$2),0)</f>
        <v/>
      </c>
    </row>
    <row r="261" spans="1:12" x14ac:dyDescent="0.3">
      <c r="A261" s="123" t="str" vm="1075">
        <f>CUBEMEMBER("BIDB","[Dimittenddato].[Dimittenddato].&amp;[2009-08-13T00:00:00]")</f>
        <v>13-08-2009</v>
      </c>
      <c r="B261" t="str" vm="15939">
        <f>IFERROR(CUBEVALUE("BIDB",$A261,B$3,'Præsentationstabeller 1'!$C$2),0)</f>
        <v/>
      </c>
      <c r="C261" t="str" vm="15772">
        <f>IFERROR(CUBEVALUE("BIDB",$A261,C$3,C$2,'Præsentationstabeller 1'!$C$2),0)</f>
        <v/>
      </c>
      <c r="D261" t="str" vm="14313">
        <f>IFERROR(CUBEVALUE("BIDB",$A261,D$3,D$2,'Præsentationstabeller 1'!$C$2),0)</f>
        <v/>
      </c>
      <c r="E261" vm="7989">
        <f>IFERROR(CUBEVALUE("BIDB",$A261,E$3,E$2,'Præsentationstabeller 1'!$C$2),0)</f>
        <v>1</v>
      </c>
      <c r="F261" t="str" vm="14049">
        <f>IFERROR(CUBEVALUE("BIDB",$A261,F$3,F$2,'Præsentationstabeller 1'!$C$2),0)</f>
        <v/>
      </c>
      <c r="G261" vm="11964">
        <f>IFERROR(CUBEVALUE("BIDB",$A261,G$3,G$2,'Præsentationstabeller 1'!$C$2),0)</f>
        <v>1</v>
      </c>
      <c r="H261" t="str" vm="13898">
        <f>IFERROR(CUBEVALUE("BIDB",$A261,H$3,H$2,'Præsentationstabeller 1'!$C$2),0)</f>
        <v/>
      </c>
      <c r="I261" t="str" vm="11309">
        <f>IFERROR(CUBEVALUE("BIDB",$A261,I$3,I$2,'Præsentationstabeller 1'!$C$2),0)</f>
        <v/>
      </c>
      <c r="J261" t="str" vm="12713">
        <f>IFERROR(CUBEVALUE("BIDB",$A261,J$3,J$2,'Præsentationstabeller 1'!$C$2),0)</f>
        <v/>
      </c>
      <c r="K261" t="str" vm="14890">
        <f>IFERROR(CUBEVALUE("BIDB",$A261,K$3,K$2,'Præsentationstabeller 1'!$C$2),0)</f>
        <v/>
      </c>
      <c r="L261" t="str" vm="11444">
        <f>IFERROR(CUBEVALUE("BIDB",$A261,L$3,L$2,'Præsentationstabeller 1'!$C$2),0)</f>
        <v/>
      </c>
    </row>
    <row r="262" spans="1:12" x14ac:dyDescent="0.3">
      <c r="A262" s="123" t="str" vm="1074">
        <f>CUBEMEMBER("BIDB","[Dimittenddato].[Dimittenddato].&amp;[2009-08-14T00:00:00]")</f>
        <v>14-08-2009</v>
      </c>
      <c r="B262" t="str" vm="10021">
        <f>IFERROR(CUBEVALUE("BIDB",$A262,B$3,'Præsentationstabeller 1'!$C$2),0)</f>
        <v/>
      </c>
      <c r="C262" t="str" vm="9264">
        <f>IFERROR(CUBEVALUE("BIDB",$A262,C$3,C$2,'Præsentationstabeller 1'!$C$2),0)</f>
        <v/>
      </c>
      <c r="D262" vm="14203">
        <f>IFERROR(CUBEVALUE("BIDB",$A262,D$3,D$2,'Præsentationstabeller 1'!$C$2),0)</f>
        <v>5</v>
      </c>
      <c r="E262" vm="10745">
        <f>IFERROR(CUBEVALUE("BIDB",$A262,E$3,E$2,'Præsentationstabeller 1'!$C$2),0)</f>
        <v>1</v>
      </c>
      <c r="F262" vm="10843">
        <f>IFERROR(CUBEVALUE("BIDB",$A262,F$3,F$2,'Præsentationstabeller 1'!$C$2),0)</f>
        <v>1</v>
      </c>
      <c r="G262" vm="15313">
        <f>IFERROR(CUBEVALUE("BIDB",$A262,G$3,G$2,'Præsentationstabeller 1'!$C$2),0)</f>
        <v>2</v>
      </c>
      <c r="H262" t="str" vm="15447">
        <f>IFERROR(CUBEVALUE("BIDB",$A262,H$3,H$2,'Præsentationstabeller 1'!$C$2),0)</f>
        <v/>
      </c>
      <c r="I262" t="str" vm="13037">
        <f>IFERROR(CUBEVALUE("BIDB",$A262,I$3,I$2,'Præsentationstabeller 1'!$C$2),0)</f>
        <v/>
      </c>
      <c r="J262" t="str" vm="10959">
        <f>IFERROR(CUBEVALUE("BIDB",$A262,J$3,J$2,'Præsentationstabeller 1'!$C$2),0)</f>
        <v/>
      </c>
      <c r="K262" t="str" vm="11639">
        <f>IFERROR(CUBEVALUE("BIDB",$A262,K$3,K$2,'Præsentationstabeller 1'!$C$2),0)</f>
        <v/>
      </c>
      <c r="L262" t="str" vm="15662">
        <f>IFERROR(CUBEVALUE("BIDB",$A262,L$3,L$2,'Præsentationstabeller 1'!$C$2),0)</f>
        <v/>
      </c>
    </row>
    <row r="263" spans="1:12" x14ac:dyDescent="0.3">
      <c r="A263" s="123" t="str" vm="1073">
        <f>CUBEMEMBER("BIDB","[Dimittenddato].[Dimittenddato].&amp;[2009-08-15T00:00:00]")</f>
        <v>15-08-2009</v>
      </c>
      <c r="B263" t="str" vm="11807">
        <f>IFERROR(CUBEVALUE("BIDB",$A263,B$3,'Præsentationstabeller 1'!$C$2),0)</f>
        <v/>
      </c>
      <c r="C263" t="str" vm="11721">
        <f>IFERROR(CUBEVALUE("BIDB",$A263,C$3,C$2,'Præsentationstabeller 1'!$C$2),0)</f>
        <v/>
      </c>
      <c r="D263" t="str" vm="11222">
        <f>IFERROR(CUBEVALUE("BIDB",$A263,D$3,D$2,'Præsentationstabeller 1'!$C$2),0)</f>
        <v/>
      </c>
      <c r="E263" t="str" vm="14267">
        <f>IFERROR(CUBEVALUE("BIDB",$A263,E$3,E$2,'Præsentationstabeller 1'!$C$2),0)</f>
        <v/>
      </c>
      <c r="F263" t="str" vm="10462">
        <f>IFERROR(CUBEVALUE("BIDB",$A263,F$3,F$2,'Præsentationstabeller 1'!$C$2),0)</f>
        <v/>
      </c>
      <c r="G263" t="str" vm="12654">
        <f>IFERROR(CUBEVALUE("BIDB",$A263,G$3,G$2,'Præsentationstabeller 1'!$C$2),0)</f>
        <v/>
      </c>
      <c r="H263" t="str" vm="11683">
        <f>IFERROR(CUBEVALUE("BIDB",$A263,H$3,H$2,'Præsentationstabeller 1'!$C$2),0)</f>
        <v/>
      </c>
      <c r="I263" t="str" vm="16639">
        <f>IFERROR(CUBEVALUE("BIDB",$A263,I$3,I$2,'Præsentationstabeller 1'!$C$2),0)</f>
        <v/>
      </c>
      <c r="J263" t="str" vm="14057">
        <f>IFERROR(CUBEVALUE("BIDB",$A263,J$3,J$2,'Præsentationstabeller 1'!$C$2),0)</f>
        <v/>
      </c>
      <c r="K263" t="str" vm="10122">
        <f>IFERROR(CUBEVALUE("BIDB",$A263,K$3,K$2,'Præsentationstabeller 1'!$C$2),0)</f>
        <v/>
      </c>
      <c r="L263" t="str" vm="16352">
        <f>IFERROR(CUBEVALUE("BIDB",$A263,L$3,L$2,'Præsentationstabeller 1'!$C$2),0)</f>
        <v/>
      </c>
    </row>
    <row r="264" spans="1:12" x14ac:dyDescent="0.3">
      <c r="A264" s="123" t="str" vm="1072">
        <f>CUBEMEMBER("BIDB","[Dimittenddato].[Dimittenddato].&amp;[2009-08-16T00:00:00]")</f>
        <v>16-08-2009</v>
      </c>
      <c r="B264" t="str" vm="10795">
        <f>IFERROR(CUBEVALUE("BIDB",$A264,B$3,'Præsentationstabeller 1'!$C$2),0)</f>
        <v/>
      </c>
      <c r="C264" t="str" vm="12909">
        <f>IFERROR(CUBEVALUE("BIDB",$A264,C$3,C$2,'Præsentationstabeller 1'!$C$2),0)</f>
        <v/>
      </c>
      <c r="D264" t="str" vm="15278">
        <f>IFERROR(CUBEVALUE("BIDB",$A264,D$3,D$2,'Præsentationstabeller 1'!$C$2),0)</f>
        <v/>
      </c>
      <c r="E264" t="str" vm="13543">
        <f>IFERROR(CUBEVALUE("BIDB",$A264,E$3,E$2,'Præsentationstabeller 1'!$C$2),0)</f>
        <v/>
      </c>
      <c r="F264" t="str" vm="10500">
        <f>IFERROR(CUBEVALUE("BIDB",$A264,F$3,F$2,'Præsentationstabeller 1'!$C$2),0)</f>
        <v/>
      </c>
      <c r="G264" t="str" vm="11911">
        <f>IFERROR(CUBEVALUE("BIDB",$A264,G$3,G$2,'Præsentationstabeller 1'!$C$2),0)</f>
        <v/>
      </c>
      <c r="H264" t="str" vm="15127">
        <f>IFERROR(CUBEVALUE("BIDB",$A264,H$3,H$2,'Præsentationstabeller 1'!$C$2),0)</f>
        <v/>
      </c>
      <c r="I264" t="str" vm="14219">
        <f>IFERROR(CUBEVALUE("BIDB",$A264,I$3,I$2,'Præsentationstabeller 1'!$C$2),0)</f>
        <v/>
      </c>
      <c r="J264" t="str" vm="13401">
        <f>IFERROR(CUBEVALUE("BIDB",$A264,J$3,J$2,'Præsentationstabeller 1'!$C$2),0)</f>
        <v/>
      </c>
      <c r="K264" t="str" vm="10599">
        <f>IFERROR(CUBEVALUE("BIDB",$A264,K$3,K$2,'Præsentationstabeller 1'!$C$2),0)</f>
        <v/>
      </c>
      <c r="L264" t="str" vm="8345">
        <f>IFERROR(CUBEVALUE("BIDB",$A264,L$3,L$2,'Præsentationstabeller 1'!$C$2),0)</f>
        <v/>
      </c>
    </row>
    <row r="265" spans="1:12" x14ac:dyDescent="0.3">
      <c r="A265" s="123" t="str" vm="1071">
        <f>CUBEMEMBER("BIDB","[Dimittenddato].[Dimittenddato].&amp;[2009-08-17T00:00:00]")</f>
        <v>17-08-2009</v>
      </c>
      <c r="B265" t="str" vm="11738">
        <f>IFERROR(CUBEVALUE("BIDB",$A265,B$3,'Præsentationstabeller 1'!$C$2),0)</f>
        <v/>
      </c>
      <c r="C265" vm="11546">
        <f>IFERROR(CUBEVALUE("BIDB",$A265,C$3,C$2,'Præsentationstabeller 1'!$C$2),0)</f>
        <v>2</v>
      </c>
      <c r="D265" t="str" vm="13260">
        <f>IFERROR(CUBEVALUE("BIDB",$A265,D$3,D$2,'Præsentationstabeller 1'!$C$2),0)</f>
        <v/>
      </c>
      <c r="E265" vm="14719">
        <f>IFERROR(CUBEVALUE("BIDB",$A265,E$3,E$2,'Præsentationstabeller 1'!$C$2),0)</f>
        <v>4</v>
      </c>
      <c r="F265" vm="9146">
        <f>IFERROR(CUBEVALUE("BIDB",$A265,F$3,F$2,'Præsentationstabeller 1'!$C$2),0)</f>
        <v>1</v>
      </c>
      <c r="G265" vm="10896">
        <f>IFERROR(CUBEVALUE("BIDB",$A265,G$3,G$2,'Præsentationstabeller 1'!$C$2),0)</f>
        <v>5</v>
      </c>
      <c r="H265" t="str" vm="11142">
        <f>IFERROR(CUBEVALUE("BIDB",$A265,H$3,H$2,'Præsentationstabeller 1'!$C$2),0)</f>
        <v/>
      </c>
      <c r="I265" t="str" vm="10818">
        <f>IFERROR(CUBEVALUE("BIDB",$A265,I$3,I$2,'Præsentationstabeller 1'!$C$2),0)</f>
        <v/>
      </c>
      <c r="J265" t="str" vm="11432">
        <f>IFERROR(CUBEVALUE("BIDB",$A265,J$3,J$2,'Præsentationstabeller 1'!$C$2),0)</f>
        <v/>
      </c>
      <c r="K265" t="str" vm="16237">
        <f>IFERROR(CUBEVALUE("BIDB",$A265,K$3,K$2,'Præsentationstabeller 1'!$C$2),0)</f>
        <v/>
      </c>
      <c r="L265" t="str" vm="10863">
        <f>IFERROR(CUBEVALUE("BIDB",$A265,L$3,L$2,'Præsentationstabeller 1'!$C$2),0)</f>
        <v/>
      </c>
    </row>
    <row r="266" spans="1:12" x14ac:dyDescent="0.3">
      <c r="A266" s="123" t="str" vm="1070">
        <f>CUBEMEMBER("BIDB","[Dimittenddato].[Dimittenddato].&amp;[2009-08-18T00:00:00]")</f>
        <v>18-08-2009</v>
      </c>
      <c r="B266" t="str" vm="9714">
        <f>IFERROR(CUBEVALUE("BIDB",$A266,B$3,'Præsentationstabeller 1'!$C$2),0)</f>
        <v/>
      </c>
      <c r="C266" vm="11269">
        <f>IFERROR(CUBEVALUE("BIDB",$A266,C$3,C$2,'Præsentationstabeller 1'!$C$2),0)</f>
        <v>1</v>
      </c>
      <c r="D266" vm="14406">
        <f>IFERROR(CUBEVALUE("BIDB",$A266,D$3,D$2,'Præsentationstabeller 1'!$C$2),0)</f>
        <v>1</v>
      </c>
      <c r="E266" vm="8214">
        <f>IFERROR(CUBEVALUE("BIDB",$A266,E$3,E$2,'Præsentationstabeller 1'!$C$2),0)</f>
        <v>4</v>
      </c>
      <c r="F266" vm="10827">
        <f>IFERROR(CUBEVALUE("BIDB",$A266,F$3,F$2,'Præsentationstabeller 1'!$C$2),0)</f>
        <v>1</v>
      </c>
      <c r="G266" vm="11646">
        <f>IFERROR(CUBEVALUE("BIDB",$A266,G$3,G$2,'Præsentationstabeller 1'!$C$2),0)</f>
        <v>5</v>
      </c>
      <c r="H266" t="str" vm="16869">
        <f>IFERROR(CUBEVALUE("BIDB",$A266,H$3,H$2,'Præsentationstabeller 1'!$C$2),0)</f>
        <v/>
      </c>
      <c r="I266" t="str" vm="11969">
        <f>IFERROR(CUBEVALUE("BIDB",$A266,I$3,I$2,'Præsentationstabeller 1'!$C$2),0)</f>
        <v/>
      </c>
      <c r="J266" t="str" vm="8627">
        <f>IFERROR(CUBEVALUE("BIDB",$A266,J$3,J$2,'Præsentationstabeller 1'!$C$2),0)</f>
        <v/>
      </c>
      <c r="K266" t="str" vm="14439">
        <f>IFERROR(CUBEVALUE("BIDB",$A266,K$3,K$2,'Præsentationstabeller 1'!$C$2),0)</f>
        <v/>
      </c>
      <c r="L266" t="str" vm="11181">
        <f>IFERROR(CUBEVALUE("BIDB",$A266,L$3,L$2,'Præsentationstabeller 1'!$C$2),0)</f>
        <v/>
      </c>
    </row>
    <row r="267" spans="1:12" x14ac:dyDescent="0.3">
      <c r="A267" s="123" t="str" vm="1069">
        <f>CUBEMEMBER("BIDB","[Dimittenddato].[Dimittenddato].&amp;[2009-08-19T00:00:00]")</f>
        <v>19-08-2009</v>
      </c>
      <c r="B267" t="str" vm="9290">
        <f>IFERROR(CUBEVALUE("BIDB",$A267,B$3,'Præsentationstabeller 1'!$C$2),0)</f>
        <v/>
      </c>
      <c r="C267" t="str" vm="12133">
        <f>IFERROR(CUBEVALUE("BIDB",$A267,C$3,C$2,'Præsentationstabeller 1'!$C$2),0)</f>
        <v/>
      </c>
      <c r="D267" vm="9323">
        <f>IFERROR(CUBEVALUE("BIDB",$A267,D$3,D$2,'Præsentationstabeller 1'!$C$2),0)</f>
        <v>1</v>
      </c>
      <c r="E267" vm="10423">
        <f>IFERROR(CUBEVALUE("BIDB",$A267,E$3,E$2,'Præsentationstabeller 1'!$C$2),0)</f>
        <v>1</v>
      </c>
      <c r="F267" vm="12884">
        <f>IFERROR(CUBEVALUE("BIDB",$A267,F$3,F$2,'Præsentationstabeller 1'!$C$2),0)</f>
        <v>1</v>
      </c>
      <c r="G267" vm="13068">
        <f>IFERROR(CUBEVALUE("BIDB",$A267,G$3,G$2,'Præsentationstabeller 1'!$C$2),0)</f>
        <v>2</v>
      </c>
      <c r="H267" t="str" vm="16110">
        <f>IFERROR(CUBEVALUE("BIDB",$A267,H$3,H$2,'Præsentationstabeller 1'!$C$2),0)</f>
        <v/>
      </c>
      <c r="I267" t="str" vm="9163">
        <f>IFERROR(CUBEVALUE("BIDB",$A267,I$3,I$2,'Præsentationstabeller 1'!$C$2),0)</f>
        <v/>
      </c>
      <c r="J267" t="str" vm="13732">
        <f>IFERROR(CUBEVALUE("BIDB",$A267,J$3,J$2,'Præsentationstabeller 1'!$C$2),0)</f>
        <v/>
      </c>
      <c r="K267" t="str" vm="10731">
        <f>IFERROR(CUBEVALUE("BIDB",$A267,K$3,K$2,'Præsentationstabeller 1'!$C$2),0)</f>
        <v/>
      </c>
      <c r="L267" t="str" vm="13005">
        <f>IFERROR(CUBEVALUE("BIDB",$A267,L$3,L$2,'Præsentationstabeller 1'!$C$2),0)</f>
        <v/>
      </c>
    </row>
    <row r="268" spans="1:12" x14ac:dyDescent="0.3">
      <c r="A268" s="123" t="str" vm="1068">
        <f>CUBEMEMBER("BIDB","[Dimittenddato].[Dimittenddato].&amp;[2009-08-20T00:00:00]")</f>
        <v>20-08-2009</v>
      </c>
      <c r="B268" t="str" vm="9043">
        <f>IFERROR(CUBEVALUE("BIDB",$A268,B$3,'Præsentationstabeller 1'!$C$2),0)</f>
        <v/>
      </c>
      <c r="C268" vm="13120">
        <f>IFERROR(CUBEVALUE("BIDB",$A268,C$3,C$2,'Præsentationstabeller 1'!$C$2),0)</f>
        <v>1</v>
      </c>
      <c r="D268" vm="10132">
        <f>IFERROR(CUBEVALUE("BIDB",$A268,D$3,D$2,'Præsentationstabeller 1'!$C$2),0)</f>
        <v>-1</v>
      </c>
      <c r="E268" vm="11253">
        <f>IFERROR(CUBEVALUE("BIDB",$A268,E$3,E$2,'Præsentationstabeller 1'!$C$2),0)</f>
        <v>5</v>
      </c>
      <c r="F268" t="str" vm="10193">
        <f>IFERROR(CUBEVALUE("BIDB",$A268,F$3,F$2,'Præsentationstabeller 1'!$C$2),0)</f>
        <v/>
      </c>
      <c r="G268" vm="16843">
        <f>IFERROR(CUBEVALUE("BIDB",$A268,G$3,G$2,'Præsentationstabeller 1'!$C$2),0)</f>
        <v>5</v>
      </c>
      <c r="H268" t="str" vm="9521">
        <f>IFERROR(CUBEVALUE("BIDB",$A268,H$3,H$2,'Præsentationstabeller 1'!$C$2),0)</f>
        <v/>
      </c>
      <c r="I268" t="str" vm="11357">
        <f>IFERROR(CUBEVALUE("BIDB",$A268,I$3,I$2,'Præsentationstabeller 1'!$C$2),0)</f>
        <v/>
      </c>
      <c r="J268" t="str" vm="9566">
        <f>IFERROR(CUBEVALUE("BIDB",$A268,J$3,J$2,'Præsentationstabeller 1'!$C$2),0)</f>
        <v/>
      </c>
      <c r="K268" t="str" vm="14765">
        <f>IFERROR(CUBEVALUE("BIDB",$A268,K$3,K$2,'Præsentationstabeller 1'!$C$2),0)</f>
        <v/>
      </c>
      <c r="L268" t="str" vm="8377">
        <f>IFERROR(CUBEVALUE("BIDB",$A268,L$3,L$2,'Præsentationstabeller 1'!$C$2),0)</f>
        <v/>
      </c>
    </row>
    <row r="269" spans="1:12" x14ac:dyDescent="0.3">
      <c r="A269" s="123" t="str" vm="1067">
        <f>CUBEMEMBER("BIDB","[Dimittenddato].[Dimittenddato].&amp;[2009-08-21T00:00:00]")</f>
        <v>21-08-2009</v>
      </c>
      <c r="B269" t="str" vm="9723">
        <f>IFERROR(CUBEVALUE("BIDB",$A269,B$3,'Præsentationstabeller 1'!$C$2),0)</f>
        <v/>
      </c>
      <c r="C269" t="str" vm="16216">
        <f>IFERROR(CUBEVALUE("BIDB",$A269,C$3,C$2,'Præsentationstabeller 1'!$C$2),0)</f>
        <v/>
      </c>
      <c r="D269" vm="14990">
        <f>IFERROR(CUBEVALUE("BIDB",$A269,D$3,D$2,'Præsentationstabeller 1'!$C$2),0)</f>
        <v>3</v>
      </c>
      <c r="E269" vm="10063">
        <f>IFERROR(CUBEVALUE("BIDB",$A269,E$3,E$2,'Præsentationstabeller 1'!$C$2),0)</f>
        <v>3</v>
      </c>
      <c r="F269" t="str" vm="8524">
        <f>IFERROR(CUBEVALUE("BIDB",$A269,F$3,F$2,'Præsentationstabeller 1'!$C$2),0)</f>
        <v/>
      </c>
      <c r="G269" vm="15768">
        <f>IFERROR(CUBEVALUE("BIDB",$A269,G$3,G$2,'Præsentationstabeller 1'!$C$2),0)</f>
        <v>3</v>
      </c>
      <c r="H269" t="str" vm="14764">
        <f>IFERROR(CUBEVALUE("BIDB",$A269,H$3,H$2,'Præsentationstabeller 1'!$C$2),0)</f>
        <v/>
      </c>
      <c r="I269" t="str" vm="9252">
        <f>IFERROR(CUBEVALUE("BIDB",$A269,I$3,I$2,'Præsentationstabeller 1'!$C$2),0)</f>
        <v/>
      </c>
      <c r="J269" t="str" vm="9398">
        <f>IFERROR(CUBEVALUE("BIDB",$A269,J$3,J$2,'Præsentationstabeller 1'!$C$2),0)</f>
        <v/>
      </c>
      <c r="K269" t="str" vm="9424">
        <f>IFERROR(CUBEVALUE("BIDB",$A269,K$3,K$2,'Præsentationstabeller 1'!$C$2),0)</f>
        <v/>
      </c>
      <c r="L269" t="str" vm="17039">
        <f>IFERROR(CUBEVALUE("BIDB",$A269,L$3,L$2,'Præsentationstabeller 1'!$C$2),0)</f>
        <v/>
      </c>
    </row>
    <row r="270" spans="1:12" x14ac:dyDescent="0.3">
      <c r="A270" s="123" t="str" vm="1066">
        <f>CUBEMEMBER("BIDB","[Dimittenddato].[Dimittenddato].&amp;[2009-08-22T00:00:00]")</f>
        <v>22-08-2009</v>
      </c>
      <c r="B270" t="str" vm="12678">
        <f>IFERROR(CUBEVALUE("BIDB",$A270,B$3,'Præsentationstabeller 1'!$C$2),0)</f>
        <v/>
      </c>
      <c r="C270" t="str" vm="9582">
        <f>IFERROR(CUBEVALUE("BIDB",$A270,C$3,C$2,'Præsentationstabeller 1'!$C$2),0)</f>
        <v/>
      </c>
      <c r="D270" vm="14826">
        <f>IFERROR(CUBEVALUE("BIDB",$A270,D$3,D$2,'Præsentationstabeller 1'!$C$2),0)</f>
        <v>1</v>
      </c>
      <c r="E270" t="str" vm="11345">
        <f>IFERROR(CUBEVALUE("BIDB",$A270,E$3,E$2,'Præsentationstabeller 1'!$C$2),0)</f>
        <v/>
      </c>
      <c r="F270" t="str" vm="13726">
        <f>IFERROR(CUBEVALUE("BIDB",$A270,F$3,F$2,'Præsentationstabeller 1'!$C$2),0)</f>
        <v/>
      </c>
      <c r="G270" t="str" vm="13880">
        <f>IFERROR(CUBEVALUE("BIDB",$A270,G$3,G$2,'Præsentationstabeller 1'!$C$2),0)</f>
        <v/>
      </c>
      <c r="H270" t="str" vm="15644">
        <f>IFERROR(CUBEVALUE("BIDB",$A270,H$3,H$2,'Præsentationstabeller 1'!$C$2),0)</f>
        <v/>
      </c>
      <c r="I270" t="str" vm="11751">
        <f>IFERROR(CUBEVALUE("BIDB",$A270,I$3,I$2,'Præsentationstabeller 1'!$C$2),0)</f>
        <v/>
      </c>
      <c r="J270" t="str" vm="6841">
        <f>IFERROR(CUBEVALUE("BIDB",$A270,J$3,J$2,'Præsentationstabeller 1'!$C$2),0)</f>
        <v/>
      </c>
      <c r="K270" t="str" vm="13791">
        <f>IFERROR(CUBEVALUE("BIDB",$A270,K$3,K$2,'Præsentationstabeller 1'!$C$2),0)</f>
        <v/>
      </c>
      <c r="L270" t="str" vm="15063">
        <f>IFERROR(CUBEVALUE("BIDB",$A270,L$3,L$2,'Præsentationstabeller 1'!$C$2),0)</f>
        <v/>
      </c>
    </row>
    <row r="271" spans="1:12" x14ac:dyDescent="0.3">
      <c r="A271" s="123" t="str" vm="1065">
        <f>CUBEMEMBER("BIDB","[Dimittenddato].[Dimittenddato].&amp;[2009-08-23T00:00:00]")</f>
        <v>23-08-2009</v>
      </c>
      <c r="B271" t="str" vm="7603">
        <f>IFERROR(CUBEVALUE("BIDB",$A271,B$3,'Præsentationstabeller 1'!$C$2),0)</f>
        <v/>
      </c>
      <c r="C271" t="str" vm="16417">
        <f>IFERROR(CUBEVALUE("BIDB",$A271,C$3,C$2,'Præsentationstabeller 1'!$C$2),0)</f>
        <v/>
      </c>
      <c r="D271" t="str" vm="12488">
        <f>IFERROR(CUBEVALUE("BIDB",$A271,D$3,D$2,'Præsentationstabeller 1'!$C$2),0)</f>
        <v/>
      </c>
      <c r="E271" vm="9591">
        <f>IFERROR(CUBEVALUE("BIDB",$A271,E$3,E$2,'Præsentationstabeller 1'!$C$2),0)</f>
        <v>1</v>
      </c>
      <c r="F271" t="str" vm="10363">
        <f>IFERROR(CUBEVALUE("BIDB",$A271,F$3,F$2,'Præsentationstabeller 1'!$C$2),0)</f>
        <v/>
      </c>
      <c r="G271" vm="16946">
        <f>IFERROR(CUBEVALUE("BIDB",$A271,G$3,G$2,'Præsentationstabeller 1'!$C$2),0)</f>
        <v>1</v>
      </c>
      <c r="H271" t="str" vm="12096">
        <f>IFERROR(CUBEVALUE("BIDB",$A271,H$3,H$2,'Præsentationstabeller 1'!$C$2),0)</f>
        <v/>
      </c>
      <c r="I271" t="str" vm="8940">
        <f>IFERROR(CUBEVALUE("BIDB",$A271,I$3,I$2,'Præsentationstabeller 1'!$C$2),0)</f>
        <v/>
      </c>
      <c r="J271" t="str" vm="15758">
        <f>IFERROR(CUBEVALUE("BIDB",$A271,J$3,J$2,'Præsentationstabeller 1'!$C$2),0)</f>
        <v/>
      </c>
      <c r="K271" t="str" vm="9828">
        <f>IFERROR(CUBEVALUE("BIDB",$A271,K$3,K$2,'Præsentationstabeller 1'!$C$2),0)</f>
        <v/>
      </c>
      <c r="L271" t="str" vm="11106">
        <f>IFERROR(CUBEVALUE("BIDB",$A271,L$3,L$2,'Præsentationstabeller 1'!$C$2),0)</f>
        <v/>
      </c>
    </row>
    <row r="272" spans="1:12" x14ac:dyDescent="0.3">
      <c r="A272" s="123" t="str" vm="1064">
        <f>CUBEMEMBER("BIDB","[Dimittenddato].[Dimittenddato].&amp;[2009-08-24T00:00:00]")</f>
        <v>24-08-2009</v>
      </c>
      <c r="B272" t="str" vm="8374">
        <f>IFERROR(CUBEVALUE("BIDB",$A272,B$3,'Præsentationstabeller 1'!$C$2),0)</f>
        <v/>
      </c>
      <c r="C272" vm="13309">
        <f>IFERROR(CUBEVALUE("BIDB",$A272,C$3,C$2,'Præsentationstabeller 1'!$C$2),0)</f>
        <v>1</v>
      </c>
      <c r="D272" vm="11581">
        <f>IFERROR(CUBEVALUE("BIDB",$A272,D$3,D$2,'Præsentationstabeller 1'!$C$2),0)</f>
        <v>1</v>
      </c>
      <c r="E272" vm="10668">
        <f>IFERROR(CUBEVALUE("BIDB",$A272,E$3,E$2,'Præsentationstabeller 1'!$C$2),0)</f>
        <v>9</v>
      </c>
      <c r="F272" t="str" vm="13676">
        <f>IFERROR(CUBEVALUE("BIDB",$A272,F$3,F$2,'Præsentationstabeller 1'!$C$2),0)</f>
        <v/>
      </c>
      <c r="G272" vm="14807">
        <f>IFERROR(CUBEVALUE("BIDB",$A272,G$3,G$2,'Præsentationstabeller 1'!$C$2),0)</f>
        <v>9</v>
      </c>
      <c r="H272" t="str" vm="15100">
        <f>IFERROR(CUBEVALUE("BIDB",$A272,H$3,H$2,'Præsentationstabeller 1'!$C$2),0)</f>
        <v/>
      </c>
      <c r="I272" t="str" vm="11353">
        <f>IFERROR(CUBEVALUE("BIDB",$A272,I$3,I$2,'Præsentationstabeller 1'!$C$2),0)</f>
        <v/>
      </c>
      <c r="J272" t="str" vm="13529">
        <f>IFERROR(CUBEVALUE("BIDB",$A272,J$3,J$2,'Præsentationstabeller 1'!$C$2),0)</f>
        <v/>
      </c>
      <c r="K272" t="str" vm="11131">
        <f>IFERROR(CUBEVALUE("BIDB",$A272,K$3,K$2,'Præsentationstabeller 1'!$C$2),0)</f>
        <v/>
      </c>
      <c r="L272" t="str" vm="8943">
        <f>IFERROR(CUBEVALUE("BIDB",$A272,L$3,L$2,'Præsentationstabeller 1'!$C$2),0)</f>
        <v/>
      </c>
    </row>
    <row r="273" spans="1:12" x14ac:dyDescent="0.3">
      <c r="A273" s="123" t="str" vm="1063">
        <f>CUBEMEMBER("BIDB","[Dimittenddato].[Dimittenddato].&amp;[2009-08-25T00:00:00]")</f>
        <v>25-08-2009</v>
      </c>
      <c r="B273" t="str" vm="15254">
        <f>IFERROR(CUBEVALUE("BIDB",$A273,B$3,'Præsentationstabeller 1'!$C$2),0)</f>
        <v/>
      </c>
      <c r="C273" vm="13466">
        <f>IFERROR(CUBEVALUE("BIDB",$A273,C$3,C$2,'Præsentationstabeller 1'!$C$2),0)</f>
        <v>1</v>
      </c>
      <c r="D273" t="str" vm="16101">
        <f>IFERROR(CUBEVALUE("BIDB",$A273,D$3,D$2,'Præsentationstabeller 1'!$C$2),0)</f>
        <v/>
      </c>
      <c r="E273" vm="11955">
        <f>IFERROR(CUBEVALUE("BIDB",$A273,E$3,E$2,'Præsentationstabeller 1'!$C$2),0)</f>
        <v>7</v>
      </c>
      <c r="F273" vm="8342">
        <f>IFERROR(CUBEVALUE("BIDB",$A273,F$3,F$2,'Præsentationstabeller 1'!$C$2),0)</f>
        <v>3</v>
      </c>
      <c r="G273" vm="11950">
        <f>IFERROR(CUBEVALUE("BIDB",$A273,G$3,G$2,'Præsentationstabeller 1'!$C$2),0)</f>
        <v>10</v>
      </c>
      <c r="H273" t="str" vm="12853">
        <f>IFERROR(CUBEVALUE("BIDB",$A273,H$3,H$2,'Præsentationstabeller 1'!$C$2),0)</f>
        <v/>
      </c>
      <c r="I273" t="str" vm="13342">
        <f>IFERROR(CUBEVALUE("BIDB",$A273,I$3,I$2,'Præsentationstabeller 1'!$C$2),0)</f>
        <v/>
      </c>
      <c r="J273" t="str" vm="10860">
        <f>IFERROR(CUBEVALUE("BIDB",$A273,J$3,J$2,'Præsentationstabeller 1'!$C$2),0)</f>
        <v/>
      </c>
      <c r="K273" t="str" vm="14732">
        <f>IFERROR(CUBEVALUE("BIDB",$A273,K$3,K$2,'Præsentationstabeller 1'!$C$2),0)</f>
        <v/>
      </c>
      <c r="L273" t="str" vm="7606">
        <f>IFERROR(CUBEVALUE("BIDB",$A273,L$3,L$2,'Præsentationstabeller 1'!$C$2),0)</f>
        <v/>
      </c>
    </row>
    <row r="274" spans="1:12" x14ac:dyDescent="0.3">
      <c r="A274" s="123" t="str" vm="1062">
        <f>CUBEMEMBER("BIDB","[Dimittenddato].[Dimittenddato].&amp;[2009-08-26T00:00:00]")</f>
        <v>26-08-2009</v>
      </c>
      <c r="B274" t="str" vm="12842">
        <f>IFERROR(CUBEVALUE("BIDB",$A274,B$3,'Præsentationstabeller 1'!$C$2),0)</f>
        <v/>
      </c>
      <c r="C274" t="str" vm="12888">
        <f>IFERROR(CUBEVALUE("BIDB",$A274,C$3,C$2,'Præsentationstabeller 1'!$C$2),0)</f>
        <v/>
      </c>
      <c r="D274" vm="14656">
        <f>IFERROR(CUBEVALUE("BIDB",$A274,D$3,D$2,'Præsentationstabeller 1'!$C$2),0)</f>
        <v>1</v>
      </c>
      <c r="E274" vm="9749">
        <f>IFERROR(CUBEVALUE("BIDB",$A274,E$3,E$2,'Præsentationstabeller 1'!$C$2),0)</f>
        <v>4</v>
      </c>
      <c r="F274" vm="13302">
        <f>IFERROR(CUBEVALUE("BIDB",$A274,F$3,F$2,'Præsentationstabeller 1'!$C$2),0)</f>
        <v>2</v>
      </c>
      <c r="G274" vm="16840">
        <f>IFERROR(CUBEVALUE("BIDB",$A274,G$3,G$2,'Præsentationstabeller 1'!$C$2),0)</f>
        <v>6</v>
      </c>
      <c r="H274" t="str" vm="9516">
        <f>IFERROR(CUBEVALUE("BIDB",$A274,H$3,H$2,'Præsentationstabeller 1'!$C$2),0)</f>
        <v/>
      </c>
      <c r="I274" t="str" vm="7500">
        <f>IFERROR(CUBEVALUE("BIDB",$A274,I$3,I$2,'Præsentationstabeller 1'!$C$2),0)</f>
        <v/>
      </c>
      <c r="J274" t="str" vm="9543">
        <f>IFERROR(CUBEVALUE("BIDB",$A274,J$3,J$2,'Præsentationstabeller 1'!$C$2),0)</f>
        <v/>
      </c>
      <c r="K274" t="str" vm="11664">
        <f>IFERROR(CUBEVALUE("BIDB",$A274,K$3,K$2,'Præsentationstabeller 1'!$C$2),0)</f>
        <v/>
      </c>
      <c r="L274" t="str" vm="10366">
        <f>IFERROR(CUBEVALUE("BIDB",$A274,L$3,L$2,'Præsentationstabeller 1'!$C$2),0)</f>
        <v/>
      </c>
    </row>
    <row r="275" spans="1:12" x14ac:dyDescent="0.3">
      <c r="A275" s="123" t="str" vm="1061">
        <f>CUBEMEMBER("BIDB","[Dimittenddato].[Dimittenddato].&amp;[2009-08-27T00:00:00]")</f>
        <v>27-08-2009</v>
      </c>
      <c r="B275" t="str" vm="11923">
        <f>IFERROR(CUBEVALUE("BIDB",$A275,B$3,'Præsentationstabeller 1'!$C$2),0)</f>
        <v/>
      </c>
      <c r="C275" vm="9598">
        <f>IFERROR(CUBEVALUE("BIDB",$A275,C$3,C$2,'Præsentationstabeller 1'!$C$2),0)</f>
        <v>1</v>
      </c>
      <c r="D275" t="str" vm="13445">
        <f>IFERROR(CUBEVALUE("BIDB",$A275,D$3,D$2,'Præsentationstabeller 1'!$C$2),0)</f>
        <v/>
      </c>
      <c r="E275" vm="9575">
        <f>IFERROR(CUBEVALUE("BIDB",$A275,E$3,E$2,'Præsentationstabeller 1'!$C$2),0)</f>
        <v>11</v>
      </c>
      <c r="F275" vm="9510">
        <f>IFERROR(CUBEVALUE("BIDB",$A275,F$3,F$2,'Præsentationstabeller 1'!$C$2),0)</f>
        <v>1</v>
      </c>
      <c r="G275" vm="11382">
        <f>IFERROR(CUBEVALUE("BIDB",$A275,G$3,G$2,'Præsentationstabeller 1'!$C$2),0)</f>
        <v>12</v>
      </c>
      <c r="H275" vm="11129">
        <f>IFERROR(CUBEVALUE("BIDB",$A275,H$3,H$2,'Præsentationstabeller 1'!$C$2),0)</f>
        <v>0.8</v>
      </c>
      <c r="I275" t="str" vm="8421">
        <f>IFERROR(CUBEVALUE("BIDB",$A275,I$3,I$2,'Præsentationstabeller 1'!$C$2),0)</f>
        <v/>
      </c>
      <c r="J275" t="str" vm="11278">
        <f>IFERROR(CUBEVALUE("BIDB",$A275,J$3,J$2,'Præsentationstabeller 1'!$C$2),0)</f>
        <v/>
      </c>
      <c r="K275" t="str" vm="12223">
        <f>IFERROR(CUBEVALUE("BIDB",$A275,K$3,K$2,'Præsentationstabeller 1'!$C$2),0)</f>
        <v/>
      </c>
      <c r="L275" t="str" vm="14959">
        <f>IFERROR(CUBEVALUE("BIDB",$A275,L$3,L$2,'Præsentationstabeller 1'!$C$2),0)</f>
        <v/>
      </c>
    </row>
    <row r="276" spans="1:12" x14ac:dyDescent="0.3">
      <c r="A276" s="123" t="str" vm="1060">
        <f>CUBEMEMBER("BIDB","[Dimittenddato].[Dimittenddato].&amp;[2009-08-28T00:00:00]")</f>
        <v>28-08-2009</v>
      </c>
      <c r="B276" t="str" vm="7636">
        <f>IFERROR(CUBEVALUE("BIDB",$A276,B$3,'Præsentationstabeller 1'!$C$2),0)</f>
        <v/>
      </c>
      <c r="C276" vm="13939">
        <f>IFERROR(CUBEVALUE("BIDB",$A276,C$3,C$2,'Præsentationstabeller 1'!$C$2),0)</f>
        <v>1</v>
      </c>
      <c r="D276" vm="14111">
        <f>IFERROR(CUBEVALUE("BIDB",$A276,D$3,D$2,'Præsentationstabeller 1'!$C$2),0)</f>
        <v>2</v>
      </c>
      <c r="E276" vm="16122">
        <f>IFERROR(CUBEVALUE("BIDB",$A276,E$3,E$2,'Præsentationstabeller 1'!$C$2),0)</f>
        <v>5</v>
      </c>
      <c r="F276" t="str" vm="11295">
        <f>IFERROR(CUBEVALUE("BIDB",$A276,F$3,F$2,'Præsentationstabeller 1'!$C$2),0)</f>
        <v/>
      </c>
      <c r="G276" vm="11605">
        <f>IFERROR(CUBEVALUE("BIDB",$A276,G$3,G$2,'Præsentationstabeller 1'!$C$2),0)</f>
        <v>5</v>
      </c>
      <c r="H276" t="str" vm="15139">
        <f>IFERROR(CUBEVALUE("BIDB",$A276,H$3,H$2,'Præsentationstabeller 1'!$C$2),0)</f>
        <v/>
      </c>
      <c r="I276" t="str" vm="17025">
        <f>IFERROR(CUBEVALUE("BIDB",$A276,I$3,I$2,'Præsentationstabeller 1'!$C$2),0)</f>
        <v/>
      </c>
      <c r="J276" t="str" vm="12967">
        <f>IFERROR(CUBEVALUE("BIDB",$A276,J$3,J$2,'Præsentationstabeller 1'!$C$2),0)</f>
        <v/>
      </c>
      <c r="K276" t="str" vm="13112">
        <f>IFERROR(CUBEVALUE("BIDB",$A276,K$3,K$2,'Præsentationstabeller 1'!$C$2),0)</f>
        <v/>
      </c>
      <c r="L276" t="str" vm="13003">
        <f>IFERROR(CUBEVALUE("BIDB",$A276,L$3,L$2,'Præsentationstabeller 1'!$C$2),0)</f>
        <v/>
      </c>
    </row>
    <row r="277" spans="1:12" x14ac:dyDescent="0.3">
      <c r="A277" s="123" t="str" vm="1059">
        <f>CUBEMEMBER("BIDB","[Dimittenddato].[Dimittenddato].&amp;[2009-08-29T00:00:00]")</f>
        <v>29-08-2009</v>
      </c>
      <c r="B277" t="str" vm="13410">
        <f>IFERROR(CUBEVALUE("BIDB",$A277,B$3,'Præsentationstabeller 1'!$C$2),0)</f>
        <v/>
      </c>
      <c r="C277" t="str" vm="13178">
        <f>IFERROR(CUBEVALUE("BIDB",$A277,C$3,C$2,'Præsentationstabeller 1'!$C$2),0)</f>
        <v/>
      </c>
      <c r="D277" vm="14264">
        <f>IFERROR(CUBEVALUE("BIDB",$A277,D$3,D$2,'Præsentationstabeller 1'!$C$2),0)</f>
        <v>1</v>
      </c>
      <c r="E277" t="str" vm="9962">
        <f>IFERROR(CUBEVALUE("BIDB",$A277,E$3,E$2,'Præsentationstabeller 1'!$C$2),0)</f>
        <v/>
      </c>
      <c r="F277" t="str" vm="11744">
        <f>IFERROR(CUBEVALUE("BIDB",$A277,F$3,F$2,'Præsentationstabeller 1'!$C$2),0)</f>
        <v/>
      </c>
      <c r="G277" t="str" vm="11787">
        <f>IFERROR(CUBEVALUE("BIDB",$A277,G$3,G$2,'Præsentationstabeller 1'!$C$2),0)</f>
        <v/>
      </c>
      <c r="H277" t="str" vm="16846">
        <f>IFERROR(CUBEVALUE("BIDB",$A277,H$3,H$2,'Præsentationstabeller 1'!$C$2),0)</f>
        <v/>
      </c>
      <c r="I277" t="str" vm="15776">
        <f>IFERROR(CUBEVALUE("BIDB",$A277,I$3,I$2,'Præsentationstabeller 1'!$C$2),0)</f>
        <v/>
      </c>
      <c r="J277" t="str" vm="10007">
        <f>IFERROR(CUBEVALUE("BIDB",$A277,J$3,J$2,'Præsentationstabeller 1'!$C$2),0)</f>
        <v/>
      </c>
      <c r="K277" t="str" vm="15459">
        <f>IFERROR(CUBEVALUE("BIDB",$A277,K$3,K$2,'Præsentationstabeller 1'!$C$2),0)</f>
        <v/>
      </c>
      <c r="L277" t="str" vm="11754">
        <f>IFERROR(CUBEVALUE("BIDB",$A277,L$3,L$2,'Præsentationstabeller 1'!$C$2),0)</f>
        <v/>
      </c>
    </row>
    <row r="278" spans="1:12" x14ac:dyDescent="0.3">
      <c r="A278" s="123" t="str" vm="1058">
        <f>CUBEMEMBER("BIDB","[Dimittenddato].[Dimittenddato].&amp;[2009-08-30T00:00:00]")</f>
        <v>30-08-2009</v>
      </c>
      <c r="B278" t="str" vm="10307">
        <f>IFERROR(CUBEVALUE("BIDB",$A278,B$3,'Præsentationstabeller 1'!$C$2),0)</f>
        <v/>
      </c>
      <c r="C278" t="str" vm="9730">
        <f>IFERROR(CUBEVALUE("BIDB",$A278,C$3,C$2,'Præsentationstabeller 1'!$C$2),0)</f>
        <v/>
      </c>
      <c r="D278" t="str" vm="13644">
        <f>IFERROR(CUBEVALUE("BIDB",$A278,D$3,D$2,'Præsentationstabeller 1'!$C$2),0)</f>
        <v/>
      </c>
      <c r="E278" vm="10154">
        <f>IFERROR(CUBEVALUE("BIDB",$A278,E$3,E$2,'Præsentationstabeller 1'!$C$2),0)</f>
        <v>0</v>
      </c>
      <c r="F278" t="str" vm="14033">
        <f>IFERROR(CUBEVALUE("BIDB",$A278,F$3,F$2,'Præsentationstabeller 1'!$C$2),0)</f>
        <v/>
      </c>
      <c r="G278" vm="13686">
        <f>IFERROR(CUBEVALUE("BIDB",$A278,G$3,G$2,'Præsentationstabeller 1'!$C$2),0)</f>
        <v>0</v>
      </c>
      <c r="H278" t="str" vm="12848">
        <f>IFERROR(CUBEVALUE("BIDB",$A278,H$3,H$2,'Præsentationstabeller 1'!$C$2),0)</f>
        <v/>
      </c>
      <c r="I278" t="str" vm="13911">
        <f>IFERROR(CUBEVALUE("BIDB",$A278,I$3,I$2,'Præsentationstabeller 1'!$C$2),0)</f>
        <v/>
      </c>
      <c r="J278" t="str" vm="10172">
        <f>IFERROR(CUBEVALUE("BIDB",$A278,J$3,J$2,'Præsentationstabeller 1'!$C$2),0)</f>
        <v/>
      </c>
      <c r="K278" t="str" vm="13083">
        <f>IFERROR(CUBEVALUE("BIDB",$A278,K$3,K$2,'Præsentationstabeller 1'!$C$2),0)</f>
        <v/>
      </c>
      <c r="L278" t="str" vm="16171">
        <f>IFERROR(CUBEVALUE("BIDB",$A278,L$3,L$2,'Præsentationstabeller 1'!$C$2),0)</f>
        <v/>
      </c>
    </row>
    <row r="279" spans="1:12" x14ac:dyDescent="0.3">
      <c r="A279" s="123" t="str" vm="1057">
        <f>CUBEMEMBER("BIDB","[Dimittenddato].[Dimittenddato].&amp;[2009-08-31T00:00:00]")</f>
        <v>31-08-2009</v>
      </c>
      <c r="B279" t="str" vm="14562">
        <f>IFERROR(CUBEVALUE("BIDB",$A279,B$3,'Præsentationstabeller 1'!$C$2),0)</f>
        <v/>
      </c>
      <c r="C279" t="str" vm="15739">
        <f>IFERROR(CUBEVALUE("BIDB",$A279,C$3,C$2,'Præsentationstabeller 1'!$C$2),0)</f>
        <v/>
      </c>
      <c r="D279" vm="9267">
        <f>IFERROR(CUBEVALUE("BIDB",$A279,D$3,D$2,'Præsentationstabeller 1'!$C$2),0)</f>
        <v>2</v>
      </c>
      <c r="E279" vm="15183">
        <f>IFERROR(CUBEVALUE("BIDB",$A279,E$3,E$2,'Præsentationstabeller 1'!$C$2),0)</f>
        <v>7</v>
      </c>
      <c r="F279" vm="9203">
        <f>IFERROR(CUBEVALUE("BIDB",$A279,F$3,F$2,'Præsentationstabeller 1'!$C$2),0)</f>
        <v>3</v>
      </c>
      <c r="G279" vm="14799">
        <f>IFERROR(CUBEVALUE("BIDB",$A279,G$3,G$2,'Præsentationstabeller 1'!$C$2),0)</f>
        <v>10</v>
      </c>
      <c r="H279" t="str" vm="15550">
        <f>IFERROR(CUBEVALUE("BIDB",$A279,H$3,H$2,'Præsentationstabeller 1'!$C$2),0)</f>
        <v/>
      </c>
      <c r="I279" t="str" vm="7725">
        <f>IFERROR(CUBEVALUE("BIDB",$A279,I$3,I$2,'Præsentationstabeller 1'!$C$2),0)</f>
        <v/>
      </c>
      <c r="J279" vm="11262">
        <f>IFERROR(CUBEVALUE("BIDB",$A279,J$3,J$2,'Præsentationstabeller 1'!$C$2),0)</f>
        <v>0.27999999999999997</v>
      </c>
      <c r="K279" t="str" vm="11576">
        <f>IFERROR(CUBEVALUE("BIDB",$A279,K$3,K$2,'Præsentationstabeller 1'!$C$2),0)</f>
        <v/>
      </c>
      <c r="L279" vm="15523">
        <f>IFERROR(CUBEVALUE("BIDB",$A279,L$3,L$2,'Præsentationstabeller 1'!$C$2),0)</f>
        <v>0.27999999999999997</v>
      </c>
    </row>
    <row r="280" spans="1:12" x14ac:dyDescent="0.3">
      <c r="A280" s="123" t="str" vm="1056">
        <f>CUBEMEMBER("BIDB","[Dimittenddato].[Dimittenddato].&amp;[2010-06-01T00:00:00]")</f>
        <v>01-06-2010</v>
      </c>
      <c r="B280" t="str" vm="9060">
        <f>IFERROR(CUBEVALUE("BIDB",$A280,B$3,'Præsentationstabeller 1'!$C$2),0)</f>
        <v/>
      </c>
      <c r="C280" t="str" vm="10430">
        <f>IFERROR(CUBEVALUE("BIDB",$A280,C$3,C$2,'Præsentationstabeller 1'!$C$2),0)</f>
        <v/>
      </c>
      <c r="D280" vm="16071">
        <f>IFERROR(CUBEVALUE("BIDB",$A280,D$3,D$2,'Præsentationstabeller 1'!$C$2),0)</f>
        <v>3</v>
      </c>
      <c r="E280" vm="11080">
        <f>IFERROR(CUBEVALUE("BIDB",$A280,E$3,E$2,'Præsentationstabeller 1'!$C$2),0)</f>
        <v>6</v>
      </c>
      <c r="F280" vm="10804">
        <f>IFERROR(CUBEVALUE("BIDB",$A280,F$3,F$2,'Præsentationstabeller 1'!$C$2),0)</f>
        <v>1</v>
      </c>
      <c r="G280" vm="14912">
        <f>IFERROR(CUBEVALUE("BIDB",$A280,G$3,G$2,'Præsentationstabeller 1'!$C$2),0)</f>
        <v>7</v>
      </c>
      <c r="H280" t="str" vm="12869">
        <f>IFERROR(CUBEVALUE("BIDB",$A280,H$3,H$2,'Præsentationstabeller 1'!$C$2),0)</f>
        <v/>
      </c>
      <c r="I280" t="str" vm="12902">
        <f>IFERROR(CUBEVALUE("BIDB",$A280,I$3,I$2,'Præsentationstabeller 1'!$C$2),0)</f>
        <v/>
      </c>
      <c r="J280" t="str" vm="15383">
        <f>IFERROR(CUBEVALUE("BIDB",$A280,J$3,J$2,'Præsentationstabeller 1'!$C$2),0)</f>
        <v/>
      </c>
      <c r="K280" t="str" vm="12227">
        <f>IFERROR(CUBEVALUE("BIDB",$A280,K$3,K$2,'Præsentationstabeller 1'!$C$2),0)</f>
        <v/>
      </c>
      <c r="L280" t="str" vm="6844">
        <f>IFERROR(CUBEVALUE("BIDB",$A280,L$3,L$2,'Præsentationstabeller 1'!$C$2),0)</f>
        <v/>
      </c>
    </row>
    <row r="281" spans="1:12" x14ac:dyDescent="0.3">
      <c r="A281" s="123" t="str" vm="1055">
        <f>CUBEMEMBER("BIDB","[Dimittenddato].[Dimittenddato].&amp;[2010-06-02T00:00:00]")</f>
        <v>02-06-2010</v>
      </c>
      <c r="B281" t="str" vm="15700">
        <f>IFERROR(CUBEVALUE("BIDB",$A281,B$3,'Præsentationstabeller 1'!$C$2),0)</f>
        <v/>
      </c>
      <c r="C281" t="str" vm="13651">
        <f>IFERROR(CUBEVALUE("BIDB",$A281,C$3,C$2,'Præsentationstabeller 1'!$C$2),0)</f>
        <v/>
      </c>
      <c r="D281" vm="17133">
        <f>IFERROR(CUBEVALUE("BIDB",$A281,D$3,D$2,'Præsentationstabeller 1'!$C$2),0)</f>
        <v>0</v>
      </c>
      <c r="E281" vm="11859">
        <f>IFERROR(CUBEVALUE("BIDB",$A281,E$3,E$2,'Præsentationstabeller 1'!$C$2),0)</f>
        <v>2</v>
      </c>
      <c r="F281" vm="8554">
        <f>IFERROR(CUBEVALUE("BIDB",$A281,F$3,F$2,'Præsentationstabeller 1'!$C$2),0)</f>
        <v>1</v>
      </c>
      <c r="G281" vm="10099">
        <f>IFERROR(CUBEVALUE("BIDB",$A281,G$3,G$2,'Præsentationstabeller 1'!$C$2),0)</f>
        <v>3</v>
      </c>
      <c r="H281" t="str" vm="15526">
        <f>IFERROR(CUBEVALUE("BIDB",$A281,H$3,H$2,'Præsentationstabeller 1'!$C$2),0)</f>
        <v/>
      </c>
      <c r="I281" t="str" vm="12786">
        <f>IFERROR(CUBEVALUE("BIDB",$A281,I$3,I$2,'Præsentationstabeller 1'!$C$2),0)</f>
        <v/>
      </c>
      <c r="J281" t="str" vm="9700">
        <f>IFERROR(CUBEVALUE("BIDB",$A281,J$3,J$2,'Præsentationstabeller 1'!$C$2),0)</f>
        <v/>
      </c>
      <c r="K281" t="str" vm="15027">
        <f>IFERROR(CUBEVALUE("BIDB",$A281,K$3,K$2,'Præsentationstabeller 1'!$C$2),0)</f>
        <v/>
      </c>
      <c r="L281" t="str" vm="10066">
        <f>IFERROR(CUBEVALUE("BIDB",$A281,L$3,L$2,'Præsentationstabeller 1'!$C$2),0)</f>
        <v/>
      </c>
    </row>
    <row r="282" spans="1:12" x14ac:dyDescent="0.3">
      <c r="A282" s="123" t="str" vm="1054">
        <f>CUBEMEMBER("BIDB","[Dimittenddato].[Dimittenddato].&amp;[2010-06-03T00:00:00]")</f>
        <v>03-06-2010</v>
      </c>
      <c r="B282" t="str" vm="9969">
        <f>IFERROR(CUBEVALUE("BIDB",$A282,B$3,'Præsentationstabeller 1'!$C$2),0)</f>
        <v/>
      </c>
      <c r="C282" vm="10834">
        <f>IFERROR(CUBEVALUE("BIDB",$A282,C$3,C$2,'Præsentationstabeller 1'!$C$2),0)</f>
        <v>1</v>
      </c>
      <c r="D282" t="str" vm="12416">
        <f>IFERROR(CUBEVALUE("BIDB",$A282,D$3,D$2,'Præsentationstabeller 1'!$C$2),0)</f>
        <v/>
      </c>
      <c r="E282" vm="6586">
        <f>IFERROR(CUBEVALUE("BIDB",$A282,E$3,E$2,'Præsentationstabeller 1'!$C$2),0)</f>
        <v>2</v>
      </c>
      <c r="F282" vm="10773">
        <f>IFERROR(CUBEVALUE("BIDB",$A282,F$3,F$2,'Præsentationstabeller 1'!$C$2),0)</f>
        <v>1</v>
      </c>
      <c r="G282" vm="13901">
        <f>IFERROR(CUBEVALUE("BIDB",$A282,G$3,G$2,'Præsentationstabeller 1'!$C$2),0)</f>
        <v>3</v>
      </c>
      <c r="H282" vm="15123">
        <f>IFERROR(CUBEVALUE("BIDB",$A282,H$3,H$2,'Præsentationstabeller 1'!$C$2),0)</f>
        <v>0.27999999999999997</v>
      </c>
      <c r="I282" t="str" vm="9552">
        <f>IFERROR(CUBEVALUE("BIDB",$A282,I$3,I$2,'Præsentationstabeller 1'!$C$2),0)</f>
        <v/>
      </c>
      <c r="J282" t="str" vm="8138">
        <f>IFERROR(CUBEVALUE("BIDB",$A282,J$3,J$2,'Præsentationstabeller 1'!$C$2),0)</f>
        <v/>
      </c>
      <c r="K282" t="str" vm="12072">
        <f>IFERROR(CUBEVALUE("BIDB",$A282,K$3,K$2,'Præsentationstabeller 1'!$C$2),0)</f>
        <v/>
      </c>
      <c r="L282" t="str" vm="9765">
        <f>IFERROR(CUBEVALUE("BIDB",$A282,L$3,L$2,'Præsentationstabeller 1'!$C$2),0)</f>
        <v/>
      </c>
    </row>
    <row r="283" spans="1:12" x14ac:dyDescent="0.3">
      <c r="A283" s="123" t="str" vm="1053">
        <f>CUBEMEMBER("BIDB","[Dimittenddato].[Dimittenddato].&amp;[2010-06-04T00:00:00]")</f>
        <v>04-06-2010</v>
      </c>
      <c r="B283" t="str" vm="11239">
        <f>IFERROR(CUBEVALUE("BIDB",$A283,B$3,'Præsentationstabeller 1'!$C$2),0)</f>
        <v/>
      </c>
      <c r="C283" vm="12384">
        <f>IFERROR(CUBEVALUE("BIDB",$A283,C$3,C$2,'Præsentationstabeller 1'!$C$2),0)</f>
        <v>1</v>
      </c>
      <c r="D283" vm="10533">
        <f>IFERROR(CUBEVALUE("BIDB",$A283,D$3,D$2,'Præsentationstabeller 1'!$C$2),0)</f>
        <v>2</v>
      </c>
      <c r="E283" vm="14839">
        <f>IFERROR(CUBEVALUE("BIDB",$A283,E$3,E$2,'Præsentationstabeller 1'!$C$2),0)</f>
        <v>3</v>
      </c>
      <c r="F283" t="str" vm="16621">
        <f>IFERROR(CUBEVALUE("BIDB",$A283,F$3,F$2,'Præsentationstabeller 1'!$C$2),0)</f>
        <v/>
      </c>
      <c r="G283" vm="13875">
        <f>IFERROR(CUBEVALUE("BIDB",$A283,G$3,G$2,'Præsentationstabeller 1'!$C$2),0)</f>
        <v>3</v>
      </c>
      <c r="H283" t="str" vm="15763">
        <f>IFERROR(CUBEVALUE("BIDB",$A283,H$3,H$2,'Præsentationstabeller 1'!$C$2),0)</f>
        <v/>
      </c>
      <c r="I283" vm="16564">
        <f>IFERROR(CUBEVALUE("BIDB",$A283,I$3,I$2,'Præsentationstabeller 1'!$C$2),0)</f>
        <v>0.8</v>
      </c>
      <c r="J283" t="str" vm="11500">
        <f>IFERROR(CUBEVALUE("BIDB",$A283,J$3,J$2,'Præsentationstabeller 1'!$C$2),0)</f>
        <v/>
      </c>
      <c r="K283" t="str" vm="11189">
        <f>IFERROR(CUBEVALUE("BIDB",$A283,K$3,K$2,'Præsentationstabeller 1'!$C$2),0)</f>
        <v/>
      </c>
      <c r="L283" t="str" vm="9213">
        <f>IFERROR(CUBEVALUE("BIDB",$A283,L$3,L$2,'Præsentationstabeller 1'!$C$2),0)</f>
        <v/>
      </c>
    </row>
    <row r="284" spans="1:12" x14ac:dyDescent="0.3">
      <c r="A284" s="123" t="str" vm="1052">
        <f>CUBEMEMBER("BIDB","[Dimittenddato].[Dimittenddato].&amp;[2010-06-05T00:00:00]")</f>
        <v>05-06-2010</v>
      </c>
      <c r="B284" t="str" vm="8451">
        <f>IFERROR(CUBEVALUE("BIDB",$A284,B$3,'Præsentationstabeller 1'!$C$2),0)</f>
        <v/>
      </c>
      <c r="C284" t="str" vm="15244">
        <f>IFERROR(CUBEVALUE("BIDB",$A284,C$3,C$2,'Præsentationstabeller 1'!$C$2),0)</f>
        <v/>
      </c>
      <c r="D284" t="str" vm="12497">
        <f>IFERROR(CUBEVALUE("BIDB",$A284,D$3,D$2,'Præsentationstabeller 1'!$C$2),0)</f>
        <v/>
      </c>
      <c r="E284" t="str" vm="15613">
        <f>IFERROR(CUBEVALUE("BIDB",$A284,E$3,E$2,'Præsentationstabeller 1'!$C$2),0)</f>
        <v/>
      </c>
      <c r="F284" t="str" vm="9069">
        <f>IFERROR(CUBEVALUE("BIDB",$A284,F$3,F$2,'Præsentationstabeller 1'!$C$2),0)</f>
        <v/>
      </c>
      <c r="G284" t="str" vm="13725">
        <f>IFERROR(CUBEVALUE("BIDB",$A284,G$3,G$2,'Præsentationstabeller 1'!$C$2),0)</f>
        <v/>
      </c>
      <c r="H284" t="str" vm="11187">
        <f>IFERROR(CUBEVALUE("BIDB",$A284,H$3,H$2,'Præsentationstabeller 1'!$C$2),0)</f>
        <v/>
      </c>
      <c r="I284" t="str" vm="10388">
        <f>IFERROR(CUBEVALUE("BIDB",$A284,I$3,I$2,'Præsentationstabeller 1'!$C$2),0)</f>
        <v/>
      </c>
      <c r="J284" t="str" vm="9870">
        <f>IFERROR(CUBEVALUE("BIDB",$A284,J$3,J$2,'Præsentationstabeller 1'!$C$2),0)</f>
        <v/>
      </c>
      <c r="K284" t="str" vm="11513">
        <f>IFERROR(CUBEVALUE("BIDB",$A284,K$3,K$2,'Præsentationstabeller 1'!$C$2),0)</f>
        <v/>
      </c>
      <c r="L284" t="str" vm="9015">
        <f>IFERROR(CUBEVALUE("BIDB",$A284,L$3,L$2,'Præsentationstabeller 1'!$C$2),0)</f>
        <v/>
      </c>
    </row>
    <row r="285" spans="1:12" x14ac:dyDescent="0.3">
      <c r="A285" s="123" t="str" vm="1051">
        <f>CUBEMEMBER("BIDB","[Dimittenddato].[Dimittenddato].&amp;[2010-06-06T00:00:00]")</f>
        <v>06-06-2010</v>
      </c>
      <c r="B285" t="str" vm="16565">
        <f>IFERROR(CUBEVALUE("BIDB",$A285,B$3,'Præsentationstabeller 1'!$C$2),0)</f>
        <v/>
      </c>
      <c r="C285" t="str" vm="14523">
        <f>IFERROR(CUBEVALUE("BIDB",$A285,C$3,C$2,'Præsentationstabeller 1'!$C$2),0)</f>
        <v/>
      </c>
      <c r="D285" vm="16144">
        <f>IFERROR(CUBEVALUE("BIDB",$A285,D$3,D$2,'Præsentationstabeller 1'!$C$2),0)</f>
        <v>1</v>
      </c>
      <c r="E285" t="str" vm="10349">
        <f>IFERROR(CUBEVALUE("BIDB",$A285,E$3,E$2,'Præsentationstabeller 1'!$C$2),0)</f>
        <v/>
      </c>
      <c r="F285" t="str" vm="7885">
        <f>IFERROR(CUBEVALUE("BIDB",$A285,F$3,F$2,'Præsentationstabeller 1'!$C$2),0)</f>
        <v/>
      </c>
      <c r="G285" t="str" vm="9407">
        <f>IFERROR(CUBEVALUE("BIDB",$A285,G$3,G$2,'Præsentationstabeller 1'!$C$2),0)</f>
        <v/>
      </c>
      <c r="H285" t="str" vm="13111">
        <f>IFERROR(CUBEVALUE("BIDB",$A285,H$3,H$2,'Præsentationstabeller 1'!$C$2),0)</f>
        <v/>
      </c>
      <c r="I285" t="str" vm="10766">
        <f>IFERROR(CUBEVALUE("BIDB",$A285,I$3,I$2,'Præsentationstabeller 1'!$C$2),0)</f>
        <v/>
      </c>
      <c r="J285" t="str" vm="13187">
        <f>IFERROR(CUBEVALUE("BIDB",$A285,J$3,J$2,'Præsentationstabeller 1'!$C$2),0)</f>
        <v/>
      </c>
      <c r="K285" t="str" vm="10634">
        <f>IFERROR(CUBEVALUE("BIDB",$A285,K$3,K$2,'Præsentationstabeller 1'!$C$2),0)</f>
        <v/>
      </c>
      <c r="L285" t="str" vm="10913">
        <f>IFERROR(CUBEVALUE("BIDB",$A285,L$3,L$2,'Præsentationstabeller 1'!$C$2),0)</f>
        <v/>
      </c>
    </row>
    <row r="286" spans="1:12" x14ac:dyDescent="0.3">
      <c r="A286" s="123" t="str" vm="1050">
        <f>CUBEMEMBER("BIDB","[Dimittenddato].[Dimittenddato].&amp;[2010-06-07T00:00:00]")</f>
        <v>07-06-2010</v>
      </c>
      <c r="B286" t="str" vm="12018">
        <f>IFERROR(CUBEVALUE("BIDB",$A286,B$3,'Præsentationstabeller 1'!$C$2),0)</f>
        <v/>
      </c>
      <c r="C286" t="str" vm="13547">
        <f>IFERROR(CUBEVALUE("BIDB",$A286,C$3,C$2,'Præsentationstabeller 1'!$C$2),0)</f>
        <v/>
      </c>
      <c r="D286" t="str" vm="14860">
        <f>IFERROR(CUBEVALUE("BIDB",$A286,D$3,D$2,'Præsentationstabeller 1'!$C$2),0)</f>
        <v/>
      </c>
      <c r="E286" vm="10340">
        <f>IFERROR(CUBEVALUE("BIDB",$A286,E$3,E$2,'Præsentationstabeller 1'!$C$2),0)</f>
        <v>1</v>
      </c>
      <c r="F286" vm="16318">
        <f>IFERROR(CUBEVALUE("BIDB",$A286,F$3,F$2,'Præsentationstabeller 1'!$C$2),0)</f>
        <v>2</v>
      </c>
      <c r="G286" vm="13569">
        <f>IFERROR(CUBEVALUE("BIDB",$A286,G$3,G$2,'Præsentationstabeller 1'!$C$2),0)</f>
        <v>3</v>
      </c>
      <c r="H286" t="str" vm="9669">
        <f>IFERROR(CUBEVALUE("BIDB",$A286,H$3,H$2,'Præsentationstabeller 1'!$C$2),0)</f>
        <v/>
      </c>
      <c r="I286" t="str" vm="14548">
        <f>IFERROR(CUBEVALUE("BIDB",$A286,I$3,I$2,'Præsentationstabeller 1'!$C$2),0)</f>
        <v/>
      </c>
      <c r="J286" t="str" vm="7853">
        <f>IFERROR(CUBEVALUE("BIDB",$A286,J$3,J$2,'Præsentationstabeller 1'!$C$2),0)</f>
        <v/>
      </c>
      <c r="K286" t="str" vm="14395">
        <f>IFERROR(CUBEVALUE("BIDB",$A286,K$3,K$2,'Præsentationstabeller 1'!$C$2),0)</f>
        <v/>
      </c>
      <c r="L286" t="str" vm="11256">
        <f>IFERROR(CUBEVALUE("BIDB",$A286,L$3,L$2,'Præsentationstabeller 1'!$C$2),0)</f>
        <v/>
      </c>
    </row>
    <row r="287" spans="1:12" x14ac:dyDescent="0.3">
      <c r="A287" s="123" t="str" vm="1049">
        <f>CUBEMEMBER("BIDB","[Dimittenddato].[Dimittenddato].&amp;[2010-06-08T00:00:00]")</f>
        <v>08-06-2010</v>
      </c>
      <c r="B287" t="str" vm="8966">
        <f>IFERROR(CUBEVALUE("BIDB",$A287,B$3,'Præsentationstabeller 1'!$C$2),0)</f>
        <v/>
      </c>
      <c r="C287" vm="13662">
        <f>IFERROR(CUBEVALUE("BIDB",$A287,C$3,C$2,'Præsentationstabeller 1'!$C$2),0)</f>
        <v>2</v>
      </c>
      <c r="D287" vm="11840">
        <f>IFERROR(CUBEVALUE("BIDB",$A287,D$3,D$2,'Præsentationstabeller 1'!$C$2),0)</f>
        <v>3</v>
      </c>
      <c r="E287" vm="14047">
        <f>IFERROR(CUBEVALUE("BIDB",$A287,E$3,E$2,'Præsentationstabeller 1'!$C$2),0)</f>
        <v>0</v>
      </c>
      <c r="F287" vm="12331">
        <f>IFERROR(CUBEVALUE("BIDB",$A287,F$3,F$2,'Præsentationstabeller 1'!$C$2),0)</f>
        <v>3</v>
      </c>
      <c r="G287" vm="15906">
        <f>IFERROR(CUBEVALUE("BIDB",$A287,G$3,G$2,'Præsentationstabeller 1'!$C$2),0)</f>
        <v>3</v>
      </c>
      <c r="H287" t="str" vm="16315">
        <f>IFERROR(CUBEVALUE("BIDB",$A287,H$3,H$2,'Præsentationstabeller 1'!$C$2),0)</f>
        <v/>
      </c>
      <c r="I287" t="str" vm="11165">
        <f>IFERROR(CUBEVALUE("BIDB",$A287,I$3,I$2,'Præsentationstabeller 1'!$C$2),0)</f>
        <v/>
      </c>
      <c r="J287" t="str" vm="12544">
        <f>IFERROR(CUBEVALUE("BIDB",$A287,J$3,J$2,'Præsentationstabeller 1'!$C$2),0)</f>
        <v/>
      </c>
      <c r="K287" vm="11038">
        <f>IFERROR(CUBEVALUE("BIDB",$A287,K$3,K$2,'Præsentationstabeller 1'!$C$2),0)</f>
        <v>1</v>
      </c>
      <c r="L287" vm="13006">
        <f>IFERROR(CUBEVALUE("BIDB",$A287,L$3,L$2,'Præsentationstabeller 1'!$C$2),0)</f>
        <v>1</v>
      </c>
    </row>
    <row r="288" spans="1:12" x14ac:dyDescent="0.3">
      <c r="A288" s="123" t="str" vm="1048">
        <f>CUBEMEMBER("BIDB","[Dimittenddato].[Dimittenddato].&amp;[2010-06-09T00:00:00]")</f>
        <v>09-06-2010</v>
      </c>
      <c r="B288" t="str" vm="8035">
        <f>IFERROR(CUBEVALUE("BIDB",$A288,B$3,'Præsentationstabeller 1'!$C$2),0)</f>
        <v/>
      </c>
      <c r="C288" vm="16215">
        <f>IFERROR(CUBEVALUE("BIDB",$A288,C$3,C$2,'Præsentationstabeller 1'!$C$2),0)</f>
        <v>1</v>
      </c>
      <c r="D288" vm="15791">
        <f>IFERROR(CUBEVALUE("BIDB",$A288,D$3,D$2,'Præsentationstabeller 1'!$C$2),0)</f>
        <v>1</v>
      </c>
      <c r="E288" vm="12751">
        <f>IFERROR(CUBEVALUE("BIDB",$A288,E$3,E$2,'Præsentationstabeller 1'!$C$2),0)</f>
        <v>2</v>
      </c>
      <c r="F288" vm="13586">
        <f>IFERROR(CUBEVALUE("BIDB",$A288,F$3,F$2,'Præsentationstabeller 1'!$C$2),0)</f>
        <v>1</v>
      </c>
      <c r="G288" vm="16440">
        <f>IFERROR(CUBEVALUE("BIDB",$A288,G$3,G$2,'Præsentationstabeller 1'!$C$2),0)</f>
        <v>3</v>
      </c>
      <c r="H288" t="str" vm="15918">
        <f>IFERROR(CUBEVALUE("BIDB",$A288,H$3,H$2,'Præsentationstabeller 1'!$C$2),0)</f>
        <v/>
      </c>
      <c r="I288" t="str" vm="10372">
        <f>IFERROR(CUBEVALUE("BIDB",$A288,I$3,I$2,'Præsentationstabeller 1'!$C$2),0)</f>
        <v/>
      </c>
      <c r="J288" t="str" vm="11024">
        <f>IFERROR(CUBEVALUE("BIDB",$A288,J$3,J$2,'Præsentationstabeller 1'!$C$2),0)</f>
        <v/>
      </c>
      <c r="K288" t="str" vm="13679">
        <f>IFERROR(CUBEVALUE("BIDB",$A288,K$3,K$2,'Præsentationstabeller 1'!$C$2),0)</f>
        <v/>
      </c>
      <c r="L288" t="str" vm="9046">
        <f>IFERROR(CUBEVALUE("BIDB",$A288,L$3,L$2,'Præsentationstabeller 1'!$C$2),0)</f>
        <v/>
      </c>
    </row>
    <row r="289" spans="1:12" x14ac:dyDescent="0.3">
      <c r="A289" s="123" t="str" vm="1047">
        <f>CUBEMEMBER("BIDB","[Dimittenddato].[Dimittenddato].&amp;[2010-06-10T00:00:00]")</f>
        <v>10-06-2010</v>
      </c>
      <c r="B289" t="str" vm="14993">
        <f>IFERROR(CUBEVALUE("BIDB",$A289,B$3,'Præsentationstabeller 1'!$C$2),0)</f>
        <v/>
      </c>
      <c r="C289" vm="16426">
        <f>IFERROR(CUBEVALUE("BIDB",$A289,C$3,C$2,'Præsentationstabeller 1'!$C$2),0)</f>
        <v>3</v>
      </c>
      <c r="D289" vm="14126">
        <f>IFERROR(CUBEVALUE("BIDB",$A289,D$3,D$2,'Præsentationstabeller 1'!$C$2),0)</f>
        <v>2</v>
      </c>
      <c r="E289" vm="9496">
        <f>IFERROR(CUBEVALUE("BIDB",$A289,E$3,E$2,'Præsentationstabeller 1'!$C$2),0)</f>
        <v>3</v>
      </c>
      <c r="F289" vm="7533">
        <f>IFERROR(CUBEVALUE("BIDB",$A289,F$3,F$2,'Præsentationstabeller 1'!$C$2),0)</f>
        <v>1</v>
      </c>
      <c r="G289" vm="11736">
        <f>IFERROR(CUBEVALUE("BIDB",$A289,G$3,G$2,'Præsentationstabeller 1'!$C$2),0)</f>
        <v>4</v>
      </c>
      <c r="H289" vm="15065">
        <f>IFERROR(CUBEVALUE("BIDB",$A289,H$3,H$2,'Præsentationstabeller 1'!$C$2),0)</f>
        <v>0.52</v>
      </c>
      <c r="I289" t="str" vm="12086">
        <f>IFERROR(CUBEVALUE("BIDB",$A289,I$3,I$2,'Præsentationstabeller 1'!$C$2),0)</f>
        <v/>
      </c>
      <c r="J289" vm="12828">
        <f>IFERROR(CUBEVALUE("BIDB",$A289,J$3,J$2,'Præsentationstabeller 1'!$C$2),0)</f>
        <v>1</v>
      </c>
      <c r="K289" t="str" vm="15624">
        <f>IFERROR(CUBEVALUE("BIDB",$A289,K$3,K$2,'Præsentationstabeller 1'!$C$2),0)</f>
        <v/>
      </c>
      <c r="L289" vm="10196">
        <f>IFERROR(CUBEVALUE("BIDB",$A289,L$3,L$2,'Præsentationstabeller 1'!$C$2),0)</f>
        <v>1</v>
      </c>
    </row>
    <row r="290" spans="1:12" x14ac:dyDescent="0.3">
      <c r="A290" s="123" t="str" vm="1046">
        <f>CUBEMEMBER("BIDB","[Dimittenddato].[Dimittenddato].&amp;[2010-06-11T00:00:00]")</f>
        <v>11-06-2010</v>
      </c>
      <c r="B290" t="str" vm="13241">
        <f>IFERROR(CUBEVALUE("BIDB",$A290,B$3,'Præsentationstabeller 1'!$C$2),0)</f>
        <v/>
      </c>
      <c r="C290" t="str" vm="13403">
        <f>IFERROR(CUBEVALUE("BIDB",$A290,C$3,C$2,'Præsentationstabeller 1'!$C$2),0)</f>
        <v/>
      </c>
      <c r="D290" vm="15733">
        <f>IFERROR(CUBEVALUE("BIDB",$A290,D$3,D$2,'Præsentationstabeller 1'!$C$2),0)</f>
        <v>5</v>
      </c>
      <c r="E290" vm="9679">
        <f>IFERROR(CUBEVALUE("BIDB",$A290,E$3,E$2,'Præsentationstabeller 1'!$C$2),0)</f>
        <v>14</v>
      </c>
      <c r="F290" t="str" vm="16557">
        <f>IFERROR(CUBEVALUE("BIDB",$A290,F$3,F$2,'Præsentationstabeller 1'!$C$2),0)</f>
        <v/>
      </c>
      <c r="G290" vm="14300">
        <f>IFERROR(CUBEVALUE("BIDB",$A290,G$3,G$2,'Præsentationstabeller 1'!$C$2),0)</f>
        <v>14</v>
      </c>
      <c r="H290" t="str" vm="14553">
        <f>IFERROR(CUBEVALUE("BIDB",$A290,H$3,H$2,'Præsentationstabeller 1'!$C$2),0)</f>
        <v/>
      </c>
      <c r="I290" t="str" vm="10759">
        <f>IFERROR(CUBEVALUE("BIDB",$A290,I$3,I$2,'Præsentationstabeller 1'!$C$2),0)</f>
        <v/>
      </c>
      <c r="J290" t="str" vm="14035">
        <f>IFERROR(CUBEVALUE("BIDB",$A290,J$3,J$2,'Præsentationstabeller 1'!$C$2),0)</f>
        <v/>
      </c>
      <c r="K290" t="str" vm="11898">
        <f>IFERROR(CUBEVALUE("BIDB",$A290,K$3,K$2,'Præsentationstabeller 1'!$C$2),0)</f>
        <v/>
      </c>
      <c r="L290" t="str" vm="9569">
        <f>IFERROR(CUBEVALUE("BIDB",$A290,L$3,L$2,'Præsentationstabeller 1'!$C$2),0)</f>
        <v/>
      </c>
    </row>
    <row r="291" spans="1:12" x14ac:dyDescent="0.3">
      <c r="A291" s="123" t="str" vm="1045">
        <f>CUBEMEMBER("BIDB","[Dimittenddato].[Dimittenddato].&amp;[2010-06-12T00:00:00]")</f>
        <v>12-06-2010</v>
      </c>
      <c r="B291" t="str" vm="16341">
        <f>IFERROR(CUBEVALUE("BIDB",$A291,B$3,'Præsentationstabeller 1'!$C$2),0)</f>
        <v/>
      </c>
      <c r="C291" t="str" vm="13551">
        <f>IFERROR(CUBEVALUE("BIDB",$A291,C$3,C$2,'Præsentationstabeller 1'!$C$2),0)</f>
        <v/>
      </c>
      <c r="D291" t="str" vm="14104">
        <f>IFERROR(CUBEVALUE("BIDB",$A291,D$3,D$2,'Præsentationstabeller 1'!$C$2),0)</f>
        <v/>
      </c>
      <c r="E291" t="str" vm="14043">
        <f>IFERROR(CUBEVALUE("BIDB",$A291,E$3,E$2,'Præsentationstabeller 1'!$C$2),0)</f>
        <v/>
      </c>
      <c r="F291" t="str" vm="9814">
        <f>IFERROR(CUBEVALUE("BIDB",$A291,F$3,F$2,'Præsentationstabeller 1'!$C$2),0)</f>
        <v/>
      </c>
      <c r="G291" t="str" vm="14346">
        <f>IFERROR(CUBEVALUE("BIDB",$A291,G$3,G$2,'Præsentationstabeller 1'!$C$2),0)</f>
        <v/>
      </c>
      <c r="H291" t="str" vm="12534">
        <f>IFERROR(CUBEVALUE("BIDB",$A291,H$3,H$2,'Præsentationstabeller 1'!$C$2),0)</f>
        <v/>
      </c>
      <c r="I291" t="str" vm="7932">
        <f>IFERROR(CUBEVALUE("BIDB",$A291,I$3,I$2,'Præsentationstabeller 1'!$C$2),0)</f>
        <v/>
      </c>
      <c r="J291" t="str" vm="9479">
        <f>IFERROR(CUBEVALUE("BIDB",$A291,J$3,J$2,'Præsentationstabeller 1'!$C$2),0)</f>
        <v/>
      </c>
      <c r="K291" t="str" vm="12345">
        <f>IFERROR(CUBEVALUE("BIDB",$A291,K$3,K$2,'Præsentationstabeller 1'!$C$2),0)</f>
        <v/>
      </c>
      <c r="L291" t="str" vm="9931">
        <f>IFERROR(CUBEVALUE("BIDB",$A291,L$3,L$2,'Præsentationstabeller 1'!$C$2),0)</f>
        <v/>
      </c>
    </row>
    <row r="292" spans="1:12" x14ac:dyDescent="0.3">
      <c r="A292" s="123" t="str" vm="1044">
        <f>CUBEMEMBER("BIDB","[Dimittenddato].[Dimittenddato].&amp;[2010-06-13T00:00:00]")</f>
        <v>13-06-2010</v>
      </c>
      <c r="B292" t="str" vm="7236">
        <f>IFERROR(CUBEVALUE("BIDB",$A292,B$3,'Præsentationstabeller 1'!$C$2),0)</f>
        <v/>
      </c>
      <c r="C292" t="str" vm="13495">
        <f>IFERROR(CUBEVALUE("BIDB",$A292,C$3,C$2,'Præsentationstabeller 1'!$C$2),0)</f>
        <v/>
      </c>
      <c r="D292" t="str" vm="11517">
        <f>IFERROR(CUBEVALUE("BIDB",$A292,D$3,D$2,'Præsentationstabeller 1'!$C$2),0)</f>
        <v/>
      </c>
      <c r="E292" t="str" vm="11122">
        <f>IFERROR(CUBEVALUE("BIDB",$A292,E$3,E$2,'Præsentationstabeller 1'!$C$2),0)</f>
        <v/>
      </c>
      <c r="F292" t="str" vm="15446">
        <f>IFERROR(CUBEVALUE("BIDB",$A292,F$3,F$2,'Præsentationstabeller 1'!$C$2),0)</f>
        <v/>
      </c>
      <c r="G292" t="str" vm="12081">
        <f>IFERROR(CUBEVALUE("BIDB",$A292,G$3,G$2,'Præsentationstabeller 1'!$C$2),0)</f>
        <v/>
      </c>
      <c r="H292" t="str" vm="17047">
        <f>IFERROR(CUBEVALUE("BIDB",$A292,H$3,H$2,'Præsentationstabeller 1'!$C$2),0)</f>
        <v/>
      </c>
      <c r="I292" t="str" vm="14971">
        <f>IFERROR(CUBEVALUE("BIDB",$A292,I$3,I$2,'Præsentationstabeller 1'!$C$2),0)</f>
        <v/>
      </c>
      <c r="J292" t="str" vm="10717">
        <f>IFERROR(CUBEVALUE("BIDB",$A292,J$3,J$2,'Præsentationstabeller 1'!$C$2),0)</f>
        <v/>
      </c>
      <c r="K292" t="str" vm="15974">
        <f>IFERROR(CUBEVALUE("BIDB",$A292,K$3,K$2,'Præsentationstabeller 1'!$C$2),0)</f>
        <v/>
      </c>
      <c r="L292" t="str" vm="9182">
        <f>IFERROR(CUBEVALUE("BIDB",$A292,L$3,L$2,'Præsentationstabeller 1'!$C$2),0)</f>
        <v/>
      </c>
    </row>
    <row r="293" spans="1:12" x14ac:dyDescent="0.3">
      <c r="A293" s="123" t="str" vm="1043">
        <f>CUBEMEMBER("BIDB","[Dimittenddato].[Dimittenddato].&amp;[2010-06-14T00:00:00]")</f>
        <v>14-06-2010</v>
      </c>
      <c r="B293" t="str" vm="16048">
        <f>IFERROR(CUBEVALUE("BIDB",$A293,B$3,'Præsentationstabeller 1'!$C$2),0)</f>
        <v/>
      </c>
      <c r="C293" vm="16541">
        <f>IFERROR(CUBEVALUE("BIDB",$A293,C$3,C$2,'Præsentationstabeller 1'!$C$2),0)</f>
        <v>0</v>
      </c>
      <c r="D293" vm="15217">
        <f>IFERROR(CUBEVALUE("BIDB",$A293,D$3,D$2,'Præsentationstabeller 1'!$C$2),0)</f>
        <v>2</v>
      </c>
      <c r="E293" vm="9189">
        <f>IFERROR(CUBEVALUE("BIDB",$A293,E$3,E$2,'Præsentationstabeller 1'!$C$2),0)</f>
        <v>23</v>
      </c>
      <c r="F293" vm="8957">
        <f>IFERROR(CUBEVALUE("BIDB",$A293,F$3,F$2,'Præsentationstabeller 1'!$C$2),0)</f>
        <v>3</v>
      </c>
      <c r="G293" vm="9326">
        <f>IFERROR(CUBEVALUE("BIDB",$A293,G$3,G$2,'Præsentationstabeller 1'!$C$2),0)</f>
        <v>26</v>
      </c>
      <c r="H293" t="str" vm="13460">
        <f>IFERROR(CUBEVALUE("BIDB",$A293,H$3,H$2,'Præsentationstabeller 1'!$C$2),0)</f>
        <v/>
      </c>
      <c r="I293" t="str" vm="10569">
        <f>IFERROR(CUBEVALUE("BIDB",$A293,I$3,I$2,'Præsentationstabeller 1'!$C$2),0)</f>
        <v/>
      </c>
      <c r="J293" t="str" vm="10293">
        <f>IFERROR(CUBEVALUE("BIDB",$A293,J$3,J$2,'Præsentationstabeller 1'!$C$2),0)</f>
        <v/>
      </c>
      <c r="K293" t="str" vm="14631">
        <f>IFERROR(CUBEVALUE("BIDB",$A293,K$3,K$2,'Præsentationstabeller 1'!$C$2),0)</f>
        <v/>
      </c>
      <c r="L293" t="str" vm="9293">
        <f>IFERROR(CUBEVALUE("BIDB",$A293,L$3,L$2,'Præsentationstabeller 1'!$C$2),0)</f>
        <v/>
      </c>
    </row>
    <row r="294" spans="1:12" x14ac:dyDescent="0.3">
      <c r="A294" s="123" t="str" vm="1042">
        <f>CUBEMEMBER("BIDB","[Dimittenddato].[Dimittenddato].&amp;[2010-06-15T00:00:00]")</f>
        <v>15-06-2010</v>
      </c>
      <c r="B294" t="str" vm="12275">
        <f>IFERROR(CUBEVALUE("BIDB",$A294,B$3,'Præsentationstabeller 1'!$C$2),0)</f>
        <v/>
      </c>
      <c r="C294" vm="10474">
        <f>IFERROR(CUBEVALUE("BIDB",$A294,C$3,C$2,'Præsentationstabeller 1'!$C$2),0)</f>
        <v>1</v>
      </c>
      <c r="D294" vm="16017">
        <f>IFERROR(CUBEVALUE("BIDB",$A294,D$3,D$2,'Præsentationstabeller 1'!$C$2),0)</f>
        <v>3</v>
      </c>
      <c r="E294" vm="15044">
        <f>IFERROR(CUBEVALUE("BIDB",$A294,E$3,E$2,'Præsentationstabeller 1'!$C$2),0)</f>
        <v>26</v>
      </c>
      <c r="F294" vm="11511">
        <f>IFERROR(CUBEVALUE("BIDB",$A294,F$3,F$2,'Præsentationstabeller 1'!$C$2),0)</f>
        <v>3</v>
      </c>
      <c r="G294" vm="14484">
        <f>IFERROR(CUBEVALUE("BIDB",$A294,G$3,G$2,'Præsentationstabeller 1'!$C$2),0)</f>
        <v>29</v>
      </c>
      <c r="H294" t="str" vm="10369">
        <f>IFERROR(CUBEVALUE("BIDB",$A294,H$3,H$2,'Præsentationstabeller 1'!$C$2),0)</f>
        <v/>
      </c>
      <c r="I294" t="str" vm="11982">
        <f>IFERROR(CUBEVALUE("BIDB",$A294,I$3,I$2,'Præsentationstabeller 1'!$C$2),0)</f>
        <v/>
      </c>
      <c r="J294" t="str" vm="8065">
        <f>IFERROR(CUBEVALUE("BIDB",$A294,J$3,J$2,'Præsentationstabeller 1'!$C$2),0)</f>
        <v/>
      </c>
      <c r="K294" t="str" vm="15705">
        <f>IFERROR(CUBEVALUE("BIDB",$A294,K$3,K$2,'Præsentationstabeller 1'!$C$2),0)</f>
        <v/>
      </c>
      <c r="L294" t="str" vm="12374">
        <f>IFERROR(CUBEVALUE("BIDB",$A294,L$3,L$2,'Præsentationstabeller 1'!$C$2),0)</f>
        <v/>
      </c>
    </row>
    <row r="295" spans="1:12" x14ac:dyDescent="0.3">
      <c r="A295" s="123" t="str" vm="1041">
        <f>CUBEMEMBER("BIDB","[Dimittenddato].[Dimittenddato].&amp;[2010-06-16T00:00:00]")</f>
        <v>16-06-2010</v>
      </c>
      <c r="B295" t="str" vm="11066">
        <f>IFERROR(CUBEVALUE("BIDB",$A295,B$3,'Præsentationstabeller 1'!$C$2),0)</f>
        <v/>
      </c>
      <c r="C295" vm="12448">
        <f>IFERROR(CUBEVALUE("BIDB",$A295,C$3,C$2,'Præsentationstabeller 1'!$C$2),0)</f>
        <v>5</v>
      </c>
      <c r="D295" vm="10477">
        <f>IFERROR(CUBEVALUE("BIDB",$A295,D$3,D$2,'Præsentationstabeller 1'!$C$2),0)</f>
        <v>5</v>
      </c>
      <c r="E295" vm="15907">
        <f>IFERROR(CUBEVALUE("BIDB",$A295,E$3,E$2,'Præsentationstabeller 1'!$C$2),0)</f>
        <v>24</v>
      </c>
      <c r="F295" vm="13516">
        <f>IFERROR(CUBEVALUE("BIDB",$A295,F$3,F$2,'Præsentationstabeller 1'!$C$2),0)</f>
        <v>6</v>
      </c>
      <c r="G295" vm="13970">
        <f>IFERROR(CUBEVALUE("BIDB",$A295,G$3,G$2,'Præsentationstabeller 1'!$C$2),0)</f>
        <v>30</v>
      </c>
      <c r="H295" t="str" vm="10374">
        <f>IFERROR(CUBEVALUE("BIDB",$A295,H$3,H$2,'Præsentationstabeller 1'!$C$2),0)</f>
        <v/>
      </c>
      <c r="I295" t="str" vm="6331">
        <f>IFERROR(CUBEVALUE("BIDB",$A295,I$3,I$2,'Præsentationstabeller 1'!$C$2),0)</f>
        <v/>
      </c>
      <c r="J295" t="str" vm="12242">
        <f>IFERROR(CUBEVALUE("BIDB",$A295,J$3,J$2,'Præsentationstabeller 1'!$C$2),0)</f>
        <v/>
      </c>
      <c r="K295" t="str" vm="16528">
        <f>IFERROR(CUBEVALUE("BIDB",$A295,K$3,K$2,'Præsentationstabeller 1'!$C$2),0)</f>
        <v/>
      </c>
      <c r="L295" t="str" vm="13772">
        <f>IFERROR(CUBEVALUE("BIDB",$A295,L$3,L$2,'Præsentationstabeller 1'!$C$2),0)</f>
        <v/>
      </c>
    </row>
    <row r="296" spans="1:12" x14ac:dyDescent="0.3">
      <c r="A296" s="123" t="str" vm="1040">
        <f>CUBEMEMBER("BIDB","[Dimittenddato].[Dimittenddato].&amp;[2010-06-17T00:00:00]")</f>
        <v>17-06-2010</v>
      </c>
      <c r="B296" t="str" vm="11502">
        <f>IFERROR(CUBEVALUE("BIDB",$A296,B$3,'Præsentationstabeller 1'!$C$2),0)</f>
        <v/>
      </c>
      <c r="C296" vm="9633">
        <f>IFERROR(CUBEVALUE("BIDB",$A296,C$3,C$2,'Præsentationstabeller 1'!$C$2),0)</f>
        <v>2</v>
      </c>
      <c r="D296" vm="13193">
        <f>IFERROR(CUBEVALUE("BIDB",$A296,D$3,D$2,'Præsentationstabeller 1'!$C$2),0)</f>
        <v>2</v>
      </c>
      <c r="E296" vm="9359">
        <f>IFERROR(CUBEVALUE("BIDB",$A296,E$3,E$2,'Præsentationstabeller 1'!$C$2),0)</f>
        <v>24</v>
      </c>
      <c r="F296" vm="12772">
        <f>IFERROR(CUBEVALUE("BIDB",$A296,F$3,F$2,'Præsentationstabeller 1'!$C$2),0)</f>
        <v>3</v>
      </c>
      <c r="G296" vm="13028">
        <f>IFERROR(CUBEVALUE("BIDB",$A296,G$3,G$2,'Præsentationstabeller 1'!$C$2),0)</f>
        <v>27</v>
      </c>
      <c r="H296" t="str" vm="12108">
        <f>IFERROR(CUBEVALUE("BIDB",$A296,H$3,H$2,'Præsentationstabeller 1'!$C$2),0)</f>
        <v/>
      </c>
      <c r="I296" t="str" vm="15685">
        <f>IFERROR(CUBEVALUE("BIDB",$A296,I$3,I$2,'Præsentationstabeller 1'!$C$2),0)</f>
        <v/>
      </c>
      <c r="J296" vm="13738">
        <f>IFERROR(CUBEVALUE("BIDB",$A296,J$3,J$2,'Præsentationstabeller 1'!$C$2),0)</f>
        <v>2</v>
      </c>
      <c r="K296" t="str" vm="12361">
        <f>IFERROR(CUBEVALUE("BIDB",$A296,K$3,K$2,'Præsentationstabeller 1'!$C$2),0)</f>
        <v/>
      </c>
      <c r="L296" vm="8217">
        <f>IFERROR(CUBEVALUE("BIDB",$A296,L$3,L$2,'Præsentationstabeller 1'!$C$2),0)</f>
        <v>2</v>
      </c>
    </row>
    <row r="297" spans="1:12" x14ac:dyDescent="0.3">
      <c r="A297" s="123" t="str" vm="1039">
        <f>CUBEMEMBER("BIDB","[Dimittenddato].[Dimittenddato].&amp;[2010-06-18T00:00:00]")</f>
        <v>18-06-2010</v>
      </c>
      <c r="B297" t="str" vm="12867">
        <f>IFERROR(CUBEVALUE("BIDB",$A297,B$3,'Præsentationstabeller 1'!$C$2),0)</f>
        <v/>
      </c>
      <c r="C297" t="str" vm="16184">
        <f>IFERROR(CUBEVALUE("BIDB",$A297,C$3,C$2,'Præsentationstabeller 1'!$C$2),0)</f>
        <v/>
      </c>
      <c r="D297" vm="13562">
        <f>IFERROR(CUBEVALUE("BIDB",$A297,D$3,D$2,'Præsentationstabeller 1'!$C$2),0)</f>
        <v>5</v>
      </c>
      <c r="E297" vm="16200">
        <f>IFERROR(CUBEVALUE("BIDB",$A297,E$3,E$2,'Præsentationstabeller 1'!$C$2),0)</f>
        <v>30</v>
      </c>
      <c r="F297" vm="7962">
        <f>IFERROR(CUBEVALUE("BIDB",$A297,F$3,F$2,'Præsentationstabeller 1'!$C$2),0)</f>
        <v>6</v>
      </c>
      <c r="G297" vm="11978">
        <f>IFERROR(CUBEVALUE("BIDB",$A297,G$3,G$2,'Præsentationstabeller 1'!$C$2),0)</f>
        <v>36</v>
      </c>
      <c r="H297" t="str" vm="12546">
        <f>IFERROR(CUBEVALUE("BIDB",$A297,H$3,H$2,'Præsentationstabeller 1'!$C$2),0)</f>
        <v/>
      </c>
      <c r="I297" t="str" vm="13227">
        <f>IFERROR(CUBEVALUE("BIDB",$A297,I$3,I$2,'Præsentationstabeller 1'!$C$2),0)</f>
        <v/>
      </c>
      <c r="J297" vm="8580">
        <f>IFERROR(CUBEVALUE("BIDB",$A297,J$3,J$2,'Præsentationstabeller 1'!$C$2),0)</f>
        <v>0.64</v>
      </c>
      <c r="K297" t="str" vm="11600">
        <f>IFERROR(CUBEVALUE("BIDB",$A297,K$3,K$2,'Præsentationstabeller 1'!$C$2),0)</f>
        <v/>
      </c>
      <c r="L297" vm="11458">
        <f>IFERROR(CUBEVALUE("BIDB",$A297,L$3,L$2,'Præsentationstabeller 1'!$C$2),0)</f>
        <v>0.64</v>
      </c>
    </row>
    <row r="298" spans="1:12" x14ac:dyDescent="0.3">
      <c r="A298" s="123" t="str" vm="1038">
        <f>CUBEMEMBER("BIDB","[Dimittenddato].[Dimittenddato].&amp;[2010-06-19T00:00:00]")</f>
        <v>19-06-2010</v>
      </c>
      <c r="B298" t="str" vm="9458">
        <f>IFERROR(CUBEVALUE("BIDB",$A298,B$3,'Præsentationstabeller 1'!$C$2),0)</f>
        <v/>
      </c>
      <c r="C298" t="str" vm="10037">
        <f>IFERROR(CUBEVALUE("BIDB",$A298,C$3,C$2,'Præsentationstabeller 1'!$C$2),0)</f>
        <v/>
      </c>
      <c r="D298" t="str" vm="13773">
        <f>IFERROR(CUBEVALUE("BIDB",$A298,D$3,D$2,'Præsentationstabeller 1'!$C$2),0)</f>
        <v/>
      </c>
      <c r="E298" t="str" vm="7364">
        <f>IFERROR(CUBEVALUE("BIDB",$A298,E$3,E$2,'Præsentationstabeller 1'!$C$2),0)</f>
        <v/>
      </c>
      <c r="F298" t="str" vm="11508">
        <f>IFERROR(CUBEVALUE("BIDB",$A298,F$3,F$2,'Præsentationstabeller 1'!$C$2),0)</f>
        <v/>
      </c>
      <c r="G298" t="str" vm="16205">
        <f>IFERROR(CUBEVALUE("BIDB",$A298,G$3,G$2,'Præsentationstabeller 1'!$C$2),0)</f>
        <v/>
      </c>
      <c r="H298" t="str" vm="12168">
        <f>IFERROR(CUBEVALUE("BIDB",$A298,H$3,H$2,'Præsentationstabeller 1'!$C$2),0)</f>
        <v/>
      </c>
      <c r="I298" t="str" vm="9856">
        <f>IFERROR(CUBEVALUE("BIDB",$A298,I$3,I$2,'Præsentationstabeller 1'!$C$2),0)</f>
        <v/>
      </c>
      <c r="J298" t="str" vm="7396">
        <f>IFERROR(CUBEVALUE("BIDB",$A298,J$3,J$2,'Præsentationstabeller 1'!$C$2),0)</f>
        <v/>
      </c>
      <c r="K298" t="str" vm="15224">
        <f>IFERROR(CUBEVALUE("BIDB",$A298,K$3,K$2,'Præsentationstabeller 1'!$C$2),0)</f>
        <v/>
      </c>
      <c r="L298" t="str" vm="9717">
        <f>IFERROR(CUBEVALUE("BIDB",$A298,L$3,L$2,'Præsentationstabeller 1'!$C$2),0)</f>
        <v/>
      </c>
    </row>
    <row r="299" spans="1:12" x14ac:dyDescent="0.3">
      <c r="A299" s="123" t="str" vm="1037">
        <f>CUBEMEMBER("BIDB","[Dimittenddato].[Dimittenddato].&amp;[2010-06-20T00:00:00]")</f>
        <v>20-06-2010</v>
      </c>
      <c r="B299" t="str" vm="15376">
        <f>IFERROR(CUBEVALUE("BIDB",$A299,B$3,'Præsentationstabeller 1'!$C$2),0)</f>
        <v/>
      </c>
      <c r="C299" t="str" vm="15330">
        <f>IFERROR(CUBEVALUE("BIDB",$A299,C$3,C$2,'Præsentationstabeller 1'!$C$2),0)</f>
        <v/>
      </c>
      <c r="D299" t="str" vm="13232">
        <f>IFERROR(CUBEVALUE("BIDB",$A299,D$3,D$2,'Præsentationstabeller 1'!$C$2),0)</f>
        <v/>
      </c>
      <c r="E299" t="str" vm="15137">
        <f>IFERROR(CUBEVALUE("BIDB",$A299,E$3,E$2,'Præsentationstabeller 1'!$C$2),0)</f>
        <v/>
      </c>
      <c r="F299" vm="14611">
        <f>IFERROR(CUBEVALUE("BIDB",$A299,F$3,F$2,'Præsentationstabeller 1'!$C$2),0)</f>
        <v>2</v>
      </c>
      <c r="G299" vm="15669">
        <f>IFERROR(CUBEVALUE("BIDB",$A299,G$3,G$2,'Præsentationstabeller 1'!$C$2),0)</f>
        <v>2</v>
      </c>
      <c r="H299" t="str" vm="12515">
        <f>IFERROR(CUBEVALUE("BIDB",$A299,H$3,H$2,'Præsentationstabeller 1'!$C$2),0)</f>
        <v/>
      </c>
      <c r="I299" t="str" vm="12819">
        <f>IFERROR(CUBEVALUE("BIDB",$A299,I$3,I$2,'Præsentationstabeller 1'!$C$2),0)</f>
        <v/>
      </c>
      <c r="J299" t="str" vm="12628">
        <f>IFERROR(CUBEVALUE("BIDB",$A299,J$3,J$2,'Præsentationstabeller 1'!$C$2),0)</f>
        <v/>
      </c>
      <c r="K299" t="str" vm="9773">
        <f>IFERROR(CUBEVALUE("BIDB",$A299,K$3,K$2,'Præsentationstabeller 1'!$C$2),0)</f>
        <v/>
      </c>
      <c r="L299" t="str" vm="10317">
        <f>IFERROR(CUBEVALUE("BIDB",$A299,L$3,L$2,'Præsentationstabeller 1'!$C$2),0)</f>
        <v/>
      </c>
    </row>
    <row r="300" spans="1:12" x14ac:dyDescent="0.3">
      <c r="A300" s="123" t="str" vm="1036">
        <f>CUBEMEMBER("BIDB","[Dimittenddato].[Dimittenddato].&amp;[2010-06-21T00:00:00]")</f>
        <v>21-06-2010</v>
      </c>
      <c r="B300" t="str" vm="12700">
        <f>IFERROR(CUBEVALUE("BIDB",$A300,B$3,'Præsentationstabeller 1'!$C$2),0)</f>
        <v/>
      </c>
      <c r="C300" t="str" vm="14436">
        <f>IFERROR(CUBEVALUE("BIDB",$A300,C$3,C$2,'Præsentationstabeller 1'!$C$2),0)</f>
        <v/>
      </c>
      <c r="D300" vm="11876">
        <f>IFERROR(CUBEVALUE("BIDB",$A300,D$3,D$2,'Præsentationstabeller 1'!$C$2),0)</f>
        <v>9</v>
      </c>
      <c r="E300" vm="10513">
        <f>IFERROR(CUBEVALUE("BIDB",$A300,E$3,E$2,'Præsentationstabeller 1'!$C$2),0)</f>
        <v>29</v>
      </c>
      <c r="F300" vm="8477">
        <f>IFERROR(CUBEVALUE("BIDB",$A300,F$3,F$2,'Præsentationstabeller 1'!$C$2),0)</f>
        <v>0</v>
      </c>
      <c r="G300" vm="16482">
        <f>IFERROR(CUBEVALUE("BIDB",$A300,G$3,G$2,'Præsentationstabeller 1'!$C$2),0)</f>
        <v>29</v>
      </c>
      <c r="H300" t="str" vm="15483">
        <f>IFERROR(CUBEVALUE("BIDB",$A300,H$3,H$2,'Præsentationstabeller 1'!$C$2),0)</f>
        <v/>
      </c>
      <c r="I300" t="str" vm="9535">
        <f>IFERROR(CUBEVALUE("BIDB",$A300,I$3,I$2,'Præsentationstabeller 1'!$C$2),0)</f>
        <v/>
      </c>
      <c r="J300" vm="11820">
        <f>IFERROR(CUBEVALUE("BIDB",$A300,J$3,J$2,'Præsentationstabeller 1'!$C$2),0)</f>
        <v>0.6</v>
      </c>
      <c r="K300" t="str" vm="15578">
        <f>IFERROR(CUBEVALUE("BIDB",$A300,K$3,K$2,'Præsentationstabeller 1'!$C$2),0)</f>
        <v/>
      </c>
      <c r="L300" vm="9118">
        <f>IFERROR(CUBEVALUE("BIDB",$A300,L$3,L$2,'Præsentationstabeller 1'!$C$2),0)</f>
        <v>0.6</v>
      </c>
    </row>
    <row r="301" spans="1:12" x14ac:dyDescent="0.3">
      <c r="A301" s="123" t="str" vm="1035">
        <f>CUBEMEMBER("BIDB","[Dimittenddato].[Dimittenddato].&amp;[2010-06-22T00:00:00]")</f>
        <v>22-06-2010</v>
      </c>
      <c r="B301" t="str" vm="12851">
        <f>IFERROR(CUBEVALUE("BIDB",$A301,B$3,'Præsentationstabeller 1'!$C$2),0)</f>
        <v/>
      </c>
      <c r="C301" vm="15101">
        <f>IFERROR(CUBEVALUE("BIDB",$A301,C$3,C$2,'Præsentationstabeller 1'!$C$2),0)</f>
        <v>1</v>
      </c>
      <c r="D301" vm="16344">
        <f>IFERROR(CUBEVALUE("BIDB",$A301,D$3,D$2,'Præsentationstabeller 1'!$C$2),0)</f>
        <v>1</v>
      </c>
      <c r="E301" vm="12317">
        <f>IFERROR(CUBEVALUE("BIDB",$A301,E$3,E$2,'Præsentationstabeller 1'!$C$2),0)</f>
        <v>21</v>
      </c>
      <c r="F301" vm="7649">
        <f>IFERROR(CUBEVALUE("BIDB",$A301,F$3,F$2,'Præsentationstabeller 1'!$C$2),0)</f>
        <v>2</v>
      </c>
      <c r="G301" vm="13701">
        <f>IFERROR(CUBEVALUE("BIDB",$A301,G$3,G$2,'Præsentationstabeller 1'!$C$2),0)</f>
        <v>23</v>
      </c>
      <c r="H301" t="str" vm="10390">
        <f>IFERROR(CUBEVALUE("BIDB",$A301,H$3,H$2,'Præsentationstabeller 1'!$C$2),0)</f>
        <v/>
      </c>
      <c r="I301" t="str" vm="10255">
        <f>IFERROR(CUBEVALUE("BIDB",$A301,I$3,I$2,'Præsentationstabeller 1'!$C$2),0)</f>
        <v/>
      </c>
      <c r="J301" t="str" vm="16483">
        <f>IFERROR(CUBEVALUE("BIDB",$A301,J$3,J$2,'Præsentationstabeller 1'!$C$2),0)</f>
        <v/>
      </c>
      <c r="K301" t="str" vm="11724">
        <f>IFERROR(CUBEVALUE("BIDB",$A301,K$3,K$2,'Præsentationstabeller 1'!$C$2),0)</f>
        <v/>
      </c>
      <c r="L301" t="str" vm="13953">
        <f>IFERROR(CUBEVALUE("BIDB",$A301,L$3,L$2,'Præsentationstabeller 1'!$C$2),0)</f>
        <v/>
      </c>
    </row>
    <row r="302" spans="1:12" x14ac:dyDescent="0.3">
      <c r="A302" s="123" t="str" vm="1034">
        <f>CUBEMEMBER("BIDB","[Dimittenddato].[Dimittenddato].&amp;[2010-06-23T00:00:00]")</f>
        <v>23-06-2010</v>
      </c>
      <c r="B302" t="str" vm="14465">
        <f>IFERROR(CUBEVALUE("BIDB",$A302,B$3,'Præsentationstabeller 1'!$C$2),0)</f>
        <v/>
      </c>
      <c r="C302" t="str" vm="11325">
        <f>IFERROR(CUBEVALUE("BIDB",$A302,C$3,C$2,'Præsentationstabeller 1'!$C$2),0)</f>
        <v/>
      </c>
      <c r="D302" vm="16447">
        <f>IFERROR(CUBEVALUE("BIDB",$A302,D$3,D$2,'Præsentationstabeller 1'!$C$2),0)</f>
        <v>8</v>
      </c>
      <c r="E302" vm="9487">
        <f>IFERROR(CUBEVALUE("BIDB",$A302,E$3,E$2,'Præsentationstabeller 1'!$C$2),0)</f>
        <v>27</v>
      </c>
      <c r="F302" vm="13837">
        <f>IFERROR(CUBEVALUE("BIDB",$A302,F$3,F$2,'Præsentationstabeller 1'!$C$2),0)</f>
        <v>0</v>
      </c>
      <c r="G302" vm="15991">
        <f>IFERROR(CUBEVALUE("BIDB",$A302,G$3,G$2,'Præsentationstabeller 1'!$C$2),0)</f>
        <v>27</v>
      </c>
      <c r="H302" t="str" vm="10260">
        <f>IFERROR(CUBEVALUE("BIDB",$A302,H$3,H$2,'Præsentationstabeller 1'!$C$2),0)</f>
        <v/>
      </c>
      <c r="I302" t="str" vm="11010">
        <f>IFERROR(CUBEVALUE("BIDB",$A302,I$3,I$2,'Præsentationstabeller 1'!$C$2),0)</f>
        <v/>
      </c>
      <c r="J302" t="str" vm="7430">
        <f>IFERROR(CUBEVALUE("BIDB",$A302,J$3,J$2,'Præsentationstabeller 1'!$C$2),0)</f>
        <v/>
      </c>
      <c r="K302" t="str" vm="16239">
        <f>IFERROR(CUBEVALUE("BIDB",$A302,K$3,K$2,'Præsentationstabeller 1'!$C$2),0)</f>
        <v/>
      </c>
      <c r="L302" t="str" vm="10821">
        <f>IFERROR(CUBEVALUE("BIDB",$A302,L$3,L$2,'Præsentationstabeller 1'!$C$2),0)</f>
        <v/>
      </c>
    </row>
    <row r="303" spans="1:12" x14ac:dyDescent="0.3">
      <c r="A303" s="123" t="str" vm="1033">
        <f>CUBEMEMBER("BIDB","[Dimittenddato].[Dimittenddato].&amp;[2010-06-24T00:00:00]")</f>
        <v>24-06-2010</v>
      </c>
      <c r="B303" t="str" vm="10168">
        <f>IFERROR(CUBEVALUE("BIDB",$A303,B$3,'Præsentationstabeller 1'!$C$2),0)</f>
        <v/>
      </c>
      <c r="C303" t="str" vm="9923">
        <f>IFERROR(CUBEVALUE("BIDB",$A303,C$3,C$2,'Præsentationstabeller 1'!$C$2),0)</f>
        <v/>
      </c>
      <c r="D303" vm="9379">
        <f>IFERROR(CUBEVALUE("BIDB",$A303,D$3,D$2,'Præsentationstabeller 1'!$C$2),0)</f>
        <v>7</v>
      </c>
      <c r="E303" vm="10276">
        <f>IFERROR(CUBEVALUE("BIDB",$A303,E$3,E$2,'Præsentationstabeller 1'!$C$2),0)</f>
        <v>32</v>
      </c>
      <c r="F303" vm="12483">
        <f>IFERROR(CUBEVALUE("BIDB",$A303,F$3,F$2,'Præsentationstabeller 1'!$C$2),0)</f>
        <v>7</v>
      </c>
      <c r="G303" vm="15287">
        <f>IFERROR(CUBEVALUE("BIDB",$A303,G$3,G$2,'Præsentationstabeller 1'!$C$2),0)</f>
        <v>39</v>
      </c>
      <c r="H303" t="str" vm="14329">
        <f>IFERROR(CUBEVALUE("BIDB",$A303,H$3,H$2,'Præsentationstabeller 1'!$C$2),0)</f>
        <v/>
      </c>
      <c r="I303" vm="9168">
        <f>IFERROR(CUBEVALUE("BIDB",$A303,I$3,I$2,'Præsentationstabeller 1'!$C$2),0)</f>
        <v>0.32</v>
      </c>
      <c r="J303" t="str" vm="12095">
        <f>IFERROR(CUBEVALUE("BIDB",$A303,J$3,J$2,'Præsentationstabeller 1'!$C$2),0)</f>
        <v/>
      </c>
      <c r="K303" vm="16800">
        <f>IFERROR(CUBEVALUE("BIDB",$A303,K$3,K$2,'Præsentationstabeller 1'!$C$2),0)</f>
        <v>1</v>
      </c>
      <c r="L303" vm="12760">
        <f>IFERROR(CUBEVALUE("BIDB",$A303,L$3,L$2,'Præsentationstabeller 1'!$C$2),0)</f>
        <v>1</v>
      </c>
    </row>
    <row r="304" spans="1:12" x14ac:dyDescent="0.3">
      <c r="A304" s="123" t="str" vm="1032">
        <f>CUBEMEMBER("BIDB","[Dimittenddato].[Dimittenddato].&amp;[2010-06-25T00:00:00]")</f>
        <v>25-06-2010</v>
      </c>
      <c r="B304" t="str" vm="7546">
        <f>IFERROR(CUBEVALUE("BIDB",$A304,B$3,'Præsentationstabeller 1'!$C$2),0)</f>
        <v/>
      </c>
      <c r="C304" t="str" vm="13611">
        <f>IFERROR(CUBEVALUE("BIDB",$A304,C$3,C$2,'Præsentationstabeller 1'!$C$2),0)</f>
        <v/>
      </c>
      <c r="D304" vm="14941">
        <f>IFERROR(CUBEVALUE("BIDB",$A304,D$3,D$2,'Præsentationstabeller 1'!$C$2),0)</f>
        <v>4</v>
      </c>
      <c r="E304" vm="10206">
        <f>IFERROR(CUBEVALUE("BIDB",$A304,E$3,E$2,'Præsentationstabeller 1'!$C$2),0)</f>
        <v>40</v>
      </c>
      <c r="F304" vm="12595">
        <f>IFERROR(CUBEVALUE("BIDB",$A304,F$3,F$2,'Præsentationstabeller 1'!$C$2),0)</f>
        <v>10</v>
      </c>
      <c r="G304" vm="14745">
        <f>IFERROR(CUBEVALUE("BIDB",$A304,G$3,G$2,'Præsentationstabeller 1'!$C$2),0)</f>
        <v>50</v>
      </c>
      <c r="H304" t="str" vm="15548">
        <f>IFERROR(CUBEVALUE("BIDB",$A304,H$3,H$2,'Præsentationstabeller 1'!$C$2),0)</f>
        <v/>
      </c>
      <c r="I304" t="str" vm="9519">
        <f>IFERROR(CUBEVALUE("BIDB",$A304,I$3,I$2,'Præsentationstabeller 1'!$C$2),0)</f>
        <v/>
      </c>
      <c r="J304" t="str" vm="9303">
        <f>IFERROR(CUBEVALUE("BIDB",$A304,J$3,J$2,'Præsentationstabeller 1'!$C$2),0)</f>
        <v/>
      </c>
      <c r="K304" t="str" vm="13347">
        <f>IFERROR(CUBEVALUE("BIDB",$A304,K$3,K$2,'Præsentationstabeller 1'!$C$2),0)</f>
        <v/>
      </c>
      <c r="L304" t="str" vm="9149">
        <f>IFERROR(CUBEVALUE("BIDB",$A304,L$3,L$2,'Præsentationstabeller 1'!$C$2),0)</f>
        <v/>
      </c>
    </row>
    <row r="305" spans="1:12" x14ac:dyDescent="0.3">
      <c r="A305" s="123" t="str" vm="1031">
        <f>CUBEMEMBER("BIDB","[Dimittenddato].[Dimittenddato].&amp;[2010-06-26T00:00:00]")</f>
        <v>26-06-2010</v>
      </c>
      <c r="B305" t="str" vm="14813">
        <f>IFERROR(CUBEVALUE("BIDB",$A305,B$3,'Præsentationstabeller 1'!$C$2),0)</f>
        <v/>
      </c>
      <c r="C305" t="str" vm="14784">
        <f>IFERROR(CUBEVALUE("BIDB",$A305,C$3,C$2,'Præsentationstabeller 1'!$C$2),0)</f>
        <v/>
      </c>
      <c r="D305" vm="11532">
        <f>IFERROR(CUBEVALUE("BIDB",$A305,D$3,D$2,'Præsentationstabeller 1'!$C$2),0)</f>
        <v>0</v>
      </c>
      <c r="E305" vm="9800">
        <f>IFERROR(CUBEVALUE("BIDB",$A305,E$3,E$2,'Præsentationstabeller 1'!$C$2),0)</f>
        <v>0</v>
      </c>
      <c r="F305" vm="8702">
        <f>IFERROR(CUBEVALUE("BIDB",$A305,F$3,F$2,'Præsentationstabeller 1'!$C$2),0)</f>
        <v>2</v>
      </c>
      <c r="G305" vm="9270">
        <f>IFERROR(CUBEVALUE("BIDB",$A305,G$3,G$2,'Præsentationstabeller 1'!$C$2),0)</f>
        <v>2</v>
      </c>
      <c r="H305" t="str" vm="9771">
        <f>IFERROR(CUBEVALUE("BIDB",$A305,H$3,H$2,'Præsentationstabeller 1'!$C$2),0)</f>
        <v/>
      </c>
      <c r="I305" t="str" vm="9912">
        <f>IFERROR(CUBEVALUE("BIDB",$A305,I$3,I$2,'Præsentationstabeller 1'!$C$2),0)</f>
        <v/>
      </c>
      <c r="J305" t="str" vm="12216">
        <f>IFERROR(CUBEVALUE("BIDB",$A305,J$3,J$2,'Præsentationstabeller 1'!$C$2),0)</f>
        <v/>
      </c>
      <c r="K305" t="str" vm="12139">
        <f>IFERROR(CUBEVALUE("BIDB",$A305,K$3,K$2,'Præsentationstabeller 1'!$C$2),0)</f>
        <v/>
      </c>
      <c r="L305" t="str" vm="14537">
        <f>IFERROR(CUBEVALUE("BIDB",$A305,L$3,L$2,'Præsentationstabeller 1'!$C$2),0)</f>
        <v/>
      </c>
    </row>
    <row r="306" spans="1:12" x14ac:dyDescent="0.3">
      <c r="A306" s="123" t="str" vm="1030">
        <f>CUBEMEMBER("BIDB","[Dimittenddato].[Dimittenddato].&amp;[2010-06-27T00:00:00]")</f>
        <v>27-06-2010</v>
      </c>
      <c r="B306" t="str" vm="10076">
        <f>IFERROR(CUBEVALUE("BIDB",$A306,B$3,'Præsentationstabeller 1'!$C$2),0)</f>
        <v/>
      </c>
      <c r="C306" t="str" vm="12952">
        <f>IFERROR(CUBEVALUE("BIDB",$A306,C$3,C$2,'Præsentationstabeller 1'!$C$2),0)</f>
        <v/>
      </c>
      <c r="D306" t="str" vm="15453">
        <f>IFERROR(CUBEVALUE("BIDB",$A306,D$3,D$2,'Præsentationstabeller 1'!$C$2),0)</f>
        <v/>
      </c>
      <c r="E306" t="str" vm="7576">
        <f>IFERROR(CUBEVALUE("BIDB",$A306,E$3,E$2,'Præsentationstabeller 1'!$C$2),0)</f>
        <v/>
      </c>
      <c r="F306" t="str" vm="11140">
        <f>IFERROR(CUBEVALUE("BIDB",$A306,F$3,F$2,'Præsentationstabeller 1'!$C$2),0)</f>
        <v/>
      </c>
      <c r="G306" t="str" vm="15006">
        <f>IFERROR(CUBEVALUE("BIDB",$A306,G$3,G$2,'Præsentationstabeller 1'!$C$2),0)</f>
        <v/>
      </c>
      <c r="H306" t="str" vm="11259">
        <f>IFERROR(CUBEVALUE("BIDB",$A306,H$3,H$2,'Præsentationstabeller 1'!$C$2),0)</f>
        <v/>
      </c>
      <c r="I306" t="str" vm="10703">
        <f>IFERROR(CUBEVALUE("BIDB",$A306,I$3,I$2,'Præsentationstabeller 1'!$C$2),0)</f>
        <v/>
      </c>
      <c r="J306" t="str" vm="10246">
        <f>IFERROR(CUBEVALUE("BIDB",$A306,J$3,J$2,'Præsentationstabeller 1'!$C$2),0)</f>
        <v/>
      </c>
      <c r="K306" t="str" vm="15713">
        <f>IFERROR(CUBEVALUE("BIDB",$A306,K$3,K$2,'Præsentationstabeller 1'!$C$2),0)</f>
        <v/>
      </c>
      <c r="L306" t="str" vm="15077">
        <f>IFERROR(CUBEVALUE("BIDB",$A306,L$3,L$2,'Præsentationstabeller 1'!$C$2),0)</f>
        <v/>
      </c>
    </row>
    <row r="307" spans="1:12" x14ac:dyDescent="0.3">
      <c r="A307" s="123" t="str" vm="1029">
        <f>CUBEMEMBER("BIDB","[Dimittenddato].[Dimittenddato].&amp;[2010-06-28T00:00:00]")</f>
        <v>28-06-2010</v>
      </c>
      <c r="B307" t="str" vm="10115">
        <f>IFERROR(CUBEVALUE("BIDB",$A307,B$3,'Præsentationstabeller 1'!$C$2),0)</f>
        <v/>
      </c>
      <c r="C307" t="str" vm="11341">
        <f>IFERROR(CUBEVALUE("BIDB",$A307,C$3,C$2,'Præsentationstabeller 1'!$C$2),0)</f>
        <v/>
      </c>
      <c r="D307" vm="14763">
        <f>IFERROR(CUBEVALUE("BIDB",$A307,D$3,D$2,'Præsentationstabeller 1'!$C$2),0)</f>
        <v>6</v>
      </c>
      <c r="E307" vm="15051">
        <f>IFERROR(CUBEVALUE("BIDB",$A307,E$3,E$2,'Præsentationstabeller 1'!$C$2),0)</f>
        <v>9</v>
      </c>
      <c r="F307" vm="11764">
        <f>IFERROR(CUBEVALUE("BIDB",$A307,F$3,F$2,'Præsentationstabeller 1'!$C$2),0)</f>
        <v>4</v>
      </c>
      <c r="G307" vm="17011">
        <f>IFERROR(CUBEVALUE("BIDB",$A307,G$3,G$2,'Præsentationstabeller 1'!$C$2),0)</f>
        <v>13</v>
      </c>
      <c r="H307" t="str" vm="16519">
        <f>IFERROR(CUBEVALUE("BIDB",$A307,H$3,H$2,'Præsentationstabeller 1'!$C$2),0)</f>
        <v/>
      </c>
      <c r="I307" t="str" vm="7443">
        <f>IFERROR(CUBEVALUE("BIDB",$A307,I$3,I$2,'Præsentationstabeller 1'!$C$2),0)</f>
        <v/>
      </c>
      <c r="J307" vm="11619">
        <f>IFERROR(CUBEVALUE("BIDB",$A307,J$3,J$2,'Præsentationstabeller 1'!$C$2),0)</f>
        <v>0.2</v>
      </c>
      <c r="K307" t="str" vm="9884">
        <f>IFERROR(CUBEVALUE("BIDB",$A307,K$3,K$2,'Præsentationstabeller 1'!$C$2),0)</f>
        <v/>
      </c>
      <c r="L307" vm="13452">
        <f>IFERROR(CUBEVALUE("BIDB",$A307,L$3,L$2,'Præsentationstabeller 1'!$C$2),0)</f>
        <v>0.2</v>
      </c>
    </row>
    <row r="308" spans="1:12" x14ac:dyDescent="0.3">
      <c r="A308" s="123" t="str" vm="1028">
        <f>CUBEMEMBER("BIDB","[Dimittenddato].[Dimittenddato].&amp;[2010-06-29T00:00:00]")</f>
        <v>29-06-2010</v>
      </c>
      <c r="B308" t="str" vm="7094">
        <f>IFERROR(CUBEVALUE("BIDB",$A308,B$3,'Præsentationstabeller 1'!$C$2),0)</f>
        <v/>
      </c>
      <c r="C308" t="str" vm="14823">
        <f>IFERROR(CUBEVALUE("BIDB",$A308,C$3,C$2,'Præsentationstabeller 1'!$C$2),0)</f>
        <v/>
      </c>
      <c r="D308" vm="13350">
        <f>IFERROR(CUBEVALUE("BIDB",$A308,D$3,D$2,'Præsentationstabeller 1'!$C$2),0)</f>
        <v>4</v>
      </c>
      <c r="E308" vm="12617">
        <f>IFERROR(CUBEVALUE("BIDB",$A308,E$3,E$2,'Præsentationstabeller 1'!$C$2),0)</f>
        <v>8</v>
      </c>
      <c r="F308" vm="10555">
        <f>IFERROR(CUBEVALUE("BIDB",$A308,F$3,F$2,'Præsentationstabeller 1'!$C$2),0)</f>
        <v>3</v>
      </c>
      <c r="G308" vm="16820">
        <f>IFERROR(CUBEVALUE("BIDB",$A308,G$3,G$2,'Præsentationstabeller 1'!$C$2),0)</f>
        <v>11</v>
      </c>
      <c r="H308" t="str" vm="12904">
        <f>IFERROR(CUBEVALUE("BIDB",$A308,H$3,H$2,'Præsentationstabeller 1'!$C$2),0)</f>
        <v/>
      </c>
      <c r="I308" t="str" vm="14919">
        <f>IFERROR(CUBEVALUE("BIDB",$A308,I$3,I$2,'Præsentationstabeller 1'!$C$2),0)</f>
        <v/>
      </c>
      <c r="J308" t="str" vm="9664">
        <f>IFERROR(CUBEVALUE("BIDB",$A308,J$3,J$2,'Præsentationstabeller 1'!$C$2),0)</f>
        <v/>
      </c>
      <c r="K308" vm="11659">
        <f>IFERROR(CUBEVALUE("BIDB",$A308,K$3,K$2,'Præsentationstabeller 1'!$C$2),0)</f>
        <v>1</v>
      </c>
      <c r="L308" vm="10285">
        <f>IFERROR(CUBEVALUE("BIDB",$A308,L$3,L$2,'Præsentationstabeller 1'!$C$2),0)</f>
        <v>1</v>
      </c>
    </row>
    <row r="309" spans="1:12" x14ac:dyDescent="0.3">
      <c r="A309" s="123" t="str" vm="1027">
        <f>CUBEMEMBER("BIDB","[Dimittenddato].[Dimittenddato].&amp;[2010-06-30T00:00:00]")</f>
        <v>30-06-2010</v>
      </c>
      <c r="B309" t="str" vm="13747">
        <f>IFERROR(CUBEVALUE("BIDB",$A309,B$3,'Præsentationstabeller 1'!$C$2),0)</f>
        <v/>
      </c>
      <c r="C309" vm="17152">
        <f>IFERROR(CUBEVALUE("BIDB",$A309,C$3,C$2,'Præsentationstabeller 1'!$C$2),0)</f>
        <v>2</v>
      </c>
      <c r="D309" vm="13196">
        <f>IFERROR(CUBEVALUE("BIDB",$A309,D$3,D$2,'Præsentationstabeller 1'!$C$2),0)</f>
        <v>13</v>
      </c>
      <c r="E309" vm="8091">
        <f>IFERROR(CUBEVALUE("BIDB",$A309,E$3,E$2,'Præsentationstabeller 1'!$C$2),0)</f>
        <v>15</v>
      </c>
      <c r="F309" vm="11613">
        <f>IFERROR(CUBEVALUE("BIDB",$A309,F$3,F$2,'Præsentationstabeller 1'!$C$2),0)</f>
        <v>10</v>
      </c>
      <c r="G309" vm="10536">
        <f>IFERROR(CUBEVALUE("BIDB",$A309,G$3,G$2,'Præsentationstabeller 1'!$C$2),0)</f>
        <v>25</v>
      </c>
      <c r="H309" t="str" vm="11592">
        <f>IFERROR(CUBEVALUE("BIDB",$A309,H$3,H$2,'Præsentationstabeller 1'!$C$2),0)</f>
        <v/>
      </c>
      <c r="I309" vm="10873">
        <f>IFERROR(CUBEVALUE("BIDB",$A309,I$3,I$2,'Præsentationstabeller 1'!$C$2),0)</f>
        <v>1</v>
      </c>
      <c r="J309" vm="11216">
        <f>IFERROR(CUBEVALUE("BIDB",$A309,J$3,J$2,'Præsentationstabeller 1'!$C$2),0)</f>
        <v>0.52</v>
      </c>
      <c r="K309" t="str" vm="12038">
        <f>IFERROR(CUBEVALUE("BIDB",$A309,K$3,K$2,'Præsentationstabeller 1'!$C$2),0)</f>
        <v/>
      </c>
      <c r="L309" vm="10503">
        <f>IFERROR(CUBEVALUE("BIDB",$A309,L$3,L$2,'Præsentationstabeller 1'!$C$2),0)</f>
        <v>0.52</v>
      </c>
    </row>
    <row r="310" spans="1:12" x14ac:dyDescent="0.3">
      <c r="A310" s="123" t="str" vm="1026">
        <f>CUBEMEMBER("BIDB","[Dimittenddato].[Dimittenddato].&amp;[2010-07-01T00:00:00]")</f>
        <v>01-07-2010</v>
      </c>
      <c r="B310" t="str" vm="12469">
        <f>IFERROR(CUBEVALUE("BIDB",$A310,B$3,'Præsentationstabeller 1'!$C$2),0)</f>
        <v/>
      </c>
      <c r="C310" vm="11684">
        <f>IFERROR(CUBEVALUE("BIDB",$A310,C$3,C$2,'Præsentationstabeller 1'!$C$2),0)</f>
        <v>1</v>
      </c>
      <c r="D310" vm="12180">
        <f>IFERROR(CUBEVALUE("BIDB",$A310,D$3,D$2,'Præsentationstabeller 1'!$C$2),0)</f>
        <v>5</v>
      </c>
      <c r="E310" vm="8862">
        <f>IFERROR(CUBEVALUE("BIDB",$A310,E$3,E$2,'Præsentationstabeller 1'!$C$2),0)</f>
        <v>10</v>
      </c>
      <c r="F310" vm="15652">
        <f>IFERROR(CUBEVALUE("BIDB",$A310,F$3,F$2,'Præsentationstabeller 1'!$C$2),0)</f>
        <v>5</v>
      </c>
      <c r="G310" vm="13757">
        <f>IFERROR(CUBEVALUE("BIDB",$A310,G$3,G$2,'Præsentationstabeller 1'!$C$2),0)</f>
        <v>15</v>
      </c>
      <c r="H310" t="str" vm="9572">
        <f>IFERROR(CUBEVALUE("BIDB",$A310,H$3,H$2,'Præsentationstabeller 1'!$C$2),0)</f>
        <v/>
      </c>
      <c r="I310" t="str" vm="14248">
        <f>IFERROR(CUBEVALUE("BIDB",$A310,I$3,I$2,'Præsentationstabeller 1'!$C$2),0)</f>
        <v/>
      </c>
      <c r="J310" t="str" vm="7473">
        <f>IFERROR(CUBEVALUE("BIDB",$A310,J$3,J$2,'Præsentationstabeller 1'!$C$2),0)</f>
        <v/>
      </c>
      <c r="K310" t="str" vm="11397">
        <f>IFERROR(CUBEVALUE("BIDB",$A310,K$3,K$2,'Præsentationstabeller 1'!$C$2),0)</f>
        <v/>
      </c>
      <c r="L310" t="str" vm="13657">
        <f>IFERROR(CUBEVALUE("BIDB",$A310,L$3,L$2,'Præsentationstabeller 1'!$C$2),0)</f>
        <v/>
      </c>
    </row>
    <row r="311" spans="1:12" x14ac:dyDescent="0.3">
      <c r="A311" s="123" t="str" vm="1025">
        <f>CUBEMEMBER("BIDB","[Dimittenddato].[Dimittenddato].&amp;[2010-07-02T00:00:00]")</f>
        <v>02-07-2010</v>
      </c>
      <c r="B311" t="str" vm="9345">
        <f>IFERROR(CUBEVALUE("BIDB",$A311,B$3,'Præsentationstabeller 1'!$C$2),0)</f>
        <v/>
      </c>
      <c r="C311" t="str" vm="13448">
        <f>IFERROR(CUBEVALUE("BIDB",$A311,C$3,C$2,'Præsentationstabeller 1'!$C$2),0)</f>
        <v/>
      </c>
      <c r="D311" vm="13218">
        <f>IFERROR(CUBEVALUE("BIDB",$A311,D$3,D$2,'Præsentationstabeller 1'!$C$2),0)</f>
        <v>1</v>
      </c>
      <c r="E311" vm="13887">
        <f>IFERROR(CUBEVALUE("BIDB",$A311,E$3,E$2,'Præsentationstabeller 1'!$C$2),0)</f>
        <v>9</v>
      </c>
      <c r="F311" vm="16967">
        <f>IFERROR(CUBEVALUE("BIDB",$A311,F$3,F$2,'Præsentationstabeller 1'!$C$2),0)</f>
        <v>3</v>
      </c>
      <c r="G311" vm="16793">
        <f>IFERROR(CUBEVALUE("BIDB",$A311,G$3,G$2,'Præsentationstabeller 1'!$C$2),0)</f>
        <v>12</v>
      </c>
      <c r="H311" t="str" vm="11264">
        <f>IFERROR(CUBEVALUE("BIDB",$A311,H$3,H$2,'Præsentationstabeller 1'!$C$2),0)</f>
        <v/>
      </c>
      <c r="I311" t="str" vm="8830">
        <f>IFERROR(CUBEVALUE("BIDB",$A311,I$3,I$2,'Præsentationstabeller 1'!$C$2),0)</f>
        <v/>
      </c>
      <c r="J311" t="str" vm="11617">
        <f>IFERROR(CUBEVALUE("BIDB",$A311,J$3,J$2,'Præsentationstabeller 1'!$C$2),0)</f>
        <v/>
      </c>
      <c r="K311" t="str" vm="16927">
        <f>IFERROR(CUBEVALUE("BIDB",$A311,K$3,K$2,'Præsentationstabeller 1'!$C$2),0)</f>
        <v/>
      </c>
      <c r="L311" t="str" vm="14197">
        <f>IFERROR(CUBEVALUE("BIDB",$A311,L$3,L$2,'Præsentationstabeller 1'!$C$2),0)</f>
        <v/>
      </c>
    </row>
    <row r="312" spans="1:12" x14ac:dyDescent="0.3">
      <c r="A312" s="123" t="str" vm="1024">
        <f>CUBEMEMBER("BIDB","[Dimittenddato].[Dimittenddato].&amp;[2010-07-03T00:00:00]")</f>
        <v>03-07-2010</v>
      </c>
      <c r="B312" t="str" vm="15649">
        <f>IFERROR(CUBEVALUE("BIDB",$A312,B$3,'Præsentationstabeller 1'!$C$2),0)</f>
        <v/>
      </c>
      <c r="C312" t="str" vm="15093">
        <f>IFERROR(CUBEVALUE("BIDB",$A312,C$3,C$2,'Præsentationstabeller 1'!$C$2),0)</f>
        <v/>
      </c>
      <c r="D312" t="str" vm="14447">
        <f>IFERROR(CUBEVALUE("BIDB",$A312,D$3,D$2,'Præsentationstabeller 1'!$C$2),0)</f>
        <v/>
      </c>
      <c r="E312" t="str" vm="11308">
        <f>IFERROR(CUBEVALUE("BIDB",$A312,E$3,E$2,'Præsentationstabeller 1'!$C$2),0)</f>
        <v/>
      </c>
      <c r="F312" vm="12202">
        <f>IFERROR(CUBEVALUE("BIDB",$A312,F$3,F$2,'Præsentationstabeller 1'!$C$2),0)</f>
        <v>1</v>
      </c>
      <c r="G312" vm="16819">
        <f>IFERROR(CUBEVALUE("BIDB",$A312,G$3,G$2,'Præsentationstabeller 1'!$C$2),0)</f>
        <v>1</v>
      </c>
      <c r="H312" t="str" vm="16933">
        <f>IFERROR(CUBEVALUE("BIDB",$A312,H$3,H$2,'Præsentationstabeller 1'!$C$2),0)</f>
        <v/>
      </c>
      <c r="I312" t="str" vm="15986">
        <f>IFERROR(CUBEVALUE("BIDB",$A312,I$3,I$2,'Præsentationstabeller 1'!$C$2),0)</f>
        <v/>
      </c>
      <c r="J312" t="str" vm="12437">
        <f>IFERROR(CUBEVALUE("BIDB",$A312,J$3,J$2,'Præsentationstabeller 1'!$C$2),0)</f>
        <v/>
      </c>
      <c r="K312" t="str" vm="9900">
        <f>IFERROR(CUBEVALUE("BIDB",$A312,K$3,K$2,'Præsentationstabeller 1'!$C$2),0)</f>
        <v/>
      </c>
      <c r="L312" t="str" vm="9434">
        <f>IFERROR(CUBEVALUE("BIDB",$A312,L$3,L$2,'Præsentationstabeller 1'!$C$2),0)</f>
        <v/>
      </c>
    </row>
    <row r="313" spans="1:12" x14ac:dyDescent="0.3">
      <c r="A313" s="123" t="str" vm="1023">
        <f>CUBEMEMBER("BIDB","[Dimittenddato].[Dimittenddato].&amp;[2010-07-04T00:00:00]")</f>
        <v>04-07-2010</v>
      </c>
      <c r="B313" t="str" vm="10332">
        <f>IFERROR(CUBEVALUE("BIDB",$A313,B$3,'Præsentationstabeller 1'!$C$2),0)</f>
        <v/>
      </c>
      <c r="C313" t="str" vm="12177">
        <f>IFERROR(CUBEVALUE("BIDB",$A313,C$3,C$2,'Præsentationstabeller 1'!$C$2),0)</f>
        <v/>
      </c>
      <c r="D313" t="str" vm="11891">
        <f>IFERROR(CUBEVALUE("BIDB",$A313,D$3,D$2,'Præsentationstabeller 1'!$C$2),0)</f>
        <v/>
      </c>
      <c r="E313" t="str" vm="13284">
        <f>IFERROR(CUBEVALUE("BIDB",$A313,E$3,E$2,'Præsentationstabeller 1'!$C$2),0)</f>
        <v/>
      </c>
      <c r="F313" t="str" vm="10448">
        <f>IFERROR(CUBEVALUE("BIDB",$A313,F$3,F$2,'Præsentationstabeller 1'!$C$2),0)</f>
        <v/>
      </c>
      <c r="G313" t="str" vm="11843">
        <f>IFERROR(CUBEVALUE("BIDB",$A313,G$3,G$2,'Præsentationstabeller 1'!$C$2),0)</f>
        <v/>
      </c>
      <c r="H313" t="str" vm="13411">
        <f>IFERROR(CUBEVALUE("BIDB",$A313,H$3,H$2,'Præsentationstabeller 1'!$C$2),0)</f>
        <v/>
      </c>
      <c r="I313" t="str" vm="10020">
        <f>IFERROR(CUBEVALUE("BIDB",$A313,I$3,I$2,'Præsentationstabeller 1'!$C$2),0)</f>
        <v/>
      </c>
      <c r="J313" t="str" vm="7988">
        <f>IFERROR(CUBEVALUE("BIDB",$A313,J$3,J$2,'Præsentationstabeller 1'!$C$2),0)</f>
        <v/>
      </c>
      <c r="K313" t="str" vm="15740">
        <f>IFERROR(CUBEVALUE("BIDB",$A313,K$3,K$2,'Præsentationstabeller 1'!$C$2),0)</f>
        <v/>
      </c>
      <c r="L313" t="str" vm="11810">
        <f>IFERROR(CUBEVALUE("BIDB",$A313,L$3,L$2,'Præsentationstabeller 1'!$C$2),0)</f>
        <v/>
      </c>
    </row>
    <row r="314" spans="1:12" x14ac:dyDescent="0.3">
      <c r="A314" s="123" t="str" vm="1022">
        <f>CUBEMEMBER("BIDB","[Dimittenddato].[Dimittenddato].&amp;[2010-07-05T00:00:00]")</f>
        <v>05-07-2010</v>
      </c>
      <c r="B314" t="str" vm="10972">
        <f>IFERROR(CUBEVALUE("BIDB",$A314,B$3,'Præsentationstabeller 1'!$C$2),0)</f>
        <v/>
      </c>
      <c r="C314" t="str" vm="12984">
        <f>IFERROR(CUBEVALUE("BIDB",$A314,C$3,C$2,'Præsentationstabeller 1'!$C$2),0)</f>
        <v/>
      </c>
      <c r="D314" vm="15734">
        <f>IFERROR(CUBEVALUE("BIDB",$A314,D$3,D$2,'Præsentationstabeller 1'!$C$2),0)</f>
        <v>1</v>
      </c>
      <c r="E314" vm="10948">
        <f>IFERROR(CUBEVALUE("BIDB",$A314,E$3,E$2,'Præsentationstabeller 1'!$C$2),0)</f>
        <v>3</v>
      </c>
      <c r="F314" vm="15651">
        <f>IFERROR(CUBEVALUE("BIDB",$A314,F$3,F$2,'Præsentationstabeller 1'!$C$2),0)</f>
        <v>2</v>
      </c>
      <c r="G314" vm="16375">
        <f>IFERROR(CUBEVALUE("BIDB",$A314,G$3,G$2,'Præsentationstabeller 1'!$C$2),0)</f>
        <v>5</v>
      </c>
      <c r="H314" t="str" vm="11864">
        <f>IFERROR(CUBEVALUE("BIDB",$A314,H$3,H$2,'Præsentationstabeller 1'!$C$2),0)</f>
        <v/>
      </c>
      <c r="I314" vm="11806">
        <f>IFERROR(CUBEVALUE("BIDB",$A314,I$3,I$2,'Præsentationstabeller 1'!$C$2),0)</f>
        <v>0.67999999999999994</v>
      </c>
      <c r="J314" t="str" vm="9437">
        <f>IFERROR(CUBEVALUE("BIDB",$A314,J$3,J$2,'Præsentationstabeller 1'!$C$2),0)</f>
        <v/>
      </c>
      <c r="K314" t="str" vm="13471">
        <f>IFERROR(CUBEVALUE("BIDB",$A314,K$3,K$2,'Præsentationstabeller 1'!$C$2),0)</f>
        <v/>
      </c>
      <c r="L314" t="str" vm="10975">
        <f>IFERROR(CUBEVALUE("BIDB",$A314,L$3,L$2,'Præsentationstabeller 1'!$C$2),0)</f>
        <v/>
      </c>
    </row>
    <row r="315" spans="1:12" x14ac:dyDescent="0.3">
      <c r="A315" s="123" t="str" vm="1021">
        <f>CUBEMEMBER("BIDB","[Dimittenddato].[Dimittenddato].&amp;[2010-07-06T00:00:00]")</f>
        <v>06-07-2010</v>
      </c>
      <c r="B315" t="str" vm="10499">
        <f>IFERROR(CUBEVALUE("BIDB",$A315,B$3,'Præsentationstabeller 1'!$C$2),0)</f>
        <v/>
      </c>
      <c r="C315" t="str" vm="15130">
        <f>IFERROR(CUBEVALUE("BIDB",$A315,C$3,C$2,'Præsentationstabeller 1'!$C$2),0)</f>
        <v/>
      </c>
      <c r="D315" t="str" vm="12295">
        <f>IFERROR(CUBEVALUE("BIDB",$A315,D$3,D$2,'Præsentationstabeller 1'!$C$2),0)</f>
        <v/>
      </c>
      <c r="E315" vm="14474">
        <f>IFERROR(CUBEVALUE("BIDB",$A315,E$3,E$2,'Præsentationstabeller 1'!$C$2),0)</f>
        <v>3</v>
      </c>
      <c r="F315" t="str" vm="14679">
        <f>IFERROR(CUBEVALUE("BIDB",$A315,F$3,F$2,'Præsentationstabeller 1'!$C$2),0)</f>
        <v/>
      </c>
      <c r="G315" vm="14129">
        <f>IFERROR(CUBEVALUE("BIDB",$A315,G$3,G$2,'Præsentationstabeller 1'!$C$2),0)</f>
        <v>3</v>
      </c>
      <c r="H315" t="str" vm="16423">
        <f>IFERROR(CUBEVALUE("BIDB",$A315,H$3,H$2,'Præsentationstabeller 1'!$C$2),0)</f>
        <v/>
      </c>
      <c r="I315" t="str" vm="10284">
        <f>IFERROR(CUBEVALUE("BIDB",$A315,I$3,I$2,'Præsentationstabeller 1'!$C$2),0)</f>
        <v/>
      </c>
      <c r="J315" t="str" vm="15686">
        <f>IFERROR(CUBEVALUE("BIDB",$A315,J$3,J$2,'Præsentationstabeller 1'!$C$2),0)</f>
        <v/>
      </c>
      <c r="K315" t="str" vm="10983">
        <f>IFERROR(CUBEVALUE("BIDB",$A315,K$3,K$2,'Præsentationstabeller 1'!$C$2),0)</f>
        <v/>
      </c>
      <c r="L315" t="str" vm="15381">
        <f>IFERROR(CUBEVALUE("BIDB",$A315,L$3,L$2,'Præsentationstabeller 1'!$C$2),0)</f>
        <v/>
      </c>
    </row>
    <row r="316" spans="1:12" x14ac:dyDescent="0.3">
      <c r="A316" s="123" t="str" vm="1020">
        <f>CUBEMEMBER("BIDB","[Dimittenddato].[Dimittenddato].&amp;[2010-07-07T00:00:00]")</f>
        <v>07-07-2010</v>
      </c>
      <c r="B316" t="str" vm="9145">
        <f>IFERROR(CUBEVALUE("BIDB",$A316,B$3,'Præsentationstabeller 1'!$C$2),0)</f>
        <v/>
      </c>
      <c r="C316" t="str" vm="12651">
        <f>IFERROR(CUBEVALUE("BIDB",$A316,C$3,C$2,'Præsentationstabeller 1'!$C$2),0)</f>
        <v/>
      </c>
      <c r="D316" vm="9415">
        <f>IFERROR(CUBEVALUE("BIDB",$A316,D$3,D$2,'Præsentationstabeller 1'!$C$2),0)</f>
        <v>1</v>
      </c>
      <c r="E316" vm="10817">
        <f>IFERROR(CUBEVALUE("BIDB",$A316,E$3,E$2,'Præsentationstabeller 1'!$C$2),0)</f>
        <v>2</v>
      </c>
      <c r="F316" t="str" vm="14026">
        <f>IFERROR(CUBEVALUE("BIDB",$A316,F$3,F$2,'Præsentationstabeller 1'!$C$2),0)</f>
        <v/>
      </c>
      <c r="G316" vm="15765">
        <f>IFERROR(CUBEVALUE("BIDB",$A316,G$3,G$2,'Præsentationstabeller 1'!$C$2),0)</f>
        <v>2</v>
      </c>
      <c r="H316" t="str" vm="9577">
        <f>IFERROR(CUBEVALUE("BIDB",$A316,H$3,H$2,'Præsentationstabeller 1'!$C$2),0)</f>
        <v/>
      </c>
      <c r="I316" t="str" vm="11226">
        <f>IFERROR(CUBEVALUE("BIDB",$A316,I$3,I$2,'Præsentationstabeller 1'!$C$2),0)</f>
        <v/>
      </c>
      <c r="J316" t="str" vm="15076">
        <f>IFERROR(CUBEVALUE("BIDB",$A316,J$3,J$2,'Præsentationstabeller 1'!$C$2),0)</f>
        <v/>
      </c>
      <c r="K316" t="str" vm="12893">
        <f>IFERROR(CUBEVALUE("BIDB",$A316,K$3,K$2,'Præsentationstabeller 1'!$C$2),0)</f>
        <v/>
      </c>
      <c r="L316" t="str" vm="10952">
        <f>IFERROR(CUBEVALUE("BIDB",$A316,L$3,L$2,'Præsentationstabeller 1'!$C$2),0)</f>
        <v/>
      </c>
    </row>
    <row r="317" spans="1:12" x14ac:dyDescent="0.3">
      <c r="A317" s="123" t="str" vm="1019">
        <f>CUBEMEMBER("BIDB","[Dimittenddato].[Dimittenddato].&amp;[2010-07-08T00:00:00]")</f>
        <v>08-07-2010</v>
      </c>
      <c r="B317" t="str" vm="10316">
        <f>IFERROR(CUBEVALUE("BIDB",$A317,B$3,'Præsentationstabeller 1'!$C$2),0)</f>
        <v/>
      </c>
      <c r="C317" t="str" vm="15954">
        <f>IFERROR(CUBEVALUE("BIDB",$A317,C$3,C$2,'Præsentationstabeller 1'!$C$2),0)</f>
        <v/>
      </c>
      <c r="D317" vm="17102">
        <f>IFERROR(CUBEVALUE("BIDB",$A317,D$3,D$2,'Præsentationstabeller 1'!$C$2),0)</f>
        <v>2</v>
      </c>
      <c r="E317" t="str" vm="11457">
        <f>IFERROR(CUBEVALUE("BIDB",$A317,E$3,E$2,'Præsentationstabeller 1'!$C$2),0)</f>
        <v/>
      </c>
      <c r="F317" vm="9115">
        <f>IFERROR(CUBEVALUE("BIDB",$A317,F$3,F$2,'Præsentationstabeller 1'!$C$2),0)</f>
        <v>1</v>
      </c>
      <c r="G317" vm="12533">
        <f>IFERROR(CUBEVALUE("BIDB",$A317,G$3,G$2,'Præsentationstabeller 1'!$C$2),0)</f>
        <v>1</v>
      </c>
      <c r="H317" t="str" vm="13292">
        <f>IFERROR(CUBEVALUE("BIDB",$A317,H$3,H$2,'Præsentationstabeller 1'!$C$2),0)</f>
        <v/>
      </c>
      <c r="I317" t="str" vm="9713">
        <f>IFERROR(CUBEVALUE("BIDB",$A317,I$3,I$2,'Præsentationstabeller 1'!$C$2),0)</f>
        <v/>
      </c>
      <c r="J317" t="str" vm="14974">
        <f>IFERROR(CUBEVALUE("BIDB",$A317,J$3,J$2,'Præsentationstabeller 1'!$C$2),0)</f>
        <v/>
      </c>
      <c r="K317" t="str" vm="12396">
        <f>IFERROR(CUBEVALUE("BIDB",$A317,K$3,K$2,'Præsentationstabeller 1'!$C$2),0)</f>
        <v/>
      </c>
      <c r="L317" t="str" vm="14363">
        <f>IFERROR(CUBEVALUE("BIDB",$A317,L$3,L$2,'Præsentationstabeller 1'!$C$2),0)</f>
        <v/>
      </c>
    </row>
    <row r="318" spans="1:12" x14ac:dyDescent="0.3">
      <c r="A318" s="123" t="str" vm="1018">
        <f>CUBEMEMBER("BIDB","[Dimittenddato].[Dimittenddato].&amp;[2010-07-09T00:00:00]")</f>
        <v>09-07-2010</v>
      </c>
      <c r="B318" t="str" vm="12373">
        <f>IFERROR(CUBEVALUE("BIDB",$A318,B$3,'Præsentationstabeller 1'!$C$2),0)</f>
        <v/>
      </c>
      <c r="C318" t="str" vm="10890">
        <f>IFERROR(CUBEVALUE("BIDB",$A318,C$3,C$2,'Præsentationstabeller 1'!$C$2),0)</f>
        <v/>
      </c>
      <c r="D318" t="str" vm="12563">
        <f>IFERROR(CUBEVALUE("BIDB",$A318,D$3,D$2,'Præsentationstabeller 1'!$C$2),0)</f>
        <v/>
      </c>
      <c r="E318" vm="9692">
        <f>IFERROR(CUBEVALUE("BIDB",$A318,E$3,E$2,'Præsentationstabeller 1'!$C$2),0)</f>
        <v>4</v>
      </c>
      <c r="F318" vm="13832">
        <f>IFERROR(CUBEVALUE("BIDB",$A318,F$3,F$2,'Præsentationstabeller 1'!$C$2),0)</f>
        <v>2</v>
      </c>
      <c r="G318" vm="13020">
        <f>IFERROR(CUBEVALUE("BIDB",$A318,G$3,G$2,'Præsentationstabeller 1'!$C$2),0)</f>
        <v>6</v>
      </c>
      <c r="H318" t="str" vm="9720">
        <f>IFERROR(CUBEVALUE("BIDB",$A318,H$3,H$2,'Præsentationstabeller 1'!$C$2),0)</f>
        <v/>
      </c>
      <c r="I318" t="str" vm="9289">
        <f>IFERROR(CUBEVALUE("BIDB",$A318,I$3,I$2,'Præsentationstabeller 1'!$C$2),0)</f>
        <v/>
      </c>
      <c r="J318" t="str" vm="8213">
        <f>IFERROR(CUBEVALUE("BIDB",$A318,J$3,J$2,'Præsentationstabeller 1'!$C$2),0)</f>
        <v/>
      </c>
      <c r="K318" t="str" vm="12591">
        <f>IFERROR(CUBEVALUE("BIDB",$A318,K$3,K$2,'Præsentationstabeller 1'!$C$2),0)</f>
        <v/>
      </c>
      <c r="L318" t="str" vm="10024">
        <f>IFERROR(CUBEVALUE("BIDB",$A318,L$3,L$2,'Præsentationstabeller 1'!$C$2),0)</f>
        <v/>
      </c>
    </row>
    <row r="319" spans="1:12" x14ac:dyDescent="0.3">
      <c r="A319" s="123" t="str" vm="1017">
        <f>CUBEMEMBER("BIDB","[Dimittenddato].[Dimittenddato].&amp;[2010-07-10T00:00:00]")</f>
        <v>10-07-2010</v>
      </c>
      <c r="B319" t="str" vm="10192">
        <f>IFERROR(CUBEVALUE("BIDB",$A319,B$3,'Præsentationstabeller 1'!$C$2),0)</f>
        <v/>
      </c>
      <c r="C319" t="str" vm="14766">
        <f>IFERROR(CUBEVALUE("BIDB",$A319,C$3,C$2,'Præsentationstabeller 1'!$C$2),0)</f>
        <v/>
      </c>
      <c r="D319" t="str" vm="10589">
        <f>IFERROR(CUBEVALUE("BIDB",$A319,D$3,D$2,'Præsentationstabeller 1'!$C$2),0)</f>
        <v/>
      </c>
      <c r="E319" vm="13555">
        <f>IFERROR(CUBEVALUE("BIDB",$A319,E$3,E$2,'Præsentationstabeller 1'!$C$2),0)</f>
        <v>1</v>
      </c>
      <c r="F319" t="str" vm="9565">
        <f>IFERROR(CUBEVALUE("BIDB",$A319,F$3,F$2,'Præsentationstabeller 1'!$C$2),0)</f>
        <v/>
      </c>
      <c r="G319" vm="15770">
        <f>IFERROR(CUBEVALUE("BIDB",$A319,G$3,G$2,'Præsentationstabeller 1'!$C$2),0)</f>
        <v>1</v>
      </c>
      <c r="H319" t="str" vm="13304">
        <f>IFERROR(CUBEVALUE("BIDB",$A319,H$3,H$2,'Præsentationstabeller 1'!$C$2),0)</f>
        <v/>
      </c>
      <c r="I319" t="str" vm="9042">
        <f>IFERROR(CUBEVALUE("BIDB",$A319,I$3,I$2,'Præsentationstabeller 1'!$C$2),0)</f>
        <v/>
      </c>
      <c r="J319" t="str" vm="9930">
        <f>IFERROR(CUBEVALUE("BIDB",$A319,J$3,J$2,'Præsentationstabeller 1'!$C$2),0)</f>
        <v/>
      </c>
      <c r="K319" t="str" vm="12800">
        <f>IFERROR(CUBEVALUE("BIDB",$A319,K$3,K$2,'Præsentationstabeller 1'!$C$2),0)</f>
        <v/>
      </c>
      <c r="L319" t="str" vm="10333">
        <f>IFERROR(CUBEVALUE("BIDB",$A319,L$3,L$2,'Præsentationstabeller 1'!$C$2),0)</f>
        <v/>
      </c>
    </row>
    <row r="320" spans="1:12" x14ac:dyDescent="0.3">
      <c r="A320" s="123" t="str" vm="1016">
        <f>CUBEMEMBER("BIDB","[Dimittenddato].[Dimittenddato].&amp;[2010-07-11T00:00:00]")</f>
        <v>11-07-2010</v>
      </c>
      <c r="B320" t="str" vm="9012">
        <f>IFERROR(CUBEVALUE("BIDB",$A320,B$3,'Præsentationstabeller 1'!$C$2),0)</f>
        <v/>
      </c>
      <c r="C320" t="str" vm="13062">
        <f>IFERROR(CUBEVALUE("BIDB",$A320,C$3,C$2,'Præsentationstabeller 1'!$C$2),0)</f>
        <v/>
      </c>
      <c r="D320" t="str" vm="13705">
        <f>IFERROR(CUBEVALUE("BIDB",$A320,D$3,D$2,'Præsentationstabeller 1'!$C$2),0)</f>
        <v/>
      </c>
      <c r="E320" t="str" vm="9762">
        <f>IFERROR(CUBEVALUE("BIDB",$A320,E$3,E$2,'Præsentationstabeller 1'!$C$2),0)</f>
        <v/>
      </c>
      <c r="F320" t="str" vm="10912">
        <f>IFERROR(CUBEVALUE("BIDB",$A320,F$3,F$2,'Præsentationstabeller 1'!$C$2),0)</f>
        <v/>
      </c>
      <c r="G320" t="str" vm="15040">
        <f>IFERROR(CUBEVALUE("BIDB",$A320,G$3,G$2,'Præsentationstabeller 1'!$C$2),0)</f>
        <v/>
      </c>
      <c r="H320" t="str" vm="13721">
        <f>IFERROR(CUBEVALUE("BIDB",$A320,H$3,H$2,'Præsentationstabeller 1'!$C$2),0)</f>
        <v/>
      </c>
      <c r="I320" t="str" vm="9212">
        <f>IFERROR(CUBEVALUE("BIDB",$A320,I$3,I$2,'Præsentationstabeller 1'!$C$2),0)</f>
        <v/>
      </c>
      <c r="J320" t="str" vm="11252">
        <f>IFERROR(CUBEVALUE("BIDB",$A320,J$3,J$2,'Præsentationstabeller 1'!$C$2),0)</f>
        <v/>
      </c>
      <c r="K320" t="str" vm="14428">
        <f>IFERROR(CUBEVALUE("BIDB",$A320,K$3,K$2,'Præsentationstabeller 1'!$C$2),0)</f>
        <v/>
      </c>
      <c r="L320" t="str" vm="10449">
        <f>IFERROR(CUBEVALUE("BIDB",$A320,L$3,L$2,'Præsentationstabeller 1'!$C$2),0)</f>
        <v/>
      </c>
    </row>
    <row r="321" spans="1:12" x14ac:dyDescent="0.3">
      <c r="A321" s="123" t="str" vm="1015">
        <f>CUBEMEMBER("BIDB","[Dimittenddato].[Dimittenddato].&amp;[2010-07-12T00:00:00]")</f>
        <v>12-07-2010</v>
      </c>
      <c r="B321" t="str" vm="15320">
        <f>IFERROR(CUBEVALUE("BIDB",$A321,B$3,'Præsentationstabeller 1'!$C$2),0)</f>
        <v/>
      </c>
      <c r="C321" t="str" vm="12516">
        <f>IFERROR(CUBEVALUE("BIDB",$A321,C$3,C$2,'Præsentationstabeller 1'!$C$2),0)</f>
        <v/>
      </c>
      <c r="D321" t="str" vm="13873">
        <f>IFERROR(CUBEVALUE("BIDB",$A321,D$3,D$2,'Præsentationstabeller 1'!$C$2),0)</f>
        <v/>
      </c>
      <c r="E321" t="str" vm="12261">
        <f>IFERROR(CUBEVALUE("BIDB",$A321,E$3,E$2,'Præsentationstabeller 1'!$C$2),0)</f>
        <v/>
      </c>
      <c r="F321" vm="6840">
        <f>IFERROR(CUBEVALUE("BIDB",$A321,F$3,F$2,'Præsentationstabeller 1'!$C$2),0)</f>
        <v>1</v>
      </c>
      <c r="G321" vm="10480">
        <f>IFERROR(CUBEVALUE("BIDB",$A321,G$3,G$2,'Præsentationstabeller 1'!$C$2),0)</f>
        <v>1</v>
      </c>
      <c r="H321" t="str" vm="12376">
        <f>IFERROR(CUBEVALUE("BIDB",$A321,H$3,H$2,'Præsentationstabeller 1'!$C$2),0)</f>
        <v/>
      </c>
      <c r="I321" t="str" vm="15794">
        <f>IFERROR(CUBEVALUE("BIDB",$A321,I$3,I$2,'Præsentationstabeller 1'!$C$2),0)</f>
        <v/>
      </c>
      <c r="J321" t="str" vm="10062">
        <f>IFERROR(CUBEVALUE("BIDB",$A321,J$3,J$2,'Præsentationstabeller 1'!$C$2),0)</f>
        <v/>
      </c>
      <c r="K321" t="str" vm="13668">
        <f>IFERROR(CUBEVALUE("BIDB",$A321,K$3,K$2,'Præsentationstabeller 1'!$C$2),0)</f>
        <v/>
      </c>
      <c r="L321" t="str" vm="7992">
        <f>IFERROR(CUBEVALUE("BIDB",$A321,L$3,L$2,'Præsentationstabeller 1'!$C$2),0)</f>
        <v/>
      </c>
    </row>
    <row r="322" spans="1:12" x14ac:dyDescent="0.3">
      <c r="A322" s="123" t="str" vm="1014">
        <f>CUBEMEMBER("BIDB","[Dimittenddato].[Dimittenddato].&amp;[2010-07-13T00:00:00]")</f>
        <v>13-07-2010</v>
      </c>
      <c r="B322" t="str" vm="10362">
        <f>IFERROR(CUBEVALUE("BIDB",$A322,B$3,'Præsentationstabeller 1'!$C$2),0)</f>
        <v/>
      </c>
      <c r="C322" t="str" vm="13795">
        <f>IFERROR(CUBEVALUE("BIDB",$A322,C$3,C$2,'Præsentationstabeller 1'!$C$2),0)</f>
        <v/>
      </c>
      <c r="D322" vm="13173">
        <f>IFERROR(CUBEVALUE("BIDB",$A322,D$3,D$2,'Præsentationstabeller 1'!$C$2),0)</f>
        <v>0</v>
      </c>
      <c r="E322" t="str" vm="8939">
        <f>IFERROR(CUBEVALUE("BIDB",$A322,E$3,E$2,'Præsentationstabeller 1'!$C$2),0)</f>
        <v/>
      </c>
      <c r="F322" vm="16160">
        <f>IFERROR(CUBEVALUE("BIDB",$A322,F$3,F$2,'Præsentationstabeller 1'!$C$2),0)</f>
        <v>2</v>
      </c>
      <c r="G322" vm="14280">
        <f>IFERROR(CUBEVALUE("BIDB",$A322,G$3,G$2,'Præsentationstabeller 1'!$C$2),0)</f>
        <v>2</v>
      </c>
      <c r="H322" t="str" vm="10824">
        <f>IFERROR(CUBEVALUE("BIDB",$A322,H$3,H$2,'Præsentationstabeller 1'!$C$2),0)</f>
        <v/>
      </c>
      <c r="I322" t="str" vm="7602">
        <f>IFERROR(CUBEVALUE("BIDB",$A322,I$3,I$2,'Præsentationstabeller 1'!$C$2),0)</f>
        <v/>
      </c>
      <c r="J322" t="str" vm="13552">
        <f>IFERROR(CUBEVALUE("BIDB",$A322,J$3,J$2,'Præsentationstabeller 1'!$C$2),0)</f>
        <v/>
      </c>
      <c r="K322" t="str" vm="14389">
        <f>IFERROR(CUBEVALUE("BIDB",$A322,K$3,K$2,'Præsentationstabeller 1'!$C$2),0)</f>
        <v/>
      </c>
      <c r="L322" t="str" vm="11312">
        <f>IFERROR(CUBEVALUE("BIDB",$A322,L$3,L$2,'Præsentationstabeller 1'!$C$2),0)</f>
        <v/>
      </c>
    </row>
    <row r="323" spans="1:12" x14ac:dyDescent="0.3">
      <c r="A323" s="123" t="str" vm="1013">
        <f>CUBEMEMBER("BIDB","[Dimittenddato].[Dimittenddato].&amp;[2010-07-14T00:00:00]")</f>
        <v>14-07-2010</v>
      </c>
      <c r="B323" t="str" vm="13793">
        <f>IFERROR(CUBEVALUE("BIDB",$A323,B$3,'Præsentationstabeller 1'!$C$2),0)</f>
        <v/>
      </c>
      <c r="C323" t="str" vm="10906">
        <f>IFERROR(CUBEVALUE("BIDB",$A323,C$3,C$2,'Præsentationstabeller 1'!$C$2),0)</f>
        <v/>
      </c>
      <c r="D323" t="str" vm="11127">
        <f>IFERROR(CUBEVALUE("BIDB",$A323,D$3,D$2,'Præsentationstabeller 1'!$C$2),0)</f>
        <v/>
      </c>
      <c r="E323" t="str" vm="13554">
        <f>IFERROR(CUBEVALUE("BIDB",$A323,E$3,E$2,'Præsentationstabeller 1'!$C$2),0)</f>
        <v/>
      </c>
      <c r="F323" t="str" vm="15062">
        <f>IFERROR(CUBEVALUE("BIDB",$A323,F$3,F$2,'Præsentationstabeller 1'!$C$2),0)</f>
        <v/>
      </c>
      <c r="G323" t="str" vm="14076">
        <f>IFERROR(CUBEVALUE("BIDB",$A323,G$3,G$2,'Præsentationstabeller 1'!$C$2),0)</f>
        <v/>
      </c>
      <c r="H323" t="str" vm="9593">
        <f>IFERROR(CUBEVALUE("BIDB",$A323,H$3,H$2,'Præsentationstabeller 1'!$C$2),0)</f>
        <v/>
      </c>
      <c r="I323" t="str" vm="8373">
        <f>IFERROR(CUBEVALUE("BIDB",$A323,I$3,I$2,'Præsentationstabeller 1'!$C$2),0)</f>
        <v/>
      </c>
      <c r="J323" t="str" vm="11105">
        <f>IFERROR(CUBEVALUE("BIDB",$A323,J$3,J$2,'Præsentationstabeller 1'!$C$2),0)</f>
        <v/>
      </c>
      <c r="K323" t="str" vm="11094">
        <f>IFERROR(CUBEVALUE("BIDB",$A323,K$3,K$2,'Præsentationstabeller 1'!$C$2),0)</f>
        <v/>
      </c>
      <c r="L323" t="str" vm="16419">
        <f>IFERROR(CUBEVALUE("BIDB",$A323,L$3,L$2,'Præsentationstabeller 1'!$C$2),0)</f>
        <v/>
      </c>
    </row>
    <row r="324" spans="1:12" x14ac:dyDescent="0.3">
      <c r="A324" s="123" t="str" vm="1012">
        <f>CUBEMEMBER("BIDB","[Dimittenddato].[Dimittenddato].&amp;[2010-07-15T00:00:00]")</f>
        <v>15-07-2010</v>
      </c>
      <c r="B324" t="str" vm="8341">
        <f>IFERROR(CUBEVALUE("BIDB",$A324,B$3,'Præsentationstabeller 1'!$C$2),0)</f>
        <v/>
      </c>
      <c r="C324" t="str" vm="15590">
        <f>IFERROR(CUBEVALUE("BIDB",$A324,C$3,C$2,'Præsentationstabeller 1'!$C$2),0)</f>
        <v/>
      </c>
      <c r="D324" t="str" vm="15890">
        <f>IFERROR(CUBEVALUE("BIDB",$A324,D$3,D$2,'Præsentationstabeller 1'!$C$2),0)</f>
        <v/>
      </c>
      <c r="E324" vm="15888">
        <f>IFERROR(CUBEVALUE("BIDB",$A324,E$3,E$2,'Præsentationstabeller 1'!$C$2),0)</f>
        <v>2</v>
      </c>
      <c r="F324" t="str" vm="10859">
        <f>IFERROR(CUBEVALUE("BIDB",$A324,F$3,F$2,'Præsentationstabeller 1'!$C$2),0)</f>
        <v/>
      </c>
      <c r="G324" vm="15253">
        <f>IFERROR(CUBEVALUE("BIDB",$A324,G$3,G$2,'Præsentationstabeller 1'!$C$2),0)</f>
        <v>2</v>
      </c>
      <c r="H324" t="str" vm="16928">
        <f>IFERROR(CUBEVALUE("BIDB",$A324,H$3,H$2,'Præsentationstabeller 1'!$C$2),0)</f>
        <v/>
      </c>
      <c r="I324" t="str" vm="17071">
        <f>IFERROR(CUBEVALUE("BIDB",$A324,I$3,I$2,'Præsentationstabeller 1'!$C$2),0)</f>
        <v/>
      </c>
      <c r="J324" t="str" vm="11178">
        <f>IFERROR(CUBEVALUE("BIDB",$A324,J$3,J$2,'Præsentationstabeller 1'!$C$2),0)</f>
        <v/>
      </c>
      <c r="K324" t="str" vm="12957">
        <f>IFERROR(CUBEVALUE("BIDB",$A324,K$3,K$2,'Præsentationstabeller 1'!$C$2),0)</f>
        <v/>
      </c>
      <c r="L324" t="str" vm="15379">
        <f>IFERROR(CUBEVALUE("BIDB",$A324,L$3,L$2,'Præsentationstabeller 1'!$C$2),0)</f>
        <v/>
      </c>
    </row>
    <row r="325" spans="1:12" x14ac:dyDescent="0.3">
      <c r="A325" s="123" t="str" vm="1011">
        <f>CUBEMEMBER("BIDB","[Dimittenddato].[Dimittenddato].&amp;[2010-07-16T00:00:00]")</f>
        <v>16-07-2010</v>
      </c>
      <c r="B325" t="str" vm="13865">
        <f>IFERROR(CUBEVALUE("BIDB",$A325,B$3,'Præsentationstabeller 1'!$C$2),0)</f>
        <v/>
      </c>
      <c r="C325" t="str" vm="11590">
        <f>IFERROR(CUBEVALUE("BIDB",$A325,C$3,C$2,'Præsentationstabeller 1'!$C$2),0)</f>
        <v/>
      </c>
      <c r="D325" vm="16845">
        <f>IFERROR(CUBEVALUE("BIDB",$A325,D$3,D$2,'Præsentationstabeller 1'!$C$2),0)</f>
        <v>1</v>
      </c>
      <c r="E325" vm="7499">
        <f>IFERROR(CUBEVALUE("BIDB",$A325,E$3,E$2,'Præsentationstabeller 1'!$C$2),0)</f>
        <v>2</v>
      </c>
      <c r="F325" t="str" vm="11057">
        <f>IFERROR(CUBEVALUE("BIDB",$A325,F$3,F$2,'Præsentationstabeller 1'!$C$2),0)</f>
        <v/>
      </c>
      <c r="G325" vm="12722">
        <f>IFERROR(CUBEVALUE("BIDB",$A325,G$3,G$2,'Præsentationstabeller 1'!$C$2),0)</f>
        <v>2</v>
      </c>
      <c r="H325" t="str" vm="14238">
        <f>IFERROR(CUBEVALUE("BIDB",$A325,H$3,H$2,'Præsentationstabeller 1'!$C$2),0)</f>
        <v/>
      </c>
      <c r="I325" t="str" vm="12841">
        <f>IFERROR(CUBEVALUE("BIDB",$A325,I$3,I$2,'Præsentationstabeller 1'!$C$2),0)</f>
        <v/>
      </c>
      <c r="J325" t="str" vm="11443">
        <f>IFERROR(CUBEVALUE("BIDB",$A325,J$3,J$2,'Præsentationstabeller 1'!$C$2),0)</f>
        <v/>
      </c>
      <c r="K325" t="str" vm="13357">
        <f>IFERROR(CUBEVALUE("BIDB",$A325,K$3,K$2,'Præsentationstabeller 1'!$C$2),0)</f>
        <v/>
      </c>
      <c r="L325" t="str" vm="12203">
        <f>IFERROR(CUBEVALUE("BIDB",$A325,L$3,L$2,'Præsentationstabeller 1'!$C$2),0)</f>
        <v/>
      </c>
    </row>
    <row r="326" spans="1:12" x14ac:dyDescent="0.3">
      <c r="A326" s="123" t="str" vm="1010">
        <f>CUBEMEMBER("BIDB","[Dimittenddato].[Dimittenddato].&amp;[2010-07-17T00:00:00]")</f>
        <v>17-07-2010</v>
      </c>
      <c r="B326" t="str" vm="9509">
        <f>IFERROR(CUBEVALUE("BIDB",$A326,B$3,'Præsentationstabeller 1'!$C$2),0)</f>
        <v/>
      </c>
      <c r="C326" t="str" vm="11191">
        <f>IFERROR(CUBEVALUE("BIDB",$A326,C$3,C$2,'Præsentationstabeller 1'!$C$2),0)</f>
        <v/>
      </c>
      <c r="D326" t="str" vm="16152">
        <f>IFERROR(CUBEVALUE("BIDB",$A326,D$3,D$2,'Præsentationstabeller 1'!$C$2),0)</f>
        <v/>
      </c>
      <c r="E326" t="str" vm="8909">
        <f>IFERROR(CUBEVALUE("BIDB",$A326,E$3,E$2,'Præsentationstabeller 1'!$C$2),0)</f>
        <v/>
      </c>
      <c r="F326" vm="12811">
        <f>IFERROR(CUBEVALUE("BIDB",$A326,F$3,F$2,'Præsentationstabeller 1'!$C$2),0)</f>
        <v>1</v>
      </c>
      <c r="G326" vm="15872">
        <f>IFERROR(CUBEVALUE("BIDB",$A326,G$3,G$2,'Præsentationstabeller 1'!$C$2),0)</f>
        <v>1</v>
      </c>
      <c r="H326" t="str" vm="14567">
        <f>IFERROR(CUBEVALUE("BIDB",$A326,H$3,H$2,'Præsentationstabeller 1'!$C$2),0)</f>
        <v/>
      </c>
      <c r="I326" t="str" vm="11411">
        <f>IFERROR(CUBEVALUE("BIDB",$A326,I$3,I$2,'Præsentationstabeller 1'!$C$2),0)</f>
        <v/>
      </c>
      <c r="J326" t="str" vm="9238">
        <f>IFERROR(CUBEVALUE("BIDB",$A326,J$3,J$2,'Præsentationstabeller 1'!$C$2),0)</f>
        <v/>
      </c>
      <c r="K326" t="str" vm="11588">
        <f>IFERROR(CUBEVALUE("BIDB",$A326,K$3,K$2,'Præsentationstabeller 1'!$C$2),0)</f>
        <v/>
      </c>
      <c r="L326" t="str" vm="12438">
        <f>IFERROR(CUBEVALUE("BIDB",$A326,L$3,L$2,'Præsentationstabeller 1'!$C$2),0)</f>
        <v/>
      </c>
    </row>
    <row r="327" spans="1:12" x14ac:dyDescent="0.3">
      <c r="A327" s="123" t="str" vm="1009">
        <f>CUBEMEMBER("BIDB","[Dimittenddato].[Dimittenddato].&amp;[2010-07-18T00:00:00]")</f>
        <v>18-07-2010</v>
      </c>
      <c r="B327" t="str" vm="11294">
        <f>IFERROR(CUBEVALUE("BIDB",$A327,B$3,'Præsentationstabeller 1'!$C$2),0)</f>
        <v/>
      </c>
      <c r="C327" t="str" vm="11133">
        <f>IFERROR(CUBEVALUE("BIDB",$A327,C$3,C$2,'Præsentationstabeller 1'!$C$2),0)</f>
        <v/>
      </c>
      <c r="D327" t="str" vm="11194">
        <f>IFERROR(CUBEVALUE("BIDB",$A327,D$3,D$2,'Præsentationstabeller 1'!$C$2),0)</f>
        <v/>
      </c>
      <c r="E327" t="str" vm="14388">
        <f>IFERROR(CUBEVALUE("BIDB",$A327,E$3,E$2,'Præsentationstabeller 1'!$C$2),0)</f>
        <v/>
      </c>
      <c r="F327" t="str" vm="13214">
        <f>IFERROR(CUBEVALUE("BIDB",$A327,F$3,F$2,'Præsentationstabeller 1'!$C$2),0)</f>
        <v/>
      </c>
      <c r="G327" t="str" vm="17147">
        <f>IFERROR(CUBEVALUE("BIDB",$A327,G$3,G$2,'Præsentationstabeller 1'!$C$2),0)</f>
        <v/>
      </c>
      <c r="H327" t="str" vm="9725">
        <f>IFERROR(CUBEVALUE("BIDB",$A327,H$3,H$2,'Præsentationstabeller 1'!$C$2),0)</f>
        <v/>
      </c>
      <c r="I327" t="str" vm="9102">
        <f>IFERROR(CUBEVALUE("BIDB",$A327,I$3,I$2,'Præsentationstabeller 1'!$C$2),0)</f>
        <v/>
      </c>
      <c r="J327" t="str" vm="11089">
        <f>IFERROR(CUBEVALUE("BIDB",$A327,J$3,J$2,'Præsentationstabeller 1'!$C$2),0)</f>
        <v/>
      </c>
      <c r="K327" t="str" vm="11472">
        <f>IFERROR(CUBEVALUE("BIDB",$A327,K$3,K$2,'Præsentationstabeller 1'!$C$2),0)</f>
        <v/>
      </c>
      <c r="L327" t="str" vm="14398">
        <f>IFERROR(CUBEVALUE("BIDB",$A327,L$3,L$2,'Præsentationstabeller 1'!$C$2),0)</f>
        <v/>
      </c>
    </row>
    <row r="328" spans="1:12" x14ac:dyDescent="0.3">
      <c r="A328" s="123" t="str" vm="1008">
        <f>CUBEMEMBER("BIDB","[Dimittenddato].[Dimittenddato].&amp;[2010-07-19T00:00:00]")</f>
        <v>19-07-2010</v>
      </c>
      <c r="B328" t="str" vm="11232">
        <f>IFERROR(CUBEVALUE("BIDB",$A328,B$3,'Præsentationstabeller 1'!$C$2),0)</f>
        <v/>
      </c>
      <c r="C328" t="str" vm="11376">
        <f>IFERROR(CUBEVALUE("BIDB",$A328,C$3,C$2,'Præsentationstabeller 1'!$C$2),0)</f>
        <v/>
      </c>
      <c r="D328" t="str" vm="14001">
        <f>IFERROR(CUBEVALUE("BIDB",$A328,D$3,D$2,'Præsentationstabeller 1'!$C$2),0)</f>
        <v/>
      </c>
      <c r="E328" t="str" vm="15538">
        <f>IFERROR(CUBEVALUE("BIDB",$A328,E$3,E$2,'Præsentationstabeller 1'!$C$2),0)</f>
        <v/>
      </c>
      <c r="F328" t="str" vm="10006">
        <f>IFERROR(CUBEVALUE("BIDB",$A328,F$3,F$2,'Præsentationstabeller 1'!$C$2),0)</f>
        <v/>
      </c>
      <c r="G328" t="str" vm="13845">
        <f>IFERROR(CUBEVALUE("BIDB",$A328,G$3,G$2,'Præsentationstabeller 1'!$C$2),0)</f>
        <v/>
      </c>
      <c r="H328" t="str" vm="12681">
        <f>IFERROR(CUBEVALUE("BIDB",$A328,H$3,H$2,'Præsentationstabeller 1'!$C$2),0)</f>
        <v/>
      </c>
      <c r="I328" t="str" vm="14688">
        <f>IFERROR(CUBEVALUE("BIDB",$A328,I$3,I$2,'Præsentationstabeller 1'!$C$2),0)</f>
        <v/>
      </c>
      <c r="J328" t="str" vm="13149">
        <f>IFERROR(CUBEVALUE("BIDB",$A328,J$3,J$2,'Præsentationstabeller 1'!$C$2),0)</f>
        <v/>
      </c>
      <c r="K328" t="str" vm="11110">
        <f>IFERROR(CUBEVALUE("BIDB",$A328,K$3,K$2,'Præsentationstabeller 1'!$C$2),0)</f>
        <v/>
      </c>
      <c r="L328" t="str" vm="8834">
        <f>IFERROR(CUBEVALUE("BIDB",$A328,L$3,L$2,'Præsentationstabeller 1'!$C$2),0)</f>
        <v/>
      </c>
    </row>
    <row r="329" spans="1:12" x14ac:dyDescent="0.3">
      <c r="A329" s="123" t="str" vm="1007">
        <f>CUBEMEMBER("BIDB","[Dimittenddato].[Dimittenddato].&amp;[2010-07-20T00:00:00]")</f>
        <v>20-07-2010</v>
      </c>
      <c r="B329" t="str" vm="15645">
        <f>IFERROR(CUBEVALUE("BIDB",$A329,B$3,'Præsentationstabeller 1'!$C$2),0)</f>
        <v/>
      </c>
      <c r="C329" t="str" vm="16659">
        <f>IFERROR(CUBEVALUE("BIDB",$A329,C$3,C$2,'Præsentationstabeller 1'!$C$2),0)</f>
        <v/>
      </c>
      <c r="D329" t="str" vm="13013">
        <f>IFERROR(CUBEVALUE("BIDB",$A329,D$3,D$2,'Præsentationstabeller 1'!$C$2),0)</f>
        <v/>
      </c>
      <c r="E329" t="str" vm="15188">
        <f>IFERROR(CUBEVALUE("BIDB",$A329,E$3,E$2,'Præsentationstabeller 1'!$C$2),0)</f>
        <v/>
      </c>
      <c r="F329" vm="8656">
        <f>IFERROR(CUBEVALUE("BIDB",$A329,F$3,F$2,'Præsentationstabeller 1'!$C$2),0)</f>
        <v>0</v>
      </c>
      <c r="G329" vm="9382">
        <f>IFERROR(CUBEVALUE("BIDB",$A329,G$3,G$2,'Præsentationstabeller 1'!$C$2),0)</f>
        <v>0</v>
      </c>
      <c r="H329" t="str" vm="10425">
        <f>IFERROR(CUBEVALUE("BIDB",$A329,H$3,H$2,'Præsentationstabeller 1'!$C$2),0)</f>
        <v/>
      </c>
      <c r="I329" t="str" vm="10306">
        <f>IFERROR(CUBEVALUE("BIDB",$A329,I$3,I$2,'Præsentationstabeller 1'!$C$2),0)</f>
        <v/>
      </c>
      <c r="J329" t="str" vm="9451">
        <f>IFERROR(CUBEVALUE("BIDB",$A329,J$3,J$2,'Præsentationstabeller 1'!$C$2),0)</f>
        <v/>
      </c>
      <c r="K329" t="str" vm="16161">
        <f>IFERROR(CUBEVALUE("BIDB",$A329,K$3,K$2,'Præsentationstabeller 1'!$C$2),0)</f>
        <v/>
      </c>
      <c r="L329" t="str" vm="9349">
        <f>IFERROR(CUBEVALUE("BIDB",$A329,L$3,L$2,'Præsentationstabeller 1'!$C$2),0)</f>
        <v/>
      </c>
    </row>
    <row r="330" spans="1:12" x14ac:dyDescent="0.3">
      <c r="A330" s="123" t="str" vm="1006">
        <f>CUBEMEMBER("BIDB","[Dimittenddato].[Dimittenddato].&amp;[2010-07-21T00:00:00]")</f>
        <v>21-07-2010</v>
      </c>
      <c r="B330" t="str" vm="9202">
        <f>IFERROR(CUBEVALUE("BIDB",$A330,B$3,'Præsentationstabeller 1'!$C$2),0)</f>
        <v/>
      </c>
      <c r="C330" t="str" vm="11781">
        <f>IFERROR(CUBEVALUE("BIDB",$A330,C$3,C$2,'Præsentationstabeller 1'!$C$2),0)</f>
        <v/>
      </c>
      <c r="D330" vm="15715">
        <f>IFERROR(CUBEVALUE("BIDB",$A330,D$3,D$2,'Præsentationstabeller 1'!$C$2),0)</f>
        <v>1</v>
      </c>
      <c r="E330" vm="7724">
        <f>IFERROR(CUBEVALUE("BIDB",$A330,E$3,E$2,'Præsentationstabeller 1'!$C$2),0)</f>
        <v>1</v>
      </c>
      <c r="F330" t="str" vm="12795">
        <f>IFERROR(CUBEVALUE("BIDB",$A330,F$3,F$2,'Præsentationstabeller 1'!$C$2),0)</f>
        <v/>
      </c>
      <c r="G330" vm="16618">
        <f>IFERROR(CUBEVALUE("BIDB",$A330,G$3,G$2,'Præsentationstabeller 1'!$C$2),0)</f>
        <v>1</v>
      </c>
      <c r="H330" t="str" vm="14935">
        <f>IFERROR(CUBEVALUE("BIDB",$A330,H$3,H$2,'Præsentationstabeller 1'!$C$2),0)</f>
        <v/>
      </c>
      <c r="I330" t="str" vm="14051">
        <f>IFERROR(CUBEVALUE("BIDB",$A330,I$3,I$2,'Præsentationstabeller 1'!$C$2),0)</f>
        <v/>
      </c>
      <c r="J330" t="str" vm="10234">
        <f>IFERROR(CUBEVALUE("BIDB",$A330,J$3,J$2,'Præsentationstabeller 1'!$C$2),0)</f>
        <v/>
      </c>
      <c r="K330" t="str" vm="14789">
        <f>IFERROR(CUBEVALUE("BIDB",$A330,K$3,K$2,'Præsentationstabeller 1'!$C$2),0)</f>
        <v/>
      </c>
      <c r="L330" t="str" vm="16397">
        <f>IFERROR(CUBEVALUE("BIDB",$A330,L$3,L$2,'Præsentationstabeller 1'!$C$2),0)</f>
        <v/>
      </c>
    </row>
    <row r="331" spans="1:12" x14ac:dyDescent="0.3">
      <c r="A331" s="123" t="str" vm="1005">
        <f>CUBEMEMBER("BIDB","[Dimittenddato].[Dimittenddato].&amp;[2010-07-22T00:00:00]")</f>
        <v>22-07-2010</v>
      </c>
      <c r="B331" t="str" vm="10803">
        <f>IFERROR(CUBEVALUE("BIDB",$A331,B$3,'Præsentationstabeller 1'!$C$2),0)</f>
        <v/>
      </c>
      <c r="C331" t="str" vm="13113">
        <f>IFERROR(CUBEVALUE("BIDB",$A331,C$3,C$2,'Præsentationstabeller 1'!$C$2),0)</f>
        <v/>
      </c>
      <c r="D331" t="str" vm="9834">
        <f>IFERROR(CUBEVALUE("BIDB",$A331,D$3,D$2,'Præsentationstabeller 1'!$C$2),0)</f>
        <v/>
      </c>
      <c r="E331" vm="12391">
        <f>IFERROR(CUBEVALUE("BIDB",$A331,E$3,E$2,'Præsentationstabeller 1'!$C$2),0)</f>
        <v>1</v>
      </c>
      <c r="F331" vm="12230">
        <f>IFERROR(CUBEVALUE("BIDB",$A331,F$3,F$2,'Præsentationstabeller 1'!$C$2),0)</f>
        <v>0</v>
      </c>
      <c r="G331" vm="11535">
        <f>IFERROR(CUBEVALUE("BIDB",$A331,G$3,G$2,'Præsentationstabeller 1'!$C$2),0)</f>
        <v>1</v>
      </c>
      <c r="H331" t="str" vm="16240">
        <f>IFERROR(CUBEVALUE("BIDB",$A331,H$3,H$2,'Præsentationstabeller 1'!$C$2),0)</f>
        <v/>
      </c>
      <c r="I331" t="str" vm="8571">
        <f>IFERROR(CUBEVALUE("BIDB",$A331,I$3,I$2,'Præsentationstabeller 1'!$C$2),0)</f>
        <v/>
      </c>
      <c r="J331" t="str" vm="16920">
        <f>IFERROR(CUBEVALUE("BIDB",$A331,J$3,J$2,'Præsentationstabeller 1'!$C$2),0)</f>
        <v/>
      </c>
      <c r="K331" t="str" vm="9217">
        <f>IFERROR(CUBEVALUE("BIDB",$A331,K$3,K$2,'Præsentationstabeller 1'!$C$2),0)</f>
        <v/>
      </c>
      <c r="L331" t="str" vm="15476">
        <f>IFERROR(CUBEVALUE("BIDB",$A331,L$3,L$2,'Præsentationstabeller 1'!$C$2),0)</f>
        <v/>
      </c>
    </row>
    <row r="332" spans="1:12" x14ac:dyDescent="0.3">
      <c r="A332" s="123" t="str" vm="1004">
        <f>CUBEMEMBER("BIDB","[Dimittenddato].[Dimittenddato].&amp;[2010-07-23T00:00:00]")</f>
        <v>23-07-2010</v>
      </c>
      <c r="B332" t="str" vm="8553">
        <f>IFERROR(CUBEVALUE("BIDB",$A332,B$3,'Præsentationstabeller 1'!$C$2),0)</f>
        <v/>
      </c>
      <c r="C332" t="str" vm="15682">
        <f>IFERROR(CUBEVALUE("BIDB",$A332,C$3,C$2,'Præsentationstabeller 1'!$C$2),0)</f>
        <v/>
      </c>
      <c r="D332" t="str" vm="10625">
        <f>IFERROR(CUBEVALUE("BIDB",$A332,D$3,D$2,'Præsentationstabeller 1'!$C$2),0)</f>
        <v/>
      </c>
      <c r="E332" t="str" vm="12785">
        <f>IFERROR(CUBEVALUE("BIDB",$A332,E$3,E$2,'Præsentationstabeller 1'!$C$2),0)</f>
        <v/>
      </c>
      <c r="F332" vm="9699">
        <f>IFERROR(CUBEVALUE("BIDB",$A332,F$3,F$2,'Præsentationstabeller 1'!$C$2),0)</f>
        <v>1</v>
      </c>
      <c r="G332" vm="16949">
        <f>IFERROR(CUBEVALUE("BIDB",$A332,G$3,G$2,'Præsentationstabeller 1'!$C$2),0)</f>
        <v>1</v>
      </c>
      <c r="H332" t="str" vm="10829">
        <f>IFERROR(CUBEVALUE("BIDB",$A332,H$3,H$2,'Præsentationstabeller 1'!$C$2),0)</f>
        <v/>
      </c>
      <c r="I332" t="str" vm="14956">
        <f>IFERROR(CUBEVALUE("BIDB",$A332,I$3,I$2,'Præsentationstabeller 1'!$C$2),0)</f>
        <v/>
      </c>
      <c r="J332" t="str" vm="11079">
        <f>IFERROR(CUBEVALUE("BIDB",$A332,J$3,J$2,'Præsentationstabeller 1'!$C$2),0)</f>
        <v/>
      </c>
      <c r="K332" t="str" vm="17112">
        <f>IFERROR(CUBEVALUE("BIDB",$A332,K$3,K$2,'Præsentationstabeller 1'!$C$2),0)</f>
        <v/>
      </c>
      <c r="L332" t="str" vm="8866">
        <f>IFERROR(CUBEVALUE("BIDB",$A332,L$3,L$2,'Præsentationstabeller 1'!$C$2),0)</f>
        <v/>
      </c>
    </row>
    <row r="333" spans="1:12" x14ac:dyDescent="0.3">
      <c r="A333" s="123" t="str" vm="1003">
        <f>CUBEMEMBER("BIDB","[Dimittenddato].[Dimittenddato].&amp;[2010-07-24T00:00:00]")</f>
        <v>24-07-2010</v>
      </c>
      <c r="B333" t="str" vm="9465">
        <f>IFERROR(CUBEVALUE("BIDB",$A333,B$3,'Præsentationstabeller 1'!$C$2),0)</f>
        <v/>
      </c>
      <c r="C333" t="str" vm="13622">
        <f>IFERROR(CUBEVALUE("BIDB",$A333,C$3,C$2,'Præsentationstabeller 1'!$C$2),0)</f>
        <v/>
      </c>
      <c r="D333" t="str" vm="14735">
        <f>IFERROR(CUBEVALUE("BIDB",$A333,D$3,D$2,'Præsentationstabeller 1'!$C$2),0)</f>
        <v/>
      </c>
      <c r="E333" t="str" vm="9551">
        <f>IFERROR(CUBEVALUE("BIDB",$A333,E$3,E$2,'Præsentationstabeller 1'!$C$2),0)</f>
        <v/>
      </c>
      <c r="F333" t="str" vm="8626">
        <f>IFERROR(CUBEVALUE("BIDB",$A333,F$3,F$2,'Præsentationstabeller 1'!$C$2),0)</f>
        <v/>
      </c>
      <c r="G333" t="str" vm="13997">
        <f>IFERROR(CUBEVALUE("BIDB",$A333,G$3,G$2,'Præsentationstabeller 1'!$C$2),0)</f>
        <v/>
      </c>
      <c r="H333" t="str" vm="12891">
        <f>IFERROR(CUBEVALUE("BIDB",$A333,H$3,H$2,'Præsentationstabeller 1'!$C$2),0)</f>
        <v/>
      </c>
      <c r="I333" t="str" vm="10461">
        <f>IFERROR(CUBEVALUE("BIDB",$A333,I$3,I$2,'Præsentationstabeller 1'!$C$2),0)</f>
        <v/>
      </c>
      <c r="J333" t="str" vm="11347">
        <f>IFERROR(CUBEVALUE("BIDB",$A333,J$3,J$2,'Præsentationstabeller 1'!$C$2),0)</f>
        <v/>
      </c>
      <c r="K333" t="str" vm="9935">
        <f>IFERROR(CUBEVALUE("BIDB",$A333,K$3,K$2,'Præsentationstabeller 1'!$C$2),0)</f>
        <v/>
      </c>
      <c r="L333" t="str" vm="15270">
        <f>IFERROR(CUBEVALUE("BIDB",$A333,L$3,L$2,'Præsentationstabeller 1'!$C$2),0)</f>
        <v/>
      </c>
    </row>
    <row r="334" spans="1:12" x14ac:dyDescent="0.3">
      <c r="A334" s="123" t="str" vm="1002">
        <f>CUBEMEMBER("BIDB","[Dimittenddato].[Dimittenddato].&amp;[2010-07-25T00:00:00]")</f>
        <v>25-07-2010</v>
      </c>
      <c r="B334" t="str" vm="17079">
        <f>IFERROR(CUBEVALUE("BIDB",$A334,B$3,'Præsentationstabeller 1'!$C$2),0)</f>
        <v/>
      </c>
      <c r="C334" t="str" vm="10093">
        <f>IFERROR(CUBEVALUE("BIDB",$A334,C$3,C$2,'Præsentationstabeller 1'!$C$2),0)</f>
        <v/>
      </c>
      <c r="D334" t="str" vm="12176">
        <f>IFERROR(CUBEVALUE("BIDB",$A334,D$3,D$2,'Præsentationstabeller 1'!$C$2),0)</f>
        <v/>
      </c>
      <c r="E334" t="str" vm="15637">
        <f>IFERROR(CUBEVALUE("BIDB",$A334,E$3,E$2,'Præsentationstabeller 1'!$C$2),0)</f>
        <v/>
      </c>
      <c r="F334" t="str" vm="11918">
        <f>IFERROR(CUBEVALUE("BIDB",$A334,F$3,F$2,'Præsentationstabeller 1'!$C$2),0)</f>
        <v/>
      </c>
      <c r="G334" t="str" vm="15157">
        <f>IFERROR(CUBEVALUE("BIDB",$A334,G$3,G$2,'Præsentationstabeller 1'!$C$2),0)</f>
        <v/>
      </c>
      <c r="H334" t="str" vm="9463">
        <f>IFERROR(CUBEVALUE("BIDB",$A334,H$3,H$2,'Præsentationstabeller 1'!$C$2),0)</f>
        <v/>
      </c>
      <c r="I334" t="str" vm="11750">
        <f>IFERROR(CUBEVALUE("BIDB",$A334,I$3,I$2,'Præsentationstabeller 1'!$C$2),0)</f>
        <v/>
      </c>
      <c r="J334" t="str" vm="6585">
        <f>IFERROR(CUBEVALUE("BIDB",$A334,J$3,J$2,'Præsentationstabeller 1'!$C$2),0)</f>
        <v/>
      </c>
      <c r="K334" t="str" vm="14092">
        <f>IFERROR(CUBEVALUE("BIDB",$A334,K$3,K$2,'Præsentationstabeller 1'!$C$2),0)</f>
        <v/>
      </c>
      <c r="L334" t="str" vm="12470">
        <f>IFERROR(CUBEVALUE("BIDB",$A334,L$3,L$2,'Præsentationstabeller 1'!$C$2),0)</f>
        <v/>
      </c>
    </row>
    <row r="335" spans="1:12" x14ac:dyDescent="0.3">
      <c r="A335" s="123" t="str" vm="1001">
        <f>CUBEMEMBER("BIDB","[Dimittenddato].[Dimittenddato].&amp;[2010-07-26T00:00:00]")</f>
        <v>26-07-2010</v>
      </c>
      <c r="B335" t="str" vm="9068">
        <f>IFERROR(CUBEVALUE("BIDB",$A335,B$3,'Præsentationstabeller 1'!$C$2),0)</f>
        <v/>
      </c>
      <c r="C335" t="str" vm="12537">
        <f>IFERROR(CUBEVALUE("BIDB",$A335,C$3,C$2,'Præsentationstabeller 1'!$C$2),0)</f>
        <v/>
      </c>
      <c r="D335" vm="13246">
        <f>IFERROR(CUBEVALUE("BIDB",$A335,D$3,D$2,'Præsentationstabeller 1'!$C$2),0)</f>
        <v>1</v>
      </c>
      <c r="E335" vm="9895">
        <f>IFERROR(CUBEVALUE("BIDB",$A335,E$3,E$2,'Præsentationstabeller 1'!$C$2),0)</f>
        <v>4</v>
      </c>
      <c r="F335" t="str" vm="9869">
        <f>IFERROR(CUBEVALUE("BIDB",$A335,F$3,F$2,'Præsentationstabeller 1'!$C$2),0)</f>
        <v/>
      </c>
      <c r="G335" vm="12175">
        <f>IFERROR(CUBEVALUE("BIDB",$A335,G$3,G$2,'Præsentationstabeller 1'!$C$2),0)</f>
        <v>4</v>
      </c>
      <c r="H335" t="str" vm="14220">
        <f>IFERROR(CUBEVALUE("BIDB",$A335,H$3,H$2,'Præsentationstabeller 1'!$C$2),0)</f>
        <v/>
      </c>
      <c r="I335" t="str" vm="8450">
        <f>IFERROR(CUBEVALUE("BIDB",$A335,I$3,I$2,'Præsentationstabeller 1'!$C$2),0)</f>
        <v/>
      </c>
      <c r="J335" t="str" vm="16383">
        <f>IFERROR(CUBEVALUE("BIDB",$A335,J$3,J$2,'Præsentationstabeller 1'!$C$2),0)</f>
        <v/>
      </c>
      <c r="K335" t="str" vm="10321">
        <f>IFERROR(CUBEVALUE("BIDB",$A335,K$3,K$2,'Præsentationstabeller 1'!$C$2),0)</f>
        <v/>
      </c>
      <c r="L335" t="str" vm="15382">
        <f>IFERROR(CUBEVALUE("BIDB",$A335,L$3,L$2,'Præsentationstabeller 1'!$C$2),0)</f>
        <v/>
      </c>
    </row>
    <row r="336" spans="1:12" x14ac:dyDescent="0.3">
      <c r="A336" s="123" t="str" vm="1000">
        <f>CUBEMEMBER("BIDB","[Dimittenddato].[Dimittenddato].&amp;[2010-07-27T00:00:00]")</f>
        <v>27-07-2010</v>
      </c>
      <c r="B336" t="str" vm="7884">
        <f>IFERROR(CUBEVALUE("BIDB",$A336,B$3,'Præsentationstabeller 1'!$C$2),0)</f>
        <v/>
      </c>
      <c r="C336" t="str" vm="14892">
        <f>IFERROR(CUBEVALUE("BIDB",$A336,C$3,C$2,'Præsentationstabeller 1'!$C$2),0)</f>
        <v/>
      </c>
      <c r="D336" vm="15902">
        <f>IFERROR(CUBEVALUE("BIDB",$A336,D$3,D$2,'Præsentationstabeller 1'!$C$2),0)</f>
        <v>0</v>
      </c>
      <c r="E336" vm="9251">
        <f>IFERROR(CUBEVALUE("BIDB",$A336,E$3,E$2,'Præsentationstabeller 1'!$C$2),0)</f>
        <v>1</v>
      </c>
      <c r="F336" t="str" vm="17054">
        <f>IFERROR(CUBEVALUE("BIDB",$A336,F$3,F$2,'Præsentationstabeller 1'!$C$2),0)</f>
        <v/>
      </c>
      <c r="G336" vm="15570">
        <f>IFERROR(CUBEVALUE("BIDB",$A336,G$3,G$2,'Præsentationstabeller 1'!$C$2),0)</f>
        <v>1</v>
      </c>
      <c r="H336" t="str" vm="14778">
        <f>IFERROR(CUBEVALUE("BIDB",$A336,H$3,H$2,'Præsentationstabeller 1'!$C$2),0)</f>
        <v/>
      </c>
      <c r="I336" t="str" vm="14817">
        <f>IFERROR(CUBEVALUE("BIDB",$A336,I$3,I$2,'Præsentationstabeller 1'!$C$2),0)</f>
        <v/>
      </c>
      <c r="J336" t="str" vm="16400">
        <f>IFERROR(CUBEVALUE("BIDB",$A336,J$3,J$2,'Præsentationstabeller 1'!$C$2),0)</f>
        <v/>
      </c>
      <c r="K336" t="str" vm="10414">
        <f>IFERROR(CUBEVALUE("BIDB",$A336,K$3,K$2,'Præsentationstabeller 1'!$C$2),0)</f>
        <v/>
      </c>
      <c r="L336" t="str" vm="7477">
        <f>IFERROR(CUBEVALUE("BIDB",$A336,L$3,L$2,'Præsentationstabeller 1'!$C$2),0)</f>
        <v/>
      </c>
    </row>
    <row r="337" spans="1:12" x14ac:dyDescent="0.3">
      <c r="A337" s="123" t="str" vm="999">
        <f>CUBEMEMBER("BIDB","[Dimittenddato].[Dimittenddato].&amp;[2010-07-28T00:00:00]")</f>
        <v>28-07-2010</v>
      </c>
      <c r="B337" t="str" vm="12929">
        <f>IFERROR(CUBEVALUE("BIDB",$A337,B$3,'Præsentationstabeller 1'!$C$2),0)</f>
        <v/>
      </c>
      <c r="C337" t="str" vm="16183">
        <f>IFERROR(CUBEVALUE("BIDB",$A337,C$3,C$2,'Præsentationstabeller 1'!$C$2),0)</f>
        <v/>
      </c>
      <c r="D337" t="str" vm="15460">
        <f>IFERROR(CUBEVALUE("BIDB",$A337,D$3,D$2,'Præsentationstabeller 1'!$C$2),0)</f>
        <v/>
      </c>
      <c r="E337" vm="14037">
        <f>IFERROR(CUBEVALUE("BIDB",$A337,E$3,E$2,'Præsentationstabeller 1'!$C$2),0)</f>
        <v>2</v>
      </c>
      <c r="F337" t="str" vm="7852">
        <f>IFERROR(CUBEVALUE("BIDB",$A337,F$3,F$2,'Præsentationstabeller 1'!$C$2),0)</f>
        <v/>
      </c>
      <c r="G337" vm="12708">
        <f>IFERROR(CUBEVALUE("BIDB",$A337,G$3,G$2,'Præsentationstabeller 1'!$C$2),0)</f>
        <v>2</v>
      </c>
      <c r="H337" t="str" vm="15079">
        <f>IFERROR(CUBEVALUE("BIDB",$A337,H$3,H$2,'Præsentationstabeller 1'!$C$2),0)</f>
        <v/>
      </c>
      <c r="I337" t="str" vm="14875">
        <f>IFERROR(CUBEVALUE("BIDB",$A337,I$3,I$2,'Præsentationstabeller 1'!$C$2),0)</f>
        <v/>
      </c>
      <c r="J337" t="str" vm="10348">
        <f>IFERROR(CUBEVALUE("BIDB",$A337,J$3,J$2,'Præsentationstabeller 1'!$C$2),0)</f>
        <v/>
      </c>
      <c r="K337" t="str" vm="13454">
        <f>IFERROR(CUBEVALUE("BIDB",$A337,K$3,K$2,'Præsentationstabeller 1'!$C$2),0)</f>
        <v/>
      </c>
      <c r="L337" t="str" vm="8095">
        <f>IFERROR(CUBEVALUE("BIDB",$A337,L$3,L$2,'Præsentationstabeller 1'!$C$2),0)</f>
        <v/>
      </c>
    </row>
    <row r="338" spans="1:12" x14ac:dyDescent="0.3">
      <c r="A338" s="123" t="str" vm="998">
        <f>CUBEMEMBER("BIDB","[Dimittenddato].[Dimittenddato].&amp;[2010-07-29T00:00:00]")</f>
        <v>29-07-2010</v>
      </c>
      <c r="B338" t="str" vm="12330">
        <f>IFERROR(CUBEVALUE("BIDB",$A338,B$3,'Præsentationstabeller 1'!$C$2),0)</f>
        <v/>
      </c>
      <c r="C338" t="str" vm="10409">
        <f>IFERROR(CUBEVALUE("BIDB",$A338,C$3,C$2,'Præsentationstabeller 1'!$C$2),0)</f>
        <v/>
      </c>
      <c r="D338" t="str" vm="12063">
        <f>IFERROR(CUBEVALUE("BIDB",$A338,D$3,D$2,'Præsentationstabeller 1'!$C$2),0)</f>
        <v/>
      </c>
      <c r="E338" vm="10654">
        <f>IFERROR(CUBEVALUE("BIDB",$A338,E$3,E$2,'Præsentationstabeller 1'!$C$2),0)</f>
        <v>1</v>
      </c>
      <c r="F338" t="str" vm="12033">
        <f>IFERROR(CUBEVALUE("BIDB",$A338,F$3,F$2,'Præsentationstabeller 1'!$C$2),0)</f>
        <v/>
      </c>
      <c r="G338" vm="13436">
        <f>IFERROR(CUBEVALUE("BIDB",$A338,G$3,G$2,'Præsentationstabeller 1'!$C$2),0)</f>
        <v>1</v>
      </c>
      <c r="H338" t="str" vm="10027">
        <f>IFERROR(CUBEVALUE("BIDB",$A338,H$3,H$2,'Præsentationstabeller 1'!$C$2),0)</f>
        <v/>
      </c>
      <c r="I338" t="str" vm="8965">
        <f>IFERROR(CUBEVALUE("BIDB",$A338,I$3,I$2,'Præsentationstabeller 1'!$C$2),0)</f>
        <v/>
      </c>
      <c r="J338" t="str" vm="9847">
        <f>IFERROR(CUBEVALUE("BIDB",$A338,J$3,J$2,'Præsentationstabeller 1'!$C$2),0)</f>
        <v/>
      </c>
      <c r="K338" t="str" vm="15527">
        <f>IFERROR(CUBEVALUE("BIDB",$A338,K$3,K$2,'Præsentationstabeller 1'!$C$2),0)</f>
        <v/>
      </c>
      <c r="L338" t="str" vm="10877">
        <f>IFERROR(CUBEVALUE("BIDB",$A338,L$3,L$2,'Præsentationstabeller 1'!$C$2),0)</f>
        <v/>
      </c>
    </row>
    <row r="339" spans="1:12" x14ac:dyDescent="0.3">
      <c r="A339" s="123" t="str" vm="997">
        <f>CUBEMEMBER("BIDB","[Dimittenddato].[Dimittenddato].&amp;[2010-07-30T00:00:00]")</f>
        <v>30-07-2010</v>
      </c>
      <c r="B339" t="str" vm="12526">
        <f>IFERROR(CUBEVALUE("BIDB",$A339,B$3,'Præsentationstabeller 1'!$C$2),0)</f>
        <v/>
      </c>
      <c r="C339" t="str" vm="10109">
        <f>IFERROR(CUBEVALUE("BIDB",$A339,C$3,C$2,'Præsentationstabeller 1'!$C$2),0)</f>
        <v/>
      </c>
      <c r="D339" t="str" vm="13110">
        <f>IFERROR(CUBEVALUE("BIDB",$A339,D$3,D$2,'Præsentationstabeller 1'!$C$2),0)</f>
        <v/>
      </c>
      <c r="E339" vm="9879">
        <f>IFERROR(CUBEVALUE("BIDB",$A339,E$3,E$2,'Præsentationstabeller 1'!$C$2),0)</f>
        <v>2</v>
      </c>
      <c r="F339" t="str" vm="11023">
        <f>IFERROR(CUBEVALUE("BIDB",$A339,F$3,F$2,'Præsentationstabeller 1'!$C$2),0)</f>
        <v/>
      </c>
      <c r="G339" vm="11894">
        <f>IFERROR(CUBEVALUE("BIDB",$A339,G$3,G$2,'Præsentationstabeller 1'!$C$2),0)</f>
        <v>2</v>
      </c>
      <c r="H339" t="str" vm="14427">
        <f>IFERROR(CUBEVALUE("BIDB",$A339,H$3,H$2,'Præsentationstabeller 1'!$C$2),0)</f>
        <v/>
      </c>
      <c r="I339" t="str" vm="8523">
        <f>IFERROR(CUBEVALUE("BIDB",$A339,I$3,I$2,'Præsentationstabeller 1'!$C$2),0)</f>
        <v/>
      </c>
      <c r="J339" t="str" vm="16514">
        <f>IFERROR(CUBEVALUE("BIDB",$A339,J$3,J$2,'Præsentationstabeller 1'!$C$2),0)</f>
        <v/>
      </c>
      <c r="K339" t="str" vm="15880">
        <f>IFERROR(CUBEVALUE("BIDB",$A339,K$3,K$2,'Præsentationstabeller 1'!$C$2),0)</f>
        <v/>
      </c>
      <c r="L339" t="str" vm="14770">
        <f>IFERROR(CUBEVALUE("BIDB",$A339,L$3,L$2,'Præsentationstabeller 1'!$C$2),0)</f>
        <v/>
      </c>
    </row>
    <row r="340" spans="1:12" x14ac:dyDescent="0.3">
      <c r="A340" s="123" t="str" vm="996">
        <f>CUBEMEMBER("BIDB","[Dimittenddato].[Dimittenddato].&amp;[2010-07-31T00:00:00]")</f>
        <v>31-07-2010</v>
      </c>
      <c r="B340" t="str" vm="8999">
        <f>IFERROR(CUBEVALUE("BIDB",$A340,B$3,'Præsentationstabeller 1'!$C$2),0)</f>
        <v/>
      </c>
      <c r="C340" t="str" vm="16378">
        <f>IFERROR(CUBEVALUE("BIDB",$A340,C$3,C$2,'Præsentationstabeller 1'!$C$2),0)</f>
        <v/>
      </c>
      <c r="D340" vm="14622">
        <f>IFERROR(CUBEVALUE("BIDB",$A340,D$3,D$2,'Præsentationstabeller 1'!$C$2),0)</f>
        <v>1</v>
      </c>
      <c r="E340" vm="15468">
        <f>IFERROR(CUBEVALUE("BIDB",$A340,E$3,E$2,'Præsentationstabeller 1'!$C$2),0)</f>
        <v>1</v>
      </c>
      <c r="F340" vm="12827">
        <f>IFERROR(CUBEVALUE("BIDB",$A340,F$3,F$2,'Præsentationstabeller 1'!$C$2),0)</f>
        <v>1</v>
      </c>
      <c r="G340" vm="15011">
        <f>IFERROR(CUBEVALUE("BIDB",$A340,G$3,G$2,'Præsentationstabeller 1'!$C$2),0)</f>
        <v>2</v>
      </c>
      <c r="H340" t="str" vm="17137">
        <f>IFERROR(CUBEVALUE("BIDB",$A340,H$3,H$2,'Præsentationstabeller 1'!$C$2),0)</f>
        <v/>
      </c>
      <c r="I340" t="str" vm="13778">
        <f>IFERROR(CUBEVALUE("BIDB",$A340,I$3,I$2,'Præsentationstabeller 1'!$C$2),0)</f>
        <v/>
      </c>
      <c r="J340" t="str" vm="10667">
        <f>IFERROR(CUBEVALUE("BIDB",$A340,J$3,J$2,'Præsentationstabeller 1'!$C$2),0)</f>
        <v/>
      </c>
      <c r="K340" t="str" vm="15236">
        <f>IFERROR(CUBEVALUE("BIDB",$A340,K$3,K$2,'Præsentationstabeller 1'!$C$2),0)</f>
        <v/>
      </c>
      <c r="L340" t="str" vm="15908">
        <f>IFERROR(CUBEVALUE("BIDB",$A340,L$3,L$2,'Præsentationstabeller 1'!$C$2),0)</f>
        <v/>
      </c>
    </row>
    <row r="341" spans="1:12" x14ac:dyDescent="0.3">
      <c r="A341" s="123" t="str" vm="995">
        <f>CUBEMEMBER("BIDB","[Dimittenddato].[Dimittenddato].&amp;[2010-08-01T00:00:00]")</f>
        <v>01-08-2010</v>
      </c>
      <c r="B341" t="str" vm="13158">
        <f>IFERROR(CUBEVALUE("BIDB",$A341,B$3,'Præsentationstabeller 1'!$C$2),0)</f>
        <v/>
      </c>
      <c r="C341" t="str" vm="13691">
        <f>IFERROR(CUBEVALUE("BIDB",$A341,C$3,C$2,'Præsentationstabeller 1'!$C$2),0)</f>
        <v/>
      </c>
      <c r="D341" vm="15030">
        <f>IFERROR(CUBEVALUE("BIDB",$A341,D$3,D$2,'Præsentationstabeller 1'!$C$2),0)</f>
        <v>1</v>
      </c>
      <c r="E341" t="str" vm="10248">
        <f>IFERROR(CUBEVALUE("BIDB",$A341,E$3,E$2,'Præsentationstabeller 1'!$C$2),0)</f>
        <v/>
      </c>
      <c r="F341" vm="16511">
        <f>IFERROR(CUBEVALUE("BIDB",$A341,F$3,F$2,'Præsentationstabeller 1'!$C$2),0)</f>
        <v>1</v>
      </c>
      <c r="G341" vm="12298">
        <f>IFERROR(CUBEVALUE("BIDB",$A341,G$3,G$2,'Præsentationstabeller 1'!$C$2),0)</f>
        <v>1</v>
      </c>
      <c r="H341" t="str" vm="15896">
        <f>IFERROR(CUBEVALUE("BIDB",$A341,H$3,H$2,'Præsentationstabeller 1'!$C$2),0)</f>
        <v/>
      </c>
      <c r="I341" t="str" vm="12730">
        <f>IFERROR(CUBEVALUE("BIDB",$A341,I$3,I$2,'Præsentationstabeller 1'!$C$2),0)</f>
        <v/>
      </c>
      <c r="J341" t="str" vm="9495">
        <f>IFERROR(CUBEVALUE("BIDB",$A341,J$3,J$2,'Præsentationstabeller 1'!$C$2),0)</f>
        <v/>
      </c>
      <c r="K341" t="str" vm="16420">
        <f>IFERROR(CUBEVALUE("BIDB",$A341,K$3,K$2,'Præsentationstabeller 1'!$C$2),0)</f>
        <v/>
      </c>
      <c r="L341" t="str" vm="12265">
        <f>IFERROR(CUBEVALUE("BIDB",$A341,L$3,L$2,'Præsentationstabeller 1'!$C$2),0)</f>
        <v/>
      </c>
    </row>
    <row r="342" spans="1:12" x14ac:dyDescent="0.3">
      <c r="A342" s="123" t="str" vm="994">
        <f>CUBEMEMBER("BIDB","[Dimittenddato].[Dimittenddato].&amp;[2010-08-02T00:00:00]")</f>
        <v>02-08-2010</v>
      </c>
      <c r="B342" t="str" vm="9813">
        <f>IFERROR(CUBEVALUE("BIDB",$A342,B$3,'Præsentationstabeller 1'!$C$2),0)</f>
        <v/>
      </c>
      <c r="C342" t="str" vm="10223">
        <f>IFERROR(CUBEVALUE("BIDB",$A342,C$3,C$2,'Præsentationstabeller 1'!$C$2),0)</f>
        <v/>
      </c>
      <c r="D342" vm="13095">
        <f>IFERROR(CUBEVALUE("BIDB",$A342,D$3,D$2,'Præsentationstabeller 1'!$C$2),0)</f>
        <v>2</v>
      </c>
      <c r="E342" t="str" vm="8420">
        <f>IFERROR(CUBEVALUE("BIDB",$A342,E$3,E$2,'Præsentationstabeller 1'!$C$2),0)</f>
        <v/>
      </c>
      <c r="F342" vm="10993">
        <f>IFERROR(CUBEVALUE("BIDB",$A342,F$3,F$2,'Præsentationstabeller 1'!$C$2),0)</f>
        <v>2</v>
      </c>
      <c r="G342" vm="15337">
        <f>IFERROR(CUBEVALUE("BIDB",$A342,G$3,G$2,'Præsentationstabeller 1'!$C$2),0)</f>
        <v>2</v>
      </c>
      <c r="H342" t="str" vm="11315">
        <f>IFERROR(CUBEVALUE("BIDB",$A342,H$3,H$2,'Præsentationstabeller 1'!$C$2),0)</f>
        <v/>
      </c>
      <c r="I342" t="str" vm="11614">
        <f>IFERROR(CUBEVALUE("BIDB",$A342,I$3,I$2,'Præsentationstabeller 1'!$C$2),0)</f>
        <v/>
      </c>
      <c r="J342" t="str" vm="8167">
        <f>IFERROR(CUBEVALUE("BIDB",$A342,J$3,J$2,'Præsentationstabeller 1'!$C$2),0)</f>
        <v/>
      </c>
      <c r="K342" t="str" vm="14399">
        <f>IFERROR(CUBEVALUE("BIDB",$A342,K$3,K$2,'Præsentationstabeller 1'!$C$2),0)</f>
        <v/>
      </c>
      <c r="L342" t="str" vm="16880">
        <f>IFERROR(CUBEVALUE("BIDB",$A342,L$3,L$2,'Præsentationstabeller 1'!$C$2),0)</f>
        <v/>
      </c>
    </row>
    <row r="343" spans="1:12" x14ac:dyDescent="0.3">
      <c r="A343" s="123" t="str" vm="993">
        <f>CUBEMEMBER("BIDB","[Dimittenddato].[Dimittenddato].&amp;[2010-08-03T00:00:00]")</f>
        <v>03-08-2010</v>
      </c>
      <c r="B343" t="str" vm="16515">
        <f>IFERROR(CUBEVALUE("BIDB",$A343,B$3,'Præsentationstabeller 1'!$C$2),0)</f>
        <v/>
      </c>
      <c r="C343" t="str" vm="14702">
        <f>IFERROR(CUBEVALUE("BIDB",$A343,C$3,C$2,'Præsentationstabeller 1'!$C$2),0)</f>
        <v/>
      </c>
      <c r="D343" t="str" vm="9778">
        <f>IFERROR(CUBEVALUE("BIDB",$A343,D$3,D$2,'Præsentationstabeller 1'!$C$2),0)</f>
        <v/>
      </c>
      <c r="E343" vm="15629">
        <f>IFERROR(CUBEVALUE("BIDB",$A343,E$3,E$2,'Præsentationstabeller 1'!$C$2),0)</f>
        <v>1</v>
      </c>
      <c r="F343" t="str" vm="10716">
        <f>IFERROR(CUBEVALUE("BIDB",$A343,F$3,F$2,'Præsentationstabeller 1'!$C$2),0)</f>
        <v/>
      </c>
      <c r="G343" vm="15712">
        <f>IFERROR(CUBEVALUE("BIDB",$A343,G$3,G$2,'Præsentationstabeller 1'!$C$2),0)</f>
        <v>1</v>
      </c>
      <c r="H343" t="str" vm="13658">
        <f>IFERROR(CUBEVALUE("BIDB",$A343,H$3,H$2,'Præsentationstabeller 1'!$C$2),0)</f>
        <v/>
      </c>
      <c r="I343" t="str" vm="7235">
        <f>IFERROR(CUBEVALUE("BIDB",$A343,I$3,I$2,'Præsentationstabeller 1'!$C$2),0)</f>
        <v/>
      </c>
      <c r="J343" t="str" vm="16513">
        <f>IFERROR(CUBEVALUE("BIDB",$A343,J$3,J$2,'Præsentationstabeller 1'!$C$2),0)</f>
        <v/>
      </c>
      <c r="K343" t="str" vm="16656">
        <f>IFERROR(CUBEVALUE("BIDB",$A343,K$3,K$2,'Præsentationstabeller 1'!$C$2),0)</f>
        <v/>
      </c>
      <c r="L343" t="str" vm="13386">
        <f>IFERROR(CUBEVALUE("BIDB",$A343,L$3,L$2,'Præsentationstabeller 1'!$C$2),0)</f>
        <v/>
      </c>
    </row>
    <row r="344" spans="1:12" x14ac:dyDescent="0.3">
      <c r="A344" s="123" t="str" vm="992">
        <f>CUBEMEMBER("BIDB","[Dimittenddato].[Dimittenddato].&amp;[2010-08-04T00:00:00]")</f>
        <v>04-08-2010</v>
      </c>
      <c r="B344" t="str" vm="8468">
        <f>IFERROR(CUBEVALUE("BIDB",$A344,B$3,'Præsentationstabeller 1'!$C$2),0)</f>
        <v/>
      </c>
      <c r="C344" t="str" vm="10941">
        <f>IFERROR(CUBEVALUE("BIDB",$A344,C$3,C$2,'Præsentationstabeller 1'!$C$2),0)</f>
        <v/>
      </c>
      <c r="D344" t="str" vm="14820">
        <f>IFERROR(CUBEVALUE("BIDB",$A344,D$3,D$2,'Præsentationstabeller 1'!$C$2),0)</f>
        <v/>
      </c>
      <c r="E344" t="str" vm="10568">
        <f>IFERROR(CUBEVALUE("BIDB",$A344,E$3,E$2,'Præsentationstabeller 1'!$C$2),0)</f>
        <v/>
      </c>
      <c r="F344" t="str" vm="10292">
        <f>IFERROR(CUBEVALUE("BIDB",$A344,F$3,F$2,'Præsentationstabeller 1'!$C$2),0)</f>
        <v/>
      </c>
      <c r="G344" t="str" vm="14657">
        <f>IFERROR(CUBEVALUE("BIDB",$A344,G$3,G$2,'Præsentationstabeller 1'!$C$2),0)</f>
        <v/>
      </c>
      <c r="H344" t="str" vm="15083">
        <f>IFERROR(CUBEVALUE("BIDB",$A344,H$3,H$2,'Præsentationstabeller 1'!$C$2),0)</f>
        <v/>
      </c>
      <c r="I344" t="str" vm="13256">
        <f>IFERROR(CUBEVALUE("BIDB",$A344,I$3,I$2,'Præsentationstabeller 1'!$C$2),0)</f>
        <v/>
      </c>
      <c r="J344" t="str" vm="10611">
        <f>IFERROR(CUBEVALUE("BIDB",$A344,J$3,J$2,'Præsentationstabeller 1'!$C$2),0)</f>
        <v/>
      </c>
      <c r="K344" t="str" vm="15448">
        <f>IFERROR(CUBEVALUE("BIDB",$A344,K$3,K$2,'Præsentationstabeller 1'!$C$2),0)</f>
        <v/>
      </c>
      <c r="L344" t="str" vm="7098">
        <f>IFERROR(CUBEVALUE("BIDB",$A344,L$3,L$2,'Præsentationstabeller 1'!$C$2),0)</f>
        <v/>
      </c>
    </row>
    <row r="345" spans="1:12" x14ac:dyDescent="0.3">
      <c r="A345" s="123" t="str" vm="991">
        <f>CUBEMEMBER("BIDB","[Dimittenddato].[Dimittenddato].&amp;[2010-08-05T00:00:00]")</f>
        <v>05-08-2010</v>
      </c>
      <c r="B345" t="str" vm="14105">
        <f>IFERROR(CUBEVALUE("BIDB",$A345,B$3,'Præsentationstabeller 1'!$C$2),0)</f>
        <v/>
      </c>
      <c r="C345" vm="13895">
        <f>IFERROR(CUBEVALUE("BIDB",$A345,C$3,C$2,'Præsentationstabeller 1'!$C$2),0)</f>
        <v>1</v>
      </c>
      <c r="D345" t="str" vm="11727">
        <f>IFERROR(CUBEVALUE("BIDB",$A345,D$3,D$2,'Præsentationstabeller 1'!$C$2),0)</f>
        <v/>
      </c>
      <c r="E345" t="str" vm="14575">
        <f>IFERROR(CUBEVALUE("BIDB",$A345,E$3,E$2,'Præsentationstabeller 1'!$C$2),0)</f>
        <v/>
      </c>
      <c r="F345" vm="8064">
        <f>IFERROR(CUBEVALUE("BIDB",$A345,F$3,F$2,'Præsentationstabeller 1'!$C$2),0)</f>
        <v>0</v>
      </c>
      <c r="G345" vm="10592">
        <f>IFERROR(CUBEVALUE("BIDB",$A345,G$3,G$2,'Præsentationstabeller 1'!$C$2),0)</f>
        <v>0</v>
      </c>
      <c r="H345" vm="14515">
        <f>IFERROR(CUBEVALUE("BIDB",$A345,H$3,H$2,'Præsentationstabeller 1'!$C$2),0)</f>
        <v>0.6</v>
      </c>
      <c r="I345" t="str" vm="12274">
        <f>IFERROR(CUBEVALUE("BIDB",$A345,I$3,I$2,'Præsentationstabeller 1'!$C$2),0)</f>
        <v/>
      </c>
      <c r="J345" t="str" vm="9188">
        <f>IFERROR(CUBEVALUE("BIDB",$A345,J$3,J$2,'Præsentationstabeller 1'!$C$2),0)</f>
        <v/>
      </c>
      <c r="K345" t="str" vm="14772">
        <f>IFERROR(CUBEVALUE("BIDB",$A345,K$3,K$2,'Præsentationstabeller 1'!$C$2),0)</f>
        <v/>
      </c>
      <c r="L345" t="str" vm="10559">
        <f>IFERROR(CUBEVALUE("BIDB",$A345,L$3,L$2,'Præsentationstabeller 1'!$C$2),0)</f>
        <v/>
      </c>
    </row>
    <row r="346" spans="1:12" x14ac:dyDescent="0.3">
      <c r="A346" s="123" t="str" vm="990">
        <f>CUBEMEMBER("BIDB","[Dimittenddato].[Dimittenddato].&amp;[2010-08-06T00:00:00]")</f>
        <v>06-08-2010</v>
      </c>
      <c r="B346" t="str" vm="12456">
        <f>IFERROR(CUBEVALUE("BIDB",$A346,B$3,'Præsentationstabeller 1'!$C$2),0)</f>
        <v/>
      </c>
      <c r="C346" t="str" vm="9320">
        <f>IFERROR(CUBEVALUE("BIDB",$A346,C$3,C$2,'Præsentationstabeller 1'!$C$2),0)</f>
        <v/>
      </c>
      <c r="D346" vm="13419">
        <f>IFERROR(CUBEVALUE("BIDB",$A346,D$3,D$2,'Præsentationstabeller 1'!$C$2),0)</f>
        <v>0</v>
      </c>
      <c r="E346" vm="6330">
        <f>IFERROR(CUBEVALUE("BIDB",$A346,E$3,E$2,'Præsentationstabeller 1'!$C$2),0)</f>
        <v>8</v>
      </c>
      <c r="F346" vm="10262">
        <f>IFERROR(CUBEVALUE("BIDB",$A346,F$3,F$2,'Præsentationstabeller 1'!$C$2),0)</f>
        <v>1</v>
      </c>
      <c r="G346" vm="13645">
        <f>IFERROR(CUBEVALUE("BIDB",$A346,G$3,G$2,'Præsentationstabeller 1'!$C$2),0)</f>
        <v>9</v>
      </c>
      <c r="H346" t="str" vm="11928">
        <f>IFERROR(CUBEVALUE("BIDB",$A346,H$3,H$2,'Præsentationstabeller 1'!$C$2),0)</f>
        <v/>
      </c>
      <c r="I346" t="str" vm="11065">
        <f>IFERROR(CUBEVALUE("BIDB",$A346,I$3,I$2,'Præsentationstabeller 1'!$C$2),0)</f>
        <v/>
      </c>
      <c r="J346" t="str" vm="9643">
        <f>IFERROR(CUBEVALUE("BIDB",$A346,J$3,J$2,'Præsentationstabeller 1'!$C$2),0)</f>
        <v/>
      </c>
      <c r="K346" t="str" vm="13387">
        <f>IFERROR(CUBEVALUE("BIDB",$A346,K$3,K$2,'Præsentationstabeller 1'!$C$2),0)</f>
        <v/>
      </c>
      <c r="L346" t="str" vm="9667">
        <f>IFERROR(CUBEVALUE("BIDB",$A346,L$3,L$2,'Præsentationstabeller 1'!$C$2),0)</f>
        <v/>
      </c>
    </row>
    <row r="347" spans="1:12" x14ac:dyDescent="0.3">
      <c r="A347" s="123" t="str" vm="989">
        <f>CUBEMEMBER("BIDB","[Dimittenddato].[Dimittenddato].&amp;[2010-08-07T00:00:00]")</f>
        <v>07-08-2010</v>
      </c>
      <c r="B347" t="str" vm="11238">
        <f>IFERROR(CUBEVALUE("BIDB",$A347,B$3,'Præsentationstabeller 1'!$C$2),0)</f>
        <v/>
      </c>
      <c r="C347" t="str" vm="17009">
        <f>IFERROR(CUBEVALUE("BIDB",$A347,C$3,C$2,'Præsentationstabeller 1'!$C$2),0)</f>
        <v/>
      </c>
      <c r="D347" t="str" vm="11044">
        <f>IFERROR(CUBEVALUE("BIDB",$A347,D$3,D$2,'Præsentationstabeller 1'!$C$2),0)</f>
        <v/>
      </c>
      <c r="E347" t="str" vm="14448">
        <f>IFERROR(CUBEVALUE("BIDB",$A347,E$3,E$2,'Præsentationstabeller 1'!$C$2),0)</f>
        <v/>
      </c>
      <c r="F347" t="str" vm="13994">
        <f>IFERROR(CUBEVALUE("BIDB",$A347,F$3,F$2,'Præsentationstabeller 1'!$C$2),0)</f>
        <v/>
      </c>
      <c r="G347" t="str" vm="14386">
        <f>IFERROR(CUBEVALUE("BIDB",$A347,G$3,G$2,'Præsentationstabeller 1'!$C$2),0)</f>
        <v/>
      </c>
      <c r="H347" t="str" vm="15942">
        <f>IFERROR(CUBEVALUE("BIDB",$A347,H$3,H$2,'Præsentationstabeller 1'!$C$2),0)</f>
        <v/>
      </c>
      <c r="I347" t="str" vm="14096">
        <f>IFERROR(CUBEVALUE("BIDB",$A347,I$3,I$2,'Præsentationstabeller 1'!$C$2),0)</f>
        <v/>
      </c>
      <c r="J347" t="str" vm="14340">
        <f>IFERROR(CUBEVALUE("BIDB",$A347,J$3,J$2,'Præsentationstabeller 1'!$C$2),0)</f>
        <v/>
      </c>
      <c r="K347" t="str" vm="15532">
        <f>IFERROR(CUBEVALUE("BIDB",$A347,K$3,K$2,'Præsentationstabeller 1'!$C$2),0)</f>
        <v/>
      </c>
      <c r="L347" t="str" vm="17129">
        <f>IFERROR(CUBEVALUE("BIDB",$A347,L$3,L$2,'Præsentationstabeller 1'!$C$2),0)</f>
        <v/>
      </c>
    </row>
    <row r="348" spans="1:12" x14ac:dyDescent="0.3">
      <c r="A348" s="123" t="str" vm="988">
        <f>CUBEMEMBER("BIDB","[Dimittenddato].[Dimittenddato].&amp;[2010-08-08T00:00:00]")</f>
        <v>08-08-2010</v>
      </c>
      <c r="B348" t="str" vm="7961">
        <f>IFERROR(CUBEVALUE("BIDB",$A348,B$3,'Præsentationstabeller 1'!$C$2),0)</f>
        <v/>
      </c>
      <c r="C348" t="str" vm="13967">
        <f>IFERROR(CUBEVALUE("BIDB",$A348,C$3,C$2,'Præsentationstabeller 1'!$C$2),0)</f>
        <v/>
      </c>
      <c r="D348" t="str" vm="13255">
        <f>IFERROR(CUBEVALUE("BIDB",$A348,D$3,D$2,'Præsentationstabeller 1'!$C$2),0)</f>
        <v/>
      </c>
      <c r="E348" t="str" vm="12716">
        <f>IFERROR(CUBEVALUE("BIDB",$A348,E$3,E$2,'Præsentationstabeller 1'!$C$2),0)</f>
        <v/>
      </c>
      <c r="F348" t="str" vm="8579">
        <f>IFERROR(CUBEVALUE("BIDB",$A348,F$3,F$2,'Præsentationstabeller 1'!$C$2),0)</f>
        <v/>
      </c>
      <c r="G348" t="str" vm="15941">
        <f>IFERROR(CUBEVALUE("BIDB",$A348,G$3,G$2,'Præsentationstabeller 1'!$C$2),0)</f>
        <v/>
      </c>
      <c r="H348" t="str" vm="10981">
        <f>IFERROR(CUBEVALUE("BIDB",$A348,H$3,H$2,'Præsentationstabeller 1'!$C$2),0)</f>
        <v/>
      </c>
      <c r="I348" t="str" vm="12356">
        <f>IFERROR(CUBEVALUE("BIDB",$A348,I$3,I$2,'Præsentationstabeller 1'!$C$2),0)</f>
        <v/>
      </c>
      <c r="J348" t="str" vm="9358">
        <f>IFERROR(CUBEVALUE("BIDB",$A348,J$3,J$2,'Præsentationstabeller 1'!$C$2),0)</f>
        <v/>
      </c>
      <c r="K348" t="str" vm="16322">
        <f>IFERROR(CUBEVALUE("BIDB",$A348,K$3,K$2,'Præsentationstabeller 1'!$C$2),0)</f>
        <v/>
      </c>
      <c r="L348" t="str" vm="7446">
        <f>IFERROR(CUBEVALUE("BIDB",$A348,L$3,L$2,'Præsentationstabeller 1'!$C$2),0)</f>
        <v/>
      </c>
    </row>
    <row r="349" spans="1:12" x14ac:dyDescent="0.3">
      <c r="A349" s="123" t="str" vm="987">
        <f>CUBEMEMBER("BIDB","[Dimittenddato].[Dimittenddato].&amp;[2010-08-09T00:00:00]")</f>
        <v>09-08-2010</v>
      </c>
      <c r="B349" t="str" vm="14102">
        <f>IFERROR(CUBEVALUE("BIDB",$A349,B$3,'Præsentationstabeller 1'!$C$2),0)</f>
        <v/>
      </c>
      <c r="C349" t="str" vm="13430">
        <f>IFERROR(CUBEVALUE("BIDB",$A349,C$3,C$2,'Præsentationstabeller 1'!$C$2),0)</f>
        <v/>
      </c>
      <c r="D349" vm="13670">
        <f>IFERROR(CUBEVALUE("BIDB",$A349,D$3,D$2,'Præsentationstabeller 1'!$C$2),0)</f>
        <v>1</v>
      </c>
      <c r="E349" t="str" vm="9855">
        <f>IFERROR(CUBEVALUE("BIDB",$A349,E$3,E$2,'Præsentationstabeller 1'!$C$2),0)</f>
        <v/>
      </c>
      <c r="F349" t="str" vm="7395">
        <f>IFERROR(CUBEVALUE("BIDB",$A349,F$3,F$2,'Præsentationstabeller 1'!$C$2),0)</f>
        <v/>
      </c>
      <c r="G349" t="str" vm="10617">
        <f>IFERROR(CUBEVALUE("BIDB",$A349,G$3,G$2,'Præsentationstabeller 1'!$C$2),0)</f>
        <v/>
      </c>
      <c r="H349" t="str" vm="12955">
        <f>IFERROR(CUBEVALUE("BIDB",$A349,H$3,H$2,'Præsentationstabeller 1'!$C$2),0)</f>
        <v/>
      </c>
      <c r="I349" t="str" vm="9968">
        <f>IFERROR(CUBEVALUE("BIDB",$A349,I$3,I$2,'Præsentationstabeller 1'!$C$2),0)</f>
        <v/>
      </c>
      <c r="J349" t="str" vm="16221">
        <f>IFERROR(CUBEVALUE("BIDB",$A349,J$3,J$2,'Præsentationstabeller 1'!$C$2),0)</f>
        <v/>
      </c>
      <c r="K349" t="str" vm="11145">
        <f>IFERROR(CUBEVALUE("BIDB",$A349,K$3,K$2,'Præsentationstabeller 1'!$C$2),0)</f>
        <v/>
      </c>
      <c r="L349" t="str" vm="10116">
        <f>IFERROR(CUBEVALUE("BIDB",$A349,L$3,L$2,'Præsentationstabeller 1'!$C$2),0)</f>
        <v/>
      </c>
    </row>
    <row r="350" spans="1:12" x14ac:dyDescent="0.3">
      <c r="A350" s="123" t="str" vm="986">
        <f>CUBEMEMBER("BIDB","[Dimittenddato].[Dimittenddato].&amp;[2010-08-10T00:00:00]")</f>
        <v>10-08-2010</v>
      </c>
      <c r="B350" t="str" vm="11506">
        <f>IFERROR(CUBEVALUE("BIDB",$A350,B$3,'Præsentationstabeller 1'!$C$2),0)</f>
        <v/>
      </c>
      <c r="C350" t="str" vm="12998">
        <f>IFERROR(CUBEVALUE("BIDB",$A350,C$3,C$2,'Præsentationstabeller 1'!$C$2),0)</f>
        <v/>
      </c>
      <c r="D350" vm="12921">
        <f>IFERROR(CUBEVALUE("BIDB",$A350,D$3,D$2,'Præsentationstabeller 1'!$C$2),0)</f>
        <v>2</v>
      </c>
      <c r="E350" vm="12308">
        <f>IFERROR(CUBEVALUE("BIDB",$A350,E$3,E$2,'Præsentationstabeller 1'!$C$2),0)</f>
        <v>3</v>
      </c>
      <c r="F350" vm="13825">
        <f>IFERROR(CUBEVALUE("BIDB",$A350,F$3,F$2,'Præsentationstabeller 1'!$C$2),0)</f>
        <v>2</v>
      </c>
      <c r="G350" vm="13839">
        <f>IFERROR(CUBEVALUE("BIDB",$A350,G$3,G$2,'Præsentationstabeller 1'!$C$2),0)</f>
        <v>5</v>
      </c>
      <c r="H350" t="str" vm="14029">
        <f>IFERROR(CUBEVALUE("BIDB",$A350,H$3,H$2,'Præsentationstabeller 1'!$C$2),0)</f>
        <v/>
      </c>
      <c r="I350" t="str" vm="15646">
        <f>IFERROR(CUBEVALUE("BIDB",$A350,I$3,I$2,'Præsentationstabeller 1'!$C$2),0)</f>
        <v/>
      </c>
      <c r="J350" t="str" vm="7363">
        <f>IFERROR(CUBEVALUE("BIDB",$A350,J$3,J$2,'Præsentationstabeller 1'!$C$2),0)</f>
        <v/>
      </c>
      <c r="K350" t="str" vm="15227">
        <f>IFERROR(CUBEVALUE("BIDB",$A350,K$3,K$2,'Præsentationstabeller 1'!$C$2),0)</f>
        <v/>
      </c>
      <c r="L350" t="str" vm="11768">
        <f>IFERROR(CUBEVALUE("BIDB",$A350,L$3,L$2,'Præsentationstabeller 1'!$C$2),0)</f>
        <v/>
      </c>
    </row>
    <row r="351" spans="1:12" x14ac:dyDescent="0.3">
      <c r="A351" s="123" t="str" vm="985">
        <f>CUBEMEMBER("BIDB","[Dimittenddato].[Dimittenddato].&amp;[2010-08-11T00:00:00]")</f>
        <v>11-08-2010</v>
      </c>
      <c r="B351" t="str" vm="8476">
        <f>IFERROR(CUBEVALUE("BIDB",$A351,B$3,'Præsentationstabeller 1'!$C$2),0)</f>
        <v/>
      </c>
      <c r="C351" t="str" vm="16011">
        <f>IFERROR(CUBEVALUE("BIDB",$A351,C$3,C$2,'Præsentationstabeller 1'!$C$2),0)</f>
        <v/>
      </c>
      <c r="D351" vm="12351">
        <f>IFERROR(CUBEVALUE("BIDB",$A351,D$3,D$2,'Præsentationstabeller 1'!$C$2),0)</f>
        <v>1</v>
      </c>
      <c r="E351" vm="11049">
        <f>IFERROR(CUBEVALUE("BIDB",$A351,E$3,E$2,'Præsentationstabeller 1'!$C$2),0)</f>
        <v>2</v>
      </c>
      <c r="F351" t="str" vm="11819">
        <f>IFERROR(CUBEVALUE("BIDB",$A351,F$3,F$2,'Præsentationstabeller 1'!$C$2),0)</f>
        <v/>
      </c>
      <c r="G351" vm="14707">
        <f>IFERROR(CUBEVALUE("BIDB",$A351,G$3,G$2,'Præsentationstabeller 1'!$C$2),0)</f>
        <v>2</v>
      </c>
      <c r="H351" t="str" vm="9628">
        <f>IFERROR(CUBEVALUE("BIDB",$A351,H$3,H$2,'Præsentationstabeller 1'!$C$2),0)</f>
        <v/>
      </c>
      <c r="I351" t="str" vm="11942">
        <f>IFERROR(CUBEVALUE("BIDB",$A351,I$3,I$2,'Præsentationstabeller 1'!$C$2),0)</f>
        <v/>
      </c>
      <c r="J351" vm="14626">
        <f>IFERROR(CUBEVALUE("BIDB",$A351,J$3,J$2,'Præsentationstabeller 1'!$C$2),0)</f>
        <v>0.8</v>
      </c>
      <c r="K351" t="str" vm="9524">
        <f>IFERROR(CUBEVALUE("BIDB",$A351,K$3,K$2,'Præsentationstabeller 1'!$C$2),0)</f>
        <v/>
      </c>
      <c r="L351" vm="15420">
        <f>IFERROR(CUBEVALUE("BIDB",$A351,L$3,L$2,'Præsentationstabeller 1'!$C$2),0)</f>
        <v>0.8</v>
      </c>
    </row>
    <row r="352" spans="1:12" x14ac:dyDescent="0.3">
      <c r="A352" s="123" t="str" vm="984">
        <f>CUBEMEMBER("BIDB","[Dimittenddato].[Dimittenddato].&amp;[2010-08-12T00:00:00]")</f>
        <v>12-08-2010</v>
      </c>
      <c r="B352" t="str" vm="8137">
        <f>IFERROR(CUBEVALUE("BIDB",$A352,B$3,'Præsentationstabeller 1'!$C$2),0)</f>
        <v/>
      </c>
      <c r="C352" t="str" vm="16533">
        <f>IFERROR(CUBEVALUE("BIDB",$A352,C$3,C$2,'Præsentationstabeller 1'!$C$2),0)</f>
        <v/>
      </c>
      <c r="D352" vm="13156">
        <f>IFERROR(CUBEVALUE("BIDB",$A352,D$3,D$2,'Præsentationstabeller 1'!$C$2),0)</f>
        <v>3</v>
      </c>
      <c r="E352" vm="10765">
        <f>IFERROR(CUBEVALUE("BIDB",$A352,E$3,E$2,'Præsentationstabeller 1'!$C$2),0)</f>
        <v>4</v>
      </c>
      <c r="F352" t="str" vm="15119">
        <f>IFERROR(CUBEVALUE("BIDB",$A352,F$3,F$2,'Præsentationstabeller 1'!$C$2),0)</f>
        <v/>
      </c>
      <c r="G352" vm="16506">
        <f>IFERROR(CUBEVALUE("BIDB",$A352,G$3,G$2,'Præsentationstabeller 1'!$C$2),0)</f>
        <v>4</v>
      </c>
      <c r="H352" t="str" vm="14162">
        <f>IFERROR(CUBEVALUE("BIDB",$A352,H$3,H$2,'Præsentationstabeller 1'!$C$2),0)</f>
        <v/>
      </c>
      <c r="I352" t="str" vm="12340">
        <f>IFERROR(CUBEVALUE("BIDB",$A352,I$3,I$2,'Præsentationstabeller 1'!$C$2),0)</f>
        <v/>
      </c>
      <c r="J352" t="str" vm="10512">
        <f>IFERROR(CUBEVALUE("BIDB",$A352,J$3,J$2,'Præsentationstabeller 1'!$C$2),0)</f>
        <v/>
      </c>
      <c r="K352" t="str" vm="13487">
        <f>IFERROR(CUBEVALUE("BIDB",$A352,K$3,K$2,'Præsentationstabeller 1'!$C$2),0)</f>
        <v/>
      </c>
      <c r="L352" t="str" vm="7580">
        <f>IFERROR(CUBEVALUE("BIDB",$A352,L$3,L$2,'Præsentationstabeller 1'!$C$2),0)</f>
        <v/>
      </c>
    </row>
    <row r="353" spans="1:12" x14ac:dyDescent="0.3">
      <c r="A353" s="123" t="str" vm="983">
        <f>CUBEMEMBER("BIDB","[Dimittenddato].[Dimittenddato].&amp;[2010-08-13T00:00:00]")</f>
        <v>13-08-2010</v>
      </c>
      <c r="B353" t="str" vm="11385">
        <f>IFERROR(CUBEVALUE("BIDB",$A353,B$3,'Præsentationstabeller 1'!$C$2),0)</f>
        <v/>
      </c>
      <c r="C353" t="str" vm="15166">
        <f>IFERROR(CUBEVALUE("BIDB",$A353,C$3,C$2,'Præsentationstabeller 1'!$C$2),0)</f>
        <v/>
      </c>
      <c r="D353" vm="14637">
        <f>IFERROR(CUBEVALUE("BIDB",$A353,D$3,D$2,'Præsentationstabeller 1'!$C$2),0)</f>
        <v>1</v>
      </c>
      <c r="E353" vm="11009">
        <f>IFERROR(CUBEVALUE("BIDB",$A353,E$3,E$2,'Præsentationstabeller 1'!$C$2),0)</f>
        <v>3</v>
      </c>
      <c r="F353" t="str" vm="8896">
        <f>IFERROR(CUBEVALUE("BIDB",$A353,F$3,F$2,'Præsentationstabeller 1'!$C$2),0)</f>
        <v/>
      </c>
      <c r="G353" vm="11197">
        <f>IFERROR(CUBEVALUE("BIDB",$A353,G$3,G$2,'Præsentationstabeller 1'!$C$2),0)</f>
        <v>3</v>
      </c>
      <c r="H353" t="str" vm="10032">
        <f>IFERROR(CUBEVALUE("BIDB",$A353,H$3,H$2,'Præsentationstabeller 1'!$C$2),0)</f>
        <v/>
      </c>
      <c r="I353" t="str" vm="13698">
        <f>IFERROR(CUBEVALUE("BIDB",$A353,I$3,I$2,'Præsentationstabeller 1'!$C$2),0)</f>
        <v/>
      </c>
      <c r="J353" t="str" vm="12316">
        <f>IFERROR(CUBEVALUE("BIDB",$A353,J$3,J$2,'Præsentationstabeller 1'!$C$2),0)</f>
        <v/>
      </c>
      <c r="K353" t="str" vm="13119">
        <f>IFERROR(CUBEVALUE("BIDB",$A353,K$3,K$2,'Præsentationstabeller 1'!$C$2),0)</f>
        <v/>
      </c>
      <c r="L353" t="str" vm="10707">
        <f>IFERROR(CUBEVALUE("BIDB",$A353,L$3,L$2,'Præsentationstabeller 1'!$C$2),0)</f>
        <v/>
      </c>
    </row>
    <row r="354" spans="1:12" x14ac:dyDescent="0.3">
      <c r="A354" s="123" t="str" vm="982">
        <f>CUBEMEMBER("BIDB","[Dimittenddato].[Dimittenddato].&amp;[2010-08-14T00:00:00]")</f>
        <v>14-08-2010</v>
      </c>
      <c r="B354" t="str" vm="11972">
        <f>IFERROR(CUBEVALUE("BIDB",$A354,B$3,'Præsentationstabeller 1'!$C$2),0)</f>
        <v/>
      </c>
      <c r="C354" t="str" vm="14212">
        <f>IFERROR(CUBEVALUE("BIDB",$A354,C$3,C$2,'Præsentationstabeller 1'!$C$2),0)</f>
        <v/>
      </c>
      <c r="D354" t="str" vm="16874">
        <f>IFERROR(CUBEVALUE("BIDB",$A354,D$3,D$2,'Præsentationstabeller 1'!$C$2),0)</f>
        <v/>
      </c>
      <c r="E354" t="str" vm="7678">
        <f>IFERROR(CUBEVALUE("BIDB",$A354,E$3,E$2,'Præsentationstabeller 1'!$C$2),0)</f>
        <v/>
      </c>
      <c r="F354" t="str" vm="15411">
        <f>IFERROR(CUBEVALUE("BIDB",$A354,F$3,F$2,'Præsentationstabeller 1'!$C$2),0)</f>
        <v/>
      </c>
      <c r="G354" t="str" vm="15914">
        <f>IFERROR(CUBEVALUE("BIDB",$A354,G$3,G$2,'Præsentationstabeller 1'!$C$2),0)</f>
        <v/>
      </c>
      <c r="H354" t="str" vm="11960">
        <f>IFERROR(CUBEVALUE("BIDB",$A354,H$3,H$2,'Præsentationstabeller 1'!$C$2),0)</f>
        <v/>
      </c>
      <c r="I354" t="str" vm="9657">
        <f>IFERROR(CUBEVALUE("BIDB",$A354,I$3,I$2,'Præsentationstabeller 1'!$C$2),0)</f>
        <v/>
      </c>
      <c r="J354" t="str" vm="11001">
        <f>IFERROR(CUBEVALUE("BIDB",$A354,J$3,J$2,'Præsentationstabeller 1'!$C$2),0)</f>
        <v/>
      </c>
      <c r="K354" t="str" vm="11485">
        <f>IFERROR(CUBEVALUE("BIDB",$A354,K$3,K$2,'Præsentationstabeller 1'!$C$2),0)</f>
        <v/>
      </c>
      <c r="L354" t="str" vm="10080">
        <f>IFERROR(CUBEVALUE("BIDB",$A354,L$3,L$2,'Præsentationstabeller 1'!$C$2),0)</f>
        <v/>
      </c>
    </row>
    <row r="355" spans="1:12" x14ac:dyDescent="0.3">
      <c r="A355" s="123" t="str" vm="981">
        <f>CUBEMEMBER("BIDB","[Dimittenddato].[Dimittenddato].&amp;[2010-08-15T00:00:00]")</f>
        <v>15-08-2010</v>
      </c>
      <c r="B355" t="str" vm="15566">
        <f>IFERROR(CUBEVALUE("BIDB",$A355,B$3,'Præsentationstabeller 1'!$C$2),0)</f>
        <v/>
      </c>
      <c r="C355" t="str" vm="13002">
        <f>IFERROR(CUBEVALUE("BIDB",$A355,C$3,C$2,'Præsentationstabeller 1'!$C$2),0)</f>
        <v/>
      </c>
      <c r="D355" t="str" vm="11510">
        <f>IFERROR(CUBEVALUE("BIDB",$A355,D$3,D$2,'Præsentationstabeller 1'!$C$2),0)</f>
        <v/>
      </c>
      <c r="E355" vm="11033">
        <f>IFERROR(CUBEVALUE("BIDB",$A355,E$3,E$2,'Præsentationstabeller 1'!$C$2),0)</f>
        <v>1</v>
      </c>
      <c r="F355" t="str" vm="9302">
        <f>IFERROR(CUBEVALUE("BIDB",$A355,F$3,F$2,'Præsentationstabeller 1'!$C$2),0)</f>
        <v/>
      </c>
      <c r="G355" vm="11482">
        <f>IFERROR(CUBEVALUE("BIDB",$A355,G$3,G$2,'Præsentationstabeller 1'!$C$2),0)</f>
        <v>1</v>
      </c>
      <c r="H355" t="str" vm="15329">
        <f>IFERROR(CUBEVALUE("BIDB",$A355,H$3,H$2,'Præsentationstabeller 1'!$C$2),0)</f>
        <v/>
      </c>
      <c r="I355" t="str" vm="8034">
        <f>IFERROR(CUBEVALUE("BIDB",$A355,I$3,I$2,'Præsentationstabeller 1'!$C$2),0)</f>
        <v/>
      </c>
      <c r="J355" t="str" vm="9783">
        <f>IFERROR(CUBEVALUE("BIDB",$A355,J$3,J$2,'Præsentationstabeller 1'!$C$2),0)</f>
        <v/>
      </c>
      <c r="K355" t="str" vm="12856">
        <f>IFERROR(CUBEVALUE("BIDB",$A355,K$3,K$2,'Præsentationstabeller 1'!$C$2),0)</f>
        <v/>
      </c>
      <c r="L355" t="str" vm="11141">
        <f>IFERROR(CUBEVALUE("BIDB",$A355,L$3,L$2,'Præsentationstabeller 1'!$C$2),0)</f>
        <v/>
      </c>
    </row>
    <row r="356" spans="1:12" x14ac:dyDescent="0.3">
      <c r="A356" s="123" t="str" vm="980">
        <f>CUBEMEMBER("BIDB","[Dimittenddato].[Dimittenddato].&amp;[2010-08-16T00:00:00]")</f>
        <v>16-08-2010</v>
      </c>
      <c r="B356" t="str" vm="8701">
        <f>IFERROR(CUBEVALUE("BIDB",$A356,B$3,'Præsentationstabeller 1'!$C$2),0)</f>
        <v/>
      </c>
      <c r="C356" t="str" vm="15284">
        <f>IFERROR(CUBEVALUE("BIDB",$A356,C$3,C$2,'Præsentationstabeller 1'!$C$2),0)</f>
        <v/>
      </c>
      <c r="D356" vm="12029">
        <f>IFERROR(CUBEVALUE("BIDB",$A356,D$3,D$2,'Præsentationstabeller 1'!$C$2),0)</f>
        <v>1</v>
      </c>
      <c r="E356" vm="9401">
        <f>IFERROR(CUBEVALUE("BIDB",$A356,E$3,E$2,'Præsentationstabeller 1'!$C$2),0)</f>
        <v>6</v>
      </c>
      <c r="F356" vm="11704">
        <f>IFERROR(CUBEVALUE("BIDB",$A356,F$3,F$2,'Præsentationstabeller 1'!$C$2),0)</f>
        <v>1</v>
      </c>
      <c r="G356" vm="13279">
        <f>IFERROR(CUBEVALUE("BIDB",$A356,G$3,G$2,'Præsentationstabeller 1'!$C$2),0)</f>
        <v>7</v>
      </c>
      <c r="H356" t="str" vm="15569">
        <f>IFERROR(CUBEVALUE("BIDB",$A356,H$3,H$2,'Præsentationstabeller 1'!$C$2),0)</f>
        <v/>
      </c>
      <c r="I356" t="str" vm="17092">
        <f>IFERROR(CUBEVALUE("BIDB",$A356,I$3,I$2,'Præsentationstabeller 1'!$C$2),0)</f>
        <v/>
      </c>
      <c r="J356" t="str" vm="10205">
        <f>IFERROR(CUBEVALUE("BIDB",$A356,J$3,J$2,'Præsentationstabeller 1'!$C$2),0)</f>
        <v/>
      </c>
      <c r="K356" t="str" vm="9617">
        <f>IFERROR(CUBEVALUE("BIDB",$A356,K$3,K$2,'Præsentationstabeller 1'!$C$2),0)</f>
        <v/>
      </c>
      <c r="L356" t="str" vm="10757">
        <f>IFERROR(CUBEVALUE("BIDB",$A356,L$3,L$2,'Præsentationstabeller 1'!$C$2),0)</f>
        <v/>
      </c>
    </row>
    <row r="357" spans="1:12" x14ac:dyDescent="0.3">
      <c r="A357" s="123" t="str" vm="979">
        <f>CUBEMEMBER("BIDB","[Dimittenddato].[Dimittenddato].&amp;[2010-08-17T00:00:00]")</f>
        <v>17-08-2010</v>
      </c>
      <c r="B357" t="str" vm="10629">
        <f>IFERROR(CUBEVALUE("BIDB",$A357,B$3,'Præsentationstabeller 1'!$C$2),0)</f>
        <v/>
      </c>
      <c r="C357" vm="14155">
        <f>IFERROR(CUBEVALUE("BIDB",$A357,C$3,C$2,'Præsentationstabeller 1'!$C$2),0)</f>
        <v>1</v>
      </c>
      <c r="D357" vm="12624">
        <f>IFERROR(CUBEVALUE("BIDB",$A357,D$3,D$2,'Præsentationstabeller 1'!$C$2),0)</f>
        <v>3</v>
      </c>
      <c r="E357" vm="10702">
        <f>IFERROR(CUBEVALUE("BIDB",$A357,E$3,E$2,'Præsentationstabeller 1'!$C$2),0)</f>
        <v>5</v>
      </c>
      <c r="F357" t="str" vm="9655">
        <f>IFERROR(CUBEVALUE("BIDB",$A357,F$3,F$2,'Præsentationstabeller 1'!$C$2),0)</f>
        <v/>
      </c>
      <c r="G357" vm="9837">
        <f>IFERROR(CUBEVALUE("BIDB",$A357,G$3,G$2,'Præsentationstabeller 1'!$C$2),0)</f>
        <v>5</v>
      </c>
      <c r="H357" t="str" vm="12507">
        <f>IFERROR(CUBEVALUE("BIDB",$A357,H$3,H$2,'Præsentationstabeller 1'!$C$2),0)</f>
        <v/>
      </c>
      <c r="I357" t="str" vm="10075">
        <f>IFERROR(CUBEVALUE("BIDB",$A357,I$3,I$2,'Præsentationstabeller 1'!$C$2),0)</f>
        <v/>
      </c>
      <c r="J357" vm="9799">
        <f>IFERROR(CUBEVALUE("BIDB",$A357,J$3,J$2,'Præsentationstabeller 1'!$C$2),0)</f>
        <v>1</v>
      </c>
      <c r="K357" t="str" vm="15142">
        <f>IFERROR(CUBEVALUE("BIDB",$A357,K$3,K$2,'Præsentationstabeller 1'!$C$2),0)</f>
        <v/>
      </c>
      <c r="L357" vm="9804">
        <f>IFERROR(CUBEVALUE("BIDB",$A357,L$3,L$2,'Præsentationstabeller 1'!$C$2),0)</f>
        <v>1</v>
      </c>
    </row>
    <row r="358" spans="1:12" x14ac:dyDescent="0.3">
      <c r="A358" s="123" t="str" vm="978">
        <f>CUBEMEMBER("BIDB","[Dimittenddato].[Dimittenddato].&amp;[2010-08-18T00:00:00]")</f>
        <v>18-08-2010</v>
      </c>
      <c r="B358" t="str" vm="11763">
        <f>IFERROR(CUBEVALUE("BIDB",$A358,B$3,'Præsentationstabeller 1'!$C$2),0)</f>
        <v/>
      </c>
      <c r="C358" vm="9775">
        <f>IFERROR(CUBEVALUE("BIDB",$A358,C$3,C$2,'Præsentationstabeller 1'!$C$2),0)</f>
        <v>2</v>
      </c>
      <c r="D358" vm="15931">
        <f>IFERROR(CUBEVALUE("BIDB",$A358,D$3,D$2,'Præsentationstabeller 1'!$C$2),0)</f>
        <v>2</v>
      </c>
      <c r="E358" vm="7931">
        <f>IFERROR(CUBEVALUE("BIDB",$A358,E$3,E$2,'Præsentationstabeller 1'!$C$2),0)</f>
        <v>2</v>
      </c>
      <c r="F358" vm="16000">
        <f>IFERROR(CUBEVALUE("BIDB",$A358,F$3,F$2,'Præsentationstabeller 1'!$C$2),0)</f>
        <v>0</v>
      </c>
      <c r="G358" vm="15694">
        <f>IFERROR(CUBEVALUE("BIDB",$A358,G$3,G$2,'Præsentationstabeller 1'!$C$2),0)</f>
        <v>2</v>
      </c>
      <c r="H358" t="str" vm="10880">
        <f>IFERROR(CUBEVALUE("BIDB",$A358,H$3,H$2,'Præsentationstabeller 1'!$C$2),0)</f>
        <v/>
      </c>
      <c r="I358" vm="9604">
        <f>IFERROR(CUBEVALUE("BIDB",$A358,I$3,I$2,'Præsentationstabeller 1'!$C$2),0)</f>
        <v>1</v>
      </c>
      <c r="J358" t="str" vm="7575">
        <f>IFERROR(CUBEVALUE("BIDB",$A358,J$3,J$2,'Præsentationstabeller 1'!$C$2),0)</f>
        <v/>
      </c>
      <c r="K358" t="str" vm="17161">
        <f>IFERROR(CUBEVALUE("BIDB",$A358,K$3,K$2,'Præsentationstabeller 1'!$C$2),0)</f>
        <v/>
      </c>
      <c r="L358" t="str" vm="9913">
        <f>IFERROR(CUBEVALUE("BIDB",$A358,L$3,L$2,'Præsentationstabeller 1'!$C$2),0)</f>
        <v/>
      </c>
    </row>
    <row r="359" spans="1:12" x14ac:dyDescent="0.3">
      <c r="A359" s="123" t="str" vm="977">
        <f>CUBEMEMBER("BIDB","[Dimittenddato].[Dimittenddato].&amp;[2010-08-19T00:00:00]")</f>
        <v>19-08-2010</v>
      </c>
      <c r="B359" t="str" vm="10554">
        <f>IFERROR(CUBEVALUE("BIDB",$A359,B$3,'Præsentationstabeller 1'!$C$2),0)</f>
        <v/>
      </c>
      <c r="C359" vm="13295">
        <f>IFERROR(CUBEVALUE("BIDB",$A359,C$3,C$2,'Præsentationstabeller 1'!$C$2),0)</f>
        <v>2</v>
      </c>
      <c r="D359" vm="10988">
        <f>IFERROR(CUBEVALUE("BIDB",$A359,D$3,D$2,'Præsentationstabeller 1'!$C$2),0)</f>
        <v>2</v>
      </c>
      <c r="E359" vm="11559">
        <f>IFERROR(CUBEVALUE("BIDB",$A359,E$3,E$2,'Præsentationstabeller 1'!$C$2),0)</f>
        <v>3</v>
      </c>
      <c r="F359" t="str" vm="12240">
        <f>IFERROR(CUBEVALUE("BIDB",$A359,F$3,F$2,'Præsentationstabeller 1'!$C$2),0)</f>
        <v/>
      </c>
      <c r="G359" vm="13714">
        <f>IFERROR(CUBEVALUE("BIDB",$A359,G$3,G$2,'Præsentationstabeller 1'!$C$2),0)</f>
        <v>3</v>
      </c>
      <c r="H359" t="str" vm="11320">
        <f>IFERROR(CUBEVALUE("BIDB",$A359,H$3,H$2,'Præsentationstabeller 1'!$C$2),0)</f>
        <v/>
      </c>
      <c r="I359" t="str" vm="7093">
        <f>IFERROR(CUBEVALUE("BIDB",$A359,I$3,I$2,'Præsentationstabeller 1'!$C$2),0)</f>
        <v/>
      </c>
      <c r="J359" t="str" vm="9671">
        <f>IFERROR(CUBEVALUE("BIDB",$A359,J$3,J$2,'Præsentationstabeller 1'!$C$2),0)</f>
        <v/>
      </c>
      <c r="K359" t="str" vm="14103">
        <f>IFERROR(CUBEVALUE("BIDB",$A359,K$3,K$2,'Præsentationstabeller 1'!$C$2),0)</f>
        <v/>
      </c>
      <c r="L359" t="str" vm="17109">
        <f>IFERROR(CUBEVALUE("BIDB",$A359,L$3,L$2,'Præsentationstabeller 1'!$C$2),0)</f>
        <v/>
      </c>
    </row>
    <row r="360" spans="1:12" x14ac:dyDescent="0.3">
      <c r="A360" s="123" t="str" vm="976">
        <f>CUBEMEMBER("BIDB","[Dimittenddato].[Dimittenddato].&amp;[2010-08-20T00:00:00]")</f>
        <v>20-08-2010</v>
      </c>
      <c r="B360" t="str" vm="16921">
        <f>IFERROR(CUBEVALUE("BIDB",$A360,B$3,'Præsentationstabeller 1'!$C$2),0)</f>
        <v/>
      </c>
      <c r="C360" vm="10144">
        <f>IFERROR(CUBEVALUE("BIDB",$A360,C$3,C$2,'Præsentationstabeller 1'!$C$2),0)</f>
        <v>1</v>
      </c>
      <c r="D360" vm="15630">
        <f>IFERROR(CUBEVALUE("BIDB",$A360,D$3,D$2,'Præsentationstabeller 1'!$C$2),0)</f>
        <v>5</v>
      </c>
      <c r="E360" vm="10872">
        <f>IFERROR(CUBEVALUE("BIDB",$A360,E$3,E$2,'Præsentationstabeller 1'!$C$2),0)</f>
        <v>6</v>
      </c>
      <c r="F360" t="str" vm="11215">
        <f>IFERROR(CUBEVALUE("BIDB",$A360,F$3,F$2,'Præsentationstabeller 1'!$C$2),0)</f>
        <v/>
      </c>
      <c r="G360" vm="15659">
        <f>IFERROR(CUBEVALUE("BIDB",$A360,G$3,G$2,'Præsentationstabeller 1'!$C$2),0)</f>
        <v>6</v>
      </c>
      <c r="H360" t="str" vm="10412">
        <f>IFERROR(CUBEVALUE("BIDB",$A360,H$3,H$2,'Præsentationstabeller 1'!$C$2),0)</f>
        <v/>
      </c>
      <c r="I360" t="str" vm="14003">
        <f>IFERROR(CUBEVALUE("BIDB",$A360,I$3,I$2,'Præsentationstabeller 1'!$C$2),0)</f>
        <v/>
      </c>
      <c r="J360" vm="15210">
        <f>IFERROR(CUBEVALUE("BIDB",$A360,J$3,J$2,'Præsentationstabeller 1'!$C$2),0)</f>
        <v>1</v>
      </c>
      <c r="K360" t="str" vm="12872">
        <f>IFERROR(CUBEVALUE("BIDB",$A360,K$3,K$2,'Præsentationstabeller 1'!$C$2),0)</f>
        <v/>
      </c>
      <c r="L360" vm="8706">
        <f>IFERROR(CUBEVALUE("BIDB",$A360,L$3,L$2,'Præsentationstabeller 1'!$C$2),0)</f>
        <v>1</v>
      </c>
    </row>
    <row r="361" spans="1:12" x14ac:dyDescent="0.3">
      <c r="A361" s="123" t="str" vm="975">
        <f>CUBEMEMBER("BIDB","[Dimittenddato].[Dimittenddato].&amp;[2010-08-21T00:00:00]")</f>
        <v>21-08-2010</v>
      </c>
      <c r="B361" t="str" vm="11714">
        <f>IFERROR(CUBEVALUE("BIDB",$A361,B$3,'Præsentationstabeller 1'!$C$2),0)</f>
        <v/>
      </c>
      <c r="C361" t="str" vm="11905">
        <f>IFERROR(CUBEVALUE("BIDB",$A361,C$3,C$2,'Præsentationstabeller 1'!$C$2),0)</f>
        <v/>
      </c>
      <c r="D361" t="str" vm="16088">
        <f>IFERROR(CUBEVALUE("BIDB",$A361,D$3,D$2,'Præsentationstabeller 1'!$C$2),0)</f>
        <v/>
      </c>
      <c r="E361" t="str" vm="14503">
        <f>IFERROR(CUBEVALUE("BIDB",$A361,E$3,E$2,'Præsentationstabeller 1'!$C$2),0)</f>
        <v/>
      </c>
      <c r="F361" t="str" vm="7472">
        <f>IFERROR(CUBEVALUE("BIDB",$A361,F$3,F$2,'Præsentationstabeller 1'!$C$2),0)</f>
        <v/>
      </c>
      <c r="G361" t="str" vm="12736">
        <f>IFERROR(CUBEVALUE("BIDB",$A361,G$3,G$2,'Præsentationstabeller 1'!$C$2),0)</f>
        <v/>
      </c>
      <c r="H361" t="str" vm="13606">
        <f>IFERROR(CUBEVALUE("BIDB",$A361,H$3,H$2,'Præsentationstabeller 1'!$C$2),0)</f>
        <v/>
      </c>
      <c r="I361" t="str" vm="11958">
        <f>IFERROR(CUBEVALUE("BIDB",$A361,I$3,I$2,'Præsentationstabeller 1'!$C$2),0)</f>
        <v/>
      </c>
      <c r="J361" t="str" vm="8090">
        <f>IFERROR(CUBEVALUE("BIDB",$A361,J$3,J$2,'Præsentationstabeller 1'!$C$2),0)</f>
        <v/>
      </c>
      <c r="K361" t="str" vm="14960">
        <f>IFERROR(CUBEVALUE("BIDB",$A361,K$3,K$2,'Præsentationstabeller 1'!$C$2),0)</f>
        <v/>
      </c>
      <c r="L361" t="str" vm="12217">
        <f>IFERROR(CUBEVALUE("BIDB",$A361,L$3,L$2,'Præsentationstabeller 1'!$C$2),0)</f>
        <v/>
      </c>
    </row>
    <row r="362" spans="1:12" x14ac:dyDescent="0.3">
      <c r="A362" s="123" t="str" vm="974">
        <f>CUBEMEMBER("BIDB","[Dimittenddato].[Dimittenddato].&amp;[2010-08-22T00:00:00]")</f>
        <v>22-08-2010</v>
      </c>
      <c r="B362" t="str" vm="15049">
        <f>IFERROR(CUBEVALUE("BIDB",$A362,B$3,'Præsentationstabeller 1'!$C$2),0)</f>
        <v/>
      </c>
      <c r="C362" t="str" vm="10530">
        <f>IFERROR(CUBEVALUE("BIDB",$A362,C$3,C$2,'Præsentationstabeller 1'!$C$2),0)</f>
        <v/>
      </c>
      <c r="D362" t="str" vm="13336">
        <f>IFERROR(CUBEVALUE("BIDB",$A362,D$3,D$2,'Præsentationstabeller 1'!$C$2),0)</f>
        <v/>
      </c>
      <c r="E362" t="str" vm="8829">
        <f>IFERROR(CUBEVALUE("BIDB",$A362,E$3,E$2,'Præsentationstabeller 1'!$C$2),0)</f>
        <v/>
      </c>
      <c r="F362" t="str" vm="16922">
        <f>IFERROR(CUBEVALUE("BIDB",$A362,F$3,F$2,'Præsentationstabeller 1'!$C$2),0)</f>
        <v/>
      </c>
      <c r="G362" t="str" vm="12691">
        <f>IFERROR(CUBEVALUE("BIDB",$A362,G$3,G$2,'Præsentationstabeller 1'!$C$2),0)</f>
        <v/>
      </c>
      <c r="H362" t="str" vm="14189">
        <f>IFERROR(CUBEVALUE("BIDB",$A362,H$3,H$2,'Præsentationstabeller 1'!$C$2),0)</f>
        <v/>
      </c>
      <c r="I362" t="str" vm="9344">
        <f>IFERROR(CUBEVALUE("BIDB",$A362,I$3,I$2,'Præsentationstabeller 1'!$C$2),0)</f>
        <v/>
      </c>
      <c r="J362" t="str" vm="8861">
        <f>IFERROR(CUBEVALUE("BIDB",$A362,J$3,J$2,'Præsentationstabeller 1'!$C$2),0)</f>
        <v/>
      </c>
      <c r="K362" t="str" vm="17074">
        <f>IFERROR(CUBEVALUE("BIDB",$A362,K$3,K$2,'Præsentationstabeller 1'!$C$2),0)</f>
        <v/>
      </c>
      <c r="L362" t="str" vm="10210">
        <f>IFERROR(CUBEVALUE("BIDB",$A362,L$3,L$2,'Præsentationstabeller 1'!$C$2),0)</f>
        <v/>
      </c>
    </row>
    <row r="363" spans="1:12" x14ac:dyDescent="0.3">
      <c r="A363" s="123" t="str" vm="973">
        <f>CUBEMEMBER("BIDB","[Dimittenddato].[Dimittenddato].&amp;[2010-08-23T00:00:00]")</f>
        <v>23-08-2010</v>
      </c>
      <c r="B363" t="str" vm="11690">
        <f>IFERROR(CUBEVALUE("BIDB",$A363,B$3,'Præsentationstabeller 1'!$C$2),0)</f>
        <v/>
      </c>
      <c r="C363" vm="14326">
        <f>IFERROR(CUBEVALUE("BIDB",$A363,C$3,C$2,'Præsentationstabeller 1'!$C$2),0)</f>
        <v>1</v>
      </c>
      <c r="D363" t="str" vm="16208">
        <f>IFERROR(CUBEVALUE("BIDB",$A363,D$3,D$2,'Præsentationstabeller 1'!$C$2),0)</f>
        <v/>
      </c>
      <c r="E363" vm="15458">
        <f>IFERROR(CUBEVALUE("BIDB",$A363,E$3,E$2,'Præsentationstabeller 1'!$C$2),0)</f>
        <v>6</v>
      </c>
      <c r="F363" vm="11926">
        <f>IFERROR(CUBEVALUE("BIDB",$A363,F$3,F$2,'Præsentationstabeller 1'!$C$2),0)</f>
        <v>1</v>
      </c>
      <c r="G363" vm="15399">
        <f>IFERROR(CUBEVALUE("BIDB",$A363,G$3,G$2,'Præsentationstabeller 1'!$C$2),0)</f>
        <v>7</v>
      </c>
      <c r="H363" t="str" vm="14017">
        <f>IFERROR(CUBEVALUE("BIDB",$A363,H$3,H$2,'Præsentationstabeller 1'!$C$2),0)</f>
        <v/>
      </c>
      <c r="I363" t="str" vm="11702">
        <f>IFERROR(CUBEVALUE("BIDB",$A363,I$3,I$2,'Præsentationstabeller 1'!$C$2),0)</f>
        <v/>
      </c>
      <c r="J363" t="str" vm="12571">
        <f>IFERROR(CUBEVALUE("BIDB",$A363,J$3,J$2,'Præsentationstabeller 1'!$C$2),0)</f>
        <v/>
      </c>
      <c r="K363" t="str" vm="9675">
        <f>IFERROR(CUBEVALUE("BIDB",$A363,K$3,K$2,'Præsentationstabeller 1'!$C$2),0)</f>
        <v/>
      </c>
      <c r="L363" t="str" vm="9520">
        <f>IFERROR(CUBEVALUE("BIDB",$A363,L$3,L$2,'Præsentationstabeller 1'!$C$2),0)</f>
        <v/>
      </c>
    </row>
    <row r="364" spans="1:12" x14ac:dyDescent="0.3">
      <c r="A364" s="123" t="str" vm="972">
        <f>CUBEMEMBER("BIDB","[Dimittenddato].[Dimittenddato].&amp;[2010-08-24T00:00:00]")</f>
        <v>24-08-2010</v>
      </c>
      <c r="B364" t="str" vm="9955">
        <f>IFERROR(CUBEVALUE("BIDB",$A364,B$3,'Præsentationstabeller 1'!$C$2),0)</f>
        <v/>
      </c>
      <c r="C364" vm="14181">
        <f>IFERROR(CUBEVALUE("BIDB",$A364,C$3,C$2,'Præsentationstabeller 1'!$C$2),0)</f>
        <v>3</v>
      </c>
      <c r="D364" t="str" vm="12387">
        <f>IFERROR(CUBEVALUE("BIDB",$A364,D$3,D$2,'Præsentationstabeller 1'!$C$2),0)</f>
        <v/>
      </c>
      <c r="E364" vm="10019">
        <f>IFERROR(CUBEVALUE("BIDB",$A364,E$3,E$2,'Præsentationstabeller 1'!$C$2),0)</f>
        <v>8</v>
      </c>
      <c r="F364" vm="7987">
        <f>IFERROR(CUBEVALUE("BIDB",$A364,F$3,F$2,'Præsentationstabeller 1'!$C$2),0)</f>
        <v>2</v>
      </c>
      <c r="G364" vm="14285">
        <f>IFERROR(CUBEVALUE("BIDB",$A364,G$3,G$2,'Præsentationstabeller 1'!$C$2),0)</f>
        <v>10</v>
      </c>
      <c r="H364" t="str" vm="12440">
        <f>IFERROR(CUBEVALUE("BIDB",$A364,H$3,H$2,'Præsentationstabeller 1'!$C$2),0)</f>
        <v/>
      </c>
      <c r="I364" t="str" vm="9839">
        <f>IFERROR(CUBEVALUE("BIDB",$A364,I$3,I$2,'Præsentationstabeller 1'!$C$2),0)</f>
        <v/>
      </c>
      <c r="J364" t="str" vm="11307">
        <f>IFERROR(CUBEVALUE("BIDB",$A364,J$3,J$2,'Præsentationstabeller 1'!$C$2),0)</f>
        <v/>
      </c>
      <c r="K364" t="str" vm="15680">
        <f>IFERROR(CUBEVALUE("BIDB",$A364,K$3,K$2,'Præsentationstabeller 1'!$C$2),0)</f>
        <v/>
      </c>
      <c r="L364" t="str" vm="7549">
        <f>IFERROR(CUBEVALUE("BIDB",$A364,L$3,L$2,'Præsentationstabeller 1'!$C$2),0)</f>
        <v/>
      </c>
    </row>
    <row r="365" spans="1:12" x14ac:dyDescent="0.3">
      <c r="A365" s="123" t="str" vm="971">
        <f>CUBEMEMBER("BIDB","[Dimittenddato].[Dimittenddato].&amp;[2010-08-25T00:00:00]")</f>
        <v>25-08-2010</v>
      </c>
      <c r="B365" t="str" vm="11710">
        <f>IFERROR(CUBEVALUE("BIDB",$A365,B$3,'Præsentationstabeller 1'!$C$2),0)</f>
        <v/>
      </c>
      <c r="C365" vm="12508">
        <f>IFERROR(CUBEVALUE("BIDB",$A365,C$3,C$2,'Præsentationstabeller 1'!$C$2),0)</f>
        <v>5</v>
      </c>
      <c r="D365" vm="12142">
        <f>IFERROR(CUBEVALUE("BIDB",$A365,D$3,D$2,'Præsentationstabeller 1'!$C$2),0)</f>
        <v>3</v>
      </c>
      <c r="E365" vm="11805">
        <f>IFERROR(CUBEVALUE("BIDB",$A365,E$3,E$2,'Præsentationstabeller 1'!$C$2),0)</f>
        <v>3</v>
      </c>
      <c r="F365" vm="15530">
        <f>IFERROR(CUBEVALUE("BIDB",$A365,F$3,F$2,'Præsentationstabeller 1'!$C$2),0)</f>
        <v>1</v>
      </c>
      <c r="G365" vm="16334">
        <f>IFERROR(CUBEVALUE("BIDB",$A365,G$3,G$2,'Præsentationstabeller 1'!$C$2),0)</f>
        <v>4</v>
      </c>
      <c r="H365" t="str" vm="11336">
        <f>IFERROR(CUBEVALUE("BIDB",$A365,H$3,H$2,'Præsentationstabeller 1'!$C$2),0)</f>
        <v/>
      </c>
      <c r="I365" t="str" vm="9457">
        <f>IFERROR(CUBEVALUE("BIDB",$A365,I$3,I$2,'Præsentationstabeller 1'!$C$2),0)</f>
        <v/>
      </c>
      <c r="J365" t="str" vm="16904">
        <f>IFERROR(CUBEVALUE("BIDB",$A365,J$3,J$2,'Præsentationstabeller 1'!$C$2),0)</f>
        <v/>
      </c>
      <c r="K365" t="str" vm="16520">
        <f>IFERROR(CUBEVALUE("BIDB",$A365,K$3,K$2,'Præsentationstabeller 1'!$C$2),0)</f>
        <v/>
      </c>
      <c r="L365" t="str" vm="11573">
        <f>IFERROR(CUBEVALUE("BIDB",$A365,L$3,L$2,'Præsentationstabeller 1'!$C$2),0)</f>
        <v/>
      </c>
    </row>
    <row r="366" spans="1:12" x14ac:dyDescent="0.3">
      <c r="A366" s="123" t="str" vm="970">
        <f>CUBEMEMBER("BIDB","[Dimittenddato].[Dimittenddato].&amp;[2010-08-26T00:00:00]")</f>
        <v>26-08-2010</v>
      </c>
      <c r="B366" t="str" vm="14934">
        <f>IFERROR(CUBEVALUE("BIDB",$A366,B$3,'Præsentationstabeller 1'!$C$2),0)</f>
        <v/>
      </c>
      <c r="C366" vm="11837">
        <f>IFERROR(CUBEVALUE("BIDB",$A366,C$3,C$2,'Præsentationstabeller 1'!$C$2),0)</f>
        <v>3</v>
      </c>
      <c r="D366" vm="15601">
        <f>IFERROR(CUBEVALUE("BIDB",$A366,D$3,D$2,'Præsentationstabeller 1'!$C$2),0)</f>
        <v>2</v>
      </c>
      <c r="E366" vm="9791">
        <f>IFERROR(CUBEVALUE("BIDB",$A366,E$3,E$2,'Præsentationstabeller 1'!$C$2),0)</f>
        <v>5</v>
      </c>
      <c r="F366" vm="16569">
        <f>IFERROR(CUBEVALUE("BIDB",$A366,F$3,F$2,'Præsentationstabeller 1'!$C$2),0)</f>
        <v>0</v>
      </c>
      <c r="G366" vm="12564">
        <f>IFERROR(CUBEVALUE("BIDB",$A366,G$3,G$2,'Præsentationstabeller 1'!$C$2),0)</f>
        <v>5</v>
      </c>
      <c r="H366" t="str" vm="11219">
        <f>IFERROR(CUBEVALUE("BIDB",$A366,H$3,H$2,'Præsentationstabeller 1'!$C$2),0)</f>
        <v/>
      </c>
      <c r="I366" t="str" vm="10498">
        <f>IFERROR(CUBEVALUE("BIDB",$A366,I$3,I$2,'Præsentationstabeller 1'!$C$2),0)</f>
        <v/>
      </c>
      <c r="J366" t="str" vm="9738">
        <f>IFERROR(CUBEVALUE("BIDB",$A366,J$3,J$2,'Præsentationstabeller 1'!$C$2),0)</f>
        <v/>
      </c>
      <c r="K366" t="str" vm="13469">
        <f>IFERROR(CUBEVALUE("BIDB",$A366,K$3,K$2,'Præsentationstabeller 1'!$C$2),0)</f>
        <v/>
      </c>
      <c r="L366" t="str" vm="9307">
        <f>IFERROR(CUBEVALUE("BIDB",$A366,L$3,L$2,'Præsentationstabeller 1'!$C$2),0)</f>
        <v/>
      </c>
    </row>
    <row r="367" spans="1:12" x14ac:dyDescent="0.3">
      <c r="A367" s="123" t="str" vm="969">
        <f>CUBEMEMBER("BIDB","[Dimittenddato].[Dimittenddato].&amp;[2010-08-27T00:00:00]")</f>
        <v>27-08-2010</v>
      </c>
      <c r="B367" t="str" vm="16076">
        <f>IFERROR(CUBEVALUE("BIDB",$A367,B$3,'Præsentationstabeller 1'!$C$2),0)</f>
        <v/>
      </c>
      <c r="C367" vm="12895">
        <f>IFERROR(CUBEVALUE("BIDB",$A367,C$3,C$2,'Præsentationstabeller 1'!$C$2),0)</f>
        <v>1</v>
      </c>
      <c r="D367" vm="9890">
        <f>IFERROR(CUBEVALUE("BIDB",$A367,D$3,D$2,'Præsentationstabeller 1'!$C$2),0)</f>
        <v>5</v>
      </c>
      <c r="E367" vm="11199">
        <f>IFERROR(CUBEVALUE("BIDB",$A367,E$3,E$2,'Præsentationstabeller 1'!$C$2),0)</f>
        <v>4</v>
      </c>
      <c r="F367" vm="14565">
        <f>IFERROR(CUBEVALUE("BIDB",$A367,F$3,F$2,'Præsentationstabeller 1'!$C$2),0)</f>
        <v>3</v>
      </c>
      <c r="G367" vm="14010">
        <f>IFERROR(CUBEVALUE("BIDB",$A367,G$3,G$2,'Præsentationstabeller 1'!$C$2),0)</f>
        <v>7</v>
      </c>
      <c r="H367" t="str" vm="17083">
        <f>IFERROR(CUBEVALUE("BIDB",$A367,H$3,H$2,'Præsentationstabeller 1'!$C$2),0)</f>
        <v/>
      </c>
      <c r="I367" t="str" vm="9144">
        <f>IFERROR(CUBEVALUE("BIDB",$A367,I$3,I$2,'Præsentationstabeller 1'!$C$2),0)</f>
        <v/>
      </c>
      <c r="J367" t="str" vm="13707">
        <f>IFERROR(CUBEVALUE("BIDB",$A367,J$3,J$2,'Præsentationstabeller 1'!$C$2),0)</f>
        <v/>
      </c>
      <c r="K367" t="str" vm="14555">
        <f>IFERROR(CUBEVALUE("BIDB",$A367,K$3,K$2,'Præsentationstabeller 1'!$C$2),0)</f>
        <v/>
      </c>
      <c r="L367" t="str" vm="10277">
        <f>IFERROR(CUBEVALUE("BIDB",$A367,L$3,L$2,'Præsentationstabeller 1'!$C$2),0)</f>
        <v/>
      </c>
    </row>
    <row r="368" spans="1:12" x14ac:dyDescent="0.3">
      <c r="A368" s="123" t="str" vm="968">
        <f>CUBEMEMBER("BIDB","[Dimittenddato].[Dimittenddato].&amp;[2010-08-28T00:00:00]")</f>
        <v>28-08-2010</v>
      </c>
      <c r="B368" t="str" vm="7648">
        <f>IFERROR(CUBEVALUE("BIDB",$A368,B$3,'Præsentationstabeller 1'!$C$2),0)</f>
        <v/>
      </c>
      <c r="C368" vm="14123">
        <f>IFERROR(CUBEVALUE("BIDB",$A368,C$3,C$2,'Præsentationstabeller 1'!$C$2),0)</f>
        <v>1</v>
      </c>
      <c r="D368" t="str" vm="14686">
        <f>IFERROR(CUBEVALUE("BIDB",$A368,D$3,D$2,'Præsentationstabeller 1'!$C$2),0)</f>
        <v/>
      </c>
      <c r="E368" vm="9712">
        <f>IFERROR(CUBEVALUE("BIDB",$A368,E$3,E$2,'Præsentationstabeller 1'!$C$2),0)</f>
        <v>1</v>
      </c>
      <c r="F368" t="str" vm="14208">
        <f>IFERROR(CUBEVALUE("BIDB",$A368,F$3,F$2,'Præsentationstabeller 1'!$C$2),0)</f>
        <v/>
      </c>
      <c r="G368" vm="12152">
        <f>IFERROR(CUBEVALUE("BIDB",$A368,G$3,G$2,'Præsentationstabeller 1'!$C$2),0)</f>
        <v>1</v>
      </c>
      <c r="H368" t="str" vm="17062">
        <f>IFERROR(CUBEVALUE("BIDB",$A368,H$3,H$2,'Præsentationstabeller 1'!$C$2),0)</f>
        <v/>
      </c>
      <c r="I368" t="str" vm="9823">
        <f>IFERROR(CUBEVALUE("BIDB",$A368,I$3,I$2,'Præsentationstabeller 1'!$C$2),0)</f>
        <v/>
      </c>
      <c r="J368" t="str" vm="10816">
        <f>IFERROR(CUBEVALUE("BIDB",$A368,J$3,J$2,'Præsentationstabeller 1'!$C$2),0)</f>
        <v/>
      </c>
      <c r="K368" t="str" vm="14618">
        <f>IFERROR(CUBEVALUE("BIDB",$A368,K$3,K$2,'Præsentationstabeller 1'!$C$2),0)</f>
        <v/>
      </c>
      <c r="L368" t="str" vm="9171">
        <f>IFERROR(CUBEVALUE("BIDB",$A368,L$3,L$2,'Præsentationstabeller 1'!$C$2),0)</f>
        <v/>
      </c>
    </row>
    <row r="369" spans="1:12" x14ac:dyDescent="0.3">
      <c r="A369" s="123" t="str" vm="967">
        <f>CUBEMEMBER("BIDB","[Dimittenddato].[Dimittenddato].&amp;[2010-08-29T00:00:00]")</f>
        <v>29-08-2010</v>
      </c>
      <c r="B369" t="str" vm="16502">
        <f>IFERROR(CUBEVALUE("BIDB",$A369,B$3,'Præsentationstabeller 1'!$C$2),0)</f>
        <v/>
      </c>
      <c r="C369" t="str" vm="13806">
        <f>IFERROR(CUBEVALUE("BIDB",$A369,C$3,C$2,'Præsentationstabeller 1'!$C$2),0)</f>
        <v/>
      </c>
      <c r="D369" t="str" vm="12044">
        <f>IFERROR(CUBEVALUE("BIDB",$A369,D$3,D$2,'Præsentationstabeller 1'!$C$2),0)</f>
        <v/>
      </c>
      <c r="E369" t="str" vm="9288">
        <f>IFERROR(CUBEVALUE("BIDB",$A369,E$3,E$2,'Præsentationstabeller 1'!$C$2),0)</f>
        <v/>
      </c>
      <c r="F369" t="str" vm="8212">
        <f>IFERROR(CUBEVALUE("BIDB",$A369,F$3,F$2,'Præsentationstabeller 1'!$C$2),0)</f>
        <v/>
      </c>
      <c r="G369" t="str" vm="9781">
        <f>IFERROR(CUBEVALUE("BIDB",$A369,G$3,G$2,'Præsentationstabeller 1'!$C$2),0)</f>
        <v/>
      </c>
      <c r="H369" t="str" vm="16077">
        <f>IFERROR(CUBEVALUE("BIDB",$A369,H$3,H$2,'Præsentationstabeller 1'!$C$2),0)</f>
        <v/>
      </c>
      <c r="I369" t="str" vm="11862">
        <f>IFERROR(CUBEVALUE("BIDB",$A369,I$3,I$2,'Præsentationstabeller 1'!$C$2),0)</f>
        <v/>
      </c>
      <c r="J369" t="str" vm="12990">
        <f>IFERROR(CUBEVALUE("BIDB",$A369,J$3,J$2,'Præsentationstabeller 1'!$C$2),0)</f>
        <v/>
      </c>
      <c r="K369" t="str" vm="16935">
        <f>IFERROR(CUBEVALUE("BIDB",$A369,K$3,K$2,'Præsentationstabeller 1'!$C$2),0)</f>
        <v/>
      </c>
      <c r="L369" t="str" vm="10169">
        <f>IFERROR(CUBEVALUE("BIDB",$A369,L$3,L$2,'Præsentationstabeller 1'!$C$2),0)</f>
        <v/>
      </c>
    </row>
    <row r="370" spans="1:12" x14ac:dyDescent="0.3">
      <c r="A370" s="123" t="str" vm="966">
        <f>CUBEMEMBER("BIDB","[Dimittenddato].[Dimittenddato].&amp;[2010-08-30T00:00:00]")</f>
        <v>30-08-2010</v>
      </c>
      <c r="B370" t="str" vm="9564">
        <f>IFERROR(CUBEVALUE("BIDB",$A370,B$3,'Præsentationstabeller 1'!$C$2),0)</f>
        <v/>
      </c>
      <c r="C370" t="str" vm="15983">
        <f>IFERROR(CUBEVALUE("BIDB",$A370,C$3,C$2,'Præsentationstabeller 1'!$C$2),0)</f>
        <v/>
      </c>
      <c r="D370" vm="12421">
        <f>IFERROR(CUBEVALUE("BIDB",$A370,D$3,D$2,'Præsentationstabeller 1'!$C$2),0)</f>
        <v>2</v>
      </c>
      <c r="E370" vm="9041">
        <f>IFERROR(CUBEVALUE("BIDB",$A370,E$3,E$2,'Præsentationstabeller 1'!$C$2),0)</f>
        <v>7</v>
      </c>
      <c r="F370" vm="9419">
        <f>IFERROR(CUBEVALUE("BIDB",$A370,F$3,F$2,'Præsentationstabeller 1'!$C$2),0)</f>
        <v>1</v>
      </c>
      <c r="G370" vm="12613">
        <f>IFERROR(CUBEVALUE("BIDB",$A370,G$3,G$2,'Præsentationstabeller 1'!$C$2),0)</f>
        <v>8</v>
      </c>
      <c r="H370" t="str" vm="11771">
        <f>IFERROR(CUBEVALUE("BIDB",$A370,H$3,H$2,'Præsentationstabeller 1'!$C$2),0)</f>
        <v/>
      </c>
      <c r="I370" t="str" vm="10191">
        <f>IFERROR(CUBEVALUE("BIDB",$A370,I$3,I$2,'Præsentationstabeller 1'!$C$2),0)</f>
        <v/>
      </c>
      <c r="J370" vm="9181">
        <f>IFERROR(CUBEVALUE("BIDB",$A370,J$3,J$2,'Præsentationstabeller 1'!$C$2),0)</f>
        <v>1</v>
      </c>
      <c r="K370" t="str" vm="13716">
        <f>IFERROR(CUBEVALUE("BIDB",$A370,K$3,K$2,'Præsentationstabeller 1'!$C$2),0)</f>
        <v/>
      </c>
      <c r="L370" vm="12484">
        <f>IFERROR(CUBEVALUE("BIDB",$A370,L$3,L$2,'Præsentationstabeller 1'!$C$2),0)</f>
        <v>1</v>
      </c>
    </row>
    <row r="371" spans="1:12" x14ac:dyDescent="0.3">
      <c r="A371" s="123" t="str" vm="965">
        <f>CUBEMEMBER("BIDB","[Dimittenddato].[Dimittenddato].&amp;[2010-08-31T00:00:00]")</f>
        <v>31-08-2010</v>
      </c>
      <c r="B371" t="str" vm="10401">
        <f>IFERROR(CUBEVALUE("BIDB",$A371,B$3,'Præsentationstabeller 1'!$C$2),0)</f>
        <v/>
      </c>
      <c r="C371" vm="11853">
        <f>IFERROR(CUBEVALUE("BIDB",$A371,C$3,C$2,'Præsentationstabeller 1'!$C$2),0)</f>
        <v>1</v>
      </c>
      <c r="D371" vm="13129">
        <f>IFERROR(CUBEVALUE("BIDB",$A371,D$3,D$2,'Præsentationstabeller 1'!$C$2),0)</f>
        <v>2</v>
      </c>
      <c r="E371" vm="10726">
        <f>IFERROR(CUBEVALUE("BIDB",$A371,E$3,E$2,'Præsentationstabeller 1'!$C$2),0)</f>
        <v>11</v>
      </c>
      <c r="F371" vm="11251">
        <f>IFERROR(CUBEVALUE("BIDB",$A371,F$3,F$2,'Præsentationstabeller 1'!$C$2),0)</f>
        <v>3</v>
      </c>
      <c r="G371" vm="14857">
        <f>IFERROR(CUBEVALUE("BIDB",$A371,G$3,G$2,'Præsentationstabeller 1'!$C$2),0)</f>
        <v>14</v>
      </c>
      <c r="H371" t="str" vm="15235">
        <f>IFERROR(CUBEVALUE("BIDB",$A371,H$3,H$2,'Præsentationstabeller 1'!$C$2),0)</f>
        <v/>
      </c>
      <c r="I371" t="str" vm="7545">
        <f>IFERROR(CUBEVALUE("BIDB",$A371,I$3,I$2,'Præsentationstabeller 1'!$C$2),0)</f>
        <v/>
      </c>
      <c r="J371" t="str" vm="9614">
        <f>IFERROR(CUBEVALUE("BIDB",$A371,J$3,J$2,'Præsentationstabeller 1'!$C$2),0)</f>
        <v/>
      </c>
      <c r="K371" t="str" vm="10377">
        <f>IFERROR(CUBEVALUE("BIDB",$A371,K$3,K$2,'Præsentationstabeller 1'!$C$2),0)</f>
        <v/>
      </c>
      <c r="L371" t="str" vm="13117">
        <f>IFERROR(CUBEVALUE("BIDB",$A371,L$3,L$2,'Præsentationstabeller 1'!$C$2),0)</f>
        <v/>
      </c>
    </row>
    <row r="372" spans="1:12" x14ac:dyDescent="0.3">
      <c r="A372" s="123" t="str" vm="964">
        <f>CUBEMEMBER("BIDB","[Dimittenddato].[Dimittenddato].&amp;[2011-06-01T00:00:00]")</f>
        <v>01-06-2011</v>
      </c>
      <c r="B372" t="str" vm="6839">
        <f>IFERROR(CUBEVALUE("BIDB",$A372,B$3,'Præsentationstabeller 1'!$C$2),0)</f>
        <v/>
      </c>
      <c r="C372" t="str" vm="17084">
        <f>IFERROR(CUBEVALUE("BIDB",$A372,C$3,C$2,'Præsentationstabeller 1'!$C$2),0)</f>
        <v/>
      </c>
      <c r="D372" vm="13862">
        <f>IFERROR(CUBEVALUE("BIDB",$A372,D$3,D$2,'Præsentationstabeller 1'!$C$2),0)</f>
        <v>2</v>
      </c>
      <c r="E372" vm="12167">
        <f>IFERROR(CUBEVALUE("BIDB",$A372,E$3,E$2,'Præsentationstabeller 1'!$C$2),0)</f>
        <v>8</v>
      </c>
      <c r="F372" vm="10061">
        <f>IFERROR(CUBEVALUE("BIDB",$A372,F$3,F$2,'Præsentationstabeller 1'!$C$2),0)</f>
        <v>3</v>
      </c>
      <c r="G372" vm="13504">
        <f>IFERROR(CUBEVALUE("BIDB",$A372,G$3,G$2,'Præsentationstabeller 1'!$C$2),0)</f>
        <v>11</v>
      </c>
      <c r="H372" t="str" vm="14581">
        <f>IFERROR(CUBEVALUE("BIDB",$A372,H$3,H$2,'Præsentationstabeller 1'!$C$2),0)</f>
        <v/>
      </c>
      <c r="I372" t="str" vm="16494">
        <f>IFERROR(CUBEVALUE("BIDB",$A372,I$3,I$2,'Præsentationstabeller 1'!$C$2),0)</f>
        <v/>
      </c>
      <c r="J372" t="str" vm="10254">
        <f>IFERROR(CUBEVALUE("BIDB",$A372,J$3,J$2,'Præsentationstabeller 1'!$C$2),0)</f>
        <v/>
      </c>
      <c r="K372" t="str" vm="13130">
        <f>IFERROR(CUBEVALUE("BIDB",$A372,K$3,K$2,'Præsentationstabeller 1'!$C$2),0)</f>
        <v/>
      </c>
      <c r="L372" t="str" vm="9488">
        <f>IFERROR(CUBEVALUE("BIDB",$A372,L$3,L$2,'Præsentationstabeller 1'!$C$2),0)</f>
        <v/>
      </c>
    </row>
    <row r="373" spans="1:12" x14ac:dyDescent="0.3">
      <c r="A373" s="123" t="str" vm="963">
        <f>CUBEMEMBER("BIDB","[Dimittenddato].[Dimittenddato].&amp;[2011-06-02T00:00:00]")</f>
        <v>02-06-2011</v>
      </c>
      <c r="B373" t="str" vm="14821">
        <f>IFERROR(CUBEVALUE("BIDB",$A373,B$3,'Præsentationstabeller 1'!$C$2),0)</f>
        <v/>
      </c>
      <c r="C373" t="str" vm="14494">
        <f>IFERROR(CUBEVALUE("BIDB",$A373,C$3,C$2,'Præsentationstabeller 1'!$C$2),0)</f>
        <v/>
      </c>
      <c r="D373" t="str" vm="16606">
        <f>IFERROR(CUBEVALUE("BIDB",$A373,D$3,D$2,'Præsentationstabeller 1'!$C$2),0)</f>
        <v/>
      </c>
      <c r="E373" t="str" vm="7601">
        <f>IFERROR(CUBEVALUE("BIDB",$A373,E$3,E$2,'Præsentationstabeller 1'!$C$2),0)</f>
        <v/>
      </c>
      <c r="F373" t="str" vm="9602">
        <f>IFERROR(CUBEVALUE("BIDB",$A373,F$3,F$2,'Præsentationstabeller 1'!$C$2),0)</f>
        <v/>
      </c>
      <c r="G373" t="str" vm="11047">
        <f>IFERROR(CUBEVALUE("BIDB",$A373,G$3,G$2,'Præsentationstabeller 1'!$C$2),0)</f>
        <v/>
      </c>
      <c r="H373" t="str" vm="15010">
        <f>IFERROR(CUBEVALUE("BIDB",$A373,H$3,H$2,'Præsentationstabeller 1'!$C$2),0)</f>
        <v/>
      </c>
      <c r="I373" t="str" vm="10361">
        <f>IFERROR(CUBEVALUE("BIDB",$A373,I$3,I$2,'Præsentationstabeller 1'!$C$2),0)</f>
        <v/>
      </c>
      <c r="J373" t="str" vm="12771">
        <f>IFERROR(CUBEVALUE("BIDB",$A373,J$3,J$2,'Præsentationstabeller 1'!$C$2),0)</f>
        <v/>
      </c>
      <c r="K373" t="str" vm="12549">
        <f>IFERROR(CUBEVALUE("BIDB",$A373,K$3,K$2,'Præsentationstabeller 1'!$C$2),0)</f>
        <v/>
      </c>
      <c r="L373" t="str" vm="11014">
        <f>IFERROR(CUBEVALUE("BIDB",$A373,L$3,L$2,'Præsentationstabeller 1'!$C$2),0)</f>
        <v/>
      </c>
    </row>
    <row r="374" spans="1:12" x14ac:dyDescent="0.3">
      <c r="A374" s="123" t="str" vm="962">
        <f>CUBEMEMBER("BIDB","[Dimittenddato].[Dimittenddato].&amp;[2011-06-03T00:00:00]")</f>
        <v>03-06-2011</v>
      </c>
      <c r="B374" t="str" vm="14551">
        <f>IFERROR(CUBEVALUE("BIDB",$A374,B$3,'Præsentationstabeller 1'!$C$2),0)</f>
        <v/>
      </c>
      <c r="C374" t="str" vm="10985">
        <f>IFERROR(CUBEVALUE("BIDB",$A374,C$3,C$2,'Præsentationstabeller 1'!$C$2),0)</f>
        <v/>
      </c>
      <c r="D374" vm="15261">
        <f>IFERROR(CUBEVALUE("BIDB",$A374,D$3,D$2,'Præsentationstabeller 1'!$C$2),0)</f>
        <v>1</v>
      </c>
      <c r="E374" t="str" vm="8372">
        <f>IFERROR(CUBEVALUE("BIDB",$A374,E$3,E$2,'Præsentationstabeller 1'!$C$2),0)</f>
        <v/>
      </c>
      <c r="F374" t="str" vm="10594">
        <f>IFERROR(CUBEVALUE("BIDB",$A374,F$3,F$2,'Præsentationstabeller 1'!$C$2),0)</f>
        <v/>
      </c>
      <c r="G374" t="str" vm="15356">
        <f>IFERROR(CUBEVALUE("BIDB",$A374,G$3,G$2,'Præsentationstabeller 1'!$C$2),0)</f>
        <v/>
      </c>
      <c r="H374" t="str" vm="10083">
        <f>IFERROR(CUBEVALUE("BIDB",$A374,H$3,H$2,'Præsentationstabeller 1'!$C$2),0)</f>
        <v/>
      </c>
      <c r="I374" t="str" vm="15755">
        <f>IFERROR(CUBEVALUE("BIDB",$A374,I$3,I$2,'Præsentationstabeller 1'!$C$2),0)</f>
        <v/>
      </c>
      <c r="J374" t="str" vm="8938">
        <f>IFERROR(CUBEVALUE("BIDB",$A374,J$3,J$2,'Præsentationstabeller 1'!$C$2),0)</f>
        <v/>
      </c>
      <c r="K374" t="str" vm="13332">
        <f>IFERROR(CUBEVALUE("BIDB",$A374,K$3,K$2,'Præsentationstabeller 1'!$C$2),0)</f>
        <v/>
      </c>
      <c r="L374" t="str" vm="13443">
        <f>IFERROR(CUBEVALUE("BIDB",$A374,L$3,L$2,'Præsentationstabeller 1'!$C$2),0)</f>
        <v/>
      </c>
    </row>
    <row r="375" spans="1:12" x14ac:dyDescent="0.3">
      <c r="A375" s="123" t="str" vm="961">
        <f>CUBEMEMBER("BIDB","[Dimittenddato].[Dimittenddato].&amp;[2011-06-04T00:00:00]")</f>
        <v>04-06-2011</v>
      </c>
      <c r="B375" t="str" vm="10858">
        <f>IFERROR(CUBEVALUE("BIDB",$A375,B$3,'Præsentationstabeller 1'!$C$2),0)</f>
        <v/>
      </c>
      <c r="C375" t="str" vm="14429">
        <f>IFERROR(CUBEVALUE("BIDB",$A375,C$3,C$2,'Præsentationstabeller 1'!$C$2),0)</f>
        <v/>
      </c>
      <c r="D375" t="str" vm="16045">
        <f>IFERROR(CUBEVALUE("BIDB",$A375,D$3,D$2,'Præsentationstabeller 1'!$C$2),0)</f>
        <v/>
      </c>
      <c r="E375" t="str" vm="16448">
        <f>IFERROR(CUBEVALUE("BIDB",$A375,E$3,E$2,'Præsentationstabeller 1'!$C$2),0)</f>
        <v/>
      </c>
      <c r="F375" t="str" vm="9663">
        <f>IFERROR(CUBEVALUE("BIDB",$A375,F$3,F$2,'Præsentationstabeller 1'!$C$2),0)</f>
        <v/>
      </c>
      <c r="G375" t="str" vm="16180">
        <f>IFERROR(CUBEVALUE("BIDB",$A375,G$3,G$2,'Præsentationstabeller 1'!$C$2),0)</f>
        <v/>
      </c>
      <c r="H375" t="str" vm="12472">
        <f>IFERROR(CUBEVALUE("BIDB",$A375,H$3,H$2,'Præsentationstabeller 1'!$C$2),0)</f>
        <v/>
      </c>
      <c r="I375" t="str" vm="8340">
        <f>IFERROR(CUBEVALUE("BIDB",$A375,I$3,I$2,'Præsentationstabeller 1'!$C$2),0)</f>
        <v/>
      </c>
      <c r="J375" t="str" vm="9610">
        <f>IFERROR(CUBEVALUE("BIDB",$A375,J$3,J$2,'Præsentationstabeller 1'!$C$2),0)</f>
        <v/>
      </c>
      <c r="K375" t="str" vm="12169">
        <f>IFERROR(CUBEVALUE("BIDB",$A375,K$3,K$2,'Præsentationstabeller 1'!$C$2),0)</f>
        <v/>
      </c>
      <c r="L375" t="str" vm="11996">
        <f>IFERROR(CUBEVALUE("BIDB",$A375,L$3,L$2,'Præsentationstabeller 1'!$C$2),0)</f>
        <v/>
      </c>
    </row>
    <row r="376" spans="1:12" x14ac:dyDescent="0.3">
      <c r="A376" s="123" t="str" vm="960">
        <f>CUBEMEMBER("BIDB","[Dimittenddato].[Dimittenddato].&amp;[2011-06-05T00:00:00]")</f>
        <v>05-06-2011</v>
      </c>
      <c r="B376" t="str" vm="10546">
        <f>IFERROR(CUBEVALUE("BIDB",$A376,B$3,'Præsentationstabeller 1'!$C$2),0)</f>
        <v/>
      </c>
      <c r="C376" t="str" vm="12500">
        <f>IFERROR(CUBEVALUE("BIDB",$A376,C$3,C$2,'Præsentationstabeller 1'!$C$2),0)</f>
        <v/>
      </c>
      <c r="D376" vm="17040">
        <f>IFERROR(CUBEVALUE("BIDB",$A376,D$3,D$2,'Præsentationstabeller 1'!$C$2),0)</f>
        <v>1</v>
      </c>
      <c r="E376" vm="12840">
        <f>IFERROR(CUBEVALUE("BIDB",$A376,E$3,E$2,'Præsentationstabeller 1'!$C$2),0)</f>
        <v>1</v>
      </c>
      <c r="F376" t="str" vm="12976">
        <f>IFERROR(CUBEVALUE("BIDB",$A376,F$3,F$2,'Præsentationstabeller 1'!$C$2),0)</f>
        <v/>
      </c>
      <c r="G376" vm="12064">
        <f>IFERROR(CUBEVALUE("BIDB",$A376,G$3,G$2,'Præsentationstabeller 1'!$C$2),0)</f>
        <v>1</v>
      </c>
      <c r="H376" t="str" vm="16371">
        <f>IFERROR(CUBEVALUE("BIDB",$A376,H$3,H$2,'Præsentationstabeller 1'!$C$2),0)</f>
        <v/>
      </c>
      <c r="I376" t="str" vm="13353">
        <f>IFERROR(CUBEVALUE("BIDB",$A376,I$3,I$2,'Præsentationstabeller 1'!$C$2),0)</f>
        <v/>
      </c>
      <c r="J376" t="str" vm="14100">
        <f>IFERROR(CUBEVALUE("BIDB",$A376,J$3,J$2,'Præsentationstabeller 1'!$C$2),0)</f>
        <v/>
      </c>
      <c r="K376" t="str" vm="10393">
        <f>IFERROR(CUBEVALUE("BIDB",$A376,K$3,K$2,'Præsentationstabeller 1'!$C$2),0)</f>
        <v/>
      </c>
      <c r="L376" t="str" vm="7431">
        <f>IFERROR(CUBEVALUE("BIDB",$A376,L$3,L$2,'Præsentationstabeller 1'!$C$2),0)</f>
        <v/>
      </c>
    </row>
    <row r="377" spans="1:12" x14ac:dyDescent="0.3">
      <c r="A377" s="123" t="str" vm="959">
        <f>CUBEMEMBER("BIDB","[Dimittenddato].[Dimittenddato].&amp;[2011-06-06T00:00:00]")</f>
        <v>06-06-2011</v>
      </c>
      <c r="B377" t="str" vm="12300">
        <f>IFERROR(CUBEVALUE("BIDB",$A377,B$3,'Præsentationstabeller 1'!$C$2),0)</f>
        <v/>
      </c>
      <c r="C377" t="str" vm="15366">
        <f>IFERROR(CUBEVALUE("BIDB",$A377,C$3,C$2,'Præsentationstabeller 1'!$C$2),0)</f>
        <v/>
      </c>
      <c r="D377" vm="12402">
        <f>IFERROR(CUBEVALUE("BIDB",$A377,D$3,D$2,'Præsentationstabeller 1'!$C$2),0)</f>
        <v>2</v>
      </c>
      <c r="E377" vm="12944">
        <f>IFERROR(CUBEVALUE("BIDB",$A377,E$3,E$2,'Præsentationstabeller 1'!$C$2),0)</f>
        <v>4</v>
      </c>
      <c r="F377" vm="10752">
        <f>IFERROR(CUBEVALUE("BIDB",$A377,F$3,F$2,'Præsentationstabeller 1'!$C$2),0)</f>
        <v>2</v>
      </c>
      <c r="G377" vm="12354">
        <f>IFERROR(CUBEVALUE("BIDB",$A377,G$3,G$2,'Præsentationstabeller 1'!$C$2),0)</f>
        <v>6</v>
      </c>
      <c r="H377" t="str" vm="11626">
        <f>IFERROR(CUBEVALUE("BIDB",$A377,H$3,H$2,'Præsentationstabeller 1'!$C$2),0)</f>
        <v/>
      </c>
      <c r="I377" t="str" vm="9508">
        <f>IFERROR(CUBEVALUE("BIDB",$A377,I$3,I$2,'Præsentationstabeller 1'!$C$2),0)</f>
        <v/>
      </c>
      <c r="J377" t="str" vm="7498">
        <f>IFERROR(CUBEVALUE("BIDB",$A377,J$3,J$2,'Præsentationstabeller 1'!$C$2),0)</f>
        <v/>
      </c>
      <c r="K377" t="str" vm="12684">
        <f>IFERROR(CUBEVALUE("BIDB",$A377,K$3,K$2,'Præsentationstabeller 1'!$C$2),0)</f>
        <v/>
      </c>
      <c r="L377" t="str" vm="12321">
        <f>IFERROR(CUBEVALUE("BIDB",$A377,L$3,L$2,'Præsentationstabeller 1'!$C$2),0)</f>
        <v/>
      </c>
    </row>
    <row r="378" spans="1:12" x14ac:dyDescent="0.3">
      <c r="A378" s="123" t="str" vm="958">
        <f>CUBEMEMBER("BIDB","[Dimittenddato].[Dimittenddato].&amp;[2011-06-07T00:00:00]")</f>
        <v>07-06-2011</v>
      </c>
      <c r="B378" t="str" vm="15964">
        <f>IFERROR(CUBEVALUE("BIDB",$A378,B$3,'Præsentationstabeller 1'!$C$2),0)</f>
        <v/>
      </c>
      <c r="C378" t="str" vm="11698">
        <f>IFERROR(CUBEVALUE("BIDB",$A378,C$3,C$2,'Præsentationstabeller 1'!$C$2),0)</f>
        <v/>
      </c>
      <c r="D378" vm="11569">
        <f>IFERROR(CUBEVALUE("BIDB",$A378,D$3,D$2,'Præsentationstabeller 1'!$C$2),0)</f>
        <v>1</v>
      </c>
      <c r="E378" vm="8613">
        <f>IFERROR(CUBEVALUE("BIDB",$A378,E$3,E$2,'Præsentationstabeller 1'!$C$2),0)</f>
        <v>2</v>
      </c>
      <c r="F378" vm="10578">
        <f>IFERROR(CUBEVALUE("BIDB",$A378,F$3,F$2,'Præsentationstabeller 1'!$C$2),0)</f>
        <v>0</v>
      </c>
      <c r="G378" vm="13096">
        <f>IFERROR(CUBEVALUE("BIDB",$A378,G$3,G$2,'Præsentationstabeller 1'!$C$2),0)</f>
        <v>2</v>
      </c>
      <c r="H378" t="str" vm="9403">
        <f>IFERROR(CUBEVALUE("BIDB",$A378,H$3,H$2,'Præsentationstabeller 1'!$C$2),0)</f>
        <v/>
      </c>
      <c r="I378" t="str" vm="11293">
        <f>IFERROR(CUBEVALUE("BIDB",$A378,I$3,I$2,'Præsentationstabeller 1'!$C$2),0)</f>
        <v/>
      </c>
      <c r="J378" t="str" vm="7442">
        <f>IFERROR(CUBEVALUE("BIDB",$A378,J$3,J$2,'Præsentationstabeller 1'!$C$2),0)</f>
        <v/>
      </c>
      <c r="K378" t="str" vm="14831">
        <f>IFERROR(CUBEVALUE("BIDB",$A378,K$3,K$2,'Præsentationstabeller 1'!$C$2),0)</f>
        <v/>
      </c>
      <c r="L378" t="str" vm="10258">
        <f>IFERROR(CUBEVALUE("BIDB",$A378,L$3,L$2,'Præsentationstabeller 1'!$C$2),0)</f>
        <v/>
      </c>
    </row>
    <row r="379" spans="1:12" x14ac:dyDescent="0.3">
      <c r="A379" s="123" t="str" vm="957">
        <f>CUBEMEMBER("BIDB","[Dimittenddato].[Dimittenddato].&amp;[2011-06-08T00:00:00]")</f>
        <v>08-06-2011</v>
      </c>
      <c r="B379" t="str" vm="10005">
        <f>IFERROR(CUBEVALUE("BIDB",$A379,B$3,'Præsentationstabeller 1'!$C$2),0)</f>
        <v/>
      </c>
      <c r="C379" t="str" vm="12959">
        <f>IFERROR(CUBEVALUE("BIDB",$A379,C$3,C$2,'Præsentationstabeller 1'!$C$2),0)</f>
        <v/>
      </c>
      <c r="D379" vm="12806">
        <f>IFERROR(CUBEVALUE("BIDB",$A379,D$3,D$2,'Præsentationstabeller 1'!$C$2),0)</f>
        <v>1</v>
      </c>
      <c r="E379" vm="14943">
        <f>IFERROR(CUBEVALUE("BIDB",$A379,E$3,E$2,'Præsentationstabeller 1'!$C$2),0)</f>
        <v>3</v>
      </c>
      <c r="F379" vm="16223">
        <f>IFERROR(CUBEVALUE("BIDB",$A379,F$3,F$2,'Præsentationstabeller 1'!$C$2),0)</f>
        <v>4</v>
      </c>
      <c r="G379" vm="14640">
        <f>IFERROR(CUBEVALUE("BIDB",$A379,G$3,G$2,'Præsentationstabeller 1'!$C$2),0)</f>
        <v>7</v>
      </c>
      <c r="H379" t="str" vm="16304">
        <f>IFERROR(CUBEVALUE("BIDB",$A379,H$3,H$2,'Præsentationstabeller 1'!$C$2),0)</f>
        <v/>
      </c>
      <c r="I379" t="str" vm="11207">
        <f>IFERROR(CUBEVALUE("BIDB",$A379,I$3,I$2,'Præsentationstabeller 1'!$C$2),0)</f>
        <v/>
      </c>
      <c r="J379" t="str" vm="13071">
        <f>IFERROR(CUBEVALUE("BIDB",$A379,J$3,J$2,'Præsentationstabeller 1'!$C$2),0)</f>
        <v/>
      </c>
      <c r="K379" t="str" vm="10266">
        <f>IFERROR(CUBEVALUE("BIDB",$A379,K$3,K$2,'Præsentationstabeller 1'!$C$2),0)</f>
        <v/>
      </c>
      <c r="L379" t="str" vm="12852">
        <f>IFERROR(CUBEVALUE("BIDB",$A379,L$3,L$2,'Præsentationstabeller 1'!$C$2),0)</f>
        <v/>
      </c>
    </row>
    <row r="380" spans="1:12" x14ac:dyDescent="0.3">
      <c r="A380" s="123" t="str" vm="956">
        <f>CUBEMEMBER("BIDB","[Dimittenddato].[Dimittenddato].&amp;[2011-06-09T00:00:00]")</f>
        <v>09-06-2011</v>
      </c>
      <c r="B380" t="str" vm="8655">
        <f>IFERROR(CUBEVALUE("BIDB",$A380,B$3,'Præsentationstabeller 1'!$C$2),0)</f>
        <v/>
      </c>
      <c r="C380" vm="16657">
        <f>IFERROR(CUBEVALUE("BIDB",$A380,C$3,C$2,'Præsentationstabeller 1'!$C$2),0)</f>
        <v>4</v>
      </c>
      <c r="D380" vm="9926">
        <f>IFERROR(CUBEVALUE("BIDB",$A380,D$3,D$2,'Præsentationstabeller 1'!$C$2),0)</f>
        <v>3</v>
      </c>
      <c r="E380" vm="10305">
        <f>IFERROR(CUBEVALUE("BIDB",$A380,E$3,E$2,'Præsentationstabeller 1'!$C$2),0)</f>
        <v>4</v>
      </c>
      <c r="F380" vm="10965">
        <f>IFERROR(CUBEVALUE("BIDB",$A380,F$3,F$2,'Præsentationstabeller 1'!$C$2),0)</f>
        <v>3</v>
      </c>
      <c r="G380" vm="16501">
        <f>IFERROR(CUBEVALUE("BIDB",$A380,G$3,G$2,'Præsentationstabeller 1'!$C$2),0)</f>
        <v>7</v>
      </c>
      <c r="H380" vm="10885">
        <f>IFERROR(CUBEVALUE("BIDB",$A380,H$3,H$2,'Præsentationstabeller 1'!$C$2),0)</f>
        <v>0.52</v>
      </c>
      <c r="I380" t="str" vm="11686">
        <f>IFERROR(CUBEVALUE("BIDB",$A380,I$3,I$2,'Præsentationstabeller 1'!$C$2),0)</f>
        <v/>
      </c>
      <c r="J380" t="str" vm="16312">
        <f>IFERROR(CUBEVALUE("BIDB",$A380,J$3,J$2,'Præsentationstabeller 1'!$C$2),0)</f>
        <v/>
      </c>
      <c r="K380" t="str" vm="15089">
        <f>IFERROR(CUBEVALUE("BIDB",$A380,K$3,K$2,'Præsentationstabeller 1'!$C$2),0)</f>
        <v/>
      </c>
      <c r="L380" t="str" vm="7652">
        <f>IFERROR(CUBEVALUE("BIDB",$A380,L$3,L$2,'Præsentationstabeller 1'!$C$2),0)</f>
        <v/>
      </c>
    </row>
    <row r="381" spans="1:12" x14ac:dyDescent="0.3">
      <c r="A381" s="123" t="str" vm="955">
        <f>CUBEMEMBER("BIDB","[Dimittenddato].[Dimittenddato].&amp;[2011-06-10T00:00:00]")</f>
        <v>10-06-2011</v>
      </c>
      <c r="B381" t="str" vm="12284">
        <f>IFERROR(CUBEVALUE("BIDB",$A381,B$3,'Præsentationstabeller 1'!$C$2),0)</f>
        <v/>
      </c>
      <c r="C381" vm="11634">
        <f>IFERROR(CUBEVALUE("BIDB",$A381,C$3,C$2,'Præsentationstabeller 1'!$C$2),0)</f>
        <v>2</v>
      </c>
      <c r="D381" vm="14287">
        <f>IFERROR(CUBEVALUE("BIDB",$A381,D$3,D$2,'Præsentationstabeller 1'!$C$2),0)</f>
        <v>3</v>
      </c>
      <c r="E381" vm="13539">
        <f>IFERROR(CUBEVALUE("BIDB",$A381,E$3,E$2,'Præsentationstabeller 1'!$C$2),0)</f>
        <v>6</v>
      </c>
      <c r="F381" vm="10951">
        <f>IFERROR(CUBEVALUE("BIDB",$A381,F$3,F$2,'Præsentationstabeller 1'!$C$2),0)</f>
        <v>4</v>
      </c>
      <c r="G381" vm="13291">
        <f>IFERROR(CUBEVALUE("BIDB",$A381,G$3,G$2,'Præsentationstabeller 1'!$C$2),0)</f>
        <v>10</v>
      </c>
      <c r="H381" vm="13486">
        <f>IFERROR(CUBEVALUE("BIDB",$A381,H$3,H$2,'Præsentationstabeller 1'!$C$2),0)</f>
        <v>0.52</v>
      </c>
      <c r="I381" t="str" vm="9201">
        <f>IFERROR(CUBEVALUE("BIDB",$A381,I$3,I$2,'Præsentationstabeller 1'!$C$2),0)</f>
        <v/>
      </c>
      <c r="J381" vm="13399">
        <f>IFERROR(CUBEVALUE("BIDB",$A381,J$3,J$2,'Præsentationstabeller 1'!$C$2),0)</f>
        <v>1</v>
      </c>
      <c r="K381" t="str" vm="12907">
        <f>IFERROR(CUBEVALUE("BIDB",$A381,K$3,K$2,'Præsentationstabeller 1'!$C$2),0)</f>
        <v/>
      </c>
      <c r="L381" vm="15549">
        <f>IFERROR(CUBEVALUE("BIDB",$A381,L$3,L$2,'Præsentationstabeller 1'!$C$2),0)</f>
        <v>1</v>
      </c>
    </row>
    <row r="382" spans="1:12" x14ac:dyDescent="0.3">
      <c r="A382" s="123" t="str" vm="954">
        <f>CUBEMEMBER("BIDB","[Dimittenddato].[Dimittenddato].&amp;[2011-06-11T00:00:00]")</f>
        <v>11-06-2011</v>
      </c>
      <c r="B382" t="str" vm="11471">
        <f>IFERROR(CUBEVALUE("BIDB",$A382,B$3,'Præsentationstabeller 1'!$C$2),0)</f>
        <v/>
      </c>
      <c r="C382" t="str" vm="9376">
        <f>IFERROR(CUBEVALUE("BIDB",$A382,C$3,C$2,'Præsentationstabeller 1'!$C$2),0)</f>
        <v/>
      </c>
      <c r="D382" t="str" vm="13321">
        <f>IFERROR(CUBEVALUE("BIDB",$A382,D$3,D$2,'Præsentationstabeller 1'!$C$2),0)</f>
        <v/>
      </c>
      <c r="E382" t="str" vm="8082">
        <f>IFERROR(CUBEVALUE("BIDB",$A382,E$3,E$2,'Præsentationstabeller 1'!$C$2),0)</f>
        <v/>
      </c>
      <c r="F382" t="str" vm="13394">
        <f>IFERROR(CUBEVALUE("BIDB",$A382,F$3,F$2,'Præsentationstabeller 1'!$C$2),0)</f>
        <v/>
      </c>
      <c r="G382" t="str" vm="12922">
        <f>IFERROR(CUBEVALUE("BIDB",$A382,G$3,G$2,'Præsentationstabeller 1'!$C$2),0)</f>
        <v/>
      </c>
      <c r="H382" t="str" vm="10213">
        <f>IFERROR(CUBEVALUE("BIDB",$A382,H$3,H$2,'Præsentationstabeller 1'!$C$2),0)</f>
        <v/>
      </c>
      <c r="I382" t="str" vm="10802">
        <f>IFERROR(CUBEVALUE("BIDB",$A382,I$3,I$2,'Præsentationstabeller 1'!$C$2),0)</f>
        <v/>
      </c>
      <c r="J382" t="str" vm="7723">
        <f>IFERROR(CUBEVALUE("BIDB",$A382,J$3,J$2,'Præsentationstabeller 1'!$C$2),0)</f>
        <v/>
      </c>
      <c r="K382" t="str" vm="12673">
        <f>IFERROR(CUBEVALUE("BIDB",$A382,K$3,K$2,'Præsentationstabeller 1'!$C$2),0)</f>
        <v/>
      </c>
      <c r="L382" t="str" vm="10517">
        <f>IFERROR(CUBEVALUE("BIDB",$A382,L$3,L$2,'Præsentationstabeller 1'!$C$2),0)</f>
        <v/>
      </c>
    </row>
    <row r="383" spans="1:12" x14ac:dyDescent="0.3">
      <c r="A383" s="123" t="str" vm="953">
        <f>CUBEMEMBER("BIDB","[Dimittenddato].[Dimittenddato].&amp;[2011-06-12T00:00:00]")</f>
        <v>12-06-2011</v>
      </c>
      <c r="B383" t="str" vm="14508">
        <f>IFERROR(CUBEVALUE("BIDB",$A383,B$3,'Præsentationstabeller 1'!$C$2),0)</f>
        <v/>
      </c>
      <c r="C383" t="str" vm="16669">
        <f>IFERROR(CUBEVALUE("BIDB",$A383,C$3,C$2,'Præsentationstabeller 1'!$C$2),0)</f>
        <v/>
      </c>
      <c r="D383" t="str" vm="11100">
        <f>IFERROR(CUBEVALUE("BIDB",$A383,D$3,D$2,'Præsentationstabeller 1'!$C$2),0)</f>
        <v/>
      </c>
      <c r="E383" t="str" vm="12880">
        <f>IFERROR(CUBEVALUE("BIDB",$A383,E$3,E$2,'Præsentationstabeller 1'!$C$2),0)</f>
        <v/>
      </c>
      <c r="F383" t="str" vm="8552">
        <f>IFERROR(CUBEVALUE("BIDB",$A383,F$3,F$2,'Præsentationstabeller 1'!$C$2),0)</f>
        <v/>
      </c>
      <c r="G383" t="str" vm="16882">
        <f>IFERROR(CUBEVALUE("BIDB",$A383,G$3,G$2,'Præsentationstabeller 1'!$C$2),0)</f>
        <v/>
      </c>
      <c r="H383" t="str" vm="11078">
        <f>IFERROR(CUBEVALUE("BIDB",$A383,H$3,H$2,'Præsentationstabeller 1'!$C$2),0)</f>
        <v/>
      </c>
      <c r="I383" t="str" vm="1350">
        <f>IFERROR(CUBEVALUE("BIDB",$A383,I$3,I$2,'Præsentationstabeller 1'!$C$2),0)</f>
        <v/>
      </c>
      <c r="J383" t="str" vm="12784">
        <f>IFERROR(CUBEVALUE("BIDB",$A383,J$3,J$2,'Præsentationstabeller 1'!$C$2),0)</f>
        <v/>
      </c>
      <c r="K383" t="str" vm="9698">
        <f>IFERROR(CUBEVALUE("BIDB",$A383,K$3,K$2,'Præsentationstabeller 1'!$C$2),0)</f>
        <v/>
      </c>
      <c r="L383" t="str" vm="11880">
        <f>IFERROR(CUBEVALUE("BIDB",$A383,L$3,L$2,'Præsentationstabeller 1'!$C$2),0)</f>
        <v/>
      </c>
    </row>
    <row r="384" spans="1:12" x14ac:dyDescent="0.3">
      <c r="A384" s="123" t="str" vm="952">
        <f>CUBEMEMBER("BIDB","[Dimittenddato].[Dimittenddato].&amp;[2011-06-13T00:00:00]")</f>
        <v>13-06-2011</v>
      </c>
      <c r="B384" t="str" vm="13990">
        <f>IFERROR(CUBEVALUE("BIDB",$A384,B$3,'Præsentationstabeller 1'!$C$2),0)</f>
        <v/>
      </c>
      <c r="C384" t="str" vm="11529">
        <f>IFERROR(CUBEVALUE("BIDB",$A384,C$3,C$2,'Præsentationstabeller 1'!$C$2),0)</f>
        <v/>
      </c>
      <c r="D384" t="str" vm="10971">
        <f>IFERROR(CUBEVALUE("BIDB",$A384,D$3,D$2,'Præsentationstabeller 1'!$C$2),0)</f>
        <v/>
      </c>
      <c r="E384" vm="17158">
        <f>IFERROR(CUBEVALUE("BIDB",$A384,E$3,E$2,'Præsentationstabeller 1'!$C$2),0)</f>
        <v>1</v>
      </c>
      <c r="F384" t="str" vm="14530">
        <f>IFERROR(CUBEVALUE("BIDB",$A384,F$3,F$2,'Præsentationstabeller 1'!$C$2),0)</f>
        <v/>
      </c>
      <c r="G384" vm="6584">
        <f>IFERROR(CUBEVALUE("BIDB",$A384,G$3,G$2,'Præsentationstabeller 1'!$C$2),0)</f>
        <v>1</v>
      </c>
      <c r="H384" t="str" vm="16887">
        <f>IFERROR(CUBEVALUE("BIDB",$A384,H$3,H$2,'Præsentationstabeller 1'!$C$2),0)</f>
        <v/>
      </c>
      <c r="I384" t="str" vm="14094">
        <f>IFERROR(CUBEVALUE("BIDB",$A384,I$3,I$2,'Præsentationstabeller 1'!$C$2),0)</f>
        <v/>
      </c>
      <c r="J384" t="str" vm="15946">
        <f>IFERROR(CUBEVALUE("BIDB",$A384,J$3,J$2,'Præsentationstabeller 1'!$C$2),0)</f>
        <v/>
      </c>
      <c r="K384" t="str" vm="9550">
        <f>IFERROR(CUBEVALUE("BIDB",$A384,K$3,K$2,'Præsentationstabeller 1'!$C$2),0)</f>
        <v/>
      </c>
      <c r="L384" t="str" vm="9114">
        <f>IFERROR(CUBEVALUE("BIDB",$A384,L$3,L$2,'Præsentationstabeller 1'!$C$2),0)</f>
        <v/>
      </c>
    </row>
    <row r="385" spans="1:12" x14ac:dyDescent="0.3">
      <c r="A385" s="123" t="str" vm="951">
        <f>CUBEMEMBER("BIDB","[Dimittenddato].[Dimittenddato].&amp;[2011-06-14T00:00:00]")</f>
        <v>14-06-2011</v>
      </c>
      <c r="B385" t="str" vm="12566">
        <f>IFERROR(CUBEVALUE("BIDB",$A385,B$3,'Præsentationstabeller 1'!$C$2),0)</f>
        <v/>
      </c>
      <c r="C385" t="str" vm="8449">
        <f>IFERROR(CUBEVALUE("BIDB",$A385,C$3,C$2,'Præsentationstabeller 1'!$C$2),0)</f>
        <v/>
      </c>
      <c r="D385" vm="12683">
        <f>IFERROR(CUBEVALUE("BIDB",$A385,D$3,D$2,'Præsentationstabeller 1'!$C$2),0)</f>
        <v>2</v>
      </c>
      <c r="E385" vm="15444">
        <f>IFERROR(CUBEVALUE("BIDB",$A385,E$3,E$2,'Præsentationstabeller 1'!$C$2),0)</f>
        <v>24</v>
      </c>
      <c r="F385" vm="15466">
        <f>IFERROR(CUBEVALUE("BIDB",$A385,F$3,F$2,'Præsentationstabeller 1'!$C$2),0)</f>
        <v>4</v>
      </c>
      <c r="G385" vm="9067">
        <f>IFERROR(CUBEVALUE("BIDB",$A385,G$3,G$2,'Præsentationstabeller 1'!$C$2),0)</f>
        <v>28</v>
      </c>
      <c r="H385" t="str" vm="14502">
        <f>IFERROR(CUBEVALUE("BIDB",$A385,H$3,H$2,'Præsentationstabeller 1'!$C$2),0)</f>
        <v/>
      </c>
      <c r="I385" t="str" vm="9384">
        <f>IFERROR(CUBEVALUE("BIDB",$A385,I$3,I$2,'Præsentationstabeller 1'!$C$2),0)</f>
        <v/>
      </c>
      <c r="J385" vm="12078">
        <f>IFERROR(CUBEVALUE("BIDB",$A385,J$3,J$2,'Præsentationstabeller 1'!$C$2),0)</f>
        <v>0.4</v>
      </c>
      <c r="K385" t="str" vm="9868">
        <f>IFERROR(CUBEVALUE("BIDB",$A385,K$3,K$2,'Præsentationstabeller 1'!$C$2),0)</f>
        <v/>
      </c>
      <c r="L385" vm="12260">
        <f>IFERROR(CUBEVALUE("BIDB",$A385,L$3,L$2,'Præsentationstabeller 1'!$C$2),0)</f>
        <v>0.4</v>
      </c>
    </row>
    <row r="386" spans="1:12" x14ac:dyDescent="0.3">
      <c r="A386" s="123" t="str" vm="950">
        <f>CUBEMEMBER("BIDB","[Dimittenddato].[Dimittenddato].&amp;[2011-06-15T00:00:00]")</f>
        <v>15-06-2011</v>
      </c>
      <c r="B386" t="str" vm="15307">
        <f>IFERROR(CUBEVALUE("BIDB",$A386,B$3,'Præsentationstabeller 1'!$C$2),0)</f>
        <v/>
      </c>
      <c r="C386" vm="7851">
        <f>IFERROR(CUBEVALUE("BIDB",$A386,C$3,C$2,'Præsentationstabeller 1'!$C$2),0)</f>
        <v>1</v>
      </c>
      <c r="D386" vm="14506">
        <f>IFERROR(CUBEVALUE("BIDB",$A386,D$3,D$2,'Præsentationstabeller 1'!$C$2),0)</f>
        <v>5</v>
      </c>
      <c r="E386" vm="17017">
        <f>IFERROR(CUBEVALUE("BIDB",$A386,E$3,E$2,'Præsentationstabeller 1'!$C$2),0)</f>
        <v>24</v>
      </c>
      <c r="F386" vm="16977">
        <f>IFERROR(CUBEVALUE("BIDB",$A386,F$3,F$2,'Præsentationstabeller 1'!$C$2),0)</f>
        <v>8</v>
      </c>
      <c r="G386" vm="10347">
        <f>IFERROR(CUBEVALUE("BIDB",$A386,G$3,G$2,'Præsentationstabeller 1'!$C$2),0)</f>
        <v>32</v>
      </c>
      <c r="H386" t="str" vm="7883">
        <f>IFERROR(CUBEVALUE("BIDB",$A386,H$3,H$2,'Præsentationstabeller 1'!$C$2),0)</f>
        <v/>
      </c>
      <c r="I386" t="str" vm="13843">
        <f>IFERROR(CUBEVALUE("BIDB",$A386,I$3,I$2,'Præsentationstabeller 1'!$C$2),0)</f>
        <v/>
      </c>
      <c r="J386" vm="16619">
        <f>IFERROR(CUBEVALUE("BIDB",$A386,J$3,J$2,'Præsentationstabeller 1'!$C$2),0)</f>
        <v>0.88000000000000012</v>
      </c>
      <c r="K386" t="str" vm="9761">
        <f>IFERROR(CUBEVALUE("BIDB",$A386,K$3,K$2,'Præsentationstabeller 1'!$C$2),0)</f>
        <v/>
      </c>
      <c r="L386" vm="12676">
        <f>IFERROR(CUBEVALUE("BIDB",$A386,L$3,L$2,'Præsentationstabeller 1'!$C$2),0)</f>
        <v>0.88000000000000012</v>
      </c>
    </row>
    <row r="387" spans="1:12" x14ac:dyDescent="0.3">
      <c r="A387" s="123" t="str" vm="949">
        <f>CUBEMEMBER("BIDB","[Dimittenddato].[Dimittenddato].&amp;[2011-06-16T00:00:00]")</f>
        <v>16-06-2011</v>
      </c>
      <c r="B387" t="str" vm="14710">
        <f>IFERROR(CUBEVALUE("BIDB",$A387,B$3,'Præsentationstabeller 1'!$C$2),0)</f>
        <v/>
      </c>
      <c r="C387" t="str" vm="10161">
        <f>IFERROR(CUBEVALUE("BIDB",$A387,C$3,C$2,'Præsentationstabeller 1'!$C$2),0)</f>
        <v/>
      </c>
      <c r="D387" vm="11521">
        <f>IFERROR(CUBEVALUE("BIDB",$A387,D$3,D$2,'Præsentationstabeller 1'!$C$2),0)</f>
        <v>5</v>
      </c>
      <c r="E387" vm="11022">
        <f>IFERROR(CUBEVALUE("BIDB",$A387,E$3,E$2,'Præsentationstabeller 1'!$C$2),0)</f>
        <v>31</v>
      </c>
      <c r="F387" vm="14803">
        <f>IFERROR(CUBEVALUE("BIDB",$A387,F$3,F$2,'Præsentationstabeller 1'!$C$2),0)</f>
        <v>19</v>
      </c>
      <c r="G387" vm="8964">
        <f>IFERROR(CUBEVALUE("BIDB",$A387,G$3,G$2,'Præsentationstabeller 1'!$C$2),0)</f>
        <v>50</v>
      </c>
      <c r="H387" t="str" vm="9336">
        <f>IFERROR(CUBEVALUE("BIDB",$A387,H$3,H$2,'Præsentationstabeller 1'!$C$2),0)</f>
        <v/>
      </c>
      <c r="I387" vm="11700">
        <f>IFERROR(CUBEVALUE("BIDB",$A387,I$3,I$2,'Præsentationstabeller 1'!$C$2),0)</f>
        <v>0.4</v>
      </c>
      <c r="J387" t="str" vm="14202">
        <f>IFERROR(CUBEVALUE("BIDB",$A387,J$3,J$2,'Præsentationstabeller 1'!$C$2),0)</f>
        <v/>
      </c>
      <c r="K387" t="str" vm="12329">
        <f>IFERROR(CUBEVALUE("BIDB",$A387,K$3,K$2,'Præsentationstabeller 1'!$C$2),0)</f>
        <v/>
      </c>
      <c r="L387" t="str" vm="13525">
        <f>IFERROR(CUBEVALUE("BIDB",$A387,L$3,L$2,'Præsentationstabeller 1'!$C$2),0)</f>
        <v/>
      </c>
    </row>
    <row r="388" spans="1:12" x14ac:dyDescent="0.3">
      <c r="A388" s="123" t="str" vm="948">
        <f>CUBEMEMBER("BIDB","[Dimittenddato].[Dimittenddato].&amp;[2011-06-17T00:00:00]")</f>
        <v>17-06-2011</v>
      </c>
      <c r="B388" t="str" vm="13198">
        <f>IFERROR(CUBEVALUE("BIDB",$A388,B$3,'Præsentationstabeller 1'!$C$2),0)</f>
        <v/>
      </c>
      <c r="C388" t="str" vm="8510">
        <f>IFERROR(CUBEVALUE("BIDB",$A388,C$3,C$2,'Præsentationstabeller 1'!$C$2),0)</f>
        <v/>
      </c>
      <c r="D388" vm="9368">
        <f>IFERROR(CUBEVALUE("BIDB",$A388,D$3,D$2,'Præsentationstabeller 1'!$C$2),0)</f>
        <v>13</v>
      </c>
      <c r="E388" vm="11574">
        <f>IFERROR(CUBEVALUE("BIDB",$A388,E$3,E$2,'Præsentationstabeller 1'!$C$2),0)</f>
        <v>22</v>
      </c>
      <c r="F388" vm="13365">
        <f>IFERROR(CUBEVALUE("BIDB",$A388,F$3,F$2,'Præsentationstabeller 1'!$C$2),0)</f>
        <v>13</v>
      </c>
      <c r="G388" vm="12826">
        <f>IFERROR(CUBEVALUE("BIDB",$A388,G$3,G$2,'Præsentationstabeller 1'!$C$2),0)</f>
        <v>35</v>
      </c>
      <c r="H388" t="str" vm="9011">
        <f>IFERROR(CUBEVALUE("BIDB",$A388,H$3,H$2,'Præsentationstabeller 1'!$C$2),0)</f>
        <v/>
      </c>
      <c r="I388" t="str" vm="11633">
        <f>IFERROR(CUBEVALUE("BIDB",$A388,I$3,I$2,'Præsentationstabeller 1'!$C$2),0)</f>
        <v/>
      </c>
      <c r="J388" t="str" vm="15115">
        <f>IFERROR(CUBEVALUE("BIDB",$A388,J$3,J$2,'Præsentationstabeller 1'!$C$2),0)</f>
        <v/>
      </c>
      <c r="K388" t="str" vm="11177">
        <f>IFERROR(CUBEVALUE("BIDB",$A388,K$3,K$2,'Præsentationstabeller 1'!$C$2),0)</f>
        <v/>
      </c>
      <c r="L388" t="str" vm="14873">
        <f>IFERROR(CUBEVALUE("BIDB",$A388,L$3,L$2,'Præsentationstabeller 1'!$C$2),0)</f>
        <v/>
      </c>
    </row>
    <row r="389" spans="1:12" x14ac:dyDescent="0.3">
      <c r="A389" s="123" t="str" vm="947">
        <f>CUBEMEMBER("BIDB","[Dimittenddato].[Dimittenddato].&amp;[2011-06-18T00:00:00]")</f>
        <v>18-06-2011</v>
      </c>
      <c r="B389" t="str" vm="12153">
        <f>IFERROR(CUBEVALUE("BIDB",$A389,B$3,'Præsentationstabeller 1'!$C$2),0)</f>
        <v/>
      </c>
      <c r="C389" t="str" vm="8166">
        <f>IFERROR(CUBEVALUE("BIDB",$A389,C$3,C$2,'Præsentationstabeller 1'!$C$2),0)</f>
        <v/>
      </c>
      <c r="D389" t="str" vm="15627">
        <f>IFERROR(CUBEVALUE("BIDB",$A389,D$3,D$2,'Præsentationstabeller 1'!$C$2),0)</f>
        <v/>
      </c>
      <c r="E389" t="str" vm="9812">
        <f>IFERROR(CUBEVALUE("BIDB",$A389,E$3,E$2,'Præsentationstabeller 1'!$C$2),0)</f>
        <v/>
      </c>
      <c r="F389" t="str" vm="16578">
        <f>IFERROR(CUBEVALUE("BIDB",$A389,F$3,F$2,'Præsentationstabeller 1'!$C$2),0)</f>
        <v/>
      </c>
      <c r="G389" t="str" vm="9755">
        <f>IFERROR(CUBEVALUE("BIDB",$A389,G$3,G$2,'Præsentationstabeller 1'!$C$2),0)</f>
        <v/>
      </c>
      <c r="H389" t="str" vm="11688">
        <f>IFERROR(CUBEVALUE("BIDB",$A389,H$3,H$2,'Præsentationstabeller 1'!$C$2),0)</f>
        <v/>
      </c>
      <c r="I389" t="str" vm="10482">
        <f>IFERROR(CUBEVALUE("BIDB",$A389,I$3,I$2,'Præsentationstabeller 1'!$C$2),0)</f>
        <v/>
      </c>
      <c r="J389" t="str" vm="13432">
        <f>IFERROR(CUBEVALUE("BIDB",$A389,J$3,J$2,'Præsentationstabeller 1'!$C$2),0)</f>
        <v/>
      </c>
      <c r="K389" t="str" vm="12219">
        <f>IFERROR(CUBEVALUE("BIDB",$A389,K$3,K$2,'Præsentationstabeller 1'!$C$2),0)</f>
        <v/>
      </c>
      <c r="L389" t="str" vm="9494">
        <f>IFERROR(CUBEVALUE("BIDB",$A389,L$3,L$2,'Præsentationstabeller 1'!$C$2),0)</f>
        <v/>
      </c>
    </row>
    <row r="390" spans="1:12" x14ac:dyDescent="0.3">
      <c r="A390" s="123" t="str" vm="946">
        <f>CUBEMEMBER("BIDB","[Dimittenddato].[Dimittenddato].&amp;[2011-06-19T00:00:00]")</f>
        <v>19-06-2011</v>
      </c>
      <c r="B390" t="str" vm="11673">
        <f>IFERROR(CUBEVALUE("BIDB",$A390,B$3,'Præsentationstabeller 1'!$C$2),0)</f>
        <v/>
      </c>
      <c r="C390" t="str" vm="7234">
        <f>IFERROR(CUBEVALUE("BIDB",$A390,C$3,C$2,'Præsentationstabeller 1'!$C$2),0)</f>
        <v/>
      </c>
      <c r="D390" t="str" vm="11696">
        <f>IFERROR(CUBEVALUE("BIDB",$A390,D$3,D$2,'Præsentationstabeller 1'!$C$2),0)</f>
        <v/>
      </c>
      <c r="E390" vm="10118">
        <f>IFERROR(CUBEVALUE("BIDB",$A390,E$3,E$2,'Præsentationstabeller 1'!$C$2),0)</f>
        <v>1</v>
      </c>
      <c r="F390" t="str" vm="11896">
        <f>IFERROR(CUBEVALUE("BIDB",$A390,F$3,F$2,'Præsentationstabeller 1'!$C$2),0)</f>
        <v/>
      </c>
      <c r="G390" vm="16969">
        <f>IFERROR(CUBEVALUE("BIDB",$A390,G$3,G$2,'Præsentationstabeller 1'!$C$2),0)</f>
        <v>1</v>
      </c>
      <c r="H390" t="str" vm="8908">
        <f>IFERROR(CUBEVALUE("BIDB",$A390,H$3,H$2,'Præsentationstabeller 1'!$C$2),0)</f>
        <v/>
      </c>
      <c r="I390" t="str" vm="15305">
        <f>IFERROR(CUBEVALUE("BIDB",$A390,I$3,I$2,'Præsentationstabeller 1'!$C$2),0)</f>
        <v/>
      </c>
      <c r="J390" t="str" vm="14246">
        <f>IFERROR(CUBEVALUE("BIDB",$A390,J$3,J$2,'Præsentationstabeller 1'!$C$2),0)</f>
        <v/>
      </c>
      <c r="K390" t="str" vm="10715">
        <f>IFERROR(CUBEVALUE("BIDB",$A390,K$3,K$2,'Præsentationstabeller 1'!$C$2),0)</f>
        <v/>
      </c>
      <c r="L390" t="str" vm="17044">
        <f>IFERROR(CUBEVALUE("BIDB",$A390,L$3,L$2,'Præsentationstabeller 1'!$C$2),0)</f>
        <v/>
      </c>
    </row>
    <row r="391" spans="1:12" x14ac:dyDescent="0.3">
      <c r="A391" s="123" t="str" vm="945">
        <f>CUBEMEMBER("BIDB","[Dimittenddato].[Dimittenddato].&amp;[2011-06-20T00:00:00]")</f>
        <v>20-06-2011</v>
      </c>
      <c r="B391" t="str" vm="12924">
        <f>IFERROR(CUBEVALUE("BIDB",$A391,B$3,'Præsentationstabeller 1'!$C$2),0)</f>
        <v/>
      </c>
      <c r="C391" t="str" vm="8063">
        <f>IFERROR(CUBEVALUE("BIDB",$A391,C$3,C$2,'Præsentationstabeller 1'!$C$2),0)</f>
        <v/>
      </c>
      <c r="D391" vm="12498">
        <f>IFERROR(CUBEVALUE("BIDB",$A391,D$3,D$2,'Præsentationstabeller 1'!$C$2),0)</f>
        <v>9</v>
      </c>
      <c r="E391" vm="12273">
        <f>IFERROR(CUBEVALUE("BIDB",$A391,E$3,E$2,'Præsentationstabeller 1'!$C$2),0)</f>
        <v>34</v>
      </c>
      <c r="F391" vm="13685">
        <f>IFERROR(CUBEVALUE("BIDB",$A391,F$3,F$2,'Præsentationstabeller 1'!$C$2),0)</f>
        <v>16</v>
      </c>
      <c r="G391" vm="9187">
        <f>IFERROR(CUBEVALUE("BIDB",$A391,G$3,G$2,'Præsentationstabeller 1'!$C$2),0)</f>
        <v>50</v>
      </c>
      <c r="H391" t="str" vm="7979">
        <f>IFERROR(CUBEVALUE("BIDB",$A391,H$3,H$2,'Præsentationstabeller 1'!$C$2),0)</f>
        <v/>
      </c>
      <c r="I391" vm="15663">
        <f>IFERROR(CUBEVALUE("BIDB",$A391,I$3,I$2,'Præsentationstabeller 1'!$C$2),0)</f>
        <v>0.88000000000000012</v>
      </c>
      <c r="J391" t="str" vm="11545">
        <f>IFERROR(CUBEVALUE("BIDB",$A391,J$3,J$2,'Præsentationstabeller 1'!$C$2),0)</f>
        <v/>
      </c>
      <c r="K391" t="str" vm="10567">
        <f>IFERROR(CUBEVALUE("BIDB",$A391,K$3,K$2,'Præsentationstabeller 1'!$C$2),0)</f>
        <v/>
      </c>
      <c r="L391" t="str" vm="10291">
        <f>IFERROR(CUBEVALUE("BIDB",$A391,L$3,L$2,'Præsentationstabeller 1'!$C$2),0)</f>
        <v/>
      </c>
    </row>
    <row r="392" spans="1:12" x14ac:dyDescent="0.3">
      <c r="A392" s="123" t="str" vm="944">
        <f>CUBEMEMBER("BIDB","[Dimittenddato].[Dimittenddato].&amp;[2011-06-21T00:00:00]")</f>
        <v>21-06-2011</v>
      </c>
      <c r="B392" t="str" vm="12066">
        <f>IFERROR(CUBEVALUE("BIDB",$A392,B$3,'Præsentationstabeller 1'!$C$2),0)</f>
        <v/>
      </c>
      <c r="C392" vm="6329">
        <f>IFERROR(CUBEVALUE("BIDB",$A392,C$3,C$2,'Præsentationstabeller 1'!$C$2),0)</f>
        <v>1</v>
      </c>
      <c r="D392" vm="10979">
        <f>IFERROR(CUBEVALUE("BIDB",$A392,D$3,D$2,'Præsentationstabeller 1'!$C$2),0)</f>
        <v>5</v>
      </c>
      <c r="E392" vm="15271">
        <f>IFERROR(CUBEVALUE("BIDB",$A392,E$3,E$2,'Præsentationstabeller 1'!$C$2),0)</f>
        <v>23</v>
      </c>
      <c r="F392" vm="15596">
        <f>IFERROR(CUBEVALUE("BIDB",$A392,F$3,F$2,'Præsentationstabeller 1'!$C$2),0)</f>
        <v>10</v>
      </c>
      <c r="G392" vm="11064">
        <f>IFERROR(CUBEVALUE("BIDB",$A392,G$3,G$2,'Præsentationstabeller 1'!$C$2),0)</f>
        <v>33</v>
      </c>
      <c r="H392" t="str" vm="9741">
        <f>IFERROR(CUBEVALUE("BIDB",$A392,H$3,H$2,'Præsentationstabeller 1'!$C$2),0)</f>
        <v/>
      </c>
      <c r="I392" t="str" vm="15961">
        <f>IFERROR(CUBEVALUE("BIDB",$A392,I$3,I$2,'Præsentationstabeller 1'!$C$2),0)</f>
        <v/>
      </c>
      <c r="J392" t="str" vm="16580">
        <f>IFERROR(CUBEVALUE("BIDB",$A392,J$3,J$2,'Præsentationstabeller 1'!$C$2),0)</f>
        <v/>
      </c>
      <c r="K392" t="str" vm="12703">
        <f>IFERROR(CUBEVALUE("BIDB",$A392,K$3,K$2,'Præsentationstabeller 1'!$C$2),0)</f>
        <v/>
      </c>
      <c r="L392" t="str" vm="16314">
        <f>IFERROR(CUBEVALUE("BIDB",$A392,L$3,L$2,'Præsentationstabeller 1'!$C$2),0)</f>
        <v/>
      </c>
    </row>
    <row r="393" spans="1:12" x14ac:dyDescent="0.3">
      <c r="A393" s="123" t="str" vm="943">
        <f>CUBEMEMBER("BIDB","[Dimittenddato].[Dimittenddato].&amp;[2011-06-22T00:00:00]")</f>
        <v>22-06-2011</v>
      </c>
      <c r="B393" t="str" vm="14951">
        <f>IFERROR(CUBEVALUE("BIDB",$A393,B$3,'Præsentationstabeller 1'!$C$2),0)</f>
        <v/>
      </c>
      <c r="C393" t="str" vm="7960">
        <f>IFERROR(CUBEVALUE("BIDB",$A393,C$3,C$2,'Præsentationstabeller 1'!$C$2),0)</f>
        <v/>
      </c>
      <c r="D393" vm="13132">
        <f>IFERROR(CUBEVALUE("BIDB",$A393,D$3,D$2,'Præsentationstabeller 1'!$C$2),0)</f>
        <v>1</v>
      </c>
      <c r="E393" vm="12205">
        <f>IFERROR(CUBEVALUE("BIDB",$A393,E$3,E$2,'Præsentationstabeller 1'!$C$2),0)</f>
        <v>25</v>
      </c>
      <c r="F393" vm="13103">
        <f>IFERROR(CUBEVALUE("BIDB",$A393,F$3,F$2,'Præsentationstabeller 1'!$C$2),0)</f>
        <v>13</v>
      </c>
      <c r="G393" vm="8578">
        <f>IFERROR(CUBEVALUE("BIDB",$A393,G$3,G$2,'Præsentationstabeller 1'!$C$2),0)</f>
        <v>38</v>
      </c>
      <c r="H393" t="str" vm="17016">
        <f>IFERROR(CUBEVALUE("BIDB",$A393,H$3,H$2,'Præsentationstabeller 1'!$C$2),0)</f>
        <v/>
      </c>
      <c r="I393" t="str" vm="11845">
        <f>IFERROR(CUBEVALUE("BIDB",$A393,I$3,I$2,'Præsentationstabeller 1'!$C$2),0)</f>
        <v/>
      </c>
      <c r="J393" t="str" vm="11904">
        <f>IFERROR(CUBEVALUE("BIDB",$A393,J$3,J$2,'Præsentationstabeller 1'!$C$2),0)</f>
        <v/>
      </c>
      <c r="K393" t="str" vm="9357">
        <f>IFERROR(CUBEVALUE("BIDB",$A393,K$3,K$2,'Præsentationstabeller 1'!$C$2),0)</f>
        <v/>
      </c>
      <c r="L393" t="str" vm="11749">
        <f>IFERROR(CUBEVALUE("BIDB",$A393,L$3,L$2,'Præsentationstabeller 1'!$C$2),0)</f>
        <v/>
      </c>
    </row>
    <row r="394" spans="1:12" x14ac:dyDescent="0.3">
      <c r="A394" s="123" t="str" vm="942">
        <f>CUBEMEMBER("BIDB","[Dimittenddato].[Dimittenddato].&amp;[2011-06-23T00:00:00]")</f>
        <v>23-06-2011</v>
      </c>
      <c r="B394" t="str" vm="12424">
        <f>IFERROR(CUBEVALUE("BIDB",$A394,B$3,'Præsentationstabeller 1'!$C$2),0)</f>
        <v/>
      </c>
      <c r="C394" t="str" vm="7362">
        <f>IFERROR(CUBEVALUE("BIDB",$A394,C$3,C$2,'Præsentationstabeller 1'!$C$2),0)</f>
        <v/>
      </c>
      <c r="D394" vm="16095">
        <f>IFERROR(CUBEVALUE("BIDB",$A394,D$3,D$2,'Præsentationstabeller 1'!$C$2),0)</f>
        <v>5</v>
      </c>
      <c r="E394" vm="14364">
        <f>IFERROR(CUBEVALUE("BIDB",$A394,E$3,E$2,'Præsentationstabeller 1'!$C$2),0)</f>
        <v>24</v>
      </c>
      <c r="F394" vm="15291">
        <f>IFERROR(CUBEVALUE("BIDB",$A394,F$3,F$2,'Præsentationstabeller 1'!$C$2),0)</f>
        <v>4</v>
      </c>
      <c r="G394" vm="9854">
        <f>IFERROR(CUBEVALUE("BIDB",$A394,G$3,G$2,'Præsentationstabeller 1'!$C$2),0)</f>
        <v>28</v>
      </c>
      <c r="H394" t="str" vm="7394">
        <f>IFERROR(CUBEVALUE("BIDB",$A394,H$3,H$2,'Præsentationstabeller 1'!$C$2),0)</f>
        <v/>
      </c>
      <c r="I394" t="str" vm="14828">
        <f>IFERROR(CUBEVALUE("BIDB",$A394,I$3,I$2,'Præsentationstabeller 1'!$C$2),0)</f>
        <v/>
      </c>
      <c r="J394" t="str" vm="15357">
        <f>IFERROR(CUBEVALUE("BIDB",$A394,J$3,J$2,'Præsentationstabeller 1'!$C$2),0)</f>
        <v/>
      </c>
      <c r="K394" t="str" vm="10460">
        <f>IFERROR(CUBEVALUE("BIDB",$A394,K$3,K$2,'Præsentationstabeller 1'!$C$2),0)</f>
        <v/>
      </c>
      <c r="L394" t="str" vm="13932">
        <f>IFERROR(CUBEVALUE("BIDB",$A394,L$3,L$2,'Præsentationstabeller 1'!$C$2),0)</f>
        <v/>
      </c>
    </row>
    <row r="395" spans="1:12" x14ac:dyDescent="0.3">
      <c r="A395" s="123" t="str" vm="941">
        <f>CUBEMEMBER("BIDB","[Dimittenddato].[Dimittenddato].&amp;[2011-06-24T00:00:00]")</f>
        <v>24-06-2011</v>
      </c>
      <c r="B395" t="str" vm="16608">
        <f>IFERROR(CUBEVALUE("BIDB",$A395,B$3,'Præsentationstabeller 1'!$C$2),0)</f>
        <v/>
      </c>
      <c r="C395" t="str" vm="14535">
        <f>IFERROR(CUBEVALUE("BIDB",$A395,C$3,C$2,'Præsentationstabeller 1'!$C$2),0)</f>
        <v/>
      </c>
      <c r="D395" vm="14115">
        <f>IFERROR(CUBEVALUE("BIDB",$A395,D$3,D$2,'Præsentationstabeller 1'!$C$2),0)</f>
        <v>7</v>
      </c>
      <c r="E395" vm="10511">
        <f>IFERROR(CUBEVALUE("BIDB",$A395,E$3,E$2,'Præsentationstabeller 1'!$C$2),0)</f>
        <v>27</v>
      </c>
      <c r="F395" vm="14090">
        <f>IFERROR(CUBEVALUE("BIDB",$A395,F$3,F$2,'Præsentationstabeller 1'!$C$2),0)</f>
        <v>14</v>
      </c>
      <c r="G395" vm="8475">
        <f>IFERROR(CUBEVALUE("BIDB",$A395,G$3,G$2,'Præsentationstabeller 1'!$C$2),0)</f>
        <v>41</v>
      </c>
      <c r="H395" t="str" vm="11797">
        <f>IFERROR(CUBEVALUE("BIDB",$A395,H$3,H$2,'Præsentationstabeller 1'!$C$2),0)</f>
        <v/>
      </c>
      <c r="I395" vm="10538">
        <f>IFERROR(CUBEVALUE("BIDB",$A395,I$3,I$2,'Præsentationstabeller 1'!$C$2),0)</f>
        <v>1.52</v>
      </c>
      <c r="J395" vm="11642">
        <f>IFERROR(CUBEVALUE("BIDB",$A395,J$3,J$2,'Præsentationstabeller 1'!$C$2),0)</f>
        <v>1</v>
      </c>
      <c r="K395" t="str" vm="11818">
        <f>IFERROR(CUBEVALUE("BIDB",$A395,K$3,K$2,'Præsentationstabeller 1'!$C$2),0)</f>
        <v/>
      </c>
      <c r="L395" vm="16640">
        <f>IFERROR(CUBEVALUE("BIDB",$A395,L$3,L$2,'Præsentationstabeller 1'!$C$2),0)</f>
        <v>1</v>
      </c>
    </row>
    <row r="396" spans="1:12" x14ac:dyDescent="0.3">
      <c r="A396" s="123" t="str" vm="940">
        <f>CUBEMEMBER("BIDB","[Dimittenddato].[Dimittenddato].&amp;[2011-06-25T00:00:00]")</f>
        <v>25-06-2011</v>
      </c>
      <c r="B396" t="str" vm="13098">
        <f>IFERROR(CUBEVALUE("BIDB",$A396,B$3,'Præsentationstabeller 1'!$C$2),0)</f>
        <v/>
      </c>
      <c r="C396" t="str" vm="8407">
        <f>IFERROR(CUBEVALUE("BIDB",$A396,C$3,C$2,'Præsentationstabeller 1'!$C$2),0)</f>
        <v/>
      </c>
      <c r="D396" t="str" vm="11829">
        <f>IFERROR(CUBEVALUE("BIDB",$A396,D$3,D$2,'Præsentationstabeller 1'!$C$2),0)</f>
        <v/>
      </c>
      <c r="E396" vm="13954">
        <f>IFERROR(CUBEVALUE("BIDB",$A396,E$3,E$2,'Præsentationstabeller 1'!$C$2),0)</f>
        <v>2</v>
      </c>
      <c r="F396" vm="16139">
        <f>IFERROR(CUBEVALUE("BIDB",$A396,F$3,F$2,'Præsentationstabeller 1'!$C$2),0)</f>
        <v>4</v>
      </c>
      <c r="G396" vm="12315">
        <f>IFERROR(CUBEVALUE("BIDB",$A396,G$3,G$2,'Præsentationstabeller 1'!$C$2),0)</f>
        <v>6</v>
      </c>
      <c r="H396" t="str" vm="8625">
        <f>IFERROR(CUBEVALUE("BIDB",$A396,H$3,H$2,'Præsentationstabeller 1'!$C$2),0)</f>
        <v/>
      </c>
      <c r="I396" t="str" vm="11484">
        <f>IFERROR(CUBEVALUE("BIDB",$A396,I$3,I$2,'Præsentationstabeller 1'!$C$2),0)</f>
        <v/>
      </c>
      <c r="J396" t="str" vm="11403">
        <f>IFERROR(CUBEVALUE("BIDB",$A396,J$3,J$2,'Præsentationstabeller 1'!$C$2),0)</f>
        <v/>
      </c>
      <c r="K396" vm="9250">
        <f>IFERROR(CUBEVALUE("BIDB",$A396,K$3,K$2,'Præsentationstabeller 1'!$C$2),0)</f>
        <v>0.64</v>
      </c>
      <c r="L396" vm="12015">
        <f>IFERROR(CUBEVALUE("BIDB",$A396,L$3,L$2,'Præsentationstabeller 1'!$C$2),0)</f>
        <v>0.64</v>
      </c>
    </row>
    <row r="397" spans="1:12" x14ac:dyDescent="0.3">
      <c r="A397" s="123" t="str" vm="939">
        <f>CUBEMEMBER("BIDB","[Dimittenddato].[Dimittenddato].&amp;[2011-06-26T00:00:00]")</f>
        <v>26-06-2011</v>
      </c>
      <c r="B397" t="str" vm="14457">
        <f>IFERROR(CUBEVALUE("BIDB",$A397,B$3,'Præsentationstabeller 1'!$C$2),0)</f>
        <v/>
      </c>
      <c r="C397" t="str" vm="7677">
        <f>IFERROR(CUBEVALUE("BIDB",$A397,C$3,C$2,'Præsentationstabeller 1'!$C$2),0)</f>
        <v/>
      </c>
      <c r="D397" t="str" vm="11583">
        <f>IFERROR(CUBEVALUE("BIDB",$A397,D$3,D$2,'Præsentationstabeller 1'!$C$2),0)</f>
        <v/>
      </c>
      <c r="E397" t="str" vm="9301">
        <f>IFERROR(CUBEVALUE("BIDB",$A397,E$3,E$2,'Præsentationstabeller 1'!$C$2),0)</f>
        <v/>
      </c>
      <c r="F397" vm="16090">
        <f>IFERROR(CUBEVALUE("BIDB",$A397,F$3,F$2,'Præsentationstabeller 1'!$C$2),0)</f>
        <v>1</v>
      </c>
      <c r="G397" vm="11171">
        <f>IFERROR(CUBEVALUE("BIDB",$A397,G$3,G$2,'Præsentationstabeller 1'!$C$2),0)</f>
        <v>1</v>
      </c>
      <c r="H397" t="str" vm="10490">
        <f>IFERROR(CUBEVALUE("BIDB",$A397,H$3,H$2,'Præsentationstabeller 1'!$C$2),0)</f>
        <v/>
      </c>
      <c r="I397" t="str" vm="9272">
        <f>IFERROR(CUBEVALUE("BIDB",$A397,I$3,I$2,'Præsentationstabeller 1'!$C$2),0)</f>
        <v/>
      </c>
      <c r="J397" t="str" vm="17098">
        <f>IFERROR(CUBEVALUE("BIDB",$A397,J$3,J$2,'Præsentationstabeller 1'!$C$2),0)</f>
        <v/>
      </c>
      <c r="K397" t="str" vm="11460">
        <f>IFERROR(CUBEVALUE("BIDB",$A397,K$3,K$2,'Præsentationstabeller 1'!$C$2),0)</f>
        <v/>
      </c>
      <c r="L397" t="str" vm="11008">
        <f>IFERROR(CUBEVALUE("BIDB",$A397,L$3,L$2,'Præsentationstabeller 1'!$C$2),0)</f>
        <v/>
      </c>
    </row>
    <row r="398" spans="1:12" x14ac:dyDescent="0.3">
      <c r="A398" s="123" t="str" vm="938">
        <f>CUBEMEMBER("BIDB","[Dimittenddato].[Dimittenddato].&amp;[2011-06-27T00:00:00]")</f>
        <v>27-06-2011</v>
      </c>
      <c r="B398" t="str" vm="13730">
        <f>IFERROR(CUBEVALUE("BIDB",$A398,B$3,'Præsentationstabeller 1'!$C$2),0)</f>
        <v/>
      </c>
      <c r="C398" t="str" vm="8700">
        <f>IFERROR(CUBEVALUE("BIDB",$A398,C$3,C$2,'Præsentationstabeller 1'!$C$2),0)</f>
        <v/>
      </c>
      <c r="D398" vm="10522">
        <f>IFERROR(CUBEVALUE("BIDB",$A398,D$3,D$2,'Præsentationstabeller 1'!$C$2),0)</f>
        <v>7</v>
      </c>
      <c r="E398" vm="10915">
        <f>IFERROR(CUBEVALUE("BIDB",$A398,E$3,E$2,'Præsentationstabeller 1'!$C$2),0)</f>
        <v>26</v>
      </c>
      <c r="F398" vm="16650">
        <f>IFERROR(CUBEVALUE("BIDB",$A398,F$3,F$2,'Præsentationstabeller 1'!$C$2),0)</f>
        <v>6</v>
      </c>
      <c r="G398" vm="13237">
        <f>IFERROR(CUBEVALUE("BIDB",$A398,G$3,G$2,'Præsentationstabeller 1'!$C$2),0)</f>
        <v>32</v>
      </c>
      <c r="H398" t="str" vm="8522">
        <f>IFERROR(CUBEVALUE("BIDB",$A398,H$3,H$2,'Præsentationstabeller 1'!$C$2),0)</f>
        <v/>
      </c>
      <c r="I398" t="str" vm="13988">
        <f>IFERROR(CUBEVALUE("BIDB",$A398,I$3,I$2,'Præsentationstabeller 1'!$C$2),0)</f>
        <v/>
      </c>
      <c r="J398" vm="13089">
        <f>IFERROR(CUBEVALUE("BIDB",$A398,J$3,J$2,'Præsentationstabeller 1'!$C$2),0)</f>
        <v>1</v>
      </c>
      <c r="K398" t="str" vm="10204">
        <f>IFERROR(CUBEVALUE("BIDB",$A398,K$3,K$2,'Præsentationstabeller 1'!$C$2),0)</f>
        <v/>
      </c>
      <c r="L398" vm="12084">
        <f>IFERROR(CUBEVALUE("BIDB",$A398,L$3,L$2,'Præsentationstabeller 1'!$C$2),0)</f>
        <v>1</v>
      </c>
    </row>
    <row r="399" spans="1:12" x14ac:dyDescent="0.3">
      <c r="A399" s="123" t="str" vm="937">
        <f>CUBEMEMBER("BIDB","[Dimittenddato].[Dimittenddato].&amp;[2011-06-28T00:00:00]")</f>
        <v>28-06-2011</v>
      </c>
      <c r="B399" t="str" vm="15736">
        <f>IFERROR(CUBEVALUE("BIDB",$A399,B$3,'Præsentationstabeller 1'!$C$2),0)</f>
        <v/>
      </c>
      <c r="C399" t="str" vm="7574">
        <f>IFERROR(CUBEVALUE("BIDB",$A399,C$3,C$2,'Præsentationstabeller 1'!$C$2),0)</f>
        <v/>
      </c>
      <c r="D399" t="str" vm="10136">
        <f>IFERROR(CUBEVALUE("BIDB",$A399,D$3,D$2,'Præsentationstabeller 1'!$C$2),0)</f>
        <v/>
      </c>
      <c r="E399" vm="11118">
        <f>IFERROR(CUBEVALUE("BIDB",$A399,E$3,E$2,'Præsentationstabeller 1'!$C$2),0)</f>
        <v>20</v>
      </c>
      <c r="F399" vm="13789">
        <f>IFERROR(CUBEVALUE("BIDB",$A399,F$3,F$2,'Præsentationstabeller 1'!$C$2),0)</f>
        <v>2</v>
      </c>
      <c r="G399" vm="10701">
        <f>IFERROR(CUBEVALUE("BIDB",$A399,G$3,G$2,'Præsentationstabeller 1'!$C$2),0)</f>
        <v>22</v>
      </c>
      <c r="H399" t="str" vm="16886">
        <f>IFERROR(CUBEVALUE("BIDB",$A399,H$3,H$2,'Præsentationstabeller 1'!$C$2),0)</f>
        <v/>
      </c>
      <c r="I399" t="str" vm="11762">
        <f>IFERROR(CUBEVALUE("BIDB",$A399,I$3,I$2,'Præsentationstabeller 1'!$C$2),0)</f>
        <v/>
      </c>
      <c r="J399" t="str" vm="14213">
        <f>IFERROR(CUBEVALUE("BIDB",$A399,J$3,J$2,'Præsentationstabeller 1'!$C$2),0)</f>
        <v/>
      </c>
      <c r="K399" t="str" vm="10074">
        <f>IFERROR(CUBEVALUE("BIDB",$A399,K$3,K$2,'Præsentationstabeller 1'!$C$2),0)</f>
        <v/>
      </c>
      <c r="L399" t="str" vm="9798">
        <f>IFERROR(CUBEVALUE("BIDB",$A399,L$3,L$2,'Præsentationstabeller 1'!$C$2),0)</f>
        <v/>
      </c>
    </row>
    <row r="400" spans="1:12" x14ac:dyDescent="0.3">
      <c r="A400" s="123" t="str" vm="936">
        <f>CUBEMEMBER("BIDB","[Dimittenddato].[Dimittenddato].&amp;[2011-06-29T00:00:00]")</f>
        <v>29-06-2011</v>
      </c>
      <c r="B400" t="str" vm="14207">
        <f>IFERROR(CUBEVALUE("BIDB",$A400,B$3,'Præsentationstabeller 1'!$C$2),0)</f>
        <v/>
      </c>
      <c r="C400" t="str" vm="14153">
        <f>IFERROR(CUBEVALUE("BIDB",$A400,C$3,C$2,'Præsentationstabeller 1'!$C$2),0)</f>
        <v/>
      </c>
      <c r="D400" vm="10666">
        <f>IFERROR(CUBEVALUE("BIDB",$A400,D$3,D$2,'Præsentationstabeller 1'!$C$2),0)</f>
        <v>1</v>
      </c>
      <c r="E400" vm="10871">
        <f>IFERROR(CUBEVALUE("BIDB",$A400,E$3,E$2,'Præsentationstabeller 1'!$C$2),0)</f>
        <v>8</v>
      </c>
      <c r="F400" vm="11214">
        <f>IFERROR(CUBEVALUE("BIDB",$A400,F$3,F$2,'Præsentationstabeller 1'!$C$2),0)</f>
        <v>2</v>
      </c>
      <c r="G400" vm="7092">
        <f>IFERROR(CUBEVALUE("BIDB",$A400,G$3,G$2,'Præsentationstabeller 1'!$C$2),0)</f>
        <v>10</v>
      </c>
      <c r="H400" t="str" vm="9769">
        <f>IFERROR(CUBEVALUE("BIDB",$A400,H$3,H$2,'Præsentationstabeller 1'!$C$2),0)</f>
        <v/>
      </c>
      <c r="I400" t="str" vm="15280">
        <f>IFERROR(CUBEVALUE("BIDB",$A400,I$3,I$2,'Præsentationstabeller 1'!$C$2),0)</f>
        <v/>
      </c>
      <c r="J400" t="str" vm="16437">
        <f>IFERROR(CUBEVALUE("BIDB",$A400,J$3,J$2,'Præsentationstabeller 1'!$C$2),0)</f>
        <v/>
      </c>
      <c r="K400" t="str" vm="10553">
        <f>IFERROR(CUBEVALUE("BIDB",$A400,K$3,K$2,'Præsentationstabeller 1'!$C$2),0)</f>
        <v/>
      </c>
      <c r="L400" t="str" vm="8419">
        <f>IFERROR(CUBEVALUE("BIDB",$A400,L$3,L$2,'Præsentationstabeller 1'!$C$2),0)</f>
        <v/>
      </c>
    </row>
    <row r="401" spans="1:12" x14ac:dyDescent="0.3">
      <c r="A401" s="123" t="str" vm="935">
        <f>CUBEMEMBER("BIDB","[Dimittenddato].[Dimittenddato].&amp;[2011-06-30T00:00:00]")</f>
        <v>30-06-2011</v>
      </c>
      <c r="B401" t="str" vm="9343">
        <f>IFERROR(CUBEVALUE("BIDB",$A401,B$3,'Præsentationstabeller 1'!$C$2),0)</f>
        <v/>
      </c>
      <c r="C401" t="str" vm="8860">
        <f>IFERROR(CUBEVALUE("BIDB",$A401,C$3,C$2,'Præsentationstabeller 1'!$C$2),0)</f>
        <v/>
      </c>
      <c r="D401" vm="13000">
        <f>IFERROR(CUBEVALUE("BIDB",$A401,D$3,D$2,'Præsentationstabeller 1'!$C$2),0)</f>
        <v>5</v>
      </c>
      <c r="E401" vm="15164">
        <f>IFERROR(CUBEVALUE("BIDB",$A401,E$3,E$2,'Præsentationstabeller 1'!$C$2),0)</f>
        <v>23</v>
      </c>
      <c r="F401" vm="11945">
        <f>IFERROR(CUBEVALUE("BIDB",$A401,F$3,F$2,'Præsentationstabeller 1'!$C$2),0)</f>
        <v>8</v>
      </c>
      <c r="G401" vm="13736">
        <f>IFERROR(CUBEVALUE("BIDB",$A401,G$3,G$2,'Præsentationstabeller 1'!$C$2),0)</f>
        <v>31</v>
      </c>
      <c r="H401" t="str" vm="7471">
        <f>IFERROR(CUBEVALUE("BIDB",$A401,H$3,H$2,'Præsentationstabeller 1'!$C$2),0)</f>
        <v/>
      </c>
      <c r="I401" vm="8828">
        <f>IFERROR(CUBEVALUE("BIDB",$A401,I$3,I$2,'Præsentationstabeller 1'!$C$2),0)</f>
        <v>1</v>
      </c>
      <c r="J401" vm="14211">
        <f>IFERROR(CUBEVALUE("BIDB",$A401,J$3,J$2,'Præsentationstabeller 1'!$C$2),0)</f>
        <v>0.44000000000000006</v>
      </c>
      <c r="K401" t="str" vm="11446">
        <f>IFERROR(CUBEVALUE("BIDB",$A401,K$3,K$2,'Præsentationstabeller 1'!$C$2),0)</f>
        <v/>
      </c>
      <c r="L401" vm="8089">
        <f>IFERROR(CUBEVALUE("BIDB",$A401,L$3,L$2,'Præsentationstabeller 1'!$C$2),0)</f>
        <v>0.44000000000000006</v>
      </c>
    </row>
    <row r="402" spans="1:12" x14ac:dyDescent="0.3">
      <c r="A402" s="123" t="str" vm="934">
        <f>CUBEMEMBER("BIDB","[Dimittenddato].[Dimittenddato].&amp;[2011-07-01T00:00:00]")</f>
        <v>01-07-2011</v>
      </c>
      <c r="B402" t="str" vm="10018">
        <f>IFERROR(CUBEVALUE("BIDB",$A402,B$3,'Præsentationstabeller 1'!$C$2),0)</f>
        <v/>
      </c>
      <c r="C402" vm="7986">
        <f>IFERROR(CUBEVALUE("BIDB",$A402,C$3,C$2,'Præsentationstabeller 1'!$C$2),0)</f>
        <v>1</v>
      </c>
      <c r="D402" vm="12988">
        <f>IFERROR(CUBEVALUE("BIDB",$A402,D$3,D$2,'Præsentationstabeller 1'!$C$2),0)</f>
        <v>3</v>
      </c>
      <c r="E402" vm="11157">
        <f>IFERROR(CUBEVALUE("BIDB",$A402,E$3,E$2,'Præsentationstabeller 1'!$C$2),0)</f>
        <v>22</v>
      </c>
      <c r="F402" vm="9328">
        <f>IFERROR(CUBEVALUE("BIDB",$A402,F$3,F$2,'Præsentationstabeller 1'!$C$2),0)</f>
        <v>6</v>
      </c>
      <c r="G402" vm="11306">
        <f>IFERROR(CUBEVALUE("BIDB",$A402,G$3,G$2,'Præsentationstabeller 1'!$C$2),0)</f>
        <v>28</v>
      </c>
      <c r="H402" t="str" vm="13223">
        <f>IFERROR(CUBEVALUE("BIDB",$A402,H$3,H$2,'Præsentationstabeller 1'!$C$2),0)</f>
        <v/>
      </c>
      <c r="I402" t="str" vm="14608">
        <f>IFERROR(CUBEVALUE("BIDB",$A402,I$3,I$2,'Præsentationstabeller 1'!$C$2),0)</f>
        <v/>
      </c>
      <c r="J402" t="str" vm="9444">
        <f>IFERROR(CUBEVALUE("BIDB",$A402,J$3,J$2,'Præsentationstabeller 1'!$C$2),0)</f>
        <v/>
      </c>
      <c r="K402" t="str" vm="16531">
        <f>IFERROR(CUBEVALUE("BIDB",$A402,K$3,K$2,'Præsentationstabeller 1'!$C$2),0)</f>
        <v/>
      </c>
      <c r="L402" t="str" vm="11414">
        <f>IFERROR(CUBEVALUE("BIDB",$A402,L$3,L$2,'Præsentationstabeller 1'!$C$2),0)</f>
        <v/>
      </c>
    </row>
    <row r="403" spans="1:12" x14ac:dyDescent="0.3">
      <c r="A403" s="123" t="str" vm="933">
        <f>CUBEMEMBER("BIDB","[Dimittenddato].[Dimittenddato].&amp;[2011-07-02T00:00:00]")</f>
        <v>02-07-2011</v>
      </c>
      <c r="B403" t="str" vm="13963">
        <f>IFERROR(CUBEVALUE("BIDB",$A403,B$3,'Præsentationstabeller 1'!$C$2),0)</f>
        <v/>
      </c>
      <c r="C403" t="str" vm="14168">
        <f>IFERROR(CUBEVALUE("BIDB",$A403,C$3,C$2,'Præsentationstabeller 1'!$C$2),0)</f>
        <v/>
      </c>
      <c r="D403" t="str" vm="11804">
        <f>IFERROR(CUBEVALUE("BIDB",$A403,D$3,D$2,'Præsentationstabeller 1'!$C$2),0)</f>
        <v/>
      </c>
      <c r="E403" t="str" vm="11679">
        <f>IFERROR(CUBEVALUE("BIDB",$A403,E$3,E$2,'Præsentationstabeller 1'!$C$2),0)</f>
        <v/>
      </c>
      <c r="F403" vm="9280">
        <f>IFERROR(CUBEVALUE("BIDB",$A403,F$3,F$2,'Præsentationstabeller 1'!$C$2),0)</f>
        <v>3</v>
      </c>
      <c r="G403" vm="15336">
        <f>IFERROR(CUBEVALUE("BIDB",$A403,G$3,G$2,'Præsentationstabeller 1'!$C$2),0)</f>
        <v>3</v>
      </c>
      <c r="H403" t="str" vm="9967">
        <f>IFERROR(CUBEVALUE("BIDB",$A403,H$3,H$2,'Præsentationstabeller 1'!$C$2),0)</f>
        <v/>
      </c>
      <c r="I403" t="str" vm="14054">
        <f>IFERROR(CUBEVALUE("BIDB",$A403,I$3,I$2,'Præsentationstabeller 1'!$C$2),0)</f>
        <v/>
      </c>
      <c r="J403" t="str" vm="10497">
        <f>IFERROR(CUBEVALUE("BIDB",$A403,J$3,J$2,'Præsentationstabeller 1'!$C$2),0)</f>
        <v/>
      </c>
      <c r="K403" t="str" vm="11154">
        <f>IFERROR(CUBEVALUE("BIDB",$A403,K$3,K$2,'Præsentationstabeller 1'!$C$2),0)</f>
        <v/>
      </c>
      <c r="L403" t="str" vm="12996">
        <f>IFERROR(CUBEVALUE("BIDB",$A403,L$3,L$2,'Præsentationstabeller 1'!$C$2),0)</f>
        <v/>
      </c>
    </row>
    <row r="404" spans="1:12" x14ac:dyDescent="0.3">
      <c r="A404" s="123" t="str" vm="932">
        <f>CUBEMEMBER("BIDB","[Dimittenddato].[Dimittenddato].&amp;[2011-07-03T00:00:00]")</f>
        <v>03-07-2011</v>
      </c>
      <c r="B404" t="str" vm="8211">
        <f>IFERROR(CUBEVALUE("BIDB",$A404,B$3,'Præsentationstabeller 1'!$C$2),0)</f>
        <v/>
      </c>
      <c r="C404" t="str" vm="9312">
        <f>IFERROR(CUBEVALUE("BIDB",$A404,C$3,C$2,'Præsentationstabeller 1'!$C$2),0)</f>
        <v/>
      </c>
      <c r="D404" t="str" vm="10815">
        <f>IFERROR(CUBEVALUE("BIDB",$A404,D$3,D$2,'Præsentationstabeller 1'!$C$2),0)</f>
        <v/>
      </c>
      <c r="E404" t="str" vm="11350">
        <f>IFERROR(CUBEVALUE("BIDB",$A404,E$3,E$2,'Præsentationstabeller 1'!$C$2),0)</f>
        <v/>
      </c>
      <c r="F404" t="str" vm="12479">
        <f>IFERROR(CUBEVALUE("BIDB",$A404,F$3,F$2,'Præsentationstabeller 1'!$C$2),0)</f>
        <v/>
      </c>
      <c r="G404" t="str" vm="8136">
        <f>IFERROR(CUBEVALUE("BIDB",$A404,G$3,G$2,'Præsentationstabeller 1'!$C$2),0)</f>
        <v/>
      </c>
      <c r="H404" t="str" vm="12759">
        <f>IFERROR(CUBEVALUE("BIDB",$A404,H$3,H$2,'Præsentationstabeller 1'!$C$2),0)</f>
        <v/>
      </c>
      <c r="I404" t="str" vm="11611">
        <f>IFERROR(CUBEVALUE("BIDB",$A404,I$3,I$2,'Præsentationstabeller 1'!$C$2),0)</f>
        <v/>
      </c>
      <c r="J404" t="str" vm="9711">
        <f>IFERROR(CUBEVALUE("BIDB",$A404,J$3,J$2,'Præsentationstabeller 1'!$C$2),0)</f>
        <v/>
      </c>
      <c r="K404" t="str" vm="14463">
        <f>IFERROR(CUBEVALUE("BIDB",$A404,K$3,K$2,'Præsentationstabeller 1'!$C$2),0)</f>
        <v/>
      </c>
      <c r="L404" t="str" vm="9143">
        <f>IFERROR(CUBEVALUE("BIDB",$A404,L$3,L$2,'Præsentationstabeller 1'!$C$2),0)</f>
        <v/>
      </c>
    </row>
    <row r="405" spans="1:12" x14ac:dyDescent="0.3">
      <c r="A405" s="123" t="str" vm="931">
        <f>CUBEMEMBER("BIDB","[Dimittenddato].[Dimittenddato].&amp;[2011-07-04T00:00:00]")</f>
        <v>04-07-2011</v>
      </c>
      <c r="B405" t="str" vm="9908">
        <f>IFERROR(CUBEVALUE("BIDB",$A405,B$3,'Præsentationstabeller 1'!$C$2),0)</f>
        <v/>
      </c>
      <c r="C405" t="str" vm="9040">
        <f>IFERROR(CUBEVALUE("BIDB",$A405,C$3,C$2,'Præsentationstabeller 1'!$C$2),0)</f>
        <v/>
      </c>
      <c r="D405" vm="10933">
        <f>IFERROR(CUBEVALUE("BIDB",$A405,D$3,D$2,'Præsentationstabeller 1'!$C$2),0)</f>
        <v>2</v>
      </c>
      <c r="E405" t="str" vm="10215">
        <f>IFERROR(CUBEVALUE("BIDB",$A405,E$3,E$2,'Præsentationstabeller 1'!$C$2),0)</f>
        <v/>
      </c>
      <c r="F405" vm="11250">
        <f>IFERROR(CUBEVALUE("BIDB",$A405,F$3,F$2,'Præsentationstabeller 1'!$C$2),0)</f>
        <v>2</v>
      </c>
      <c r="G405" vm="10190">
        <f>IFERROR(CUBEVALUE("BIDB",$A405,G$3,G$2,'Præsentationstabeller 1'!$C$2),0)</f>
        <v>2</v>
      </c>
      <c r="H405" t="str" vm="10695">
        <f>IFERROR(CUBEVALUE("BIDB",$A405,H$3,H$2,'Præsentationstabeller 1'!$C$2),0)</f>
        <v/>
      </c>
      <c r="I405" t="str" vm="8033">
        <f>IFERROR(CUBEVALUE("BIDB",$A405,I$3,I$2,'Præsentationstabeller 1'!$C$2),0)</f>
        <v/>
      </c>
      <c r="J405" t="str" vm="10411">
        <f>IFERROR(CUBEVALUE("BIDB",$A405,J$3,J$2,'Præsentationstabeller 1'!$C$2),0)</f>
        <v/>
      </c>
      <c r="K405" t="str" vm="9563">
        <f>IFERROR(CUBEVALUE("BIDB",$A405,K$3,K$2,'Præsentationstabeller 1'!$C$2),0)</f>
        <v/>
      </c>
      <c r="L405" t="str" vm="9287">
        <f>IFERROR(CUBEVALUE("BIDB",$A405,L$3,L$2,'Præsentationstabeller 1'!$C$2),0)</f>
        <v/>
      </c>
    </row>
    <row r="406" spans="1:12" x14ac:dyDescent="0.3">
      <c r="A406" s="123" t="str" vm="930">
        <f>CUBEMEMBER("BIDB","[Dimittenddato].[Dimittenddato].&amp;[2011-07-05T00:00:00]")</f>
        <v>05-07-2011</v>
      </c>
      <c r="B406" t="str" vm="10360">
        <f>IFERROR(CUBEVALUE("BIDB",$A406,B$3,'Præsentationstabeller 1'!$C$2),0)</f>
        <v/>
      </c>
      <c r="C406" t="str" vm="11237">
        <f>IFERROR(CUBEVALUE("BIDB",$A406,C$3,C$2,'Præsentationstabeller 1'!$C$2),0)</f>
        <v/>
      </c>
      <c r="D406" vm="6838">
        <f>IFERROR(CUBEVALUE("BIDB",$A406,D$3,D$2,'Præsentationstabeller 1'!$C$2),0)</f>
        <v>1</v>
      </c>
      <c r="E406" vm="8937">
        <f>IFERROR(CUBEVALUE("BIDB",$A406,E$3,E$2,'Præsentationstabeller 1'!$C$2),0)</f>
        <v>4</v>
      </c>
      <c r="F406" t="str" vm="16504">
        <f>IFERROR(CUBEVALUE("BIDB",$A406,F$3,F$2,'Præsentationstabeller 1'!$C$2),0)</f>
        <v/>
      </c>
      <c r="G406" vm="16942">
        <f>IFERROR(CUBEVALUE("BIDB",$A406,G$3,G$2,'Præsentationstabeller 1'!$C$2),0)</f>
        <v>4</v>
      </c>
      <c r="H406" t="str" vm="10060">
        <f>IFERROR(CUBEVALUE("BIDB",$A406,H$3,H$2,'Præsentationstabeller 1'!$C$2),0)</f>
        <v/>
      </c>
      <c r="I406" t="str" vm="7600">
        <f>IFERROR(CUBEVALUE("BIDB",$A406,I$3,I$2,'Præsentationstabeller 1'!$C$2),0)</f>
        <v/>
      </c>
      <c r="J406" t="str" vm="10399">
        <f>IFERROR(CUBEVALUE("BIDB",$A406,J$3,J$2,'Præsentationstabeller 1'!$C$2),0)</f>
        <v/>
      </c>
      <c r="K406" t="str" vm="16471">
        <f>IFERROR(CUBEVALUE("BIDB",$A406,K$3,K$2,'Præsentationstabeller 1'!$C$2),0)</f>
        <v/>
      </c>
      <c r="L406" t="str" vm="10764">
        <f>IFERROR(CUBEVALUE("BIDB",$A406,L$3,L$2,'Præsentationstabeller 1'!$C$2),0)</f>
        <v/>
      </c>
    </row>
    <row r="407" spans="1:12" x14ac:dyDescent="0.3">
      <c r="A407" s="123" t="str" vm="929">
        <f>CUBEMEMBER("BIDB","[Dimittenddato].[Dimittenddato].&amp;[2011-07-06T00:00:00]")</f>
        <v>06-07-2011</v>
      </c>
      <c r="B407" t="str" vm="15522">
        <f>IFERROR(CUBEVALUE("BIDB",$A407,B$3,'Præsentationstabeller 1'!$C$2),0)</f>
        <v/>
      </c>
      <c r="C407" t="str" vm="11729">
        <f>IFERROR(CUBEVALUE("BIDB",$A407,C$3,C$2,'Præsentationstabeller 1'!$C$2),0)</f>
        <v/>
      </c>
      <c r="D407" vm="15723">
        <f>IFERROR(CUBEVALUE("BIDB",$A407,D$3,D$2,'Præsentationstabeller 1'!$C$2),0)</f>
        <v>1</v>
      </c>
      <c r="E407" vm="12465">
        <f>IFERROR(CUBEVALUE("BIDB",$A407,E$3,E$2,'Præsentationstabeller 1'!$C$2),0)</f>
        <v>1</v>
      </c>
      <c r="F407" t="str" vm="8339">
        <f>IFERROR(CUBEVALUE("BIDB",$A407,F$3,F$2,'Præsentationstabeller 1'!$C$2),0)</f>
        <v/>
      </c>
      <c r="G407" vm="10407">
        <f>IFERROR(CUBEVALUE("BIDB",$A407,G$3,G$2,'Præsentationstabeller 1'!$C$2),0)</f>
        <v>1</v>
      </c>
      <c r="H407" t="str" vm="14040">
        <f>IFERROR(CUBEVALUE("BIDB",$A407,H$3,H$2,'Præsentationstabeller 1'!$C$2),0)</f>
        <v/>
      </c>
      <c r="I407" t="str" vm="13039">
        <f>IFERROR(CUBEVALUE("BIDB",$A407,I$3,I$2,'Præsentationstabeller 1'!$C$2),0)</f>
        <v/>
      </c>
      <c r="J407" vm="10857">
        <f>IFERROR(CUBEVALUE("BIDB",$A407,J$3,J$2,'Præsentationstabeller 1'!$C$2),0)</f>
        <v>0.8</v>
      </c>
      <c r="K407" t="str" vm="8371">
        <f>IFERROR(CUBEVALUE("BIDB",$A407,K$3,K$2,'Præsentationstabeller 1'!$C$2),0)</f>
        <v/>
      </c>
      <c r="L407" vm="10101">
        <f>IFERROR(CUBEVALUE("BIDB",$A407,L$3,L$2,'Præsentationstabeller 1'!$C$2),0)</f>
        <v>0.8</v>
      </c>
    </row>
    <row r="408" spans="1:12" x14ac:dyDescent="0.3">
      <c r="A408" s="123" t="str" vm="928">
        <f>CUBEMEMBER("BIDB","[Dimittenddato].[Dimittenddato].&amp;[2011-07-07T00:00:00]")</f>
        <v>07-07-2011</v>
      </c>
      <c r="B408" t="str" vm="7930">
        <f>IFERROR(CUBEVALUE("BIDB",$A408,B$3,'Præsentationstabeller 1'!$C$2),0)</f>
        <v/>
      </c>
      <c r="C408" t="str" vm="11789">
        <f>IFERROR(CUBEVALUE("BIDB",$A408,C$3,C$2,'Præsentationstabeller 1'!$C$2),0)</f>
        <v/>
      </c>
      <c r="D408" vm="12839">
        <f>IFERROR(CUBEVALUE("BIDB",$A408,D$3,D$2,'Præsentationstabeller 1'!$C$2),0)</f>
        <v>1</v>
      </c>
      <c r="E408" vm="14538">
        <f>IFERROR(CUBEVALUE("BIDB",$A408,E$3,E$2,'Præsentationstabeller 1'!$C$2),0)</f>
        <v>5</v>
      </c>
      <c r="F408" vm="12433">
        <f>IFERROR(CUBEVALUE("BIDB",$A408,F$3,F$2,'Præsentationstabeller 1'!$C$2),0)</f>
        <v>1</v>
      </c>
      <c r="G408" vm="10241">
        <f>IFERROR(CUBEVALUE("BIDB",$A408,G$3,G$2,'Præsentationstabeller 1'!$C$2),0)</f>
        <v>6</v>
      </c>
      <c r="H408" t="str" vm="14886">
        <f>IFERROR(CUBEVALUE("BIDB",$A408,H$3,H$2,'Præsentationstabeller 1'!$C$2),0)</f>
        <v/>
      </c>
      <c r="I408" vm="10085">
        <f>IFERROR(CUBEVALUE("BIDB",$A408,I$3,I$2,'Præsentationstabeller 1'!$C$2),0)</f>
        <v>1</v>
      </c>
      <c r="J408" t="str" vm="9507">
        <f>IFERROR(CUBEVALUE("BIDB",$A408,J$3,J$2,'Præsentationstabeller 1'!$C$2),0)</f>
        <v/>
      </c>
      <c r="K408" t="str" vm="7497">
        <f>IFERROR(CUBEVALUE("BIDB",$A408,K$3,K$2,'Præsentationstabeller 1'!$C$2),0)</f>
        <v/>
      </c>
      <c r="L408" t="str" vm="10053">
        <f>IFERROR(CUBEVALUE("BIDB",$A408,L$3,L$2,'Præsentationstabeller 1'!$C$2),0)</f>
        <v/>
      </c>
    </row>
    <row r="409" spans="1:12" x14ac:dyDescent="0.3">
      <c r="A409" s="123" t="str" vm="927">
        <f>CUBEMEMBER("BIDB","[Dimittenddato].[Dimittenddato].&amp;[2011-07-08T00:00:00]")</f>
        <v>08-07-2011</v>
      </c>
      <c r="B409" t="str" vm="10454">
        <f>IFERROR(CUBEVALUE("BIDB",$A409,B$3,'Præsentationstabeller 1'!$C$2),0)</f>
        <v/>
      </c>
      <c r="C409" t="str" vm="12765">
        <f>IFERROR(CUBEVALUE("BIDB",$A409,C$3,C$2,'Præsentationstabeller 1'!$C$2),0)</f>
        <v/>
      </c>
      <c r="D409" vm="13620">
        <f>IFERROR(CUBEVALUE("BIDB",$A409,D$3,D$2,'Præsentationstabeller 1'!$C$2),0)</f>
        <v>1</v>
      </c>
      <c r="E409" vm="12972">
        <f>IFERROR(CUBEVALUE("BIDB",$A409,E$3,E$2,'Præsentationstabeller 1'!$C$2),0)</f>
        <v>4</v>
      </c>
      <c r="F409" vm="16083">
        <f>IFERROR(CUBEVALUE("BIDB",$A409,F$3,F$2,'Præsentationstabeller 1'!$C$2),0)</f>
        <v>1</v>
      </c>
      <c r="G409" vm="10004">
        <f>IFERROR(CUBEVALUE("BIDB",$A409,G$3,G$2,'Præsentationstabeller 1'!$C$2),0)</f>
        <v>5</v>
      </c>
      <c r="H409" t="str" vm="8124">
        <f>IFERROR(CUBEVALUE("BIDB",$A409,H$3,H$2,'Præsentationstabeller 1'!$C$2),0)</f>
        <v/>
      </c>
      <c r="I409" t="str" vm="8654">
        <f>IFERROR(CUBEVALUE("BIDB",$A409,I$3,I$2,'Præsentationstabeller 1'!$C$2),0)</f>
        <v/>
      </c>
      <c r="J409" t="str" vm="14177">
        <f>IFERROR(CUBEVALUE("BIDB",$A409,J$3,J$2,'Præsentationstabeller 1'!$C$2),0)</f>
        <v/>
      </c>
      <c r="K409" t="str" vm="12638">
        <f>IFERROR(CUBEVALUE("BIDB",$A409,K$3,K$2,'Præsentationstabeller 1'!$C$2),0)</f>
        <v/>
      </c>
      <c r="L409" t="str" vm="11292">
        <f>IFERROR(CUBEVALUE("BIDB",$A409,L$3,L$2,'Præsentationstabeller 1'!$C$2),0)</f>
        <v/>
      </c>
    </row>
    <row r="410" spans="1:12" x14ac:dyDescent="0.3">
      <c r="A410" s="123" t="str" vm="926">
        <f>CUBEMEMBER("BIDB","[Dimittenddato].[Dimittenddato].&amp;[2011-07-09T00:00:00]")</f>
        <v>09-07-2011</v>
      </c>
      <c r="B410" t="str" vm="14065">
        <f>IFERROR(CUBEVALUE("BIDB",$A410,B$3,'Præsentationstabeller 1'!$C$2),0)</f>
        <v/>
      </c>
      <c r="C410" t="str" vm="15072">
        <f>IFERROR(CUBEVALUE("BIDB",$A410,C$3,C$2,'Præsentationstabeller 1'!$C$2),0)</f>
        <v/>
      </c>
      <c r="D410" t="str" vm="12698">
        <f>IFERROR(CUBEVALUE("BIDB",$A410,D$3,D$2,'Præsentationstabeller 1'!$C$2),0)</f>
        <v/>
      </c>
      <c r="E410" t="str" vm="7593">
        <f>IFERROR(CUBEVALUE("BIDB",$A410,E$3,E$2,'Præsentationstabeller 1'!$C$2),0)</f>
        <v/>
      </c>
      <c r="F410" t="str" vm="12079">
        <f>IFERROR(CUBEVALUE("BIDB",$A410,F$3,F$2,'Præsentationstabeller 1'!$C$2),0)</f>
        <v/>
      </c>
      <c r="G410" t="str" vm="9200">
        <f>IFERROR(CUBEVALUE("BIDB",$A410,G$3,G$2,'Præsentationstabeller 1'!$C$2),0)</f>
        <v/>
      </c>
      <c r="H410" t="str" vm="14677">
        <f>IFERROR(CUBEVALUE("BIDB",$A410,H$3,H$2,'Præsentationstabeller 1'!$C$2),0)</f>
        <v/>
      </c>
      <c r="I410" t="str" vm="10801">
        <f>IFERROR(CUBEVALUE("BIDB",$A410,I$3,I$2,'Præsentationstabeller 1'!$C$2),0)</f>
        <v/>
      </c>
      <c r="J410" t="str" vm="7722">
        <f>IFERROR(CUBEVALUE("BIDB",$A410,J$3,J$2,'Præsentationstabeller 1'!$C$2),0)</f>
        <v/>
      </c>
      <c r="K410" t="str" vm="11773">
        <f>IFERROR(CUBEVALUE("BIDB",$A410,K$3,K$2,'Præsentationstabeller 1'!$C$2),0)</f>
        <v/>
      </c>
      <c r="L410" t="str" vm="10304">
        <f>IFERROR(CUBEVALUE("BIDB",$A410,L$3,L$2,'Præsentationstabeller 1'!$C$2),0)</f>
        <v/>
      </c>
    </row>
    <row r="411" spans="1:12" x14ac:dyDescent="0.3">
      <c r="A411" s="123" t="str" vm="925">
        <f>CUBEMEMBER("BIDB","[Dimittenddato].[Dimittenddato].&amp;[2011-07-10T00:00:00]")</f>
        <v>10-07-2011</v>
      </c>
      <c r="B411" t="str" vm="11185">
        <f>IFERROR(CUBEVALUE("BIDB",$A411,B$3,'Præsentationstabeller 1'!$C$2),0)</f>
        <v/>
      </c>
      <c r="C411" t="str" vm="12783">
        <f>IFERROR(CUBEVALUE("BIDB",$A411,C$3,C$2,'Præsentationstabeller 1'!$C$2),0)</f>
        <v/>
      </c>
      <c r="D411" t="str" vm="9697">
        <f>IFERROR(CUBEVALUE("BIDB",$A411,D$3,D$2,'Præsentationstabeller 1'!$C$2),0)</f>
        <v/>
      </c>
      <c r="E411" t="str" vm="9549">
        <f>IFERROR(CUBEVALUE("BIDB",$A411,E$3,E$2,'Præsentationstabeller 1'!$C$2),0)</f>
        <v/>
      </c>
      <c r="F411" t="str" vm="7647">
        <f>IFERROR(CUBEVALUE("BIDB",$A411,F$3,F$2,'Præsentationstabeller 1'!$C$2),0)</f>
        <v/>
      </c>
      <c r="G411" t="str" vm="14818">
        <f>IFERROR(CUBEVALUE("BIDB",$A411,G$3,G$2,'Præsentationstabeller 1'!$C$2),0)</f>
        <v/>
      </c>
      <c r="H411" t="str" vm="11077">
        <f>IFERROR(CUBEVALUE("BIDB",$A411,H$3,H$2,'Præsentationstabeller 1'!$C$2),0)</f>
        <v/>
      </c>
      <c r="I411" t="str" vm="9456">
        <f>IFERROR(CUBEVALUE("BIDB",$A411,I$3,I$2,'Præsentationstabeller 1'!$C$2),0)</f>
        <v/>
      </c>
      <c r="J411" t="str" vm="12369">
        <f>IFERROR(CUBEVALUE("BIDB",$A411,J$3,J$2,'Præsentationstabeller 1'!$C$2),0)</f>
        <v/>
      </c>
      <c r="K411" t="str" vm="8551">
        <f>IFERROR(CUBEVALUE("BIDB",$A411,K$3,K$2,'Præsentationstabeller 1'!$C$2),0)</f>
        <v/>
      </c>
      <c r="L411" t="str" vm="11368">
        <f>IFERROR(CUBEVALUE("BIDB",$A411,L$3,L$2,'Præsentationstabeller 1'!$C$2),0)</f>
        <v/>
      </c>
    </row>
    <row r="412" spans="1:12" x14ac:dyDescent="0.3">
      <c r="A412" s="123" t="str" vm="924">
        <f>CUBEMEMBER("BIDB","[Dimittenddato].[Dimittenddato].&amp;[2011-07-11T00:00:00]")</f>
        <v>11-07-2011</v>
      </c>
      <c r="B412" t="str" vm="8448">
        <f>IFERROR(CUBEVALUE("BIDB",$A412,B$3,'Præsentationstabeller 1'!$C$2),0)</f>
        <v/>
      </c>
      <c r="C412" t="str" vm="15589">
        <f>IFERROR(CUBEVALUE("BIDB",$A412,C$3,C$2,'Præsentationstabeller 1'!$C$2),0)</f>
        <v/>
      </c>
      <c r="D412" t="str" vm="15327">
        <f>IFERROR(CUBEVALUE("BIDB",$A412,D$3,D$2,'Præsentationstabeller 1'!$C$2),0)</f>
        <v/>
      </c>
      <c r="E412" vm="17002">
        <f>IFERROR(CUBEVALUE("BIDB",$A412,E$3,E$2,'Præsentationstabeller 1'!$C$2),0)</f>
        <v>4</v>
      </c>
      <c r="F412" t="str" vm="9066">
        <f>IFERROR(CUBEVALUE("BIDB",$A412,F$3,F$2,'Præsentationstabeller 1'!$C$2),0)</f>
        <v/>
      </c>
      <c r="G412" vm="16337">
        <f>IFERROR(CUBEVALUE("BIDB",$A412,G$3,G$2,'Præsentationstabeller 1'!$C$2),0)</f>
        <v>4</v>
      </c>
      <c r="H412" t="str" vm="16093">
        <f>IFERROR(CUBEVALUE("BIDB",$A412,H$3,H$2,'Præsentationstabeller 1'!$C$2),0)</f>
        <v/>
      </c>
      <c r="I412" t="str" vm="10898">
        <f>IFERROR(CUBEVALUE("BIDB",$A412,I$3,I$2,'Præsentationstabeller 1'!$C$2),0)</f>
        <v/>
      </c>
      <c r="J412" t="str" vm="9867">
        <f>IFERROR(CUBEVALUE("BIDB",$A412,J$3,J$2,'Præsentationstabeller 1'!$C$2),0)</f>
        <v/>
      </c>
      <c r="K412" t="str" vm="12770">
        <f>IFERROR(CUBEVALUE("BIDB",$A412,K$3,K$2,'Præsentationstabeller 1'!$C$2),0)</f>
        <v/>
      </c>
      <c r="L412" t="str" vm="6583">
        <f>IFERROR(CUBEVALUE("BIDB",$A412,L$3,L$2,'Præsentationstabeller 1'!$C$2),0)</f>
        <v/>
      </c>
    </row>
    <row r="413" spans="1:12" x14ac:dyDescent="0.3">
      <c r="A413" s="123" t="str" vm="923">
        <f>CUBEMEMBER("BIDB","[Dimittenddato].[Dimittenddato].&amp;[2011-07-12T00:00:00]")</f>
        <v>12-07-2011</v>
      </c>
      <c r="B413" t="str" vm="15058">
        <f>IFERROR(CUBEVALUE("BIDB",$A413,B$3,'Præsentationstabeller 1'!$C$2),0)</f>
        <v/>
      </c>
      <c r="C413" t="str" vm="7850">
        <f>IFERROR(CUBEVALUE("BIDB",$A413,C$3,C$2,'Præsentationstabeller 1'!$C$2),0)</f>
        <v/>
      </c>
      <c r="D413" vm="14955">
        <f>IFERROR(CUBEVALUE("BIDB",$A413,D$3,D$2,'Præsentationstabeller 1'!$C$2),0)</f>
        <v>1</v>
      </c>
      <c r="E413" vm="13054">
        <f>IFERROR(CUBEVALUE("BIDB",$A413,E$3,E$2,'Præsentationstabeller 1'!$C$2),0)</f>
        <v>4</v>
      </c>
      <c r="F413" t="str" vm="13588">
        <f>IFERROR(CUBEVALUE("BIDB",$A413,F$3,F$2,'Præsentationstabeller 1'!$C$2),0)</f>
        <v/>
      </c>
      <c r="G413" vm="10346">
        <f>IFERROR(CUBEVALUE("BIDB",$A413,G$3,G$2,'Præsentationstabeller 1'!$C$2),0)</f>
        <v>4</v>
      </c>
      <c r="H413" t="str" vm="7882">
        <f>IFERROR(CUBEVALUE("BIDB",$A413,H$3,H$2,'Præsentationstabeller 1'!$C$2),0)</f>
        <v/>
      </c>
      <c r="I413" t="str" vm="10850">
        <f>IFERROR(CUBEVALUE("BIDB",$A413,I$3,I$2,'Præsentationstabeller 1'!$C$2),0)</f>
        <v/>
      </c>
      <c r="J413" t="str" vm="11492">
        <f>IFERROR(CUBEVALUE("BIDB",$A413,J$3,J$2,'Præsentationstabeller 1'!$C$2),0)</f>
        <v/>
      </c>
      <c r="K413" t="str" vm="10253">
        <f>IFERROR(CUBEVALUE("BIDB",$A413,K$3,K$2,'Præsentationstabeller 1'!$C$2),0)</f>
        <v/>
      </c>
      <c r="L413" t="str" vm="17149">
        <f>IFERROR(CUBEVALUE("BIDB",$A413,L$3,L$2,'Præsentationstabeller 1'!$C$2),0)</f>
        <v/>
      </c>
    </row>
    <row r="414" spans="1:12" x14ac:dyDescent="0.3">
      <c r="A414" s="123" t="str" vm="922">
        <f>CUBEMEMBER("BIDB","[Dimittenddato].[Dimittenddato].&amp;[2011-07-13T00:00:00]")</f>
        <v>13-07-2011</v>
      </c>
      <c r="B414" t="str" vm="9662">
        <f>IFERROR(CUBEVALUE("BIDB",$A414,B$3,'Præsentationstabeller 1'!$C$2),0)</f>
        <v/>
      </c>
      <c r="C414" t="str" vm="15391">
        <f>IFERROR(CUBEVALUE("BIDB",$A414,C$3,C$2,'Præsentationstabeller 1'!$C$2),0)</f>
        <v/>
      </c>
      <c r="D414" t="str" vm="9650">
        <f>IFERROR(CUBEVALUE("BIDB",$A414,D$3,D$2,'Præsentationstabeller 1'!$C$2),0)</f>
        <v/>
      </c>
      <c r="E414" vm="8021">
        <f>IFERROR(CUBEVALUE("BIDB",$A414,E$3,E$2,'Præsentationstabeller 1'!$C$2),0)</f>
        <v>3</v>
      </c>
      <c r="F414" t="str" vm="10882">
        <f>IFERROR(CUBEVALUE("BIDB",$A414,F$3,F$2,'Præsentationstabeller 1'!$C$2),0)</f>
        <v/>
      </c>
      <c r="G414" vm="11021">
        <f>IFERROR(CUBEVALUE("BIDB",$A414,G$3,G$2,'Præsentationstabeller 1'!$C$2),0)</f>
        <v>3</v>
      </c>
      <c r="H414" t="str" vm="8963">
        <f>IFERROR(CUBEVALUE("BIDB",$A414,H$3,H$2,'Præsentationstabeller 1'!$C$2),0)</f>
        <v/>
      </c>
      <c r="I414" t="str" vm="12825">
        <f>IFERROR(CUBEVALUE("BIDB",$A414,I$3,I$2,'Præsentationstabeller 1'!$C$2),0)</f>
        <v/>
      </c>
      <c r="J414" t="str" vm="7544">
        <f>IFERROR(CUBEVALUE("BIDB",$A414,J$3,J$2,'Præsentationstabeller 1'!$C$2),0)</f>
        <v/>
      </c>
      <c r="K414" t="str" vm="12986">
        <f>IFERROR(CUBEVALUE("BIDB",$A414,K$3,K$2,'Præsentationstabeller 1'!$C$2),0)</f>
        <v/>
      </c>
      <c r="L414" t="str" vm="12328">
        <f>IFERROR(CUBEVALUE("BIDB",$A414,L$3,L$2,'Præsentationstabeller 1'!$C$2),0)</f>
        <v/>
      </c>
    </row>
    <row r="415" spans="1:12" x14ac:dyDescent="0.3">
      <c r="A415" s="123" t="str" vm="921">
        <f>CUBEMEMBER("BIDB","[Dimittenddato].[Dimittenddato].&amp;[2011-07-14T00:00:00]")</f>
        <v>14-07-2011</v>
      </c>
      <c r="B415" t="str" vm="9989">
        <f>IFERROR(CUBEVALUE("BIDB",$A415,B$3,'Præsentationstabeller 1'!$C$2),0)</f>
        <v/>
      </c>
      <c r="C415" t="str" vm="11707">
        <f>IFERROR(CUBEVALUE("BIDB",$A415,C$3,C$2,'Præsentationstabeller 1'!$C$2),0)</f>
        <v/>
      </c>
      <c r="D415" t="str" vm="9493">
        <f>IFERROR(CUBEVALUE("BIDB",$A415,D$3,D$2,'Præsentationstabeller 1'!$C$2),0)</f>
        <v/>
      </c>
      <c r="E415" vm="13147">
        <f>IFERROR(CUBEVALUE("BIDB",$A415,E$3,E$2,'Præsentationstabeller 1'!$C$2),0)</f>
        <v>1</v>
      </c>
      <c r="F415" t="str" vm="8165">
        <f>IFERROR(CUBEVALUE("BIDB",$A415,F$3,F$2,'Præsentationstabeller 1'!$C$2),0)</f>
        <v/>
      </c>
      <c r="G415" vm="12647">
        <f>IFERROR(CUBEVALUE("BIDB",$A415,G$3,G$2,'Præsentationstabeller 1'!$C$2),0)</f>
        <v>1</v>
      </c>
      <c r="H415" t="str" vm="17034">
        <f>IFERROR(CUBEVALUE("BIDB",$A415,H$3,H$2,'Præsentationstabeller 1'!$C$2),0)</f>
        <v/>
      </c>
      <c r="I415" t="str" vm="9811">
        <f>IFERROR(CUBEVALUE("BIDB",$A415,I$3,I$2,'Præsentationstabeller 1'!$C$2),0)</f>
        <v/>
      </c>
      <c r="J415" t="str" vm="9244">
        <f>IFERROR(CUBEVALUE("BIDB",$A415,J$3,J$2,'Præsentationstabeller 1'!$C$2),0)</f>
        <v/>
      </c>
      <c r="K415" t="str" vm="12974">
        <f>IFERROR(CUBEVALUE("BIDB",$A415,K$3,K$2,'Præsentationstabeller 1'!$C$2),0)</f>
        <v/>
      </c>
      <c r="L415" t="str" vm="17154">
        <f>IFERROR(CUBEVALUE("BIDB",$A415,L$3,L$2,'Præsentationstabeller 1'!$C$2),0)</f>
        <v/>
      </c>
    </row>
    <row r="416" spans="1:12" x14ac:dyDescent="0.3">
      <c r="A416" s="123" t="str" vm="920">
        <f>CUBEMEMBER("BIDB","[Dimittenddato].[Dimittenddato].&amp;[2011-07-15T00:00:00]")</f>
        <v>15-07-2011</v>
      </c>
      <c r="B416" t="str" vm="7490">
        <f>IFERROR(CUBEVALUE("BIDB",$A416,B$3,'Præsentationstabeller 1'!$C$2),0)</f>
        <v/>
      </c>
      <c r="C416" t="str" vm="14441">
        <f>IFERROR(CUBEVALUE("BIDB",$A416,C$3,C$2,'Præsentationstabeller 1'!$C$2),0)</f>
        <v/>
      </c>
      <c r="D416" vm="10714">
        <f>IFERROR(CUBEVALUE("BIDB",$A416,D$3,D$2,'Præsentationstabeller 1'!$C$2),0)</f>
        <v>0</v>
      </c>
      <c r="E416" vm="10566">
        <f>IFERROR(CUBEVALUE("BIDB",$A416,E$3,E$2,'Præsentationstabeller 1'!$C$2),0)</f>
        <v>1</v>
      </c>
      <c r="F416" vm="10290">
        <f>IFERROR(CUBEVALUE("BIDB",$A416,F$3,F$2,'Præsentationstabeller 1'!$C$2),0)</f>
        <v>1</v>
      </c>
      <c r="G416" vm="7233">
        <f>IFERROR(CUBEVALUE("BIDB",$A416,G$3,G$2,'Præsentationstabeller 1'!$C$2),0)</f>
        <v>2</v>
      </c>
      <c r="H416" t="str" vm="12982">
        <f>IFERROR(CUBEVALUE("BIDB",$A416,H$3,H$2,'Præsentationstabeller 1'!$C$2),0)</f>
        <v/>
      </c>
      <c r="I416" t="str" vm="15091">
        <f>IFERROR(CUBEVALUE("BIDB",$A416,I$3,I$2,'Præsentationstabeller 1'!$C$2),0)</f>
        <v/>
      </c>
      <c r="J416" t="str" vm="9607">
        <f>IFERROR(CUBEVALUE("BIDB",$A416,J$3,J$2,'Præsentationstabeller 1'!$C$2),0)</f>
        <v/>
      </c>
      <c r="K416" t="str" vm="15537">
        <f>IFERROR(CUBEVALUE("BIDB",$A416,K$3,K$2,'Præsentationstabeller 1'!$C$2),0)</f>
        <v/>
      </c>
      <c r="L416" t="str" vm="7441">
        <f>IFERROR(CUBEVALUE("BIDB",$A416,L$3,L$2,'Præsentationstabeller 1'!$C$2),0)</f>
        <v/>
      </c>
    </row>
    <row r="417" spans="1:12" x14ac:dyDescent="0.3">
      <c r="A417" s="123" t="str" vm="919">
        <f>CUBEMEMBER("BIDB","[Dimittenddato].[Dimittenddato].&amp;[2011-07-16T00:00:00]")</f>
        <v>16-07-2011</v>
      </c>
      <c r="B417" t="str" vm="11063">
        <f>IFERROR(CUBEVALUE("BIDB",$A417,B$3,'Præsentationstabeller 1'!$C$2),0)</f>
        <v/>
      </c>
      <c r="C417" t="str" vm="10440">
        <f>IFERROR(CUBEVALUE("BIDB",$A417,C$3,C$2,'Præsentationstabeller 1'!$C$2),0)</f>
        <v/>
      </c>
      <c r="D417" t="str" vm="12954">
        <f>IFERROR(CUBEVALUE("BIDB",$A417,D$3,D$2,'Præsentationstabeller 1'!$C$2),0)</f>
        <v/>
      </c>
      <c r="E417" t="str" vm="15299">
        <f>IFERROR(CUBEVALUE("BIDB",$A417,E$3,E$2,'Præsentationstabeller 1'!$C$2),0)</f>
        <v/>
      </c>
      <c r="F417" t="str" vm="16307">
        <f>IFERROR(CUBEVALUE("BIDB",$A417,F$3,F$2,'Præsentationstabeller 1'!$C$2),0)</f>
        <v/>
      </c>
      <c r="G417" t="str" vm="12229">
        <f>IFERROR(CUBEVALUE("BIDB",$A417,G$3,G$2,'Præsentationstabeller 1'!$C$2),0)</f>
        <v/>
      </c>
      <c r="H417" t="str" vm="8062">
        <f>IFERROR(CUBEVALUE("BIDB",$A417,H$3,H$2,'Præsentationstabeller 1'!$C$2),0)</f>
        <v/>
      </c>
      <c r="I417" t="str" vm="6328">
        <f>IFERROR(CUBEVALUE("BIDB",$A417,I$3,I$2,'Præsentationstabeller 1'!$C$2),0)</f>
        <v/>
      </c>
      <c r="J417" t="str" vm="12705">
        <f>IFERROR(CUBEVALUE("BIDB",$A417,J$3,J$2,'Præsentationstabeller 1'!$C$2),0)</f>
        <v/>
      </c>
      <c r="K417" t="str" vm="12272">
        <f>IFERROR(CUBEVALUE("BIDB",$A417,K$3,K$2,'Præsentationstabeller 1'!$C$2),0)</f>
        <v/>
      </c>
      <c r="L417" t="str" vm="9186">
        <f>IFERROR(CUBEVALUE("BIDB",$A417,L$3,L$2,'Præsentationstabeller 1'!$C$2),0)</f>
        <v/>
      </c>
    </row>
    <row r="418" spans="1:12" x14ac:dyDescent="0.3">
      <c r="A418" s="123" t="str" vm="918">
        <f>CUBEMEMBER("BIDB","[Dimittenddato].[Dimittenddato].&amp;[2011-07-17T00:00:00]")</f>
        <v>17-07-2011</v>
      </c>
      <c r="B418" t="str" vm="11693">
        <f>IFERROR(CUBEVALUE("BIDB",$A418,B$3,'Præsentationstabeller 1'!$C$2),0)</f>
        <v/>
      </c>
      <c r="C418" t="str" vm="8577">
        <f>IFERROR(CUBEVALUE("BIDB",$A418,C$3,C$2,'Præsentationstabeller 1'!$C$2),0)</f>
        <v/>
      </c>
      <c r="D418" t="str" vm="12942">
        <f>IFERROR(CUBEVALUE("BIDB",$A418,D$3,D$2,'Præsentationstabeller 1'!$C$2),0)</f>
        <v/>
      </c>
      <c r="E418" t="str" vm="7393">
        <f>IFERROR(CUBEVALUE("BIDB",$A418,E$3,E$2,'Præsentationstabeller 1'!$C$2),0)</f>
        <v/>
      </c>
      <c r="F418" t="str" vm="11333">
        <f>IFERROR(CUBEVALUE("BIDB",$A418,F$3,F$2,'Præsentationstabeller 1'!$C$2),0)</f>
        <v/>
      </c>
      <c r="G418" t="str" vm="9356">
        <f>IFERROR(CUBEVALUE("BIDB",$A418,G$3,G$2,'Præsentationstabeller 1'!$C$2),0)</f>
        <v/>
      </c>
      <c r="H418" t="str" vm="12259">
        <f>IFERROR(CUBEVALUE("BIDB",$A418,H$3,H$2,'Præsentationstabeller 1'!$C$2),0)</f>
        <v/>
      </c>
      <c r="I418" t="str" vm="12616">
        <f>IFERROR(CUBEVALUE("BIDB",$A418,I$3,I$2,'Præsentationstabeller 1'!$C$2),0)</f>
        <v/>
      </c>
      <c r="J418" t="str" vm="7959">
        <f>IFERROR(CUBEVALUE("BIDB",$A418,J$3,J$2,'Præsentationstabeller 1'!$C$2),0)</f>
        <v/>
      </c>
      <c r="K418" t="str" vm="13681">
        <f>IFERROR(CUBEVALUE("BIDB",$A418,K$3,K$2,'Præsentationstabeller 1'!$C$2),0)</f>
        <v/>
      </c>
      <c r="L418" t="str" vm="13482">
        <f>IFERROR(CUBEVALUE("BIDB",$A418,L$3,L$2,'Præsentationstabeller 1'!$C$2),0)</f>
        <v/>
      </c>
    </row>
    <row r="419" spans="1:12" x14ac:dyDescent="0.3">
      <c r="A419" s="123" t="str" vm="917">
        <f>CUBEMEMBER("BIDB","[Dimittenddato].[Dimittenddato].&amp;[2011-07-18T00:00:00]")</f>
        <v>18-07-2011</v>
      </c>
      <c r="B419" t="str" vm="13603">
        <f>IFERROR(CUBEVALUE("BIDB",$A419,B$3,'Præsentationstabeller 1'!$C$2),0)</f>
        <v/>
      </c>
      <c r="C419" t="str" vm="15505">
        <f>IFERROR(CUBEVALUE("BIDB",$A419,C$3,C$2,'Præsentationstabeller 1'!$C$2),0)</f>
        <v/>
      </c>
      <c r="D419" t="str" vm="9853">
        <f>IFERROR(CUBEVALUE("BIDB",$A419,D$3,D$2,'Præsentationstabeller 1'!$C$2),0)</f>
        <v/>
      </c>
      <c r="E419" vm="8474">
        <f>IFERROR(CUBEVALUE("BIDB",$A419,E$3,E$2,'Præsentationstabeller 1'!$C$2),0)</f>
        <v>2</v>
      </c>
      <c r="F419" t="str" vm="11285">
        <f>IFERROR(CUBEVALUE("BIDB",$A419,F$3,F$2,'Præsentationstabeller 1'!$C$2),0)</f>
        <v/>
      </c>
      <c r="G419" vm="14783">
        <f>IFERROR(CUBEVALUE("BIDB",$A419,G$3,G$2,'Præsentationstabeller 1'!$C$2),0)</f>
        <v>2</v>
      </c>
      <c r="H419" t="str" vm="10970">
        <f>IFERROR(CUBEVALUE("BIDB",$A419,H$3,H$2,'Præsentationstabeller 1'!$C$2),0)</f>
        <v/>
      </c>
      <c r="I419" t="str" vm="11817">
        <f>IFERROR(CUBEVALUE("BIDB",$A419,I$3,I$2,'Præsentationstabeller 1'!$C$2),0)</f>
        <v/>
      </c>
      <c r="J419" t="str" vm="16399">
        <f>IFERROR(CUBEVALUE("BIDB",$A419,J$3,J$2,'Præsentationstabeller 1'!$C$2),0)</f>
        <v/>
      </c>
      <c r="K419" t="str" vm="7361">
        <f>IFERROR(CUBEVALUE("BIDB",$A419,K$3,K$2,'Præsentationstabeller 1'!$C$2),0)</f>
        <v/>
      </c>
      <c r="L419" t="str" vm="12950">
        <f>IFERROR(CUBEVALUE("BIDB",$A419,L$3,L$2,'Præsentationstabeller 1'!$C$2),0)</f>
        <v/>
      </c>
    </row>
    <row r="420" spans="1:12" x14ac:dyDescent="0.3">
      <c r="A420" s="123" t="str" vm="916">
        <f>CUBEMEMBER("BIDB","[Dimittenddato].[Dimittenddato].&amp;[2011-07-19T00:00:00]")</f>
        <v>19-07-2011</v>
      </c>
      <c r="B420" t="str" vm="7918">
        <f>IFERROR(CUBEVALUE("BIDB",$A420,B$3,'Præsentationstabeller 1'!$C$2),0)</f>
        <v/>
      </c>
      <c r="C420" t="str" vm="11317">
        <f>IFERROR(CUBEVALUE("BIDB",$A420,C$3,C$2,'Præsentationstabeller 1'!$C$2),0)</f>
        <v/>
      </c>
      <c r="D420" t="str" vm="10510">
        <f>IFERROR(CUBEVALUE("BIDB",$A420,D$3,D$2,'Præsentationstabeller 1'!$C$2),0)</f>
        <v/>
      </c>
      <c r="E420" t="str" vm="15231">
        <f>IFERROR(CUBEVALUE("BIDB",$A420,E$3,E$2,'Præsentationstabeller 1'!$C$2),0)</f>
        <v/>
      </c>
      <c r="F420" t="str" vm="12314">
        <f>IFERROR(CUBEVALUE("BIDB",$A420,F$3,F$2,'Præsentationstabeller 1'!$C$2),0)</f>
        <v/>
      </c>
      <c r="G420" t="str" vm="9113">
        <f>IFERROR(CUBEVALUE("BIDB",$A420,G$3,G$2,'Præsentationstabeller 1'!$C$2),0)</f>
        <v/>
      </c>
      <c r="H420" t="str" vm="10045">
        <f>IFERROR(CUBEVALUE("BIDB",$A420,H$3,H$2,'Præsentationstabeller 1'!$C$2),0)</f>
        <v/>
      </c>
      <c r="I420" t="str" vm="14078">
        <f>IFERROR(CUBEVALUE("BIDB",$A420,I$3,I$2,'Præsentationstabeller 1'!$C$2),0)</f>
        <v/>
      </c>
      <c r="J420" t="str" vm="9760">
        <f>IFERROR(CUBEVALUE("BIDB",$A420,J$3,J$2,'Præsentationstabeller 1'!$C$2),0)</f>
        <v/>
      </c>
      <c r="K420" t="str" vm="14362">
        <f>IFERROR(CUBEVALUE("BIDB",$A420,K$3,K$2,'Præsentationstabeller 1'!$C$2),0)</f>
        <v/>
      </c>
      <c r="L420" t="str" vm="15441">
        <f>IFERROR(CUBEVALUE("BIDB",$A420,L$3,L$2,'Præsentationstabeller 1'!$C$2),0)</f>
        <v/>
      </c>
    </row>
    <row r="421" spans="1:12" x14ac:dyDescent="0.3">
      <c r="A421" s="123" t="str" vm="915">
        <f>CUBEMEMBER("BIDB","[Dimittenddato].[Dimittenddato].&amp;[2011-07-20T00:00:00]")</f>
        <v>20-07-2011</v>
      </c>
      <c r="B421" t="str" vm="16333">
        <f>IFERROR(CUBEVALUE("BIDB",$A421,B$3,'Præsentationstabeller 1'!$C$2),0)</f>
        <v/>
      </c>
      <c r="C421" t="str" vm="7676">
        <f>IFERROR(CUBEVALUE("BIDB",$A421,C$3,C$2,'Præsentationstabeller 1'!$C$2),0)</f>
        <v/>
      </c>
      <c r="D421" t="str" vm="15681">
        <f>IFERROR(CUBEVALUE("BIDB",$A421,D$3,D$2,'Præsentationstabeller 1'!$C$2),0)</f>
        <v/>
      </c>
      <c r="E421" t="str" vm="10029">
        <f>IFERROR(CUBEVALUE("BIDB",$A421,E$3,E$2,'Præsentationstabeller 1'!$C$2),0)</f>
        <v/>
      </c>
      <c r="F421" t="str" vm="9300">
        <f>IFERROR(CUBEVALUE("BIDB",$A421,F$3,F$2,'Præsentationstabeller 1'!$C$2),0)</f>
        <v/>
      </c>
      <c r="G421" t="str" vm="10660">
        <f>IFERROR(CUBEVALUE("BIDB",$A421,G$3,G$2,'Præsentationstabeller 1'!$C$2),0)</f>
        <v/>
      </c>
      <c r="H421" t="str" vm="9997">
        <f>IFERROR(CUBEVALUE("BIDB",$A421,H$3,H$2,'Præsentationstabeller 1'!$C$2),0)</f>
        <v/>
      </c>
      <c r="I421" t="str" vm="9010">
        <f>IFERROR(CUBEVALUE("BIDB",$A421,I$3,I$2,'Præsentationstabeller 1'!$C$2),0)</f>
        <v/>
      </c>
      <c r="J421" t="str" vm="10786">
        <f>IFERROR(CUBEVALUE("BIDB",$A421,J$3,J$2,'Præsentationstabeller 1'!$C$2),0)</f>
        <v/>
      </c>
      <c r="K421" t="str" vm="12993">
        <f>IFERROR(CUBEVALUE("BIDB",$A421,K$3,K$2,'Præsentationstabeller 1'!$C$2),0)</f>
        <v/>
      </c>
      <c r="L421" t="str" vm="11007">
        <f>IFERROR(CUBEVALUE("BIDB",$A421,L$3,L$2,'Præsentationstabeller 1'!$C$2),0)</f>
        <v/>
      </c>
    </row>
    <row r="422" spans="1:12" x14ac:dyDescent="0.3">
      <c r="A422" s="123" t="str" vm="914">
        <f>CUBEMEMBER("BIDB","[Dimittenddato].[Dimittenddato].&amp;[2011-07-21T00:00:00]")</f>
        <v>21-07-2011</v>
      </c>
      <c r="B422" t="str" vm="10073">
        <f>IFERROR(CUBEVALUE("BIDB",$A422,B$3,'Præsentationstabeller 1'!$C$2),0)</f>
        <v/>
      </c>
      <c r="C422" t="str" vm="9797">
        <f>IFERROR(CUBEVALUE("BIDB",$A422,C$3,C$2,'Præsentationstabeller 1'!$C$2),0)</f>
        <v/>
      </c>
      <c r="D422" t="str" vm="8699">
        <f>IFERROR(CUBEVALUE("BIDB",$A422,D$3,D$2,'Præsentationstabeller 1'!$C$2),0)</f>
        <v/>
      </c>
      <c r="E422" t="str" vm="7573">
        <f>IFERROR(CUBEVALUE("BIDB",$A422,E$3,E$2,'Præsentationstabeller 1'!$C$2),0)</f>
        <v/>
      </c>
      <c r="F422" t="str" vm="9625">
        <f>IFERROR(CUBEVALUE("BIDB",$A422,F$3,F$2,'Præsentationstabeller 1'!$C$2),0)</f>
        <v/>
      </c>
      <c r="G422" t="str" vm="10404">
        <f>IFERROR(CUBEVALUE("BIDB",$A422,G$3,G$2,'Præsentationstabeller 1'!$C$2),0)</f>
        <v/>
      </c>
      <c r="H422" t="str" vm="12726">
        <f>IFERROR(CUBEVALUE("BIDB",$A422,H$3,H$2,'Præsentationstabeller 1'!$C$2),0)</f>
        <v/>
      </c>
      <c r="I422" t="str" vm="10700">
        <f>IFERROR(CUBEVALUE("BIDB",$A422,I$3,I$2,'Præsentationstabeller 1'!$C$2),0)</f>
        <v/>
      </c>
      <c r="J422" t="str" vm="10963">
        <f>IFERROR(CUBEVALUE("BIDB",$A422,J$3,J$2,'Præsentationstabeller 1'!$C$2),0)</f>
        <v/>
      </c>
      <c r="K422" t="str" vm="16611">
        <f>IFERROR(CUBEVALUE("BIDB",$A422,K$3,K$2,'Præsentationstabeller 1'!$C$2),0)</f>
        <v/>
      </c>
      <c r="L422" t="str" vm="10203">
        <f>IFERROR(CUBEVALUE("BIDB",$A422,L$3,L$2,'Præsentationstabeller 1'!$C$2),0)</f>
        <v/>
      </c>
    </row>
    <row r="423" spans="1:12" x14ac:dyDescent="0.3">
      <c r="A423" s="123" t="str" vm="913">
        <f>CUBEMEMBER("BIDB","[Dimittenddato].[Dimittenddato].&amp;[2011-07-22T00:00:00]")</f>
        <v>22-07-2011</v>
      </c>
      <c r="B423" t="str" vm="15675">
        <f>IFERROR(CUBEVALUE("BIDB",$A423,B$3,'Præsentationstabeller 1'!$C$2),0)</f>
        <v/>
      </c>
      <c r="C423" t="str" vm="11176">
        <f>IFERROR(CUBEVALUE("BIDB",$A423,C$3,C$2,'Præsentationstabeller 1'!$C$2),0)</f>
        <v/>
      </c>
      <c r="D423" vm="10607">
        <f>IFERROR(CUBEVALUE("BIDB",$A423,D$3,D$2,'Præsentationstabeller 1'!$C$2),0)</f>
        <v>2</v>
      </c>
      <c r="E423" t="str" vm="11213">
        <f>IFERROR(CUBEVALUE("BIDB",$A423,E$3,E$2,'Præsentationstabeller 1'!$C$2),0)</f>
        <v/>
      </c>
      <c r="F423" vm="7091">
        <f>IFERROR(CUBEVALUE("BIDB",$A423,F$3,F$2,'Præsentationstabeller 1'!$C$2),0)</f>
        <v>1</v>
      </c>
      <c r="G423" vm="10468">
        <f>IFERROR(CUBEVALUE("BIDB",$A423,G$3,G$2,'Præsentationstabeller 1'!$C$2),0)</f>
        <v>1</v>
      </c>
      <c r="H423" t="str" vm="11761">
        <f>IFERROR(CUBEVALUE("BIDB",$A423,H$3,H$2,'Præsentationstabeller 1'!$C$2),0)</f>
        <v/>
      </c>
      <c r="I423" t="str" vm="13421">
        <f>IFERROR(CUBEVALUE("BIDB",$A423,I$3,I$2,'Præsentationstabeller 1'!$C$2),0)</f>
        <v/>
      </c>
      <c r="J423" t="str" vm="10552">
        <f>IFERROR(CUBEVALUE("BIDB",$A423,J$3,J$2,'Præsentationstabeller 1'!$C$2),0)</f>
        <v/>
      </c>
      <c r="K423" t="str" vm="8907">
        <f>IFERROR(CUBEVALUE("BIDB",$A423,K$3,K$2,'Præsentationstabeller 1'!$C$2),0)</f>
        <v/>
      </c>
      <c r="L423" t="str" vm="13404">
        <f>IFERROR(CUBEVALUE("BIDB",$A423,L$3,L$2,'Præsentationstabeller 1'!$C$2),0)</f>
        <v/>
      </c>
    </row>
    <row r="424" spans="1:12" x14ac:dyDescent="0.3">
      <c r="A424" s="123" t="str" vm="912">
        <f>CUBEMEMBER("BIDB","[Dimittenddato].[Dimittenddato].&amp;[2011-07-23T00:00:00]")</f>
        <v>23-07-2011</v>
      </c>
      <c r="B424" t="str" vm="8859">
        <f>IFERROR(CUBEVALUE("BIDB",$A424,B$3,'Præsentationstabeller 1'!$C$2),0)</f>
        <v/>
      </c>
      <c r="C424" t="str" vm="13549">
        <f>IFERROR(CUBEVALUE("BIDB",$A424,C$3,C$2,'Præsentationstabeller 1'!$C$2),0)</f>
        <v/>
      </c>
      <c r="D424" t="str" vm="10870">
        <f>IFERROR(CUBEVALUE("BIDB",$A424,D$3,D$2,'Præsentationstabeller 1'!$C$2),0)</f>
        <v/>
      </c>
      <c r="E424" t="str" vm="12192">
        <f>IFERROR(CUBEVALUE("BIDB",$A424,E$3,E$2,'Præsentationstabeller 1'!$C$2),0)</f>
        <v/>
      </c>
      <c r="F424" t="str" vm="13992">
        <f>IFERROR(CUBEVALUE("BIDB",$A424,F$3,F$2,'Præsentationstabeller 1'!$C$2),0)</f>
        <v/>
      </c>
      <c r="G424" t="str" vm="7470">
        <f>IFERROR(CUBEVALUE("BIDB",$A424,G$3,G$2,'Præsentationstabeller 1'!$C$2),0)</f>
        <v/>
      </c>
      <c r="H424" t="str" vm="13491">
        <f>IFERROR(CUBEVALUE("BIDB",$A424,H$3,H$2,'Præsentationstabeller 1'!$C$2),0)</f>
        <v/>
      </c>
      <c r="I424" t="str" vm="13402">
        <f>IFERROR(CUBEVALUE("BIDB",$A424,I$3,I$2,'Præsentationstabeller 1'!$C$2),0)</f>
        <v/>
      </c>
      <c r="J424" t="str" vm="12979">
        <f>IFERROR(CUBEVALUE("BIDB",$A424,J$3,J$2,'Præsentationstabeller 1'!$C$2),0)</f>
        <v/>
      </c>
      <c r="K424" t="str" vm="8088">
        <f>IFERROR(CUBEVALUE("BIDB",$A424,K$3,K$2,'Præsentationstabeller 1'!$C$2),0)</f>
        <v/>
      </c>
      <c r="L424" t="str" vm="13398">
        <f>IFERROR(CUBEVALUE("BIDB",$A424,L$3,L$2,'Præsentationstabeller 1'!$C$2),0)</f>
        <v/>
      </c>
    </row>
    <row r="425" spans="1:12" x14ac:dyDescent="0.3">
      <c r="A425" s="123" t="str" vm="911">
        <f>CUBEMEMBER("BIDB","[Dimittenddato].[Dimittenddato].&amp;[2011-07-24T00:00:00]")</f>
        <v>24-07-2011</v>
      </c>
      <c r="B425" t="str" vm="7985">
        <f>IFERROR(CUBEVALUE("BIDB",$A425,B$3,'Præsentationstabeller 1'!$C$2),0)</f>
        <v/>
      </c>
      <c r="C425" t="str" vm="13537">
        <f>IFERROR(CUBEVALUE("BIDB",$A425,C$3,C$2,'Præsentationstabeller 1'!$C$2),0)</f>
        <v/>
      </c>
      <c r="D425" t="str" vm="15560">
        <f>IFERROR(CUBEVALUE("BIDB",$A425,D$3,D$2,'Præsentationstabeller 1'!$C$2),0)</f>
        <v/>
      </c>
      <c r="E425" t="str" vm="10842">
        <f>IFERROR(CUBEVALUE("BIDB",$A425,E$3,E$2,'Præsentationstabeller 1'!$C$2),0)</f>
        <v/>
      </c>
      <c r="F425" t="str" vm="11305">
        <f>IFERROR(CUBEVALUE("BIDB",$A425,F$3,F$2,'Præsentationstabeller 1'!$C$2),0)</f>
        <v/>
      </c>
      <c r="G425" t="str" vm="12712">
        <f>IFERROR(CUBEVALUE("BIDB",$A425,G$3,G$2,'Præsentationstabeller 1'!$C$2),0)</f>
        <v/>
      </c>
      <c r="H425" t="str" vm="8827">
        <f>IFERROR(CUBEVALUE("BIDB",$A425,H$3,H$2,'Præsentationstabeller 1'!$C$2),0)</f>
        <v/>
      </c>
      <c r="I425" t="str" vm="10958">
        <f>IFERROR(CUBEVALUE("BIDB",$A425,I$3,I$2,'Præsentationstabeller 1'!$C$2),0)</f>
        <v/>
      </c>
      <c r="J425" t="str" vm="16647">
        <f>IFERROR(CUBEVALUE("BIDB",$A425,J$3,J$2,'Præsentationstabeller 1'!$C$2),0)</f>
        <v/>
      </c>
      <c r="K425" t="str" vm="12947">
        <f>IFERROR(CUBEVALUE("BIDB",$A425,K$3,K$2,'Præsentationstabeller 1'!$C$2),0)</f>
        <v/>
      </c>
      <c r="L425" t="str" vm="9342">
        <f>IFERROR(CUBEVALUE("BIDB",$A425,L$3,L$2,'Præsentationstabeller 1'!$C$2),0)</f>
        <v/>
      </c>
    </row>
    <row r="426" spans="1:12" x14ac:dyDescent="0.3">
      <c r="A426" s="123" t="str" vm="910">
        <f>CUBEMEMBER("BIDB","[Dimittenddato].[Dimittenddato].&amp;[2011-07-25T00:00:00]")</f>
        <v>25-07-2011</v>
      </c>
      <c r="B426" t="str" vm="14423">
        <f>IFERROR(CUBEVALUE("BIDB",$A426,B$3,'Præsentationstabeller 1'!$C$2),0)</f>
        <v/>
      </c>
      <c r="C426" t="str" vm="11803">
        <f>IFERROR(CUBEVALUE("BIDB",$A426,C$3,C$2,'Præsentationstabeller 1'!$C$2),0)</f>
        <v/>
      </c>
      <c r="D426" t="str" vm="9230">
        <f>IFERROR(CUBEVALUE("BIDB",$A426,D$3,D$2,'Præsentationstabeller 1'!$C$2),0)</f>
        <v/>
      </c>
      <c r="E426" t="str" vm="10794">
        <f>IFERROR(CUBEVALUE("BIDB",$A426,E$3,E$2,'Præsentationstabeller 1'!$C$2),0)</f>
        <v/>
      </c>
      <c r="F426" t="str" vm="14522">
        <f>IFERROR(CUBEVALUE("BIDB",$A426,F$3,F$2,'Præsentationstabeller 1'!$C$2),0)</f>
        <v/>
      </c>
      <c r="G426" t="str" vm="10459">
        <f>IFERROR(CUBEVALUE("BIDB",$A426,G$3,G$2,'Præsentationstabeller 1'!$C$2),0)</f>
        <v/>
      </c>
      <c r="H426" t="str" vm="11503">
        <f>IFERROR(CUBEVALUE("BIDB",$A426,H$3,H$2,'Præsentationstabeller 1'!$C$2),0)</f>
        <v/>
      </c>
      <c r="I426" t="str" vm="10496">
        <f>IFERROR(CUBEVALUE("BIDB",$A426,I$3,I$2,'Præsentationstabeller 1'!$C$2),0)</f>
        <v/>
      </c>
      <c r="J426" t="str" vm="13208">
        <f>IFERROR(CUBEVALUE("BIDB",$A426,J$3,J$2,'Præsentationstabeller 1'!$C$2),0)</f>
        <v/>
      </c>
      <c r="K426" t="str" vm="13545">
        <f>IFERROR(CUBEVALUE("BIDB",$A426,K$3,K$2,'Præsentationstabeller 1'!$C$2),0)</f>
        <v/>
      </c>
      <c r="L426" t="str" vm="10017">
        <f>IFERROR(CUBEVALUE("BIDB",$A426,L$3,L$2,'Præsentationstabeller 1'!$C$2),0)</f>
        <v/>
      </c>
    </row>
    <row r="427" spans="1:12" x14ac:dyDescent="0.3">
      <c r="A427" s="123" t="str" vm="909">
        <f>CUBEMEMBER("BIDB","[Dimittenddato].[Dimittenddato].&amp;[2011-07-26T00:00:00]")</f>
        <v>26-07-2011</v>
      </c>
      <c r="B427" t="str" vm="10826">
        <f>IFERROR(CUBEVALUE("BIDB",$A427,B$3,'Præsentationstabeller 1'!$C$2),0)</f>
        <v/>
      </c>
      <c r="C427" t="str" vm="10814">
        <f>IFERROR(CUBEVALUE("BIDB",$A427,C$3,C$2,'Præsentationstabeller 1'!$C$2),0)</f>
        <v/>
      </c>
      <c r="D427" t="str" vm="12965">
        <f>IFERROR(CUBEVALUE("BIDB",$A427,D$3,D$2,'Præsentationstabeller 1'!$C$2),0)</f>
        <v/>
      </c>
      <c r="E427" t="str" vm="11968">
        <f>IFERROR(CUBEVALUE("BIDB",$A427,E$3,E$2,'Præsentationstabeller 1'!$C$2),0)</f>
        <v/>
      </c>
      <c r="F427" t="str" vm="8624">
        <f>IFERROR(CUBEVALUE("BIDB",$A427,F$3,F$2,'Præsentationstabeller 1'!$C$2),0)</f>
        <v/>
      </c>
      <c r="G427" t="str" vm="12248">
        <f>IFERROR(CUBEVALUE("BIDB",$A427,G$3,G$2,'Præsentationstabeller 1'!$C$2),0)</f>
        <v/>
      </c>
      <c r="H427" t="str" vm="13542">
        <f>IFERROR(CUBEVALUE("BIDB",$A427,H$3,H$2,'Præsentationstabeller 1'!$C$2),0)</f>
        <v/>
      </c>
      <c r="I427" t="str" vm="9710">
        <f>IFERROR(CUBEVALUE("BIDB",$A427,I$3,I$2,'Præsentationstabeller 1'!$C$2),0)</f>
        <v/>
      </c>
      <c r="J427" t="str" vm="13696">
        <f>IFERROR(CUBEVALUE("BIDB",$A427,J$3,J$2,'Præsentationstabeller 1'!$C$2),0)</f>
        <v/>
      </c>
      <c r="K427" t="str" vm="9142">
        <f>IFERROR(CUBEVALUE("BIDB",$A427,K$3,K$2,'Præsentationstabeller 1'!$C$2),0)</f>
        <v/>
      </c>
      <c r="L427" t="str" vm="15240">
        <f>IFERROR(CUBEVALUE("BIDB",$A427,L$3,L$2,'Præsentationstabeller 1'!$C$2),0)</f>
        <v/>
      </c>
    </row>
    <row r="428" spans="1:12" x14ac:dyDescent="0.3">
      <c r="A428" s="123" t="str" vm="908">
        <f>CUBEMEMBER("BIDB","[Dimittenddato].[Dimittenddato].&amp;[2011-07-27T00:00:00]")</f>
        <v>27-07-2011</v>
      </c>
      <c r="B428" t="str" vm="9039">
        <f>IFERROR(CUBEVALUE("BIDB",$A428,B$3,'Præsentationstabeller 1'!$C$2),0)</f>
        <v/>
      </c>
      <c r="C428" t="str" vm="10422">
        <f>IFERROR(CUBEVALUE("BIDB",$A428,C$3,C$2,'Præsentationstabeller 1'!$C$2),0)</f>
        <v/>
      </c>
      <c r="D428" vm="12883">
        <f>IFERROR(CUBEVALUE("BIDB",$A428,D$3,D$2,'Præsentationstabeller 1'!$C$2),0)</f>
        <v>1</v>
      </c>
      <c r="E428" vm="11249">
        <f>IFERROR(CUBEVALUE("BIDB",$A428,E$3,E$2,'Præsentationstabeller 1'!$C$2),0)</f>
        <v>2</v>
      </c>
      <c r="F428" t="str" vm="10189">
        <f>IFERROR(CUBEVALUE("BIDB",$A428,F$3,F$2,'Præsentationstabeller 1'!$C$2),0)</f>
        <v/>
      </c>
      <c r="G428" vm="9162">
        <f>IFERROR(CUBEVALUE("BIDB",$A428,G$3,G$2,'Præsentationstabeller 1'!$C$2),0)</f>
        <v>2</v>
      </c>
      <c r="H428" t="str" vm="12672">
        <f>IFERROR(CUBEVALUE("BIDB",$A428,H$3,H$2,'Præsentationstabeller 1'!$C$2),0)</f>
        <v/>
      </c>
      <c r="I428" t="str" vm="12890">
        <f>IFERROR(CUBEVALUE("BIDB",$A428,I$3,I$2,'Præsentationstabeller 1'!$C$2),0)</f>
        <v/>
      </c>
      <c r="J428" t="str" vm="9562">
        <f>IFERROR(CUBEVALUE("BIDB",$A428,J$3,J$2,'Præsentationstabeller 1'!$C$2),0)</f>
        <v/>
      </c>
      <c r="K428" t="str" vm="9286">
        <f>IFERROR(CUBEVALUE("BIDB",$A428,K$3,K$2,'Præsentationstabeller 1'!$C$2),0)</f>
        <v/>
      </c>
      <c r="L428" t="str" vm="8210">
        <f>IFERROR(CUBEVALUE("BIDB",$A428,L$3,L$2,'Præsentationstabeller 1'!$C$2),0)</f>
        <v/>
      </c>
    </row>
    <row r="429" spans="1:12" x14ac:dyDescent="0.3">
      <c r="A429" s="123" t="str" vm="907">
        <f>CUBEMEMBER("BIDB","[Dimittenddato].[Dimittenddato].&amp;[2011-07-28T00:00:00]")</f>
        <v>28-07-2011</v>
      </c>
      <c r="B429" t="str" vm="11748">
        <f>IFERROR(CUBEVALUE("BIDB",$A429,B$3,'Præsentationstabeller 1'!$C$2),0)</f>
        <v/>
      </c>
      <c r="C429" t="str" vm="6837">
        <f>IFERROR(CUBEVALUE("BIDB",$A429,C$3,C$2,'Præsentationstabeller 1'!$C$2),0)</f>
        <v/>
      </c>
      <c r="D429" t="str" vm="9722">
        <f>IFERROR(CUBEVALUE("BIDB",$A429,D$3,D$2,'Præsentationstabeller 1'!$C$2),0)</f>
        <v/>
      </c>
      <c r="E429" vm="15928">
        <f>IFERROR(CUBEVALUE("BIDB",$A429,E$3,E$2,'Præsentationstabeller 1'!$C$2),0)</f>
        <v>1</v>
      </c>
      <c r="F429" t="str" vm="11655">
        <f>IFERROR(CUBEVALUE("BIDB",$A429,F$3,F$2,'Præsentationstabeller 1'!$C$2),0)</f>
        <v/>
      </c>
      <c r="G429" vm="10059">
        <f>IFERROR(CUBEVALUE("BIDB",$A429,G$3,G$2,'Præsentationstabeller 1'!$C$2),0)</f>
        <v>1</v>
      </c>
      <c r="H429" t="str" vm="8521">
        <f>IFERROR(CUBEVALUE("BIDB",$A429,H$3,H$2,'Præsentationstabeller 1'!$C$2),0)</f>
        <v/>
      </c>
      <c r="I429" t="str" vm="12878">
        <f>IFERROR(CUBEVALUE("BIDB",$A429,I$3,I$2,'Præsentationstabeller 1'!$C$2),0)</f>
        <v/>
      </c>
      <c r="J429" t="str" vm="13982">
        <f>IFERROR(CUBEVALUE("BIDB",$A429,J$3,J$2,'Præsentationstabeller 1'!$C$2),0)</f>
        <v/>
      </c>
      <c r="K429" t="str" vm="9249">
        <f>IFERROR(CUBEVALUE("BIDB",$A429,K$3,K$2,'Præsentationstabeller 1'!$C$2),0)</f>
        <v/>
      </c>
      <c r="L429" t="str" vm="9397">
        <f>IFERROR(CUBEVALUE("BIDB",$A429,L$3,L$2,'Præsentationstabeller 1'!$C$2),0)</f>
        <v/>
      </c>
    </row>
    <row r="430" spans="1:12" x14ac:dyDescent="0.3">
      <c r="A430" s="123" t="str" vm="906">
        <f>CUBEMEMBER("BIDB","[Dimittenddato].[Dimittenddato].&amp;[2011-07-29T00:00:00]")</f>
        <v>29-07-2011</v>
      </c>
      <c r="B430" t="str" vm="10665">
        <f>IFERROR(CUBEVALUE("BIDB",$A430,B$3,'Præsentationstabeller 1'!$C$2),0)</f>
        <v/>
      </c>
      <c r="C430" t="str" vm="16668">
        <f>IFERROR(CUBEVALUE("BIDB",$A430,C$3,C$2,'Præsentationstabeller 1'!$C$2),0)</f>
        <v/>
      </c>
      <c r="D430" t="str" vm="8936">
        <f>IFERROR(CUBEVALUE("BIDB",$A430,D$3,D$2,'Præsentationstabeller 1'!$C$2),0)</f>
        <v/>
      </c>
      <c r="E430" vm="8338">
        <f>IFERROR(CUBEVALUE("BIDB",$A430,E$3,E$2,'Præsentationstabeller 1'!$C$2),0)</f>
        <v>1</v>
      </c>
      <c r="F430" vm="12886">
        <f>IFERROR(CUBEVALUE("BIDB",$A430,F$3,F$2,'Præsentationstabeller 1'!$C$2),0)</f>
        <v>1</v>
      </c>
      <c r="G430" vm="13528">
        <f>IFERROR(CUBEVALUE("BIDB",$A430,G$3,G$2,'Præsentationstabeller 1'!$C$2),0)</f>
        <v>2</v>
      </c>
      <c r="H430" t="str" vm="7599">
        <f>IFERROR(CUBEVALUE("BIDB",$A430,H$3,H$2,'Præsentationstabeller 1'!$C$2),0)</f>
        <v/>
      </c>
      <c r="I430" t="str" vm="10856">
        <f>IFERROR(CUBEVALUE("BIDB",$A430,I$3,I$2,'Præsentationstabeller 1'!$C$2),0)</f>
        <v/>
      </c>
      <c r="J430" t="str" vm="8370">
        <f>IFERROR(CUBEVALUE("BIDB",$A430,J$3,J$2,'Præsentationstabeller 1'!$C$2),0)</f>
        <v/>
      </c>
      <c r="K430" t="str" vm="9590">
        <f>IFERROR(CUBEVALUE("BIDB",$A430,K$3,K$2,'Præsentationstabeller 1'!$C$2),0)</f>
        <v/>
      </c>
      <c r="L430" t="str" vm="10359">
        <f>IFERROR(CUBEVALUE("BIDB",$A430,L$3,L$2,'Præsentationstabeller 1'!$C$2),0)</f>
        <v/>
      </c>
    </row>
    <row r="431" spans="1:12" x14ac:dyDescent="0.3">
      <c r="A431" s="123" t="str" vm="905">
        <f>CUBEMEMBER("BIDB","[Dimittenddato].[Dimittenddato].&amp;[2011-07-30T00:00:00]")</f>
        <v>30-07-2011</v>
      </c>
      <c r="B431" t="str" vm="11277">
        <f>IFERROR(CUBEVALUE("BIDB",$A431,B$3,'Præsentationstabeller 1'!$C$2),0)</f>
        <v/>
      </c>
      <c r="C431" t="str" vm="12838">
        <f>IFERROR(CUBEVALUE("BIDB",$A431,C$3,C$2,'Præsentationstabeller 1'!$C$2),0)</f>
        <v/>
      </c>
      <c r="D431" t="str" vm="11954">
        <f>IFERROR(CUBEVALUE("BIDB",$A431,D$3,D$2,'Præsentationstabeller 1'!$C$2),0)</f>
        <v/>
      </c>
      <c r="E431" vm="11922">
        <f>IFERROR(CUBEVALUE("BIDB",$A431,E$3,E$2,'Præsentationstabeller 1'!$C$2),0)</f>
        <v>1</v>
      </c>
      <c r="F431" t="str" vm="9748">
        <f>IFERROR(CUBEVALUE("BIDB",$A431,F$3,F$2,'Præsentationstabeller 1'!$C$2),0)</f>
        <v/>
      </c>
      <c r="G431" vm="13301">
        <f>IFERROR(CUBEVALUE("BIDB",$A431,G$3,G$2,'Præsentationstabeller 1'!$C$2),0)</f>
        <v>1</v>
      </c>
      <c r="H431" t="str" vm="13286">
        <f>IFERROR(CUBEVALUE("BIDB",$A431,H$3,H$2,'Præsentationstabeller 1'!$C$2),0)</f>
        <v/>
      </c>
      <c r="I431" t="str" vm="9506">
        <f>IFERROR(CUBEVALUE("BIDB",$A431,I$3,I$2,'Præsentationstabeller 1'!$C$2),0)</f>
        <v/>
      </c>
      <c r="J431" t="str" vm="7496">
        <f>IFERROR(CUBEVALUE("BIDB",$A431,J$3,J$2,'Præsentationstabeller 1'!$C$2),0)</f>
        <v/>
      </c>
      <c r="K431" t="str" vm="9542">
        <f>IFERROR(CUBEVALUE("BIDB",$A431,K$3,K$2,'Præsentationstabeller 1'!$C$2),0)</f>
        <v/>
      </c>
      <c r="L431" t="str" vm="13465">
        <f>IFERROR(CUBEVALUE("BIDB",$A431,L$3,L$2,'Præsentationstabeller 1'!$C$2),0)</f>
        <v/>
      </c>
    </row>
    <row r="432" spans="1:12" x14ac:dyDescent="0.3">
      <c r="A432" s="123" t="str" vm="904">
        <f>CUBEMEMBER("BIDB","[Dimittenddato].[Dimittenddato].&amp;[2011-07-31T00:00:00]")</f>
        <v>31-07-2011</v>
      </c>
      <c r="B432" t="str" vm="12254">
        <f>IFERROR(CUBEVALUE("BIDB",$A432,B$3,'Præsentationstabeller 1'!$C$2),0)</f>
        <v/>
      </c>
      <c r="C432" t="str" vm="16373">
        <f>IFERROR(CUBEVALUE("BIDB",$A432,C$3,C$2,'Præsentationstabeller 1'!$C$2),0)</f>
        <v/>
      </c>
      <c r="D432" vm="11433">
        <f>IFERROR(CUBEVALUE("BIDB",$A432,D$3,D$2,'Præsentationstabeller 1'!$C$2),0)</f>
        <v>2</v>
      </c>
      <c r="E432" vm="15614">
        <f>IFERROR(CUBEVALUE("BIDB",$A432,E$3,E$2,'Præsentationstabeller 1'!$C$2),0)</f>
        <v>0</v>
      </c>
      <c r="F432" t="str" vm="10003">
        <f>IFERROR(CUBEVALUE("BIDB",$A432,F$3,F$2,'Præsentationstabeller 1'!$C$2),0)</f>
        <v/>
      </c>
      <c r="G432" vm="7635">
        <f>IFERROR(CUBEVALUE("BIDB",$A432,G$3,G$2,'Præsentationstabeller 1'!$C$2),0)</f>
        <v>0</v>
      </c>
      <c r="H432" t="str" vm="9574">
        <f>IFERROR(CUBEVALUE("BIDB",$A432,H$3,H$2,'Præsentationstabeller 1'!$C$2),0)</f>
        <v/>
      </c>
      <c r="I432" t="str" vm="14432">
        <f>IFERROR(CUBEVALUE("BIDB",$A432,I$3,I$2,'Præsentationstabeller 1'!$C$2),0)</f>
        <v/>
      </c>
      <c r="J432" t="str" vm="16932">
        <f>IFERROR(CUBEVALUE("BIDB",$A432,J$3,J$2,'Præsentationstabeller 1'!$C$2),0)</f>
        <v/>
      </c>
      <c r="K432" t="str" vm="11291">
        <f>IFERROR(CUBEVALUE("BIDB",$A432,K$3,K$2,'Præsentationstabeller 1'!$C$2),0)</f>
        <v/>
      </c>
      <c r="L432" t="str" vm="8418">
        <f>IFERROR(CUBEVALUE("BIDB",$A432,L$3,L$2,'Præsentationstabeller 1'!$C$2),0)</f>
        <v/>
      </c>
    </row>
    <row r="433" spans="1:12" x14ac:dyDescent="0.3">
      <c r="A433" s="123" t="str" vm="903">
        <f>CUBEMEMBER("BIDB","[Dimittenddato].[Dimittenddato].&amp;[2011-08-01T00:00:00]")</f>
        <v>01-08-2011</v>
      </c>
      <c r="B433" t="str" vm="14561">
        <f>IFERROR(CUBEVALUE("BIDB",$A433,B$3,'Præsentationstabeller 1'!$C$2),0)</f>
        <v/>
      </c>
      <c r="C433" t="str" vm="10646">
        <f>IFERROR(CUBEVALUE("BIDB",$A433,C$3,C$2,'Præsentationstabeller 1'!$C$2),0)</f>
        <v/>
      </c>
      <c r="D433" vm="13521">
        <f>IFERROR(CUBEVALUE("BIDB",$A433,D$3,D$2,'Præsentationstabeller 1'!$C$2),0)</f>
        <v>2</v>
      </c>
      <c r="E433" vm="14672">
        <f>IFERROR(CUBEVALUE("BIDB",$A433,E$3,E$2,'Præsentationstabeller 1'!$C$2),0)</f>
        <v>6</v>
      </c>
      <c r="F433" t="str" vm="9199">
        <f>IFERROR(CUBEVALUE("BIDB",$A433,F$3,F$2,'Præsentationstabeller 1'!$C$2),0)</f>
        <v/>
      </c>
      <c r="G433" vm="14932">
        <f>IFERROR(CUBEVALUE("BIDB",$A433,G$3,G$2,'Præsentationstabeller 1'!$C$2),0)</f>
        <v>6</v>
      </c>
      <c r="H433" t="str" vm="8653">
        <f>IFERROR(CUBEVALUE("BIDB",$A433,H$3,H$2,'Præsentationstabeller 1'!$C$2),0)</f>
        <v/>
      </c>
      <c r="I433" t="str" vm="7721">
        <f>IFERROR(CUBEVALUE("BIDB",$A433,I$3,I$2,'Præsentationstabeller 1'!$C$2),0)</f>
        <v/>
      </c>
      <c r="J433" t="str" vm="11261">
        <f>IFERROR(CUBEVALUE("BIDB",$A433,J$3,J$2,'Præsentationstabeller 1'!$C$2),0)</f>
        <v/>
      </c>
      <c r="K433" t="str" vm="10303">
        <f>IFERROR(CUBEVALUE("BIDB",$A433,K$3,K$2,'Præsentationstabeller 1'!$C$2),0)</f>
        <v/>
      </c>
      <c r="L433" t="str" vm="9961">
        <f>IFERROR(CUBEVALUE("BIDB",$A433,L$3,L$2,'Præsentationstabeller 1'!$C$2),0)</f>
        <v/>
      </c>
    </row>
    <row r="434" spans="1:12" x14ac:dyDescent="0.3">
      <c r="A434" s="123" t="str" vm="902">
        <f>CUBEMEMBER("BIDB","[Dimittenddato].[Dimittenddato].&amp;[2011-08-02T00:00:00]")</f>
        <v>02-08-2011</v>
      </c>
      <c r="B434" t="str" vm="12782">
        <f>IFERROR(CUBEVALUE("BIDB",$A434,B$3,'Præsentationstabeller 1'!$C$2),0)</f>
        <v/>
      </c>
      <c r="C434" t="str" vm="9696">
        <f>IFERROR(CUBEVALUE("BIDB",$A434,C$3,C$2,'Præsentationstabeller 1'!$C$2),0)</f>
        <v/>
      </c>
      <c r="D434" t="str" vm="9059">
        <f>IFERROR(CUBEVALUE("BIDB",$A434,D$3,D$2,'Præsentationstabeller 1'!$C$2),0)</f>
        <v/>
      </c>
      <c r="E434" t="str" vm="8135">
        <f>IFERROR(CUBEVALUE("BIDB",$A434,E$3,E$2,'Præsentationstabeller 1'!$C$2),0)</f>
        <v/>
      </c>
      <c r="F434" t="str" vm="12170">
        <f>IFERROR(CUBEVALUE("BIDB",$A434,F$3,F$2,'Præsentationstabeller 1'!$C$2),0)</f>
        <v/>
      </c>
      <c r="G434" t="str" vm="11076">
        <f>IFERROR(CUBEVALUE("BIDB",$A434,G$3,G$2,'Præsentationstabeller 1'!$C$2),0)</f>
        <v/>
      </c>
      <c r="H434" t="str" vm="10800">
        <f>IFERROR(CUBEVALUE("BIDB",$A434,H$3,H$2,'Præsentationstabeller 1'!$C$2),0)</f>
        <v/>
      </c>
      <c r="I434" t="str" vm="11858">
        <f>IFERROR(CUBEVALUE("BIDB",$A434,I$3,I$2,'Præsentationstabeller 1'!$C$2),0)</f>
        <v/>
      </c>
      <c r="J434" t="str" vm="8550">
        <f>IFERROR(CUBEVALUE("BIDB",$A434,J$3,J$2,'Præsentationstabeller 1'!$C$2),0)</f>
        <v/>
      </c>
      <c r="K434" t="str" vm="12901">
        <f>IFERROR(CUBEVALUE("BIDB",$A434,K$3,K$2,'Præsentationstabeller 1'!$C$2),0)</f>
        <v/>
      </c>
      <c r="L434" t="str" vm="15653">
        <f>IFERROR(CUBEVALUE("BIDB",$A434,L$3,L$2,'Præsentationstabeller 1'!$C$2),0)</f>
        <v/>
      </c>
    </row>
    <row r="435" spans="1:12" x14ac:dyDescent="0.3">
      <c r="A435" s="123" t="str" vm="901">
        <f>CUBEMEMBER("BIDB","[Dimittenddato].[Dimittenddato].&amp;[2011-08-03T00:00:00]")</f>
        <v>03-08-2011</v>
      </c>
      <c r="B435" t="str" vm="14328">
        <f>IFERROR(CUBEVALUE("BIDB",$A435,B$3,'Præsentationstabeller 1'!$C$2),0)</f>
        <v/>
      </c>
      <c r="C435" t="str" vm="15494">
        <f>IFERROR(CUBEVALUE("BIDB",$A435,C$3,C$2,'Præsentationstabeller 1'!$C$2),0)</f>
        <v/>
      </c>
      <c r="D435" t="str" vm="9548">
        <f>IFERROR(CUBEVALUE("BIDB",$A435,D$3,D$2,'Præsentationstabeller 1'!$C$2),0)</f>
        <v/>
      </c>
      <c r="E435" vm="9065">
        <f>IFERROR(CUBEVALUE("BIDB",$A435,E$3,E$2,'Præsentationstabeller 1'!$C$2),0)</f>
        <v>1</v>
      </c>
      <c r="F435" t="str" vm="12675">
        <f>IFERROR(CUBEVALUE("BIDB",$A435,F$3,F$2,'Præsentationstabeller 1'!$C$2),0)</f>
        <v/>
      </c>
      <c r="G435" vm="13337">
        <f>IFERROR(CUBEVALUE("BIDB",$A435,G$3,G$2,'Præsentationstabeller 1'!$C$2),0)</f>
        <v>1</v>
      </c>
      <c r="H435" t="str" vm="9966">
        <f>IFERROR(CUBEVALUE("BIDB",$A435,H$3,H$2,'Præsentationstabeller 1'!$C$2),0)</f>
        <v/>
      </c>
      <c r="I435" t="str" vm="9866">
        <f>IFERROR(CUBEVALUE("BIDB",$A435,I$3,I$2,'Præsentationstabeller 1'!$C$2),0)</f>
        <v/>
      </c>
      <c r="J435" t="str" vm="11236">
        <f>IFERROR(CUBEVALUE("BIDB",$A435,J$3,J$2,'Præsentationstabeller 1'!$C$2),0)</f>
        <v/>
      </c>
      <c r="K435" t="str" vm="6582">
        <f>IFERROR(CUBEVALUE("BIDB",$A435,K$3,K$2,'Præsentationstabeller 1'!$C$2),0)</f>
        <v/>
      </c>
      <c r="L435" t="str" vm="9258">
        <f>IFERROR(CUBEVALUE("BIDB",$A435,L$3,L$2,'Præsentationstabeller 1'!$C$2),0)</f>
        <v/>
      </c>
    </row>
    <row r="436" spans="1:12" x14ac:dyDescent="0.3">
      <c r="A436" s="123" t="str" vm="900">
        <f>CUBEMEMBER("BIDB","[Dimittenddato].[Dimittenddato].&amp;[2011-08-04T00:00:00]")</f>
        <v>04-08-2011</v>
      </c>
      <c r="B436" t="str" vm="7849">
        <f>IFERROR(CUBEVALUE("BIDB",$A436,B$3,'Præsentationstabeller 1'!$C$2),0)</f>
        <v/>
      </c>
      <c r="C436" t="str" vm="12679">
        <f>IFERROR(CUBEVALUE("BIDB",$A436,C$3,C$2,'Præsentationstabeller 1'!$C$2),0)</f>
        <v/>
      </c>
      <c r="D436" vm="17130">
        <f>IFERROR(CUBEVALUE("BIDB",$A436,D$3,D$2,'Præsentationstabeller 1'!$C$2),0)</f>
        <v>1</v>
      </c>
      <c r="E436" vm="12528">
        <f>IFERROR(CUBEVALUE("BIDB",$A436,E$3,E$2,'Præsentationstabeller 1'!$C$2),0)</f>
        <v>1</v>
      </c>
      <c r="F436" t="str" vm="10345">
        <f>IFERROR(CUBEVALUE("BIDB",$A436,F$3,F$2,'Præsentationstabeller 1'!$C$2),0)</f>
        <v/>
      </c>
      <c r="G436" vm="7881">
        <f>IFERROR(CUBEVALUE("BIDB",$A436,G$3,G$2,'Præsentationstabeller 1'!$C$2),0)</f>
        <v>1</v>
      </c>
      <c r="H436" t="str" vm="10387">
        <f>IFERROR(CUBEVALUE("BIDB",$A436,H$3,H$2,'Præsentationstabeller 1'!$C$2),0)</f>
        <v/>
      </c>
      <c r="I436" t="str" vm="14086">
        <f>IFERROR(CUBEVALUE("BIDB",$A436,I$3,I$2,'Præsentationstabeller 1'!$C$2),0)</f>
        <v/>
      </c>
      <c r="J436" t="str" vm="10763">
        <f>IFERROR(CUBEVALUE("BIDB",$A436,J$3,J$2,'Præsentationstabeller 1'!$C$2),0)</f>
        <v/>
      </c>
      <c r="K436" t="str" vm="12165">
        <f>IFERROR(CUBEVALUE("BIDB",$A436,K$3,K$2,'Præsentationstabeller 1'!$C$2),0)</f>
        <v/>
      </c>
      <c r="L436" t="str" vm="8447">
        <f>IFERROR(CUBEVALUE("BIDB",$A436,L$3,L$2,'Præsentationstabeller 1'!$C$2),0)</f>
        <v/>
      </c>
    </row>
    <row r="437" spans="1:12" x14ac:dyDescent="0.3">
      <c r="A437" s="123" t="str" vm="899">
        <f>CUBEMEMBER("BIDB","[Dimittenddato].[Dimittenddato].&amp;[2011-08-05T00:00:00]")</f>
        <v>05-08-2011</v>
      </c>
      <c r="B437" t="str" vm="14097">
        <f>IFERROR(CUBEVALUE("BIDB",$A437,B$3,'Præsentationstabeller 1'!$C$2),0)</f>
        <v/>
      </c>
      <c r="C437" t="str" vm="11164">
        <f>IFERROR(CUBEVALUE("BIDB",$A437,C$3,C$2,'Præsentationstabeller 1'!$C$2),0)</f>
        <v/>
      </c>
      <c r="D437" t="str" vm="12543">
        <f>IFERROR(CUBEVALUE("BIDB",$A437,D$3,D$2,'Præsentationstabeller 1'!$C$2),0)</f>
        <v/>
      </c>
      <c r="E437" vm="10371">
        <f>IFERROR(CUBEVALUE("BIDB",$A437,E$3,E$2,'Præsentationstabeller 1'!$C$2),0)</f>
        <v>3</v>
      </c>
      <c r="F437" vm="11020">
        <f>IFERROR(CUBEVALUE("BIDB",$A437,F$3,F$2,'Præsentationstabeller 1'!$C$2),0)</f>
        <v>1</v>
      </c>
      <c r="G437" vm="8962">
        <f>IFERROR(CUBEVALUE("BIDB",$A437,G$3,G$2,'Præsentationstabeller 1'!$C$2),0)</f>
        <v>4</v>
      </c>
      <c r="H437" t="str" vm="10339">
        <f>IFERROR(CUBEVALUE("BIDB",$A437,H$3,H$2,'Præsentationstabeller 1'!$C$2),0)</f>
        <v/>
      </c>
      <c r="I437" t="str" vm="8032">
        <f>IFERROR(CUBEVALUE("BIDB",$A437,I$3,I$2,'Præsentationstabeller 1'!$C$2),0)</f>
        <v/>
      </c>
      <c r="J437" t="str" vm="13535">
        <f>IFERROR(CUBEVALUE("BIDB",$A437,J$3,J$2,'Præsentationstabeller 1'!$C$2),0)</f>
        <v/>
      </c>
      <c r="K437" t="str" vm="12327">
        <f>IFERROR(CUBEVALUE("BIDB",$A437,K$3,K$2,'Præsentationstabeller 1'!$C$2),0)</f>
        <v/>
      </c>
      <c r="L437" t="str" vm="14547">
        <f>IFERROR(CUBEVALUE("BIDB",$A437,L$3,L$2,'Præsentationstabeller 1'!$C$2),0)</f>
        <v/>
      </c>
    </row>
    <row r="438" spans="1:12" x14ac:dyDescent="0.3">
      <c r="A438" s="123" t="str" vm="898">
        <f>CUBEMEMBER("BIDB","[Dimittenddato].[Dimittenddato].&amp;[2011-08-06T00:00:00]")</f>
        <v>06-08-2011</v>
      </c>
      <c r="B438" t="str" vm="13240">
        <f>IFERROR(CUBEVALUE("BIDB",$A438,B$3,'Præsentationstabeller 1'!$C$2),0)</f>
        <v/>
      </c>
      <c r="C438" t="str" vm="12824">
        <f>IFERROR(CUBEVALUE("BIDB",$A438,C$3,C$2,'Præsentationstabeller 1'!$C$2),0)</f>
        <v/>
      </c>
      <c r="D438" t="str" vm="7532">
        <f>IFERROR(CUBEVALUE("BIDB",$A438,D$3,D$2,'Præsentationstabeller 1'!$C$2),0)</f>
        <v/>
      </c>
      <c r="E438" t="str" vm="8164">
        <f>IFERROR(CUBEVALUE("BIDB",$A438,E$3,E$2,'Præsentationstabeller 1'!$C$2),0)</f>
        <v/>
      </c>
      <c r="F438" t="str" vm="15579">
        <f>IFERROR(CUBEVALUE("BIDB",$A438,F$3,F$2,'Præsentationstabeller 1'!$C$2),0)</f>
        <v/>
      </c>
      <c r="G438" t="str" vm="13107">
        <f>IFERROR(CUBEVALUE("BIDB",$A438,G$3,G$2,'Præsentationstabeller 1'!$C$2),0)</f>
        <v/>
      </c>
      <c r="H438" t="str" vm="10657">
        <f>IFERROR(CUBEVALUE("BIDB",$A438,H$3,H$2,'Præsentationstabeller 1'!$C$2),0)</f>
        <v/>
      </c>
      <c r="I438" t="str" vm="9492">
        <f>IFERROR(CUBEVALUE("BIDB",$A438,I$3,I$2,'Præsentationstabeller 1'!$C$2),0)</f>
        <v/>
      </c>
      <c r="J438" t="str" vm="13523">
        <f>IFERROR(CUBEVALUE("BIDB",$A438,J$3,J$2,'Præsentationstabeller 1'!$C$2),0)</f>
        <v/>
      </c>
      <c r="K438" t="str" vm="14227">
        <f>IFERROR(CUBEVALUE("BIDB",$A438,K$3,K$2,'Præsentationstabeller 1'!$C$2),0)</f>
        <v/>
      </c>
      <c r="L438" t="str" vm="11217">
        <f>IFERROR(CUBEVALUE("BIDB",$A438,L$3,L$2,'Præsentationstabeller 1'!$C$2),0)</f>
        <v/>
      </c>
    </row>
    <row r="439" spans="1:12" x14ac:dyDescent="0.3">
      <c r="A439" s="123" t="str" vm="897">
        <f>CUBEMEMBER("BIDB","[Dimittenddato].[Dimittenddato].&amp;[2011-08-07T00:00:00]")</f>
        <v>07-08-2011</v>
      </c>
      <c r="B439" t="str" vm="15529">
        <f>IFERROR(CUBEVALUE("BIDB",$A439,B$3,'Præsentationstabeller 1'!$C$2),0)</f>
        <v/>
      </c>
      <c r="C439" t="str" vm="10713">
        <f>IFERROR(CUBEVALUE("BIDB",$A439,C$3,C$2,'Præsentationstabeller 1'!$C$2),0)</f>
        <v/>
      </c>
      <c r="D439" t="str" vm="10758">
        <f>IFERROR(CUBEVALUE("BIDB",$A439,D$3,D$2,'Præsentationstabeller 1'!$C$2),0)</f>
        <v/>
      </c>
      <c r="E439" t="str" vm="16379">
        <f>IFERROR(CUBEVALUE("BIDB",$A439,E$3,E$2,'Præsentationstabeller 1'!$C$2),0)</f>
        <v/>
      </c>
      <c r="F439" t="str" vm="7232">
        <f>IFERROR(CUBEVALUE("BIDB",$A439,F$3,F$2,'Præsentationstabeller 1'!$C$2),0)</f>
        <v/>
      </c>
      <c r="G439" t="str" vm="13531">
        <f>IFERROR(CUBEVALUE("BIDB",$A439,G$3,G$2,'Præsentationstabeller 1'!$C$2),0)</f>
        <v/>
      </c>
      <c r="H439" t="str" vm="9810">
        <f>IFERROR(CUBEVALUE("BIDB",$A439,H$3,H$2,'Præsentationstabeller 1'!$C$2),0)</f>
        <v/>
      </c>
      <c r="I439" t="str" vm="11121">
        <f>IFERROR(CUBEVALUE("BIDB",$A439,I$3,I$2,'Præsentationstabeller 1'!$C$2),0)</f>
        <v/>
      </c>
      <c r="J439" t="str" vm="10180">
        <f>IFERROR(CUBEVALUE("BIDB",$A439,J$3,J$2,'Præsentationstabeller 1'!$C$2),0)</f>
        <v/>
      </c>
      <c r="K439" t="str" vm="7929">
        <f>IFERROR(CUBEVALUE("BIDB",$A439,K$3,K$2,'Præsentationstabeller 1'!$C$2),0)</f>
        <v/>
      </c>
      <c r="L439" t="str" vm="9478">
        <f>IFERROR(CUBEVALUE("BIDB",$A439,L$3,L$2,'Præsentationstabeller 1'!$C$2),0)</f>
        <v/>
      </c>
    </row>
    <row r="440" spans="1:12" x14ac:dyDescent="0.3">
      <c r="A440" s="123" t="str" vm="896">
        <f>CUBEMEMBER("BIDB","[Dimittenddato].[Dimittenddato].&amp;[2011-08-08T00:00:00]")</f>
        <v>08-08-2011</v>
      </c>
      <c r="B440" t="str" vm="11940">
        <f>IFERROR(CUBEVALUE("BIDB",$A440,B$3,'Præsentationstabeller 1'!$C$2),0)</f>
        <v/>
      </c>
      <c r="C440" t="str" vm="13857">
        <f>IFERROR(CUBEVALUE("BIDB",$A440,C$3,C$2,'Præsentationstabeller 1'!$C$2),0)</f>
        <v/>
      </c>
      <c r="D440" vm="10565">
        <f>IFERROR(CUBEVALUE("BIDB",$A440,D$3,D$2,'Præsentationstabeller 1'!$C$2),0)</f>
        <v>2</v>
      </c>
      <c r="E440" vm="14027">
        <f>IFERROR(CUBEVALUE("BIDB",$A440,E$3,E$2,'Præsentationstabeller 1'!$C$2),0)</f>
        <v>3</v>
      </c>
      <c r="F440" t="str" vm="10289">
        <f>IFERROR(CUBEVALUE("BIDB",$A440,F$3,F$2,'Præsentationstabeller 1'!$C$2),0)</f>
        <v/>
      </c>
      <c r="G440" vm="8061">
        <f>IFERROR(CUBEVALUE("BIDB",$A440,G$3,G$2,'Præsentationstabeller 1'!$C$2),0)</f>
        <v>3</v>
      </c>
      <c r="H440" t="str" vm="16897">
        <f>IFERROR(CUBEVALUE("BIDB",$A440,H$3,H$2,'Præsentationstabeller 1'!$C$2),0)</f>
        <v/>
      </c>
      <c r="I440" vm="10674">
        <f>IFERROR(CUBEVALUE("BIDB",$A440,I$3,I$2,'Præsentationstabeller 1'!$C$2),0)</f>
        <v>1</v>
      </c>
      <c r="J440" t="str" vm="12271">
        <f>IFERROR(CUBEVALUE("BIDB",$A440,J$3,J$2,'Præsentationstabeller 1'!$C$2),0)</f>
        <v/>
      </c>
      <c r="K440" t="str" vm="16801">
        <f>IFERROR(CUBEVALUE("BIDB",$A440,K$3,K$2,'Præsentationstabeller 1'!$C$2),0)</f>
        <v/>
      </c>
      <c r="L440" t="str" vm="8956">
        <f>IFERROR(CUBEVALUE("BIDB",$A440,L$3,L$2,'Præsentationstabeller 1'!$C$2),0)</f>
        <v/>
      </c>
    </row>
    <row r="441" spans="1:12" x14ac:dyDescent="0.3">
      <c r="A441" s="123" t="str" vm="895">
        <f>CUBEMEMBER("BIDB","[Dimittenddato].[Dimittenddato].&amp;[2011-08-09T00:00:00]")</f>
        <v>09-08-2011</v>
      </c>
      <c r="B441" t="str" vm="11470">
        <f>IFERROR(CUBEVALUE("BIDB",$A441,B$3,'Præsentationstabeller 1'!$C$2),0)</f>
        <v/>
      </c>
      <c r="C441" t="str" vm="14361">
        <f>IFERROR(CUBEVALUE("BIDB",$A441,C$3,C$2,'Præsentationstabeller 1'!$C$2),0)</f>
        <v/>
      </c>
      <c r="D441" t="str" vm="14968">
        <f>IFERROR(CUBEVALUE("BIDB",$A441,D$3,D$2,'Præsentationstabeller 1'!$C$2),0)</f>
        <v/>
      </c>
      <c r="E441" vm="12866">
        <f>IFERROR(CUBEVALUE("BIDB",$A441,E$3,E$2,'Præsentationstabeller 1'!$C$2),0)</f>
        <v>2</v>
      </c>
      <c r="F441" t="str" vm="9355">
        <f>IFERROR(CUBEVALUE("BIDB",$A441,F$3,F$2,'Præsentationstabeller 1'!$C$2),0)</f>
        <v/>
      </c>
      <c r="G441" vm="9185">
        <f>IFERROR(CUBEVALUE("BIDB",$A441,G$3,G$2,'Præsentationstabeller 1'!$C$2),0)</f>
        <v>2</v>
      </c>
      <c r="H441" t="str" vm="6327">
        <f>IFERROR(CUBEVALUE("BIDB",$A441,H$3,H$2,'Præsentationstabeller 1'!$C$2),0)</f>
        <v/>
      </c>
      <c r="I441" t="str" vm="7958">
        <f>IFERROR(CUBEVALUE("BIDB",$A441,I$3,I$2,'Præsentationstabeller 1'!$C$2),0)</f>
        <v/>
      </c>
      <c r="J441" t="str" vm="15625">
        <f>IFERROR(CUBEVALUE("BIDB",$A441,J$3,J$2,'Præsentationstabeller 1'!$C$2),0)</f>
        <v/>
      </c>
      <c r="K441" t="str" vm="14760">
        <f>IFERROR(CUBEVALUE("BIDB",$A441,K$3,K$2,'Præsentationstabeller 1'!$C$2),0)</f>
        <v/>
      </c>
      <c r="L441" t="str" vm="8076">
        <f>IFERROR(CUBEVALUE("BIDB",$A441,L$3,L$2,'Præsentationstabeller 1'!$C$2),0)</f>
        <v/>
      </c>
    </row>
    <row r="442" spans="1:12" x14ac:dyDescent="0.3">
      <c r="A442" s="123" t="str" vm="894">
        <f>CUBEMEMBER("BIDB","[Dimittenddato].[Dimittenddato].&amp;[2011-08-10T00:00:00]")</f>
        <v>10-08-2011</v>
      </c>
      <c r="B442" t="str" vm="15121">
        <f>IFERROR(CUBEVALUE("BIDB",$A442,B$3,'Præsentationstabeller 1'!$C$2),0)</f>
        <v/>
      </c>
      <c r="C442" t="str" vm="7973">
        <f>IFERROR(CUBEVALUE("BIDB",$A442,C$3,C$2,'Præsentationstabeller 1'!$C$2),0)</f>
        <v/>
      </c>
      <c r="D442" vm="7392">
        <f>IFERROR(CUBEVALUE("BIDB",$A442,D$3,D$2,'Præsentationstabeller 1'!$C$2),0)</f>
        <v>4</v>
      </c>
      <c r="E442" vm="12818">
        <f>IFERROR(CUBEVALUE("BIDB",$A442,E$3,E$2,'Præsentationstabeller 1'!$C$2),0)</f>
        <v>3</v>
      </c>
      <c r="F442" t="str" vm="15221">
        <f>IFERROR(CUBEVALUE("BIDB",$A442,F$3,F$2,'Præsentationstabeller 1'!$C$2),0)</f>
        <v/>
      </c>
      <c r="G442" vm="9455">
        <f>IFERROR(CUBEVALUE("BIDB",$A442,G$3,G$2,'Præsentationstabeller 1'!$C$2),0)</f>
        <v>3</v>
      </c>
      <c r="H442" t="str" vm="11062">
        <f>IFERROR(CUBEVALUE("BIDB",$A442,H$3,H$2,'Præsentationstabeller 1'!$C$2),0)</f>
        <v/>
      </c>
      <c r="I442" t="str" vm="12769">
        <f>IFERROR(CUBEVALUE("BIDB",$A442,I$3,I$2,'Præsentationstabeller 1'!$C$2),0)</f>
        <v/>
      </c>
      <c r="J442" t="str" vm="7360">
        <f>IFERROR(CUBEVALUE("BIDB",$A442,J$3,J$2,'Præsentationstabeller 1'!$C$2),0)</f>
        <v/>
      </c>
      <c r="K442" t="str" vm="13343">
        <f>IFERROR(CUBEVALUE("BIDB",$A442,K$3,K$2,'Præsentationstabeller 1'!$C$2),0)</f>
        <v/>
      </c>
      <c r="L442" t="str" vm="13226">
        <f>IFERROR(CUBEVALUE("BIDB",$A442,L$3,L$2,'Præsentationstabeller 1'!$C$2),0)</f>
        <v/>
      </c>
    </row>
    <row r="443" spans="1:12" x14ac:dyDescent="0.3">
      <c r="A443" s="123" t="str" vm="893">
        <f>CUBEMEMBER("BIDB","[Dimittenddato].[Dimittenddato].&amp;[2011-08-11T00:00:00]")</f>
        <v>11-08-2011</v>
      </c>
      <c r="B443" t="str" vm="12850">
        <f>IFERROR(CUBEVALUE("BIDB",$A443,B$3,'Præsentationstabeller 1'!$C$2),0)</f>
        <v/>
      </c>
      <c r="C443" vm="10509">
        <f>IFERROR(CUBEVALUE("BIDB",$A443,C$3,C$2,'Præsentationstabeller 1'!$C$2),0)</f>
        <v>1</v>
      </c>
      <c r="D443" t="str" vm="8576">
        <f>IFERROR(CUBEVALUE("BIDB",$A443,D$3,D$2,'Præsentationstabeller 1'!$C$2),0)</f>
        <v/>
      </c>
      <c r="E443" vm="11431">
        <f>IFERROR(CUBEVALUE("BIDB",$A443,E$3,E$2,'Præsentationstabeller 1'!$C$2),0)</f>
        <v>3</v>
      </c>
      <c r="F443" vm="7646">
        <f>IFERROR(CUBEVALUE("BIDB",$A443,F$3,F$2,'Præsentationstabeller 1'!$C$2),0)</f>
        <v>2</v>
      </c>
      <c r="G443" vm="9534">
        <f>IFERROR(CUBEVALUE("BIDB",$A443,G$3,G$2,'Præsentationstabeller 1'!$C$2),0)</f>
        <v>5</v>
      </c>
      <c r="H443" t="str" vm="11816">
        <f>IFERROR(CUBEVALUE("BIDB",$A443,H$3,H$2,'Præsentationstabeller 1'!$C$2),0)</f>
        <v/>
      </c>
      <c r="I443" t="str" vm="10252">
        <f>IFERROR(CUBEVALUE("BIDB",$A443,I$3,I$2,'Præsentationstabeller 1'!$C$2),0)</f>
        <v/>
      </c>
      <c r="J443" t="str" vm="15209">
        <f>IFERROR(CUBEVALUE("BIDB",$A443,J$3,J$2,'Præsentationstabeller 1'!$C$2),0)</f>
        <v/>
      </c>
      <c r="K443" t="str" vm="12189">
        <f>IFERROR(CUBEVALUE("BIDB",$A443,K$3,K$2,'Præsentationstabeller 1'!$C$2),0)</f>
        <v/>
      </c>
      <c r="L443" t="str" vm="15136">
        <f>IFERROR(CUBEVALUE("BIDB",$A443,L$3,L$2,'Præsentationstabeller 1'!$C$2),0)</f>
        <v/>
      </c>
    </row>
    <row r="444" spans="1:12" x14ac:dyDescent="0.3">
      <c r="A444" s="123" t="str" vm="892">
        <f>CUBEMEMBER("BIDB","[Dimittenddato].[Dimittenddato].&amp;[2011-08-12T00:00:00]")</f>
        <v>12-08-2011</v>
      </c>
      <c r="B444" t="str" vm="7675">
        <f>IFERROR(CUBEVALUE("BIDB",$A444,B$3,'Præsentationstabeller 1'!$C$2),0)</f>
        <v/>
      </c>
      <c r="C444" t="str" vm="13116">
        <f>IFERROR(CUBEVALUE("BIDB",$A444,C$3,C$2,'Præsentationstabeller 1'!$C$2),0)</f>
        <v/>
      </c>
      <c r="D444" vm="13442">
        <f>IFERROR(CUBEVALUE("BIDB",$A444,D$3,D$2,'Præsentationstabeller 1'!$C$2),0)</f>
        <v>0</v>
      </c>
      <c r="E444" vm="9299">
        <f>IFERROR(CUBEVALUE("BIDB",$A444,E$3,E$2,'Præsentationstabeller 1'!$C$2),0)</f>
        <v>8</v>
      </c>
      <c r="F444" t="str" vm="15876">
        <f>IFERROR(CUBEVALUE("BIDB",$A444,F$3,F$2,'Præsentationstabeller 1'!$C$2),0)</f>
        <v/>
      </c>
      <c r="G444" vm="9486">
        <f>IFERROR(CUBEVALUE("BIDB",$A444,G$3,G$2,'Præsentationstabeller 1'!$C$2),0)</f>
        <v>8</v>
      </c>
      <c r="H444" t="str" vm="16089">
        <f>IFERROR(CUBEVALUE("BIDB",$A444,H$3,H$2,'Præsentationstabeller 1'!$C$2),0)</f>
        <v/>
      </c>
      <c r="I444" t="str" vm="10275">
        <f>IFERROR(CUBEVALUE("BIDB",$A444,I$3,I$2,'Præsentationstabeller 1'!$C$2),0)</f>
        <v/>
      </c>
      <c r="J444" t="str" vm="12482">
        <f>IFERROR(CUBEVALUE("BIDB",$A444,J$3,J$2,'Præsentationstabeller 1'!$C$2),0)</f>
        <v/>
      </c>
      <c r="K444" t="str" vm="9852">
        <f>IFERROR(CUBEVALUE("BIDB",$A444,K$3,K$2,'Præsentationstabeller 1'!$C$2),0)</f>
        <v/>
      </c>
      <c r="L444" t="str" vm="7429">
        <f>IFERROR(CUBEVALUE("BIDB",$A444,L$3,L$2,'Præsentationstabeller 1'!$C$2),0)</f>
        <v/>
      </c>
    </row>
    <row r="445" spans="1:12" x14ac:dyDescent="0.3">
      <c r="A445" s="123" t="str" vm="891">
        <f>CUBEMEMBER("BIDB","[Dimittenddato].[Dimittenddato].&amp;[2011-08-13T00:00:00]")</f>
        <v>13-08-2011</v>
      </c>
      <c r="B445" t="str" vm="15661">
        <f>IFERROR(CUBEVALUE("BIDB",$A445,B$3,'Præsentationstabeller 1'!$C$2),0)</f>
        <v/>
      </c>
      <c r="C445" t="str" vm="8698">
        <f>IFERROR(CUBEVALUE("BIDB",$A445,C$3,C$2,'Præsentationstabeller 1'!$C$2),0)</f>
        <v/>
      </c>
      <c r="D445" t="str" vm="9518">
        <f>IFERROR(CUBEVALUE("BIDB",$A445,D$3,D$2,'Præsentationstabeller 1'!$C$2),0)</f>
        <v/>
      </c>
      <c r="E445" t="str" vm="11139">
        <f>IFERROR(CUBEVALUE("BIDB",$A445,E$3,E$2,'Præsentationstabeller 1'!$C$2),0)</f>
        <v/>
      </c>
      <c r="F445" t="str" vm="9911">
        <f>IFERROR(CUBEVALUE("BIDB",$A445,F$3,F$2,'Præsentationstabeller 1'!$C$2),0)</f>
        <v/>
      </c>
      <c r="G445" t="str" vm="9687">
        <f>IFERROR(CUBEVALUE("BIDB",$A445,G$3,G$2,'Præsentationstabeller 1'!$C$2),0)</f>
        <v/>
      </c>
      <c r="H445" t="str" vm="7543">
        <f>IFERROR(CUBEVALUE("BIDB",$A445,H$3,H$2,'Præsentationstabeller 1'!$C$2),0)</f>
        <v/>
      </c>
      <c r="I445" t="str" vm="9753">
        <f>IFERROR(CUBEVALUE("BIDB",$A445,I$3,I$2,'Præsentationstabeller 1'!$C$2),0)</f>
        <v/>
      </c>
      <c r="J445" t="str" vm="16962">
        <f>IFERROR(CUBEVALUE("BIDB",$A445,J$3,J$2,'Præsentationstabeller 1'!$C$2),0)</f>
        <v/>
      </c>
      <c r="K445" t="str" vm="10202">
        <f>IFERROR(CUBEVALUE("BIDB",$A445,K$3,K$2,'Præsentationstabeller 1'!$C$2),0)</f>
        <v/>
      </c>
      <c r="L445" t="str" vm="8473">
        <f>IFERROR(CUBEVALUE("BIDB",$A445,L$3,L$2,'Præsentationstabeller 1'!$C$2),0)</f>
        <v/>
      </c>
    </row>
    <row r="446" spans="1:12" x14ac:dyDescent="0.3">
      <c r="A446" s="123" t="str" vm="890">
        <f>CUBEMEMBER("BIDB","[Dimittenddato].[Dimittenddato].&amp;[2011-08-14T00:00:00]")</f>
        <v>14-08-2011</v>
      </c>
      <c r="B446" t="str" vm="9661">
        <f>IFERROR(CUBEVALUE("BIDB",$A446,B$3,'Præsentationstabeller 1'!$C$2),0)</f>
        <v/>
      </c>
      <c r="C446" t="str" vm="11006">
        <f>IFERROR(CUBEVALUE("BIDB",$A446,C$3,C$2,'Præsentationstabeller 1'!$C$2),0)</f>
        <v/>
      </c>
      <c r="D446" t="str" vm="7572">
        <f>IFERROR(CUBEVALUE("BIDB",$A446,D$3,D$2,'Præsentationstabeller 1'!$C$2),0)</f>
        <v/>
      </c>
      <c r="E446" t="str" vm="7090">
        <f>IFERROR(CUBEVALUE("BIDB",$A446,E$3,E$2,'Præsentationstabeller 1'!$C$2),0)</f>
        <v/>
      </c>
      <c r="F446" t="str" vm="11947">
        <f>IFERROR(CUBEVALUE("BIDB",$A446,F$3,F$2,'Præsentationstabeller 1'!$C$2),0)</f>
        <v/>
      </c>
      <c r="G446" t="str" vm="11760">
        <f>IFERROR(CUBEVALUE("BIDB",$A446,G$3,G$2,'Præsentationstabeller 1'!$C$2),0)</f>
        <v/>
      </c>
      <c r="H446" t="str" vm="12313">
        <f>IFERROR(CUBEVALUE("BIDB",$A446,H$3,H$2,'Præsentationstabeller 1'!$C$2),0)</f>
        <v/>
      </c>
      <c r="I446" t="str" vm="7587">
        <f>IFERROR(CUBEVALUE("BIDB",$A446,I$3,I$2,'Præsentationstabeller 1'!$C$2),0)</f>
        <v/>
      </c>
      <c r="J446" t="str" vm="7440">
        <f>IFERROR(CUBEVALUE("BIDB",$A446,J$3,J$2,'Præsentationstabeller 1'!$C$2),0)</f>
        <v/>
      </c>
      <c r="K446" t="str" vm="15690">
        <f>IFERROR(CUBEVALUE("BIDB",$A446,K$3,K$2,'Præsentationstabeller 1'!$C$2),0)</f>
        <v/>
      </c>
      <c r="L446" t="str" vm="10072">
        <f>IFERROR(CUBEVALUE("BIDB",$A446,L$3,L$2,'Præsentationstabeller 1'!$C$2),0)</f>
        <v/>
      </c>
    </row>
    <row r="447" spans="1:12" x14ac:dyDescent="0.3">
      <c r="A447" s="123" t="str" vm="889">
        <f>CUBEMEMBER("BIDB","[Dimittenddato].[Dimittenddato].&amp;[2011-08-15T00:00:00]")</f>
        <v>15-08-2011</v>
      </c>
      <c r="B447" t="str" vm="16642">
        <f>IFERROR(CUBEVALUE("BIDB",$A447,B$3,'Præsentationstabeller 1'!$C$2),0)</f>
        <v/>
      </c>
      <c r="C447" vm="10869">
        <f>IFERROR(CUBEVALUE("BIDB",$A447,C$3,C$2,'Præsentationstabeller 1'!$C$2),0)</f>
        <v>2</v>
      </c>
      <c r="D447" vm="10167">
        <f>IFERROR(CUBEVALUE("BIDB",$A447,D$3,D$2,'Præsentationstabeller 1'!$C$2),0)</f>
        <v>3</v>
      </c>
      <c r="E447" vm="12215">
        <f>IFERROR(CUBEVALUE("BIDB",$A447,E$3,E$2,'Præsentationstabeller 1'!$C$2),0)</f>
        <v>6</v>
      </c>
      <c r="F447" t="str" vm="7469">
        <f>IFERROR(CUBEVALUE("BIDB",$A447,F$3,F$2,'Præsentationstabeller 1'!$C$2),0)</f>
        <v/>
      </c>
      <c r="G447" vm="14769">
        <f>IFERROR(CUBEVALUE("BIDB",$A447,G$3,G$2,'Præsentationstabeller 1'!$C$2),0)</f>
        <v>6</v>
      </c>
      <c r="H447" t="str" vm="12106">
        <f>IFERROR(CUBEVALUE("BIDB",$A447,H$3,H$2,'Præsentationstabeller 1'!$C$2),0)</f>
        <v/>
      </c>
      <c r="I447" t="str" vm="12468">
        <f>IFERROR(CUBEVALUE("BIDB",$A447,I$3,I$2,'Præsentationstabeller 1'!$C$2),0)</f>
        <v/>
      </c>
      <c r="J447" t="str" vm="11572">
        <f>IFERROR(CUBEVALUE("BIDB",$A447,J$3,J$2,'Præsentationstabeller 1'!$C$2),0)</f>
        <v/>
      </c>
      <c r="K447" t="str" vm="16554">
        <f>IFERROR(CUBEVALUE("BIDB",$A447,K$3,K$2,'Præsentationstabeller 1'!$C$2),0)</f>
        <v/>
      </c>
      <c r="L447" t="str" vm="14408">
        <f>IFERROR(CUBEVALUE("BIDB",$A447,L$3,L$2,'Præsentationstabeller 1'!$C$2),0)</f>
        <v/>
      </c>
    </row>
    <row r="448" spans="1:12" x14ac:dyDescent="0.3">
      <c r="A448" s="123" t="str" vm="888">
        <f>CUBEMEMBER("BIDB","[Dimittenddato].[Dimittenddato].&amp;[2011-08-16T00:00:00]")</f>
        <v>16-08-2011</v>
      </c>
      <c r="B448" t="str" vm="16641">
        <f>IFERROR(CUBEVALUE("BIDB",$A448,B$3,'Præsentationstabeller 1'!$C$2),0)</f>
        <v/>
      </c>
      <c r="C448" vm="13375">
        <f>IFERROR(CUBEVALUE("BIDB",$A448,C$3,C$2,'Præsentationstabeller 1'!$C$2),0)</f>
        <v>1</v>
      </c>
      <c r="D448" vm="16509">
        <f>IFERROR(CUBEVALUE("BIDB",$A448,D$3,D$2,'Præsentationstabeller 1'!$C$2),0)</f>
        <v>2</v>
      </c>
      <c r="E448" vm="11304">
        <f>IFERROR(CUBEVALUE("BIDB",$A448,E$3,E$2,'Præsentationstabeller 1'!$C$2),0)</f>
        <v>2</v>
      </c>
      <c r="F448" vm="9796">
        <f>IFERROR(CUBEVALUE("BIDB",$A448,F$3,F$2,'Præsentationstabeller 1'!$C$2),0)</f>
        <v>2</v>
      </c>
      <c r="G448" vm="8826">
        <f>IFERROR(CUBEVALUE("BIDB",$A448,G$3,G$2,'Præsentationstabeller 1'!$C$2),0)</f>
        <v>4</v>
      </c>
      <c r="H448" t="str" vm="16555">
        <f>IFERROR(CUBEVALUE("BIDB",$A448,H$3,H$2,'Præsentationstabeller 1'!$C$2),0)</f>
        <v/>
      </c>
      <c r="I448" t="str" vm="15553">
        <f>IFERROR(CUBEVALUE("BIDB",$A448,I$3,I$2,'Præsentationstabeller 1'!$C$2),0)</f>
        <v/>
      </c>
      <c r="J448" t="str" vm="12436">
        <f>IFERROR(CUBEVALUE("BIDB",$A448,J$3,J$2,'Præsentationstabeller 1'!$C$2),0)</f>
        <v/>
      </c>
      <c r="K448" t="str" vm="7484">
        <f>IFERROR(CUBEVALUE("BIDB",$A448,K$3,K$2,'Præsentationstabeller 1'!$C$2),0)</f>
        <v/>
      </c>
      <c r="L448" t="str" vm="8858">
        <f>IFERROR(CUBEVALUE("BIDB",$A448,L$3,L$2,'Præsentationstabeller 1'!$C$2),0)</f>
        <v/>
      </c>
    </row>
    <row r="449" spans="1:12" x14ac:dyDescent="0.3">
      <c r="A449" s="123" t="str" vm="887">
        <f>CUBEMEMBER("BIDB","[Dimittenddato].[Dimittenddato].&amp;[2011-08-17T00:00:00]")</f>
        <v>17-08-2011</v>
      </c>
      <c r="B449" t="str" vm="9958">
        <f>IFERROR(CUBEVALUE("BIDB",$A449,B$3,'Præsentationstabeller 1'!$C$2),0)</f>
        <v/>
      </c>
      <c r="C449" vm="9947">
        <f>IFERROR(CUBEVALUE("BIDB",$A449,C$3,C$2,'Præsentationstabeller 1'!$C$2),0)</f>
        <v>1</v>
      </c>
      <c r="D449" vm="10331">
        <f>IFERROR(CUBEVALUE("BIDB",$A449,D$3,D$2,'Præsentationstabeller 1'!$C$2),0)</f>
        <v>2</v>
      </c>
      <c r="E449" vm="14452">
        <f>IFERROR(CUBEVALUE("BIDB",$A449,E$3,E$2,'Præsentationstabeller 1'!$C$2),0)</f>
        <v>4</v>
      </c>
      <c r="F449" vm="10969">
        <f>IFERROR(CUBEVALUE("BIDB",$A449,F$3,F$2,'Præsentationstabeller 1'!$C$2),0)</f>
        <v>2</v>
      </c>
      <c r="G449" vm="10114">
        <f>IFERROR(CUBEVALUE("BIDB",$A449,G$3,G$2,'Præsentationstabeller 1'!$C$2),0)</f>
        <v>6</v>
      </c>
      <c r="H449" t="str" vm="10447">
        <f>IFERROR(CUBEVALUE("BIDB",$A449,H$3,H$2,'Præsentationstabeller 1'!$C$2),0)</f>
        <v/>
      </c>
      <c r="I449" t="str" vm="10437">
        <f>IFERROR(CUBEVALUE("BIDB",$A449,I$3,I$2,'Præsentationstabeller 1'!$C$2),0)</f>
        <v/>
      </c>
      <c r="J449" t="str" vm="16047">
        <f>IFERROR(CUBEVALUE("BIDB",$A449,J$3,J$2,'Præsentationstabeller 1'!$C$2),0)</f>
        <v/>
      </c>
      <c r="K449" t="str" vm="10016">
        <f>IFERROR(CUBEVALUE("BIDB",$A449,K$3,K$2,'Præsentationstabeller 1'!$C$2),0)</f>
        <v/>
      </c>
      <c r="L449" t="str" vm="10699">
        <f>IFERROR(CUBEVALUE("BIDB",$A449,L$3,L$2,'Præsentationstabeller 1'!$C$2),0)</f>
        <v/>
      </c>
    </row>
    <row r="450" spans="1:12" x14ac:dyDescent="0.3">
      <c r="A450" s="123" t="str" vm="886">
        <f>CUBEMEMBER("BIDB","[Dimittenddato].[Dimittenddato].&amp;[2011-08-18T00:00:00]")</f>
        <v>18-08-2011</v>
      </c>
      <c r="B450" t="str" vm="10813">
        <f>IFERROR(CUBEVALUE("BIDB",$A450,B$3,'Præsentationstabeller 1'!$C$2),0)</f>
        <v/>
      </c>
      <c r="C450" t="str" vm="11212">
        <f>IFERROR(CUBEVALUE("BIDB",$A450,C$3,C$2,'Præsentationstabeller 1'!$C$2),0)</f>
        <v/>
      </c>
      <c r="D450" vm="10283">
        <f>IFERROR(CUBEVALUE("BIDB",$A450,D$3,D$2,'Præsentationstabeller 1'!$C$2),0)</f>
        <v>1</v>
      </c>
      <c r="E450" vm="9112">
        <f>IFERROR(CUBEVALUE("BIDB",$A450,E$3,E$2,'Præsentationstabeller 1'!$C$2),0)</f>
        <v>2</v>
      </c>
      <c r="F450" vm="11737">
        <f>IFERROR(CUBEVALUE("BIDB",$A450,F$3,F$2,'Præsentationstabeller 1'!$C$2),0)</f>
        <v>0</v>
      </c>
      <c r="G450" vm="15075">
        <f>IFERROR(CUBEVALUE("BIDB",$A450,G$3,G$2,'Præsentationstabeller 1'!$C$2),0)</f>
        <v>2</v>
      </c>
      <c r="H450" t="str" vm="10551">
        <f>IFERROR(CUBEVALUE("BIDB",$A450,H$3,H$2,'Præsentationstabeller 1'!$C$2),0)</f>
        <v/>
      </c>
      <c r="I450" t="str" vm="8087">
        <f>IFERROR(CUBEVALUE("BIDB",$A450,I$3,I$2,'Præsentationstabeller 1'!$C$2),0)</f>
        <v/>
      </c>
      <c r="J450" t="str" vm="9141">
        <f>IFERROR(CUBEVALUE("BIDB",$A450,J$3,J$2,'Præsentationstabeller 1'!$C$2),0)</f>
        <v/>
      </c>
      <c r="K450" t="str" vm="13451">
        <f>IFERROR(CUBEVALUE("BIDB",$A450,K$3,K$2,'Præsentationstabeller 1'!$C$2),0)</f>
        <v/>
      </c>
      <c r="L450" t="str" vm="13656">
        <f>IFERROR(CUBEVALUE("BIDB",$A450,L$3,L$2,'Præsentationstabeller 1'!$C$2),0)</f>
        <v/>
      </c>
    </row>
    <row r="451" spans="1:12" x14ac:dyDescent="0.3">
      <c r="A451" s="123" t="str" vm="885">
        <f>CUBEMEMBER("BIDB","[Dimittenddato].[Dimittenddato].&amp;[2011-08-19T00:00:00]")</f>
        <v>19-08-2011</v>
      </c>
      <c r="B451" t="str" vm="9929">
        <f>IFERROR(CUBEVALUE("BIDB",$A451,B$3,'Præsentationstabeller 1'!$C$2),0)</f>
        <v/>
      </c>
      <c r="C451" vm="12372">
        <f>IFERROR(CUBEVALUE("BIDB",$A451,C$3,C$2,'Præsentationstabeller 1'!$C$2),0)</f>
        <v>5</v>
      </c>
      <c r="D451" vm="9156">
        <f>IFERROR(CUBEVALUE("BIDB",$A451,D$3,D$2,'Præsentationstabeller 1'!$C$2),0)</f>
        <v>2</v>
      </c>
      <c r="E451" vm="9341">
        <f>IFERROR(CUBEVALUE("BIDB",$A451,E$3,E$2,'Præsentationstabeller 1'!$C$2),0)</f>
        <v>5</v>
      </c>
      <c r="F451" vm="10184">
        <f>IFERROR(CUBEVALUE("BIDB",$A451,F$3,F$2,'Præsentationstabeller 1'!$C$2),0)</f>
        <v>0</v>
      </c>
      <c r="G451" vm="16575">
        <f>IFERROR(CUBEVALUE("BIDB",$A451,G$3,G$2,'Præsentationstabeller 1'!$C$2),0)</f>
        <v>5</v>
      </c>
      <c r="H451" t="str" vm="9709">
        <f>IFERROR(CUBEVALUE("BIDB",$A451,H$3,H$2,'Præsentationstabeller 1'!$C$2),0)</f>
        <v/>
      </c>
      <c r="I451" t="str" vm="9561">
        <f>IFERROR(CUBEVALUE("BIDB",$A451,I$3,I$2,'Præsentationstabeller 1'!$C$2),0)</f>
        <v/>
      </c>
      <c r="J451" t="str" vm="15269">
        <f>IFERROR(CUBEVALUE("BIDB",$A451,J$3,J$2,'Præsentationstabeller 1'!$C$2),0)</f>
        <v/>
      </c>
      <c r="K451" t="str" vm="8209">
        <f>IFERROR(CUBEVALUE("BIDB",$A451,K$3,K$2,'Præsentationstabeller 1'!$C$2),0)</f>
        <v/>
      </c>
      <c r="L451" t="str" vm="10315">
        <f>IFERROR(CUBEVALUE("BIDB",$A451,L$3,L$2,'Præsentationstabeller 1'!$C$2),0)</f>
        <v/>
      </c>
    </row>
    <row r="452" spans="1:12" x14ac:dyDescent="0.3">
      <c r="A452" s="123" t="str" vm="884">
        <f>CUBEMEMBER("BIDB","[Dimittenddato].[Dimittenddato].&amp;[2011-08-20T00:00:00]")</f>
        <v>20-08-2011</v>
      </c>
      <c r="B452" t="str" vm="6836">
        <f>IFERROR(CUBEVALUE("BIDB",$A452,B$3,'Præsentationstabeller 1'!$C$2),0)</f>
        <v/>
      </c>
      <c r="C452" t="str" vm="9211">
        <f>IFERROR(CUBEVALUE("BIDB",$A452,C$3,C$2,'Præsentationstabeller 1'!$C$2),0)</f>
        <v/>
      </c>
      <c r="D452" t="str" vm="11248">
        <f>IFERROR(CUBEVALUE("BIDB",$A452,D$3,D$2,'Præsentationstabeller 1'!$C$2),0)</f>
        <v/>
      </c>
      <c r="E452" t="str" vm="16838">
        <f>IFERROR(CUBEVALUE("BIDB",$A452,E$3,E$2,'Præsentationstabeller 1'!$C$2),0)</f>
        <v/>
      </c>
      <c r="F452" vm="9053">
        <f>IFERROR(CUBEVALUE("BIDB",$A452,F$3,F$2,'Præsentationstabeller 1'!$C$2),0)</f>
        <v>1</v>
      </c>
      <c r="G452" vm="9009">
        <f>IFERROR(CUBEVALUE("BIDB",$A452,G$3,G$2,'Præsentationstabeller 1'!$C$2),0)</f>
        <v>1</v>
      </c>
      <c r="H452" t="str" vm="15615">
        <f>IFERROR(CUBEVALUE("BIDB",$A452,H$3,H$2,'Præsentationstabeller 1'!$C$2),0)</f>
        <v/>
      </c>
      <c r="I452" t="str" vm="13928">
        <f>IFERROR(CUBEVALUE("BIDB",$A452,I$3,I$2,'Præsentationstabeller 1'!$C$2),0)</f>
        <v/>
      </c>
      <c r="J452" t="str" vm="9759">
        <f>IFERROR(CUBEVALUE("BIDB",$A452,J$3,J$2,'Præsentationstabeller 1'!$C$2),0)</f>
        <v/>
      </c>
      <c r="K452" t="str" vm="12201">
        <f>IFERROR(CUBEVALUE("BIDB",$A452,K$3,K$2,'Præsentationstabeller 1'!$C$2),0)</f>
        <v/>
      </c>
      <c r="L452" t="str" vm="9038">
        <f>IFERROR(CUBEVALUE("BIDB",$A452,L$3,L$2,'Præsentationstabeller 1'!$C$2),0)</f>
        <v/>
      </c>
    </row>
    <row r="453" spans="1:12" x14ac:dyDescent="0.3">
      <c r="A453" s="123" t="str" vm="883">
        <f>CUBEMEMBER("BIDB","[Dimittenddato].[Dimittenddato].&amp;[2011-08-21T00:00:00]")</f>
        <v>21-08-2011</v>
      </c>
      <c r="B453" t="str" vm="11802">
        <f>IFERROR(CUBEVALUE("BIDB",$A453,B$3,'Præsentationstabeller 1'!$C$2),0)</f>
        <v/>
      </c>
      <c r="C453" t="str" vm="8935">
        <f>IFERROR(CUBEVALUE("BIDB",$A453,C$3,C$2,'Præsentationstabeller 1'!$C$2),0)</f>
        <v/>
      </c>
      <c r="D453" t="str" vm="13937">
        <f>IFERROR(CUBEVALUE("BIDB",$A453,D$3,D$2,'Præsentationstabeller 1'!$C$2),0)</f>
        <v/>
      </c>
      <c r="E453" t="str" vm="15777">
        <f>IFERROR(CUBEVALUE("BIDB",$A453,E$3,E$2,'Præsentationstabeller 1'!$C$2),0)</f>
        <v/>
      </c>
      <c r="F453" t="str" vm="15061">
        <f>IFERROR(CUBEVALUE("BIDB",$A453,F$3,F$2,'Præsentationstabeller 1'!$C$2),0)</f>
        <v/>
      </c>
      <c r="G453" t="str" vm="13851">
        <f>IFERROR(CUBEVALUE("BIDB",$A453,G$3,G$2,'Præsentationstabeller 1'!$C$2),0)</f>
        <v/>
      </c>
      <c r="H453" t="str" vm="16970">
        <f>IFERROR(CUBEVALUE("BIDB",$A453,H$3,H$2,'Præsentationstabeller 1'!$C$2),0)</f>
        <v/>
      </c>
      <c r="I453" t="str" vm="8369">
        <f>IFERROR(CUBEVALUE("BIDB",$A453,I$3,I$2,'Præsentationstabeller 1'!$C$2),0)</f>
        <v/>
      </c>
      <c r="J453" t="str" vm="11104">
        <f>IFERROR(CUBEVALUE("BIDB",$A453,J$3,J$2,'Præsentationstabeller 1'!$C$2),0)</f>
        <v/>
      </c>
      <c r="K453" t="str" vm="10358">
        <f>IFERROR(CUBEVALUE("BIDB",$A453,K$3,K$2,'Præsentationstabeller 1'!$C$2),0)</f>
        <v/>
      </c>
      <c r="L453" t="str" vm="7984">
        <f>IFERROR(CUBEVALUE("BIDB",$A453,L$3,L$2,'Præsentationstabeller 1'!$C$2),0)</f>
        <v/>
      </c>
    </row>
    <row r="454" spans="1:12" x14ac:dyDescent="0.3">
      <c r="A454" s="123" t="str" vm="882">
        <f>CUBEMEMBER("BIDB","[Dimittenddato].[Dimittenddato].&amp;[2011-08-22T00:00:00]")</f>
        <v>22-08-2011</v>
      </c>
      <c r="B454" t="str" vm="12837">
        <f>IFERROR(CUBEVALUE("BIDB",$A454,B$3,'Præsentationstabeller 1'!$C$2),0)</f>
        <v/>
      </c>
      <c r="C454" vm="10495">
        <f>IFERROR(CUBEVALUE("BIDB",$A454,C$3,C$2,'Præsentationstabeller 1'!$C$2),0)</f>
        <v>0</v>
      </c>
      <c r="D454" vm="8337">
        <f>IFERROR(CUBEVALUE("BIDB",$A454,D$3,D$2,'Præsentationstabeller 1'!$C$2),0)</f>
        <v>3</v>
      </c>
      <c r="E454" vm="9237">
        <f>IFERROR(CUBEVALUE("BIDB",$A454,E$3,E$2,'Præsentationstabeller 1'!$C$2),0)</f>
        <v>7</v>
      </c>
      <c r="F454" t="str" vm="14375">
        <f>IFERROR(CUBEVALUE("BIDB",$A454,F$3,F$2,'Præsentationstabeller 1'!$C$2),0)</f>
        <v/>
      </c>
      <c r="G454" vm="15982">
        <f>IFERROR(CUBEVALUE("BIDB",$A454,G$3,G$2,'Præsentationstabeller 1'!$C$2),0)</f>
        <v>7</v>
      </c>
      <c r="H454" t="str" vm="8950">
        <f>IFERROR(CUBEVALUE("BIDB",$A454,H$3,H$2,'Præsentationstabeller 1'!$C$2),0)</f>
        <v/>
      </c>
      <c r="I454" t="str" vm="13514">
        <f>IFERROR(CUBEVALUE("BIDB",$A454,I$3,I$2,'Præsentationstabeller 1'!$C$2),0)</f>
        <v/>
      </c>
      <c r="J454" t="str" vm="11056">
        <f>IFERROR(CUBEVALUE("BIDB",$A454,J$3,J$2,'Præsentationstabeller 1'!$C$2),0)</f>
        <v/>
      </c>
      <c r="K454" t="str" vm="16115">
        <f>IFERROR(CUBEVALUE("BIDB",$A454,K$3,K$2,'Præsentationstabeller 1'!$C$2),0)</f>
        <v/>
      </c>
      <c r="L454" t="str" vm="11175">
        <f>IFERROR(CUBEVALUE("BIDB",$A454,L$3,L$2,'Præsentationstabeller 1'!$C$2),0)</f>
        <v/>
      </c>
    </row>
    <row r="455" spans="1:12" x14ac:dyDescent="0.3">
      <c r="A455" s="123" t="str" vm="881">
        <f>CUBEMEMBER("BIDB","[Dimittenddato].[Dimittenddato].&amp;[2011-08-23T00:00:00]")</f>
        <v>23-08-2011</v>
      </c>
      <c r="B455" t="str" vm="13318">
        <f>IFERROR(CUBEVALUE("BIDB",$A455,B$3,'Præsentationstabeller 1'!$C$2),0)</f>
        <v/>
      </c>
      <c r="C455" vm="11680">
        <f>IFERROR(CUBEVALUE("BIDB",$A455,C$3,C$2,'Præsentationstabeller 1'!$C$2),0)</f>
        <v>1</v>
      </c>
      <c r="D455" vm="13952">
        <f>IFERROR(CUBEVALUE("BIDB",$A455,D$3,D$2,'Præsentationstabeller 1'!$C$2),0)</f>
        <v>3</v>
      </c>
      <c r="E455" vm="11456">
        <f>IFERROR(CUBEVALUE("BIDB",$A455,E$3,E$2,'Præsentationstabeller 1'!$C$2),0)</f>
        <v>13</v>
      </c>
      <c r="F455" t="str" vm="9101">
        <f>IFERROR(CUBEVALUE("BIDB",$A455,F$3,F$2,'Præsentationstabeller 1'!$C$2),0)</f>
        <v/>
      </c>
      <c r="G455" vm="11088">
        <f>IFERROR(CUBEVALUE("BIDB",$A455,G$3,G$2,'Præsentationstabeller 1'!$C$2),0)</f>
        <v>13</v>
      </c>
      <c r="H455" t="str" vm="9505">
        <f>IFERROR(CUBEVALUE("BIDB",$A455,H$3,H$2,'Præsentationstabeller 1'!$C$2),0)</f>
        <v/>
      </c>
      <c r="I455" t="str" vm="12127">
        <f>IFERROR(CUBEVALUE("BIDB",$A455,I$3,I$2,'Præsentationstabeller 1'!$C$2),0)</f>
        <v/>
      </c>
      <c r="J455" t="str" vm="10755">
        <f>IFERROR(CUBEVALUE("BIDB",$A455,J$3,J$2,'Præsentationstabeller 1'!$C$2),0)</f>
        <v/>
      </c>
      <c r="K455" t="str" vm="8906">
        <f>IFERROR(CUBEVALUE("BIDB",$A455,K$3,K$2,'Præsentationstabeller 1'!$C$2),0)</f>
        <v/>
      </c>
      <c r="L455" t="str" vm="12810">
        <f>IFERROR(CUBEVALUE("BIDB",$A455,L$3,L$2,'Præsentationstabeller 1'!$C$2),0)</f>
        <v/>
      </c>
    </row>
    <row r="456" spans="1:12" x14ac:dyDescent="0.3">
      <c r="A456" s="123" t="str" vm="880">
        <f>CUBEMEMBER("BIDB","[Dimittenddato].[Dimittenddato].&amp;[2011-08-24T00:00:00]")</f>
        <v>24-08-2011</v>
      </c>
      <c r="B456" t="str" vm="10744">
        <f>IFERROR(CUBEVALUE("BIDB",$A456,B$3,'Præsentationstabeller 1'!$C$2),0)</f>
        <v/>
      </c>
      <c r="C456" vm="15774">
        <f>IFERROR(CUBEVALUE("BIDB",$A456,C$3,C$2,'Præsentationstabeller 1'!$C$2),0)</f>
        <v>4</v>
      </c>
      <c r="D456" vm="16893">
        <f>IFERROR(CUBEVALUE("BIDB",$A456,D$3,D$2,'Præsentationstabeller 1'!$C$2),0)</f>
        <v>1</v>
      </c>
      <c r="E456" vm="9198">
        <f>IFERROR(CUBEVALUE("BIDB",$A456,E$3,E$2,'Præsentationstabeller 1'!$C$2),0)</f>
        <v>9</v>
      </c>
      <c r="F456" t="str" vm="10188">
        <f>IFERROR(CUBEVALUE("BIDB",$A456,F$3,F$2,'Præsentationstabeller 1'!$C$2),0)</f>
        <v/>
      </c>
      <c r="G456" vm="8652">
        <f>IFERROR(CUBEVALUE("BIDB",$A456,G$3,G$2,'Præsentationstabeller 1'!$C$2),0)</f>
        <v>9</v>
      </c>
      <c r="H456" vm="13665">
        <f>IFERROR(CUBEVALUE("BIDB",$A456,H$3,H$2,'Præsentationstabeller 1'!$C$2),0)</f>
        <v>1.1199999999999999</v>
      </c>
      <c r="I456" t="str" vm="12794">
        <f>IFERROR(CUBEVALUE("BIDB",$A456,I$3,I$2,'Præsentationstabeller 1'!$C$2),0)</f>
        <v/>
      </c>
      <c r="J456" t="str" vm="10302">
        <f>IFERROR(CUBEVALUE("BIDB",$A456,J$3,J$2,'Præsentationstabeller 1'!$C$2),0)</f>
        <v/>
      </c>
      <c r="K456" t="str" vm="9285">
        <f>IFERROR(CUBEVALUE("BIDB",$A456,K$3,K$2,'Præsentationstabeller 1'!$C$2),0)</f>
        <v/>
      </c>
      <c r="L456" t="str" vm="11743">
        <f>IFERROR(CUBEVALUE("BIDB",$A456,L$3,L$2,'Præsentationstabeller 1'!$C$2),0)</f>
        <v/>
      </c>
    </row>
    <row r="457" spans="1:12" x14ac:dyDescent="0.3">
      <c r="A457" s="123" t="str" vm="879">
        <f>CUBEMEMBER("BIDB","[Dimittenddato].[Dimittenddato].&amp;[2011-08-25T00:00:00]")</f>
        <v>25-08-2011</v>
      </c>
      <c r="B457" t="str" vm="10058">
        <f>IFERROR(CUBEVALUE("BIDB",$A457,B$3,'Præsentationstabeller 1'!$C$2),0)</f>
        <v/>
      </c>
      <c r="C457" vm="8570">
        <f>IFERROR(CUBEVALUE("BIDB",$A457,C$3,C$2,'Præsentationstabeller 1'!$C$2),0)</f>
        <v>2</v>
      </c>
      <c r="D457" vm="15407">
        <f>IFERROR(CUBEVALUE("BIDB",$A457,D$3,D$2,'Præsentationstabeller 1'!$C$2),0)</f>
        <v>3</v>
      </c>
      <c r="E457" vm="11596">
        <f>IFERROR(CUBEVALUE("BIDB",$A457,E$3,E$2,'Præsentationstabeller 1'!$C$2),0)</f>
        <v>5</v>
      </c>
      <c r="F457" vm="11075">
        <f>IFERROR(CUBEVALUE("BIDB",$A457,F$3,F$2,'Præsentationstabeller 1'!$C$2),0)</f>
        <v>2</v>
      </c>
      <c r="G457" vm="10911">
        <f>IFERROR(CUBEVALUE("BIDB",$A457,G$3,G$2,'Præsentationstabeller 1'!$C$2),0)</f>
        <v>7</v>
      </c>
      <c r="H457" vm="7720">
        <f>IFERROR(CUBEVALUE("BIDB",$A457,H$3,H$2,'Præsentationstabeller 1'!$C$2),0)</f>
        <v>0.56108108108108101</v>
      </c>
      <c r="I457" t="str" vm="8549">
        <f>IFERROR(CUBEVALUE("BIDB",$A457,I$3,I$2,'Præsentationstabeller 1'!$C$2),0)</f>
        <v/>
      </c>
      <c r="J457" vm="12390">
        <f>IFERROR(CUBEVALUE("BIDB",$A457,J$3,J$2,'Præsentationstabeller 1'!$C$2),0)</f>
        <v>1</v>
      </c>
      <c r="K457" vm="11718">
        <f>IFERROR(CUBEVALUE("BIDB",$A457,K$3,K$2,'Præsentationstabeller 1'!$C$2),0)</f>
        <v>0.52</v>
      </c>
      <c r="L457" vm="9176">
        <f>IFERROR(CUBEVALUE("BIDB",$A457,L$3,L$2,'Præsentationstabeller 1'!$C$2),0)</f>
        <v>1.52</v>
      </c>
    </row>
    <row r="458" spans="1:12" x14ac:dyDescent="0.3">
      <c r="A458" s="123" t="str" vm="878">
        <f>CUBEMEMBER("BIDB","[Dimittenddato].[Dimittenddato].&amp;[2011-08-26T00:00:00]")</f>
        <v>26-08-2011</v>
      </c>
      <c r="B458" t="str" vm="15921">
        <f>IFERROR(CUBEVALUE("BIDB",$A458,B$3,'Præsentationstabeller 1'!$C$2),0)</f>
        <v/>
      </c>
      <c r="C458" t="str" vm="8564">
        <f>IFERROR(CUBEVALUE("BIDB",$A458,C$3,C$2,'Præsentationstabeller 1'!$C$2),0)</f>
        <v/>
      </c>
      <c r="D458" vm="8623">
        <f>IFERROR(CUBEVALUE("BIDB",$A458,D$3,D$2,'Præsentationstabeller 1'!$C$2),0)</f>
        <v>3</v>
      </c>
      <c r="E458" vm="15767">
        <f>IFERROR(CUBEVALUE("BIDB",$A458,E$3,E$2,'Præsentationstabeller 1'!$C$2),0)</f>
        <v>6</v>
      </c>
      <c r="F458" t="str" vm="11406">
        <f>IFERROR(CUBEVALUE("BIDB",$A458,F$3,F$2,'Præsentationstabeller 1'!$C$2),0)</f>
        <v/>
      </c>
      <c r="G458" vm="10458">
        <f>IFERROR(CUBEVALUE("BIDB",$A458,G$3,G$2,'Præsentationstabeller 1'!$C$2),0)</f>
        <v>6</v>
      </c>
      <c r="H458" t="str" vm="12258">
        <f>IFERROR(CUBEVALUE("BIDB",$A458,H$3,H$2,'Præsentationstabeller 1'!$C$2),0)</f>
        <v/>
      </c>
      <c r="I458" t="str" vm="7598">
        <f>IFERROR(CUBEVALUE("BIDB",$A458,I$3,I$2,'Præsentationstabeller 1'!$C$2),0)</f>
        <v/>
      </c>
      <c r="J458" t="str" vm="6581">
        <f>IFERROR(CUBEVALUE("BIDB",$A458,J$3,J$2,'Præsentationstabeller 1'!$C$2),0)</f>
        <v/>
      </c>
      <c r="K458" t="str" vm="9975">
        <f>IFERROR(CUBEVALUE("BIDB",$A458,K$3,K$2,'Præsentationstabeller 1'!$C$2),0)</f>
        <v/>
      </c>
      <c r="L458" t="str" vm="12781">
        <f>IFERROR(CUBEVALUE("BIDB",$A458,L$3,L$2,'Præsentationstabeller 1'!$C$2),0)</f>
        <v/>
      </c>
    </row>
    <row r="459" spans="1:12" x14ac:dyDescent="0.3">
      <c r="A459" s="123" t="str" vm="877">
        <f>CUBEMEMBER("BIDB","[Dimittenddato].[Dimittenddato].&amp;[2011-08-27T00:00:00]")</f>
        <v>27-08-2011</v>
      </c>
      <c r="B459" t="str" vm="16503">
        <f>IFERROR(CUBEVALUE("BIDB",$A459,B$3,'Præsentationstabeller 1'!$C$2),0)</f>
        <v/>
      </c>
      <c r="C459" t="str" vm="15967">
        <f>IFERROR(CUBEVALUE("BIDB",$A459,C$3,C$2,'Præsentationstabeller 1'!$C$2),0)</f>
        <v/>
      </c>
      <c r="D459" t="str" vm="15326">
        <f>IFERROR(CUBEVALUE("BIDB",$A459,D$3,D$2,'Præsentationstabeller 1'!$C$2),0)</f>
        <v/>
      </c>
      <c r="E459" t="str" vm="8461">
        <f>IFERROR(CUBEVALUE("BIDB",$A459,E$3,E$2,'Præsentationstabeller 1'!$C$2),0)</f>
        <v/>
      </c>
      <c r="F459" t="str" vm="7880">
        <f>IFERROR(CUBEVALUE("BIDB",$A459,F$3,F$2,'Præsentationstabeller 1'!$C$2),0)</f>
        <v/>
      </c>
      <c r="G459" t="str" vm="9894">
        <f>IFERROR(CUBEVALUE("BIDB",$A459,G$3,G$2,'Præsentationstabeller 1'!$C$2),0)</f>
        <v/>
      </c>
      <c r="H459" t="str" vm="9865">
        <f>IFERROR(CUBEVALUE("BIDB",$A459,H$3,H$2,'Præsentationstabeller 1'!$C$2),0)</f>
        <v/>
      </c>
      <c r="I459" t="str" vm="9248">
        <f>IFERROR(CUBEVALUE("BIDB",$A459,I$3,I$2,'Præsentationstabeller 1'!$C$2),0)</f>
        <v/>
      </c>
      <c r="J459" t="str" vm="10855">
        <f>IFERROR(CUBEVALUE("BIDB",$A459,J$3,J$2,'Præsentationstabeller 1'!$C$2),0)</f>
        <v/>
      </c>
      <c r="K459" t="str" vm="8446">
        <f>IFERROR(CUBEVALUE("BIDB",$A459,K$3,K$2,'Præsentationstabeller 1'!$C$2),0)</f>
        <v/>
      </c>
      <c r="L459" t="str" vm="16605">
        <f>IFERROR(CUBEVALUE("BIDB",$A459,L$3,L$2,'Præsentationstabeller 1'!$C$2),0)</f>
        <v/>
      </c>
    </row>
    <row r="460" spans="1:12" x14ac:dyDescent="0.3">
      <c r="A460" s="123" t="str" vm="876">
        <f>CUBEMEMBER("BIDB","[Dimittenddato].[Dimittenddato].&amp;[2011-08-28T00:00:00]")</f>
        <v>28-08-2011</v>
      </c>
      <c r="B460" t="str" vm="10653">
        <f>IFERROR(CUBEVALUE("BIDB",$A460,B$3,'Præsentationstabeller 1'!$C$2),0)</f>
        <v/>
      </c>
      <c r="C460" t="str" vm="12032">
        <f>IFERROR(CUBEVALUE("BIDB",$A460,C$3,C$2,'Præsentationstabeller 1'!$C$2),0)</f>
        <v/>
      </c>
      <c r="D460" t="str" vm="13853">
        <f>IFERROR(CUBEVALUE("BIDB",$A460,D$3,D$2,'Præsentationstabeller 1'!$C$2),0)</f>
        <v/>
      </c>
      <c r="E460" t="str" vm="11019">
        <f>IFERROR(CUBEVALUE("BIDB",$A460,E$3,E$2,'Præsentationstabeller 1'!$C$2),0)</f>
        <v/>
      </c>
      <c r="F460" t="str" vm="7495">
        <f>IFERROR(CUBEVALUE("BIDB",$A460,F$3,F$2,'Præsentationstabeller 1'!$C$2),0)</f>
        <v/>
      </c>
      <c r="G460" t="str" vm="9846">
        <f>IFERROR(CUBEVALUE("BIDB",$A460,G$3,G$2,'Præsentationstabeller 1'!$C$2),0)</f>
        <v/>
      </c>
      <c r="H460" t="str" vm="12418">
        <f>IFERROR(CUBEVALUE("BIDB",$A460,H$3,H$2,'Præsentationstabeller 1'!$C$2),0)</f>
        <v/>
      </c>
      <c r="I460" t="str" vm="16479">
        <f>IFERROR(CUBEVALUE("BIDB",$A460,I$3,I$2,'Præsentationstabeller 1'!$C$2),0)</f>
        <v/>
      </c>
      <c r="J460" t="str" vm="12326">
        <f>IFERROR(CUBEVALUE("BIDB",$A460,J$3,J$2,'Præsentationstabeller 1'!$C$2),0)</f>
        <v/>
      </c>
      <c r="K460" t="str" vm="11442">
        <f>IFERROR(CUBEVALUE("BIDB",$A460,K$3,K$2,'Præsentationstabeller 1'!$C$2),0)</f>
        <v/>
      </c>
      <c r="L460" t="str" vm="7848">
        <f>IFERROR(CUBEVALUE("BIDB",$A460,L$3,L$2,'Præsentationstabeller 1'!$C$2),0)</f>
        <v/>
      </c>
    </row>
    <row r="461" spans="1:12" x14ac:dyDescent="0.3">
      <c r="A461" s="123" t="str" vm="875">
        <f>CUBEMEMBER("BIDB","[Dimittenddato].[Dimittenddato].&amp;[2011-08-29T00:00:00]")</f>
        <v>29-08-2011</v>
      </c>
      <c r="B461" t="str" vm="11290">
        <f>IFERROR(CUBEVALUE("BIDB",$A461,B$3,'Præsentationstabeller 1'!$C$2),0)</f>
        <v/>
      </c>
      <c r="C461" vm="8998">
        <f>IFERROR(CUBEVALUE("BIDB",$A461,C$3,C$2,'Præsentationstabeller 1'!$C$2),0)</f>
        <v>2</v>
      </c>
      <c r="D461" vm="9878">
        <f>IFERROR(CUBEVALUE("BIDB",$A461,D$3,D$2,'Præsentationstabeller 1'!$C$2),0)</f>
        <v>1</v>
      </c>
      <c r="E461" vm="12136">
        <f>IFERROR(CUBEVALUE("BIDB",$A461,E$3,E$2,'Præsentationstabeller 1'!$C$2),0)</f>
        <v>4</v>
      </c>
      <c r="F461" t="str" vm="16219">
        <f>IFERROR(CUBEVALUE("BIDB",$A461,F$3,F$2,'Præsentationstabeller 1'!$C$2),0)</f>
        <v/>
      </c>
      <c r="G461" vm="10164">
        <f>IFERROR(CUBEVALUE("BIDB",$A461,G$3,G$2,'Præsentationstabeller 1'!$C$2),0)</f>
        <v>4</v>
      </c>
      <c r="H461" t="str" vm="8520">
        <f>IFERROR(CUBEVALUE("BIDB",$A461,H$3,H$2,'Præsentationstabeller 1'!$C$2),0)</f>
        <v/>
      </c>
      <c r="I461" t="str" vm="16207">
        <f>IFERROR(CUBEVALUE("BIDB",$A461,I$3,I$2,'Præsentationstabeller 1'!$C$2),0)</f>
        <v/>
      </c>
      <c r="J461" t="str" vm="16033">
        <f>IFERROR(CUBEVALUE("BIDB",$A461,J$3,J$2,'Præsentationstabeller 1'!$C$2),0)</f>
        <v/>
      </c>
      <c r="K461" t="str" vm="10664">
        <f>IFERROR(CUBEVALUE("BIDB",$A461,K$3,K$2,'Præsentationstabeller 1'!$C$2),0)</f>
        <v/>
      </c>
      <c r="L461" t="str" vm="11410">
        <f>IFERROR(CUBEVALUE("BIDB",$A461,L$3,L$2,'Præsentationstabeller 1'!$C$2),0)</f>
        <v/>
      </c>
    </row>
    <row r="462" spans="1:12" x14ac:dyDescent="0.3">
      <c r="A462" s="123" t="str" vm="874">
        <f>CUBEMEMBER("BIDB","[Dimittenddato].[Dimittenddato].&amp;[2011-08-30T00:00:00]")</f>
        <v>30-08-2011</v>
      </c>
      <c r="B462" t="str" vm="10712">
        <f>IFERROR(CUBEVALUE("BIDB",$A462,B$3,'Præsentationstabeller 1'!$C$2),0)</f>
        <v/>
      </c>
      <c r="C462" vm="9450">
        <f>IFERROR(CUBEVALUE("BIDB",$A462,C$3,C$2,'Præsentationstabeller 1'!$C$2),0)</f>
        <v>3</v>
      </c>
      <c r="D462" vm="8163">
        <f>IFERROR(CUBEVALUE("BIDB",$A462,D$3,D$2,'Præsentationstabeller 1'!$C$2),0)</f>
        <v>1</v>
      </c>
      <c r="E462" vm="7231">
        <f>IFERROR(CUBEVALUE("BIDB",$A462,E$3,E$2,'Præsentationstabeller 1'!$C$2),0)</f>
        <v>3</v>
      </c>
      <c r="F462" t="str" vm="15775">
        <f>IFERROR(CUBEVALUE("BIDB",$A462,F$3,F$2,'Præsentationstabeller 1'!$C$2),0)</f>
        <v/>
      </c>
      <c r="G462" vm="9809">
        <f>IFERROR(CUBEVALUE("BIDB",$A462,G$3,G$2,'Præsentationstabeller 1'!$C$2),0)</f>
        <v>3</v>
      </c>
      <c r="H462" t="str" vm="10002">
        <f>IFERROR(CUBEVALUE("BIDB",$A462,H$3,H$2,'Præsentationstabeller 1'!$C$2),0)</f>
        <v/>
      </c>
      <c r="I462" vm="10690">
        <f>IFERROR(CUBEVALUE("BIDB",$A462,I$3,I$2,'Præsentationstabeller 1'!$C$2),0)</f>
        <v>0.48</v>
      </c>
      <c r="J462" t="str" vm="8417">
        <f>IFERROR(CUBEVALUE("BIDB",$A462,J$3,J$2,'Præsentationstabeller 1'!$C$2),0)</f>
        <v/>
      </c>
      <c r="K462" t="str" vm="10992">
        <f>IFERROR(CUBEVALUE("BIDB",$A462,K$3,K$2,'Præsentationstabeller 1'!$C$2),0)</f>
        <v/>
      </c>
      <c r="L462" t="str" vm="12729">
        <f>IFERROR(CUBEVALUE("BIDB",$A462,L$3,L$2,'Præsentationstabeller 1'!$C$2),0)</f>
        <v/>
      </c>
    </row>
    <row r="463" spans="1:12" x14ac:dyDescent="0.3">
      <c r="A463" s="123" t="str" vm="873">
        <f>CUBEMEMBER("BIDB","[Dimittenddato].[Dimittenddato].&amp;[2011-08-31T00:00:00]")</f>
        <v>31-08-2011</v>
      </c>
      <c r="B463" t="str" vm="13044">
        <f>IFERROR(CUBEVALUE("BIDB",$A463,B$3,'Præsentationstabeller 1'!$C$2),0)</f>
        <v/>
      </c>
      <c r="C463" vm="10564">
        <f>IFERROR(CUBEVALUE("BIDB",$A463,C$3,C$2,'Præsentationstabeller 1'!$C$2),0)</f>
        <v>0</v>
      </c>
      <c r="D463" vm="14166">
        <f>IFERROR(CUBEVALUE("BIDB",$A463,D$3,D$2,'Præsentationstabeller 1'!$C$2),0)</f>
        <v>2</v>
      </c>
      <c r="E463" vm="10799">
        <f>IFERROR(CUBEVALUE("BIDB",$A463,E$3,E$2,'Præsentationstabeller 1'!$C$2),0)</f>
        <v>6</v>
      </c>
      <c r="F463" t="str" vm="8060">
        <f>IFERROR(CUBEVALUE("BIDB",$A463,F$3,F$2,'Præsentationstabeller 1'!$C$2),0)</f>
        <v/>
      </c>
      <c r="G463" vm="12745">
        <f>IFERROR(CUBEVALUE("BIDB",$A463,G$3,G$2,'Præsentationstabeller 1'!$C$2),0)</f>
        <v>6</v>
      </c>
      <c r="H463" t="str" vm="10610">
        <f>IFERROR(CUBEVALUE("BIDB",$A463,H$3,H$2,'Præsentationstabeller 1'!$C$2),0)</f>
        <v/>
      </c>
      <c r="I463" t="str" vm="12270">
        <f>IFERROR(CUBEVALUE("BIDB",$A463,I$3,I$2,'Præsentationstabeller 1'!$C$2),0)</f>
        <v/>
      </c>
      <c r="J463" t="str" vm="14050">
        <f>IFERROR(CUBEVALUE("BIDB",$A463,J$3,J$2,'Præsentationstabeller 1'!$C$2),0)</f>
        <v/>
      </c>
      <c r="K463" t="str" vm="8467">
        <f>IFERROR(CUBEVALUE("BIDB",$A463,K$3,K$2,'Præsentationstabeller 1'!$C$2),0)</f>
        <v/>
      </c>
      <c r="L463" t="str" vm="15265">
        <f>IFERROR(CUBEVALUE("BIDB",$A463,L$3,L$2,'Præsentationstabeller 1'!$C$2),0)</f>
        <v/>
      </c>
    </row>
    <row r="464" spans="1:12" x14ac:dyDescent="0.3">
      <c r="A464" s="123" t="str" vm="872">
        <f>CUBEMEMBER("BIDB","[Dimittenddato].[Dimittenddato].&amp;[2012-06-01T00:00:00]")</f>
        <v>01-06-2012</v>
      </c>
      <c r="B464" t="str" vm="13035">
        <f>IFERROR(CUBEVALUE("BIDB",$A464,B$3,'Præsentationstabeller 1'!$C$2),0)</f>
        <v/>
      </c>
      <c r="C464" t="str" vm="16176">
        <f>IFERROR(CUBEVALUE("BIDB",$A464,C$3,C$2,'Præsentationstabeller 1'!$C$2),0)</f>
        <v/>
      </c>
      <c r="D464" vm="12966">
        <f>IFERROR(CUBEVALUE("BIDB",$A464,D$3,D$2,'Præsentationstabeller 1'!$C$2),0)</f>
        <v>4</v>
      </c>
      <c r="E464" vm="9354">
        <f>IFERROR(CUBEVALUE("BIDB",$A464,E$3,E$2,'Præsentationstabeller 1'!$C$2),0)</f>
        <v>9</v>
      </c>
      <c r="F464" vm="9167">
        <f>IFERROR(CUBEVALUE("BIDB",$A464,F$3,F$2,'Præsentationstabeller 1'!$C$2),0)</f>
        <v>0</v>
      </c>
      <c r="G464" vm="6326">
        <f>IFERROR(CUBEVALUE("BIDB",$A464,G$3,G$2,'Præsentationstabeller 1'!$C$2),0)</f>
        <v>9</v>
      </c>
      <c r="H464" t="str" vm="10772">
        <f>IFERROR(CUBEVALUE("BIDB",$A464,H$3,H$2,'Præsentationstabeller 1'!$C$2),0)</f>
        <v/>
      </c>
      <c r="I464" t="str" vm="15489">
        <f>IFERROR(CUBEVALUE("BIDB",$A464,I$3,I$2,'Præsentationstabeller 1'!$C$2),0)</f>
        <v/>
      </c>
      <c r="J464" t="str" vm="15015">
        <f>IFERROR(CUBEVALUE("BIDB",$A464,J$3,J$2,'Præsentationstabeller 1'!$C$2),0)</f>
        <v/>
      </c>
      <c r="K464" t="str" vm="8075">
        <f>IFERROR(CUBEVALUE("BIDB",$A464,K$3,K$2,'Præsentationstabeller 1'!$C$2),0)</f>
        <v/>
      </c>
      <c r="L464" t="str" vm="10153">
        <f>IFERROR(CUBEVALUE("BIDB",$A464,L$3,L$2,'Præsentationstabeller 1'!$C$2),0)</f>
        <v/>
      </c>
    </row>
    <row r="465" spans="1:12" x14ac:dyDescent="0.3">
      <c r="A465" s="123" t="str" vm="871">
        <f>CUBEMEMBER("BIDB","[Dimittenddato].[Dimittenddato].&amp;[2012-06-02T00:00:00]")</f>
        <v>02-06-2012</v>
      </c>
      <c r="B465" t="str" vm="7972">
        <f>IFERROR(CUBEVALUE("BIDB",$A465,B$3,'Præsentationstabeller 1'!$C$2),0)</f>
        <v/>
      </c>
      <c r="C465" t="str" vm="7391">
        <f>IFERROR(CUBEVALUE("BIDB",$A465,C$3,C$2,'Præsentationstabeller 1'!$C$2),0)</f>
        <v/>
      </c>
      <c r="D465" t="str" vm="12355">
        <f>IFERROR(CUBEVALUE("BIDB",$A465,D$3,D$2,'Præsentationstabeller 1'!$C$2),0)</f>
        <v/>
      </c>
      <c r="E465" t="str" vm="15742">
        <f>IFERROR(CUBEVALUE("BIDB",$A465,E$3,E$2,'Præsentationstabeller 1'!$C$2),0)</f>
        <v/>
      </c>
      <c r="F465" t="str" vm="9965">
        <f>IFERROR(CUBEVALUE("BIDB",$A465,F$3,F$2,'Præsentationstabeller 1'!$C$2),0)</f>
        <v/>
      </c>
      <c r="G465" t="str" vm="9547">
        <f>IFERROR(CUBEVALUE("BIDB",$A465,G$3,G$2,'Præsentationstabeller 1'!$C$2),0)</f>
        <v/>
      </c>
      <c r="H465" t="str" vm="7957">
        <f>IFERROR(CUBEVALUE("BIDB",$A465,H$3,H$2,'Præsentationstabeller 1'!$C$2),0)</f>
        <v/>
      </c>
      <c r="I465" t="str" vm="7359">
        <f>IFERROR(CUBEVALUE("BIDB",$A465,I$3,I$2,'Præsentationstabeller 1'!$C$2),0)</f>
        <v/>
      </c>
      <c r="J465" t="str" vm="13041">
        <f>IFERROR(CUBEVALUE("BIDB",$A465,J$3,J$2,'Præsentationstabeller 1'!$C$2),0)</f>
        <v/>
      </c>
      <c r="K465" t="str" vm="12715">
        <f>IFERROR(CUBEVALUE("BIDB",$A465,K$3,K$2,'Præsentationstabeller 1'!$C$2),0)</f>
        <v/>
      </c>
      <c r="L465" t="str" vm="11346">
        <f>IFERROR(CUBEVALUE("BIDB",$A465,L$3,L$2,'Præsentationstabeller 1'!$C$2),0)</f>
        <v/>
      </c>
    </row>
    <row r="466" spans="1:12" x14ac:dyDescent="0.3">
      <c r="A466" s="123" t="str" vm="870">
        <f>CUBEMEMBER("BIDB","[Dimittenddato].[Dimittenddato].&amp;[2012-06-03T00:00:00]")</f>
        <v>03-06-2012</v>
      </c>
      <c r="B466" t="str" vm="10508">
        <f>IFERROR(CUBEVALUE("BIDB",$A466,B$3,'Præsentationstabeller 1'!$C$2),0)</f>
        <v/>
      </c>
      <c r="C466" t="str" vm="9064">
        <f>IFERROR(CUBEVALUE("BIDB",$A466,C$3,C$2,'Præsentationstabeller 1'!$C$2),0)</f>
        <v/>
      </c>
      <c r="D466" t="str" vm="12307">
        <f>IFERROR(CUBEVALUE("BIDB",$A466,D$3,D$2,'Præsentationstabeller 1'!$C$2),0)</f>
        <v/>
      </c>
      <c r="E466" t="str" vm="8134">
        <f>IFERROR(CUBEVALUE("BIDB",$A466,E$3,E$2,'Præsentationstabeller 1'!$C$2),0)</f>
        <v/>
      </c>
      <c r="F466" vm="11048">
        <f>IFERROR(CUBEVALUE("BIDB",$A466,F$3,F$2,'Præsentationstabeller 1'!$C$2),0)</f>
        <v>0</v>
      </c>
      <c r="G466" vm="11815">
        <f>IFERROR(CUBEVALUE("BIDB",$A466,G$3,G$2,'Præsentationstabeller 1'!$C$2),0)</f>
        <v>0</v>
      </c>
      <c r="H466" t="str" vm="11747">
        <f>IFERROR(CUBEVALUE("BIDB",$A466,H$3,H$2,'Præsentationstabeller 1'!$C$2),0)</f>
        <v/>
      </c>
      <c r="I466" t="str" vm="16019">
        <f>IFERROR(CUBEVALUE("BIDB",$A466,I$3,I$2,'Præsentationstabeller 1'!$C$2),0)</f>
        <v/>
      </c>
      <c r="J466" t="str" vm="11430">
        <f>IFERROR(CUBEVALUE("BIDB",$A466,J$3,J$2,'Præsentationstabeller 1'!$C$2),0)</f>
        <v/>
      </c>
      <c r="K466" t="str" vm="14625">
        <f>IFERROR(CUBEVALUE("BIDB",$A466,K$3,K$2,'Præsentationstabeller 1'!$C$2),0)</f>
        <v/>
      </c>
      <c r="L466" t="str" vm="12017">
        <f>IFERROR(CUBEVALUE("BIDB",$A466,L$3,L$2,'Præsentationstabeller 1'!$C$2),0)</f>
        <v/>
      </c>
    </row>
    <row r="467" spans="1:12" x14ac:dyDescent="0.3">
      <c r="A467" s="123" t="str" vm="869">
        <f>CUBEMEMBER("BIDB","[Dimittenddato].[Dimittenddato].&amp;[2012-06-04T00:00:00]")</f>
        <v>04-06-2012</v>
      </c>
      <c r="B467" t="str" vm="16979">
        <f>IFERROR(CUBEVALUE("BIDB",$A467,B$3,'Præsentationstabeller 1'!$C$2),0)</f>
        <v/>
      </c>
      <c r="C467" t="str" vm="14720">
        <f>IFERROR(CUBEVALUE("BIDB",$A467,C$3,C$2,'Præsentationstabeller 1'!$C$2),0)</f>
        <v/>
      </c>
      <c r="D467" t="str" vm="14025">
        <f>IFERROR(CUBEVALUE("BIDB",$A467,D$3,D$2,'Præsentationstabeller 1'!$C$2),0)</f>
        <v/>
      </c>
      <c r="E467" vm="14036">
        <f>IFERROR(CUBEVALUE("BIDB",$A467,E$3,E$2,'Præsentationstabeller 1'!$C$2),0)</f>
        <v>0</v>
      </c>
      <c r="F467" vm="11000">
        <f>IFERROR(CUBEVALUE("BIDB",$A467,F$3,F$2,'Præsentationstabeller 1'!$C$2),0)</f>
        <v>2</v>
      </c>
      <c r="G467" vm="12918">
        <f>IFERROR(CUBEVALUE("BIDB",$A467,G$3,G$2,'Præsentationstabeller 1'!$C$2),0)</f>
        <v>2</v>
      </c>
      <c r="H467" t="str" vm="10762">
        <f>IFERROR(CUBEVALUE("BIDB",$A467,H$3,H$2,'Præsentationstabeller 1'!$C$2),0)</f>
        <v/>
      </c>
      <c r="I467" t="str" vm="11971">
        <f>IFERROR(CUBEVALUE("BIDB",$A467,I$3,I$2,'Præsentationstabeller 1'!$C$2),0)</f>
        <v/>
      </c>
      <c r="J467" t="str" vm="10344">
        <f>IFERROR(CUBEVALUE("BIDB",$A467,J$3,J$2,'Præsentationstabeller 1'!$C$2),0)</f>
        <v/>
      </c>
      <c r="K467" t="str" vm="8895">
        <f>IFERROR(CUBEVALUE("BIDB",$A467,K$3,K$2,'Præsentationstabeller 1'!$C$2),0)</f>
        <v/>
      </c>
      <c r="L467" t="str" vm="12339">
        <f>IFERROR(CUBEVALUE("BIDB",$A467,L$3,L$2,'Præsentationstabeller 1'!$C$2),0)</f>
        <v/>
      </c>
    </row>
    <row r="468" spans="1:12" x14ac:dyDescent="0.3">
      <c r="A468" s="123" t="str" vm="868">
        <f>CUBEMEMBER("BIDB","[Dimittenddato].[Dimittenddato].&amp;[2012-06-05T00:00:00]")</f>
        <v>05-06-2012</v>
      </c>
      <c r="B468" t="str" vm="8697">
        <f>IFERROR(CUBEVALUE("BIDB",$A468,B$3,'Præsentationstabeller 1'!$C$2),0)</f>
        <v/>
      </c>
      <c r="C468" vm="11032">
        <f>IFERROR(CUBEVALUE("BIDB",$A468,C$3,C$2,'Præsentationstabeller 1'!$C$2),0)</f>
        <v>1</v>
      </c>
      <c r="D468" t="str" vm="9298">
        <f>IFERROR(CUBEVALUE("BIDB",$A468,D$3,D$2,'Præsentationstabeller 1'!$C$2),0)</f>
        <v/>
      </c>
      <c r="E468" t="str" vm="9400">
        <f>IFERROR(CUBEVALUE("BIDB",$A468,E$3,E$2,'Præsentationstabeller 1'!$C$2),0)</f>
        <v/>
      </c>
      <c r="F468" t="str" vm="10179">
        <f>IFERROR(CUBEVALUE("BIDB",$A468,F$3,F$2,'Præsentationstabeller 1'!$C$2),0)</f>
        <v/>
      </c>
      <c r="G468" t="str" vm="8031">
        <f>IFERROR(CUBEVALUE("BIDB",$A468,G$3,G$2,'Præsentationstabeller 1'!$C$2),0)</f>
        <v/>
      </c>
      <c r="H468" t="str" vm="9782">
        <f>IFERROR(CUBEVALUE("BIDB",$A468,H$3,H$2,'Præsentationstabeller 1'!$C$2),0)</f>
        <v/>
      </c>
      <c r="I468" t="str" vm="14205">
        <f>IFERROR(CUBEVALUE("BIDB",$A468,I$3,I$2,'Præsentationstabeller 1'!$C$2),0)</f>
        <v/>
      </c>
      <c r="J468" t="str" vm="10201">
        <f>IFERROR(CUBEVALUE("BIDB",$A468,J$3,J$2,'Præsentationstabeller 1'!$C$2),0)</f>
        <v/>
      </c>
      <c r="K468" t="str" vm="8961">
        <f>IFERROR(CUBEVALUE("BIDB",$A468,K$3,K$2,'Præsentationstabeller 1'!$C$2),0)</f>
        <v/>
      </c>
      <c r="L468" t="str" vm="7674">
        <f>IFERROR(CUBEVALUE("BIDB",$A468,L$3,L$2,'Præsentationstabeller 1'!$C$2),0)</f>
        <v/>
      </c>
    </row>
    <row r="469" spans="1:12" x14ac:dyDescent="0.3">
      <c r="A469" s="123" t="str" vm="867">
        <f>CUBEMEMBER("BIDB","[Dimittenddato].[Dimittenddato].&amp;[2012-06-06T00:00:00]")</f>
        <v>06-06-2012</v>
      </c>
      <c r="B469" t="str" vm="9491">
        <f>IFERROR(CUBEVALUE("BIDB",$A469,B$3,'Præsentationstabeller 1'!$C$2),0)</f>
        <v/>
      </c>
      <c r="C469" vm="7571">
        <f>IFERROR(CUBEVALUE("BIDB",$A469,C$3,C$2,'Præsentationstabeller 1'!$C$2),0)</f>
        <v>1</v>
      </c>
      <c r="D469" vm="10628">
        <f>IFERROR(CUBEVALUE("BIDB",$A469,D$3,D$2,'Præsentationstabeller 1'!$C$2),0)</f>
        <v>1</v>
      </c>
      <c r="E469" vm="11731">
        <f>IFERROR(CUBEVALUE("BIDB",$A469,E$3,E$2,'Præsentationstabeller 1'!$C$2),0)</f>
        <v>2</v>
      </c>
      <c r="F469" t="str" vm="11759">
        <f>IFERROR(CUBEVALUE("BIDB",$A469,F$3,F$2,'Præsentationstabeller 1'!$C$2),0)</f>
        <v/>
      </c>
      <c r="G469" vm="12823">
        <f>IFERROR(CUBEVALUE("BIDB",$A469,G$3,G$2,'Præsentationstabeller 1'!$C$2),0)</f>
        <v>2</v>
      </c>
      <c r="H469" t="str" vm="11169">
        <f>IFERROR(CUBEVALUE("BIDB",$A469,H$3,H$2,'Præsentationstabeller 1'!$C$2),0)</f>
        <v/>
      </c>
      <c r="I469" t="str" vm="7928">
        <f>IFERROR(CUBEVALUE("BIDB",$A469,I$3,I$2,'Præsentationstabeller 1'!$C$2),0)</f>
        <v/>
      </c>
      <c r="J469" t="str" vm="12089">
        <f>IFERROR(CUBEVALUE("BIDB",$A469,J$3,J$2,'Præsentationstabeller 1'!$C$2),0)</f>
        <v/>
      </c>
      <c r="K469" t="str" vm="10071">
        <f>IFERROR(CUBEVALUE("BIDB",$A469,K$3,K$2,'Præsentationstabeller 1'!$C$2),0)</f>
        <v/>
      </c>
      <c r="L469" t="str" vm="13036">
        <f>IFERROR(CUBEVALUE("BIDB",$A469,L$3,L$2,'Præsentationstabeller 1'!$C$2),0)</f>
        <v/>
      </c>
    </row>
    <row r="470" spans="1:12" x14ac:dyDescent="0.3">
      <c r="A470" s="123" t="str" vm="866">
        <f>CUBEMEMBER("BIDB","[Dimittenddato].[Dimittenddato].&amp;[2012-06-07T00:00:00]")</f>
        <v>07-06-2012</v>
      </c>
      <c r="B470" t="str" vm="10868">
        <f>IFERROR(CUBEVALUE("BIDB",$A470,B$3,'Præsentationstabeller 1'!$C$2),0)</f>
        <v/>
      </c>
      <c r="C470" t="str" vm="10247">
        <f>IFERROR(CUBEVALUE("BIDB",$A470,C$3,C$2,'Præsentationstabeller 1'!$C$2),0)</f>
        <v/>
      </c>
      <c r="D470" vm="7089">
        <f>IFERROR(CUBEVALUE("BIDB",$A470,D$3,D$2,'Præsentationstabeller 1'!$C$2),0)</f>
        <v>1</v>
      </c>
      <c r="E470" vm="7468">
        <f>IFERROR(CUBEVALUE("BIDB",$A470,E$3,E$2,'Præsentationstabeller 1'!$C$2),0)</f>
        <v>6</v>
      </c>
      <c r="F470" t="str" vm="15024">
        <f>IFERROR(CUBEVALUE("BIDB",$A470,F$3,F$2,'Præsentationstabeller 1'!$C$2),0)</f>
        <v/>
      </c>
      <c r="G470" vm="14699">
        <f>IFERROR(CUBEVALUE("BIDB",$A470,G$3,G$2,'Præsentationstabeller 1'!$C$2),0)</f>
        <v>6</v>
      </c>
      <c r="H470" t="str" vm="7586">
        <f>IFERROR(CUBEVALUE("BIDB",$A470,H$3,H$2,'Præsentationstabeller 1'!$C$2),0)</f>
        <v/>
      </c>
      <c r="I470" t="str" vm="12636">
        <f>IFERROR(CUBEVALUE("BIDB",$A470,I$3,I$2,'Præsentationstabeller 1'!$C$2),0)</f>
        <v/>
      </c>
      <c r="J470" vm="12083">
        <f>IFERROR(CUBEVALUE("BIDB",$A470,J$3,J$2,'Præsentationstabeller 1'!$C$2),0)</f>
        <v>1</v>
      </c>
      <c r="K470" t="str" vm="13092">
        <f>IFERROR(CUBEVALUE("BIDB",$A470,K$3,K$2,'Præsentationstabeller 1'!$C$2),0)</f>
        <v/>
      </c>
      <c r="L470" vm="10171">
        <f>IFERROR(CUBEVALUE("BIDB",$A470,L$3,L$2,'Præsentationstabeller 1'!$C$2),0)</f>
        <v>1</v>
      </c>
    </row>
    <row r="471" spans="1:12" x14ac:dyDescent="0.3">
      <c r="A471" s="123" t="str" vm="865">
        <f>CUBEMEMBER("BIDB","[Dimittenddato].[Dimittenddato].&amp;[2012-06-08T00:00:00]")</f>
        <v>08-06-2012</v>
      </c>
      <c r="B471" t="str" vm="12060">
        <f>IFERROR(CUBEVALUE("BIDB",$A471,B$3,'Præsentationstabeller 1'!$C$2),0)</f>
        <v/>
      </c>
      <c r="C471" t="str" vm="13515">
        <f>IFERROR(CUBEVALUE("BIDB",$A471,C$3,C$2,'Præsentationstabeller 1'!$C$2),0)</f>
        <v/>
      </c>
      <c r="D471" vm="16082">
        <f>IFERROR(CUBEVALUE("BIDB",$A471,D$3,D$2,'Præsentationstabeller 1'!$C$2),0)</f>
        <v>2</v>
      </c>
      <c r="E471" vm="10288">
        <f>IFERROR(CUBEVALUE("BIDB",$A471,E$3,E$2,'Præsentationstabeller 1'!$C$2),0)</f>
        <v>2</v>
      </c>
      <c r="F471" vm="8825">
        <f>IFERROR(CUBEVALUE("BIDB",$A471,F$3,F$2,'Præsentationstabeller 1'!$C$2),0)</f>
        <v>4</v>
      </c>
      <c r="G471" vm="12087">
        <f>IFERROR(CUBEVALUE("BIDB",$A471,G$3,G$2,'Præsentationstabeller 1'!$C$2),0)</f>
        <v>6</v>
      </c>
      <c r="H471" t="str" vm="11957">
        <f>IFERROR(CUBEVALUE("BIDB",$A471,H$3,H$2,'Præsentationstabeller 1'!$C$2),0)</f>
        <v/>
      </c>
      <c r="I471" t="str" vm="11925">
        <f>IFERROR(CUBEVALUE("BIDB",$A471,I$3,I$2,'Præsentationstabeller 1'!$C$2),0)</f>
        <v/>
      </c>
      <c r="J471" t="str" vm="7483">
        <f>IFERROR(CUBEVALUE("BIDB",$A471,J$3,J$2,'Præsentationstabeller 1'!$C$2),0)</f>
        <v/>
      </c>
      <c r="K471" t="str" vm="8857">
        <f>IFERROR(CUBEVALUE("BIDB",$A471,K$3,K$2,'Præsentationstabeller 1'!$C$2),0)</f>
        <v/>
      </c>
      <c r="L471" t="str" vm="13247">
        <f>IFERROR(CUBEVALUE("BIDB",$A471,L$3,L$2,'Præsentationstabeller 1'!$C$2),0)</f>
        <v/>
      </c>
    </row>
    <row r="472" spans="1:12" x14ac:dyDescent="0.3">
      <c r="A472" s="123" t="str" vm="864">
        <f>CUBEMEMBER("BIDB","[Dimittenddato].[Dimittenddato].&amp;[2012-06-09T00:00:00]")</f>
        <v>09-06-2012</v>
      </c>
      <c r="B472" t="str" vm="14533">
        <f>IFERROR(CUBEVALUE("BIDB",$A472,B$3,'Præsentationstabeller 1'!$C$2),0)</f>
        <v/>
      </c>
      <c r="C472" vm="9838">
        <f>IFERROR(CUBEVALUE("BIDB",$A472,C$3,C$2,'Præsentationstabeller 1'!$C$2),0)</f>
        <v>1</v>
      </c>
      <c r="D472" t="str" vm="11303">
        <f>IFERROR(CUBEVALUE("BIDB",$A472,D$3,D$2,'Præsentationstabeller 1'!$C$2),0)</f>
        <v/>
      </c>
      <c r="E472" t="str" vm="9454">
        <f>IFERROR(CUBEVALUE("BIDB",$A472,E$3,E$2,'Præsentationstabeller 1'!$C$2),0)</f>
        <v/>
      </c>
      <c r="F472" t="str" vm="14064">
        <f>IFERROR(CUBEVALUE("BIDB",$A472,F$3,F$2,'Præsentationstabeller 1'!$C$2),0)</f>
        <v/>
      </c>
      <c r="G472" t="str" vm="9954">
        <f>IFERROR(CUBEVALUE("BIDB",$A472,G$3,G$2,'Præsentationstabeller 1'!$C$2),0)</f>
        <v/>
      </c>
      <c r="H472" t="str" vm="16813">
        <f>IFERROR(CUBEVALUE("BIDB",$A472,H$3,H$2,'Præsentationstabeller 1'!$C$2),0)</f>
        <v/>
      </c>
      <c r="I472" t="str" vm="13243">
        <f>IFERROR(CUBEVALUE("BIDB",$A472,I$3,I$2,'Præsentationstabeller 1'!$C$2),0)</f>
        <v/>
      </c>
      <c r="J472" t="str" vm="10015">
        <f>IFERROR(CUBEVALUE("BIDB",$A472,J$3,J$2,'Præsentationstabeller 1'!$C$2),0)</f>
        <v/>
      </c>
      <c r="K472" t="str" vm="9695">
        <f>IFERROR(CUBEVALUE("BIDB",$A472,K$3,K$2,'Præsentationstabeller 1'!$C$2),0)</f>
        <v/>
      </c>
      <c r="L472" t="str" vm="13235">
        <f>IFERROR(CUBEVALUE("BIDB",$A472,L$3,L$2,'Præsentationstabeller 1'!$C$2),0)</f>
        <v/>
      </c>
    </row>
    <row r="473" spans="1:12" x14ac:dyDescent="0.3">
      <c r="A473" s="123" t="str" vm="863">
        <f>CUBEMEMBER("BIDB","[Dimittenddato].[Dimittenddato].&amp;[2012-06-10T00:00:00]")</f>
        <v>10-06-2012</v>
      </c>
      <c r="B473" t="str" vm="11235">
        <f>IFERROR(CUBEVALUE("BIDB",$A473,B$3,'Præsentationstabeller 1'!$C$2),0)</f>
        <v/>
      </c>
      <c r="C473" t="str" vm="9790">
        <f>IFERROR(CUBEVALUE("BIDB",$A473,C$3,C$2,'Præsentationstabeller 1'!$C$2),0)</f>
        <v/>
      </c>
      <c r="D473" t="str" vm="13197">
        <f>IFERROR(CUBEVALUE("BIDB",$A473,D$3,D$2,'Præsentationstabeller 1'!$C$2),0)</f>
        <v/>
      </c>
      <c r="E473" t="str" vm="11198">
        <f>IFERROR(CUBEVALUE("BIDB",$A473,E$3,E$2,'Præsentationstabeller 1'!$C$2),0)</f>
        <v/>
      </c>
      <c r="F473" t="str" vm="14564">
        <f>IFERROR(CUBEVALUE("BIDB",$A473,F$3,F$2,'Præsentationstabeller 1'!$C$2),0)</f>
        <v/>
      </c>
      <c r="G473" t="str" vm="11061">
        <f>IFERROR(CUBEVALUE("BIDB",$A473,G$3,G$2,'Præsentationstabeller 1'!$C$2),0)</f>
        <v/>
      </c>
      <c r="H473" t="str" vm="9227">
        <f>IFERROR(CUBEVALUE("BIDB",$A473,H$3,H$2,'Præsentationstabeller 1'!$C$2),0)</f>
        <v/>
      </c>
      <c r="I473" t="str" vm="9140">
        <f>IFERROR(CUBEVALUE("BIDB",$A473,I$3,I$2,'Præsentationstabeller 1'!$C$2),0)</f>
        <v/>
      </c>
      <c r="J473" t="str" vm="14729">
        <f>IFERROR(CUBEVALUE("BIDB",$A473,J$3,J$2,'Præsentationstabeller 1'!$C$2),0)</f>
        <v/>
      </c>
      <c r="K473" t="str" vm="13912">
        <f>IFERROR(CUBEVALUE("BIDB",$A473,K$3,K$2,'Præsentationstabeller 1'!$C$2),0)</f>
        <v/>
      </c>
      <c r="L473" t="str" vm="9447">
        <f>IFERROR(CUBEVALUE("BIDB",$A473,L$3,L$2,'Præsentationstabeller 1'!$C$2),0)</f>
        <v/>
      </c>
    </row>
    <row r="474" spans="1:12" x14ac:dyDescent="0.3">
      <c r="A474" s="123" t="str" vm="862">
        <f>CUBEMEMBER("BIDB","[Dimittenddato].[Dimittenddato].&amp;[2012-06-11T00:00:00]")</f>
        <v>11-06-2012</v>
      </c>
      <c r="B474" t="str" vm="11861">
        <f>IFERROR(CUBEVALUE("BIDB",$A474,B$3,'Præsentationstabeller 1'!$C$2),0)</f>
        <v/>
      </c>
      <c r="C474" t="str" vm="9155">
        <f>IFERROR(CUBEVALUE("BIDB",$A474,C$3,C$2,'Præsentationstabeller 1'!$C$2),0)</f>
        <v/>
      </c>
      <c r="D474" vm="7645">
        <f>IFERROR(CUBEVALUE("BIDB",$A474,D$3,D$2,'Præsentationstabeller 1'!$C$2),0)</f>
        <v>1</v>
      </c>
      <c r="E474" vm="9691">
        <f>IFERROR(CUBEVALUE("BIDB",$A474,E$3,E$2,'Præsentationstabeller 1'!$C$2),0)</f>
        <v>20</v>
      </c>
      <c r="F474" vm="15435">
        <f>IFERROR(CUBEVALUE("BIDB",$A474,F$3,F$2,'Præsentationstabeller 1'!$C$2),0)</f>
        <v>3</v>
      </c>
      <c r="G474" vm="9708">
        <f>IFERROR(CUBEVALUE("BIDB",$A474,G$3,G$2,'Præsentationstabeller 1'!$C$2),0)</f>
        <v>23</v>
      </c>
      <c r="H474" t="str" vm="8575">
        <f>IFERROR(CUBEVALUE("BIDB",$A474,H$3,H$2,'Præsentationstabeller 1'!$C$2),0)</f>
        <v/>
      </c>
      <c r="I474" t="str" vm="16004">
        <f>IFERROR(CUBEVALUE("BIDB",$A474,I$3,I$2,'Præsentationstabeller 1'!$C$2),0)</f>
        <v/>
      </c>
      <c r="J474" t="str" vm="8208">
        <f>IFERROR(CUBEVALUE("BIDB",$A474,J$3,J$2,'Præsentationstabeller 1'!$C$2),0)</f>
        <v/>
      </c>
      <c r="K474" t="str" vm="9822">
        <f>IFERROR(CUBEVALUE("BIDB",$A474,K$3,K$2,'Præsentationstabeller 1'!$C$2),0)</f>
        <v/>
      </c>
      <c r="L474" t="str" vm="10812">
        <f>IFERROR(CUBEVALUE("BIDB",$A474,L$3,L$2,'Præsentationstabeller 1'!$C$2),0)</f>
        <v/>
      </c>
    </row>
    <row r="475" spans="1:12" x14ac:dyDescent="0.3">
      <c r="A475" s="123" t="str" vm="861">
        <f>CUBEMEMBER("BIDB","[Dimittenddato].[Dimittenddato].&amp;[2012-06-12T00:00:00]")</f>
        <v>12-06-2012</v>
      </c>
      <c r="B475" t="str" vm="10725">
        <f>IFERROR(CUBEVALUE("BIDB",$A475,B$3,'Præsentationstabeller 1'!$C$2),0)</f>
        <v/>
      </c>
      <c r="C475" vm="11247">
        <f>IFERROR(CUBEVALUE("BIDB",$A475,C$3,C$2,'Præsentationstabeller 1'!$C$2),0)</f>
        <v>2</v>
      </c>
      <c r="D475" vm="9851">
        <f>IFERROR(CUBEVALUE("BIDB",$A475,D$3,D$2,'Præsentationstabeller 1'!$C$2),0)</f>
        <v>0</v>
      </c>
      <c r="E475" vm="9052">
        <f>IFERROR(CUBEVALUE("BIDB",$A475,E$3,E$2,'Præsentationstabeller 1'!$C$2),0)</f>
        <v>20</v>
      </c>
      <c r="F475" vm="7542">
        <f>IFERROR(CUBEVALUE("BIDB",$A475,F$3,F$2,'Præsentationstabeller 1'!$C$2),0)</f>
        <v>3</v>
      </c>
      <c r="G475" vm="11128">
        <f>IFERROR(CUBEVALUE("BIDB",$A475,G$3,G$2,'Præsentationstabeller 1'!$C$2),0)</f>
        <v>23</v>
      </c>
      <c r="H475" t="str" vm="9560">
        <f>IFERROR(CUBEVALUE("BIDB",$A475,H$3,H$2,'Præsentationstabeller 1'!$C$2),0)</f>
        <v/>
      </c>
      <c r="I475" t="str" vm="10251">
        <f>IFERROR(CUBEVALUE("BIDB",$A475,I$3,I$2,'Præsentationstabeller 1'!$C$2),0)</f>
        <v/>
      </c>
      <c r="J475" vm="17001">
        <f>IFERROR(CUBEVALUE("BIDB",$A475,J$3,J$2,'Præsentationstabeller 1'!$C$2),0)</f>
        <v>0.52</v>
      </c>
      <c r="K475" t="str" vm="9037">
        <f>IFERROR(CUBEVALUE("BIDB",$A475,K$3,K$2,'Præsentationstabeller 1'!$C$2),0)</f>
        <v/>
      </c>
      <c r="L475" vm="9418">
        <f>IFERROR(CUBEVALUE("BIDB",$A475,L$3,L$2,'Præsentationstabeller 1'!$C$2),0)</f>
        <v>0.52</v>
      </c>
    </row>
    <row r="476" spans="1:12" x14ac:dyDescent="0.3">
      <c r="A476" s="123" t="str" vm="860">
        <f>CUBEMEMBER("BIDB","[Dimittenddato].[Dimittenddato].&amp;[2012-06-13T00:00:00]")</f>
        <v>13-06-2012</v>
      </c>
      <c r="B476" t="str" vm="8934">
        <f>IFERROR(CUBEVALUE("BIDB",$A476,B$3,'Præsentationstabeller 1'!$C$2),0)</f>
        <v/>
      </c>
      <c r="C476" t="str" vm="12621">
        <f>IFERROR(CUBEVALUE("BIDB",$A476,C$3,C$2,'Præsentationstabeller 1'!$C$2),0)</f>
        <v/>
      </c>
      <c r="D476" vm="13188">
        <f>IFERROR(CUBEVALUE("BIDB",$A476,D$3,D$2,'Præsentationstabeller 1'!$C$2),0)</f>
        <v>3</v>
      </c>
      <c r="E476" vm="14550">
        <f>IFERROR(CUBEVALUE("BIDB",$A476,E$3,E$2,'Præsentationstabeller 1'!$C$2),0)</f>
        <v>17</v>
      </c>
      <c r="F476" vm="13585">
        <f>IFERROR(CUBEVALUE("BIDB",$A476,F$3,F$2,'Præsentationstabeller 1'!$C$2),0)</f>
        <v>2</v>
      </c>
      <c r="G476" vm="11116">
        <f>IFERROR(CUBEVALUE("BIDB",$A476,G$3,G$2,'Præsentationstabeller 1'!$C$2),0)</f>
        <v>19</v>
      </c>
      <c r="H476" t="str" vm="12666">
        <f>IFERROR(CUBEVALUE("BIDB",$A476,H$3,H$2,'Præsentationstabeller 1'!$C$2),0)</f>
        <v/>
      </c>
      <c r="I476" t="str" vm="10593">
        <f>IFERROR(CUBEVALUE("BIDB",$A476,I$3,I$2,'Præsentationstabeller 1'!$C$2),0)</f>
        <v/>
      </c>
      <c r="J476" vm="10357">
        <f>IFERROR(CUBEVALUE("BIDB",$A476,J$3,J$2,'Præsentationstabeller 1'!$C$2),0)</f>
        <v>2</v>
      </c>
      <c r="K476" t="str" vm="8472">
        <f>IFERROR(CUBEVALUE("BIDB",$A476,K$3,K$2,'Præsentationstabeller 1'!$C$2),0)</f>
        <v/>
      </c>
      <c r="L476" vm="6835">
        <f>IFERROR(CUBEVALUE("BIDB",$A476,L$3,L$2,'Præsentationstabeller 1'!$C$2),0)</f>
        <v>2</v>
      </c>
    </row>
    <row r="477" spans="1:12" x14ac:dyDescent="0.3">
      <c r="A477" s="123" t="str" vm="859">
        <f>CUBEMEMBER("BIDB","[Dimittenddato].[Dimittenddato].&amp;[2012-06-14T00:00:00]")</f>
        <v>14-06-2012</v>
      </c>
      <c r="B477" t="str" vm="11005">
        <f>IFERROR(CUBEVALUE("BIDB",$A477,B$3,'Præsentationstabeller 1'!$C$2),0)</f>
        <v/>
      </c>
      <c r="C477" vm="8336">
        <f>IFERROR(CUBEVALUE("BIDB",$A477,C$3,C$2,'Præsentationstabeller 1'!$C$2),0)</f>
        <v>1</v>
      </c>
      <c r="D477" vm="11124">
        <f>IFERROR(CUBEVALUE("BIDB",$A477,D$3,D$2,'Præsentationstabeller 1'!$C$2),0)</f>
        <v>4</v>
      </c>
      <c r="E477" vm="13864">
        <f>IFERROR(CUBEVALUE("BIDB",$A477,E$3,E$2,'Præsentationstabeller 1'!$C$2),0)</f>
        <v>24</v>
      </c>
      <c r="F477" vm="14610">
        <f>IFERROR(CUBEVALUE("BIDB",$A477,F$3,F$2,'Præsentationstabeller 1'!$C$2),0)</f>
        <v>5</v>
      </c>
      <c r="G477" vm="8949">
        <f>IFERROR(CUBEVALUE("BIDB",$A477,G$3,G$2,'Præsentationstabeller 1'!$C$2),0)</f>
        <v>29</v>
      </c>
      <c r="H477" t="str" vm="8368">
        <f>IFERROR(CUBEVALUE("BIDB",$A477,H$3,H$2,'Præsentationstabeller 1'!$C$2),0)</f>
        <v/>
      </c>
      <c r="I477" t="str" vm="10545">
        <f>IFERROR(CUBEVALUE("BIDB",$A477,I$3,I$2,'Præsentationstabeller 1'!$C$2),0)</f>
        <v/>
      </c>
      <c r="J477" t="str" vm="12150">
        <f>IFERROR(CUBEVALUE("BIDB",$A477,J$3,J$2,'Præsentationstabeller 1'!$C$2),0)</f>
        <v/>
      </c>
      <c r="K477" t="str" vm="9660">
        <f>IFERROR(CUBEVALUE("BIDB",$A477,K$3,K$2,'Præsentationstabeller 1'!$C$2),0)</f>
        <v/>
      </c>
      <c r="L477" t="str" vm="12312">
        <f>IFERROR(CUBEVALUE("BIDB",$A477,L$3,L$2,'Præsentationstabeller 1'!$C$2),0)</f>
        <v/>
      </c>
    </row>
    <row r="478" spans="1:12" x14ac:dyDescent="0.3">
      <c r="A478" s="123" t="str" vm="858">
        <f>CUBEMEMBER("BIDB","[Dimittenddato].[Dimittenddato].&amp;[2012-06-15T00:00:00]")</f>
        <v>15-06-2012</v>
      </c>
      <c r="B478" t="str" vm="16477">
        <f>IFERROR(CUBEVALUE("BIDB",$A478,B$3,'Præsentationstabeller 1'!$C$2),0)</f>
        <v/>
      </c>
      <c r="C478" vm="16111">
        <f>IFERROR(CUBEVALUE("BIDB",$A478,C$3,C$2,'Præsentationstabeller 1'!$C$2),0)</f>
        <v>1</v>
      </c>
      <c r="D478" vm="10751">
        <f>IFERROR(CUBEVALUE("BIDB",$A478,D$3,D$2,'Præsentationstabeller 1'!$C$2),0)</f>
        <v>2</v>
      </c>
      <c r="E478" vm="8612">
        <f>IFERROR(CUBEVALUE("BIDB",$A478,E$3,E$2,'Præsentationstabeller 1'!$C$2),0)</f>
        <v>27</v>
      </c>
      <c r="F478" vm="10577">
        <f>IFERROR(CUBEVALUE("BIDB",$A478,F$3,F$2,'Præsentationstabeller 1'!$C$2),0)</f>
        <v>2</v>
      </c>
      <c r="G478" vm="9504">
        <f>IFERROR(CUBEVALUE("BIDB",$A478,G$3,G$2,'Præsentationstabeller 1'!$C$2),0)</f>
        <v>29</v>
      </c>
      <c r="H478" t="str" vm="9656">
        <f>IFERROR(CUBEVALUE("BIDB",$A478,H$3,H$2,'Præsentationstabeller 1'!$C$2),0)</f>
        <v/>
      </c>
      <c r="I478" t="str" vm="10244">
        <f>IFERROR(CUBEVALUE("BIDB",$A478,I$3,I$2,'Præsentationstabeller 1'!$C$2),0)</f>
        <v/>
      </c>
      <c r="J478" t="str" vm="7439">
        <f>IFERROR(CUBEVALUE("BIDB",$A478,J$3,J$2,'Præsentationstabeller 1'!$C$2),0)</f>
        <v/>
      </c>
      <c r="K478" t="str" vm="12299">
        <f>IFERROR(CUBEVALUE("BIDB",$A478,K$3,K$2,'Præsentationstabeller 1'!$C$2),0)</f>
        <v/>
      </c>
      <c r="L478" t="str" vm="12836">
        <f>IFERROR(CUBEVALUE("BIDB",$A478,L$3,L$2,'Præsentationstabeller 1'!$C$2),0)</f>
        <v/>
      </c>
    </row>
    <row r="479" spans="1:12" x14ac:dyDescent="0.3">
      <c r="A479" s="123" t="str" vm="857">
        <f>CUBEMEMBER("BIDB","[Dimittenddato].[Dimittenddato].&amp;[2012-06-16T00:00:00]")</f>
        <v>16-06-2012</v>
      </c>
      <c r="B479" t="str" vm="13219">
        <f>IFERROR(CUBEVALUE("BIDB",$A479,B$3,'Præsentationstabeller 1'!$C$2),0)</f>
        <v/>
      </c>
      <c r="C479" t="str" vm="15380">
        <f>IFERROR(CUBEVALUE("BIDB",$A479,C$3,C$2,'Præsentationstabeller 1'!$C$2),0)</f>
        <v/>
      </c>
      <c r="D479" t="str" vm="11703">
        <f>IFERROR(CUBEVALUE("BIDB",$A479,D$3,D$2,'Præsentationstabeller 1'!$C$2),0)</f>
        <v/>
      </c>
      <c r="E479" t="str" vm="9184">
        <f>IFERROR(CUBEVALUE("BIDB",$A479,E$3,E$2,'Præsentationstabeller 1'!$C$2),0)</f>
        <v/>
      </c>
      <c r="F479" t="str" vm="8651">
        <f>IFERROR(CUBEVALUE("BIDB",$A479,F$3,F$2,'Præsentationstabeller 1'!$C$2),0)</f>
        <v/>
      </c>
      <c r="G479" t="str" vm="13921">
        <f>IFERROR(CUBEVALUE("BIDB",$A479,G$3,G$2,'Præsentationstabeller 1'!$C$2),0)</f>
        <v/>
      </c>
      <c r="H479" t="str" vm="15419">
        <f>IFERROR(CUBEVALUE("BIDB",$A479,H$3,H$2,'Præsentationstabeller 1'!$C$2),0)</f>
        <v/>
      </c>
      <c r="I479" t="str" vm="10301">
        <f>IFERROR(CUBEVALUE("BIDB",$A479,I$3,I$2,'Præsentationstabeller 1'!$C$2),0)</f>
        <v/>
      </c>
      <c r="J479" t="str" vm="9795">
        <f>IFERROR(CUBEVALUE("BIDB",$A479,J$3,J$2,'Præsentationstabeller 1'!$C$2),0)</f>
        <v/>
      </c>
      <c r="K479" t="str" vm="11206">
        <f>IFERROR(CUBEVALUE("BIDB",$A479,K$3,K$2,'Præsentationstabeller 1'!$C$2),0)</f>
        <v/>
      </c>
      <c r="L479" t="str" vm="12560">
        <f>IFERROR(CUBEVALUE("BIDB",$A479,L$3,L$2,'Præsentationstabeller 1'!$C$2),0)</f>
        <v/>
      </c>
    </row>
    <row r="480" spans="1:12" x14ac:dyDescent="0.3">
      <c r="A480" s="123" t="str" vm="856">
        <f>CUBEMEMBER("BIDB","[Dimittenddato].[Dimittenddato].&amp;[2012-06-17T00:00:00]")</f>
        <v>17-06-2012</v>
      </c>
      <c r="B480" t="str" vm="8081">
        <f>IFERROR(CUBEVALUE("BIDB",$A480,B$3,'Præsentationstabeller 1'!$C$2),0)</f>
        <v/>
      </c>
      <c r="C480" t="str" vm="14927">
        <f>IFERROR(CUBEVALUE("BIDB",$A480,C$3,C$2,'Præsentationstabeller 1'!$C$2),0)</f>
        <v/>
      </c>
      <c r="D480" t="str" vm="9197">
        <f>IFERROR(CUBEVALUE("BIDB",$A480,D$3,D$2,'Præsentationstabeller 1'!$C$2),0)</f>
        <v/>
      </c>
      <c r="E480" t="str" vm="11074">
        <f>IFERROR(CUBEVALUE("BIDB",$A480,E$3,E$2,'Præsentationstabeller 1'!$C$2),0)</f>
        <v/>
      </c>
      <c r="F480" vm="9603">
        <f>IFERROR(CUBEVALUE("BIDB",$A480,F$3,F$2,'Præsentationstabeller 1'!$C$2),0)</f>
        <v>1</v>
      </c>
      <c r="G480" vm="7719">
        <f>IFERROR(CUBEVALUE("BIDB",$A480,G$3,G$2,'Præsentationstabeller 1'!$C$2),0)</f>
        <v>1</v>
      </c>
      <c r="H480" t="str" vm="12283">
        <f>IFERROR(CUBEVALUE("BIDB",$A480,H$3,H$2,'Præsentationstabeller 1'!$C$2),0)</f>
        <v/>
      </c>
      <c r="I480" t="str" vm="11879">
        <f>IFERROR(CUBEVALUE("BIDB",$A480,I$3,I$2,'Præsentationstabeller 1'!$C$2),0)</f>
        <v/>
      </c>
      <c r="J480" t="str" vm="13004">
        <f>IFERROR(CUBEVALUE("BIDB",$A480,J$3,J$2,'Præsentationstabeller 1'!$C$2),0)</f>
        <v/>
      </c>
      <c r="K480" t="str" vm="9686">
        <f>IFERROR(CUBEVALUE("BIDB",$A480,K$3,K$2,'Præsentationstabeller 1'!$C$2),0)</f>
        <v/>
      </c>
      <c r="L480" t="str" vm="9436">
        <f>IFERROR(CUBEVALUE("BIDB",$A480,L$3,L$2,'Præsentationstabeller 1'!$C$2),0)</f>
        <v/>
      </c>
    </row>
    <row r="481" spans="1:12" x14ac:dyDescent="0.3">
      <c r="A481" s="123" t="str" vm="855">
        <f>CUBEMEMBER("BIDB","[Dimittenddato].[Dimittenddato].&amp;[2012-06-18T00:00:00]")</f>
        <v>18-06-2012</v>
      </c>
      <c r="B481" t="str" vm="8563">
        <f>IFERROR(CUBEVALUE("BIDB",$A481,B$3,'Præsentationstabeller 1'!$C$2),0)</f>
        <v/>
      </c>
      <c r="C481" t="str" vm="9111">
        <f>IFERROR(CUBEVALUE("BIDB",$A481,C$3,C$2,'Præsentationstabeller 1'!$C$2),0)</f>
        <v/>
      </c>
      <c r="D481" vm="13741">
        <f>IFERROR(CUBEVALUE("BIDB",$A481,D$3,D$2,'Præsentationstabeller 1'!$C$2),0)</f>
        <v>7</v>
      </c>
      <c r="E481" vm="13033">
        <f>IFERROR(CUBEVALUE("BIDB",$A481,E$3,E$2,'Præsentationstabeller 1'!$C$2),0)</f>
        <v>30</v>
      </c>
      <c r="F481" vm="10968">
        <f>IFERROR(CUBEVALUE("BIDB",$A481,F$3,F$2,'Præsentationstabeller 1'!$C$2),0)</f>
        <v>11</v>
      </c>
      <c r="G481" vm="11211">
        <f>IFERROR(CUBEVALUE("BIDB",$A481,G$3,G$2,'Præsentationstabeller 1'!$C$2),0)</f>
        <v>41</v>
      </c>
      <c r="H481" t="str" vm="8548">
        <f>IFERROR(CUBEVALUE("BIDB",$A481,H$3,H$2,'Præsentationstabeller 1'!$C$2),0)</f>
        <v/>
      </c>
      <c r="I481" t="str" vm="6580">
        <f>IFERROR(CUBEVALUE("BIDB",$A481,I$3,I$2,'Præsentationstabeller 1'!$C$2),0)</f>
        <v/>
      </c>
      <c r="J481" t="str" vm="14540">
        <f>IFERROR(CUBEVALUE("BIDB",$A481,J$3,J$2,'Præsentationstabeller 1'!$C$2),0)</f>
        <v/>
      </c>
      <c r="K481" t="str" vm="12780">
        <f>IFERROR(CUBEVALUE("BIDB",$A481,K$3,K$2,'Præsentationstabeller 1'!$C$2),0)</f>
        <v/>
      </c>
      <c r="L481" t="str" vm="10550">
        <f>IFERROR(CUBEVALUE("BIDB",$A481,L$3,L$2,'Præsentationstabeller 1'!$C$2),0)</f>
        <v/>
      </c>
    </row>
    <row r="482" spans="1:12" x14ac:dyDescent="0.3">
      <c r="A482" s="123" t="str" vm="854">
        <f>CUBEMEMBER("BIDB","[Dimittenddato].[Dimittenddato].&amp;[2012-06-19T00:00:00]")</f>
        <v>19-06-2012</v>
      </c>
      <c r="B482" t="str" vm="16799">
        <f>IFERROR(CUBEVALUE("BIDB",$A482,B$3,'Præsentationstabeller 1'!$C$2),0)</f>
        <v/>
      </c>
      <c r="C482" vm="13480">
        <f>IFERROR(CUBEVALUE("BIDB",$A482,C$3,C$2,'Præsentationstabeller 1'!$C$2),0)</f>
        <v>1</v>
      </c>
      <c r="D482" vm="13735">
        <f>IFERROR(CUBEVALUE("BIDB",$A482,D$3,D$2,'Præsentationstabeller 1'!$C$2),0)</f>
        <v>5</v>
      </c>
      <c r="E482" vm="7879">
        <f>IFERROR(CUBEVALUE("BIDB",$A482,E$3,E$2,'Præsentationstabeller 1'!$C$2),0)</f>
        <v>35</v>
      </c>
      <c r="F482" vm="9383">
        <f>IFERROR(CUBEVALUE("BIDB",$A482,F$3,F$2,'Præsentationstabeller 1'!$C$2),0)</f>
        <v>8</v>
      </c>
      <c r="G482" vm="9864">
        <f>IFERROR(CUBEVALUE("BIDB",$A482,G$3,G$2,'Præsentationstabeller 1'!$C$2),0)</f>
        <v>43</v>
      </c>
      <c r="H482" t="str" vm="8086">
        <f>IFERROR(CUBEVALUE("BIDB",$A482,H$3,H$2,'Præsentationstabeller 1'!$C$2),0)</f>
        <v/>
      </c>
      <c r="I482" t="str" vm="9340">
        <f>IFERROR(CUBEVALUE("BIDB",$A482,I$3,I$2,'Præsentationstabeller 1'!$C$2),0)</f>
        <v/>
      </c>
      <c r="J482" t="str" vm="8445">
        <f>IFERROR(CUBEVALUE("BIDB",$A482,J$3,J$2,'Præsentationstabeller 1'!$C$2),0)</f>
        <v/>
      </c>
      <c r="K482" t="str" vm="13816">
        <f>IFERROR(CUBEVALUE("BIDB",$A482,K$3,K$2,'Præsentationstabeller 1'!$C$2),0)</f>
        <v/>
      </c>
      <c r="L482" t="str" vm="16589">
        <f>IFERROR(CUBEVALUE("BIDB",$A482,L$3,L$2,'Præsentationstabeller 1'!$C$2),0)</f>
        <v/>
      </c>
    </row>
    <row r="483" spans="1:12" x14ac:dyDescent="0.3">
      <c r="A483" s="123" t="str" vm="853">
        <f>CUBEMEMBER("BIDB","[Dimittenddato].[Dimittenddato].&amp;[2012-06-20T00:00:00]")</f>
        <v>20-06-2012</v>
      </c>
      <c r="B483" t="str" vm="11520">
        <f>IFERROR(CUBEVALUE("BIDB",$A483,B$3,'Præsentationstabeller 1'!$C$2),0)</f>
        <v/>
      </c>
      <c r="C483" vm="15455">
        <f>IFERROR(CUBEVALUE("BIDB",$A483,C$3,C$2,'Præsentationstabeller 1'!$C$2),0)</f>
        <v>1</v>
      </c>
      <c r="D483" vm="8460">
        <f>IFERROR(CUBEVALUE("BIDB",$A483,D$3,D$2,'Præsentationstabeller 1'!$C$2),0)</f>
        <v>6</v>
      </c>
      <c r="E483" vm="7983">
        <f>IFERROR(CUBEVALUE("BIDB",$A483,E$3,E$2,'Præsentationstabeller 1'!$C$2),0)</f>
        <v>33</v>
      </c>
      <c r="F483" vm="9335">
        <f>IFERROR(CUBEVALUE("BIDB",$A483,F$3,F$2,'Præsentationstabeller 1'!$C$2),0)</f>
        <v>12</v>
      </c>
      <c r="G483" vm="16091">
        <f>IFERROR(CUBEVALUE("BIDB",$A483,G$3,G$2,'Præsentationstabeller 1'!$C$2),0)</f>
        <v>45</v>
      </c>
      <c r="H483" t="str" vm="9758">
        <f>IFERROR(CUBEVALUE("BIDB",$A483,H$3,H$2,'Præsentationstabeller 1'!$C$2),0)</f>
        <v/>
      </c>
      <c r="I483" vm="12325">
        <f>IFERROR(CUBEVALUE("BIDB",$A483,I$3,I$2,'Præsentationstabeller 1'!$C$2),0)</f>
        <v>1</v>
      </c>
      <c r="J483" vm="11689">
        <f>IFERROR(CUBEVALUE("BIDB",$A483,J$3,J$2,'Præsentationstabeller 1'!$C$2),0)</f>
        <v>2</v>
      </c>
      <c r="K483" t="str" vm="7847">
        <f>IFERROR(CUBEVALUE("BIDB",$A483,K$3,K$2,'Præsentationstabeller 1'!$C$2),0)</f>
        <v/>
      </c>
      <c r="L483" vm="13739">
        <f>IFERROR(CUBEVALUE("BIDB",$A483,L$3,L$2,'Præsentationstabeller 1'!$C$2),0)</f>
        <v>2</v>
      </c>
    </row>
    <row r="484" spans="1:12" x14ac:dyDescent="0.3">
      <c r="A484" s="123" t="str" vm="852">
        <f>CUBEMEMBER("BIDB","[Dimittenddato].[Dimittenddato].&amp;[2012-06-21T00:00:00]")</f>
        <v>21-06-2012</v>
      </c>
      <c r="B484" t="str" vm="8509">
        <f>IFERROR(CUBEVALUE("BIDB",$A484,B$3,'Præsentationstabeller 1'!$C$2),0)</f>
        <v/>
      </c>
      <c r="C484" t="str" vm="9367">
        <f>IFERROR(CUBEVALUE("BIDB",$A484,C$3,C$2,'Præsentationstabeller 1'!$C$2),0)</f>
        <v/>
      </c>
      <c r="D484" vm="11018">
        <f>IFERROR(CUBEVALUE("BIDB",$A484,D$3,D$2,'Præsentationstabeller 1'!$C$2),0)</f>
        <v>1</v>
      </c>
      <c r="E484" vm="12596">
        <f>IFERROR(CUBEVALUE("BIDB",$A484,E$3,E$2,'Præsentationstabeller 1'!$C$2),0)</f>
        <v>15</v>
      </c>
      <c r="F484" vm="9653">
        <f>IFERROR(CUBEVALUE("BIDB",$A484,F$3,F$2,'Præsentationstabeller 1'!$C$2),0)</f>
        <v>8</v>
      </c>
      <c r="G484" vm="9008">
        <f>IFERROR(CUBEVALUE("BIDB",$A484,G$3,G$2,'Præsentationstabeller 1'!$C$2),0)</f>
        <v>23</v>
      </c>
      <c r="H484" t="str" vm="13233">
        <f>IFERROR(CUBEVALUE("BIDB",$A484,H$3,H$2,'Præsentationstabeller 1'!$C$2),0)</f>
        <v/>
      </c>
      <c r="I484" t="str" vm="16559">
        <f>IFERROR(CUBEVALUE("BIDB",$A484,I$3,I$2,'Præsentationstabeller 1'!$C$2),0)</f>
        <v/>
      </c>
      <c r="J484" vm="11174">
        <f>IFERROR(CUBEVALUE("BIDB",$A484,J$3,J$2,'Præsentationstabeller 1'!$C$2),0)</f>
        <v>0.8</v>
      </c>
      <c r="K484" t="str" vm="16860">
        <f>IFERROR(CUBEVALUE("BIDB",$A484,K$3,K$2,'Præsentationstabeller 1'!$C$2),0)</f>
        <v/>
      </c>
      <c r="L484" vm="10160">
        <f>IFERROR(CUBEVALUE("BIDB",$A484,L$3,L$2,'Præsentationstabeller 1'!$C$2),0)</f>
        <v>0.8</v>
      </c>
    </row>
    <row r="485" spans="1:12" x14ac:dyDescent="0.3">
      <c r="A485" s="123" t="str" vm="851">
        <f>CUBEMEMBER("BIDB","[Dimittenddato].[Dimittenddato].&amp;[2012-06-22T00:00:00]")</f>
        <v>22-06-2012</v>
      </c>
      <c r="B485" t="str" vm="16044">
        <f>IFERROR(CUBEVALUE("BIDB",$A485,B$3,'Præsentationstabeller 1'!$C$2),0)</f>
        <v/>
      </c>
      <c r="C485" t="str" vm="8162">
        <f>IFERROR(CUBEVALUE("BIDB",$A485,C$3,C$2,'Præsentationstabeller 1'!$C$2),0)</f>
        <v/>
      </c>
      <c r="D485" vm="15910">
        <f>IFERROR(CUBEVALUE("BIDB",$A485,D$3,D$2,'Præsentationstabeller 1'!$C$2),0)</f>
        <v>17</v>
      </c>
      <c r="E485" vm="13229">
        <f>IFERROR(CUBEVALUE("BIDB",$A485,E$3,E$2,'Præsentationstabeller 1'!$C$2),0)</f>
        <v>41</v>
      </c>
      <c r="F485" vm="9808">
        <f>IFERROR(CUBEVALUE("BIDB",$A485,F$3,F$2,'Præsentationstabeller 1'!$C$2),0)</f>
        <v>17</v>
      </c>
      <c r="G485" vm="10494">
        <f>IFERROR(CUBEVALUE("BIDB",$A485,G$3,G$2,'Præsentationstabeller 1'!$C$2),0)</f>
        <v>58</v>
      </c>
      <c r="H485" t="str" vm="13221">
        <f>IFERROR(CUBEVALUE("BIDB",$A485,H$3,H$2,'Præsentationstabeller 1'!$C$2),0)</f>
        <v/>
      </c>
      <c r="I485" t="str" vm="8905">
        <f>IFERROR(CUBEVALUE("BIDB",$A485,I$3,I$2,'Præsentationstabeller 1'!$C$2),0)</f>
        <v/>
      </c>
      <c r="J485" vm="10481">
        <f>IFERROR(CUBEVALUE("BIDB",$A485,J$3,J$2,'Præsentationstabeller 1'!$C$2),0)</f>
        <v>0.52</v>
      </c>
      <c r="K485" t="str" vm="12218">
        <f>IFERROR(CUBEVALUE("BIDB",$A485,K$3,K$2,'Præsentationstabeller 1'!$C$2),0)</f>
        <v/>
      </c>
      <c r="L485" vm="11801">
        <f>IFERROR(CUBEVALUE("BIDB",$A485,L$3,L$2,'Præsentationstabeller 1'!$C$2),0)</f>
        <v>0.52</v>
      </c>
    </row>
    <row r="486" spans="1:12" x14ac:dyDescent="0.3">
      <c r="A486" s="123" t="str" vm="850">
        <f>CUBEMEMBER("BIDB","[Dimittenddato].[Dimittenddato].&amp;[2012-06-23T00:00:00]")</f>
        <v>23-06-2012</v>
      </c>
      <c r="B486" t="str" vm="10563">
        <f>IFERROR(CUBEVALUE("BIDB",$A486,B$3,'Præsentationstabeller 1'!$C$2),0)</f>
        <v/>
      </c>
      <c r="C486" t="str" vm="15229">
        <f>IFERROR(CUBEVALUE("BIDB",$A486,C$3,C$2,'Præsentationstabeller 1'!$C$2),0)</f>
        <v/>
      </c>
      <c r="D486" t="str" vm="7230">
        <f>IFERROR(CUBEVALUE("BIDB",$A486,D$3,D$2,'Præsentationstabeller 1'!$C$2),0)</f>
        <v/>
      </c>
      <c r="E486" t="str" vm="8059">
        <f>IFERROR(CUBEVALUE("BIDB",$A486,E$3,E$2,'Præsentationstabeller 1'!$C$2),0)</f>
        <v/>
      </c>
      <c r="F486" vm="11987">
        <f>IFERROR(CUBEVALUE("BIDB",$A486,F$3,F$2,'Præsentationstabeller 1'!$C$2),0)</f>
        <v>0</v>
      </c>
      <c r="G486" vm="10117">
        <f>IFERROR(CUBEVALUE("BIDB",$A486,G$3,G$2,'Præsentationstabeller 1'!$C$2),0)</f>
        <v>0</v>
      </c>
      <c r="H486" t="str" vm="9175">
        <f>IFERROR(CUBEVALUE("BIDB",$A486,H$3,H$2,'Præsentationstabeller 1'!$C$2),0)</f>
        <v/>
      </c>
      <c r="I486" t="str" vm="12989">
        <f>IFERROR(CUBEVALUE("BIDB",$A486,I$3,I$2,'Præsentationstabeller 1'!$C$2),0)</f>
        <v/>
      </c>
      <c r="J486" t="str" vm="7978">
        <f>IFERROR(CUBEVALUE("BIDB",$A486,J$3,J$2,'Præsentationstabeller 1'!$C$2),0)</f>
        <v/>
      </c>
      <c r="K486" t="str" vm="13203">
        <f>IFERROR(CUBEVALUE("BIDB",$A486,K$3,K$2,'Præsentationstabeller 1'!$C$2),0)</f>
        <v/>
      </c>
      <c r="L486" t="str" vm="10711">
        <f>IFERROR(CUBEVALUE("BIDB",$A486,L$3,L$2,'Præsentationstabeller 1'!$C$2),0)</f>
        <v/>
      </c>
    </row>
    <row r="487" spans="1:12" x14ac:dyDescent="0.3">
      <c r="A487" s="123" t="str" vm="849">
        <f>CUBEMEMBER("BIDB","[Dimittenddato].[Dimittenddato].&amp;[2012-06-24T00:00:00]")</f>
        <v>24-06-2012</v>
      </c>
      <c r="B487" t="str" vm="8074">
        <f>IFERROR(CUBEVALUE("BIDB",$A487,B$3,'Præsentationstabeller 1'!$C$2),0)</f>
        <v/>
      </c>
      <c r="C487" t="str" vm="9464">
        <f>IFERROR(CUBEVALUE("BIDB",$A487,C$3,C$2,'Præsentationstabeller 1'!$C$2),0)</f>
        <v/>
      </c>
      <c r="D487" t="str" vm="9284">
        <f>IFERROR(CUBEVALUE("BIDB",$A487,D$3,D$2,'Præsentationstabeller 1'!$C$2),0)</f>
        <v/>
      </c>
      <c r="E487" t="str" vm="16965">
        <f>IFERROR(CUBEVALUE("BIDB",$A487,E$3,E$2,'Præsentationstabeller 1'!$C$2),0)</f>
        <v/>
      </c>
      <c r="F487" t="str" vm="8620">
        <f>IFERROR(CUBEVALUE("BIDB",$A487,F$3,F$2,'Præsentationstabeller 1'!$C$2),0)</f>
        <v/>
      </c>
      <c r="G487" t="str" vm="10233">
        <f>IFERROR(CUBEVALUE("BIDB",$A487,G$3,G$2,'Præsentationstabeller 1'!$C$2),0)</f>
        <v/>
      </c>
      <c r="H487" t="str" vm="12269">
        <f>IFERROR(CUBEVALUE("BIDB",$A487,H$3,H$2,'Præsentationstabeller 1'!$C$2),0)</f>
        <v/>
      </c>
      <c r="I487" t="str" vm="6325">
        <f>IFERROR(CUBEVALUE("BIDB",$A487,I$3,I$2,'Præsentationstabeller 1'!$C$2),0)</f>
        <v/>
      </c>
      <c r="J487" t="str" vm="13213">
        <f>IFERROR(CUBEVALUE("BIDB",$A487,J$3,J$2,'Præsentationstabeller 1'!$C$2),0)</f>
        <v/>
      </c>
      <c r="K487" t="str" vm="8545">
        <f>IFERROR(CUBEVALUE("BIDB",$A487,K$3,K$2,'Præsentationstabeller 1'!$C$2),0)</f>
        <v/>
      </c>
      <c r="L487" t="str" vm="13593">
        <f>IFERROR(CUBEVALUE("BIDB",$A487,L$3,L$2,'Præsentationstabeller 1'!$C$2),0)</f>
        <v/>
      </c>
    </row>
    <row r="488" spans="1:12" x14ac:dyDescent="0.3">
      <c r="A488" s="123" t="str" vm="848">
        <f>CUBEMEMBER("BIDB","[Dimittenddato].[Dimittenddato].&amp;[2012-06-25T00:00:00]")</f>
        <v>25-06-2012</v>
      </c>
      <c r="B488" t="str" vm="8442">
        <f>IFERROR(CUBEVALUE("BIDB",$A488,B$3,'Præsentationstabeller 1'!$C$2),0)</f>
        <v/>
      </c>
      <c r="C488" vm="14310">
        <f>IFERROR(CUBEVALUE("BIDB",$A488,C$3,C$2,'Præsentationstabeller 1'!$C$2),0)</f>
        <v>1</v>
      </c>
      <c r="D488" vm="10698">
        <f>IFERROR(CUBEVALUE("BIDB",$A488,D$3,D$2,'Præsentationstabeller 1'!$C$2),0)</f>
        <v>3</v>
      </c>
      <c r="E488" vm="11844">
        <f>IFERROR(CUBEVALUE("BIDB",$A488,E$3,E$2,'Præsentationstabeller 1'!$C$2),0)</f>
        <v>36</v>
      </c>
      <c r="F488" vm="10400">
        <f>IFERROR(CUBEVALUE("BIDB",$A488,F$3,F$2,'Præsentationstabeller 1'!$C$2),0)</f>
        <v>14</v>
      </c>
      <c r="G488" vm="15488">
        <f>IFERROR(CUBEVALUE("BIDB",$A488,G$3,G$2,'Præsentationstabeller 1'!$C$2),0)</f>
        <v>50</v>
      </c>
      <c r="H488" t="str" vm="14249">
        <f>IFERROR(CUBEVALUE("BIDB",$A488,H$3,H$2,'Præsentationstabeller 1'!$C$2),0)</f>
        <v/>
      </c>
      <c r="I488" t="str" vm="7956">
        <f>IFERROR(CUBEVALUE("BIDB",$A488,I$3,I$2,'Præsentationstabeller 1'!$C$2),0)</f>
        <v/>
      </c>
      <c r="J488" t="str" vm="9353">
        <f>IFERROR(CUBEVALUE("BIDB",$A488,J$3,J$2,'Præsentationstabeller 1'!$C$2),0)</f>
        <v/>
      </c>
      <c r="K488" vm="13584">
        <f>IFERROR(CUBEVALUE("BIDB",$A488,K$3,K$2,'Præsentationstabeller 1'!$C$2),0)</f>
        <v>1</v>
      </c>
      <c r="L488" vm="6577">
        <f>IFERROR(CUBEVALUE("BIDB",$A488,L$3,L$2,'Præsentationstabeller 1'!$C$2),0)</f>
        <v>1</v>
      </c>
    </row>
    <row r="489" spans="1:12" x14ac:dyDescent="0.3">
      <c r="A489" s="123" t="str" vm="847">
        <f>CUBEMEMBER("BIDB","[Dimittenddato].[Dimittenddato].&amp;[2012-06-26T00:00:00]")</f>
        <v>26-06-2012</v>
      </c>
      <c r="B489" t="str" vm="7358">
        <f>IFERROR(CUBEVALUE("BIDB",$A489,B$3,'Præsentationstabeller 1'!$C$2),0)</f>
        <v/>
      </c>
      <c r="C489" vm="7844">
        <f>IFERROR(CUBEVALUE("BIDB",$A489,C$3,C$2,'Præsentationstabeller 1'!$C$2),0)</f>
        <v>1</v>
      </c>
      <c r="D489" vm="10057">
        <f>IFERROR(CUBEVALUE("BIDB",$A489,D$3,D$2,'Præsentationstabeller 1'!$C$2),0)</f>
        <v>11</v>
      </c>
      <c r="E489" vm="16073">
        <f>IFERROR(CUBEVALUE("BIDB",$A489,E$3,E$2,'Præsentationstabeller 1'!$C$2),0)</f>
        <v>33</v>
      </c>
      <c r="F489" vm="7971">
        <f>IFERROR(CUBEVALUE("BIDB",$A489,F$3,F$2,'Præsentationstabeller 1'!$C$2),0)</f>
        <v>11</v>
      </c>
      <c r="G489" vm="13590">
        <f>IFERROR(CUBEVALUE("BIDB",$A489,G$3,G$2,'Præsentationstabeller 1'!$C$2),0)</f>
        <v>44</v>
      </c>
      <c r="H489" t="str" vm="7876">
        <f>IFERROR(CUBEVALUE("BIDB",$A489,H$3,H$2,'Præsentationstabeller 1'!$C$2),0)</f>
        <v/>
      </c>
      <c r="I489" t="str" vm="9845">
        <f>IFERROR(CUBEVALUE("BIDB",$A489,I$3,I$2,'Præsentationstabeller 1'!$C$2),0)</f>
        <v/>
      </c>
      <c r="J489" t="str" vm="10457">
        <f>IFERROR(CUBEVALUE("BIDB",$A489,J$3,J$2,'Præsentationstabeller 1'!$C$2),0)</f>
        <v/>
      </c>
      <c r="K489" t="str" vm="7390">
        <f>IFERROR(CUBEVALUE("BIDB",$A489,K$3,K$2,'Præsentationstabeller 1'!$C$2),0)</f>
        <v/>
      </c>
      <c r="L489" t="str" vm="12204">
        <f>IFERROR(CUBEVALUE("BIDB",$A489,L$3,L$2,'Præsentationstabeller 1'!$C$2),0)</f>
        <v/>
      </c>
    </row>
    <row r="490" spans="1:12" x14ac:dyDescent="0.3">
      <c r="A490" s="123" t="str" vm="846">
        <f>CUBEMEMBER("BIDB","[Dimittenddato].[Dimittenddato].&amp;[2012-06-27T00:00:00]")</f>
        <v>27-06-2012</v>
      </c>
      <c r="B490" t="str" vm="14024">
        <f>IFERROR(CUBEVALUE("BIDB",$A490,B$3,'Præsentationstabeller 1'!$C$2),0)</f>
        <v/>
      </c>
      <c r="C490" vm="11814">
        <f>IFERROR(CUBEVALUE("BIDB",$A490,C$3,C$2,'Præsentationstabeller 1'!$C$2),0)</f>
        <v>0</v>
      </c>
      <c r="D490" vm="10652">
        <f>IFERROR(CUBEVALUE("BIDB",$A490,D$3,D$2,'Præsentationstabeller 1'!$C$2),0)</f>
        <v>5</v>
      </c>
      <c r="E490" vm="8997">
        <f>IFERROR(CUBEVALUE("BIDB",$A490,E$3,E$2,'Præsentationstabeller 1'!$C$2),0)</f>
        <v>24</v>
      </c>
      <c r="F490" vm="7597">
        <f>IFERROR(CUBEVALUE("BIDB",$A490,F$3,F$2,'Præsentationstabeller 1'!$C$2),0)</f>
        <v>6</v>
      </c>
      <c r="G490" vm="14114">
        <f>IFERROR(CUBEVALUE("BIDB",$A490,G$3,G$2,'Præsentationstabeller 1'!$C$2),0)</f>
        <v>30</v>
      </c>
      <c r="H490" t="str" vm="12768">
        <f>IFERROR(CUBEVALUE("BIDB",$A490,H$3,H$2,'Præsentationstabeller 1'!$C$2),0)</f>
        <v/>
      </c>
      <c r="I490" t="str" vm="10537">
        <f>IFERROR(CUBEVALUE("BIDB",$A490,I$3,I$2,'Præsentationstabeller 1'!$C$2),0)</f>
        <v/>
      </c>
      <c r="J490" vm="8517">
        <f>IFERROR(CUBEVALUE("BIDB",$A490,J$3,J$2,'Præsentationstabeller 1'!$C$2),0)</f>
        <v>0.52</v>
      </c>
      <c r="K490" t="str" vm="11796">
        <f>IFERROR(CUBEVALUE("BIDB",$A490,K$3,K$2,'Præsentationstabeller 1'!$C$2),0)</f>
        <v/>
      </c>
      <c r="L490" vm="13341">
        <f>IFERROR(CUBEVALUE("BIDB",$A490,L$3,L$2,'Præsentationstabeller 1'!$C$2),0)</f>
        <v>0.52</v>
      </c>
    </row>
    <row r="491" spans="1:12" x14ac:dyDescent="0.3">
      <c r="A491" s="123" t="str" vm="845">
        <f>CUBEMEMBER("BIDB","[Dimittenddato].[Dimittenddato].&amp;[2012-06-28T00:00:00]")</f>
        <v>28-06-2012</v>
      </c>
      <c r="B491" t="str" vm="8406">
        <f>IFERROR(CUBEVALUE("BIDB",$A491,B$3,'Præsentationstabeller 1'!$C$2),0)</f>
        <v/>
      </c>
      <c r="C491" vm="9247">
        <f>IFERROR(CUBEVALUE("BIDB",$A491,C$3,C$2,'Præsentationstabeller 1'!$C$2),0)</f>
        <v>3</v>
      </c>
      <c r="D491" vm="8622">
        <f>IFERROR(CUBEVALUE("BIDB",$A491,D$3,D$2,'Præsentationstabeller 1'!$C$2),0)</f>
        <v>7</v>
      </c>
      <c r="E491" vm="14975">
        <f>IFERROR(CUBEVALUE("BIDB",$A491,E$3,E$2,'Præsentationstabeller 1'!$C$2),0)</f>
        <v>21</v>
      </c>
      <c r="F491" vm="8159">
        <f>IFERROR(CUBEVALUE("BIDB",$A491,F$3,F$2,'Præsentationstabeller 1'!$C$2),0)</f>
        <v>6</v>
      </c>
      <c r="G491" vm="11828">
        <f>IFERROR(CUBEVALUE("BIDB",$A491,G$3,G$2,'Præsentationstabeller 1'!$C$2),0)</f>
        <v>27</v>
      </c>
      <c r="H491" vm="16849">
        <f>IFERROR(CUBEVALUE("BIDB",$A491,H$3,H$2,'Præsentationstabeller 1'!$C$2),0)</f>
        <v>1</v>
      </c>
      <c r="I491" vm="13325">
        <f>IFERROR(CUBEVALUE("BIDB",$A491,I$3,I$2,'Præsentationstabeller 1'!$C$2),0)</f>
        <v>2</v>
      </c>
      <c r="J491" t="str" vm="15643">
        <f>IFERROR(CUBEVALUE("BIDB",$A491,J$3,J$2,'Præsentationstabeller 1'!$C$2),0)</f>
        <v/>
      </c>
      <c r="K491" vm="15533">
        <f>IFERROR(CUBEVALUE("BIDB",$A491,K$3,K$2,'Præsentationstabeller 1'!$C$2),0)</f>
        <v>1</v>
      </c>
      <c r="L491" vm="10507">
        <f>IFERROR(CUBEVALUE("BIDB",$A491,L$3,L$2,'Præsentationstabeller 1'!$C$2),0)</f>
        <v>1</v>
      </c>
    </row>
    <row r="492" spans="1:12" x14ac:dyDescent="0.3">
      <c r="A492" s="123" t="str" vm="844">
        <f>CUBEMEMBER("BIDB","[Dimittenddato].[Dimittenddato].&amp;[2012-06-29T00:00:00]")</f>
        <v>29-06-2012</v>
      </c>
      <c r="B492" t="str" vm="8466">
        <f>IFERROR(CUBEVALUE("BIDB",$A492,B$3,'Præsentationstabeller 1'!$C$2),0)</f>
        <v/>
      </c>
      <c r="C492" vm="11459">
        <f>IFERROR(CUBEVALUE("BIDB",$A492,C$3,C$2,'Præsentationstabeller 1'!$C$2),0)</f>
        <v>3</v>
      </c>
      <c r="D492" vm="10489">
        <f>IFERROR(CUBEVALUE("BIDB",$A492,D$3,D$2,'Præsentationstabeller 1'!$C$2),0)</f>
        <v>8</v>
      </c>
      <c r="E492" vm="9297">
        <f>IFERROR(CUBEVALUE("BIDB",$A492,E$3,E$2,'Præsentationstabeller 1'!$C$2),0)</f>
        <v>21</v>
      </c>
      <c r="F492" vm="7673">
        <f>IFERROR(CUBEVALUE("BIDB",$A492,F$3,F$2,'Præsentationstabeller 1'!$C$2),0)</f>
        <v>18</v>
      </c>
      <c r="G492" vm="7227">
        <f>IFERROR(CUBEVALUE("BIDB",$A492,G$3,G$2,'Præsentationstabeller 1'!$C$2),0)</f>
        <v>39</v>
      </c>
      <c r="H492" vm="10854">
        <f>IFERROR(CUBEVALUE("BIDB",$A492,H$3,H$2,'Præsentationstabeller 1'!$C$2),0)</f>
        <v>1</v>
      </c>
      <c r="I492" t="str" vm="9271">
        <f>IFERROR(CUBEVALUE("BIDB",$A492,I$3,I$2,'Præsentationstabeller 1'!$C$2),0)</f>
        <v/>
      </c>
      <c r="J492" t="str" vm="12975">
        <f>IFERROR(CUBEVALUE("BIDB",$A492,J$3,J$2,'Præsentationstabeller 1'!$C$2),0)</f>
        <v/>
      </c>
      <c r="K492" t="str" vm="12605">
        <f>IFERROR(CUBEVALUE("BIDB",$A492,K$3,K$2,'Præsentationstabeller 1'!$C$2),0)</f>
        <v/>
      </c>
      <c r="L492" t="str" vm="8414">
        <f>IFERROR(CUBEVALUE("BIDB",$A492,L$3,L$2,'Præsentationstabeller 1'!$C$2),0)</f>
        <v/>
      </c>
    </row>
    <row r="493" spans="1:12" x14ac:dyDescent="0.3">
      <c r="A493" s="123" t="str" vm="843">
        <f>CUBEMEMBER("BIDB","[Dimittenddato].[Dimittenddato].&amp;[2012-06-30T00:00:00]")</f>
        <v>30-06-2012</v>
      </c>
      <c r="B493" t="str" vm="16018">
        <f>IFERROR(CUBEVALUE("BIDB",$A493,B$3,'Præsentationstabeller 1'!$C$2),0)</f>
        <v/>
      </c>
      <c r="C493" vm="10645">
        <f>IFERROR(CUBEVALUE("BIDB",$A493,C$3,C$2,'Præsentationstabeller 1'!$C$2),0)</f>
        <v>1</v>
      </c>
      <c r="D493" vm="8519">
        <f>IFERROR(CUBEVALUE("BIDB",$A493,D$3,D$2,'Præsentationstabeller 1'!$C$2),0)</f>
        <v>0</v>
      </c>
      <c r="E493" vm="10914">
        <f>IFERROR(CUBEVALUE("BIDB",$A493,E$3,E$2,'Præsentationstabeller 1'!$C$2),0)</f>
        <v>10</v>
      </c>
      <c r="F493" vm="8696">
        <f>IFERROR(CUBEVALUE("BIDB",$A493,F$3,F$2,'Præsentationstabeller 1'!$C$2),0)</f>
        <v>14</v>
      </c>
      <c r="G493" vm="10200">
        <f>IFERROR(CUBEVALUE("BIDB",$A493,G$3,G$2,'Præsentationstabeller 1'!$C$2),0)</f>
        <v>24</v>
      </c>
      <c r="H493" t="str" vm="8056">
        <f>IFERROR(CUBEVALUE("BIDB",$A493,H$3,H$2,'Præsentationstabeller 1'!$C$2),0)</f>
        <v/>
      </c>
      <c r="I493" t="str" vm="6322">
        <f>IFERROR(CUBEVALUE("BIDB",$A493,I$3,I$2,'Præsentationstabeller 1'!$C$2),0)</f>
        <v/>
      </c>
      <c r="J493" vm="10689">
        <f>IFERROR(CUBEVALUE("BIDB",$A493,J$3,J$2,'Præsentationstabeller 1'!$C$2),0)</f>
        <v>0.44000000000000006</v>
      </c>
      <c r="K493" t="str" vm="10521">
        <f>IFERROR(CUBEVALUE("BIDB",$A493,K$3,K$2,'Præsentationstabeller 1'!$C$2),0)</f>
        <v/>
      </c>
      <c r="L493" vm="7494">
        <f>IFERROR(CUBEVALUE("BIDB",$A493,L$3,L$2,'Præsentationstabeller 1'!$C$2),0)</f>
        <v>0.44000000000000006</v>
      </c>
    </row>
    <row r="494" spans="1:12" x14ac:dyDescent="0.3">
      <c r="A494" s="123" t="str" vm="842">
        <f>CUBEMEMBER("BIDB","[Dimittenddato].[Dimittenddato].&amp;[2012-07-01T00:00:00]")</f>
        <v>01-07-2012</v>
      </c>
      <c r="B494" t="str" vm="14468">
        <f>IFERROR(CUBEVALUE("BIDB",$A494,B$3,'Præsentationstabeller 1'!$C$2),0)</f>
        <v/>
      </c>
      <c r="C494" t="str" vm="11289">
        <f>IFERROR(CUBEVALUE("BIDB",$A494,C$3,C$2,'Præsentationstabeller 1'!$C$2),0)</f>
        <v/>
      </c>
      <c r="D494" vm="13282">
        <f>IFERROR(CUBEVALUE("BIDB",$A494,D$3,D$2,'Præsentationstabeller 1'!$C$2),0)</f>
        <v>2</v>
      </c>
      <c r="E494" vm="7387">
        <f>IFERROR(CUBEVALUE("BIDB",$A494,E$3,E$2,'Præsentationstabeller 1'!$C$2),0)</f>
        <v>12</v>
      </c>
      <c r="F494" vm="7570">
        <f>IFERROR(CUBEVALUE("BIDB",$A494,F$3,F$2,'Præsentationstabeller 1'!$C$2),0)</f>
        <v>2</v>
      </c>
      <c r="G494" vm="10070">
        <f>IFERROR(CUBEVALUE("BIDB",$A494,G$3,G$2,'Præsentationstabeller 1'!$C$2),0)</f>
        <v>14</v>
      </c>
      <c r="H494" t="str" vm="12701">
        <f>IFERROR(CUBEVALUE("BIDB",$A494,H$3,H$2,'Præsentationstabeller 1'!$C$2),0)</f>
        <v/>
      </c>
      <c r="I494" t="str" vm="11758">
        <f>IFERROR(CUBEVALUE("BIDB",$A494,I$3,I$2,'Præsentationstabeller 1'!$C$2),0)</f>
        <v/>
      </c>
      <c r="J494" t="str" vm="7953">
        <f>IFERROR(CUBEVALUE("BIDB",$A494,J$3,J$2,'Præsentationstabeller 1'!$C$2),0)</f>
        <v/>
      </c>
      <c r="K494" t="str" vm="10135">
        <f>IFERROR(CUBEVALUE("BIDB",$A494,K$3,K$2,'Præsentationstabeller 1'!$C$2),0)</f>
        <v/>
      </c>
      <c r="L494" t="str" vm="12943">
        <f>IFERROR(CUBEVALUE("BIDB",$A494,L$3,L$2,'Præsentationstabeller 1'!$C$2),0)</f>
        <v/>
      </c>
    </row>
    <row r="495" spans="1:12" x14ac:dyDescent="0.3">
      <c r="A495" s="123" t="str" vm="841">
        <f>CUBEMEMBER("BIDB","[Dimittenddato].[Dimittenddato].&amp;[2012-07-02T00:00:00]")</f>
        <v>02-07-2012</v>
      </c>
      <c r="B495" t="str" vm="13641">
        <f>IFERROR(CUBEVALUE("BIDB",$A495,B$3,'Præsentationstabeller 1'!$C$2),0)</f>
        <v/>
      </c>
      <c r="C495" vm="7585">
        <f>IFERROR(CUBEVALUE("BIDB",$A495,C$3,C$2,'Præsentationstabeller 1'!$C$2),0)</f>
        <v>2</v>
      </c>
      <c r="D495" t="str" vm="10261">
        <f>IFERROR(CUBEVALUE("BIDB",$A495,D$3,D$2,'Præsentationstabeller 1'!$C$2),0)</f>
        <v/>
      </c>
      <c r="E495" vm="10964">
        <f>IFERROR(CUBEVALUE("BIDB",$A495,E$3,E$2,'Præsentationstabeller 1'!$C$2),0)</f>
        <v>6</v>
      </c>
      <c r="F495" t="str" vm="12306">
        <f>IFERROR(CUBEVALUE("BIDB",$A495,F$3,F$2,'Præsentationstabeller 1'!$C$2),0)</f>
        <v/>
      </c>
      <c r="G495" vm="10663">
        <f>IFERROR(CUBEVALUE("BIDB",$A495,G$3,G$2,'Præsentationstabeller 1'!$C$2),0)</f>
        <v>6</v>
      </c>
      <c r="H495" t="str" vm="8416">
        <f>IFERROR(CUBEVALUE("BIDB",$A495,H$3,H$2,'Præsentationstabeller 1'!$C$2),0)</f>
        <v/>
      </c>
      <c r="I495" t="str" vm="16827">
        <f>IFERROR(CUBEVALUE("BIDB",$A495,I$3,I$2,'Præsentationstabeller 1'!$C$2),0)</f>
        <v/>
      </c>
      <c r="J495" t="str" vm="7088">
        <f>IFERROR(CUBEVALUE("BIDB",$A495,J$3,J$2,'Præsentationstabeller 1'!$C$2),0)</f>
        <v/>
      </c>
      <c r="K495" t="str" vm="7355">
        <f>IFERROR(CUBEVALUE("BIDB",$A495,K$3,K$2,'Præsentationstabeller 1'!$C$2),0)</f>
        <v/>
      </c>
      <c r="L495" t="str" vm="10001">
        <f>IFERROR(CUBEVALUE("BIDB",$A495,L$3,L$2,'Præsentationstabeller 1'!$C$2),0)</f>
        <v/>
      </c>
    </row>
    <row r="496" spans="1:12" x14ac:dyDescent="0.3">
      <c r="A496" s="123" t="str" vm="840">
        <f>CUBEMEMBER("BIDB","[Dimittenddato].[Dimittenddato].&amp;[2012-07-03T00:00:00]")</f>
        <v>03-07-2012</v>
      </c>
      <c r="B496" t="str" vm="8894">
        <f>IFERROR(CUBEVALUE("BIDB",$A496,B$3,'Præsentationstabeller 1'!$C$2),0)</f>
        <v/>
      </c>
      <c r="C496" t="str" vm="14421">
        <f>IFERROR(CUBEVALUE("BIDB",$A496,C$3,C$2,'Præsentationstabeller 1'!$C$2),0)</f>
        <v/>
      </c>
      <c r="D496" vm="14258">
        <f>IFERROR(CUBEVALUE("BIDB",$A496,D$3,D$2,'Præsentationstabeller 1'!$C$2),0)</f>
        <v>1</v>
      </c>
      <c r="E496" vm="13538">
        <f>IFERROR(CUBEVALUE("BIDB",$A496,E$3,E$2,'Præsentationstabeller 1'!$C$2),0)</f>
        <v>3</v>
      </c>
      <c r="F496" t="str" vm="12489">
        <f>IFERROR(CUBEVALUE("BIDB",$A496,F$3,F$2,'Præsentationstabeller 1'!$C$2),0)</f>
        <v/>
      </c>
      <c r="G496" vm="8131">
        <f>IFERROR(CUBEVALUE("BIDB",$A496,G$3,G$2,'Præsentationstabeller 1'!$C$2),0)</f>
        <v>3</v>
      </c>
      <c r="H496" t="str" vm="14462">
        <f>IFERROR(CUBEVALUE("BIDB",$A496,H$3,H$2,'Præsentationstabeller 1'!$C$2),0)</f>
        <v/>
      </c>
      <c r="I496" t="str" vm="11445">
        <f>IFERROR(CUBEVALUE("BIDB",$A496,I$3,I$2,'Præsentationstabeller 1'!$C$2),0)</f>
        <v/>
      </c>
      <c r="J496" t="str" vm="7467">
        <f>IFERROR(CUBEVALUE("BIDB",$A496,J$3,J$2,'Præsentationstabeller 1'!$C$2),0)</f>
        <v/>
      </c>
      <c r="K496" t="str" vm="10867">
        <f>IFERROR(CUBEVALUE("BIDB",$A496,K$3,K$2,'Præsentationstabeller 1'!$C$2),0)</f>
        <v/>
      </c>
      <c r="L496" t="str" vm="12963">
        <f>IFERROR(CUBEVALUE("BIDB",$A496,L$3,L$2,'Præsentationstabeller 1'!$C$2),0)</f>
        <v/>
      </c>
    </row>
    <row r="497" spans="1:12" x14ac:dyDescent="0.3">
      <c r="A497" s="123" t="str" vm="839">
        <f>CUBEMEMBER("BIDB","[Dimittenddato].[Dimittenddato].&amp;[2012-07-04T00:00:00]")</f>
        <v>04-07-2012</v>
      </c>
      <c r="B497" t="str" vm="11413">
        <f>IFERROR(CUBEVALUE("BIDB",$A497,B$3,'Præsentationstabeller 1'!$C$2),0)</f>
        <v/>
      </c>
      <c r="C497" t="str" vm="7670">
        <f>IFERROR(CUBEVALUE("BIDB",$A497,C$3,C$2,'Præsentationstabeller 1'!$C$2),0)</f>
        <v/>
      </c>
      <c r="D497" vm="14466">
        <f>IFERROR(CUBEVALUE("BIDB",$A497,D$3,D$2,'Præsentationstabeller 1'!$C$2),0)</f>
        <v>1</v>
      </c>
      <c r="E497" vm="10798">
        <f>IFERROR(CUBEVALUE("BIDB",$A497,E$3,E$2,'Præsentationstabeller 1'!$C$2),0)</f>
        <v>4</v>
      </c>
      <c r="F497" vm="14653">
        <f>IFERROR(CUBEVALUE("BIDB",$A497,F$3,F$2,'Præsentationstabeller 1'!$C$2),0)</f>
        <v>1</v>
      </c>
      <c r="G497" vm="7482">
        <f>IFERROR(CUBEVALUE("BIDB",$A497,G$3,G$2,'Præsentationstabeller 1'!$C$2),0)</f>
        <v>5</v>
      </c>
      <c r="H497" t="str" vm="10999">
        <f>IFERROR(CUBEVALUE("BIDB",$A497,H$3,H$2,'Præsentationstabeller 1'!$C$2),0)</f>
        <v/>
      </c>
      <c r="I497" t="str" vm="8028">
        <f>IFERROR(CUBEVALUE("BIDB",$A497,I$3,I$2,'Præsentationstabeller 1'!$C$2),0)</f>
        <v/>
      </c>
      <c r="J497" vm="8824">
        <f>IFERROR(CUBEVALUE("BIDB",$A497,J$3,J$2,'Præsentationstabeller 1'!$C$2),0)</f>
        <v>1</v>
      </c>
      <c r="K497" t="str" vm="12455">
        <f>IFERROR(CUBEVALUE("BIDB",$A497,K$3,K$2,'Præsentationstabeller 1'!$C$2),0)</f>
        <v/>
      </c>
      <c r="L497" vm="8856">
        <f>IFERROR(CUBEVALUE("BIDB",$A497,L$3,L$2,'Præsentationstabeller 1'!$C$2),0)</f>
        <v>1</v>
      </c>
    </row>
    <row r="498" spans="1:12" x14ac:dyDescent="0.3">
      <c r="A498" s="123" t="str" vm="838">
        <f>CUBEMEMBER("BIDB","[Dimittenddato].[Dimittenddato].&amp;[2012-07-05T00:00:00]")</f>
        <v>05-07-2012</v>
      </c>
      <c r="B498" t="str" vm="10014">
        <f>IFERROR(CUBEVALUE("BIDB",$A498,B$3,'Præsentationstabeller 1'!$C$2),0)</f>
        <v/>
      </c>
      <c r="C498" t="str" vm="9443">
        <f>IFERROR(CUBEVALUE("BIDB",$A498,C$3,C$2,'Præsentationstabeller 1'!$C$2),0)</f>
        <v/>
      </c>
      <c r="D498" t="str" vm="8693">
        <f>IFERROR(CUBEVALUE("BIDB",$A498,D$3,D$2,'Præsentationstabeller 1'!$C$2),0)</f>
        <v/>
      </c>
      <c r="E498" vm="7567">
        <f>IFERROR(CUBEVALUE("BIDB",$A498,E$3,E$2,'Præsentationstabeller 1'!$C$2),0)</f>
        <v>8</v>
      </c>
      <c r="F498" vm="9327">
        <f>IFERROR(CUBEVALUE("BIDB",$A498,F$3,F$2,'Præsentationstabeller 1'!$C$2),0)</f>
        <v>2</v>
      </c>
      <c r="G498" vm="9166">
        <f>IFERROR(CUBEVALUE("BIDB",$A498,G$3,G$2,'Præsentationstabeller 1'!$C$2),0)</f>
        <v>10</v>
      </c>
      <c r="H498" t="str" vm="16098">
        <f>IFERROR(CUBEVALUE("BIDB",$A498,H$3,H$2,'Præsentationstabeller 1'!$C$2),0)</f>
        <v/>
      </c>
      <c r="I498" t="str" vm="12879">
        <f>IFERROR(CUBEVALUE("BIDB",$A498,I$3,I$2,'Præsentationstabeller 1'!$C$2),0)</f>
        <v/>
      </c>
      <c r="J498" t="str" vm="10658">
        <f>IFERROR(CUBEVALUE("BIDB",$A498,J$3,J$2,'Præsentationstabeller 1'!$C$2),0)</f>
        <v/>
      </c>
      <c r="K498" t="str" vm="11302">
        <f>IFERROR(CUBEVALUE("BIDB",$A498,K$3,K$2,'Præsentationstabeller 1'!$C$2),0)</f>
        <v/>
      </c>
      <c r="L498" t="str" vm="12477">
        <f>IFERROR(CUBEVALUE("BIDB",$A498,L$3,L$2,'Præsentationstabeller 1'!$C$2),0)</f>
        <v/>
      </c>
    </row>
    <row r="499" spans="1:12" x14ac:dyDescent="0.3">
      <c r="A499" s="123" t="str" vm="837">
        <f>CUBEMEMBER("BIDB","[Dimittenddato].[Dimittenddato].&amp;[2012-07-06T00:00:00]")</f>
        <v>06-07-2012</v>
      </c>
      <c r="B499" t="str" vm="15189">
        <f>IFERROR(CUBEVALUE("BIDB",$A499,B$3,'Præsentationstabeller 1'!$C$2),0)</f>
        <v/>
      </c>
      <c r="C499" t="str" vm="10643">
        <f>IFERROR(CUBEVALUE("BIDB",$A499,C$3,C$2,'Præsentationstabeller 1'!$C$2),0)</f>
        <v/>
      </c>
      <c r="D499" vm="9964">
        <f>IFERROR(CUBEVALUE("BIDB",$A499,D$3,D$2,'Præsentationstabeller 1'!$C$2),0)</f>
        <v>2</v>
      </c>
      <c r="E499" vm="9279">
        <f>IFERROR(CUBEVALUE("BIDB",$A499,E$3,E$2,'Præsentationstabeller 1'!$C$2),0)</f>
        <v>6</v>
      </c>
      <c r="F499" vm="7085">
        <f>IFERROR(CUBEVALUE("BIDB",$A499,F$3,F$2,'Præsentationstabeller 1'!$C$2),0)</f>
        <v>1</v>
      </c>
      <c r="G499" vm="10961">
        <f>IFERROR(CUBEVALUE("BIDB",$A499,G$3,G$2,'Præsentationstabeller 1'!$C$2),0)</f>
        <v>7</v>
      </c>
      <c r="H499" t="str" vm="12485">
        <f>IFERROR(CUBEVALUE("BIDB",$A499,H$3,H$2,'Præsentationstabeller 1'!$C$2),0)</f>
        <v/>
      </c>
      <c r="I499" t="str" vm="9546">
        <f>IFERROR(CUBEVALUE("BIDB",$A499,I$3,I$2,'Præsentationstabeller 1'!$C$2),0)</f>
        <v/>
      </c>
      <c r="J499" t="str" vm="16362">
        <f>IFERROR(CUBEVALUE("BIDB",$A499,J$3,J$2,'Præsentationstabeller 1'!$C$2),0)</f>
        <v/>
      </c>
      <c r="K499" t="str" vm="7925">
        <f>IFERROR(CUBEVALUE("BIDB",$A499,K$3,K$2,'Præsentationstabeller 1'!$C$2),0)</f>
        <v/>
      </c>
      <c r="L499" t="str" vm="9642">
        <f>IFERROR(CUBEVALUE("BIDB",$A499,L$3,L$2,'Præsentationstabeller 1'!$C$2),0)</f>
        <v/>
      </c>
    </row>
    <row r="500" spans="1:12" x14ac:dyDescent="0.3">
      <c r="A500" s="123" t="str" vm="836">
        <f>CUBEMEMBER("BIDB","[Dimittenddato].[Dimittenddato].&amp;[2012-07-07T00:00:00]")</f>
        <v>07-07-2012</v>
      </c>
      <c r="B500" t="str" vm="8853">
        <f>IFERROR(CUBEVALUE("BIDB",$A500,B$3,'Præsentationstabeller 1'!$C$2),0)</f>
        <v/>
      </c>
      <c r="C500" t="str" vm="9139">
        <f>IFERROR(CUBEVALUE("BIDB",$A500,C$3,C$2,'Præsentationstabeller 1'!$C$2),0)</f>
        <v/>
      </c>
      <c r="D500" t="str" vm="14053">
        <f>IFERROR(CUBEVALUE("BIDB",$A500,D$3,D$2,'Præsentationstabeller 1'!$C$2),0)</f>
        <v/>
      </c>
      <c r="E500" t="str" vm="8133">
        <f>IFERROR(CUBEVALUE("BIDB",$A500,E$3,E$2,'Præsentationstabeller 1'!$C$2),0)</f>
        <v/>
      </c>
      <c r="F500" t="str" vm="10811">
        <f>IFERROR(CUBEVALUE("BIDB",$A500,F$3,F$2,'Præsentationstabeller 1'!$C$2),0)</f>
        <v/>
      </c>
      <c r="G500" t="str" vm="7464">
        <f>IFERROR(CUBEVALUE("BIDB",$A500,G$3,G$2,'Præsentationstabeller 1'!$C$2),0)</f>
        <v/>
      </c>
      <c r="H500" t="str" vm="14984">
        <f>IFERROR(CUBEVALUE("BIDB",$A500,H$3,H$2,'Præsentationstabeller 1'!$C$2),0)</f>
        <v/>
      </c>
      <c r="I500" t="str" vm="9063">
        <f>IFERROR(CUBEVALUE("BIDB",$A500,I$3,I$2,'Præsentationstabeller 1'!$C$2),0)</f>
        <v/>
      </c>
      <c r="J500" t="str" vm="11225">
        <f>IFERROR(CUBEVALUE("BIDB",$A500,J$3,J$2,'Præsentationstabeller 1'!$C$2),0)</f>
        <v/>
      </c>
      <c r="K500" t="str" vm="12257">
        <f>IFERROR(CUBEVALUE("BIDB",$A500,K$3,K$2,'Præsentationstabeller 1'!$C$2),0)</f>
        <v/>
      </c>
      <c r="L500" t="str" vm="15408">
        <f>IFERROR(CUBEVALUE("BIDB",$A500,L$3,L$2,'Præsentationstabeller 1'!$C$2),0)</f>
        <v/>
      </c>
    </row>
    <row r="501" spans="1:12" x14ac:dyDescent="0.3">
      <c r="A501" s="123" t="str" vm="835">
        <f>CUBEMEMBER("BIDB","[Dimittenddato].[Dimittenddato].&amp;[2012-07-08T00:00:00]")</f>
        <v>08-07-2012</v>
      </c>
      <c r="B501" t="str" vm="11653">
        <f>IFERROR(CUBEVALUE("BIDB",$A501,B$3,'Præsentationstabeller 1'!$C$2),0)</f>
        <v/>
      </c>
      <c r="C501" t="str" vm="12724">
        <f>IFERROR(CUBEVALUE("BIDB",$A501,C$3,C$2,'Præsentationstabeller 1'!$C$2),0)</f>
        <v/>
      </c>
      <c r="D501" t="str" vm="9707">
        <f>IFERROR(CUBEVALUE("BIDB",$A501,D$3,D$2,'Præsentationstabeller 1'!$C$2),0)</f>
        <v/>
      </c>
      <c r="E501" t="str" vm="9180">
        <f>IFERROR(CUBEVALUE("BIDB",$A501,E$3,E$2,'Præsentationstabeller 1'!$C$2),0)</f>
        <v/>
      </c>
      <c r="F501" t="str" vm="11349">
        <f>IFERROR(CUBEVALUE("BIDB",$A501,F$3,F$2,'Præsentationstabeller 1'!$C$2),0)</f>
        <v/>
      </c>
      <c r="G501" t="str" vm="8207">
        <f>IFERROR(CUBEVALUE("BIDB",$A501,G$3,G$2,'Præsentationstabeller 1'!$C$2),0)</f>
        <v/>
      </c>
      <c r="H501" t="str" vm="8821">
        <f>IFERROR(CUBEVALUE("BIDB",$A501,H$3,H$2,'Præsentationstabeller 1'!$C$2),0)</f>
        <v/>
      </c>
      <c r="I501" t="str" vm="9953">
        <f>IFERROR(CUBEVALUE("BIDB",$A501,I$3,I$2,'Præsentationstabeller 1'!$C$2),0)</f>
        <v/>
      </c>
      <c r="J501" t="str" vm="16854">
        <f>IFERROR(CUBEVALUE("BIDB",$A501,J$3,J$2,'Præsentationstabeller 1'!$C$2),0)</f>
        <v/>
      </c>
      <c r="K501" t="str" vm="9154">
        <f>IFERROR(CUBEVALUE("BIDB",$A501,K$3,K$2,'Præsentationstabeller 1'!$C$2),0)</f>
        <v/>
      </c>
      <c r="L501" t="str" vm="9311">
        <f>IFERROR(CUBEVALUE("BIDB",$A501,L$3,L$2,'Præsentationstabeller 1'!$C$2),0)</f>
        <v/>
      </c>
    </row>
    <row r="502" spans="1:12" x14ac:dyDescent="0.3">
      <c r="A502" s="123" t="str" vm="834">
        <f>CUBEMEMBER("BIDB","[Dimittenddato].[Dimittenddato].&amp;[2012-07-09T00:00:00]")</f>
        <v>09-07-2012</v>
      </c>
      <c r="B502" t="str" vm="13524">
        <f>IFERROR(CUBEVALUE("BIDB",$A502,B$3,'Præsentationstabeller 1'!$C$2),0)</f>
        <v/>
      </c>
      <c r="C502" t="str" vm="9918">
        <f>IFERROR(CUBEVALUE("BIDB",$A502,C$3,C$2,'Præsentationstabeller 1'!$C$2),0)</f>
        <v/>
      </c>
      <c r="D502" t="str" vm="11428">
        <f>IFERROR(CUBEVALUE("BIDB",$A502,D$3,D$2,'Præsentationstabeller 1'!$C$2),0)</f>
        <v/>
      </c>
      <c r="E502" t="str" vm="9789">
        <f>IFERROR(CUBEVALUE("BIDB",$A502,E$3,E$2,'Præsentationstabeller 1'!$C$2),0)</f>
        <v/>
      </c>
      <c r="F502" vm="11246">
        <f>IFERROR(CUBEVALUE("BIDB",$A502,F$3,F$2,'Præsentationstabeller 1'!$C$2),0)</f>
        <v>1</v>
      </c>
      <c r="G502" vm="9036">
        <f>IFERROR(CUBEVALUE("BIDB",$A502,G$3,G$2,'Præsentationstabeller 1'!$C$2),0)</f>
        <v>1</v>
      </c>
      <c r="H502" t="str" vm="9559">
        <f>IFERROR(CUBEVALUE("BIDB",$A502,H$3,H$2,'Præsentationstabeller 1'!$C$2),0)</f>
        <v/>
      </c>
      <c r="I502" t="str" vm="8030">
        <f>IFERROR(CUBEVALUE("BIDB",$A502,I$3,I$2,'Præsentationstabeller 1'!$C$2),0)</f>
        <v/>
      </c>
      <c r="J502" t="str" vm="10741">
        <f>IFERROR(CUBEVALUE("BIDB",$A502,J$3,J$2,'Præsentationstabeller 1'!$C$2),0)</f>
        <v/>
      </c>
      <c r="K502" t="str" vm="10343">
        <f>IFERROR(CUBEVALUE("BIDB",$A502,K$3,K$2,'Præsentationstabeller 1'!$C$2),0)</f>
        <v/>
      </c>
      <c r="L502" t="str" vm="10932">
        <f>IFERROR(CUBEVALUE("BIDB",$A502,L$3,L$2,'Præsentationstabeller 1'!$C$2),0)</f>
        <v/>
      </c>
    </row>
    <row r="503" spans="1:12" x14ac:dyDescent="0.3">
      <c r="A503" s="123" t="str" vm="833">
        <f>CUBEMEMBER("BIDB","[Dimittenddato].[Dimittenddato].&amp;[2012-07-10T00:00:00]")</f>
        <v>10-07-2012</v>
      </c>
      <c r="B503" t="str" vm="8960">
        <f>IFERROR(CUBEVALUE("BIDB",$A503,B$3,'Præsentationstabeller 1'!$C$2),0)</f>
        <v/>
      </c>
      <c r="C503" t="str" vm="17107">
        <f>IFERROR(CUBEVALUE("BIDB",$A503,C$3,C$2,'Præsentationstabeller 1'!$C$2),0)</f>
        <v/>
      </c>
      <c r="D503" vm="9051">
        <f>IFERROR(CUBEVALUE("BIDB",$A503,D$3,D$2,'Præsentationstabeller 1'!$C$2),0)</f>
        <v>1</v>
      </c>
      <c r="E503" vm="15214">
        <f>IFERROR(CUBEVALUE("BIDB",$A503,E$3,E$2,'Præsentationstabeller 1'!$C$2),0)</f>
        <v>1</v>
      </c>
      <c r="F503" vm="7642">
        <f>IFERROR(CUBEVALUE("BIDB",$A503,F$3,F$2,'Præsentationstabeller 1'!$C$2),0)</f>
        <v>1</v>
      </c>
      <c r="G503" vm="6834">
        <f>IFERROR(CUBEVALUE("BIDB",$A503,G$3,G$2,'Præsentationstabeller 1'!$C$2),0)</f>
        <v>2</v>
      </c>
      <c r="H503" t="str" vm="10761">
        <f>IFERROR(CUBEVALUE("BIDB",$A503,H$3,H$2,'Præsentationstabeller 1'!$C$2),0)</f>
        <v/>
      </c>
      <c r="I503" t="str" vm="9906">
        <f>IFERROR(CUBEVALUE("BIDB",$A503,I$3,I$2,'Præsentationstabeller 1'!$C$2),0)</f>
        <v/>
      </c>
      <c r="J503" t="str" vm="15699">
        <f>IFERROR(CUBEVALUE("BIDB",$A503,J$3,J$2,'Præsentationstabeller 1'!$C$2),0)</f>
        <v/>
      </c>
      <c r="K503" t="str" vm="9136">
        <f>IFERROR(CUBEVALUE("BIDB",$A503,K$3,K$2,'Præsentationstabeller 1'!$C$2),0)</f>
        <v/>
      </c>
      <c r="L503" t="str" vm="10214">
        <f>IFERROR(CUBEVALUE("BIDB",$A503,L$3,L$2,'Præsentationstabeller 1'!$C$2),0)</f>
        <v/>
      </c>
    </row>
    <row r="504" spans="1:12" x14ac:dyDescent="0.3">
      <c r="A504" s="123" t="str" vm="832">
        <f>CUBEMEMBER("BIDB","[Dimittenddato].[Dimittenddato].&amp;[2012-07-11T00:00:00]")</f>
        <v>11-07-2012</v>
      </c>
      <c r="B504" t="str" vm="9033">
        <f>IFERROR(CUBEVALUE("BIDB",$A504,B$3,'Præsentationstabeller 1'!$C$2),0)</f>
        <v/>
      </c>
      <c r="C504" t="str" vm="10100">
        <f>IFERROR(CUBEVALUE("BIDB",$A504,C$3,C$2,'Præsentationstabeller 1'!$C$2),0)</f>
        <v/>
      </c>
      <c r="D504" t="str" vm="13283">
        <f>IFERROR(CUBEVALUE("BIDB",$A504,D$3,D$2,'Præsentationstabeller 1'!$C$2),0)</f>
        <v/>
      </c>
      <c r="E504" t="str" vm="9914">
        <f>IFERROR(CUBEVALUE("BIDB",$A504,E$3,E$2,'Præsentationstabeller 1'!$C$2),0)</f>
        <v/>
      </c>
      <c r="F504" t="str" vm="12822">
        <f>IFERROR(CUBEVALUE("BIDB",$A504,F$3,F$2,'Præsentationstabeller 1'!$C$2),0)</f>
        <v/>
      </c>
      <c r="G504" t="str" vm="10183">
        <f>IFERROR(CUBEVALUE("BIDB",$A504,G$3,G$2,'Præsentationstabeller 1'!$C$2),0)</f>
        <v/>
      </c>
      <c r="H504" t="str" vm="10356">
        <f>IFERROR(CUBEVALUE("BIDB",$A504,H$3,H$2,'Præsentationstabeller 1'!$C$2),0)</f>
        <v/>
      </c>
      <c r="I504" t="str" vm="8367">
        <f>IFERROR(CUBEVALUE("BIDB",$A504,I$3,I$2,'Præsentationstabeller 1'!$C$2),0)</f>
        <v/>
      </c>
      <c r="J504" t="str" vm="14039">
        <f>IFERROR(CUBEVALUE("BIDB",$A504,J$3,J$2,'Præsentationstabeller 1'!$C$2),0)</f>
        <v/>
      </c>
      <c r="K504" t="str" vm="8933">
        <f>IFERROR(CUBEVALUE("BIDB",$A504,K$3,K$2,'Præsentationstabeller 1'!$C$2),0)</f>
        <v/>
      </c>
      <c r="L504" t="str" vm="8204">
        <f>IFERROR(CUBEVALUE("BIDB",$A504,L$3,L$2,'Præsentationstabeller 1'!$C$2),0)</f>
        <v/>
      </c>
    </row>
    <row r="505" spans="1:12" x14ac:dyDescent="0.3">
      <c r="A505" s="123" t="str" vm="831">
        <f>CUBEMEMBER("BIDB","[Dimittenddato].[Dimittenddato].&amp;[2012-07-12T00:00:00]")</f>
        <v>12-07-2012</v>
      </c>
      <c r="B505" t="str" vm="10052">
        <f>IFERROR(CUBEVALUE("BIDB",$A505,B$3,'Præsentationstabeller 1'!$C$2),0)</f>
        <v/>
      </c>
      <c r="C505" t="str" vm="6831">
        <f>IFERROR(CUBEVALUE("BIDB",$A505,C$3,C$2,'Præsentationstabeller 1'!$C$2),0)</f>
        <v/>
      </c>
      <c r="D505" t="str" vm="8948">
        <f>IFERROR(CUBEVALUE("BIDB",$A505,D$3,D$2,'Præsentationstabeller 1'!$C$2),0)</f>
        <v/>
      </c>
      <c r="E505" vm="13352">
        <f>IFERROR(CUBEVALUE("BIDB",$A505,E$3,E$2,'Præsentationstabeller 1'!$C$2),0)</f>
        <v>2</v>
      </c>
      <c r="F505" t="str" vm="9490">
        <f>IFERROR(CUBEVALUE("BIDB",$A505,F$3,F$2,'Præsentationstabeller 1'!$C$2),0)</f>
        <v/>
      </c>
      <c r="G505" vm="16036">
        <f>IFERROR(CUBEVALUE("BIDB",$A505,G$3,G$2,'Præsentationstabeller 1'!$C$2),0)</f>
        <v>2</v>
      </c>
      <c r="H505" t="str" vm="7539">
        <f>IFERROR(CUBEVALUE("BIDB",$A505,H$3,H$2,'Præsentationstabeller 1'!$C$2),0)</f>
        <v/>
      </c>
      <c r="I505" t="str" vm="10605">
        <f>IFERROR(CUBEVALUE("BIDB",$A505,I$3,I$2,'Præsentationstabeller 1'!$C$2),0)</f>
        <v/>
      </c>
      <c r="J505" t="str" vm="11505">
        <f>IFERROR(CUBEVALUE("BIDB",$A505,J$3,J$2,'Præsentationstabeller 1'!$C$2),0)</f>
        <v/>
      </c>
      <c r="K505" t="str" vm="8335">
        <f>IFERROR(CUBEVALUE("BIDB",$A505,K$3,K$2,'Præsentationstabeller 1'!$C$2),0)</f>
        <v/>
      </c>
      <c r="L505" t="str" vm="10170">
        <f>IFERROR(CUBEVALUE("BIDB",$A505,L$3,L$2,'Præsentationstabeller 1'!$C$2),0)</f>
        <v/>
      </c>
    </row>
    <row r="506" spans="1:12" x14ac:dyDescent="0.3">
      <c r="A506" s="123" t="str" vm="830">
        <f>CUBEMEMBER("BIDB","[Dimittenddato].[Dimittenddato].&amp;[2012-07-13T00:00:00]")</f>
        <v>13-07-2012</v>
      </c>
      <c r="B506" t="str" vm="7927">
        <f>IFERROR(CUBEVALUE("BIDB",$A506,B$3,'Præsentationstabeller 1'!$C$2),0)</f>
        <v/>
      </c>
      <c r="C506" t="str" vm="9503">
        <f>IFERROR(CUBEVALUE("BIDB",$A506,C$3,C$2,'Præsentationstabeller 1'!$C$2),0)</f>
        <v/>
      </c>
      <c r="D506" vm="8930">
        <f>IFERROR(CUBEVALUE("BIDB",$A506,D$3,D$2,'Præsentationstabeller 1'!$C$2),0)</f>
        <v>0</v>
      </c>
      <c r="E506" vm="8332">
        <f>IFERROR(CUBEVALUE("BIDB",$A506,E$3,E$2,'Præsentationstabeller 1'!$C$2),0)</f>
        <v>3</v>
      </c>
      <c r="F506" t="str" vm="16009">
        <f>IFERROR(CUBEVALUE("BIDB",$A506,F$3,F$2,'Præsentationstabeller 1'!$C$2),0)</f>
        <v/>
      </c>
      <c r="G506" vm="11788">
        <f>IFERROR(CUBEVALUE("BIDB",$A506,G$3,G$2,'Præsentationstabeller 1'!$C$2),0)</f>
        <v>3</v>
      </c>
      <c r="H506" t="str" vm="9754">
        <f>IFERROR(CUBEVALUE("BIDB",$A506,H$3,H$2,'Præsentationstabeller 1'!$C$2),0)</f>
        <v/>
      </c>
      <c r="I506" t="str" vm="10084">
        <f>IFERROR(CUBEVALUE("BIDB",$A506,I$3,I$2,'Præsentationstabeller 1'!$C$2),0)</f>
        <v/>
      </c>
      <c r="J506" t="str" vm="8364">
        <f>IFERROR(CUBEVALUE("BIDB",$A506,J$3,J$2,'Præsentationstabeller 1'!$C$2),0)</f>
        <v/>
      </c>
      <c r="K506" t="str" vm="10240">
        <f>IFERROR(CUBEVALUE("BIDB",$A506,K$3,K$2,'Præsentationstabeller 1'!$C$2),0)</f>
        <v/>
      </c>
      <c r="L506" t="str" vm="12835">
        <f>IFERROR(CUBEVALUE("BIDB",$A506,L$3,L$2,'Præsentationstabeller 1'!$C$2),0)</f>
        <v/>
      </c>
    </row>
    <row r="507" spans="1:12" x14ac:dyDescent="0.3">
      <c r="A507" s="123" t="str" vm="829">
        <f>CUBEMEMBER("BIDB","[Dimittenddato].[Dimittenddato].&amp;[2012-07-14T00:00:00]")</f>
        <v>14-07-2012</v>
      </c>
      <c r="B507" t="str" vm="11231">
        <f>IFERROR(CUBEVALUE("BIDB",$A507,B$3,'Præsentationstabeller 1'!$C$2),0)</f>
        <v/>
      </c>
      <c r="C507" t="str" vm="11615">
        <f>IFERROR(CUBEVALUE("BIDB",$A507,C$3,C$2,'Præsentationstabeller 1'!$C$2),0)</f>
        <v/>
      </c>
      <c r="D507" t="str" vm="8123">
        <f>IFERROR(CUBEVALUE("BIDB",$A507,D$3,D$2,'Præsentationstabeller 1'!$C$2),0)</f>
        <v/>
      </c>
      <c r="E507" t="str" vm="15650">
        <f>IFERROR(CUBEVALUE("BIDB",$A507,E$3,E$2,'Præsentationstabeller 1'!$C$2),0)</f>
        <v/>
      </c>
      <c r="F507" t="str" vm="10750">
        <f>IFERROR(CUBEVALUE("BIDB",$A507,F$3,F$2,'Præsentationstabeller 1'!$C$2),0)</f>
        <v/>
      </c>
      <c r="G507" t="str" vm="15153">
        <f>IFERROR(CUBEVALUE("BIDB",$A507,G$3,G$2,'Præsentationstabeller 1'!$C$2),0)</f>
        <v/>
      </c>
      <c r="H507" t="str" vm="9751">
        <f>IFERROR(CUBEVALUE("BIDB",$A507,H$3,H$2,'Præsentationstabeller 1'!$C$2),0)</f>
        <v/>
      </c>
      <c r="I507" t="str" vm="15198">
        <f>IFERROR(CUBEVALUE("BIDB",$A507,I$3,I$2,'Præsentationstabeller 1'!$C$2),0)</f>
        <v/>
      </c>
      <c r="J507" t="str" vm="15501">
        <f>IFERROR(CUBEVALUE("BIDB",$A507,J$3,J$2,'Præsentationstabeller 1'!$C$2),0)</f>
        <v/>
      </c>
      <c r="K507" t="str" vm="10544">
        <f>IFERROR(CUBEVALUE("BIDB",$A507,K$3,K$2,'Præsentationstabeller 1'!$C$2),0)</f>
        <v/>
      </c>
      <c r="L507" t="str" vm="15048">
        <f>IFERROR(CUBEVALUE("BIDB",$A507,L$3,L$2,'Præsentationstabeller 1'!$C$2),0)</f>
        <v/>
      </c>
    </row>
    <row r="508" spans="1:12" x14ac:dyDescent="0.3">
      <c r="A508" s="123" t="str" vm="828">
        <f>CUBEMEMBER("BIDB","[Dimittenddato].[Dimittenddato].&amp;[2012-07-15T00:00:00]")</f>
        <v>15-07-2012</v>
      </c>
      <c r="B508" t="str" vm="11205">
        <f>IFERROR(CUBEVALUE("BIDB",$A508,B$3,'Præsentationstabeller 1'!$C$2),0)</f>
        <v/>
      </c>
      <c r="C508" t="str" vm="10300">
        <f>IFERROR(CUBEVALUE("BIDB",$A508,C$3,C$2,'Præsentationstabeller 1'!$C$2),0)</f>
        <v/>
      </c>
      <c r="D508" t="str" vm="8650">
        <f>IFERROR(CUBEVALUE("BIDB",$A508,D$3,D$2,'Præsentationstabeller 1'!$C$2),0)</f>
        <v/>
      </c>
      <c r="E508" vm="9196">
        <f>IFERROR(CUBEVALUE("BIDB",$A508,E$3,E$2,'Præsentationstabeller 1'!$C$2),0)</f>
        <v>1</v>
      </c>
      <c r="F508" vm="16306">
        <f>IFERROR(CUBEVALUE("BIDB",$A508,F$3,F$2,'Præsentationstabeller 1'!$C$2),0)</f>
        <v>0</v>
      </c>
      <c r="G508" vm="8611">
        <f>IFERROR(CUBEVALUE("BIDB",$A508,G$3,G$2,'Præsentationstabeller 1'!$C$2),0)</f>
        <v>1</v>
      </c>
      <c r="H508" t="str" vm="10287">
        <f>IFERROR(CUBEVALUE("BIDB",$A508,H$3,H$2,'Præsentationstabeller 1'!$C$2),0)</f>
        <v/>
      </c>
      <c r="I508" t="str" vm="11772">
        <f>IFERROR(CUBEVALUE("BIDB",$A508,I$3,I$2,'Præsentationstabeller 1'!$C$2),0)</f>
        <v/>
      </c>
      <c r="J508" t="str" vm="10187">
        <f>IFERROR(CUBEVALUE("BIDB",$A508,J$3,J$2,'Præsentationstabeller 1'!$C$2),0)</f>
        <v/>
      </c>
      <c r="K508" t="str" vm="12461">
        <f>IFERROR(CUBEVALUE("BIDB",$A508,K$3,K$2,'Præsentationstabeller 1'!$C$2),0)</f>
        <v/>
      </c>
      <c r="L508" t="str" vm="7436">
        <f>IFERROR(CUBEVALUE("BIDB",$A508,L$3,L$2,'Præsentationstabeller 1'!$C$2),0)</f>
        <v/>
      </c>
    </row>
    <row r="509" spans="1:12" x14ac:dyDescent="0.3">
      <c r="A509" s="123" t="str" vm="827">
        <f>CUBEMEMBER("BIDB","[Dimittenddato].[Dimittenddato].&amp;[2012-07-16T00:00:00]")</f>
        <v>16-07-2012</v>
      </c>
      <c r="B509" t="str" vm="17008">
        <f>IFERROR(CUBEVALUE("BIDB",$A509,B$3,'Præsentationstabeller 1'!$C$2),0)</f>
        <v/>
      </c>
      <c r="C509" t="str" vm="9946">
        <f>IFERROR(CUBEVALUE("BIDB",$A509,C$3,C$2,'Præsentationstabeller 1'!$C$2),0)</f>
        <v/>
      </c>
      <c r="D509" t="str" vm="7718">
        <f>IFERROR(CUBEVALUE("BIDB",$A509,D$3,D$2,'Præsentationstabeller 1'!$C$2),0)</f>
        <v/>
      </c>
      <c r="E509" vm="7592">
        <f>IFERROR(CUBEVALUE("BIDB",$A509,E$3,E$2,'Præsentationstabeller 1'!$C$2),0)</f>
        <v>2</v>
      </c>
      <c r="F509" vm="11281">
        <f>IFERROR(CUBEVALUE("BIDB",$A509,F$3,F$2,'Præsentationstabeller 1'!$C$2),0)</f>
        <v>1</v>
      </c>
      <c r="G509" vm="11567">
        <f>IFERROR(CUBEVALUE("BIDB",$A509,G$3,G$2,'Præsentationstabeller 1'!$C$2),0)</f>
        <v>3</v>
      </c>
      <c r="H509" t="str" vm="8647">
        <f>IFERROR(CUBEVALUE("BIDB",$A509,H$3,H$2,'Præsentationstabeller 1'!$C$2),0)</f>
        <v/>
      </c>
      <c r="I509" t="str" vm="7715">
        <f>IFERROR(CUBEVALUE("BIDB",$A509,I$3,I$2,'Præsentationstabeller 1'!$C$2),0)</f>
        <v/>
      </c>
      <c r="J509" t="str" vm="13553">
        <f>IFERROR(CUBEVALUE("BIDB",$A509,J$3,J$2,'Præsentationstabeller 1'!$C$2),0)</f>
        <v/>
      </c>
      <c r="K509" t="str" vm="5920">
        <f>IFERROR(CUBEVALUE("BIDB",$A509,K$3,K$2,'Præsentationstabeller 1'!$C$2),0)</f>
        <v/>
      </c>
      <c r="L509" t="str" vm="10178">
        <f>IFERROR(CUBEVALUE("BIDB",$A509,L$3,L$2,'Præsentationstabeller 1'!$C$2),0)</f>
        <v/>
      </c>
    </row>
    <row r="510" spans="1:12" x14ac:dyDescent="0.3">
      <c r="A510" s="123" t="str" vm="826">
        <f>CUBEMEMBER("BIDB","[Dimittenddato].[Dimittenddato].&amp;[2012-07-17T00:00:00]")</f>
        <v>17-07-2012</v>
      </c>
      <c r="B510" t="str" vm="6941">
        <f>IFERROR(CUBEVALUE("BIDB",$A510,B$3,'Præsentationstabeller 1'!$C$2),0)</f>
        <v/>
      </c>
      <c r="C510" t="str" vm="11060">
        <f>IFERROR(CUBEVALUE("BIDB",$A510,C$3,C$2,'Præsentationstabeller 1'!$C$2),0)</f>
        <v/>
      </c>
      <c r="D510" vm="8080">
        <f>IFERROR(CUBEVALUE("BIDB",$A510,D$3,D$2,'Præsentationstabeller 1'!$C$2),0)</f>
        <v>1</v>
      </c>
      <c r="E510" t="str" vm="9108">
        <f>IFERROR(CUBEVALUE("BIDB",$A510,E$3,E$2,'Præsentationstabeller 1'!$C$2),0)</f>
        <v/>
      </c>
      <c r="F510" t="str" vm="8547">
        <f>IFERROR(CUBEVALUE("BIDB",$A510,F$3,F$2,'Præsentationstabeller 1'!$C$2),0)</f>
        <v/>
      </c>
      <c r="G510" t="str" vm="6266">
        <f>IFERROR(CUBEVALUE("BIDB",$A510,G$3,G$2,'Præsentationstabeller 1'!$C$2),0)</f>
        <v/>
      </c>
      <c r="H510" t="str" vm="11367">
        <f>IFERROR(CUBEVALUE("BIDB",$A510,H$3,H$2,'Præsentationstabeller 1'!$C$2),0)</f>
        <v/>
      </c>
      <c r="I510" t="str" vm="16993">
        <f>IFERROR(CUBEVALUE("BIDB",$A510,I$3,I$2,'Præsentationstabeller 1'!$C$2),0)</f>
        <v/>
      </c>
      <c r="J510" t="str" vm="8544">
        <f>IFERROR(CUBEVALUE("BIDB",$A510,J$3,J$2,'Præsentationstabeller 1'!$C$2),0)</f>
        <v/>
      </c>
      <c r="K510" t="str" vm="11073">
        <f>IFERROR(CUBEVALUE("BIDB",$A510,K$3,K$2,'Præsentationstabeller 1'!$C$2),0)</f>
        <v/>
      </c>
      <c r="L510" t="str" vm="7816">
        <f>IFERROR(CUBEVALUE("BIDB",$A510,L$3,L$2,'Præsentationstabeller 1'!$C$2),0)</f>
        <v/>
      </c>
    </row>
    <row r="511" spans="1:12" x14ac:dyDescent="0.3">
      <c r="A511" s="123" t="str" vm="825">
        <f>CUBEMEMBER("BIDB","[Dimittenddato].[Dimittenddato].&amp;[2012-07-18T00:00:00]")</f>
        <v>18-07-2012</v>
      </c>
      <c r="B511" t="str" vm="10650">
        <f>IFERROR(CUBEVALUE("BIDB",$A511,B$3,'Præsentationstabeller 1'!$C$2),0)</f>
        <v/>
      </c>
      <c r="C511" t="str" vm="8990">
        <f>IFERROR(CUBEVALUE("BIDB",$A511,C$3,C$2,'Præsentationstabeller 1'!$C$2),0)</f>
        <v/>
      </c>
      <c r="D511" t="str" vm="12779">
        <f>IFERROR(CUBEVALUE("BIDB",$A511,D$3,D$2,'Præsentationstabeller 1'!$C$2),0)</f>
        <v/>
      </c>
      <c r="E511" vm="7644">
        <f>IFERROR(CUBEVALUE("BIDB",$A511,E$3,E$2,'Præsentationstabeller 1'!$C$2),0)</f>
        <v>2</v>
      </c>
      <c r="F511" vm="13991">
        <f>IFERROR(CUBEVALUE("BIDB",$A511,F$3,F$2,'Præsentationstabeller 1'!$C$2),0)</f>
        <v>1</v>
      </c>
      <c r="G511" vm="7824">
        <f>IFERROR(CUBEVALUE("BIDB",$A511,G$3,G$2,'Præsentationstabeller 1'!$C$2),0)</f>
        <v>3</v>
      </c>
      <c r="H511" t="str" vm="16796">
        <f>IFERROR(CUBEVALUE("BIDB",$A511,H$3,H$2,'Præsentationstabeller 1'!$C$2),0)</f>
        <v/>
      </c>
      <c r="I511" t="str" vm="7299">
        <f>IFERROR(CUBEVALUE("BIDB",$A511,I$3,I$2,'Præsentationstabeller 1'!$C$2),0)</f>
        <v/>
      </c>
      <c r="J511" t="str" vm="11746">
        <f>IFERROR(CUBEVALUE("BIDB",$A511,J$3,J$2,'Præsentationstabeller 1'!$C$2),0)</f>
        <v/>
      </c>
      <c r="K511" t="str" vm="6576">
        <f>IFERROR(CUBEVALUE("BIDB",$A511,K$3,K$2,'Præsentationstabeller 1'!$C$2),0)</f>
        <v/>
      </c>
      <c r="L511" t="str" vm="9843">
        <f>IFERROR(CUBEVALUE("BIDB",$A511,L$3,L$2,'Præsentationstabeller 1'!$C$2),0)</f>
        <v/>
      </c>
    </row>
    <row r="512" spans="1:12" x14ac:dyDescent="0.3">
      <c r="A512" s="123" t="str" vm="824">
        <f>CUBEMEMBER("BIDB","[Dimittenddato].[Dimittenddato].&amp;[2012-07-19T00:00:00]")</f>
        <v>19-07-2012</v>
      </c>
      <c r="B512" t="str" vm="7843">
        <f>IFERROR(CUBEVALUE("BIDB",$A512,B$3,'Præsentationstabeller 1'!$C$2),0)</f>
        <v/>
      </c>
      <c r="C512" t="str" vm="8995">
        <f>IFERROR(CUBEVALUE("BIDB",$A512,C$3,C$2,'Præsentationstabeller 1'!$C$2),0)</f>
        <v/>
      </c>
      <c r="D512" vm="7015">
        <f>IFERROR(CUBEVALUE("BIDB",$A512,D$3,D$2,'Præsentationstabeller 1'!$C$2),0)</f>
        <v>1</v>
      </c>
      <c r="E512" t="str" vm="7185">
        <f>IFERROR(CUBEVALUE("BIDB",$A512,E$3,E$2,'Præsentationstabeller 1'!$C$2),0)</f>
        <v/>
      </c>
      <c r="F512" t="str" vm="9453">
        <f>IFERROR(CUBEVALUE("BIDB",$A512,F$3,F$2,'Præsentationstabeller 1'!$C$2),0)</f>
        <v/>
      </c>
      <c r="G512" t="str" vm="7875">
        <f>IFERROR(CUBEVALUE("BIDB",$A512,G$3,G$2,'Præsentationstabeller 1'!$C$2),0)</f>
        <v/>
      </c>
      <c r="H512" t="str" vm="9003">
        <f>IFERROR(CUBEVALUE("BIDB",$A512,H$3,H$2,'Præsentationstabeller 1'!$C$2),0)</f>
        <v/>
      </c>
      <c r="I512" t="str" vm="8992">
        <f>IFERROR(CUBEVALUE("BIDB",$A512,I$3,I$2,'Præsentationstabeller 1'!$C$2),0)</f>
        <v/>
      </c>
      <c r="J512" t="str" vm="7922">
        <f>IFERROR(CUBEVALUE("BIDB",$A512,J$3,J$2,'Præsentationstabeller 1'!$C$2),0)</f>
        <v/>
      </c>
      <c r="K512" t="str" vm="9670">
        <f>IFERROR(CUBEVALUE("BIDB",$A512,K$3,K$2,'Præsentationstabeller 1'!$C$2),0)</f>
        <v/>
      </c>
      <c r="L512" t="str" vm="8441">
        <f>IFERROR(CUBEVALUE("BIDB",$A512,L$3,L$2,'Præsentationstabeller 1'!$C$2),0)</f>
        <v/>
      </c>
    </row>
    <row r="513" spans="1:12" x14ac:dyDescent="0.3">
      <c r="A513" s="123" t="str" vm="823">
        <f>CUBEMEMBER("BIDB","[Dimittenddato].[Dimittenddato].&amp;[2012-07-20T00:00:00]")</f>
        <v>20-07-2012</v>
      </c>
      <c r="B513" t="str" vm="13582">
        <f>IFERROR(CUBEVALUE("BIDB",$A513,B$3,'Præsentationstabeller 1'!$C$2),0)</f>
        <v/>
      </c>
      <c r="C513" t="str" vm="10159">
        <f>IFERROR(CUBEVALUE("BIDB",$A513,C$3,C$2,'Præsentationstabeller 1'!$C$2),0)</f>
        <v/>
      </c>
      <c r="D513" t="str" vm="16078">
        <f>IFERROR(CUBEVALUE("BIDB",$A513,D$3,D$2,'Præsentationstabeller 1'!$C$2),0)</f>
        <v/>
      </c>
      <c r="E513" vm="7251">
        <f>IFERROR(CUBEVALUE("BIDB",$A513,E$3,E$2,'Præsentationstabeller 1'!$C$2),0)</f>
        <v>7</v>
      </c>
      <c r="F513" t="str" vm="5539">
        <f>IFERROR(CUBEVALUE("BIDB",$A513,F$3,F$2,'Præsentationstabeller 1'!$C$2),0)</f>
        <v/>
      </c>
      <c r="G513" vm="6579">
        <f>IFERROR(CUBEVALUE("BIDB",$A513,G$3,G$2,'Præsentationstabeller 1'!$C$2),0)</f>
        <v>7</v>
      </c>
      <c r="H513" t="str" vm="9334">
        <f>IFERROR(CUBEVALUE("BIDB",$A513,H$3,H$2,'Præsentationstabeller 1'!$C$2),0)</f>
        <v/>
      </c>
      <c r="I513" t="str" vm="9005">
        <f>IFERROR(CUBEVALUE("BIDB",$A513,I$3,I$2,'Præsentationstabeller 1'!$C$2),0)</f>
        <v/>
      </c>
      <c r="J513" t="str" vm="8151">
        <f>IFERROR(CUBEVALUE("BIDB",$A513,J$3,J$2,'Præsentationstabeller 1'!$C$2),0)</f>
        <v/>
      </c>
      <c r="K513" t="str" vm="8880">
        <f>IFERROR(CUBEVALUE("BIDB",$A513,K$3,K$2,'Præsentationstabeller 1'!$C$2),0)</f>
        <v/>
      </c>
      <c r="L513" t="str" vm="8562">
        <f>IFERROR(CUBEVALUE("BIDB",$A513,L$3,L$2,'Præsentationstabeller 1'!$C$2),0)</f>
        <v/>
      </c>
    </row>
    <row r="514" spans="1:12" x14ac:dyDescent="0.3">
      <c r="A514" s="123" t="str" vm="822">
        <f>CUBEMEMBER("BIDB","[Dimittenddato].[Dimittenddato].&amp;[2012-07-21T00:00:00]")</f>
        <v>21-07-2012</v>
      </c>
      <c r="B514" t="str" vm="6719">
        <f>IFERROR(CUBEVALUE("BIDB",$A514,B$3,'Præsentationstabeller 1'!$C$2),0)</f>
        <v/>
      </c>
      <c r="C514" t="str" vm="8574">
        <f>IFERROR(CUBEVALUE("BIDB",$A514,C$3,C$2,'Præsentationstabeller 1'!$C$2),0)</f>
        <v/>
      </c>
      <c r="D514" t="str" vm="8508">
        <f>IFERROR(CUBEVALUE("BIDB",$A514,D$3,D$2,'Præsentationstabeller 1'!$C$2),0)</f>
        <v/>
      </c>
      <c r="E514" t="str" vm="8158">
        <f>IFERROR(CUBEVALUE("BIDB",$A514,E$3,E$2,'Præsentationstabeller 1'!$C$2),0)</f>
        <v/>
      </c>
      <c r="F514" t="str" vm="7219">
        <f>IFERROR(CUBEVALUE("BIDB",$A514,F$3,F$2,'Præsentationstabeller 1'!$C$2),0)</f>
        <v/>
      </c>
      <c r="G514" t="str" vm="6294">
        <f>IFERROR(CUBEVALUE("BIDB",$A514,G$3,G$2,'Præsentationstabeller 1'!$C$2),0)</f>
        <v/>
      </c>
      <c r="H514" t="str" vm="14816">
        <f>IFERROR(CUBEVALUE("BIDB",$A514,H$3,H$2,'Præsentationstabeller 1'!$C$2),0)</f>
        <v/>
      </c>
      <c r="I514" t="str" vm="14953">
        <f>IFERROR(CUBEVALUE("BIDB",$A514,I$3,I$2,'Præsentationstabeller 1'!$C$2),0)</f>
        <v/>
      </c>
      <c r="J514" t="str" vm="12710">
        <f>IFERROR(CUBEVALUE("BIDB",$A514,J$3,J$2,'Præsentationstabeller 1'!$C$2),0)</f>
        <v/>
      </c>
      <c r="K514" t="str" vm="7207">
        <f>IFERROR(CUBEVALUE("BIDB",$A514,K$3,K$2,'Præsentationstabeller 1'!$C$2),0)</f>
        <v/>
      </c>
      <c r="L514" t="str" vm="7914">
        <f>IFERROR(CUBEVALUE("BIDB",$A514,L$3,L$2,'Præsentationstabeller 1'!$C$2),0)</f>
        <v/>
      </c>
    </row>
    <row r="515" spans="1:12" x14ac:dyDescent="0.3">
      <c r="A515" s="123" t="str" vm="821">
        <f>CUBEMEMBER("BIDB","[Dimittenddato].[Dimittenddato].&amp;[2012-07-22T00:00:00]")</f>
        <v>22-07-2012</v>
      </c>
      <c r="B515" t="str" vm="6302">
        <f>IFERROR(CUBEVALUE("BIDB",$A515,B$3,'Præsentationstabeller 1'!$C$2),0)</f>
        <v/>
      </c>
      <c r="C515" t="str" vm="9993">
        <f>IFERROR(CUBEVALUE("BIDB",$A515,C$3,C$2,'Præsentationstabeller 1'!$C$2),0)</f>
        <v/>
      </c>
      <c r="D515" t="str" vm="16134">
        <f>IFERROR(CUBEVALUE("BIDB",$A515,D$3,D$2,'Præsentationstabeller 1'!$C$2),0)</f>
        <v/>
      </c>
      <c r="E515" t="str" vm="13420">
        <f>IFERROR(CUBEVALUE("BIDB",$A515,E$3,E$2,'Præsentationstabeller 1'!$C$2),0)</f>
        <v/>
      </c>
      <c r="F515" t="str" vm="7226">
        <f>IFERROR(CUBEVALUE("BIDB",$A515,F$3,F$2,'Præsentationstabeller 1'!$C$2),0)</f>
        <v/>
      </c>
      <c r="G515" t="str" vm="8048">
        <f>IFERROR(CUBEVALUE("BIDB",$A515,G$3,G$2,'Præsentationstabeller 1'!$C$2),0)</f>
        <v/>
      </c>
      <c r="H515" t="str" vm="5665">
        <f>IFERROR(CUBEVALUE("BIDB",$A515,H$3,H$2,'Præsentationstabeller 1'!$C$2),0)</f>
        <v/>
      </c>
      <c r="I515" t="str" vm="7327">
        <f>IFERROR(CUBEVALUE("BIDB",$A515,I$3,I$2,'Præsentationstabeller 1'!$C$2),0)</f>
        <v/>
      </c>
      <c r="J515" t="str" vm="9863">
        <f>IFERROR(CUBEVALUE("BIDB",$A515,J$3,J$2,'Præsentationstabeller 1'!$C$2),0)</f>
        <v/>
      </c>
      <c r="K515" t="str" vm="8902">
        <f>IFERROR(CUBEVALUE("BIDB",$A515,K$3,K$2,'Præsentationstabeller 1'!$C$2),0)</f>
        <v/>
      </c>
      <c r="L515" t="str" vm="8464">
        <f>IFERROR(CUBEVALUE("BIDB",$A515,L$3,L$2,'Præsentationstabeller 1'!$C$2),0)</f>
        <v/>
      </c>
    </row>
    <row r="516" spans="1:12" x14ac:dyDescent="0.3">
      <c r="A516" s="123" t="str" vm="820">
        <f>CUBEMEMBER("BIDB","[Dimittenddato].[Dimittenddato].&amp;[2012-07-23T00:00:00]")</f>
        <v>23-07-2012</v>
      </c>
      <c r="B516" t="str" vm="10743">
        <f>IFERROR(CUBEVALUE("BIDB",$A516,B$3,'Præsentationstabeller 1'!$C$2),0)</f>
        <v/>
      </c>
      <c r="C516" t="str" vm="6314">
        <f>IFERROR(CUBEVALUE("BIDB",$A516,C$3,C$2,'Præsentationstabeller 1'!$C$2),0)</f>
        <v/>
      </c>
      <c r="D516" t="str" vm="6902">
        <f>IFERROR(CUBEVALUE("BIDB",$A516,D$3,D$2,'Præsentationstabeller 1'!$C$2),0)</f>
        <v/>
      </c>
      <c r="E516" t="str" vm="7660">
        <f>IFERROR(CUBEVALUE("BIDB",$A516,E$3,E$2,'Præsentationstabeller 1'!$C$2),0)</f>
        <v/>
      </c>
      <c r="F516" t="str" vm="10897">
        <f>IFERROR(CUBEVALUE("BIDB",$A516,F$3,F$2,'Præsentationstabeller 1'!$C$2),0)</f>
        <v/>
      </c>
      <c r="G516" t="str" vm="8055">
        <f>IFERROR(CUBEVALUE("BIDB",$A516,G$3,G$2,'Præsentationstabeller 1'!$C$2),0)</f>
        <v/>
      </c>
      <c r="H516" t="str" vm="6346">
        <f>IFERROR(CUBEVALUE("BIDB",$A516,H$3,H$2,'Præsentationstabeller 1'!$C$2),0)</f>
        <v/>
      </c>
      <c r="I516" t="str" vm="14606">
        <f>IFERROR(CUBEVALUE("BIDB",$A516,I$3,I$2,'Præsentationstabeller 1'!$C$2),0)</f>
        <v/>
      </c>
      <c r="J516" t="str" vm="6687">
        <f>IFERROR(CUBEVALUE("BIDB",$A516,J$3,J$2,'Præsentationstabeller 1'!$C$2),0)</f>
        <v/>
      </c>
      <c r="K516" t="str" vm="8444">
        <f>IFERROR(CUBEVALUE("BIDB",$A516,K$3,K$2,'Præsentationstabeller 1'!$C$2),0)</f>
        <v/>
      </c>
      <c r="L516" t="str" vm="7977">
        <f>IFERROR(CUBEVALUE("BIDB",$A516,L$3,L$2,'Præsentationstabeller 1'!$C$2),0)</f>
        <v/>
      </c>
    </row>
    <row r="517" spans="1:12" x14ac:dyDescent="0.3">
      <c r="A517" s="123" t="str" vm="819">
        <f>CUBEMEMBER("BIDB","[Dimittenddato].[Dimittenddato].&amp;[2012-07-24T00:00:00]")</f>
        <v>24-07-2012</v>
      </c>
      <c r="B517" t="str" vm="7878">
        <f>IFERROR(CUBEVALUE("BIDB",$A517,B$3,'Præsentationstabeller 1'!$C$2),0)</f>
        <v/>
      </c>
      <c r="C517" t="str" vm="12524">
        <f>IFERROR(CUBEVALUE("BIDB",$A517,C$3,C$2,'Præsentationstabeller 1'!$C$2),0)</f>
        <v/>
      </c>
      <c r="D517" vm="7335">
        <f>IFERROR(CUBEVALUE("BIDB",$A517,D$3,D$2,'Præsentationstabeller 1'!$C$2),0)</f>
        <v>2</v>
      </c>
      <c r="E517" t="str" vm="7379">
        <f>IFERROR(CUBEVALUE("BIDB",$A517,E$3,E$2,'Præsentationstabeller 1'!$C$2),0)</f>
        <v/>
      </c>
      <c r="F517" vm="7029">
        <f>IFERROR(CUBEVALUE("BIDB",$A517,F$3,F$2,'Præsentationstabeller 1'!$C$2),0)</f>
        <v>1</v>
      </c>
      <c r="G517" vm="9850">
        <f>IFERROR(CUBEVALUE("BIDB",$A517,G$3,G$2,'Præsentationstabeller 1'!$C$2),0)</f>
        <v>1</v>
      </c>
      <c r="H517" t="str" vm="6321">
        <f>IFERROR(CUBEVALUE("BIDB",$A517,H$3,H$2,'Præsentationstabeller 1'!$C$2),0)</f>
        <v/>
      </c>
      <c r="I517" t="str" vm="7952">
        <f>IFERROR(CUBEVALUE("BIDB",$A517,I$3,I$2,'Præsentationstabeller 1'!$C$2),0)</f>
        <v/>
      </c>
      <c r="J517" t="str" vm="7945">
        <f>IFERROR(CUBEVALUE("BIDB",$A517,J$3,J$2,'Præsentationstabeller 1'!$C$2),0)</f>
        <v/>
      </c>
      <c r="K517" t="str" vm="8887">
        <f>IFERROR(CUBEVALUE("BIDB",$A517,K$3,K$2,'Præsentationstabeller 1'!$C$2),0)</f>
        <v/>
      </c>
      <c r="L517" t="str" vm="16512">
        <f>IFERROR(CUBEVALUE("BIDB",$A517,L$3,L$2,'Præsentationstabeller 1'!$C$2),0)</f>
        <v/>
      </c>
    </row>
    <row r="518" spans="1:12" x14ac:dyDescent="0.3">
      <c r="A518" s="123" t="str" vm="818">
        <f>CUBEMEMBER("BIDB","[Dimittenddato].[Dimittenddato].&amp;[2012-07-25T00:00:00]")</f>
        <v>25-07-2012</v>
      </c>
      <c r="B518" t="str" vm="7200">
        <f>IFERROR(CUBEVALUE("BIDB",$A518,B$3,'Præsentationstabeller 1'!$C$2),0)</f>
        <v/>
      </c>
      <c r="C518" t="str" vm="10250">
        <f>IFERROR(CUBEVALUE("BIDB",$A518,C$3,C$2,'Præsentationstabeller 1'!$C$2),0)</f>
        <v/>
      </c>
      <c r="D518" t="str" vm="7386">
        <f>IFERROR(CUBEVALUE("BIDB",$A518,D$3,D$2,'Præsentationstabeller 1'!$C$2),0)</f>
        <v/>
      </c>
      <c r="E518" t="str" vm="11795">
        <f>IFERROR(CUBEVALUE("BIDB",$A518,E$3,E$2,'Præsentationstabeller 1'!$C$2),0)</f>
        <v/>
      </c>
      <c r="F518" t="str" vm="8889">
        <f>IFERROR(CUBEVALUE("BIDB",$A518,F$3,F$2,'Præsentationstabeller 1'!$C$2),0)</f>
        <v/>
      </c>
      <c r="G518" t="str" vm="8715">
        <f>IFERROR(CUBEVALUE("BIDB",$A518,G$3,G$2,'Præsentationstabeller 1'!$C$2),0)</f>
        <v/>
      </c>
      <c r="H518" t="str" vm="11595">
        <f>IFERROR(CUBEVALUE("BIDB",$A518,H$3,H$2,'Præsentationstabeller 1'!$C$2),0)</f>
        <v/>
      </c>
      <c r="I518" t="str" vm="8459">
        <f>IFERROR(CUBEVALUE("BIDB",$A518,I$3,I$2,'Præsentationstabeller 1'!$C$2),0)</f>
        <v/>
      </c>
      <c r="J518" t="str" vm="7354">
        <f>IFERROR(CUBEVALUE("BIDB",$A518,J$3,J$2,'Præsentationstabeller 1'!$C$2),0)</f>
        <v/>
      </c>
      <c r="K518" t="str" vm="7347">
        <f>IFERROR(CUBEVALUE("BIDB",$A518,K$3,K$2,'Præsentationstabeller 1'!$C$2),0)</f>
        <v/>
      </c>
      <c r="L518" t="str" vm="8751">
        <f>IFERROR(CUBEVALUE("BIDB",$A518,L$3,L$2,'Præsentationstabeller 1'!$C$2),0)</f>
        <v/>
      </c>
    </row>
    <row r="519" spans="1:12" x14ac:dyDescent="0.3">
      <c r="A519" s="123" t="str" vm="817">
        <f>CUBEMEMBER("BIDB","[Dimittenddato].[Dimittenddato].&amp;[2012-07-26T00:00:00]")</f>
        <v>26-07-2012</v>
      </c>
      <c r="B519" t="str" vm="8900">
        <f>IFERROR(CUBEVALUE("BIDB",$A519,B$3,'Præsentationstabeller 1'!$C$2),0)</f>
        <v/>
      </c>
      <c r="C519" t="str" vm="5284">
        <f>IFERROR(CUBEVALUE("BIDB",$A519,C$3,C$2,'Præsentationstabeller 1'!$C$2),0)</f>
        <v/>
      </c>
      <c r="D519" t="str" vm="7846">
        <f>IFERROR(CUBEVALUE("BIDB",$A519,D$3,D$2,'Præsentationstabeller 1'!$C$2),0)</f>
        <v/>
      </c>
      <c r="E519" vm="14099">
        <f>IFERROR(CUBEVALUE("BIDB",$A519,E$3,E$2,'Præsentationstabeller 1'!$C$2),0)</f>
        <v>1</v>
      </c>
      <c r="F519" t="str" vm="8619">
        <f>IFERROR(CUBEVALUE("BIDB",$A519,F$3,F$2,'Præsentationstabeller 1'!$C$2),0)</f>
        <v/>
      </c>
      <c r="G519" vm="11941">
        <f>IFERROR(CUBEVALUE("BIDB",$A519,G$3,G$2,'Præsentationstabeller 1'!$C$2),0)</f>
        <v>1</v>
      </c>
      <c r="H519" t="str" vm="8765">
        <f>IFERROR(CUBEVALUE("BIDB",$A519,H$3,H$2,'Præsentationstabeller 1'!$C$2),0)</f>
        <v/>
      </c>
      <c r="I519" t="str" vm="8683">
        <f>IFERROR(CUBEVALUE("BIDB",$A519,I$3,I$2,'Præsentationstabeller 1'!$C$2),0)</f>
        <v/>
      </c>
      <c r="J519" t="str" vm="13331">
        <f>IFERROR(CUBEVALUE("BIDB",$A519,J$3,J$2,'Præsentationstabeller 1'!$C$2),0)</f>
        <v/>
      </c>
      <c r="K519" t="str" vm="13512">
        <f>IFERROR(CUBEVALUE("BIDB",$A519,K$3,K$2,'Præsentationstabeller 1'!$C$2),0)</f>
        <v/>
      </c>
      <c r="L519" t="str" vm="12304">
        <f>IFERROR(CUBEVALUE("BIDB",$A519,L$3,L$2,'Præsentationstabeller 1'!$C$2),0)</f>
        <v/>
      </c>
    </row>
    <row r="520" spans="1:12" x14ac:dyDescent="0.3">
      <c r="A520" s="123" t="str" vm="816">
        <f>CUBEMEMBER("BIDB","[Dimittenddato].[Dimittenddato].&amp;[2012-07-27T00:00:00]")</f>
        <v>27-07-2012</v>
      </c>
      <c r="B520" t="str" vm="7669">
        <f>IFERROR(CUBEVALUE("BIDB",$A520,B$3,'Præsentationstabeller 1'!$C$2),0)</f>
        <v/>
      </c>
      <c r="C520" t="str" vm="8892">
        <f>IFERROR(CUBEVALUE("BIDB",$A520,C$3,C$2,'Præsentationstabeller 1'!$C$2),0)</f>
        <v/>
      </c>
      <c r="D520" t="str" vm="7057">
        <f>IFERROR(CUBEVALUE("BIDB",$A520,D$3,D$2,'Præsentationstabeller 1'!$C$2),0)</f>
        <v/>
      </c>
      <c r="E520" vm="5411">
        <f>IFERROR(CUBEVALUE("BIDB",$A520,E$3,E$2,'Præsentationstabeller 1'!$C$2),0)</f>
        <v>2</v>
      </c>
      <c r="F520" t="str" vm="10849">
        <f>IFERROR(CUBEVALUE("BIDB",$A520,F$3,F$2,'Præsentationstabeller 1'!$C$2),0)</f>
        <v/>
      </c>
      <c r="G520" vm="10488">
        <f>IFERROR(CUBEVALUE("BIDB",$A520,G$3,G$2,'Præsentationstabeller 1'!$C$2),0)</f>
        <v>2</v>
      </c>
      <c r="H520" t="str" vm="8673">
        <f>IFERROR(CUBEVALUE("BIDB",$A520,H$3,H$2,'Præsentationstabeller 1'!$C$2),0)</f>
        <v/>
      </c>
      <c r="I520" t="str" vm="10997">
        <f>IFERROR(CUBEVALUE("BIDB",$A520,I$3,I$2,'Præsentationstabeller 1'!$C$2),0)</f>
        <v/>
      </c>
      <c r="J520" t="str" vm="6465">
        <f>IFERROR(CUBEVALUE("BIDB",$A520,J$3,J$2,'Præsentationstabeller 1'!$C$2),0)</f>
        <v/>
      </c>
      <c r="K520" t="str" vm="16855">
        <f>IFERROR(CUBEVALUE("BIDB",$A520,K$3,K$2,'Præsentationstabeller 1'!$C$2),0)</f>
        <v/>
      </c>
      <c r="L520" t="str" vm="8405">
        <f>IFERROR(CUBEVALUE("BIDB",$A520,L$3,L$2,'Præsentationstabeller 1'!$C$2),0)</f>
        <v/>
      </c>
    </row>
    <row r="521" spans="1:12" x14ac:dyDescent="0.3">
      <c r="A521" s="123" t="str" vm="815">
        <f>CUBEMEMBER("BIDB","[Dimittenddato].[Dimittenddato].&amp;[2012-07-28T00:00:00]")</f>
        <v>28-07-2012</v>
      </c>
      <c r="B521" t="str" vm="8471">
        <f>IFERROR(CUBEVALUE("BIDB",$A521,B$3,'Præsentationstabeller 1'!$C$2),0)</f>
        <v/>
      </c>
      <c r="C521" t="str" vm="8692">
        <f>IFERROR(CUBEVALUE("BIDB",$A521,C$3,C$2,'Præsentationstabeller 1'!$C$2),0)</f>
        <v/>
      </c>
      <c r="D521" t="str" vm="7662">
        <f>IFERROR(CUBEVALUE("BIDB",$A521,D$3,D$2,'Præsentationstabeller 1'!$C$2),0)</f>
        <v/>
      </c>
      <c r="E521" t="str" vm="8717">
        <f>IFERROR(CUBEVALUE("BIDB",$A521,E$3,E$2,'Præsentationstabeller 1'!$C$2),0)</f>
        <v/>
      </c>
      <c r="F521" t="str" vm="8793">
        <f>IFERROR(CUBEVALUE("BIDB",$A521,F$3,F$2,'Præsentationstabeller 1'!$C$2),0)</f>
        <v/>
      </c>
      <c r="G521" t="str" vm="12324">
        <f>IFERROR(CUBEVALUE("BIDB",$A521,G$3,G$2,'Præsentationstabeller 1'!$C$2),0)</f>
        <v/>
      </c>
      <c r="H521" t="str" vm="8724">
        <f>IFERROR(CUBEVALUE("BIDB",$A521,H$3,H$2,'Præsentationstabeller 1'!$C$2),0)</f>
        <v/>
      </c>
      <c r="I521" t="str" vm="11943">
        <f>IFERROR(CUBEVALUE("BIDB",$A521,I$3,I$2,'Præsentationstabeller 1'!$C$2),0)</f>
        <v/>
      </c>
      <c r="J521" t="str" vm="7065">
        <f>IFERROR(CUBEVALUE("BIDB",$A521,J$3,J$2,'Præsentationstabeller 1'!$C$2),0)</f>
        <v/>
      </c>
      <c r="K521" t="str" vm="10962">
        <f>IFERROR(CUBEVALUE("BIDB",$A521,K$3,K$2,'Præsentationstabeller 1'!$C$2),0)</f>
        <v/>
      </c>
      <c r="L521" t="str" vm="13053">
        <f>IFERROR(CUBEVALUE("BIDB",$A521,L$3,L$2,'Præsentationstabeller 1'!$C$2),0)</f>
        <v/>
      </c>
    </row>
    <row r="522" spans="1:12" x14ac:dyDescent="0.3">
      <c r="A522" s="123" t="str" vm="814">
        <f>CUBEMEMBER("BIDB","[Dimittenddato].[Dimittenddato].&amp;[2012-07-29T00:00:00]")</f>
        <v>29-07-2012</v>
      </c>
      <c r="B522" t="str" vm="7557">
        <f>IFERROR(CUBEVALUE("BIDB",$A522,B$3,'Præsentationstabeller 1'!$C$2),0)</f>
        <v/>
      </c>
      <c r="C522" t="str" vm="12475">
        <f>IFERROR(CUBEVALUE("BIDB",$A522,C$3,C$2,'Præsentationstabeller 1'!$C$2),0)</f>
        <v/>
      </c>
      <c r="D522" t="str" vm="7566">
        <f>IFERROR(CUBEVALUE("BIDB",$A522,D$3,D$2,'Præsentationstabeller 1'!$C$2),0)</f>
        <v/>
      </c>
      <c r="E522" t="str" vm="7084">
        <f>IFERROR(CUBEVALUE("BIDB",$A522,E$3,E$2,'Præsentationstabeller 1'!$C$2),0)</f>
        <v/>
      </c>
      <c r="F522" t="str" vm="9654">
        <f>IFERROR(CUBEVALUE("BIDB",$A522,F$3,F$2,'Præsentationstabeller 1'!$C$2),0)</f>
        <v/>
      </c>
      <c r="G522" t="str" vm="6433">
        <f>IFERROR(CUBEVALUE("BIDB",$A522,G$3,G$2,'Præsentationstabeller 1'!$C$2),0)</f>
        <v/>
      </c>
      <c r="H522" t="str" vm="9649">
        <f>IFERROR(CUBEVALUE("BIDB",$A522,H$3,H$2,'Præsentationstabeller 1'!$C$2),0)</f>
        <v/>
      </c>
      <c r="I522" t="str" vm="11017">
        <f>IFERROR(CUBEVALUE("BIDB",$A522,I$3,I$2,'Præsentationstabeller 1'!$C$2),0)</f>
        <v/>
      </c>
      <c r="J522" t="str" vm="8516">
        <f>IFERROR(CUBEVALUE("BIDB",$A522,J$3,J$2,'Præsentationstabeller 1'!$C$2),0)</f>
        <v/>
      </c>
      <c r="K522" t="str" vm="8685">
        <f>IFERROR(CUBEVALUE("BIDB",$A522,K$3,K$2,'Præsentationstabeller 1'!$C$2),0)</f>
        <v/>
      </c>
      <c r="L522" t="str" vm="9734">
        <f>IFERROR(CUBEVALUE("BIDB",$A522,L$3,L$2,'Præsentationstabeller 1'!$C$2),0)</f>
        <v/>
      </c>
    </row>
    <row r="523" spans="1:12" x14ac:dyDescent="0.3">
      <c r="A523" s="123" t="str" vm="813">
        <f>CUBEMEMBER("BIDB","[Dimittenddato].[Dimittenddato].&amp;[2012-07-30T00:00:00]")</f>
        <v>30-07-2012</v>
      </c>
      <c r="B523" t="str" vm="6441">
        <f>IFERROR(CUBEVALUE("BIDB",$A523,B$3,'Præsentationstabeller 1'!$C$2),0)</f>
        <v/>
      </c>
      <c r="C523" t="str" vm="6648">
        <f>IFERROR(CUBEVALUE("BIDB",$A523,C$3,C$2,'Præsentationstabeller 1'!$C$2),0)</f>
        <v/>
      </c>
      <c r="D523" t="str" vm="12525">
        <f>IFERROR(CUBEVALUE("BIDB",$A523,D$3,D$2,'Præsentationstabeller 1'!$C$2),0)</f>
        <v/>
      </c>
      <c r="E523" t="str" vm="10881">
        <f>IFERROR(CUBEVALUE("BIDB",$A523,E$3,E$2,'Præsentationstabeller 1'!$C$2),0)</f>
        <v/>
      </c>
      <c r="F523" t="str" vm="7463">
        <f>IFERROR(CUBEVALUE("BIDB",$A523,F$3,F$2,'Præsentationstabeller 1'!$C$2),0)</f>
        <v/>
      </c>
      <c r="G523" t="str" vm="13509">
        <f>IFERROR(CUBEVALUE("BIDB",$A523,G$3,G$2,'Præsentationstabeller 1'!$C$2),0)</f>
        <v/>
      </c>
      <c r="H523" t="str" vm="9225">
        <f>IFERROR(CUBEVALUE("BIDB",$A523,H$3,H$2,'Præsentationstabeller 1'!$C$2),0)</f>
        <v/>
      </c>
      <c r="I523" t="str" vm="16395">
        <f>IFERROR(CUBEVALUE("BIDB",$A523,I$3,I$2,'Præsentationstabeller 1'!$C$2),0)</f>
        <v/>
      </c>
      <c r="J523" t="str" vm="7541">
        <f>IFERROR(CUBEVALUE("BIDB",$A523,J$3,J$2,'Præsentationstabeller 1'!$C$2),0)</f>
        <v/>
      </c>
      <c r="K523" t="str" vm="13695">
        <f>IFERROR(CUBEVALUE("BIDB",$A523,K$3,K$2,'Præsentationstabeller 1'!$C$2),0)</f>
        <v/>
      </c>
      <c r="L523" t="str" vm="8801">
        <f>IFERROR(CUBEVALUE("BIDB",$A523,L$3,L$2,'Præsentationstabeller 1'!$C$2),0)</f>
        <v/>
      </c>
    </row>
    <row r="524" spans="1:12" x14ac:dyDescent="0.3">
      <c r="A524" s="123" t="str" vm="812">
        <f>CUBEMEMBER("BIDB","[Dimittenddato].[Dimittenddato].&amp;[2012-07-31T00:00:00]")</f>
        <v>31-07-2012</v>
      </c>
      <c r="B524" t="str" vm="11966">
        <f>IFERROR(CUBEVALUE("BIDB",$A524,B$3,'Præsentationstabeller 1'!$C$2),0)</f>
        <v/>
      </c>
      <c r="C524" t="str" vm="10229">
        <f>IFERROR(CUBEVALUE("BIDB",$A524,C$3,C$2,'Præsentationstabeller 1'!$C$2),0)</f>
        <v/>
      </c>
      <c r="D524" vm="7107">
        <f>IFERROR(CUBEVALUE("BIDB",$A524,D$3,D$2,'Præsentationstabeller 1'!$C$2),0)</f>
        <v>1</v>
      </c>
      <c r="E524" vm="6775">
        <f>IFERROR(CUBEVALUE("BIDB",$A524,E$3,E$2,'Præsentationstabeller 1'!$C$2),0)</f>
        <v>4</v>
      </c>
      <c r="F524" t="str" vm="11167">
        <f>IFERROR(CUBEVALUE("BIDB",$A524,F$3,F$2,'Præsentationstabeller 1'!$C$2),0)</f>
        <v/>
      </c>
      <c r="G524" vm="8820">
        <f>IFERROR(CUBEVALUE("BIDB",$A524,G$3,G$2,'Præsentationstabeller 1'!$C$2),0)</f>
        <v>4</v>
      </c>
      <c r="H524" t="str" vm="7559">
        <f>IFERROR(CUBEVALUE("BIDB",$A524,H$3,H$2,'Præsentationstabeller 1'!$C$2),0)</f>
        <v/>
      </c>
      <c r="I524" t="str" vm="6654">
        <f>IFERROR(CUBEVALUE("BIDB",$A524,I$3,I$2,'Præsentationstabeller 1'!$C$2),0)</f>
        <v/>
      </c>
      <c r="J524" t="str" vm="8666">
        <f>IFERROR(CUBEVALUE("BIDB",$A524,J$3,J$2,'Præsentationstabeller 1'!$C$2),0)</f>
        <v/>
      </c>
      <c r="K524" t="str" vm="9659">
        <f>IFERROR(CUBEVALUE("BIDB",$A524,K$3,K$2,'Præsentationstabeller 1'!$C$2),0)</f>
        <v/>
      </c>
      <c r="L524" t="str" vm="8852">
        <f>IFERROR(CUBEVALUE("BIDB",$A524,L$3,L$2,'Præsentationstabeller 1'!$C$2),0)</f>
        <v/>
      </c>
    </row>
    <row r="525" spans="1:12" x14ac:dyDescent="0.3">
      <c r="A525" s="123" t="str" vm="811">
        <f>CUBEMEMBER("BIDB","[Dimittenddato].[Dimittenddato].&amp;[2012-08-01T00:00:00]")</f>
        <v>01-08-2012</v>
      </c>
      <c r="B525" t="str" vm="15999">
        <f>IFERROR(CUBEVALUE("BIDB",$A525,B$3,'Præsentationstabeller 1'!$C$2),0)</f>
        <v/>
      </c>
      <c r="C525" t="str" vm="8413">
        <f>IFERROR(CUBEVALUE("BIDB",$A525,C$3,C$2,'Præsentationstabeller 1'!$C$2),0)</f>
        <v/>
      </c>
      <c r="D525" vm="10226">
        <f>IFERROR(CUBEVALUE("BIDB",$A525,D$3,D$2,'Præsentationstabeller 1'!$C$2),0)</f>
        <v>2</v>
      </c>
      <c r="E525" vm="8184">
        <f>IFERROR(CUBEVALUE("BIDB",$A525,E$3,E$2,'Præsentationstabeller 1'!$C$2),0)</f>
        <v>9</v>
      </c>
      <c r="F525" vm="7075">
        <f>IFERROR(CUBEVALUE("BIDB",$A525,F$3,F$2,'Præsentationstabeller 1'!$C$2),0)</f>
        <v>1</v>
      </c>
      <c r="G525" vm="15871">
        <f>IFERROR(CUBEVALUE("BIDB",$A525,G$3,G$2,'Præsentationstabeller 1'!$C$2),0)</f>
        <v>10</v>
      </c>
      <c r="H525" t="str" vm="9442">
        <f>IFERROR(CUBEVALUE("BIDB",$A525,H$3,H$2,'Præsentationstabeller 1'!$C$2),0)</f>
        <v/>
      </c>
      <c r="I525" t="str" vm="10150">
        <f>IFERROR(CUBEVALUE("BIDB",$A525,I$3,I$2,'Præsentationstabeller 1'!$C$2),0)</f>
        <v/>
      </c>
      <c r="J525" t="str" vm="7109">
        <f>IFERROR(CUBEVALUE("BIDB",$A525,J$3,J$2,'Præsentationstabeller 1'!$C$2),0)</f>
        <v/>
      </c>
      <c r="K525" t="str" vm="6047">
        <f>IFERROR(CUBEVALUE("BIDB",$A525,K$3,K$2,'Præsentationstabeller 1'!$C$2),0)</f>
        <v/>
      </c>
      <c r="L525" t="str" vm="8020">
        <f>IFERROR(CUBEVALUE("BIDB",$A525,L$3,L$2,'Præsentationstabeller 1'!$C$2),0)</f>
        <v/>
      </c>
    </row>
    <row r="526" spans="1:12" x14ac:dyDescent="0.3">
      <c r="A526" s="123" t="str" vm="810">
        <f>CUBEMEMBER("BIDB","[Dimittenddato].[Dimittenddato].&amp;[2012-08-02T00:00:00]")</f>
        <v>02-08-2012</v>
      </c>
      <c r="B526" t="str" vm="5156">
        <f>IFERROR(CUBEVALUE("BIDB",$A526,B$3,'Præsentationstabeller 1'!$C$2),0)</f>
        <v/>
      </c>
      <c r="C526" t="str" vm="12463">
        <f>IFERROR(CUBEVALUE("BIDB",$A526,C$3,C$2,'Præsentationstabeller 1'!$C$2),0)</f>
        <v/>
      </c>
      <c r="D526" t="str" vm="9278">
        <f>IFERROR(CUBEVALUE("BIDB",$A526,D$3,D$2,'Præsentationstabeller 1'!$C$2),0)</f>
        <v/>
      </c>
      <c r="E526" t="str" vm="8235">
        <f>IFERROR(CUBEVALUE("BIDB",$A526,E$3,E$2,'Præsentationstabeller 1'!$C$2),0)</f>
        <v/>
      </c>
      <c r="F526" vm="6055">
        <f>IFERROR(CUBEVALUE("BIDB",$A526,F$3,F$2,'Præsentationstabeller 1'!$C$2),0)</f>
        <v>1</v>
      </c>
      <c r="G526" vm="6209">
        <f>IFERROR(CUBEVALUE("BIDB",$A526,G$3,G$2,'Præsentationstabeller 1'!$C$2),0)</f>
        <v>1</v>
      </c>
      <c r="H526" t="str" vm="12311">
        <f>IFERROR(CUBEVALUE("BIDB",$A526,H$3,H$2,'Præsentationstabeller 1'!$C$2),0)</f>
        <v/>
      </c>
      <c r="I526" t="str" vm="11624">
        <f>IFERROR(CUBEVALUE("BIDB",$A526,I$3,I$2,'Præsentationstabeller 1'!$C$2),0)</f>
        <v/>
      </c>
      <c r="J526" t="str" vm="9135">
        <f>IFERROR(CUBEVALUE("BIDB",$A526,J$3,J$2,'Præsentationstabeller 1'!$C$2),0)</f>
        <v/>
      </c>
      <c r="K526" t="str" vm="6781">
        <f>IFERROR(CUBEVALUE("BIDB",$A526,K$3,K$2,'Præsentationstabeller 1'!$C$2),0)</f>
        <v/>
      </c>
      <c r="L526" t="str" vm="6803">
        <f>IFERROR(CUBEVALUE("BIDB",$A526,L$3,L$2,'Præsentationstabeller 1'!$C$2),0)</f>
        <v/>
      </c>
    </row>
    <row r="527" spans="1:12" x14ac:dyDescent="0.3">
      <c r="A527" s="123" t="str" vm="809">
        <f>CUBEMEMBER("BIDB","[Dimittenddato].[Dimittenddato].&amp;[2012-08-03T00:00:00]")</f>
        <v>03-08-2012</v>
      </c>
      <c r="B527" t="str" vm="6217">
        <f>IFERROR(CUBEVALUE("BIDB",$A527,B$3,'Præsentationstabeller 1'!$C$2),0)</f>
        <v/>
      </c>
      <c r="C527" t="str" vm="8304">
        <f>IFERROR(CUBEVALUE("BIDB",$A527,C$3,C$2,'Præsentationstabeller 1'!$C$2),0)</f>
        <v/>
      </c>
      <c r="D527" t="str" vm="11706">
        <f>IFERROR(CUBEVALUE("BIDB",$A527,D$3,D$2,'Præsentationstabeller 1'!$C$2),0)</f>
        <v/>
      </c>
      <c r="E527" vm="8161">
        <f>IFERROR(CUBEVALUE("BIDB",$A527,E$3,E$2,'Præsentationstabeller 1'!$C$2),0)</f>
        <v>4</v>
      </c>
      <c r="F527" t="str" vm="9690">
        <f>IFERROR(CUBEVALUE("BIDB",$A527,F$3,F$2,'Præsentationstabeller 1'!$C$2),0)</f>
        <v/>
      </c>
      <c r="G527" vm="6811">
        <f>IFERROR(CUBEVALUE("BIDB",$A527,G$3,G$2,'Præsentationstabeller 1'!$C$2),0)</f>
        <v>4</v>
      </c>
      <c r="H527" t="str" vm="14420">
        <f>IFERROR(CUBEVALUE("BIDB",$A527,H$3,H$2,'Præsentationstabeller 1'!$C$2),0)</f>
        <v/>
      </c>
      <c r="I527" t="str" vm="8276">
        <f>IFERROR(CUBEVALUE("BIDB",$A527,I$3,I$2,'Præsentationstabeller 1'!$C$2),0)</f>
        <v/>
      </c>
      <c r="J527" t="str" vm="11004">
        <f>IFERROR(CUBEVALUE("BIDB",$A527,J$3,J$2,'Præsentationstabeller 1'!$C$2),0)</f>
        <v/>
      </c>
      <c r="K527" t="str" vm="8203">
        <f>IFERROR(CUBEVALUE("BIDB",$A527,K$3,K$2,'Præsentationstabeller 1'!$C$2),0)</f>
        <v/>
      </c>
      <c r="L527" t="str" vm="7077">
        <f>IFERROR(CUBEVALUE("BIDB",$A527,L$3,L$2,'Præsentationstabeller 1'!$C$2),0)</f>
        <v/>
      </c>
    </row>
    <row r="528" spans="1:12" x14ac:dyDescent="0.3">
      <c r="A528" s="123" t="str" vm="808">
        <f>CUBEMEMBER("BIDB","[Dimittenddato].[Dimittenddato].&amp;[2012-08-04T00:00:00]")</f>
        <v>04-08-2012</v>
      </c>
      <c r="B528" t="str" vm="6830">
        <f>IFERROR(CUBEVALUE("BIDB",$A528,B$3,'Præsentationstabeller 1'!$C$2),0)</f>
        <v/>
      </c>
      <c r="C528" t="str" vm="15678">
        <f>IFERROR(CUBEVALUE("BIDB",$A528,C$3,C$2,'Præsentationstabeller 1'!$C$2),0)</f>
        <v/>
      </c>
      <c r="D528" t="str" vm="6177">
        <f>IFERROR(CUBEVALUE("BIDB",$A528,D$3,D$2,'Præsentationstabeller 1'!$C$2),0)</f>
        <v/>
      </c>
      <c r="E528" t="str" vm="8604">
        <f>IFERROR(CUBEVALUE("BIDB",$A528,E$3,E$2,'Præsentationstabeller 1'!$C$2),0)</f>
        <v/>
      </c>
      <c r="F528" t="str" vm="9807">
        <f>IFERROR(CUBEVALUE("BIDB",$A528,F$3,F$2,'Præsentationstabeller 1'!$C$2),0)</f>
        <v/>
      </c>
      <c r="G528" t="str" vm="10152">
        <f>IFERROR(CUBEVALUE("BIDB",$A528,G$3,G$2,'Præsentationstabeller 1'!$C$2),0)</f>
        <v/>
      </c>
      <c r="H528" t="str" vm="5164">
        <f>IFERROR(CUBEVALUE("BIDB",$A528,H$3,H$2,'Præsentationstabeller 1'!$C$2),0)</f>
        <v/>
      </c>
      <c r="I528" t="str" vm="8312">
        <f>IFERROR(CUBEVALUE("BIDB",$A528,I$3,I$2,'Præsentationstabeller 1'!$C$2),0)</f>
        <v/>
      </c>
      <c r="J528" t="str" vm="7454">
        <f>IFERROR(CUBEVALUE("BIDB",$A528,J$3,J$2,'Præsentationstabeller 1'!$C$2),0)</f>
        <v/>
      </c>
      <c r="K528" t="str" vm="9988">
        <f>IFERROR(CUBEVALUE("BIDB",$A528,K$3,K$2,'Præsentationstabeller 1'!$C$2),0)</f>
        <v/>
      </c>
      <c r="L528" t="str" vm="9032">
        <f>IFERROR(CUBEVALUE("BIDB",$A528,L$3,L$2,'Præsentationstabeller 1'!$C$2),0)</f>
        <v/>
      </c>
    </row>
    <row r="529" spans="1:12" x14ac:dyDescent="0.3">
      <c r="A529" s="123" t="str" vm="807">
        <f>CUBEMEMBER("BIDB","[Dimittenddato].[Dimittenddato].&amp;[2012-08-05T00:00:00]")</f>
        <v>05-08-2012</v>
      </c>
      <c r="B529" t="str" vm="12471">
        <f>IFERROR(CUBEVALUE("BIDB",$A529,B$3,'Præsentationstabeller 1'!$C$2),0)</f>
        <v/>
      </c>
      <c r="C529" t="str" vm="8929">
        <f>IFERROR(CUBEVALUE("BIDB",$A529,C$3,C$2,'Præsentationstabeller 1'!$C$2),0)</f>
        <v/>
      </c>
      <c r="D529" t="str" vm="8282">
        <f>IFERROR(CUBEVALUE("BIDB",$A529,D$3,D$2,'Præsentationstabeller 1'!$C$2),0)</f>
        <v/>
      </c>
      <c r="E529" t="str" vm="7456">
        <f>IFERROR(CUBEVALUE("BIDB",$A529,E$3,E$2,'Præsentationstabeller 1'!$C$2),0)</f>
        <v/>
      </c>
      <c r="F529" t="str" vm="6634">
        <f>IFERROR(CUBEVALUE("BIDB",$A529,F$3,F$2,'Præsentationstabeller 1'!$C$2),0)</f>
        <v/>
      </c>
      <c r="G529" t="str" vm="7438">
        <f>IFERROR(CUBEVALUE("BIDB",$A529,G$3,G$2,'Præsentationstabeller 1'!$C$2),0)</f>
        <v/>
      </c>
      <c r="H529" t="str" vm="9395">
        <f>IFERROR(CUBEVALUE("BIDB",$A529,H$3,H$2,'Præsentationstabeller 1'!$C$2),0)</f>
        <v/>
      </c>
      <c r="I529" t="str" vm="8363">
        <f>IFERROR(CUBEVALUE("BIDB",$A529,I$3,I$2,'Præsentationstabeller 1'!$C$2),0)</f>
        <v/>
      </c>
      <c r="J529" t="str" vm="6185">
        <f>IFERROR(CUBEVALUE("BIDB",$A529,J$3,J$2,'Præsentationstabeller 1'!$C$2),0)</f>
        <v/>
      </c>
      <c r="K529" t="str" vm="8597">
        <f>IFERROR(CUBEVALUE("BIDB",$A529,K$3,K$2,'Præsentationstabeller 1'!$C$2),0)</f>
        <v/>
      </c>
      <c r="L529" t="str" vm="11170">
        <f>IFERROR(CUBEVALUE("BIDB",$A529,L$3,L$2,'Præsentationstabeller 1'!$C$2),0)</f>
        <v/>
      </c>
    </row>
    <row r="530" spans="1:12" x14ac:dyDescent="0.3">
      <c r="A530" s="123" t="str" vm="806">
        <f>CUBEMEMBER("BIDB","[Dimittenddato].[Dimittenddato].&amp;[2012-08-06T00:00:00]")</f>
        <v>06-08-2012</v>
      </c>
      <c r="B530" t="str" vm="6393">
        <f>IFERROR(CUBEVALUE("BIDB",$A530,B$3,'Præsentationstabeller 1'!$C$2),0)</f>
        <v/>
      </c>
      <c r="C530" vm="9685">
        <f>IFERROR(CUBEVALUE("BIDB",$A530,C$3,C$2,'Præsentationstabeller 1'!$C$2),0)</f>
        <v>1</v>
      </c>
      <c r="D530" t="str" vm="8331">
        <f>IFERROR(CUBEVALUE("BIDB",$A530,D$3,D$2,'Præsentationstabeller 1'!$C$2),0)</f>
        <v/>
      </c>
      <c r="E530" t="str" vm="10239">
        <f>IFERROR(CUBEVALUE("BIDB",$A530,E$3,E$2,'Præsentationstabeller 1'!$C$2),0)</f>
        <v/>
      </c>
      <c r="F530" t="str" vm="7621">
        <f>IFERROR(CUBEVALUE("BIDB",$A530,F$3,F$2,'Præsentationstabeller 1'!$C$2),0)</f>
        <v/>
      </c>
      <c r="G530" t="str" vm="8177">
        <f>IFERROR(CUBEVALUE("BIDB",$A530,G$3,G$2,'Præsentationstabeller 1'!$C$2),0)</f>
        <v/>
      </c>
      <c r="H530" t="str" vm="10710">
        <f>IFERROR(CUBEVALUE("BIDB",$A530,H$3,H$2,'Præsentationstabeller 1'!$C$2),0)</f>
        <v/>
      </c>
      <c r="I530" t="str" vm="7229">
        <f>IFERROR(CUBEVALUE("BIDB",$A530,I$3,I$2,'Præsentationstabeller 1'!$C$2),0)</f>
        <v/>
      </c>
      <c r="J530" t="str" vm="10051">
        <f>IFERROR(CUBEVALUE("BIDB",$A530,J$3,J$2,'Præsentationstabeller 1'!$C$2),0)</f>
        <v/>
      </c>
      <c r="K530" t="str" vm="8606">
        <f>IFERROR(CUBEVALUE("BIDB",$A530,K$3,K$2,'Præsentationstabeller 1'!$C$2),0)</f>
        <v/>
      </c>
      <c r="L530" t="str" vm="8843">
        <f>IFERROR(CUBEVALUE("BIDB",$A530,L$3,L$2,'Præsentationstabeller 1'!$C$2),0)</f>
        <v/>
      </c>
    </row>
    <row r="531" spans="1:12" x14ac:dyDescent="0.3">
      <c r="A531" s="123" t="str" vm="805">
        <f>CUBEMEMBER("BIDB","[Dimittenddato].[Dimittenddato].&amp;[2012-08-07T00:00:00]")</f>
        <v>07-08-2012</v>
      </c>
      <c r="B531" t="str" vm="7695">
        <f>IFERROR(CUBEVALUE("BIDB",$A531,B$3,'Præsentationstabeller 1'!$C$2),0)</f>
        <v/>
      </c>
      <c r="C531" vm="8811">
        <f>IFERROR(CUBEVALUE("BIDB",$A531,C$3,C$2,'Præsentationstabeller 1'!$C$2),0)</f>
        <v>1</v>
      </c>
      <c r="D531" vm="13125">
        <f>IFERROR(CUBEVALUE("BIDB",$A531,D$3,D$2,'Præsentationstabeller 1'!$C$2),0)</f>
        <v>1</v>
      </c>
      <c r="E531" vm="13105">
        <f>IFERROR(CUBEVALUE("BIDB",$A531,E$3,E$2,'Præsentationstabeller 1'!$C$2),0)</f>
        <v>6</v>
      </c>
      <c r="F531" t="str" vm="8122">
        <f>IFERROR(CUBEVALUE("BIDB",$A531,F$3,F$2,'Præsentationstabeller 1'!$C$2),0)</f>
        <v/>
      </c>
      <c r="G531" vm="8845">
        <f>IFERROR(CUBEVALUE("BIDB",$A531,G$3,G$2,'Præsentationstabeller 1'!$C$2),0)</f>
        <v>6</v>
      </c>
      <c r="H531" t="str" vm="5792">
        <f>IFERROR(CUBEVALUE("BIDB",$A531,H$3,H$2,'Præsentationstabeller 1'!$C$2),0)</f>
        <v/>
      </c>
      <c r="I531" t="str" vm="6548">
        <f>IFERROR(CUBEVALUE("BIDB",$A531,I$3,I$2,'Præsentationstabeller 1'!$C$2),0)</f>
        <v/>
      </c>
      <c r="J531" t="str" vm="9606">
        <f>IFERROR(CUBEVALUE("BIDB",$A531,J$3,J$2,'Præsentationstabeller 1'!$C$2),0)</f>
        <v/>
      </c>
      <c r="K531" t="str" vm="8130">
        <f>IFERROR(CUBEVALUE("BIDB",$A531,K$3,K$2,'Præsentationstabeller 1'!$C$2),0)</f>
        <v/>
      </c>
      <c r="L531" t="str" vm="6636">
        <f>IFERROR(CUBEVALUE("BIDB",$A531,L$3,L$2,'Præsentationstabeller 1'!$C$2),0)</f>
        <v/>
      </c>
    </row>
    <row r="532" spans="1:12" x14ac:dyDescent="0.3">
      <c r="A532" s="123" t="str" vm="804">
        <f>CUBEMEMBER("BIDB","[Dimittenddato].[Dimittenddato].&amp;[2012-08-08T00:00:00]")</f>
        <v>08-08-2012</v>
      </c>
      <c r="B532" t="str" vm="7746">
        <f>IFERROR(CUBEVALUE("BIDB",$A532,B$3,'Præsentationstabeller 1'!$C$2),0)</f>
        <v/>
      </c>
      <c r="C532" t="str" vm="5800">
        <f>IFERROR(CUBEVALUE("BIDB",$A532,C$3,C$2,'Præsentationstabeller 1'!$C$2),0)</f>
        <v/>
      </c>
      <c r="D532" vm="6972">
        <f>IFERROR(CUBEVALUE("BIDB",$A532,D$3,D$2,'Præsentationstabeller 1'!$C$2),0)</f>
        <v>2</v>
      </c>
      <c r="E532" vm="13536">
        <f>IFERROR(CUBEVALUE("BIDB",$A532,E$3,E$2,'Præsentationstabeller 1'!$C$2),0)</f>
        <v>6</v>
      </c>
      <c r="F532" t="str" vm="14580">
        <f>IFERROR(CUBEVALUE("BIDB",$A532,F$3,F$2,'Præsentationstabeller 1'!$C$2),0)</f>
        <v/>
      </c>
      <c r="G532" vm="8646">
        <f>IFERROR(CUBEVALUE("BIDB",$A532,G$3,G$2,'Præsentationstabeller 1'!$C$2),0)</f>
        <v>6</v>
      </c>
      <c r="H532" t="str" vm="6399">
        <f>IFERROR(CUBEVALUE("BIDB",$A532,H$3,H$2,'Præsentationstabeller 1'!$C$2),0)</f>
        <v/>
      </c>
      <c r="I532" t="str" vm="8813">
        <f>IFERROR(CUBEVALUE("BIDB",$A532,I$3,I$2,'Præsentationstabeller 1'!$C$2),0)</f>
        <v/>
      </c>
      <c r="J532" vm="5919">
        <f>IFERROR(CUBEVALUE("BIDB",$A532,J$3,J$2,'Præsentationstabeller 1'!$C$2),0)</f>
        <v>0.52</v>
      </c>
      <c r="K532" t="str" vm="7489">
        <f>IFERROR(CUBEVALUE("BIDB",$A532,K$3,K$2,'Præsentationstabeller 1'!$C$2),0)</f>
        <v/>
      </c>
      <c r="L532" vm="11742">
        <f>IFERROR(CUBEVALUE("BIDB",$A532,L$3,L$2,'Præsentationstabeller 1'!$C$2),0)</f>
        <v>0.52</v>
      </c>
    </row>
    <row r="533" spans="1:12" x14ac:dyDescent="0.3">
      <c r="A533" s="123" t="str" vm="803">
        <f>CUBEMEMBER("BIDB","[Dimittenddato].[Dimittenddato].&amp;[2012-08-09T00:00:00]")</f>
        <v>09-08-2012</v>
      </c>
      <c r="B533" t="str" vm="8058">
        <f>IFERROR(CUBEVALUE("BIDB",$A533,B$3,'Præsentationstabeller 1'!$C$2),0)</f>
        <v/>
      </c>
      <c r="C533" t="str" vm="7591">
        <f>IFERROR(CUBEVALUE("BIDB",$A533,C$3,C$2,'Præsentationstabeller 1'!$C$2),0)</f>
        <v/>
      </c>
      <c r="D533" t="str" vm="6556">
        <f>IFERROR(CUBEVALUE("BIDB",$A533,D$3,D$2,'Præsentationstabeller 1'!$C$2),0)</f>
        <v/>
      </c>
      <c r="E533" vm="5927">
        <f>IFERROR(CUBEVALUE("BIDB",$A533,E$3,E$2,'Præsentationstabeller 1'!$C$2),0)</f>
        <v>1</v>
      </c>
      <c r="F533" t="str" vm="6520">
        <f>IFERROR(CUBEVALUE("BIDB",$A533,F$3,F$2,'Præsentationstabeller 1'!$C$2),0)</f>
        <v/>
      </c>
      <c r="G533" vm="13236">
        <f>IFERROR(CUBEVALUE("BIDB",$A533,G$3,G$2,'Præsentationstabeller 1'!$C$2),0)</f>
        <v>1</v>
      </c>
      <c r="H533" t="str" vm="7714">
        <f>IFERROR(CUBEVALUE("BIDB",$A533,H$3,H$2,'Præsentationstabeller 1'!$C$2),0)</f>
        <v/>
      </c>
      <c r="I533" t="str" vm="8543">
        <f>IFERROR(CUBEVALUE("BIDB",$A533,I$3,I$2,'Præsentationstabeller 1'!$C$2),0)</f>
        <v/>
      </c>
      <c r="J533" t="str" vm="6980">
        <f>IFERROR(CUBEVALUE("BIDB",$A533,J$3,J$2,'Præsentationstabeller 1'!$C$2),0)</f>
        <v/>
      </c>
      <c r="K533" t="str" vm="7815">
        <f>IFERROR(CUBEVALUE("BIDB",$A533,K$3,K$2,'Præsentationstabeller 1'!$C$2),0)</f>
        <v/>
      </c>
      <c r="L533" t="str" vm="10562">
        <f>IFERROR(CUBEVALUE("BIDB",$A533,L$3,L$2,'Præsentationstabeller 1'!$C$2),0)</f>
        <v/>
      </c>
    </row>
    <row r="534" spans="1:12" x14ac:dyDescent="0.3">
      <c r="A534" s="123" t="str" vm="802">
        <f>CUBEMEMBER("BIDB","[Dimittenddato].[Dimittenddato].&amp;[2012-08-10T00:00:00]")</f>
        <v>10-08-2012</v>
      </c>
      <c r="B534" t="str" vm="8501">
        <f>IFERROR(CUBEVALUE("BIDB",$A534,B$3,'Præsentationstabeller 1'!$C$2),0)</f>
        <v/>
      </c>
      <c r="C534" vm="12268">
        <f>IFERROR(CUBEVALUE("BIDB",$A534,C$3,C$2,'Præsentationstabeller 1'!$C$2),0)</f>
        <v>2</v>
      </c>
      <c r="D534" t="str" vm="6607">
        <f>IFERROR(CUBEVALUE("BIDB",$A534,D$3,D$2,'Præsentationstabeller 1'!$C$2),0)</f>
        <v/>
      </c>
      <c r="E534" vm="11593">
        <f>IFERROR(CUBEVALUE("BIDB",$A534,E$3,E$2,'Præsentationstabeller 1'!$C$2),0)</f>
        <v>3</v>
      </c>
      <c r="F534" t="str" vm="7823">
        <f>IFERROR(CUBEVALUE("BIDB",$A534,F$3,F$2,'Præsentationstabeller 1'!$C$2),0)</f>
        <v/>
      </c>
      <c r="G534" vm="10954">
        <f>IFERROR(CUBEVALUE("BIDB",$A534,G$3,G$2,'Præsentationstabeller 1'!$C$2),0)</f>
        <v>3</v>
      </c>
      <c r="H534" t="str" vm="12443">
        <f>IFERROR(CUBEVALUE("BIDB",$A534,H$3,H$2,'Præsentationstabeller 1'!$C$2),0)</f>
        <v/>
      </c>
      <c r="I534" t="str" vm="9794">
        <f>IFERROR(CUBEVALUE("BIDB",$A534,I$3,I$2,'Præsentationstabeller 1'!$C$2),0)</f>
        <v/>
      </c>
      <c r="J534" t="str" vm="6575">
        <f>IFERROR(CUBEVALUE("BIDB",$A534,J$3,J$2,'Præsentationstabeller 1'!$C$2),0)</f>
        <v/>
      </c>
      <c r="K534" t="str" vm="11701">
        <f>IFERROR(CUBEVALUE("BIDB",$A534,K$3,K$2,'Præsentationstabeller 1'!$C$2),0)</f>
        <v/>
      </c>
      <c r="L534" t="str" vm="6940">
        <f>IFERROR(CUBEVALUE("BIDB",$A534,L$3,L$2,'Præsentationstabeller 1'!$C$2),0)</f>
        <v/>
      </c>
    </row>
    <row r="535" spans="1:12" x14ac:dyDescent="0.3">
      <c r="A535" s="123" t="str" vm="801">
        <f>CUBEMEMBER("BIDB","[Dimittenddato].[Dimittenddato].&amp;[2012-08-11T00:00:00]")</f>
        <v>11-08-2012</v>
      </c>
      <c r="B535" t="str" vm="9951">
        <f>IFERROR(CUBEVALUE("BIDB",$A535,B$3,'Præsentationstabeller 1'!$C$2),0)</f>
        <v/>
      </c>
      <c r="C535" t="str" vm="6761">
        <f>IFERROR(CUBEVALUE("BIDB",$A535,C$3,C$2,'Præsentationstabeller 1'!$C$2),0)</f>
        <v/>
      </c>
      <c r="D535" t="str" vm="10950">
        <f>IFERROR(CUBEVALUE("BIDB",$A535,D$3,D$2,'Præsentationstabeller 1'!$C$2),0)</f>
        <v/>
      </c>
      <c r="E535" t="str" vm="8098">
        <f>IFERROR(CUBEVALUE("BIDB",$A535,E$3,E$2,'Præsentationstabeller 1'!$C$2),0)</f>
        <v/>
      </c>
      <c r="F535" t="str" vm="7874">
        <f>IFERROR(CUBEVALUE("BIDB",$A535,F$3,F$2,'Præsentationstabeller 1'!$C$2),0)</f>
        <v/>
      </c>
      <c r="G535" t="str" vm="6948">
        <f>IFERROR(CUBEVALUE("BIDB",$A535,G$3,G$2,'Præsentationstabeller 1'!$C$2),0)</f>
        <v/>
      </c>
      <c r="H535" t="str" vm="7787">
        <f>IFERROR(CUBEVALUE("BIDB",$A535,H$3,H$2,'Præsentationstabeller 1'!$C$2),0)</f>
        <v/>
      </c>
      <c r="I535" t="str" vm="11675">
        <f>IFERROR(CUBEVALUE("BIDB",$A535,I$3,I$2,'Præsentationstabeller 1'!$C$2),0)</f>
        <v/>
      </c>
      <c r="J535" t="str" vm="15374">
        <f>IFERROR(CUBEVALUE("BIDB",$A535,J$3,J$2,'Præsentationstabeller 1'!$C$2),0)</f>
        <v/>
      </c>
      <c r="K535" t="str" vm="8440">
        <f>IFERROR(CUBEVALUE("BIDB",$A535,K$3,K$2,'Præsentationstabeller 1'!$C$2),0)</f>
        <v/>
      </c>
      <c r="L535" t="str" vm="6526">
        <f>IFERROR(CUBEVALUE("BIDB",$A535,L$3,L$2,'Præsentationstabeller 1'!$C$2),0)</f>
        <v/>
      </c>
    </row>
    <row r="536" spans="1:12" x14ac:dyDescent="0.3">
      <c r="A536" s="123" t="str" vm="800">
        <f>CUBEMEMBER("BIDB","[Dimittenddato].[Dimittenddato].&amp;[2012-08-12T00:00:00]")</f>
        <v>12-08-2012</v>
      </c>
      <c r="B536" t="str" vm="9648">
        <f>IFERROR(CUBEVALUE("BIDB",$A536,B$3,'Præsentationstabeller 1'!$C$2),0)</f>
        <v/>
      </c>
      <c r="C536" t="str" vm="7793">
        <f>IFERROR(CUBEVALUE("BIDB",$A536,C$3,C$2,'Præsentationstabeller 1'!$C$2),0)</f>
        <v/>
      </c>
      <c r="D536" t="str" vm="7184">
        <f>IFERROR(CUBEVALUE("BIDB",$A536,D$3,D$2,'Præsentationstabeller 1'!$C$2),0)</f>
        <v/>
      </c>
      <c r="E536" t="str" vm="5538">
        <f>IFERROR(CUBEVALUE("BIDB",$A536,E$3,E$2,'Præsentationstabeller 1'!$C$2),0)</f>
        <v/>
      </c>
      <c r="F536" t="str" vm="6324">
        <f>IFERROR(CUBEVALUE("BIDB",$A536,F$3,F$2,'Præsentationstabeller 1'!$C$2),0)</f>
        <v/>
      </c>
      <c r="G536" t="str" vm="10848">
        <f>IFERROR(CUBEVALUE("BIDB",$A536,G$3,G$2,'Præsentationstabeller 1'!$C$2),0)</f>
        <v/>
      </c>
      <c r="H536" t="str" vm="8503">
        <f>IFERROR(CUBEVALUE("BIDB",$A536,H$3,H$2,'Præsentationstabeller 1'!$C$2),0)</f>
        <v/>
      </c>
      <c r="I536" t="str" vm="6763">
        <f>IFERROR(CUBEVALUE("BIDB",$A536,I$3,I$2,'Præsentationstabeller 1'!$C$2),0)</f>
        <v/>
      </c>
      <c r="J536" t="str" vm="8494">
        <f>IFERROR(CUBEVALUE("BIDB",$A536,J$3,J$2,'Præsentationstabeller 1'!$C$2),0)</f>
        <v/>
      </c>
      <c r="K536" t="str" vm="8073">
        <f>IFERROR(CUBEVALUE("BIDB",$A536,K$3,K$2,'Præsentationstabeller 1'!$C$2),0)</f>
        <v/>
      </c>
      <c r="L536" t="str" vm="7842">
        <f>IFERROR(CUBEVALUE("BIDB",$A536,L$3,L$2,'Præsentationstabeller 1'!$C$2),0)</f>
        <v/>
      </c>
    </row>
    <row r="537" spans="1:12" x14ac:dyDescent="0.3">
      <c r="A537" s="123" t="str" vm="799">
        <f>CUBEMEMBER("BIDB","[Dimittenddato].[Dimittenddato].&amp;[2012-08-13T00:00:00]")</f>
        <v>13-08-2012</v>
      </c>
      <c r="B537" t="str" vm="9694">
        <f>IFERROR(CUBEVALUE("BIDB",$A537,B$3,'Præsentationstabeller 1'!$C$2),0)</f>
        <v/>
      </c>
      <c r="C537" t="str" vm="8019">
        <f>IFERROR(CUBEVALUE("BIDB",$A537,C$3,C$2,'Præsentationstabeller 1'!$C$2),0)</f>
        <v/>
      </c>
      <c r="D537" vm="9739">
        <f>IFERROR(CUBEVALUE("BIDB",$A537,D$3,D$2,'Præsentationstabeller 1'!$C$2),0)</f>
        <v>1</v>
      </c>
      <c r="E537" vm="7518">
        <f>IFERROR(CUBEVALUE("BIDB",$A537,E$3,E$2,'Præsentationstabeller 1'!$C$2),0)</f>
        <v>8</v>
      </c>
      <c r="F537" t="str" vm="6293">
        <f>IFERROR(CUBEVALUE("BIDB",$A537,F$3,F$2,'Præsentationstabeller 1'!$C$2),0)</f>
        <v/>
      </c>
      <c r="G537" vm="14504">
        <f>IFERROR(CUBEVALUE("BIDB",$A537,G$3,G$2,'Præsentationstabeller 1'!$C$2),0)</f>
        <v>8</v>
      </c>
      <c r="H537" t="str" vm="8027">
        <f>IFERROR(CUBEVALUE("BIDB",$A537,H$3,H$2,'Præsentationstabeller 1'!$C$2),0)</f>
        <v/>
      </c>
      <c r="I537" t="str" vm="11952">
        <f>IFERROR(CUBEVALUE("BIDB",$A537,I$3,I$2,'Præsentationstabeller 1'!$C$2),0)</f>
        <v/>
      </c>
      <c r="J537" vm="7206">
        <f>IFERROR(CUBEVALUE("BIDB",$A537,J$3,J$2,'Præsentationstabeller 1'!$C$2),0)</f>
        <v>1.4</v>
      </c>
      <c r="K537" t="str" vm="12697">
        <f>IFERROR(CUBEVALUE("BIDB",$A537,K$3,K$2,'Præsentationstabeller 1'!$C$2),0)</f>
        <v/>
      </c>
      <c r="L537" vm="16572">
        <f>IFERROR(CUBEVALUE("BIDB",$A537,L$3,L$2,'Præsentationstabeller 1'!$C$2),0)</f>
        <v>1.4</v>
      </c>
    </row>
    <row r="538" spans="1:12" x14ac:dyDescent="0.3">
      <c r="A538" s="123" t="str" vm="798">
        <f>CUBEMEMBER("BIDB","[Dimittenddato].[Dimittenddato].&amp;[2012-08-14T00:00:00]")</f>
        <v>14-08-2012</v>
      </c>
      <c r="B538" t="str" vm="10790">
        <f>IFERROR(CUBEVALUE("BIDB",$A538,B$3,'Præsentationstabeller 1'!$C$2),0)</f>
        <v/>
      </c>
      <c r="C538" vm="15727">
        <f>IFERROR(CUBEVALUE("BIDB",$A538,C$3,C$2,'Præsentationstabeller 1'!$C$2),0)</f>
        <v>2</v>
      </c>
      <c r="D538" vm="8157">
        <f>IFERROR(CUBEVALUE("BIDB",$A538,D$3,D$2,'Præsentationstabeller 1'!$C$2),0)</f>
        <v>1</v>
      </c>
      <c r="E538" vm="7225">
        <f>IFERROR(CUBEVALUE("BIDB",$A538,E$3,E$2,'Præsentationstabeller 1'!$C$2),0)</f>
        <v>8</v>
      </c>
      <c r="F538" vm="9737">
        <f>IFERROR(CUBEVALUE("BIDB",$A538,F$3,F$2,'Præsentationstabeller 1'!$C$2),0)</f>
        <v>1</v>
      </c>
      <c r="G538" vm="5664">
        <f>IFERROR(CUBEVALUE("BIDB",$A538,G$3,G$2,'Præsentationstabeller 1'!$C$2),0)</f>
        <v>9</v>
      </c>
      <c r="H538" t="str" vm="12431">
        <f>IFERROR(CUBEVALUE("BIDB",$A538,H$3,H$2,'Præsentationstabeller 1'!$C$2),0)</f>
        <v/>
      </c>
      <c r="I538" t="str" vm="9352">
        <f>IFERROR(CUBEVALUE("BIDB",$A538,I$3,I$2,'Præsentationstabeller 1'!$C$2),0)</f>
        <v/>
      </c>
      <c r="J538" t="str" vm="7257">
        <f>IFERROR(CUBEVALUE("BIDB",$A538,J$3,J$2,'Præsentationstabeller 1'!$C$2),0)</f>
        <v/>
      </c>
      <c r="K538" vm="5546">
        <f>IFERROR(CUBEVALUE("BIDB",$A538,K$3,K$2,'Præsentationstabeller 1'!$C$2),0)</f>
        <v>0</v>
      </c>
      <c r="L538" vm="6718">
        <f>IFERROR(CUBEVALUE("BIDB",$A538,L$3,L$2,'Præsentationstabeller 1'!$C$2),0)</f>
        <v>0</v>
      </c>
    </row>
    <row r="539" spans="1:12" x14ac:dyDescent="0.3">
      <c r="A539" s="123" t="str" vm="797">
        <f>CUBEMEMBER("BIDB","[Dimittenddato].[Dimittenddato].&amp;[2012-08-15T00:00:00]")</f>
        <v>15-08-2012</v>
      </c>
      <c r="B539" t="str" vm="5672">
        <f>IFERROR(CUBEVALUE("BIDB",$A539,B$3,'Præsentationstabeller 1'!$C$2),0)</f>
        <v/>
      </c>
      <c r="C539" t="str" vm="7156">
        <f>IFERROR(CUBEVALUE("BIDB",$A539,C$3,C$2,'Præsentationstabeller 1'!$C$2),0)</f>
        <v/>
      </c>
      <c r="D539" vm="11117">
        <f>IFERROR(CUBEVALUE("BIDB",$A539,D$3,D$2,'Præsentationstabeller 1'!$C$2),0)</f>
        <v>1</v>
      </c>
      <c r="E539" vm="11332">
        <f>IFERROR(CUBEVALUE("BIDB",$A539,E$3,E$2,'Præsentationstabeller 1'!$C$2),0)</f>
        <v>3</v>
      </c>
      <c r="F539" vm="8054">
        <f>IFERROR(CUBEVALUE("BIDB",$A539,F$3,F$2,'Præsentationstabeller 1'!$C$2),0)</f>
        <v>2</v>
      </c>
      <c r="G539" vm="6726">
        <f>IFERROR(CUBEVALUE("BIDB",$A539,G$3,G$2,'Præsentationstabeller 1'!$C$2),0)</f>
        <v>5</v>
      </c>
      <c r="H539" t="str" vm="7326">
        <f>IFERROR(CUBEVALUE("BIDB",$A539,H$3,H$2,'Præsentationstabeller 1'!$C$2),0)</f>
        <v/>
      </c>
      <c r="I539" t="str" vm="6686">
        <f>IFERROR(CUBEVALUE("BIDB",$A539,I$3,I$2,'Præsentationstabeller 1'!$C$2),0)</f>
        <v/>
      </c>
      <c r="J539" t="str" vm="7955">
        <f>IFERROR(CUBEVALUE("BIDB",$A539,J$3,J$2,'Præsentationstabeller 1'!$C$2),0)</f>
        <v/>
      </c>
      <c r="K539" t="str" vm="7488">
        <f>IFERROR(CUBEVALUE("BIDB",$A539,K$3,K$2,'Præsentationstabeller 1'!$C$2),0)</f>
        <v/>
      </c>
      <c r="L539" t="str" vm="6301">
        <f>IFERROR(CUBEVALUE("BIDB",$A539,L$3,L$2,'Præsentationstabeller 1'!$C$2),0)</f>
        <v/>
      </c>
    </row>
    <row r="540" spans="1:12" x14ac:dyDescent="0.3">
      <c r="A540" s="123" t="str" vm="796">
        <f>CUBEMEMBER("BIDB","[Dimittenddato].[Dimittenddato].&amp;[2012-08-16T00:00:00]")</f>
        <v>16-08-2012</v>
      </c>
      <c r="B540" t="str" vm="11920">
        <f>IFERROR(CUBEVALUE("BIDB",$A540,B$3,'Præsentationstabeller 1'!$C$2),0)</f>
        <v/>
      </c>
      <c r="C540" t="str" vm="7334">
        <f>IFERROR(CUBEVALUE("BIDB",$A540,C$3,C$2,'Præsentationstabeller 1'!$C$2),0)</f>
        <v/>
      </c>
      <c r="D540" t="str" vm="9126">
        <f>IFERROR(CUBEVALUE("BIDB",$A540,D$3,D$2,'Præsentationstabeller 1'!$C$2),0)</f>
        <v/>
      </c>
      <c r="E540" vm="6265">
        <f>IFERROR(CUBEVALUE("BIDB",$A540,E$3,E$2,'Præsentationstabeller 1'!$C$2),0)</f>
        <v>5</v>
      </c>
      <c r="F540" vm="10549">
        <f>IFERROR(CUBEVALUE("BIDB",$A540,F$3,F$2,'Præsentationstabeller 1'!$C$2),0)</f>
        <v>1</v>
      </c>
      <c r="G540" vm="6320">
        <f>IFERROR(CUBEVALUE("BIDB",$A540,G$3,G$2,'Præsentationstabeller 1'!$C$2),0)</f>
        <v>6</v>
      </c>
      <c r="H540" t="str" vm="9787">
        <f>IFERROR(CUBEVALUE("BIDB",$A540,H$3,H$2,'Præsentationstabeller 1'!$C$2),0)</f>
        <v/>
      </c>
      <c r="I540" t="str" vm="7162">
        <f>IFERROR(CUBEVALUE("BIDB",$A540,I$3,I$2,'Præsentationstabeller 1'!$C$2),0)</f>
        <v/>
      </c>
      <c r="J540" t="str" vm="8398">
        <f>IFERROR(CUBEVALUE("BIDB",$A540,J$3,J$2,'Præsentationstabeller 1'!$C$2),0)</f>
        <v/>
      </c>
      <c r="K540" t="str" vm="11692">
        <f>IFERROR(CUBEVALUE("BIDB",$A540,K$3,K$2,'Præsentationstabeller 1'!$C$2),0)</f>
        <v/>
      </c>
      <c r="L540" t="str" vm="6352">
        <f>IFERROR(CUBEVALUE("BIDB",$A540,L$3,L$2,'Præsentationstabeller 1'!$C$2),0)</f>
        <v/>
      </c>
    </row>
    <row r="541" spans="1:12" x14ac:dyDescent="0.3">
      <c r="A541" s="123" t="str" vm="795">
        <f>CUBEMEMBER("BIDB","[Dimittenddato].[Dimittenddato].&amp;[2012-08-17T00:00:00]")</f>
        <v>17-08-2012</v>
      </c>
      <c r="B541" t="str" vm="7995">
        <f>IFERROR(CUBEVALUE("BIDB",$A541,B$3,'Præsentationstabeller 1'!$C$2),0)</f>
        <v/>
      </c>
      <c r="C541" vm="7385">
        <f>IFERROR(CUBEVALUE("BIDB",$A541,C$3,C$2,'Præsentationstabeller 1'!$C$2),0)</f>
        <v>1</v>
      </c>
      <c r="D541" vm="6694">
        <f>IFERROR(CUBEVALUE("BIDB",$A541,D$3,D$2,'Præsentationstabeller 1'!$C$2),0)</f>
        <v>2</v>
      </c>
      <c r="E541" vm="8400">
        <f>IFERROR(CUBEVALUE("BIDB",$A541,E$3,E$2,'Præsentationstabeller 1'!$C$2),0)</f>
        <v>9</v>
      </c>
      <c r="F541" t="str" vm="8226">
        <f>IFERROR(CUBEVALUE("BIDB",$A541,F$3,F$2,'Præsentationstabeller 1'!$C$2),0)</f>
        <v/>
      </c>
      <c r="G541" vm="12439">
        <f>IFERROR(CUBEVALUE("BIDB",$A541,G$3,G$2,'Præsentationstabeller 1'!$C$2),0)</f>
        <v>9</v>
      </c>
      <c r="H541" t="str" vm="7951">
        <f>IFERROR(CUBEVALUE("BIDB",$A541,H$3,H$2,'Præsentationstabeller 1'!$C$2),0)</f>
        <v/>
      </c>
      <c r="I541" t="str" vm="7353">
        <f>IFERROR(CUBEVALUE("BIDB",$A541,I$3,I$2,'Præsentationstabeller 1'!$C$2),0)</f>
        <v/>
      </c>
      <c r="J541" t="str" vm="9128">
        <f>IFERROR(CUBEVALUE("BIDB",$A541,J$3,J$2,'Præsentationstabeller 1'!$C$2),0)</f>
        <v/>
      </c>
      <c r="K541" t="str" vm="8262">
        <f>IFERROR(CUBEVALUE("BIDB",$A541,K$3,K$2,'Præsentationstabeller 1'!$C$2),0)</f>
        <v/>
      </c>
      <c r="L541" t="str" vm="7389">
        <f>IFERROR(CUBEVALUE("BIDB",$A541,L$3,L$2,'Præsentationstabeller 1'!$C$2),0)</f>
        <v/>
      </c>
    </row>
    <row r="542" spans="1:12" x14ac:dyDescent="0.3">
      <c r="A542" s="123" t="str" vm="794">
        <f>CUBEMEMBER("BIDB","[Dimittenddato].[Dimittenddato].&amp;[2012-08-18T00:00:00]")</f>
        <v>18-08-2012</v>
      </c>
      <c r="B542" t="str" vm="5283">
        <f>IFERROR(CUBEVALUE("BIDB",$A542,B$3,'Præsentationstabeller 1'!$C$2),0)</f>
        <v/>
      </c>
      <c r="C542" t="str" vm="7357">
        <f>IFERROR(CUBEVALUE("BIDB",$A542,C$3,C$2,'Præsentationstabeller 1'!$C$2),0)</f>
        <v/>
      </c>
      <c r="D542" t="str" vm="11283">
        <f>IFERROR(CUBEVALUE("BIDB",$A542,D$3,D$2,'Præsentationstabeller 1'!$C$2),0)</f>
        <v/>
      </c>
      <c r="E542" t="str" vm="7924">
        <f>IFERROR(CUBEVALUE("BIDB",$A542,E$3,E$2,'Præsentationstabeller 1'!$C$2),0)</f>
        <v/>
      </c>
      <c r="F542" vm="8264">
        <f>IFERROR(CUBEVALUE("BIDB",$A542,F$3,F$2,'Præsentationstabeller 1'!$C$2),0)</f>
        <v>1</v>
      </c>
      <c r="G542" vm="7298">
        <f>IFERROR(CUBEVALUE("BIDB",$A542,G$3,G$2,'Præsentationstabeller 1'!$C$2),0)</f>
        <v>1</v>
      </c>
      <c r="H542" t="str" vm="7970">
        <f>IFERROR(CUBEVALUE("BIDB",$A542,H$3,H$2,'Præsentationstabeller 1'!$C$2),0)</f>
        <v/>
      </c>
      <c r="I542" t="str" vm="15038">
        <f>IFERROR(CUBEVALUE("BIDB",$A542,I$3,I$2,'Præsentationstabeller 1'!$C$2),0)</f>
        <v/>
      </c>
      <c r="J542" t="str" vm="16966">
        <f>IFERROR(CUBEVALUE("BIDB",$A542,J$3,J$2,'Præsentationstabeller 1'!$C$2),0)</f>
        <v/>
      </c>
      <c r="K542" t="str" vm="6271">
        <f>IFERROR(CUBEVALUE("BIDB",$A542,K$3,K$2,'Præsentationstabeller 1'!$C$2),0)</f>
        <v/>
      </c>
      <c r="L542" t="str" vm="7688">
        <f>IFERROR(CUBEVALUE("BIDB",$A542,L$3,L$2,'Præsentationstabeller 1'!$C$2),0)</f>
        <v/>
      </c>
    </row>
    <row r="543" spans="1:12" x14ac:dyDescent="0.3">
      <c r="A543" s="123" t="str" vm="793">
        <f>CUBEMEMBER("BIDB","[Dimittenddato].[Dimittenddato].&amp;[2012-08-19T00:00:00]")</f>
        <v>19-08-2012</v>
      </c>
      <c r="B543" t="str" vm="7304">
        <f>IFERROR(CUBEVALUE("BIDB",$A543,B$3,'Præsentationstabeller 1'!$C$2),0)</f>
        <v/>
      </c>
      <c r="C543" t="str" vm="7056">
        <f>IFERROR(CUBEVALUE("BIDB",$A543,C$3,C$2,'Præsentationstabeller 1'!$C$2),0)</f>
        <v/>
      </c>
      <c r="D543" t="str" vm="16527">
        <f>IFERROR(CUBEVALUE("BIDB",$A543,D$3,D$2,'Præsentationstabeller 1'!$C$2),0)</f>
        <v/>
      </c>
      <c r="E543" vm="11284">
        <f>IFERROR(CUBEVALUE("BIDB",$A543,E$3,E$2,'Præsentationstabeller 1'!$C$2),0)</f>
        <v>1</v>
      </c>
      <c r="F543" t="str" vm="9995">
        <f>IFERROR(CUBEVALUE("BIDB",$A543,F$3,F$2,'Præsentationstabeller 1'!$C$2),0)</f>
        <v/>
      </c>
      <c r="G543" vm="8672">
        <f>IFERROR(CUBEVALUE("BIDB",$A543,G$3,G$2,'Præsentationstabeller 1'!$C$2),0)</f>
        <v>1</v>
      </c>
      <c r="H543" t="str" vm="8194">
        <f>IFERROR(CUBEVALUE("BIDB",$A543,H$3,H$2,'Præsentationstabeller 1'!$C$2),0)</f>
        <v/>
      </c>
      <c r="I543" t="str" vm="6464">
        <f>IFERROR(CUBEVALUE("BIDB",$A543,I$3,I$2,'Præsentationstabeller 1'!$C$2),0)</f>
        <v/>
      </c>
      <c r="J543" t="str" vm="11210">
        <f>IFERROR(CUBEVALUE("BIDB",$A543,J$3,J$2,'Præsentationstabeller 1'!$C$2),0)</f>
        <v/>
      </c>
      <c r="K543" t="str" vm="7916">
        <f>IFERROR(CUBEVALUE("BIDB",$A543,K$3,K$2,'Præsentationstabeller 1'!$C$2),0)</f>
        <v/>
      </c>
      <c r="L543" t="str" vm="8228">
        <f>IFERROR(CUBEVALUE("BIDB",$A543,L$3,L$2,'Præsentationstabeller 1'!$C$2),0)</f>
        <v/>
      </c>
    </row>
    <row r="544" spans="1:12" x14ac:dyDescent="0.3">
      <c r="A544" s="123" t="str" vm="792">
        <f>CUBEMEMBER("BIDB","[Dimittenddato].[Dimittenddato].&amp;[2012-08-20T00:00:00]")</f>
        <v>20-08-2012</v>
      </c>
      <c r="B544" t="str" vm="8691">
        <f>IFERROR(CUBEVALUE("BIDB",$A544,B$3,'Præsentationstabeller 1'!$C$2),0)</f>
        <v/>
      </c>
      <c r="C544" t="str" vm="8196">
        <f>IFERROR(CUBEVALUE("BIDB",$A544,C$3,C$2,'Præsentationstabeller 1'!$C$2),0)</f>
        <v/>
      </c>
      <c r="D544" vm="5410">
        <f>IFERROR(CUBEVALUE("BIDB",$A544,D$3,D$2,'Præsentationstabeller 1'!$C$2),0)</f>
        <v>2</v>
      </c>
      <c r="E544" vm="8792">
        <f>IFERROR(CUBEVALUE("BIDB",$A544,E$3,E$2,'Præsentationstabeller 1'!$C$2),0)</f>
        <v>4</v>
      </c>
      <c r="F544" vm="11813">
        <f>IFERROR(CUBEVALUE("BIDB",$A544,F$3,F$2,'Præsentationstabeller 1'!$C$2),0)</f>
        <v>2</v>
      </c>
      <c r="G544" vm="8723">
        <f>IFERROR(CUBEVALUE("BIDB",$A544,G$3,G$2,'Præsentationstabeller 1'!$C$2),0)</f>
        <v>6</v>
      </c>
      <c r="H544" t="str" vm="5291">
        <f>IFERROR(CUBEVALUE("BIDB",$A544,H$3,H$2,'Præsentationstabeller 1'!$C$2),0)</f>
        <v/>
      </c>
      <c r="I544" vm="7064">
        <f>IFERROR(CUBEVALUE("BIDB",$A544,I$3,I$2,'Præsentationstabeller 1'!$C$2),0)</f>
        <v>0.6</v>
      </c>
      <c r="J544" t="str" vm="9158">
        <f>IFERROR(CUBEVALUE("BIDB",$A544,J$3,J$2,'Præsentationstabeller 1'!$C$2),0)</f>
        <v/>
      </c>
      <c r="K544" t="str" vm="13602">
        <f>IFERROR(CUBEVALUE("BIDB",$A544,K$3,K$2,'Præsentationstabeller 1'!$C$2),0)</f>
        <v/>
      </c>
      <c r="L544" t="str" vm="7668">
        <f>IFERROR(CUBEVALUE("BIDB",$A544,L$3,L$2,'Præsentationstabeller 1'!$C$2),0)</f>
        <v/>
      </c>
    </row>
    <row r="545" spans="1:12" x14ac:dyDescent="0.3">
      <c r="A545" s="123" t="str" vm="791">
        <f>CUBEMEMBER("BIDB","[Dimittenddato].[Dimittenddato].&amp;[2012-08-21T00:00:00]")</f>
        <v>21-08-2012</v>
      </c>
      <c r="B545" t="str" vm="10044">
        <f>IFERROR(CUBEVALUE("BIDB",$A545,B$3,'Præsentationstabeller 1'!$C$2),0)</f>
        <v/>
      </c>
      <c r="C545" t="str" vm="7565">
        <f>IFERROR(CUBEVALUE("BIDB",$A545,C$3,C$2,'Præsentationstabeller 1'!$C$2),0)</f>
        <v/>
      </c>
      <c r="D545" vm="6472">
        <f>IFERROR(CUBEVALUE("BIDB",$A545,D$3,D$2,'Præsentationstabeller 1'!$C$2),0)</f>
        <v>2</v>
      </c>
      <c r="E545" vm="9178">
        <f>IFERROR(CUBEVALUE("BIDB",$A545,E$3,E$2,'Præsentationstabeller 1'!$C$2),0)</f>
        <v>7</v>
      </c>
      <c r="F545" t="str" vm="6432">
        <f>IFERROR(CUBEVALUE("BIDB",$A545,F$3,F$2,'Præsentationstabeller 1'!$C$2),0)</f>
        <v/>
      </c>
      <c r="G545" vm="16998">
        <f>IFERROR(CUBEVALUE("BIDB",$A545,G$3,G$2,'Præsentationstabeller 1'!$C$2),0)</f>
        <v>7</v>
      </c>
      <c r="H545" t="str" vm="9959">
        <f>IFERROR(CUBEVALUE("BIDB",$A545,H$3,H$2,'Præsentationstabeller 1'!$C$2),0)</f>
        <v/>
      </c>
      <c r="I545" t="str" vm="7115">
        <f>IFERROR(CUBEVALUE("BIDB",$A545,I$3,I$2,'Præsentationstabeller 1'!$C$2),0)</f>
        <v/>
      </c>
      <c r="J545" t="str" vm="5418">
        <f>IFERROR(CUBEVALUE("BIDB",$A545,J$3,J$2,'Præsentationstabeller 1'!$C$2),0)</f>
        <v/>
      </c>
      <c r="K545" t="str" vm="8391">
        <f>IFERROR(CUBEVALUE("BIDB",$A545,K$3,K$2,'Præsentationstabeller 1'!$C$2),0)</f>
        <v/>
      </c>
      <c r="L545" t="str" vm="8085">
        <f>IFERROR(CUBEVALUE("BIDB",$A545,L$3,L$2,'Præsentationstabeller 1'!$C$2),0)</f>
        <v/>
      </c>
    </row>
    <row r="546" spans="1:12" x14ac:dyDescent="0.3">
      <c r="A546" s="123" t="str" vm="790">
        <f>CUBEMEMBER("BIDB","[Dimittenddato].[Dimittenddato].&amp;[2012-08-22T00:00:00]")</f>
        <v>22-08-2012</v>
      </c>
      <c r="B546" t="str" vm="6901">
        <f>IFERROR(CUBEVALUE("BIDB",$A546,B$3,'Præsentationstabeller 1'!$C$2),0)</f>
        <v/>
      </c>
      <c r="C546" vm="14758">
        <f>IFERROR(CUBEVALUE("BIDB",$A546,C$3,C$2,'Præsentationstabeller 1'!$C$2),0)</f>
        <v>1</v>
      </c>
      <c r="D546" vm="7083">
        <f>IFERROR(CUBEVALUE("BIDB",$A546,D$3,D$2,'Præsentationstabeller 1'!$C$2),0)</f>
        <v>3</v>
      </c>
      <c r="E546" vm="7462">
        <f>IFERROR(CUBEVALUE("BIDB",$A546,E$3,E$2,'Præsentationstabeller 1'!$C$2),0)</f>
        <v>2</v>
      </c>
      <c r="F546" vm="7415">
        <f>IFERROR(CUBEVALUE("BIDB",$A546,F$3,F$2,'Præsentationstabeller 1'!$C$2),0)</f>
        <v>1</v>
      </c>
      <c r="G546" vm="10641">
        <f>IFERROR(CUBEVALUE("BIDB",$A546,G$3,G$2,'Præsentationstabeller 1'!$C$2),0)</f>
        <v>3</v>
      </c>
      <c r="H546" t="str" vm="10506">
        <f>IFERROR(CUBEVALUE("BIDB",$A546,H$3,H$2,'Præsentationstabeller 1'!$C$2),0)</f>
        <v/>
      </c>
      <c r="I546" t="str" vm="9110">
        <f>IFERROR(CUBEVALUE("BIDB",$A546,I$3,I$2,'Præsentationstabeller 1'!$C$2),0)</f>
        <v/>
      </c>
      <c r="J546" t="str" vm="14931">
        <f>IFERROR(CUBEVALUE("BIDB",$A546,J$3,J$2,'Præsentationstabeller 1'!$C$2),0)</f>
        <v/>
      </c>
      <c r="K546" t="str" vm="8800">
        <f>IFERROR(CUBEVALUE("BIDB",$A546,K$3,K$2,'Præsentationstabeller 1'!$C$2),0)</f>
        <v/>
      </c>
      <c r="L546" t="str" vm="9023">
        <f>IFERROR(CUBEVALUE("BIDB",$A546,L$3,L$2,'Præsentationstabeller 1'!$C$2),0)</f>
        <v/>
      </c>
    </row>
    <row r="547" spans="1:12" x14ac:dyDescent="0.3">
      <c r="A547" s="123" t="str" vm="789">
        <f>CUBEMEMBER("BIDB","[Dimittenddato].[Dimittenddato].&amp;[2012-08-23T00:00:00]")</f>
        <v>23-08-2012</v>
      </c>
      <c r="B547" t="str" vm="9638">
        <f>IFERROR(CUBEVALUE("BIDB",$A547,B$3,'Præsentationstabeller 1'!$C$2),0)</f>
        <v/>
      </c>
      <c r="C547" t="str" vm="6853">
        <f>IFERROR(CUBEVALUE("BIDB",$A547,C$3,C$2,'Præsentationstabeller 1'!$C$2),0)</f>
        <v/>
      </c>
      <c r="D547" vm="11316">
        <f>IFERROR(CUBEVALUE("BIDB",$A547,D$3,D$2,'Præsentationstabeller 1'!$C$2),0)</f>
        <v>3</v>
      </c>
      <c r="E547" vm="11678">
        <f>IFERROR(CUBEVALUE("BIDB",$A547,E$3,E$2,'Præsentationstabeller 1'!$C$2),0)</f>
        <v>9</v>
      </c>
      <c r="F547" t="str" vm="8819">
        <f>IFERROR(CUBEVALUE("BIDB",$A547,F$3,F$2,'Præsentationstabeller 1'!$C$2),0)</f>
        <v/>
      </c>
      <c r="G547" vm="9025">
        <f>IFERROR(CUBEVALUE("BIDB",$A547,G$3,G$2,'Præsentationstabeller 1'!$C$2),0)</f>
        <v>9</v>
      </c>
      <c r="H547" t="str" vm="7616">
        <f>IFERROR(CUBEVALUE("BIDB",$A547,H$3,H$2,'Præsentationstabeller 1'!$C$2),0)</f>
        <v/>
      </c>
      <c r="I547" vm="7199">
        <f>IFERROR(CUBEVALUE("BIDB",$A547,I$3,I$2,'Præsentationstabeller 1'!$C$2),0)</f>
        <v>0.88000000000000012</v>
      </c>
      <c r="J547" vm="15531">
        <f>IFERROR(CUBEVALUE("BIDB",$A547,J$3,J$2,'Præsentationstabeller 1'!$C$2),0)</f>
        <v>0.8</v>
      </c>
      <c r="K547" t="str" vm="8851">
        <f>IFERROR(CUBEVALUE("BIDB",$A547,K$3,K$2,'Præsentationstabeller 1'!$C$2),0)</f>
        <v/>
      </c>
      <c r="L547" vm="6440">
        <f>IFERROR(CUBEVALUE("BIDB",$A547,L$3,L$2,'Præsentationstabeller 1'!$C$2),0)</f>
        <v>0.8</v>
      </c>
    </row>
    <row r="548" spans="1:12" x14ac:dyDescent="0.3">
      <c r="A548" s="123" t="str" vm="788">
        <f>CUBEMEMBER("BIDB","[Dimittenddato].[Dimittenddato].&amp;[2012-08-24T00:00:00]")</f>
        <v>24-08-2012</v>
      </c>
      <c r="B548" t="str" vm="14022">
        <f>IFERROR(CUBEVALUE("BIDB",$A548,B$3,'Præsentationstabeller 1'!$C$2),0)</f>
        <v/>
      </c>
      <c r="C548" t="str" vm="8594">
        <f>IFERROR(CUBEVALUE("BIDB",$A548,C$3,C$2,'Præsentationstabeller 1'!$C$2),0)</f>
        <v/>
      </c>
      <c r="D548" vm="7028">
        <f>IFERROR(CUBEVALUE("BIDB",$A548,D$3,D$2,'Præsentationstabeller 1'!$C$2),0)</f>
        <v>4</v>
      </c>
      <c r="E548" vm="6821">
        <f>IFERROR(CUBEVALUE("BIDB",$A548,E$3,E$2,'Præsentationstabeller 1'!$C$2),0)</f>
        <v>6</v>
      </c>
      <c r="F548" vm="13017">
        <f>IFERROR(CUBEVALUE("BIDB",$A548,F$3,F$2,'Præsentationstabeller 1'!$C$2),0)</f>
        <v>2</v>
      </c>
      <c r="G548" vm="10956">
        <f>IFERROR(CUBEVALUE("BIDB",$A548,G$3,G$2,'Præsentationstabeller 1'!$C$2),0)</f>
        <v>8</v>
      </c>
      <c r="H548" t="str" vm="6907">
        <f>IFERROR(CUBEVALUE("BIDB",$A548,H$3,H$2,'Præsentationstabeller 1'!$C$2),0)</f>
        <v/>
      </c>
      <c r="I548" t="str" vm="6855">
        <f>IFERROR(CUBEVALUE("BIDB",$A548,I$3,I$2,'Præsentationstabeller 1'!$C$2),0)</f>
        <v/>
      </c>
      <c r="J548" t="str" vm="6046">
        <f>IFERROR(CUBEVALUE("BIDB",$A548,J$3,J$2,'Præsentationstabeller 1'!$C$2),0)</f>
        <v/>
      </c>
      <c r="K548" t="str" vm="7917">
        <f>IFERROR(CUBEVALUE("BIDB",$A548,K$3,K$2,'Præsentationstabeller 1'!$C$2),0)</f>
        <v/>
      </c>
      <c r="L548" t="str" vm="14559">
        <f>IFERROR(CUBEVALUE("BIDB",$A548,L$3,L$2,'Præsentationstabeller 1'!$C$2),0)</f>
        <v/>
      </c>
    </row>
    <row r="549" spans="1:12" x14ac:dyDescent="0.3">
      <c r="A549" s="123" t="str" vm="787">
        <f>CUBEMEMBER("BIDB","[Dimittenddato].[Dimittenddato].&amp;[2012-08-25T00:00:00]")</f>
        <v>25-08-2012</v>
      </c>
      <c r="B549" t="str" vm="15508">
        <f>IFERROR(CUBEVALUE("BIDB",$A549,B$3,'Præsentationstabeller 1'!$C$2),0)</f>
        <v/>
      </c>
      <c r="C549" t="str" vm="10792">
        <f>IFERROR(CUBEVALUE("BIDB",$A549,C$3,C$2,'Præsentationstabeller 1'!$C$2),0)</f>
        <v/>
      </c>
      <c r="D549" t="str" vm="8183">
        <f>IFERROR(CUBEVALUE("BIDB",$A549,D$3,D$2,'Præsentationstabeller 1'!$C$2),0)</f>
        <v/>
      </c>
      <c r="E549" t="str" vm="6208">
        <f>IFERROR(CUBEVALUE("BIDB",$A549,E$3,E$2,'Præsentationstabeller 1'!$C$2),0)</f>
        <v/>
      </c>
      <c r="F549" t="str" vm="15402">
        <f>IFERROR(CUBEVALUE("BIDB",$A549,F$3,F$2,'Præsentationstabeller 1'!$C$2),0)</f>
        <v/>
      </c>
      <c r="G549" t="str" vm="9339">
        <f>IFERROR(CUBEVALUE("BIDB",$A549,G$3,G$2,'Præsentationstabeller 1'!$C$2),0)</f>
        <v/>
      </c>
      <c r="H549" t="str" vm="15043">
        <f>IFERROR(CUBEVALUE("BIDB",$A549,H$3,H$2,'Præsentationstabeller 1'!$C$2),0)</f>
        <v/>
      </c>
      <c r="I549" t="str" vm="7034">
        <f>IFERROR(CUBEVALUE("BIDB",$A549,I$3,I$2,'Præsentationstabeller 1'!$C$2),0)</f>
        <v/>
      </c>
      <c r="J549" t="str" vm="16222">
        <f>IFERROR(CUBEVALUE("BIDB",$A549,J$3,J$2,'Præsentationstabeller 1'!$C$2),0)</f>
        <v/>
      </c>
      <c r="K549" t="str" vm="6802">
        <f>IFERROR(CUBEVALUE("BIDB",$A549,K$3,K$2,'Præsentationstabeller 1'!$C$2),0)</f>
        <v/>
      </c>
      <c r="L549" t="str" vm="14209">
        <f>IFERROR(CUBEVALUE("BIDB",$A549,L$3,L$2,'Præsentationstabeller 1'!$C$2),0)</f>
        <v/>
      </c>
    </row>
    <row r="550" spans="1:12" x14ac:dyDescent="0.3">
      <c r="A550" s="123" t="str" vm="786">
        <f>CUBEMEMBER("BIDB","[Dimittenddato].[Dimittenddato].&amp;[2012-08-26T00:00:00]")</f>
        <v>26-08-2012</v>
      </c>
      <c r="B550" t="str" vm="15753">
        <f>IFERROR(CUBEVALUE("BIDB",$A550,B$3,'Præsentationstabeller 1'!$C$2),0)</f>
        <v/>
      </c>
      <c r="C550" t="str" vm="8234">
        <f>IFERROR(CUBEVALUE("BIDB",$A550,C$3,C$2,'Præsentationstabeller 1'!$C$2),0)</f>
        <v/>
      </c>
      <c r="D550" t="str" vm="6054">
        <f>IFERROR(CUBEVALUE("BIDB",$A550,D$3,D$2,'Præsentationstabeller 1'!$C$2),0)</f>
        <v/>
      </c>
      <c r="E550" t="str" vm="12877">
        <f>IFERROR(CUBEVALUE("BIDB",$A550,E$3,E$2,'Præsentationstabeller 1'!$C$2),0)</f>
        <v/>
      </c>
      <c r="F550" t="str" vm="13264">
        <f>IFERROR(CUBEVALUE("BIDB",$A550,F$3,F$2,'Præsentationstabeller 1'!$C$2),0)</f>
        <v/>
      </c>
      <c r="G550" t="str" vm="16434">
        <f>IFERROR(CUBEVALUE("BIDB",$A550,G$3,G$2,'Præsentationstabeller 1'!$C$2),0)</f>
        <v/>
      </c>
      <c r="H550" t="str" vm="9134">
        <f>IFERROR(CUBEVALUE("BIDB",$A550,H$3,H$2,'Præsentationstabeller 1'!$C$2),0)</f>
        <v/>
      </c>
      <c r="I550" t="str" vm="6823">
        <f>IFERROR(CUBEVALUE("BIDB",$A550,I$3,I$2,'Præsentationstabeller 1'!$C$2),0)</f>
        <v/>
      </c>
      <c r="J550" t="str" vm="14498">
        <f>IFERROR(CUBEVALUE("BIDB",$A550,J$3,J$2,'Præsentationstabeller 1'!$C$2),0)</f>
        <v/>
      </c>
      <c r="K550" t="str" vm="5155">
        <f>IFERROR(CUBEVALUE("BIDB",$A550,K$3,K$2,'Præsentationstabeller 1'!$C$2),0)</f>
        <v/>
      </c>
      <c r="L550" t="str" vm="9996">
        <f>IFERROR(CUBEVALUE("BIDB",$A550,L$3,L$2,'Præsentationstabeller 1'!$C$2),0)</f>
        <v/>
      </c>
    </row>
    <row r="551" spans="1:12" x14ac:dyDescent="0.3">
      <c r="A551" s="123" t="str" vm="785">
        <f>CUBEMEMBER("BIDB","[Dimittenddato].[Dimittenddato].&amp;[2012-08-27T00:00:00]")</f>
        <v>27-08-2012</v>
      </c>
      <c r="B551" t="str" vm="12116">
        <f>IFERROR(CUBEVALUE("BIDB",$A551,B$3,'Præsentationstabeller 1'!$C$2),0)</f>
        <v/>
      </c>
      <c r="C551" vm="9160">
        <f>IFERROR(CUBEVALUE("BIDB",$A551,C$3,C$2,'Præsentationstabeller 1'!$C$2),0)</f>
        <v>0</v>
      </c>
      <c r="D551" t="str" vm="6810">
        <f>IFERROR(CUBEVALUE("BIDB",$A551,D$3,D$2,'Præsentationstabeller 1'!$C$2),0)</f>
        <v/>
      </c>
      <c r="E551" vm="8764">
        <f>IFERROR(CUBEVALUE("BIDB",$A551,E$3,E$2,'Præsentationstabeller 1'!$C$2),0)</f>
        <v>13</v>
      </c>
      <c r="F551" t="str" vm="14093">
        <f>IFERROR(CUBEVALUE("BIDB",$A551,F$3,F$2,'Præsentationstabeller 1'!$C$2),0)</f>
        <v/>
      </c>
      <c r="G551" vm="13222">
        <f>IFERROR(CUBEVALUE("BIDB",$A551,G$3,G$2,'Præsentationstabeller 1'!$C$2),0)</f>
        <v>13</v>
      </c>
      <c r="H551" t="str" vm="8202">
        <f>IFERROR(CUBEVALUE("BIDB",$A551,H$3,H$2,'Præsentationstabeller 1'!$C$2),0)</f>
        <v/>
      </c>
      <c r="I551" t="str" vm="6216">
        <f>IFERROR(CUBEVALUE("BIDB",$A551,I$3,I$2,'Præsentationstabeller 1'!$C$2),0)</f>
        <v/>
      </c>
      <c r="J551" t="str" vm="14998">
        <f>IFERROR(CUBEVALUE("BIDB",$A551,J$3,J$2,'Præsentationstabeller 1'!$C$2),0)</f>
        <v/>
      </c>
      <c r="K551" t="str" vm="8303">
        <f>IFERROR(CUBEVALUE("BIDB",$A551,K$3,K$2,'Præsentationstabeller 1'!$C$2),0)</f>
        <v/>
      </c>
      <c r="L551" t="str" vm="12992">
        <f>IFERROR(CUBEVALUE("BIDB",$A551,L$3,L$2,'Præsentationstabeller 1'!$C$2),0)</f>
        <v/>
      </c>
    </row>
    <row r="552" spans="1:12" x14ac:dyDescent="0.3">
      <c r="A552" s="123" t="str" vm="784">
        <f>CUBEMEMBER("BIDB","[Dimittenddato].[Dimittenddato].&amp;[2012-08-28T00:00:00]")</f>
        <v>28-08-2012</v>
      </c>
      <c r="B552" t="str" vm="14359">
        <f>IFERROR(CUBEVALUE("BIDB",$A552,B$3,'Præsentationstabeller 1'!$C$2),0)</f>
        <v/>
      </c>
      <c r="C552" t="str" vm="6861">
        <f>IFERROR(CUBEVALUE("BIDB",$A552,C$3,C$2,'Præsentationstabeller 1'!$C$2),0)</f>
        <v/>
      </c>
      <c r="D552" vm="5163">
        <f>IFERROR(CUBEVALUE("BIDB",$A552,D$3,D$2,'Præsentationstabeller 1'!$C$2),0)</f>
        <v>0</v>
      </c>
      <c r="E552" vm="8920">
        <f>IFERROR(CUBEVALUE("BIDB",$A552,E$3,E$2,'Præsentationstabeller 1'!$C$2),0)</f>
        <v>8</v>
      </c>
      <c r="F552" vm="16997">
        <f>IFERROR(CUBEVALUE("BIDB",$A552,F$3,F$2,'Præsentationstabeller 1'!$C$2),0)</f>
        <v>0</v>
      </c>
      <c r="G552" vm="10785">
        <f>IFERROR(CUBEVALUE("BIDB",$A552,G$3,G$2,'Præsentationstabeller 1'!$C$2),0)</f>
        <v>8</v>
      </c>
      <c r="H552" t="str" vm="9031">
        <f>IFERROR(CUBEVALUE("BIDB",$A552,H$3,H$2,'Præsentationstabeller 1'!$C$2),0)</f>
        <v/>
      </c>
      <c r="I552" t="str" vm="9601">
        <f>IFERROR(CUBEVALUE("BIDB",$A552,I$3,I$2,'Præsentationstabeller 1'!$C$2),0)</f>
        <v/>
      </c>
      <c r="J552" t="str" vm="13790">
        <f>IFERROR(CUBEVALUE("BIDB",$A552,J$3,J$2,'Præsentationstabeller 1'!$C$2),0)</f>
        <v/>
      </c>
      <c r="K552" t="str" vm="6176">
        <f>IFERROR(CUBEVALUE("BIDB",$A552,K$3,K$2,'Præsentationstabeller 1'!$C$2),0)</f>
        <v/>
      </c>
      <c r="L552" t="str" vm="7672">
        <f>IFERROR(CUBEVALUE("BIDB",$A552,L$3,L$2,'Præsentationstabeller 1'!$C$2),0)</f>
        <v/>
      </c>
    </row>
    <row r="553" spans="1:12" x14ac:dyDescent="0.3">
      <c r="A553" s="123" t="str" vm="783">
        <f>CUBEMEMBER("BIDB","[Dimittenddato].[Dimittenddato].&amp;[2012-08-29T00:00:00]")</f>
        <v>29-08-2012</v>
      </c>
      <c r="B553" t="str" vm="13468">
        <f>IFERROR(CUBEVALUE("BIDB",$A553,B$3,'Præsentationstabeller 1'!$C$2),0)</f>
        <v/>
      </c>
      <c r="C553" vm="11856">
        <f>IFERROR(CUBEVALUE("BIDB",$A553,C$3,C$2,'Præsentationstabeller 1'!$C$2),0)</f>
        <v>1</v>
      </c>
      <c r="D553" vm="8311">
        <f>IFERROR(CUBEVALUE("BIDB",$A553,D$3,D$2,'Præsentationstabeller 1'!$C$2),0)</f>
        <v>1</v>
      </c>
      <c r="E553" vm="11150">
        <f>IFERROR(CUBEVALUE("BIDB",$A553,E$3,E$2,'Præsentationstabeller 1'!$C$2),0)</f>
        <v>4</v>
      </c>
      <c r="F553" vm="12506">
        <f>IFERROR(CUBEVALUE("BIDB",$A553,F$3,F$2,'Præsentationstabeller 1'!$C$2),0)</f>
        <v>5</v>
      </c>
      <c r="G553" vm="7982">
        <f>IFERROR(CUBEVALUE("BIDB",$A553,G$3,G$2,'Præsentationstabeller 1'!$C$2),0)</f>
        <v>9</v>
      </c>
      <c r="H553" t="str" vm="6829">
        <f>IFERROR(CUBEVALUE("BIDB",$A553,H$3,H$2,'Præsentationstabeller 1'!$C$2),0)</f>
        <v/>
      </c>
      <c r="I553" t="str" vm="8770">
        <f>IFERROR(CUBEVALUE("BIDB",$A553,I$3,I$2,'Præsentationstabeller 1'!$C$2),0)</f>
        <v/>
      </c>
      <c r="J553" t="str" vm="14405">
        <f>IFERROR(CUBEVALUE("BIDB",$A553,J$3,J$2,'Præsentationstabeller 1'!$C$2),0)</f>
        <v/>
      </c>
      <c r="K553" t="str" vm="8115">
        <f>IFERROR(CUBEVALUE("BIDB",$A553,K$3,K$2,'Præsentationstabeller 1'!$C$2),0)</f>
        <v/>
      </c>
      <c r="L553" t="str" vm="9296">
        <f>IFERROR(CUBEVALUE("BIDB",$A553,L$3,L$2,'Præsentationstabeller 1'!$C$2),0)</f>
        <v/>
      </c>
    </row>
    <row r="554" spans="1:12" x14ac:dyDescent="0.3">
      <c r="A554" s="123" t="str" vm="782">
        <f>CUBEMEMBER("BIDB","[Dimittenddato].[Dimittenddato].&amp;[2012-08-30T00:00:00]")</f>
        <v>30-08-2012</v>
      </c>
      <c r="B554" t="str" vm="15003">
        <f>IFERROR(CUBEVALUE("BIDB",$A554,B$3,'Præsentationstabeller 1'!$C$2),0)</f>
        <v/>
      </c>
      <c r="C554" vm="8362">
        <f>IFERROR(CUBEVALUE("BIDB",$A554,C$3,C$2,'Præsentationstabeller 1'!$C$2),0)</f>
        <v>2</v>
      </c>
      <c r="D554" vm="6184">
        <f>IFERROR(CUBEVALUE("BIDB",$A554,D$3,D$2,'Præsentationstabeller 1'!$C$2),0)</f>
        <v>2</v>
      </c>
      <c r="E554" vm="8354">
        <f>IFERROR(CUBEVALUE("BIDB",$A554,E$3,E$2,'Præsentationstabeller 1'!$C$2),0)</f>
        <v>5</v>
      </c>
      <c r="F554" vm="15948">
        <f>IFERROR(CUBEVALUE("BIDB",$A554,F$3,F$2,'Præsentationstabeller 1'!$C$2),0)</f>
        <v>0</v>
      </c>
      <c r="G554" vm="10028">
        <f>IFERROR(CUBEVALUE("BIDB",$A554,G$3,G$2,'Præsentationstabeller 1'!$C$2),0)</f>
        <v>5</v>
      </c>
      <c r="H554" t="str" vm="8928">
        <f>IFERROR(CUBEVALUE("BIDB",$A554,H$3,H$2,'Præsentationstabeller 1'!$C$2),0)</f>
        <v/>
      </c>
      <c r="I554" t="str" vm="8922">
        <f>IFERROR(CUBEVALUE("BIDB",$A554,I$3,I$2,'Præsentationstabeller 1'!$C$2),0)</f>
        <v/>
      </c>
      <c r="J554" vm="17066">
        <f>IFERROR(CUBEVALUE("BIDB",$A554,J$3,J$2,'Præsentationstabeller 1'!$C$2),0)</f>
        <v>1</v>
      </c>
      <c r="K554" t="str" vm="6379">
        <f>IFERROR(CUBEVALUE("BIDB",$A554,K$3,K$2,'Præsentationstabeller 1'!$C$2),0)</f>
        <v/>
      </c>
      <c r="L554" vm="9007">
        <f>IFERROR(CUBEVALUE("BIDB",$A554,L$3,L$2,'Præsentationstabeller 1'!$C$2),0)</f>
        <v>1</v>
      </c>
    </row>
    <row r="555" spans="1:12" x14ac:dyDescent="0.3">
      <c r="A555" s="123" t="str" vm="781">
        <f>CUBEMEMBER("BIDB","[Dimittenddato].[Dimittenddato].&amp;[2012-08-31T00:00:00]")</f>
        <v>31-08-2012</v>
      </c>
      <c r="B555" t="str" vm="13381">
        <f>IFERROR(CUBEVALUE("BIDB",$A555,B$3,'Præsentationstabeller 1'!$C$2),0)</f>
        <v/>
      </c>
      <c r="C555" vm="9540">
        <f>IFERROR(CUBEVALUE("BIDB",$A555,C$3,C$2,'Præsentationstabeller 1'!$C$2),0)</f>
        <v>3</v>
      </c>
      <c r="D555" vm="8117">
        <f>IFERROR(CUBEVALUE("BIDB",$A555,D$3,D$2,'Præsentationstabeller 1'!$C$2),0)</f>
        <v>4</v>
      </c>
      <c r="E555" vm="6647">
        <f>IFERROR(CUBEVALUE("BIDB",$A555,E$3,E$2,'Præsentationstabeller 1'!$C$2),0)</f>
        <v>16</v>
      </c>
      <c r="F555" vm="14082">
        <f>IFERROR(CUBEVALUE("BIDB",$A555,F$3,F$2,'Præsentationstabeller 1'!$C$2),0)</f>
        <v>1</v>
      </c>
      <c r="G555" vm="9174">
        <f>IFERROR(CUBEVALUE("BIDB",$A555,G$3,G$2,'Præsentationstabeller 1'!$C$2),0)</f>
        <v>17</v>
      </c>
      <c r="H555" t="str" vm="8330">
        <f>IFERROR(CUBEVALUE("BIDB",$A555,H$3,H$2,'Præsentationstabeller 1'!$C$2),0)</f>
        <v/>
      </c>
      <c r="I555" t="str" vm="9430">
        <f>IFERROR(CUBEVALUE("BIDB",$A555,I$3,I$2,'Præsentationstabeller 1'!$C$2),0)</f>
        <v/>
      </c>
      <c r="J555" t="str" vm="16328">
        <f>IFERROR(CUBEVALUE("BIDB",$A555,J$3,J$2,'Præsentationstabeller 1'!$C$2),0)</f>
        <v/>
      </c>
      <c r="K555" t="str" vm="8665">
        <f>IFERROR(CUBEVALUE("BIDB",$A555,K$3,K$2,'Præsentationstabeller 1'!$C$2),0)</f>
        <v/>
      </c>
      <c r="L555" t="str" vm="10199">
        <f>IFERROR(CUBEVALUE("BIDB",$A555,L$3,L$2,'Præsentationstabeller 1'!$C$2),0)</f>
        <v/>
      </c>
    </row>
    <row r="556" spans="1:12" x14ac:dyDescent="0.3">
      <c r="A556" s="123" t="str" vm="780">
        <f>CUBEMEMBER("BIDB","[Dimittenddato].[Dimittenddato].&amp;[2013-06-01T00:00:00]")</f>
        <v>01-06-2013</v>
      </c>
      <c r="B556" t="str" vm="13882">
        <f>IFERROR(CUBEVALUE("BIDB",$A556,B$3,'Præsentationstabeller 1'!$C$2),0)</f>
        <v/>
      </c>
      <c r="C556" vm="7641">
        <f>IFERROR(CUBEVALUE("BIDB",$A556,C$3,C$2,'Præsentationstabeller 1'!$C$2),0)</f>
        <v>1</v>
      </c>
      <c r="D556" t="str" vm="6381">
        <f>IFERROR(CUBEVALUE("BIDB",$A556,D$3,D$2,'Præsentationstabeller 1'!$C$2),0)</f>
        <v/>
      </c>
      <c r="E556" vm="8322">
        <f>IFERROR(CUBEVALUE("BIDB",$A556,E$3,E$2,'Præsentationstabeller 1'!$C$2),0)</f>
        <v>2</v>
      </c>
      <c r="F556" vm="15960">
        <f>IFERROR(CUBEVALUE("BIDB",$A556,F$3,F$2,'Præsentationstabeller 1'!$C$2),0)</f>
        <v>3</v>
      </c>
      <c r="G556" vm="14794">
        <f>IFERROR(CUBEVALUE("BIDB",$A556,G$3,G$2,'Præsentationstabeller 1'!$C$2),0)</f>
        <v>5</v>
      </c>
      <c r="H556" t="str" vm="9746">
        <f>IFERROR(CUBEVALUE("BIDB",$A556,H$3,H$2,'Præsentationstabeller 1'!$C$2),0)</f>
        <v/>
      </c>
      <c r="I556" t="str" vm="8356">
        <f>IFERROR(CUBEVALUE("BIDB",$A556,I$3,I$2,'Præsentationstabeller 1'!$C$2),0)</f>
        <v/>
      </c>
      <c r="J556" t="str" vm="13126">
        <f>IFERROR(CUBEVALUE("BIDB",$A556,J$3,J$2,'Præsentationstabeller 1'!$C$2),0)</f>
        <v/>
      </c>
      <c r="K556" t="str" vm="5791">
        <f>IFERROR(CUBEVALUE("BIDB",$A556,K$3,K$2,'Præsentationstabeller 1'!$C$2),0)</f>
        <v/>
      </c>
      <c r="L556" t="str" vm="8695">
        <f>IFERROR(CUBEVALUE("BIDB",$A556,L$3,L$2,'Præsentationstabeller 1'!$C$2),0)</f>
        <v/>
      </c>
    </row>
    <row r="557" spans="1:12" x14ac:dyDescent="0.3">
      <c r="A557" s="123" t="str" vm="779">
        <f>CUBEMEMBER("BIDB","[Dimittenddato].[Dimittenddato].&amp;[2013-06-02T00:00:00]")</f>
        <v>02-06-2013</v>
      </c>
      <c r="B557" t="str" vm="13181">
        <f>IFERROR(CUBEVALUE("BIDB",$A557,B$3,'Præsentationstabeller 1'!$C$2),0)</f>
        <v/>
      </c>
      <c r="C557" t="str" vm="11230">
        <f>IFERROR(CUBEVALUE("BIDB",$A557,C$3,C$2,'Præsentationstabeller 1'!$C$2),0)</f>
        <v/>
      </c>
      <c r="D557" t="str" vm="7694">
        <f>IFERROR(CUBEVALUE("BIDB",$A557,D$3,D$2,'Præsentationstabeller 1'!$C$2),0)</f>
        <v/>
      </c>
      <c r="E557" t="str" vm="6971">
        <f>IFERROR(CUBEVALUE("BIDB",$A557,E$3,E$2,'Præsentationstabeller 1'!$C$2),0)</f>
        <v/>
      </c>
      <c r="F557" t="str" vm="14137">
        <f>IFERROR(CUBEVALUE("BIDB",$A557,F$3,F$2,'Præsentationstabeller 1'!$C$2),0)</f>
        <v/>
      </c>
      <c r="G557" t="str" vm="15118">
        <f>IFERROR(CUBEVALUE("BIDB",$A557,G$3,G$2,'Præsentationstabeller 1'!$C$2),0)</f>
        <v/>
      </c>
      <c r="H557" t="str" vm="7633">
        <f>IFERROR(CUBEVALUE("BIDB",$A557,H$3,H$2,'Præsentationstabeller 1'!$C$2),0)</f>
        <v/>
      </c>
      <c r="I557" t="str" vm="6653">
        <f>IFERROR(CUBEVALUE("BIDB",$A557,I$3,I$2,'Præsentationstabeller 1'!$C$2),0)</f>
        <v/>
      </c>
      <c r="J557" t="str" vm="13393">
        <f>IFERROR(CUBEVALUE("BIDB",$A557,J$3,J$2,'Præsentationstabeller 1'!$C$2),0)</f>
        <v/>
      </c>
      <c r="K557" t="str" vm="6547">
        <f>IFERROR(CUBEVALUE("BIDB",$A557,K$3,K$2,'Præsentationstabeller 1'!$C$2),0)</f>
        <v/>
      </c>
      <c r="L557" t="str" vm="10403">
        <f>IFERROR(CUBEVALUE("BIDB",$A557,L$3,L$2,'Præsentationstabeller 1'!$C$2),0)</f>
        <v/>
      </c>
    </row>
    <row r="558" spans="1:12" x14ac:dyDescent="0.3">
      <c r="A558" s="123" t="str" vm="778">
        <f>CUBEMEMBER("BIDB","[Dimittenddato].[Dimittenddato].&amp;[2013-06-03T00:00:00]")</f>
        <v>03-06-2013</v>
      </c>
      <c r="B558" t="str" vm="14230">
        <f>IFERROR(CUBEVALUE("BIDB",$A558,B$3,'Præsentationstabeller 1'!$C$2),0)</f>
        <v/>
      </c>
      <c r="C558" t="str" vm="7745">
        <f>IFERROR(CUBEVALUE("BIDB",$A558,C$3,C$2,'Præsentationstabeller 1'!$C$2),0)</f>
        <v/>
      </c>
      <c r="D558" vm="5799">
        <f>IFERROR(CUBEVALUE("BIDB",$A558,D$3,D$2,'Præsentationstabeller 1'!$C$2),0)</f>
        <v>2</v>
      </c>
      <c r="E558" vm="9538">
        <f>IFERROR(CUBEVALUE("BIDB",$A558,E$3,E$2,'Præsentationstabeller 1'!$C$2),0)</f>
        <v>7</v>
      </c>
      <c r="F558" vm="11496">
        <f>IFERROR(CUBEVALUE("BIDB",$A558,F$3,F$2,'Præsentationstabeller 1'!$C$2),0)</f>
        <v>2</v>
      </c>
      <c r="G558" vm="9624">
        <f>IFERROR(CUBEVALUE("BIDB",$A558,G$3,G$2,'Præsentationstabeller 1'!$C$2),0)</f>
        <v>9</v>
      </c>
      <c r="H558" t="str" vm="8645">
        <f>IFERROR(CUBEVALUE("BIDB",$A558,H$3,H$2,'Præsentationstabeller 1'!$C$2),0)</f>
        <v/>
      </c>
      <c r="I558" t="str" vm="8324">
        <f>IFERROR(CUBEVALUE("BIDB",$A558,I$3,I$2,'Præsentationstabeller 1'!$C$2),0)</f>
        <v/>
      </c>
      <c r="J558" t="str" vm="14905">
        <f>IFERROR(CUBEVALUE("BIDB",$A558,J$3,J$2,'Præsentationstabeller 1'!$C$2),0)</f>
        <v/>
      </c>
      <c r="K558" t="str" vm="5918">
        <f>IFERROR(CUBEVALUE("BIDB",$A558,K$3,K$2,'Præsentationstabeller 1'!$C$2),0)</f>
        <v/>
      </c>
      <c r="L558" t="str" vm="10452">
        <f>IFERROR(CUBEVALUE("BIDB",$A558,L$3,L$2,'Præsentationstabeller 1'!$C$2),0)</f>
        <v/>
      </c>
    </row>
    <row r="559" spans="1:12" x14ac:dyDescent="0.3">
      <c r="A559" s="123" t="str" vm="777">
        <f>CUBEMEMBER("BIDB","[Dimittenddato].[Dimittenddato].&amp;[2013-06-04T00:00:00]")</f>
        <v>04-06-2013</v>
      </c>
      <c r="B559" t="str" vm="14414">
        <f>IFERROR(CUBEVALUE("BIDB",$A559,B$3,'Præsentationstabeller 1'!$C$2),0)</f>
        <v/>
      </c>
      <c r="C559" t="str" vm="9057">
        <f>IFERROR(CUBEVALUE("BIDB",$A559,C$3,C$2,'Præsentationstabeller 1'!$C$2),0)</f>
        <v/>
      </c>
      <c r="D559" vm="6555">
        <f>IFERROR(CUBEVALUE("BIDB",$A559,D$3,D$2,'Præsentationstabeller 1'!$C$2),0)</f>
        <v>4</v>
      </c>
      <c r="E559" vm="6774">
        <f>IFERROR(CUBEVALUE("BIDB",$A559,E$3,E$2,'Præsentationstabeller 1'!$C$2),0)</f>
        <v>2</v>
      </c>
      <c r="F559" vm="14011">
        <f>IFERROR(CUBEVALUE("BIDB",$A559,F$3,F$2,'Præsentationstabeller 1'!$C$2),0)</f>
        <v>1</v>
      </c>
      <c r="G559" vm="11800">
        <f>IFERROR(CUBEVALUE("BIDB",$A559,G$3,G$2,'Præsentationstabeller 1'!$C$2),0)</f>
        <v>3</v>
      </c>
      <c r="H559" t="str" vm="7713">
        <f>IFERROR(CUBEVALUE("BIDB",$A559,H$3,H$2,'Præsentationstabeller 1'!$C$2),0)</f>
        <v/>
      </c>
      <c r="I559" t="str" vm="6979">
        <f>IFERROR(CUBEVALUE("BIDB",$A559,I$3,I$2,'Præsentationstabeller 1'!$C$2),0)</f>
        <v/>
      </c>
      <c r="J559" t="str" vm="15002">
        <f>IFERROR(CUBEVALUE("BIDB",$A559,J$3,J$2,'Præsentationstabeller 1'!$C$2),0)</f>
        <v/>
      </c>
      <c r="K559" t="str" vm="7814">
        <f>IFERROR(CUBEVALUE("BIDB",$A559,K$3,K$2,'Præsentationstabeller 1'!$C$2),0)</f>
        <v/>
      </c>
      <c r="L559" t="str" vm="10069">
        <f>IFERROR(CUBEVALUE("BIDB",$A559,L$3,L$2,'Præsentationstabeller 1'!$C$2),0)</f>
        <v/>
      </c>
    </row>
    <row r="560" spans="1:12" x14ac:dyDescent="0.3">
      <c r="A560" s="123" t="str" vm="776">
        <f>CUBEMEMBER("BIDB","[Dimittenddato].[Dimittenddato].&amp;[2013-06-05T00:00:00]")</f>
        <v>05-06-2013</v>
      </c>
      <c r="B560" t="str" vm="16150">
        <f>IFERROR(CUBEVALUE("BIDB",$A560,B$3,'Præsentationstabeller 1'!$C$2),0)</f>
        <v/>
      </c>
      <c r="C560" t="str" vm="6606">
        <f>IFERROR(CUBEVALUE("BIDB",$A560,C$3,C$2,'Præsentationstabeller 1'!$C$2),0)</f>
        <v/>
      </c>
      <c r="D560" t="str" vm="5926">
        <f>IFERROR(CUBEVALUE("BIDB",$A560,D$3,D$2,'Præsentationstabeller 1'!$C$2),0)</f>
        <v/>
      </c>
      <c r="E560" vm="9744">
        <f>IFERROR(CUBEVALUE("BIDB",$A560,E$3,E$2,'Præsentationstabeller 1'!$C$2),0)</f>
        <v>0</v>
      </c>
      <c r="F560" t="str" vm="13636">
        <f>IFERROR(CUBEVALUE("BIDB",$A560,F$3,F$2,'Præsentationstabeller 1'!$C$2),0)</f>
        <v/>
      </c>
      <c r="G560" vm="14682">
        <f>IFERROR(CUBEVALUE("BIDB",$A560,G$3,G$2,'Præsentationstabeller 1'!$C$2),0)</f>
        <v>0</v>
      </c>
      <c r="H560" t="str" vm="8542">
        <f>IFERROR(CUBEVALUE("BIDB",$A560,H$3,H$2,'Præsentationstabeller 1'!$C$2),0)</f>
        <v/>
      </c>
      <c r="I560" t="str" vm="10542">
        <f>IFERROR(CUBEVALUE("BIDB",$A560,I$3,I$2,'Præsentationstabeller 1'!$C$2),0)</f>
        <v/>
      </c>
      <c r="J560" t="str" vm="13719">
        <f>IFERROR(CUBEVALUE("BIDB",$A560,J$3,J$2,'Præsentationstabeller 1'!$C$2),0)</f>
        <v/>
      </c>
      <c r="K560" t="str" vm="6939">
        <f>IFERROR(CUBEVALUE("BIDB",$A560,K$3,K$2,'Præsentationstabeller 1'!$C$2),0)</f>
        <v/>
      </c>
      <c r="L560" t="str" vm="7569">
        <f>IFERROR(CUBEVALUE("BIDB",$A560,L$3,L$2,'Præsentationstabeller 1'!$C$2),0)</f>
        <v/>
      </c>
    </row>
    <row r="561" spans="1:12" x14ac:dyDescent="0.3">
      <c r="A561" s="123" t="str" vm="775">
        <f>CUBEMEMBER("BIDB","[Dimittenddato].[Dimittenddato].&amp;[2013-06-06T00:00:00]")</f>
        <v>06-06-2013</v>
      </c>
      <c r="B561" t="str" vm="11570">
        <f>IFERROR(CUBEVALUE("BIDB",$A561,B$3,'Præsentationstabeller 1'!$C$2),0)</f>
        <v/>
      </c>
      <c r="C561" t="str" vm="12164">
        <f>IFERROR(CUBEVALUE("BIDB",$A561,C$3,C$2,'Præsentationstabeller 1'!$C$2),0)</f>
        <v/>
      </c>
      <c r="D561" vm="7822">
        <f>IFERROR(CUBEVALUE("BIDB",$A561,D$3,D$2,'Præsentationstabeller 1'!$C$2),0)</f>
        <v>3</v>
      </c>
      <c r="E561" vm="8275">
        <f>IFERROR(CUBEVALUE("BIDB",$A561,E$3,E$2,'Præsentationstabeller 1'!$C$2),0)</f>
        <v>11</v>
      </c>
      <c r="F561" vm="13785">
        <f>IFERROR(CUBEVALUE("BIDB",$A561,F$3,F$2,'Præsentationstabeller 1'!$C$2),0)</f>
        <v>2</v>
      </c>
      <c r="G561" vm="10493">
        <f>IFERROR(CUBEVALUE("BIDB",$A561,G$3,G$2,'Præsentationstabeller 1'!$C$2),0)</f>
        <v>13</v>
      </c>
      <c r="H561" t="str" vm="6574">
        <f>IFERROR(CUBEVALUE("BIDB",$A561,H$3,H$2,'Præsentationstabeller 1'!$C$2),0)</f>
        <v/>
      </c>
      <c r="I561" t="str" vm="6780">
        <f>IFERROR(CUBEVALUE("BIDB",$A561,I$3,I$2,'Præsentationstabeller 1'!$C$2),0)</f>
        <v/>
      </c>
      <c r="J561" t="str" vm="13470">
        <f>IFERROR(CUBEVALUE("BIDB",$A561,J$3,J$2,'Præsentationstabeller 1'!$C$2),0)</f>
        <v/>
      </c>
      <c r="K561" t="str" vm="8012">
        <f>IFERROR(CUBEVALUE("BIDB",$A561,K$3,K$2,'Præsentationstabeller 1'!$C$2),0)</f>
        <v/>
      </c>
      <c r="L561" t="str" vm="11757">
        <f>IFERROR(CUBEVALUE("BIDB",$A561,L$3,L$2,'Præsentationstabeller 1'!$C$2),0)</f>
        <v/>
      </c>
    </row>
    <row r="562" spans="1:12" x14ac:dyDescent="0.3">
      <c r="A562" s="123" t="str" vm="774">
        <f>CUBEMEMBER("BIDB","[Dimittenddato].[Dimittenddato].&amp;[2013-06-07T00:00:00]")</f>
        <v>07-06-2013</v>
      </c>
      <c r="B562" t="str" vm="15112">
        <f>IFERROR(CUBEVALUE("BIDB",$A562,B$3,'Præsentationstabeller 1'!$C$2),0)</f>
        <v/>
      </c>
      <c r="C562" vm="7873">
        <f>IFERROR(CUBEVALUE("BIDB",$A562,C$3,C$2,'Præsentationstabeller 1'!$C$2),0)</f>
        <v>1</v>
      </c>
      <c r="D562" vm="6947">
        <f>IFERROR(CUBEVALUE("BIDB",$A562,D$3,D$2,'Præsentationstabeller 1'!$C$2),0)</f>
        <v>2</v>
      </c>
      <c r="E562" vm="7639">
        <f>IFERROR(CUBEVALUE("BIDB",$A562,E$3,E$2,'Præsentationstabeller 1'!$C$2),0)</f>
        <v>5</v>
      </c>
      <c r="F562" t="str" vm="16875">
        <f>IFERROR(CUBEVALUE("BIDB",$A562,F$3,F$2,'Præsentationstabeller 1'!$C$2),0)</f>
        <v/>
      </c>
      <c r="G562" vm="10978">
        <f>IFERROR(CUBEVALUE("BIDB",$A562,G$3,G$2,'Præsentationstabeller 1'!$C$2),0)</f>
        <v>5</v>
      </c>
      <c r="H562" t="str" vm="8439">
        <f>IFERROR(CUBEVALUE("BIDB",$A562,H$3,H$2,'Præsentationstabeller 1'!$C$2),0)</f>
        <v/>
      </c>
      <c r="I562" t="str" vm="10748">
        <f>IFERROR(CUBEVALUE("BIDB",$A562,I$3,I$2,'Præsentationstabeller 1'!$C$2),0)</f>
        <v/>
      </c>
      <c r="J562" t="str" vm="16960">
        <f>IFERROR(CUBEVALUE("BIDB",$A562,J$3,J$2,'Præsentationstabeller 1'!$C$2),0)</f>
        <v/>
      </c>
      <c r="K562" t="str" vm="6506">
        <f>IFERROR(CUBEVALUE("BIDB",$A562,K$3,K$2,'Præsentationstabeller 1'!$C$2),0)</f>
        <v/>
      </c>
      <c r="L562" t="str" vm="8904">
        <f>IFERROR(CUBEVALUE("BIDB",$A562,L$3,L$2,'Præsentationstabeller 1'!$C$2),0)</f>
        <v/>
      </c>
    </row>
    <row r="563" spans="1:12" x14ac:dyDescent="0.3">
      <c r="A563" s="123" t="str" vm="773">
        <f>CUBEMEMBER("BIDB","[Dimittenddato].[Dimittenddato].&amp;[2013-06-08T00:00:00]")</f>
        <v>08-06-2013</v>
      </c>
      <c r="B563" t="str" vm="15607">
        <f>IFERROR(CUBEVALUE("BIDB",$A563,B$3,'Præsentationstabeller 1'!$C$2),0)</f>
        <v/>
      </c>
      <c r="C563" t="str" vm="10337">
        <f>IFERROR(CUBEVALUE("BIDB",$A563,C$3,C$2,'Præsentationstabeller 1'!$C$2),0)</f>
        <v/>
      </c>
      <c r="D563" t="str" vm="8014">
        <f>IFERROR(CUBEVALUE("BIDB",$A563,D$3,D$2,'Præsentationstabeller 1'!$C$2),0)</f>
        <v/>
      </c>
      <c r="E563" t="str" vm="8108">
        <f>IFERROR(CUBEVALUE("BIDB",$A563,E$3,E$2,'Præsentationstabeller 1'!$C$2),0)</f>
        <v/>
      </c>
      <c r="F563" t="str" vm="15806">
        <f>IFERROR(CUBEVALUE("BIDB",$A563,F$3,F$2,'Præsentationstabeller 1'!$C$2),0)</f>
        <v/>
      </c>
      <c r="G563" t="str" vm="7584">
        <f>IFERROR(CUBEVALUE("BIDB",$A563,G$3,G$2,'Præsentationstabeller 1'!$C$2),0)</f>
        <v/>
      </c>
      <c r="H563" t="str" vm="7841">
        <f>IFERROR(CUBEVALUE("BIDB",$A563,H$3,H$2,'Præsentationstabeller 1'!$C$2),0)</f>
        <v/>
      </c>
      <c r="I563" t="str" vm="8281">
        <f>IFERROR(CUBEVALUE("BIDB",$A563,I$3,I$2,'Præsentationstabeller 1'!$C$2),0)</f>
        <v/>
      </c>
      <c r="J563" t="str" vm="16563">
        <f>IFERROR(CUBEVALUE("BIDB",$A563,J$3,J$2,'Præsentationstabeller 1'!$C$2),0)</f>
        <v/>
      </c>
      <c r="K563" t="str" vm="7183">
        <f>IFERROR(CUBEVALUE("BIDB",$A563,K$3,K$2,'Præsentationstabeller 1'!$C$2),0)</f>
        <v/>
      </c>
      <c r="L563" t="str" vm="7609">
        <f>IFERROR(CUBEVALUE("BIDB",$A563,L$3,L$2,'Præsentationstabeller 1'!$C$2),0)</f>
        <v/>
      </c>
    </row>
    <row r="564" spans="1:12" x14ac:dyDescent="0.3">
      <c r="A564" s="123" t="str" vm="772">
        <f>CUBEMEMBER("BIDB","[Dimittenddato].[Dimittenddato].&amp;[2013-06-09T00:00:00]")</f>
        <v>09-06-2013</v>
      </c>
      <c r="B564" t="str" vm="16029">
        <f>IFERROR(CUBEVALUE("BIDB",$A564,B$3,'Præsentationstabeller 1'!$C$2),0)</f>
        <v/>
      </c>
      <c r="C564" t="str" vm="7538">
        <f>IFERROR(CUBEVALUE("BIDB",$A564,C$3,C$2,'Præsentationstabeller 1'!$C$2),0)</f>
        <v/>
      </c>
      <c r="D564" t="str" vm="6508">
        <f>IFERROR(CUBEVALUE("BIDB",$A564,D$3,D$2,'Præsentationstabeller 1'!$C$2),0)</f>
        <v/>
      </c>
      <c r="E564" vm="7631">
        <f>IFERROR(CUBEVALUE("BIDB",$A564,E$3,E$2,'Præsentationstabeller 1'!$C$2),0)</f>
        <v>1</v>
      </c>
      <c r="F564" t="str" vm="15461">
        <f>IFERROR(CUBEVALUE("BIDB",$A564,F$3,F$2,'Præsentationstabeller 1'!$C$2),0)</f>
        <v/>
      </c>
      <c r="G564" vm="15785">
        <f>IFERROR(CUBEVALUE("BIDB",$A564,G$3,G$2,'Præsentationstabeller 1'!$C$2),0)</f>
        <v>1</v>
      </c>
      <c r="H564" t="str" vm="11162">
        <f>IFERROR(CUBEVALUE("BIDB",$A564,H$3,H$2,'Præsentationstabeller 1'!$C$2),0)</f>
        <v/>
      </c>
      <c r="I564" t="str" vm="8617">
        <f>IFERROR(CUBEVALUE("BIDB",$A564,I$3,I$2,'Præsentationstabeller 1'!$C$2),0)</f>
        <v/>
      </c>
      <c r="J564" t="str" vm="13278">
        <f>IFERROR(CUBEVALUE("BIDB",$A564,J$3,J$2,'Præsentationstabeller 1'!$C$2),0)</f>
        <v/>
      </c>
      <c r="K564" t="str" vm="5537">
        <f>IFERROR(CUBEVALUE("BIDB",$A564,K$3,K$2,'Præsentationstabeller 1'!$C$2),0)</f>
        <v/>
      </c>
      <c r="L564" t="str" vm="7087">
        <f>IFERROR(CUBEVALUE("BIDB",$A564,L$3,L$2,'Præsentationstabeller 1'!$C$2),0)</f>
        <v/>
      </c>
    </row>
    <row r="565" spans="1:12" x14ac:dyDescent="0.3">
      <c r="A565" s="123" t="str" vm="771">
        <f>CUBEMEMBER("BIDB","[Dimittenddato].[Dimittenddato].&amp;[2013-06-10T00:00:00]")</f>
        <v>10-06-2013</v>
      </c>
      <c r="B565" t="str" vm="14525">
        <f>IFERROR(CUBEVALUE("BIDB",$A565,B$3,'Præsentationstabeller 1'!$C$2),0)</f>
        <v/>
      </c>
      <c r="C565" t="str" vm="14545">
        <f>IFERROR(CUBEVALUE("BIDB",$A565,C$3,C$2,'Præsentationstabeller 1'!$C$2),0)</f>
        <v/>
      </c>
      <c r="D565" vm="7205">
        <f>IFERROR(CUBEVALUE("BIDB",$A565,D$3,D$2,'Præsentationstabeller 1'!$C$2),0)</f>
        <v>3</v>
      </c>
      <c r="E565" vm="6717">
        <f>IFERROR(CUBEVALUE("BIDB",$A565,E$3,E$2,'Præsentationstabeller 1'!$C$2),0)</f>
        <v>8</v>
      </c>
      <c r="F565" vm="17043">
        <f>IFERROR(CUBEVALUE("BIDB",$A565,F$3,F$2,'Præsentationstabeller 1'!$C$2),0)</f>
        <v>2</v>
      </c>
      <c r="G565" vm="13212">
        <f>IFERROR(CUBEVALUE("BIDB",$A565,G$3,G$2,'Præsentationstabeller 1'!$C$2),0)</f>
        <v>10</v>
      </c>
      <c r="H565" t="str" vm="7530">
        <f>IFERROR(CUBEVALUE("BIDB",$A565,H$3,H$2,'Præsentationstabeller 1'!$C$2),0)</f>
        <v/>
      </c>
      <c r="I565" t="str" vm="9087">
        <f>IFERROR(CUBEVALUE("BIDB",$A565,I$3,I$2,'Præsentationstabeller 1'!$C$2),0)</f>
        <v/>
      </c>
      <c r="J565" t="str" vm="12512">
        <f>IFERROR(CUBEVALUE("BIDB",$A565,J$3,J$2,'Præsentationstabeller 1'!$C$2),0)</f>
        <v/>
      </c>
      <c r="K565" vm="6292">
        <f>IFERROR(CUBEVALUE("BIDB",$A565,K$3,K$2,'Præsentationstabeller 1'!$C$2),0)</f>
        <v>0.52</v>
      </c>
      <c r="L565" vm="14954">
        <f>IFERROR(CUBEVALUE("BIDB",$A565,L$3,L$2,'Præsentationstabeller 1'!$C$2),0)</f>
        <v>0.52</v>
      </c>
    </row>
    <row r="566" spans="1:12" x14ac:dyDescent="0.3">
      <c r="A566" s="123" t="str" vm="770">
        <f>CUBEMEMBER("BIDB","[Dimittenddato].[Dimittenddato].&amp;[2013-06-11T00:00:00]")</f>
        <v>11-06-2013</v>
      </c>
      <c r="B566" t="str" vm="16830">
        <f>IFERROR(CUBEVALUE("BIDB",$A566,B$3,'Præsentationstabeller 1'!$C$2),0)</f>
        <v/>
      </c>
      <c r="C566" vm="7256">
        <f>IFERROR(CUBEVALUE("BIDB",$A566,C$3,C$2,'Præsentationstabeller 1'!$C$2),0)</f>
        <v>2</v>
      </c>
      <c r="D566" vm="5545">
        <f>IFERROR(CUBEVALUE("BIDB",$A566,D$3,D$2,'Præsentationstabeller 1'!$C$2),0)</f>
        <v>1</v>
      </c>
      <c r="E566" vm="12251">
        <f>IFERROR(CUBEVALUE("BIDB",$A566,E$3,E$2,'Præsentationstabeller 1'!$C$2),0)</f>
        <v>7</v>
      </c>
      <c r="F566" vm="16841">
        <f>IFERROR(CUBEVALUE("BIDB",$A566,F$3,F$2,'Præsentationstabeller 1'!$C$2),0)</f>
        <v>2</v>
      </c>
      <c r="G566" vm="14513">
        <f>IFERROR(CUBEVALUE("BIDB",$A566,G$3,G$2,'Præsentationstabeller 1'!$C$2),0)</f>
        <v>9</v>
      </c>
      <c r="H566" t="str" vm="8156">
        <f>IFERROR(CUBEVALUE("BIDB",$A566,H$3,H$2,'Præsentationstabeller 1'!$C$2),0)</f>
        <v/>
      </c>
      <c r="I566" t="str" vm="8609">
        <f>IFERROR(CUBEVALUE("BIDB",$A566,I$3,I$2,'Præsentationstabeller 1'!$C$2),0)</f>
        <v/>
      </c>
      <c r="J566" t="str" vm="13771">
        <f>IFERROR(CUBEVALUE("BIDB",$A566,J$3,J$2,'Præsentationstabeller 1'!$C$2),0)</f>
        <v/>
      </c>
      <c r="K566" t="str" vm="5663">
        <f>IFERROR(CUBEVALUE("BIDB",$A566,K$3,K$2,'Præsentationstabeller 1'!$C$2),0)</f>
        <v/>
      </c>
      <c r="L566" t="str" vm="14676">
        <f>IFERROR(CUBEVALUE("BIDB",$A566,L$3,L$2,'Præsentationstabeller 1'!$C$2),0)</f>
        <v/>
      </c>
    </row>
    <row r="567" spans="1:12" x14ac:dyDescent="0.3">
      <c r="A567" s="123" t="str" vm="769">
        <f>CUBEMEMBER("BIDB","[Dimittenddato].[Dimittenddato].&amp;[2013-06-12T00:00:00]")</f>
        <v>12-06-2013</v>
      </c>
      <c r="B567" t="str" vm="15545">
        <f>IFERROR(CUBEVALUE("BIDB",$A567,B$3,'Præsentationstabeller 1'!$C$2),0)</f>
        <v/>
      </c>
      <c r="C567" vm="8954">
        <f>IFERROR(CUBEVALUE("BIDB",$A567,C$3,C$2,'Præsentationstabeller 1'!$C$2),0)</f>
        <v>2</v>
      </c>
      <c r="D567" vm="6300">
        <f>IFERROR(CUBEVALUE("BIDB",$A567,D$3,D$2,'Præsentationstabeller 1'!$C$2),0)</f>
        <v>4</v>
      </c>
      <c r="E567" vm="6392">
        <f>IFERROR(CUBEVALUE("BIDB",$A567,E$3,E$2,'Præsentationstabeller 1'!$C$2),0)</f>
        <v>12</v>
      </c>
      <c r="F567" vm="12159">
        <f>IFERROR(CUBEVALUE("BIDB",$A567,F$3,F$2,'Præsentationstabeller 1'!$C$2),0)</f>
        <v>0</v>
      </c>
      <c r="G567" vm="13440">
        <f>IFERROR(CUBEVALUE("BIDB",$A567,G$3,G$2,'Præsentationstabeller 1'!$C$2),0)</f>
        <v>12</v>
      </c>
      <c r="H567" t="str" vm="7224">
        <f>IFERROR(CUBEVALUE("BIDB",$A567,H$3,H$2,'Præsentationstabeller 1'!$C$2),0)</f>
        <v/>
      </c>
      <c r="I567" t="str" vm="6725">
        <f>IFERROR(CUBEVALUE("BIDB",$A567,I$3,I$2,'Præsentationstabeller 1'!$C$2),0)</f>
        <v/>
      </c>
      <c r="J567" t="str" vm="16428">
        <f>IFERROR(CUBEVALUE("BIDB",$A567,J$3,J$2,'Præsentationstabeller 1'!$C$2),0)</f>
        <v/>
      </c>
      <c r="K567" t="str" vm="7325">
        <f>IFERROR(CUBEVALUE("BIDB",$A567,K$3,K$2,'Præsentationstabeller 1'!$C$2),0)</f>
        <v/>
      </c>
      <c r="L567" t="str" vm="10866">
        <f>IFERROR(CUBEVALUE("BIDB",$A567,L$3,L$2,'Præsentationstabeller 1'!$C$2),0)</f>
        <v/>
      </c>
    </row>
    <row r="568" spans="1:12" x14ac:dyDescent="0.3">
      <c r="A568" s="123" t="str" vm="768">
        <f>CUBEMEMBER("BIDB","[Dimittenddato].[Dimittenddato].&amp;[2013-06-13T00:00:00]")</f>
        <v>13-06-2013</v>
      </c>
      <c r="B568" t="str" vm="14596">
        <f>IFERROR(CUBEVALUE("BIDB",$A568,B$3,'Præsentationstabeller 1'!$C$2),0)</f>
        <v/>
      </c>
      <c r="C568" t="str" vm="6351">
        <f>IFERROR(CUBEVALUE("BIDB",$A568,C$3,C$2,'Præsentationstabeller 1'!$C$2),0)</f>
        <v/>
      </c>
      <c r="D568" t="str" vm="5671">
        <f>IFERROR(CUBEVALUE("BIDB",$A568,D$3,D$2,'Præsentationstabeller 1'!$C$2),0)</f>
        <v/>
      </c>
      <c r="E568" vm="8637">
        <f>IFERROR(CUBEVALUE("BIDB",$A568,E$3,E$2,'Præsentationstabeller 1'!$C$2),0)</f>
        <v>14</v>
      </c>
      <c r="F568" vm="14669">
        <f>IFERROR(CUBEVALUE("BIDB",$A568,F$3,F$2,'Præsentationstabeller 1'!$C$2),0)</f>
        <v>1</v>
      </c>
      <c r="G568" vm="15082">
        <f>IFERROR(CUBEVALUE("BIDB",$A568,G$3,G$2,'Præsentationstabeller 1'!$C$2),0)</f>
        <v>15</v>
      </c>
      <c r="H568" t="str" vm="8053">
        <f>IFERROR(CUBEVALUE("BIDB",$A568,H$3,H$2,'Præsentationstabeller 1'!$C$2),0)</f>
        <v/>
      </c>
      <c r="I568" t="str" vm="11203">
        <f>IFERROR(CUBEVALUE("BIDB",$A568,I$3,I$2,'Præsentationstabeller 1'!$C$2),0)</f>
        <v/>
      </c>
      <c r="J568" t="str" vm="16507">
        <f>IFERROR(CUBEVALUE("BIDB",$A568,J$3,J$2,'Præsentationstabeller 1'!$C$2),0)</f>
        <v/>
      </c>
      <c r="K568" t="str" vm="6685">
        <f>IFERROR(CUBEVALUE("BIDB",$A568,K$3,K$2,'Præsentationstabeller 1'!$C$2),0)</f>
        <v/>
      </c>
      <c r="L568" t="str" vm="7466">
        <f>IFERROR(CUBEVALUE("BIDB",$A568,L$3,L$2,'Præsentationstabeller 1'!$C$2),0)</f>
        <v/>
      </c>
    </row>
    <row r="569" spans="1:12" x14ac:dyDescent="0.3">
      <c r="A569" s="123" t="str" vm="767">
        <f>CUBEMEMBER("BIDB","[Dimittenddato].[Dimittenddato].&amp;[2013-06-14T00:00:00]")</f>
        <v>14-06-2013</v>
      </c>
      <c r="B569" t="str" vm="16427">
        <f>IFERROR(CUBEVALUE("BIDB",$A569,B$3,'Præsentationstabeller 1'!$C$2),0)</f>
        <v/>
      </c>
      <c r="C569" t="str" vm="15117">
        <f>IFERROR(CUBEVALUE("BIDB",$A569,C$3,C$2,'Præsentationstabeller 1'!$C$2),0)</f>
        <v/>
      </c>
      <c r="D569" vm="7333">
        <f>IFERROR(CUBEVALUE("BIDB",$A569,D$3,D$2,'Præsentationstabeller 1'!$C$2),0)</f>
        <v>2</v>
      </c>
      <c r="E569" vm="6519">
        <f>IFERROR(CUBEVALUE("BIDB",$A569,E$3,E$2,'Præsentationstabeller 1'!$C$2),0)</f>
        <v>13</v>
      </c>
      <c r="F569" vm="13715">
        <f>IFERROR(CUBEVALUE("BIDB",$A569,F$3,F$2,'Præsentationstabeller 1'!$C$2),0)</f>
        <v>5</v>
      </c>
      <c r="G569" vm="12478">
        <f>IFERROR(CUBEVALUE("BIDB",$A569,G$3,G$2,'Præsentationstabeller 1'!$C$2),0)</f>
        <v>18</v>
      </c>
      <c r="H569" t="str" vm="6319">
        <f>IFERROR(CUBEVALUE("BIDB",$A569,H$3,H$2,'Præsentationstabeller 1'!$C$2),0)</f>
        <v/>
      </c>
      <c r="I569" t="str" vm="6398">
        <f>IFERROR(CUBEVALUE("BIDB",$A569,I$3,I$2,'Præsentationstabeller 1'!$C$2),0)</f>
        <v/>
      </c>
      <c r="J569" t="str" vm="16628">
        <f>IFERROR(CUBEVALUE("BIDB",$A569,J$3,J$2,'Præsentationstabeller 1'!$C$2),0)</f>
        <v/>
      </c>
      <c r="K569" t="str" vm="7909">
        <f>IFERROR(CUBEVALUE("BIDB",$A569,K$3,K$2,'Præsentationstabeller 1'!$C$2),0)</f>
        <v/>
      </c>
      <c r="L569" t="str" vm="12978">
        <f>IFERROR(CUBEVALUE("BIDB",$A569,L$3,L$2,'Præsentationstabeller 1'!$C$2),0)</f>
        <v/>
      </c>
    </row>
    <row r="570" spans="1:12" x14ac:dyDescent="0.3">
      <c r="A570" s="123" t="str" vm="766">
        <f>CUBEMEMBER("BIDB","[Dimittenddato].[Dimittenddato].&amp;[2013-06-15T00:00:00]")</f>
        <v>15-06-2013</v>
      </c>
      <c r="B570" t="str" vm="14487">
        <f>IFERROR(CUBEVALUE("BIDB",$A570,B$3,'Præsentationstabeller 1'!$C$2),0)</f>
        <v/>
      </c>
      <c r="C570" t="str" vm="7384">
        <f>IFERROR(CUBEVALUE("BIDB",$A570,C$3,C$2,'Præsentationstabeller 1'!$C$2),0)</f>
        <v/>
      </c>
      <c r="D570" vm="6693">
        <f>IFERROR(CUBEVALUE("BIDB",$A570,D$3,D$2,'Præsentationstabeller 1'!$C$2),0)</f>
        <v>0</v>
      </c>
      <c r="E570" vm="7737">
        <f>IFERROR(CUBEVALUE("BIDB",$A570,E$3,E$2,'Præsentationstabeller 1'!$C$2),0)</f>
        <v>0</v>
      </c>
      <c r="F570" t="str" vm="15267">
        <f>IFERROR(CUBEVALUE("BIDB",$A570,F$3,F$2,'Præsentationstabeller 1'!$C$2),0)</f>
        <v/>
      </c>
      <c r="G570" vm="14680">
        <f>IFERROR(CUBEVALUE("BIDB",$A570,G$3,G$2,'Præsentationstabeller 1'!$C$2),0)</f>
        <v>0</v>
      </c>
      <c r="H570" t="str" vm="7950">
        <f>IFERROR(CUBEVALUE("BIDB",$A570,H$3,H$2,'Præsentationstabeller 1'!$C$2),0)</f>
        <v/>
      </c>
      <c r="I570" t="str" vm="8639">
        <f>IFERROR(CUBEVALUE("BIDB",$A570,I$3,I$2,'Præsentationstabeller 1'!$C$2),0)</f>
        <v/>
      </c>
      <c r="J570" t="str" vm="13272">
        <f>IFERROR(CUBEVALUE("BIDB",$A570,J$3,J$2,'Præsentationstabeller 1'!$C$2),0)</f>
        <v/>
      </c>
      <c r="K570" t="str" vm="7773">
        <f>IFERROR(CUBEVALUE("BIDB",$A570,K$3,K$2,'Præsentationstabeller 1'!$C$2),0)</f>
        <v/>
      </c>
      <c r="L570" t="str" vm="8855">
        <f>IFERROR(CUBEVALUE("BIDB",$A570,L$3,L$2,'Præsentationstabeller 1'!$C$2),0)</f>
        <v/>
      </c>
    </row>
    <row r="571" spans="1:12" x14ac:dyDescent="0.3">
      <c r="A571" s="123" t="str" vm="765">
        <f>CUBEMEMBER("BIDB","[Dimittenddato].[Dimittenddato].&amp;[2013-06-16T00:00:00]")</f>
        <v>16-06-2013</v>
      </c>
      <c r="B571" t="str" vm="14201">
        <f>IFERROR(CUBEVALUE("BIDB",$A571,B$3,'Præsentationstabeller 1'!$C$2),0)</f>
        <v/>
      </c>
      <c r="C571" t="str" vm="12816">
        <f>IFERROR(CUBEVALUE("BIDB",$A571,C$3,C$2,'Præsentationstabeller 1'!$C$2),0)</f>
        <v/>
      </c>
      <c r="D571" t="str" vm="7911">
        <f>IFERROR(CUBEVALUE("BIDB",$A571,D$3,D$2,'Præsentationstabeller 1'!$C$2),0)</f>
        <v/>
      </c>
      <c r="E571" t="str" vm="7786">
        <f>IFERROR(CUBEVALUE("BIDB",$A571,E$3,E$2,'Præsentationstabeller 1'!$C$2),0)</f>
        <v/>
      </c>
      <c r="F571" t="str" vm="14016">
        <f>IFERROR(CUBEVALUE("BIDB",$A571,F$3,F$2,'Præsentationstabeller 1'!$C$2),0)</f>
        <v/>
      </c>
      <c r="G571" t="str" vm="7481">
        <f>IFERROR(CUBEVALUE("BIDB",$A571,G$3,G$2,'Præsentationstabeller 1'!$C$2),0)</f>
        <v/>
      </c>
      <c r="H571" t="str" vm="7352">
        <f>IFERROR(CUBEVALUE("BIDB",$A571,H$3,H$2,'Præsentationstabeller 1'!$C$2),0)</f>
        <v/>
      </c>
      <c r="I571" t="str" vm="6525">
        <f>IFERROR(CUBEVALUE("BIDB",$A571,I$3,I$2,'Præsentationstabeller 1'!$C$2),0)</f>
        <v/>
      </c>
      <c r="J571" t="str" vm="14015">
        <f>IFERROR(CUBEVALUE("BIDB",$A571,J$3,J$2,'Præsentationstabeller 1'!$C$2),0)</f>
        <v/>
      </c>
      <c r="K571" t="str" vm="8176">
        <f>IFERROR(CUBEVALUE("BIDB",$A571,K$3,K$2,'Præsentationstabeller 1'!$C$2),0)</f>
        <v/>
      </c>
      <c r="L571" t="str" vm="7506">
        <f>IFERROR(CUBEVALUE("BIDB",$A571,L$3,L$2,'Præsentationstabeller 1'!$C$2),0)</f>
        <v/>
      </c>
    </row>
    <row r="572" spans="1:12" x14ac:dyDescent="0.3">
      <c r="A572" s="123" t="str" vm="764">
        <f>CUBEMEMBER("BIDB","[Dimittenddato].[Dimittenddato].&amp;[2013-06-17T00:00:00]")</f>
        <v>17-06-2013</v>
      </c>
      <c r="B572" t="str" vm="12946">
        <f>IFERROR(CUBEVALUE("BIDB",$A572,B$3,'Præsentationstabeller 1'!$C$2),0)</f>
        <v/>
      </c>
      <c r="C572" vm="7435">
        <f>IFERROR(CUBEVALUE("BIDB",$A572,C$3,C$2,'Præsentationstabeller 1'!$C$2),0)</f>
        <v>2</v>
      </c>
      <c r="D572" vm="7775">
        <f>IFERROR(CUBEVALUE("BIDB",$A572,D$3,D$2,'Præsentationstabeller 1'!$C$2),0)</f>
        <v>3</v>
      </c>
      <c r="E572" vm="8671">
        <f>IFERROR(CUBEVALUE("BIDB",$A572,E$3,E$2,'Præsentationstabeller 1'!$C$2),0)</f>
        <v>21</v>
      </c>
      <c r="F572" vm="7705">
        <f>IFERROR(CUBEVALUE("BIDB",$A572,F$3,F$2,'Præsentationstabeller 1'!$C$2),0)</f>
        <v>9</v>
      </c>
      <c r="G572" vm="15463">
        <f>IFERROR(CUBEVALUE("BIDB",$A572,G$3,G$2,'Præsentationstabeller 1'!$C$2),0)</f>
        <v>30</v>
      </c>
      <c r="H572" t="str" vm="13210">
        <f>IFERROR(CUBEVALUE("BIDB",$A572,H$3,H$2,'Præsentationstabeller 1'!$C$2),0)</f>
        <v/>
      </c>
      <c r="I572" vm="7427">
        <f>IFERROR(CUBEVALUE("BIDB",$A572,I$3,I$2,'Præsentationstabeller 1'!$C$2),0)</f>
        <v>0.76</v>
      </c>
      <c r="J572" t="str" vm="7739">
        <f>IFERROR(CUBEVALUE("BIDB",$A572,J$3,J$2,'Præsentationstabeller 1'!$C$2),0)</f>
        <v/>
      </c>
      <c r="K572" t="str" vm="5282">
        <f>IFERROR(CUBEVALUE("BIDB",$A572,K$3,K$2,'Præsentationstabeller 1'!$C$2),0)</f>
        <v/>
      </c>
      <c r="L572" t="str" vm="8823">
        <f>IFERROR(CUBEVALUE("BIDB",$A572,L$3,L$2,'Præsentationstabeller 1'!$C$2),0)</f>
        <v/>
      </c>
    </row>
    <row r="573" spans="1:12" x14ac:dyDescent="0.3">
      <c r="A573" s="123" t="str" vm="763">
        <f>CUBEMEMBER("BIDB","[Dimittenddato].[Dimittenddato].&amp;[2013-06-18T00:00:00]")</f>
        <v>18-06-2013</v>
      </c>
      <c r="B573" t="str" vm="5409">
        <f>IFERROR(CUBEVALUE("BIDB",$A573,B$3,'Præsentationstabeller 1'!$C$2),0)</f>
        <v/>
      </c>
      <c r="C573" t="str" vm="15070">
        <f>IFERROR(CUBEVALUE("BIDB",$A573,C$3,C$2,'Præsentationstabeller 1'!$C$2),0)</f>
        <v/>
      </c>
      <c r="D573" vm="9484">
        <f>IFERROR(CUBEVALUE("BIDB",$A573,D$3,D$2,'Præsentationstabeller 1'!$C$2),0)</f>
        <v>5</v>
      </c>
      <c r="E573" vm="8722">
        <f>IFERROR(CUBEVALUE("BIDB",$A573,E$3,E$2,'Præsentationstabeller 1'!$C$2),0)</f>
        <v>25</v>
      </c>
      <c r="F573" vm="5290">
        <f>IFERROR(CUBEVALUE("BIDB",$A573,F$3,F$2,'Præsentationstabeller 1'!$C$2),0)</f>
        <v>8</v>
      </c>
      <c r="G573" vm="6463">
        <f>IFERROR(CUBEVALUE("BIDB",$A573,G$3,G$2,'Præsentationstabeller 1'!$C$2),0)</f>
        <v>33</v>
      </c>
      <c r="H573" t="str" vm="9283">
        <f>IFERROR(CUBEVALUE("BIDB",$A573,H$3,H$2,'Præsentationstabeller 1'!$C$2),0)</f>
        <v/>
      </c>
      <c r="I573" t="str" vm="16974">
        <f>IFERROR(CUBEVALUE("BIDB",$A573,I$3,I$2,'Præsentationstabeller 1'!$C$2),0)</f>
        <v/>
      </c>
      <c r="J573" vm="7667">
        <f>IFERROR(CUBEVALUE("BIDB",$A573,J$3,J$2,'Præsentationstabeller 1'!$C$2),0)</f>
        <v>0.91999999999999993</v>
      </c>
      <c r="K573" t="str" vm="7792">
        <f>IFERROR(CUBEVALUE("BIDB",$A573,K$3,K$2,'Præsentationstabeller 1'!$C$2),0)</f>
        <v/>
      </c>
      <c r="L573" vm="7055">
        <f>IFERROR(CUBEVALUE("BIDB",$A573,L$3,L$2,'Præsentationstabeller 1'!$C$2),0)</f>
        <v>0.91999999999999993</v>
      </c>
    </row>
    <row r="574" spans="1:12" x14ac:dyDescent="0.3">
      <c r="A574" s="123" t="str" vm="762">
        <f>CUBEMEMBER("BIDB","[Dimittenddato].[Dimittenddato].&amp;[2013-06-19T00:00:00]")</f>
        <v>19-06-2013</v>
      </c>
      <c r="B574" t="str" vm="6471">
        <f>IFERROR(CUBEVALUE("BIDB",$A574,B$3,'Præsentationstabeller 1'!$C$2),0)</f>
        <v/>
      </c>
      <c r="C574" vm="8791">
        <f>IFERROR(CUBEVALUE("BIDB",$A574,C$3,C$2,'Præsentationstabeller 1'!$C$2),0)</f>
        <v>1</v>
      </c>
      <c r="D574" vm="11301">
        <f>IFERROR(CUBEVALUE("BIDB",$A574,D$3,D$2,'Præsentationstabeller 1'!$C$2),0)</f>
        <v>5</v>
      </c>
      <c r="E574" vm="10957">
        <f>IFERROR(CUBEVALUE("BIDB",$A574,E$3,E$2,'Præsentationstabeller 1'!$C$2),0)</f>
        <v>29</v>
      </c>
      <c r="F574" vm="10756">
        <f>IFERROR(CUBEVALUE("BIDB",$A574,F$3,F$2,'Præsentationstabeller 1'!$C$2),0)</f>
        <v>8</v>
      </c>
      <c r="G574" vm="7063">
        <f>IFERROR(CUBEVALUE("BIDB",$A574,G$3,G$2,'Præsentationstabeller 1'!$C$2),0)</f>
        <v>37</v>
      </c>
      <c r="H574" t="str" vm="9055">
        <f>IFERROR(CUBEVALUE("BIDB",$A574,H$3,H$2,'Præsentationstabeller 1'!$C$2),0)</f>
        <v/>
      </c>
      <c r="I574" t="str" vm="8005">
        <f>IFERROR(CUBEVALUE("BIDB",$A574,I$3,I$2,'Præsentationstabeller 1'!$C$2),0)</f>
        <v/>
      </c>
      <c r="J574" vm="9183">
        <f>IFERROR(CUBEVALUE("BIDB",$A574,J$3,J$2,'Præsentationstabeller 1'!$C$2),0)</f>
        <v>1</v>
      </c>
      <c r="K574" t="str" vm="8690">
        <f>IFERROR(CUBEVALUE("BIDB",$A574,K$3,K$2,'Præsentationstabeller 1'!$C$2),0)</f>
        <v/>
      </c>
      <c r="L574" vm="7707">
        <f>IFERROR(CUBEVALUE("BIDB",$A574,L$3,L$2,'Præsentationstabeller 1'!$C$2),0)</f>
        <v>1</v>
      </c>
    </row>
    <row r="575" spans="1:12" x14ac:dyDescent="0.3">
      <c r="A575" s="123" t="str" vm="761">
        <f>CUBEMEMBER("BIDB","[Dimittenddato].[Dimittenddato].&amp;[2013-06-20T00:00:00]")</f>
        <v>20-06-2013</v>
      </c>
      <c r="B575" t="str" vm="7082">
        <f>IFERROR(CUBEVALUE("BIDB",$A575,B$3,'Præsentationstabeller 1'!$C$2),0)</f>
        <v/>
      </c>
      <c r="C575" t="str" vm="8078">
        <f>IFERROR(CUBEVALUE("BIDB",$A575,C$3,C$2,'Præsentationstabeller 1'!$C$2),0)</f>
        <v/>
      </c>
      <c r="D575" vm="6431">
        <f>IFERROR(CUBEVALUE("BIDB",$A575,D$3,D$2,'Præsentationstabeller 1'!$C$2),0)</f>
        <v>7</v>
      </c>
      <c r="E575" vm="11427">
        <f>IFERROR(CUBEVALUE("BIDB",$A575,E$3,E$2,'Præsentationstabeller 1'!$C$2),0)</f>
        <v>26</v>
      </c>
      <c r="F575" vm="10013">
        <f>IFERROR(CUBEVALUE("BIDB",$A575,F$3,F$2,'Præsentationstabeller 1'!$C$2),0)</f>
        <v>13</v>
      </c>
      <c r="G575" vm="7114">
        <f>IFERROR(CUBEVALUE("BIDB",$A575,G$3,G$2,'Præsentationstabeller 1'!$C$2),0)</f>
        <v>39</v>
      </c>
      <c r="H575" t="str" vm="5417">
        <f>IFERROR(CUBEVALUE("BIDB",$A575,H$3,H$2,'Præsentationstabeller 1'!$C$2),0)</f>
        <v/>
      </c>
      <c r="I575" vm="8799">
        <f>IFERROR(CUBEVALUE("BIDB",$A575,I$3,I$2,'Præsentationstabeller 1'!$C$2),0)</f>
        <v>1.7600000000000002</v>
      </c>
      <c r="J575" t="str" vm="8534">
        <f>IFERROR(CUBEVALUE("BIDB",$A575,J$3,J$2,'Præsentationstabeller 1'!$C$2),0)</f>
        <v/>
      </c>
      <c r="K575" t="str" vm="10841">
        <f>IFERROR(CUBEVALUE("BIDB",$A575,K$3,K$2,'Præsentationstabeller 1'!$C$2),0)</f>
        <v/>
      </c>
      <c r="L575" t="str" vm="7564">
        <f>IFERROR(CUBEVALUE("BIDB",$A575,L$3,L$2,'Præsentationstabeller 1'!$C$2),0)</f>
        <v/>
      </c>
    </row>
    <row r="576" spans="1:12" x14ac:dyDescent="0.3">
      <c r="A576" s="123" t="str" vm="760">
        <f>CUBEMEMBER("BIDB","[Dimittenddato].[Dimittenddato].&amp;[2013-06-21T00:00:00]")</f>
        <v>21-06-2013</v>
      </c>
      <c r="B576" t="str" vm="15078">
        <f>IFERROR(CUBEVALUE("BIDB",$A576,B$3,'Præsentationstabeller 1'!$C$2),0)</f>
        <v/>
      </c>
      <c r="C576" vm="7461">
        <f>IFERROR(CUBEVALUE("BIDB",$A576,C$3,C$2,'Præsentationstabeller 1'!$C$2),0)</f>
        <v>1</v>
      </c>
      <c r="D576" vm="8984">
        <f>IFERROR(CUBEVALUE("BIDB",$A576,D$3,D$2,'Præsentationstabeller 1'!$C$2),0)</f>
        <v>8</v>
      </c>
      <c r="E576" vm="8536">
        <f>IFERROR(CUBEVALUE("BIDB",$A576,E$3,E$2,'Præsentationstabeller 1'!$C$2),0)</f>
        <v>30</v>
      </c>
      <c r="F576" vm="7513">
        <f>IFERROR(CUBEVALUE("BIDB",$A576,F$3,F$2,'Præsentationstabeller 1'!$C$2),0)</f>
        <v>13</v>
      </c>
      <c r="G576" vm="9740">
        <f>IFERROR(CUBEVALUE("BIDB",$A576,G$3,G$2,'Præsentationstabeller 1'!$C$2),0)</f>
        <v>43</v>
      </c>
      <c r="H576" vm="15790">
        <f>IFERROR(CUBEVALUE("BIDB",$A576,H$3,H$2,'Præsentationstabeller 1'!$C$2),0)</f>
        <v>0.88000000000000012</v>
      </c>
      <c r="I576" vm="8850">
        <f>IFERROR(CUBEVALUE("BIDB",$A576,I$3,I$2,'Præsentationstabeller 1'!$C$2),0)</f>
        <v>0.6</v>
      </c>
      <c r="J576" t="str" vm="6439">
        <f>IFERROR(CUBEVALUE("BIDB",$A576,J$3,J$2,'Præsentationstabeller 1'!$C$2),0)</f>
        <v/>
      </c>
      <c r="K576" vm="7155">
        <f>IFERROR(CUBEVALUE("BIDB",$A576,K$3,K$2,'Præsentationstabeller 1'!$C$2),0)</f>
        <v>0.80540540540540539</v>
      </c>
      <c r="L576" vm="9907">
        <f>IFERROR(CUBEVALUE("BIDB",$A576,L$3,L$2,'Præsentationstabeller 1'!$C$2),0)</f>
        <v>0.80540540540540539</v>
      </c>
    </row>
    <row r="577" spans="1:12" x14ac:dyDescent="0.3">
      <c r="A577" s="123" t="str" vm="759">
        <f>CUBEMEMBER("BIDB","[Dimittenddato].[Dimittenddato].&amp;[2013-06-22T00:00:00]")</f>
        <v>22-06-2013</v>
      </c>
      <c r="B577" t="str" vm="6264">
        <f>IFERROR(CUBEVALUE("BIDB",$A577,B$3,'Præsentationstabeller 1'!$C$2),0)</f>
        <v/>
      </c>
      <c r="C577" t="str" vm="10450">
        <f>IFERROR(CUBEVALUE("BIDB",$A577,C$3,C$2,'Præsentationstabeller 1'!$C$2),0)</f>
        <v/>
      </c>
      <c r="D577" t="str" vm="8818">
        <f>IFERROR(CUBEVALUE("BIDB",$A577,D$3,D$2,'Præsentationstabeller 1'!$C$2),0)</f>
        <v/>
      </c>
      <c r="E577" t="str" vm="10445">
        <f>IFERROR(CUBEVALUE("BIDB",$A577,E$3,E$2,'Præsentationstabeller 1'!$C$2),0)</f>
        <v/>
      </c>
      <c r="F577" t="str" vm="7161">
        <f>IFERROR(CUBEVALUE("BIDB",$A577,F$3,F$2,'Præsentationstabeller 1'!$C$2),0)</f>
        <v/>
      </c>
      <c r="G577" t="str" vm="7687">
        <f>IFERROR(CUBEVALUE("BIDB",$A577,G$3,G$2,'Præsentationstabeller 1'!$C$2),0)</f>
        <v/>
      </c>
      <c r="H577" t="str" vm="10967">
        <f>IFERROR(CUBEVALUE("BIDB",$A577,H$3,H$2,'Præsentationstabeller 1'!$C$2),0)</f>
        <v/>
      </c>
      <c r="I577" t="str" vm="12450">
        <f>IFERROR(CUBEVALUE("BIDB",$A577,I$3,I$2,'Præsentationstabeller 1'!$C$2),0)</f>
        <v/>
      </c>
      <c r="J577" t="str" vm="16311">
        <f>IFERROR(CUBEVALUE("BIDB",$A577,J$3,J$2,'Præsentationstabeller 1'!$C$2),0)</f>
        <v/>
      </c>
      <c r="K577" t="str" vm="15372">
        <f>IFERROR(CUBEVALUE("BIDB",$A577,K$3,K$2,'Præsentationstabeller 1'!$C$2),0)</f>
        <v/>
      </c>
      <c r="L577" t="str" vm="6598">
        <f>IFERROR(CUBEVALUE("BIDB",$A577,L$3,L$2,'Præsentationstabeller 1'!$C$2),0)</f>
        <v/>
      </c>
    </row>
    <row r="578" spans="1:12" x14ac:dyDescent="0.3">
      <c r="A578" s="123" t="str" vm="758">
        <f>CUBEMEMBER("BIDB","[Dimittenddato].[Dimittenddato].&amp;[2013-06-23T00:00:00]")</f>
        <v>23-06-2013</v>
      </c>
      <c r="B578" t="str" vm="8182">
        <f>IFERROR(CUBEVALUE("BIDB",$A578,B$3,'Præsentationstabeller 1'!$C$2),0)</f>
        <v/>
      </c>
      <c r="C578" t="str" vm="6566">
        <f>IFERROR(CUBEVALUE("BIDB",$A578,C$3,C$2,'Præsentationstabeller 1'!$C$2),0)</f>
        <v/>
      </c>
      <c r="D578" t="str" vm="13755">
        <f>IFERROR(CUBEVALUE("BIDB",$A578,D$3,D$2,'Præsentationstabeller 1'!$C$2),0)</f>
        <v/>
      </c>
      <c r="E578" t="str" vm="10056">
        <f>IFERROR(CUBEVALUE("BIDB",$A578,E$3,E$2,'Præsentationstabeller 1'!$C$2),0)</f>
        <v/>
      </c>
      <c r="F578" t="str" vm="9433">
        <f>IFERROR(CUBEVALUE("BIDB",$A578,F$3,F$2,'Præsentationstabeller 1'!$C$2),0)</f>
        <v/>
      </c>
      <c r="G578" t="str" vm="6600">
        <f>IFERROR(CUBEVALUE("BIDB",$A578,G$3,G$2,'Præsentationstabeller 1'!$C$2),0)</f>
        <v/>
      </c>
      <c r="H578" t="str" vm="6045">
        <f>IFERROR(CUBEVALUE("BIDB",$A578,H$3,H$2,'Præsentationstabeller 1'!$C$2),0)</f>
        <v/>
      </c>
      <c r="I578" t="str" vm="6801">
        <f>IFERROR(CUBEVALUE("BIDB",$A578,I$3,I$2,'Præsentationstabeller 1'!$C$2),0)</f>
        <v/>
      </c>
      <c r="J578" t="str" vm="13400">
        <f>IFERROR(CUBEVALUE("BIDB",$A578,J$3,J$2,'Præsentationstabeller 1'!$C$2),0)</f>
        <v/>
      </c>
      <c r="K578" t="str" vm="9435">
        <f>IFERROR(CUBEVALUE("BIDB",$A578,K$3,K$2,'Præsentationstabeller 1'!$C$2),0)</f>
        <v/>
      </c>
      <c r="L578" t="str" vm="8491">
        <f>IFERROR(CUBEVALUE("BIDB",$A578,L$3,L$2,'Præsentationstabeller 1'!$C$2),0)</f>
        <v/>
      </c>
    </row>
    <row r="579" spans="1:12" x14ac:dyDescent="0.3">
      <c r="A579" s="123" t="str" vm="757">
        <f>CUBEMEMBER("BIDB","[Dimittenddato].[Dimittenddato].&amp;[2013-06-24T00:00:00]")</f>
        <v>24-06-2013</v>
      </c>
      <c r="B579" t="str" vm="8233">
        <f>IFERROR(CUBEVALUE("BIDB",$A579,B$3,'Præsentationstabeller 1'!$C$2),0)</f>
        <v/>
      </c>
      <c r="C579" vm="6053">
        <f>IFERROR(CUBEVALUE("BIDB",$A579,C$3,C$2,'Præsentationstabeller 1'!$C$2),0)</f>
        <v>2</v>
      </c>
      <c r="D579" vm="6207">
        <f>IFERROR(CUBEVALUE("BIDB",$A579,D$3,D$2,'Præsentationstabeller 1'!$C$2),0)</f>
        <v>9</v>
      </c>
      <c r="E579" vm="14835">
        <f>IFERROR(CUBEVALUE("BIDB",$A579,E$3,E$2,'Præsentationstabeller 1'!$C$2),0)</f>
        <v>43</v>
      </c>
      <c r="F579" vm="14218">
        <f>IFERROR(CUBEVALUE("BIDB",$A579,F$3,F$2,'Præsentationstabeller 1'!$C$2),0)</f>
        <v>9</v>
      </c>
      <c r="G579" vm="9133">
        <f>IFERROR(CUBEVALUE("BIDB",$A579,G$3,G$2,'Præsentationstabeller 1'!$C$2),0)</f>
        <v>52</v>
      </c>
      <c r="H579" t="str" vm="6270">
        <f>IFERROR(CUBEVALUE("BIDB",$A579,H$3,H$2,'Præsentationstabeller 1'!$C$2),0)</f>
        <v/>
      </c>
      <c r="I579" vm="6568">
        <f>IFERROR(CUBEVALUE("BIDB",$A579,I$3,I$2,'Præsentationstabeller 1'!$C$2),0)</f>
        <v>0.4</v>
      </c>
      <c r="J579" vm="5154">
        <f>IFERROR(CUBEVALUE("BIDB",$A579,J$3,J$2,'Præsentationstabeller 1'!$C$2),0)</f>
        <v>0.771891891891892</v>
      </c>
      <c r="K579" t="str" vm="10793">
        <f>IFERROR(CUBEVALUE("BIDB",$A579,K$3,K$2,'Præsentationstabeller 1'!$C$2),0)</f>
        <v/>
      </c>
      <c r="L579" vm="10281">
        <f>IFERROR(CUBEVALUE("BIDB",$A579,L$3,L$2,'Præsentationstabeller 1'!$C$2),0)</f>
        <v>0.771891891891892</v>
      </c>
    </row>
    <row r="580" spans="1:12" x14ac:dyDescent="0.3">
      <c r="A580" s="123" t="str" vm="756">
        <f>CUBEMEMBER("BIDB","[Dimittenddato].[Dimittenddato].&amp;[2013-06-25T00:00:00]")</f>
        <v>25-06-2013</v>
      </c>
      <c r="B580" t="str" vm="9138">
        <f>IFERROR(CUBEVALUE("BIDB",$A580,B$3,'Præsentationstabeller 1'!$C$2),0)</f>
        <v/>
      </c>
      <c r="C580" vm="9179">
        <f>IFERROR(CUBEVALUE("BIDB",$A580,C$3,C$2,'Præsentationstabeller 1'!$C$2),0)</f>
        <v>2</v>
      </c>
      <c r="D580" vm="6809">
        <f>IFERROR(CUBEVALUE("BIDB",$A580,D$3,D$2,'Præsentationstabeller 1'!$C$2),0)</f>
        <v>4</v>
      </c>
      <c r="E580" vm="5162">
        <f>IFERROR(CUBEVALUE("BIDB",$A580,E$3,E$2,'Præsentationstabeller 1'!$C$2),0)</f>
        <v>17</v>
      </c>
      <c r="F580" vm="7297">
        <f>IFERROR(CUBEVALUE("BIDB",$A580,F$3,F$2,'Præsentationstabeller 1'!$C$2),0)</f>
        <v>13</v>
      </c>
      <c r="G580" vm="11234">
        <f>IFERROR(CUBEVALUE("BIDB",$A580,G$3,G$2,'Præsentationstabeller 1'!$C$2),0)</f>
        <v>30</v>
      </c>
      <c r="H580" t="str" vm="8201">
        <f>IFERROR(CUBEVALUE("BIDB",$A580,H$3,H$2,'Præsentationstabeller 1'!$C$2),0)</f>
        <v/>
      </c>
      <c r="I580" t="str" vm="9030">
        <f>IFERROR(CUBEVALUE("BIDB",$A580,I$3,I$2,'Præsentationstabeller 1'!$C$2),0)</f>
        <v/>
      </c>
      <c r="J580" vm="6215">
        <f>IFERROR(CUBEVALUE("BIDB",$A580,J$3,J$2,'Præsentationstabeller 1'!$C$2),0)</f>
        <v>0.52</v>
      </c>
      <c r="K580" t="str" vm="8302">
        <f>IFERROR(CUBEVALUE("BIDB",$A580,K$3,K$2,'Præsentationstabeller 1'!$C$2),0)</f>
        <v/>
      </c>
      <c r="L580" vm="13541">
        <f>IFERROR(CUBEVALUE("BIDB",$A580,L$3,L$2,'Præsentationstabeller 1'!$C$2),0)</f>
        <v>0.52</v>
      </c>
    </row>
    <row r="581" spans="1:12" x14ac:dyDescent="0.3">
      <c r="A581" s="123" t="str" vm="755">
        <f>CUBEMEMBER("BIDB","[Dimittenddato].[Dimittenddato].&amp;[2013-06-26T00:00:00]")</f>
        <v>26-06-2013</v>
      </c>
      <c r="B581" t="str" vm="7626">
        <f>IFERROR(CUBEVALUE("BIDB",$A581,B$3,'Præsentationstabeller 1'!$C$2),0)</f>
        <v/>
      </c>
      <c r="C581" vm="10810">
        <f>IFERROR(CUBEVALUE("BIDB",$A581,C$3,C$2,'Præsentationstabeller 1'!$C$2),0)</f>
        <v>10</v>
      </c>
      <c r="D581" vm="6860">
        <f>IFERROR(CUBEVALUE("BIDB",$A581,D$3,D$2,'Præsentationstabeller 1'!$C$2),0)</f>
        <v>3</v>
      </c>
      <c r="E581" vm="12492">
        <f>IFERROR(CUBEVALUE("BIDB",$A581,E$3,E$2,'Præsentationstabeller 1'!$C$2),0)</f>
        <v>15</v>
      </c>
      <c r="F581" vm="8310">
        <f>IFERROR(CUBEVALUE("BIDB",$A581,F$3,F$2,'Præsentationstabeller 1'!$C$2),0)</f>
        <v>3</v>
      </c>
      <c r="G581" vm="8431">
        <f>IFERROR(CUBEVALUE("BIDB",$A581,G$3,G$2,'Præsentationstabeller 1'!$C$2),0)</f>
        <v>18</v>
      </c>
      <c r="H581" vm="12758">
        <f>IFERROR(CUBEVALUE("BIDB",$A581,H$3,H$2,'Præsentationstabeller 1'!$C$2),0)</f>
        <v>0.8</v>
      </c>
      <c r="I581" t="str" vm="7596">
        <f>IFERROR(CUBEVALUE("BIDB",$A581,I$3,I$2,'Præsentationstabeller 1'!$C$2),0)</f>
        <v/>
      </c>
      <c r="J581" t="str" vm="6828">
        <f>IFERROR(CUBEVALUE("BIDB",$A581,J$3,J$2,'Præsentationstabeller 1'!$C$2),0)</f>
        <v/>
      </c>
      <c r="K581" t="str" vm="13479">
        <f>IFERROR(CUBEVALUE("BIDB",$A581,K$3,K$2,'Præsentationstabeller 1'!$C$2),0)</f>
        <v/>
      </c>
      <c r="L581" t="str" vm="6175">
        <f>IFERROR(CUBEVALUE("BIDB",$A581,L$3,L$2,'Præsentationstabeller 1'!$C$2),0)</f>
        <v/>
      </c>
    </row>
    <row r="582" spans="1:12" x14ac:dyDescent="0.3">
      <c r="A582" s="123" t="str" vm="754">
        <f>CUBEMEMBER("BIDB","[Dimittenddato].[Dimittenddato].&amp;[2013-06-27T00:00:00]")</f>
        <v>27-06-2013</v>
      </c>
      <c r="B582" t="str" vm="8433">
        <f>IFERROR(CUBEVALUE("BIDB",$A582,B$3,'Præsentationstabeller 1'!$C$2),0)</f>
        <v/>
      </c>
      <c r="C582" vm="7142">
        <f>IFERROR(CUBEVALUE("BIDB",$A582,C$3,C$2,'Præsentationstabeller 1'!$C$2),0)</f>
        <v>2</v>
      </c>
      <c r="D582" vm="8621">
        <f>IFERROR(CUBEVALUE("BIDB",$A582,D$3,D$2,'Præsentationstabeller 1'!$C$2),0)</f>
        <v>5</v>
      </c>
      <c r="E582" vm="9706">
        <f>IFERROR(CUBEVALUE("BIDB",$A582,E$3,E$2,'Præsentationstabeller 1'!$C$2),0)</f>
        <v>26</v>
      </c>
      <c r="F582" vm="8361">
        <f>IFERROR(CUBEVALUE("BIDB",$A582,F$3,F$2,'Præsentationstabeller 1'!$C$2),0)</f>
        <v>11</v>
      </c>
      <c r="G582" vm="6183">
        <f>IFERROR(CUBEVALUE("BIDB",$A582,G$3,G$2,'Præsentationstabeller 1'!$C$2),0)</f>
        <v>37</v>
      </c>
      <c r="H582" vm="7902">
        <f>IFERROR(CUBEVALUE("BIDB",$A582,H$3,H$2,'Præsentationstabeller 1'!$C$2),0)</f>
        <v>1</v>
      </c>
      <c r="I582" t="str" vm="7865">
        <f>IFERROR(CUBEVALUE("BIDB",$A582,I$3,I$2,'Præsentationstabeller 1'!$C$2),0)</f>
        <v/>
      </c>
      <c r="J582" vm="10825">
        <f>IFERROR(CUBEVALUE("BIDB",$A582,J$3,J$2,'Præsentationstabeller 1'!$C$2),0)</f>
        <v>1</v>
      </c>
      <c r="K582" t="str" vm="8927">
        <f>IFERROR(CUBEVALUE("BIDB",$A582,K$3,K$2,'Præsentationstabeller 1'!$C$2),0)</f>
        <v/>
      </c>
      <c r="L582" vm="7303">
        <f>IFERROR(CUBEVALUE("BIDB",$A582,L$3,L$2,'Præsentationstabeller 1'!$C$2),0)</f>
        <v>1</v>
      </c>
    </row>
    <row r="583" spans="1:12" x14ac:dyDescent="0.3">
      <c r="A583" s="123" t="str" vm="753">
        <f>CUBEMEMBER("BIDB","[Dimittenddato].[Dimittenddato].&amp;[2013-06-28T00:00:00]")</f>
        <v>28-06-2013</v>
      </c>
      <c r="B583" t="str" vm="9235">
        <f>IFERROR(CUBEVALUE("BIDB",$A583,B$3,'Præsentationstabeller 1'!$C$2),0)</f>
        <v/>
      </c>
      <c r="C583" vm="8881">
        <f>IFERROR(CUBEVALUE("BIDB",$A583,C$3,C$2,'Præsentationstabeller 1'!$C$2),0)</f>
        <v>3</v>
      </c>
      <c r="D583" vm="7198">
        <f>IFERROR(CUBEVALUE("BIDB",$A583,D$3,D$2,'Præsentationstabeller 1'!$C$2),0)</f>
        <v>9</v>
      </c>
      <c r="E583" vm="5790">
        <f>IFERROR(CUBEVALUE("BIDB",$A583,E$3,E$2,'Præsentationstabeller 1'!$C$2),0)</f>
        <v>35</v>
      </c>
      <c r="F583" vm="8206">
        <f>IFERROR(CUBEVALUE("BIDB",$A583,F$3,F$2,'Præsentationstabeller 1'!$C$2),0)</f>
        <v>35</v>
      </c>
      <c r="G583" vm="11054">
        <f>IFERROR(CUBEVALUE("BIDB",$A583,G$3,G$2,'Præsentationstabeller 1'!$C$2),0)</f>
        <v>70</v>
      </c>
      <c r="H583" vm="7628">
        <f>IFERROR(CUBEVALUE("BIDB",$A583,H$3,H$2,'Præsentationstabeller 1'!$C$2),0)</f>
        <v>0.2</v>
      </c>
      <c r="I583" vm="7144">
        <f>IFERROR(CUBEVALUE("BIDB",$A583,I$3,I$2,'Præsentationstabeller 1'!$C$2),0)</f>
        <v>0.48</v>
      </c>
      <c r="J583" vm="6900">
        <f>IFERROR(CUBEVALUE("BIDB",$A583,J$3,J$2,'Præsentationstabeller 1'!$C$2),0)</f>
        <v>0.52</v>
      </c>
      <c r="K583" t="str" vm="9153">
        <f>IFERROR(CUBEVALUE("BIDB",$A583,K$3,K$2,'Præsentationstabeller 1'!$C$2),0)</f>
        <v/>
      </c>
      <c r="L583" vm="8329">
        <f>IFERROR(CUBEVALUE("BIDB",$A583,L$3,L$2,'Præsentationstabeller 1'!$C$2),0)</f>
        <v>0.52</v>
      </c>
    </row>
    <row r="584" spans="1:12" x14ac:dyDescent="0.3">
      <c r="A584" s="123" t="str" vm="752">
        <f>CUBEMEMBER("BIDB","[Dimittenddato].[Dimittenddato].&amp;[2013-06-29T00:00:00]")</f>
        <v>29-06-2013</v>
      </c>
      <c r="B584" t="str" vm="17110">
        <f>IFERROR(CUBEVALUE("BIDB",$A584,B$3,'Præsentationstabeller 1'!$C$2),0)</f>
        <v/>
      </c>
      <c r="C584" t="str" vm="9099">
        <f>IFERROR(CUBEVALUE("BIDB",$A584,C$3,C$2,'Præsentationstabeller 1'!$C$2),0)</f>
        <v/>
      </c>
      <c r="D584" t="str" vm="7867">
        <f>IFERROR(CUBEVALUE("BIDB",$A584,D$3,D$2,'Præsentationstabeller 1'!$C$2),0)</f>
        <v/>
      </c>
      <c r="E584" t="str" vm="6906">
        <f>IFERROR(CUBEVALUE("BIDB",$A584,E$3,E$2,'Præsentationstabeller 1'!$C$2),0)</f>
        <v/>
      </c>
      <c r="F584" vm="6546">
        <f>IFERROR(CUBEVALUE("BIDB",$A584,F$3,F$2,'Præsentationstabeller 1'!$C$2),0)</f>
        <v>2</v>
      </c>
      <c r="G584" vm="12882">
        <f>IFERROR(CUBEVALUE("BIDB",$A584,G$3,G$2,'Præsentationstabeller 1'!$C$2),0)</f>
        <v>2</v>
      </c>
      <c r="H584" t="str" vm="9107">
        <f>IFERROR(CUBEVALUE("BIDB",$A584,H$3,H$2,'Præsentationstabeller 1'!$C$2),0)</f>
        <v/>
      </c>
      <c r="I584" t="str" vm="12763">
        <f>IFERROR(CUBEVALUE("BIDB",$A584,I$3,I$2,'Præsentationstabeller 1'!$C$2),0)</f>
        <v/>
      </c>
      <c r="J584" t="str" vm="7693">
        <f>IFERROR(CUBEVALUE("BIDB",$A584,J$3,J$2,'Præsentationstabeller 1'!$C$2),0)</f>
        <v/>
      </c>
      <c r="K584" t="str" vm="7833">
        <f>IFERROR(CUBEVALUE("BIDB",$A584,K$3,K$2,'Præsentationstabeller 1'!$C$2),0)</f>
        <v/>
      </c>
      <c r="L584" t="str" vm="13476">
        <f>IFERROR(CUBEVALUE("BIDB",$A584,L$3,L$2,'Præsentationstabeller 1'!$C$2),0)</f>
        <v/>
      </c>
    </row>
    <row r="585" spans="1:12" x14ac:dyDescent="0.3">
      <c r="A585" s="123" t="str" vm="751">
        <f>CUBEMEMBER("BIDB","[Dimittenddato].[Dimittenddato].&amp;[2013-06-30T00:00:00]")</f>
        <v>30-06-2013</v>
      </c>
      <c r="B585" t="str" vm="10335">
        <f>IFERROR(CUBEVALUE("BIDB",$A585,B$3,'Præsentationstabeller 1'!$C$2),0)</f>
        <v/>
      </c>
      <c r="C585" vm="10421">
        <f>IFERROR(CUBEVALUE("BIDB",$A585,C$3,C$2,'Præsentationstabeller 1'!$C$2),0)</f>
        <v>1</v>
      </c>
      <c r="D585" vm="8644">
        <f>IFERROR(CUBEVALUE("BIDB",$A585,D$3,D$2,'Præsentationstabeller 1'!$C$2),0)</f>
        <v>4</v>
      </c>
      <c r="E585" vm="7712">
        <f>IFERROR(CUBEVALUE("BIDB",$A585,E$3,E$2,'Præsentationstabeller 1'!$C$2),0)</f>
        <v>7</v>
      </c>
      <c r="F585" vm="7835">
        <f>IFERROR(CUBEVALUE("BIDB",$A585,F$3,F$2,'Præsentationstabeller 1'!$C$2),0)</f>
        <v>5</v>
      </c>
      <c r="G585" vm="5917">
        <f>IFERROR(CUBEVALUE("BIDB",$A585,G$3,G$2,'Præsentationstabeller 1'!$C$2),0)</f>
        <v>12</v>
      </c>
      <c r="H585" t="str" vm="9161">
        <f>IFERROR(CUBEVALUE("BIDB",$A585,H$3,H$2,'Præsentationstabeller 1'!$C$2),0)</f>
        <v/>
      </c>
      <c r="I585" t="str" vm="9558">
        <f>IFERROR(CUBEVALUE("BIDB",$A585,I$3,I$2,'Præsentationstabeller 1'!$C$2),0)</f>
        <v/>
      </c>
      <c r="J585" t="str" vm="7744">
        <f>IFERROR(CUBEVALUE("BIDB",$A585,J$3,J$2,'Præsentationstabeller 1'!$C$2),0)</f>
        <v/>
      </c>
      <c r="K585" vm="5798">
        <f>IFERROR(CUBEVALUE("BIDB",$A585,K$3,K$2,'Præsentationstabeller 1'!$C$2),0)</f>
        <v>1.9600000000000002</v>
      </c>
      <c r="L585" vm="6970">
        <f>IFERROR(CUBEVALUE("BIDB",$A585,L$3,L$2,'Præsentationstabeller 1'!$C$2),0)</f>
        <v>1.9600000000000002</v>
      </c>
    </row>
    <row r="586" spans="1:12" x14ac:dyDescent="0.3">
      <c r="A586" s="123" t="str" vm="750">
        <f>CUBEMEMBER("BIDB","[Dimittenddato].[Dimittenddato].&amp;[2013-07-01T00:00:00]")</f>
        <v>01-07-2013</v>
      </c>
      <c r="B586" t="str" vm="5925">
        <f>IFERROR(CUBEVALUE("BIDB",$A586,B$3,'Præsentationstabeller 1'!$C$2),0)</f>
        <v/>
      </c>
      <c r="C586" vm="7027">
        <f>IFERROR(CUBEVALUE("BIDB",$A586,C$3,C$2,'Præsentationstabeller 1'!$C$2),0)</f>
        <v>2</v>
      </c>
      <c r="D586" vm="10853">
        <f>IFERROR(CUBEVALUE("BIDB",$A586,D$3,D$2,'Præsentationstabeller 1'!$C$2),0)</f>
        <v>4</v>
      </c>
      <c r="E586" vm="12379">
        <f>IFERROR(CUBEVALUE("BIDB",$A586,E$3,E$2,'Præsentationstabeller 1'!$C$2),0)</f>
        <v>16</v>
      </c>
      <c r="F586" vm="8541">
        <f>IFERROR(CUBEVALUE("BIDB",$A586,F$3,F$2,'Præsentationstabeller 1'!$C$2),0)</f>
        <v>10</v>
      </c>
      <c r="G586" vm="6978">
        <f>IFERROR(CUBEVALUE("BIDB",$A586,G$3,G$2,'Præsentationstabeller 1'!$C$2),0)</f>
        <v>26</v>
      </c>
      <c r="H586" t="str" vm="7813">
        <f>IFERROR(CUBEVALUE("BIDB",$A586,H$3,H$2,'Præsentationstabeller 1'!$C$2),0)</f>
        <v/>
      </c>
      <c r="I586" vm="6938">
        <f>IFERROR(CUBEVALUE("BIDB",$A586,I$3,I$2,'Præsentationstabeller 1'!$C$2),0)</f>
        <v>1</v>
      </c>
      <c r="J586" t="str" vm="9035">
        <f>IFERROR(CUBEVALUE("BIDB",$A586,J$3,J$2,'Præsentationstabeller 1'!$C$2),0)</f>
        <v/>
      </c>
      <c r="K586" t="str" vm="8568">
        <f>IFERROR(CUBEVALUE("BIDB",$A586,K$3,K$2,'Præsentationstabeller 1'!$C$2),0)</f>
        <v/>
      </c>
      <c r="L586" t="str" vm="6554">
        <f>IFERROR(CUBEVALUE("BIDB",$A586,L$3,L$2,'Præsentationstabeller 1'!$C$2),0)</f>
        <v/>
      </c>
    </row>
    <row r="587" spans="1:12" x14ac:dyDescent="0.3">
      <c r="A587" s="123" t="str" vm="749">
        <f>CUBEMEMBER("BIDB","[Dimittenddato].[Dimittenddato].&amp;[2013-07-02T00:00:00]")</f>
        <v>02-07-2013</v>
      </c>
      <c r="B587" t="str" vm="14304">
        <f>IFERROR(CUBEVALUE("BIDB",$A587,B$3,'Præsentationstabeller 1'!$C$2),0)</f>
        <v/>
      </c>
      <c r="C587" t="str" vm="7821">
        <f>IFERROR(CUBEVALUE("BIDB",$A587,C$3,C$2,'Præsentationstabeller 1'!$C$2),0)</f>
        <v/>
      </c>
      <c r="D587" vm="11160">
        <f>IFERROR(CUBEVALUE("BIDB",$A587,D$3,D$2,'Præsentationstabeller 1'!$C$2),0)</f>
        <v>1</v>
      </c>
      <c r="E587" vm="8763">
        <f>IFERROR(CUBEVALUE("BIDB",$A587,E$3,E$2,'Præsentationstabeller 1'!$C$2),0)</f>
        <v>5</v>
      </c>
      <c r="F587" vm="12464">
        <f>IFERROR(CUBEVALUE("BIDB",$A587,F$3,F$2,'Præsentationstabeller 1'!$C$2),0)</f>
        <v>1</v>
      </c>
      <c r="G587" vm="6573">
        <f>IFERROR(CUBEVALUE("BIDB",$A587,G$3,G$2,'Præsentationstabeller 1'!$C$2),0)</f>
        <v>6</v>
      </c>
      <c r="H587" t="str" vm="9332">
        <f>IFERROR(CUBEVALUE("BIDB",$A587,H$3,H$2,'Præsentationstabeller 1'!$C$2),0)</f>
        <v/>
      </c>
      <c r="I587" t="str" vm="7033">
        <f>IFERROR(CUBEVALUE("BIDB",$A587,I$3,I$2,'Præsentationstabeller 1'!$C$2),0)</f>
        <v/>
      </c>
      <c r="J587" t="str" vm="7523">
        <f>IFERROR(CUBEVALUE("BIDB",$A587,J$3,J$2,'Præsentationstabeller 1'!$C$2),0)</f>
        <v/>
      </c>
      <c r="K587" t="str" vm="11245">
        <f>IFERROR(CUBEVALUE("BIDB",$A587,K$3,K$2,'Præsentationstabeller 1'!$C$2),0)</f>
        <v/>
      </c>
      <c r="L587" t="str" vm="6605">
        <f>IFERROR(CUBEVALUE("BIDB",$A587,L$3,L$2,'Præsentationstabeller 1'!$C$2),0)</f>
        <v/>
      </c>
    </row>
    <row r="588" spans="1:12" x14ac:dyDescent="0.3">
      <c r="A588" s="123" t="str" vm="748">
        <f>CUBEMEMBER("BIDB","[Dimittenddato].[Dimittenddato].&amp;[2013-07-03T00:00:00]")</f>
        <v>03-07-2013</v>
      </c>
      <c r="B588" t="str" vm="9075">
        <f>IFERROR(CUBEVALUE("BIDB",$A588,B$3,'Præsentationstabeller 1'!$C$2),0)</f>
        <v/>
      </c>
      <c r="C588" vm="7872">
        <f>IFERROR(CUBEVALUE("BIDB",$A588,C$3,C$2,'Præsentationstabeller 1'!$C$2),0)</f>
        <v>2</v>
      </c>
      <c r="D588" vm="6946">
        <f>IFERROR(CUBEVALUE("BIDB",$A588,D$3,D$2,'Præsentationstabeller 1'!$C$2),0)</f>
        <v>1</v>
      </c>
      <c r="E588" vm="7525">
        <f>IFERROR(CUBEVALUE("BIDB",$A588,E$3,E$2,'Præsentationstabeller 1'!$C$2),0)</f>
        <v>2</v>
      </c>
      <c r="F588" vm="7536">
        <f>IFERROR(CUBEVALUE("BIDB",$A588,F$3,F$2,'Præsentationstabeller 1'!$C$2),0)</f>
        <v>1</v>
      </c>
      <c r="G588" vm="9721">
        <f>IFERROR(CUBEVALUE("BIDB",$A588,G$3,G$2,'Præsentationstabeller 1'!$C$2),0)</f>
        <v>3</v>
      </c>
      <c r="H588" t="str" vm="8438">
        <f>IFERROR(CUBEVALUE("BIDB",$A588,H$3,H$2,'Præsentationstabeller 1'!$C$2),0)</f>
        <v/>
      </c>
      <c r="I588" t="str" vm="7840">
        <f>IFERROR(CUBEVALUE("BIDB",$A588,I$3,I$2,'Præsentationstabeller 1'!$C$2),0)</f>
        <v/>
      </c>
      <c r="J588" t="str" vm="10157">
        <f>IFERROR(CUBEVALUE("BIDB",$A588,J$3,J$2,'Præsentationstabeller 1'!$C$2),0)</f>
        <v/>
      </c>
      <c r="K588" t="str" vm="6251">
        <f>IFERROR(CUBEVALUE("BIDB",$A588,K$3,K$2,'Præsentationstabeller 1'!$C$2),0)</f>
        <v/>
      </c>
      <c r="L588" t="str" vm="8518">
        <f>IFERROR(CUBEVALUE("BIDB",$A588,L$3,L$2,'Præsentationstabeller 1'!$C$2),0)</f>
        <v/>
      </c>
    </row>
    <row r="589" spans="1:12" x14ac:dyDescent="0.3">
      <c r="A589" s="123" t="str" vm="747">
        <f>CUBEMEMBER("BIDB","[Dimittenddato].[Dimittenddato].&amp;[2013-07-04T00:00:00]")</f>
        <v>04-07-2013</v>
      </c>
      <c r="B589" t="str" vm="5536">
        <f>IFERROR(CUBEVALUE("BIDB",$A589,B$3,'Præsentationstabeller 1'!$C$2),0)</f>
        <v/>
      </c>
      <c r="C589" t="str" vm="6833">
        <f>IFERROR(CUBEVALUE("BIDB",$A589,C$3,C$2,'Præsentationstabeller 1'!$C$2),0)</f>
        <v/>
      </c>
      <c r="D589" vm="9844">
        <f>IFERROR(CUBEVALUE("BIDB",$A589,D$3,D$2,'Præsentationstabeller 1'!$C$2),0)</f>
        <v>1</v>
      </c>
      <c r="E589" vm="9004">
        <f>IFERROR(CUBEVALUE("BIDB",$A589,E$3,E$2,'Præsentationstabeller 1'!$C$2),0)</f>
        <v>5</v>
      </c>
      <c r="F589" t="str" vm="6253">
        <f>IFERROR(CUBEVALUE("BIDB",$A589,F$3,F$2,'Præsentationstabeller 1'!$C$2),0)</f>
        <v/>
      </c>
      <c r="G589" vm="13207">
        <f>IFERROR(CUBEVALUE("BIDB",$A589,G$3,G$2,'Præsentationstabeller 1'!$C$2),0)</f>
        <v>5</v>
      </c>
      <c r="H589" t="str" vm="9050">
        <f>IFERROR(CUBEVALUE("BIDB",$A589,H$3,H$2,'Præsentationstabeller 1'!$C$2),0)</f>
        <v/>
      </c>
      <c r="I589" t="str" vm="15259">
        <f>IFERROR(CUBEVALUE("BIDB",$A589,I$3,I$2,'Præsentationstabeller 1'!$C$2),0)</f>
        <v/>
      </c>
      <c r="J589" t="str" vm="10651">
        <f>IFERROR(CUBEVALUE("BIDB",$A589,J$3,J$2,'Præsentationstabeller 1'!$C$2),0)</f>
        <v/>
      </c>
      <c r="K589" t="str" vm="8769">
        <f>IFERROR(CUBEVALUE("BIDB",$A589,K$3,K$2,'Præsentationstabeller 1'!$C$2),0)</f>
        <v/>
      </c>
      <c r="L589" t="str" vm="7182">
        <f>IFERROR(CUBEVALUE("BIDB",$A589,L$3,L$2,'Præsentationstabeller 1'!$C$2),0)</f>
        <v/>
      </c>
    </row>
    <row r="590" spans="1:12" x14ac:dyDescent="0.3">
      <c r="A590" s="123" t="str" vm="746">
        <f>CUBEMEMBER("BIDB","[Dimittenddato].[Dimittenddato].&amp;[2013-07-05T00:00:00]")</f>
        <v>05-07-2013</v>
      </c>
      <c r="B590" t="str" vm="10227">
        <f>IFERROR(CUBEVALUE("BIDB",$A590,B$3,'Præsentationstabeller 1'!$C$2),0)</f>
        <v/>
      </c>
      <c r="C590" vm="6291">
        <f>IFERROR(CUBEVALUE("BIDB",$A590,C$3,C$2,'Præsentationstabeller 1'!$C$2),0)</f>
        <v>1</v>
      </c>
      <c r="D590" vm="12677">
        <f>IFERROR(CUBEVALUE("BIDB",$A590,D$3,D$2,'Præsentationstabeller 1'!$C$2),0)</f>
        <v>1</v>
      </c>
      <c r="E590" vm="12367">
        <f>IFERROR(CUBEVALUE("BIDB",$A590,E$3,E$2,'Præsentationstabeller 1'!$C$2),0)</f>
        <v>3</v>
      </c>
      <c r="F590" vm="16798">
        <f>IFERROR(CUBEVALUE("BIDB",$A590,F$3,F$2,'Præsentationstabeller 1'!$C$2),0)</f>
        <v>0</v>
      </c>
      <c r="G590" vm="7204">
        <f>IFERROR(CUBEVALUE("BIDB",$A590,G$3,G$2,'Præsentationstabeller 1'!$C$2),0)</f>
        <v>3</v>
      </c>
      <c r="H590" t="str" vm="7528">
        <f>IFERROR(CUBEVALUE("BIDB",$A590,H$3,H$2,'Præsentationstabeller 1'!$C$2),0)</f>
        <v/>
      </c>
      <c r="I590" t="str" vm="6716">
        <f>IFERROR(CUBEVALUE("BIDB",$A590,I$3,I$2,'Præsentationstabeller 1'!$C$2),0)</f>
        <v/>
      </c>
      <c r="J590" t="str" vm="7493">
        <f>IFERROR(CUBEVALUE("BIDB",$A590,J$3,J$2,'Præsentationstabeller 1'!$C$2),0)</f>
        <v/>
      </c>
      <c r="K590" t="str" vm="8996">
        <f>IFERROR(CUBEVALUE("BIDB",$A590,K$3,K$2,'Præsentationstabeller 1'!$C$2),0)</f>
        <v/>
      </c>
      <c r="L590" t="str" vm="8514">
        <f>IFERROR(CUBEVALUE("BIDB",$A590,L$3,L$2,'Præsentationstabeller 1'!$C$2),0)</f>
        <v/>
      </c>
    </row>
    <row r="591" spans="1:12" x14ac:dyDescent="0.3">
      <c r="A591" s="123" t="str" vm="745">
        <f>CUBEMEMBER("BIDB","[Dimittenddato].[Dimittenddato].&amp;[2013-07-06T00:00:00]")</f>
        <v>06-07-2013</v>
      </c>
      <c r="B591" t="str" vm="7223">
        <f>IFERROR(CUBEVALUE("BIDB",$A591,B$3,'Præsentationstabeller 1'!$C$2),0)</f>
        <v/>
      </c>
      <c r="C591" t="str" vm="8506">
        <f>IFERROR(CUBEVALUE("BIDB",$A591,C$3,C$2,'Præsentationstabeller 1'!$C$2),0)</f>
        <v/>
      </c>
      <c r="D591" t="str" vm="5662">
        <f>IFERROR(CUBEVALUE("BIDB",$A591,D$3,D$2,'Præsentationstabeller 1'!$C$2),0)</f>
        <v/>
      </c>
      <c r="E591" t="str" vm="7324">
        <f>IFERROR(CUBEVALUE("BIDB",$A591,E$3,E$2,'Præsentationstabeller 1'!$C$2),0)</f>
        <v/>
      </c>
      <c r="F591" vm="10355">
        <f>IFERROR(CUBEVALUE("BIDB",$A591,F$3,F$2,'Præsentationstabeller 1'!$C$2),0)</f>
        <v>2</v>
      </c>
      <c r="G591" vm="7255">
        <f>IFERROR(CUBEVALUE("BIDB",$A591,G$3,G$2,'Præsentationstabeller 1'!$C$2),0)</f>
        <v>2</v>
      </c>
      <c r="H591" t="str" vm="5544">
        <f>IFERROR(CUBEVALUE("BIDB",$A591,H$3,H$2,'Præsentationstabeller 1'!$C$2),0)</f>
        <v/>
      </c>
      <c r="I591" t="str" vm="6299">
        <f>IFERROR(CUBEVALUE("BIDB",$A591,I$3,I$2,'Præsentationstabeller 1'!$C$2),0)</f>
        <v/>
      </c>
      <c r="J591" t="str" vm="13522">
        <f>IFERROR(CUBEVALUE("BIDB",$A591,J$3,J$2,'Præsentationstabeller 1'!$C$2),0)</f>
        <v/>
      </c>
      <c r="K591" t="str" vm="16438">
        <f>IFERROR(CUBEVALUE("BIDB",$A591,K$3,K$2,'Præsentationstabeller 1'!$C$2),0)</f>
        <v/>
      </c>
      <c r="L591" t="str" vm="8155">
        <f>IFERROR(CUBEVALUE("BIDB",$A591,L$3,L$2,'Præsentationstabeller 1'!$C$2),0)</f>
        <v/>
      </c>
    </row>
    <row r="592" spans="1:12" x14ac:dyDescent="0.3">
      <c r="A592" s="123" t="str" vm="744">
        <f>CUBEMEMBER("BIDB","[Dimittenddato].[Dimittenddato].&amp;[2013-07-07T00:00:00]")</f>
        <v>07-07-2013</v>
      </c>
      <c r="B592" t="str" vm="9589">
        <f>IFERROR(CUBEVALUE("BIDB",$A592,B$3,'Præsentationstabeller 1'!$C$2),0)</f>
        <v/>
      </c>
      <c r="C592" t="str" vm="8052">
        <f>IFERROR(CUBEVALUE("BIDB",$A592,C$3,C$2,'Præsentationstabeller 1'!$C$2),0)</f>
        <v/>
      </c>
      <c r="D592" t="str" vm="6724">
        <f>IFERROR(CUBEVALUE("BIDB",$A592,D$3,D$2,'Præsentationstabeller 1'!$C$2),0)</f>
        <v/>
      </c>
      <c r="E592" t="str" vm="11687">
        <f>IFERROR(CUBEVALUE("BIDB",$A592,E$3,E$2,'Præsentationstabeller 1'!$C$2),0)</f>
        <v/>
      </c>
      <c r="F592" t="str" vm="6684">
        <f>IFERROR(CUBEVALUE("BIDB",$A592,F$3,F$2,'Præsentationstabeller 1'!$C$2),0)</f>
        <v/>
      </c>
      <c r="G592" t="str" vm="8932">
        <f>IFERROR(CUBEVALUE("BIDB",$A592,G$3,G$2,'Præsentationstabeller 1'!$C$2),0)</f>
        <v/>
      </c>
      <c r="H592" t="str" vm="8465">
        <f>IFERROR(CUBEVALUE("BIDB",$A592,H$3,H$2,'Præsentationstabeller 1'!$C$2),0)</f>
        <v/>
      </c>
      <c r="I592" t="str" vm="6350">
        <f>IFERROR(CUBEVALUE("BIDB",$A592,I$3,I$2,'Præsentationstabeller 1'!$C$2),0)</f>
        <v/>
      </c>
      <c r="J592" t="str" vm="5670">
        <f>IFERROR(CUBEVALUE("BIDB",$A592,J$3,J$2,'Præsentationstabeller 1'!$C$2),0)</f>
        <v/>
      </c>
      <c r="K592" t="str" vm="6646">
        <f>IFERROR(CUBEVALUE("BIDB",$A592,K$3,K$2,'Præsentationstabeller 1'!$C$2),0)</f>
        <v/>
      </c>
      <c r="L592" t="str" vm="12432">
        <f>IFERROR(CUBEVALUE("BIDB",$A592,L$3,L$2,'Præsentationstabeller 1'!$C$2),0)</f>
        <v/>
      </c>
    </row>
    <row r="593" spans="1:12" x14ac:dyDescent="0.3">
      <c r="A593" s="123" t="str" vm="743">
        <f>CUBEMEMBER("BIDB","[Dimittenddato].[Dimittenddato].&amp;[2013-07-08T00:00:00]")</f>
        <v>08-07-2013</v>
      </c>
      <c r="B593" t="str" vm="6773">
        <f>IFERROR(CUBEVALUE("BIDB",$A593,B$3,'Præsentationstabeller 1'!$C$2),0)</f>
        <v/>
      </c>
      <c r="C593" t="str" vm="11288">
        <f>IFERROR(CUBEVALUE("BIDB",$A593,C$3,C$2,'Præsentationstabeller 1'!$C$2),0)</f>
        <v/>
      </c>
      <c r="D593" vm="6318">
        <f>IFERROR(CUBEVALUE("BIDB",$A593,D$3,D$2,'Præsentationstabeller 1'!$C$2),0)</f>
        <v>2</v>
      </c>
      <c r="E593" t="str" vm="7949">
        <f>IFERROR(CUBEVALUE("BIDB",$A593,E$3,E$2,'Præsentationstabeller 1'!$C$2),0)</f>
        <v/>
      </c>
      <c r="F593" t="str" vm="6652">
        <f>IFERROR(CUBEVALUE("BIDB",$A593,F$3,F$2,'Præsentationstabeller 1'!$C$2),0)</f>
        <v/>
      </c>
      <c r="G593" t="str" vm="7420">
        <f>IFERROR(CUBEVALUE("BIDB",$A593,G$3,G$2,'Præsentationstabeller 1'!$C$2),0)</f>
        <v/>
      </c>
      <c r="H593" t="str" vm="13527">
        <f>IFERROR(CUBEVALUE("BIDB",$A593,H$3,H$2,'Præsentationstabeller 1'!$C$2),0)</f>
        <v/>
      </c>
      <c r="I593" t="str" vm="8366">
        <f>IFERROR(CUBEVALUE("BIDB",$A593,I$3,I$2,'Præsentationstabeller 1'!$C$2),0)</f>
        <v/>
      </c>
      <c r="J593" t="str" vm="15981">
        <f>IFERROR(CUBEVALUE("BIDB",$A593,J$3,J$2,'Præsentationstabeller 1'!$C$2),0)</f>
        <v/>
      </c>
      <c r="K593" t="str" vm="7332">
        <f>IFERROR(CUBEVALUE("BIDB",$A593,K$3,K$2,'Præsentationstabeller 1'!$C$2),0)</f>
        <v/>
      </c>
      <c r="L593" t="str" vm="8148">
        <f>IFERROR(CUBEVALUE("BIDB",$A593,L$3,L$2,'Præsentationstabeller 1'!$C$2),0)</f>
        <v/>
      </c>
    </row>
    <row r="594" spans="1:12" x14ac:dyDescent="0.3">
      <c r="A594" s="123" t="str" vm="742">
        <f>CUBEMEMBER("BIDB","[Dimittenddato].[Dimittenddato].&amp;[2013-07-09T00:00:00]")</f>
        <v>09-07-2013</v>
      </c>
      <c r="B594" t="str" vm="7422">
        <f>IFERROR(CUBEVALUE("BIDB",$A594,B$3,'Præsentationstabeller 1'!$C$2),0)</f>
        <v/>
      </c>
      <c r="C594" t="str" vm="7248">
        <f>IFERROR(CUBEVALUE("BIDB",$A594,C$3,C$2,'Præsentationstabeller 1'!$C$2),0)</f>
        <v/>
      </c>
      <c r="D594" t="str" vm="12375">
        <f>IFERROR(CUBEVALUE("BIDB",$A594,D$3,D$2,'Præsentationstabeller 1'!$C$2),0)</f>
        <v/>
      </c>
      <c r="E594" vm="8947">
        <f>IFERROR(CUBEVALUE("BIDB",$A594,E$3,E$2,'Præsentationstabeller 1'!$C$2),0)</f>
        <v>2</v>
      </c>
      <c r="F594" t="str" vm="7351">
        <f>IFERROR(CUBEVALUE("BIDB",$A594,F$3,F$2,'Præsentationstabeller 1'!$C$2),0)</f>
        <v/>
      </c>
      <c r="G594" vm="8150">
        <f>IFERROR(CUBEVALUE("BIDB",$A594,G$3,G$2,'Præsentationstabeller 1'!$C$2),0)</f>
        <v>2</v>
      </c>
      <c r="H594" t="str" vm="7284">
        <f>IFERROR(CUBEVALUE("BIDB",$A594,H$3,H$2,'Præsentationstabeller 1'!$C$2),0)</f>
        <v/>
      </c>
      <c r="I594" t="str" vm="8664">
        <f>IFERROR(CUBEVALUE("BIDB",$A594,I$3,I$2,'Præsentationstabeller 1'!$C$2),0)</f>
        <v/>
      </c>
      <c r="J594" t="str" vm="8972">
        <f>IFERROR(CUBEVALUE("BIDB",$A594,J$3,J$2,'Præsentationstabeller 1'!$C$2),0)</f>
        <v/>
      </c>
      <c r="K594" t="str" vm="7383">
        <f>IFERROR(CUBEVALUE("BIDB",$A594,K$3,K$2,'Præsentationstabeller 1'!$C$2),0)</f>
        <v/>
      </c>
      <c r="L594" t="str" vm="6692">
        <f>IFERROR(CUBEVALUE("BIDB",$A594,L$3,L$2,'Præsentationstabeller 1'!$C$2),0)</f>
        <v/>
      </c>
    </row>
    <row r="595" spans="1:12" x14ac:dyDescent="0.3">
      <c r="A595" s="123" t="str" vm="741">
        <f>CUBEMEMBER("BIDB","[Dimittenddato].[Dimittenddato].&amp;[2013-07-10T00:00:00]")</f>
        <v>10-07-2013</v>
      </c>
      <c r="B595" t="str" vm="8901">
        <f>IFERROR(CUBEVALUE("BIDB",$A595,B$3,'Præsentationstabeller 1'!$C$2),0)</f>
        <v/>
      </c>
      <c r="C595" t="str" vm="7286">
        <f>IFERROR(CUBEVALUE("BIDB",$A595,C$3,C$2,'Præsentationstabeller 1'!$C$2),0)</f>
        <v/>
      </c>
      <c r="D595" vm="8274">
        <f>IFERROR(CUBEVALUE("BIDB",$A595,D$3,D$2,'Præsentationstabeller 1'!$C$2),0)</f>
        <v>1</v>
      </c>
      <c r="E595" vm="7216">
        <f>IFERROR(CUBEVALUE("BIDB",$A595,E$3,E$2,'Præsentationstabeller 1'!$C$2),0)</f>
        <v>4</v>
      </c>
      <c r="F595" vm="14743">
        <f>IFERROR(CUBEVALUE("BIDB",$A595,F$3,F$2,'Præsentationstabeller 1'!$C$2),0)</f>
        <v>2</v>
      </c>
      <c r="G595" vm="12452">
        <f>IFERROR(CUBEVALUE("BIDB",$A595,G$3,G$2,'Præsentationstabeller 1'!$C$2),0)</f>
        <v>6</v>
      </c>
      <c r="H595" t="str" vm="6779">
        <f>IFERROR(CUBEVALUE("BIDB",$A595,H$3,H$2,'Præsentationstabeller 1'!$C$2),0)</f>
        <v/>
      </c>
      <c r="I595" t="str" vm="7250">
        <f>IFERROR(CUBEVALUE("BIDB",$A595,I$3,I$2,'Præsentationstabeller 1'!$C$2),0)</f>
        <v/>
      </c>
      <c r="J595" t="str" vm="5281">
        <f>IFERROR(CUBEVALUE("BIDB",$A595,J$3,J$2,'Præsentationstabeller 1'!$C$2),0)</f>
        <v/>
      </c>
      <c r="K595" t="str" vm="8334">
        <f>IFERROR(CUBEVALUE("BIDB",$A595,K$3,K$2,'Præsentationstabeller 1'!$C$2),0)</f>
        <v/>
      </c>
      <c r="L595" t="str" vm="12305">
        <f>IFERROR(CUBEVALUE("BIDB",$A595,L$3,L$2,'Præsentationstabeller 1'!$C$2),0)</f>
        <v/>
      </c>
    </row>
    <row r="596" spans="1:12" x14ac:dyDescent="0.3">
      <c r="A596" s="123" t="str" vm="740">
        <f>CUBEMEMBER("BIDB","[Dimittenddato].[Dimittenddato].&amp;[2013-07-11T00:00:00]")</f>
        <v>11-07-2013</v>
      </c>
      <c r="B596" t="str" vm="9541">
        <f>IFERROR(CUBEVALUE("BIDB",$A596,B$3,'Præsentationstabeller 1'!$C$2),0)</f>
        <v/>
      </c>
      <c r="C596" t="str" vm="10998">
        <f>IFERROR(CUBEVALUE("BIDB",$A596,C$3,C$2,'Præsentationstabeller 1'!$C$2),0)</f>
        <v/>
      </c>
      <c r="D596" t="str" vm="8670">
        <f>IFERROR(CUBEVALUE("BIDB",$A596,D$3,D$2,'Præsentationstabeller 1'!$C$2),0)</f>
        <v/>
      </c>
      <c r="E596" t="str" vm="5289">
        <f>IFERROR(CUBEVALUE("BIDB",$A596,E$3,E$2,'Præsentationstabeller 1'!$C$2),0)</f>
        <v/>
      </c>
      <c r="F596" vm="6462">
        <f>IFERROR(CUBEVALUE("BIDB",$A596,F$3,F$2,'Præsentationstabeller 1'!$C$2),0)</f>
        <v>1</v>
      </c>
      <c r="G596" vm="10000">
        <f>IFERROR(CUBEVALUE("BIDB",$A596,G$3,G$2,'Præsentationstabeller 1'!$C$2),0)</f>
        <v>1</v>
      </c>
      <c r="H596" t="str" vm="8893">
        <f>IFERROR(CUBEVALUE("BIDB",$A596,H$3,H$2,'Præsentationstabeller 1'!$C$2),0)</f>
        <v/>
      </c>
      <c r="I596" t="str" vm="7666">
        <f>IFERROR(CUBEVALUE("BIDB",$A596,I$3,I$2,'Præsentationstabeller 1'!$C$2),0)</f>
        <v/>
      </c>
      <c r="J596" t="str" vm="8280">
        <f>IFERROR(CUBEVALUE("BIDB",$A596,J$3,J$2,'Præsentationstabeller 1'!$C$2),0)</f>
        <v/>
      </c>
      <c r="K596" t="str" vm="7054">
        <f>IFERROR(CUBEVALUE("BIDB",$A596,K$3,K$2,'Præsentationstabeller 1'!$C$2),0)</f>
        <v/>
      </c>
      <c r="L596" t="str" vm="14874">
        <f>IFERROR(CUBEVALUE("BIDB",$A596,L$3,L$2,'Præsentationstabeller 1'!$C$2),0)</f>
        <v/>
      </c>
    </row>
    <row r="597" spans="1:12" x14ac:dyDescent="0.3">
      <c r="A597" s="123" t="str" vm="739">
        <f>CUBEMEMBER("BIDB","[Dimittenddato].[Dimittenddato].&amp;[2013-07-12T00:00:00]")</f>
        <v>12-07-2013</v>
      </c>
      <c r="B597" t="str" vm="8790">
        <f>IFERROR(CUBEVALUE("BIDB",$A597,B$3,'Præsentationstabeller 1'!$C$2),0)</f>
        <v/>
      </c>
      <c r="C597" t="str" vm="12834">
        <f>IFERROR(CUBEVALUE("BIDB",$A597,C$3,C$2,'Præsentationstabeller 1'!$C$2),0)</f>
        <v/>
      </c>
      <c r="D597" t="str" vm="8721">
        <f>IFERROR(CUBEVALUE("BIDB",$A597,D$3,D$2,'Præsentationstabeller 1'!$C$2),0)</f>
        <v/>
      </c>
      <c r="E597" vm="10165">
        <f>IFERROR(CUBEVALUE("BIDB",$A597,E$3,E$2,'Præsentationstabeller 1'!$C$2),0)</f>
        <v>4</v>
      </c>
      <c r="F597" vm="7062">
        <f>IFERROR(CUBEVALUE("BIDB",$A597,F$3,F$2,'Præsentationstabeller 1'!$C$2),0)</f>
        <v>2</v>
      </c>
      <c r="G597" vm="8952">
        <f>IFERROR(CUBEVALUE("BIDB",$A597,G$3,G$2,'Præsentationstabeller 1'!$C$2),0)</f>
        <v>6</v>
      </c>
      <c r="H597" t="str" vm="13300">
        <f>IFERROR(CUBEVALUE("BIDB",$A597,H$3,H$2,'Præsentationstabeller 1'!$C$2),0)</f>
        <v/>
      </c>
      <c r="I597" t="str" vm="10453">
        <f>IFERROR(CUBEVALUE("BIDB",$A597,I$3,I$2,'Præsentationstabeller 1'!$C$2),0)</f>
        <v/>
      </c>
      <c r="J597" t="str" vm="8689">
        <f>IFERROR(CUBEVALUE("BIDB",$A597,J$3,J$2,'Præsentationstabeller 1'!$C$2),0)</f>
        <v/>
      </c>
      <c r="K597" t="str" vm="7218">
        <f>IFERROR(CUBEVALUE("BIDB",$A597,K$3,K$2,'Præsentationstabeller 1'!$C$2),0)</f>
        <v/>
      </c>
      <c r="L597" t="str" vm="5408">
        <f>IFERROR(CUBEVALUE("BIDB",$A597,L$3,L$2,'Præsentationstabeller 1'!$C$2),0)</f>
        <v/>
      </c>
    </row>
    <row r="598" spans="1:12" x14ac:dyDescent="0.3">
      <c r="A598" s="123" t="str" vm="738">
        <f>CUBEMEMBER("BIDB","[Dimittenddato].[Dimittenddato].&amp;[2013-07-13T00:00:00]")</f>
        <v>13-07-2013</v>
      </c>
      <c r="B598" t="str" vm="7975">
        <f>IFERROR(CUBEVALUE("BIDB",$A598,B$3,'Præsentationstabeller 1'!$C$2),0)</f>
        <v/>
      </c>
      <c r="C598" t="str" vm="6430">
        <f>IFERROR(CUBEVALUE("BIDB",$A598,C$3,C$2,'Præsentationstabeller 1'!$C$2),0)</f>
        <v/>
      </c>
      <c r="D598" t="str" vm="9747">
        <f>IFERROR(CUBEVALUE("BIDB",$A598,D$3,D$2,'Præsentationstabeller 1'!$C$2),0)</f>
        <v/>
      </c>
      <c r="E598" t="str" vm="9502">
        <f>IFERROR(CUBEVALUE("BIDB",$A598,E$3,E$2,'Præsentationstabeller 1'!$C$2),0)</f>
        <v/>
      </c>
      <c r="F598" t="str" vm="7113">
        <f>IFERROR(CUBEVALUE("BIDB",$A598,F$3,F$2,'Præsentationstabeller 1'!$C$2),0)</f>
        <v/>
      </c>
      <c r="G598" t="str" vm="5416">
        <f>IFERROR(CUBEVALUE("BIDB",$A598,G$3,G$2,'Præsentationstabeller 1'!$C$2),0)</f>
        <v/>
      </c>
      <c r="H598" t="str" vm="7619">
        <f>IFERROR(CUBEVALUE("BIDB",$A598,H$3,H$2,'Præsentationstabeller 1'!$C$2),0)</f>
        <v/>
      </c>
      <c r="I598" t="str" vm="8045">
        <f>IFERROR(CUBEVALUE("BIDB",$A598,I$3,I$2,'Præsentationstabeller 1'!$C$2),0)</f>
        <v/>
      </c>
      <c r="J598" t="str" vm="11276">
        <f>IFERROR(CUBEVALUE("BIDB",$A598,J$3,J$2,'Præsentationstabeller 1'!$C$2),0)</f>
        <v/>
      </c>
      <c r="K598" t="str" vm="7563">
        <f>IFERROR(CUBEVALUE("BIDB",$A598,K$3,K$2,'Præsentationstabeller 1'!$C$2),0)</f>
        <v/>
      </c>
      <c r="L598" t="str" vm="6470">
        <f>IFERROR(CUBEVALUE("BIDB",$A598,L$3,L$2,'Præsentationstabeller 1'!$C$2),0)</f>
        <v/>
      </c>
    </row>
    <row r="599" spans="1:12" x14ac:dyDescent="0.3">
      <c r="A599" s="123" t="str" vm="737">
        <f>CUBEMEMBER("BIDB","[Dimittenddato].[Dimittenddato].&amp;[2013-07-14T00:00:00]")</f>
        <v>14-07-2013</v>
      </c>
      <c r="B599" t="str" vm="7460">
        <f>IFERROR(CUBEVALUE("BIDB",$A599,B$3,'Præsentationstabeller 1'!$C$2),0)</f>
        <v/>
      </c>
      <c r="C599" t="str" vm="8598">
        <f>IFERROR(CUBEVALUE("BIDB",$A599,C$3,C$2,'Præsentationstabeller 1'!$C$2),0)</f>
        <v/>
      </c>
      <c r="D599" t="str" vm="9942">
        <f>IFERROR(CUBEVALUE("BIDB",$A599,D$3,D$2,'Præsentationstabeller 1'!$C$2),0)</f>
        <v/>
      </c>
      <c r="E599" t="str" vm="7410">
        <f>IFERROR(CUBEVALUE("BIDB",$A599,E$3,E$2,'Præsentationstabeller 1'!$C$2),0)</f>
        <v/>
      </c>
      <c r="F599" t="str" vm="8415">
        <f>IFERROR(CUBEVALUE("BIDB",$A599,F$3,F$2,'Præsentationstabeller 1'!$C$2),0)</f>
        <v/>
      </c>
      <c r="G599" t="str" vm="11571">
        <f>IFERROR(CUBEVALUE("BIDB",$A599,G$3,G$2,'Præsentationstabeller 1'!$C$2),0)</f>
        <v/>
      </c>
      <c r="H599" t="str" vm="8798">
        <f>IFERROR(CUBEVALUE("BIDB",$A599,H$3,H$2,'Præsentationstabeller 1'!$C$2),0)</f>
        <v/>
      </c>
      <c r="I599" t="str" vm="6438">
        <f>IFERROR(CUBEVALUE("BIDB",$A599,I$3,I$2,'Præsentationstabeller 1'!$C$2),0)</f>
        <v/>
      </c>
      <c r="J599" t="str" vm="6391">
        <f>IFERROR(CUBEVALUE("BIDB",$A599,J$3,J$2,'Præsentationstabeller 1'!$C$2),0)</f>
        <v/>
      </c>
      <c r="K599" t="str" vm="13654">
        <f>IFERROR(CUBEVALUE("BIDB",$A599,K$3,K$2,'Præsentationstabeller 1'!$C$2),0)</f>
        <v/>
      </c>
      <c r="L599" t="str" vm="7081">
        <f>IFERROR(CUBEVALUE("BIDB",$A599,L$3,L$2,'Præsentationstabeller 1'!$C$2),0)</f>
        <v/>
      </c>
    </row>
    <row r="600" spans="1:12" x14ac:dyDescent="0.3">
      <c r="A600" s="123" t="str" vm="736">
        <f>CUBEMEMBER("BIDB","[Dimittenddato].[Dimittenddato].&amp;[2013-07-15T00:00:00]")</f>
        <v>15-07-2013</v>
      </c>
      <c r="B600" t="str" vm="9240">
        <f>IFERROR(CUBEVALUE("BIDB",$A600,B$3,'Præsentationstabeller 1'!$C$2),0)</f>
        <v/>
      </c>
      <c r="C600" t="str" vm="8817">
        <f>IFERROR(CUBEVALUE("BIDB",$A600,C$3,C$2,'Præsentationstabeller 1'!$C$2),0)</f>
        <v/>
      </c>
      <c r="D600" vm="8047">
        <f>IFERROR(CUBEVALUE("BIDB",$A600,D$3,D$2,'Præsentationstabeller 1'!$C$2),0)</f>
        <v>3</v>
      </c>
      <c r="E600" vm="6397">
        <f>IFERROR(CUBEVALUE("BIDB",$A600,E$3,E$2,'Præsentationstabeller 1'!$C$2),0)</f>
        <v>2</v>
      </c>
      <c r="F600" vm="8175">
        <f>IFERROR(CUBEVALUE("BIDB",$A600,F$3,F$2,'Præsentationstabeller 1'!$C$2),0)</f>
        <v>1</v>
      </c>
      <c r="G600" vm="9757">
        <f>IFERROR(CUBEVALUE("BIDB",$A600,G$3,G$2,'Præsentationstabeller 1'!$C$2),0)</f>
        <v>3</v>
      </c>
      <c r="H600" t="str" vm="8849">
        <f>IFERROR(CUBEVALUE("BIDB",$A600,H$3,H$2,'Præsentationstabeller 1'!$C$2),0)</f>
        <v/>
      </c>
      <c r="I600" t="str" vm="12213">
        <f>IFERROR(CUBEVALUE("BIDB",$A600,I$3,I$2,'Præsentationstabeller 1'!$C$2),0)</f>
        <v/>
      </c>
      <c r="J600" t="str" vm="10946">
        <f>IFERROR(CUBEVALUE("BIDB",$A600,J$3,J$2,'Præsentationstabeller 1'!$C$2),0)</f>
        <v/>
      </c>
      <c r="K600" t="str" vm="6343">
        <f>IFERROR(CUBEVALUE("BIDB",$A600,K$3,K$2,'Præsentationstabeller 1'!$C$2),0)</f>
        <v/>
      </c>
      <c r="L600" t="str" vm="9573">
        <f>IFERROR(CUBEVALUE("BIDB",$A600,L$3,L$2,'Præsentationstabeller 1'!$C$2),0)</f>
        <v/>
      </c>
    </row>
    <row r="601" spans="1:12" x14ac:dyDescent="0.3">
      <c r="A601" s="123" t="str" vm="735">
        <f>CUBEMEMBER("BIDB","[Dimittenddato].[Dimittenddato].&amp;[2013-07-16T00:00:00]")</f>
        <v>16-07-2013</v>
      </c>
      <c r="B601" t="str" vm="6311">
        <f>IFERROR(CUBEVALUE("BIDB",$A601,B$3,'Præsentationstabeller 1'!$C$2),0)</f>
        <v/>
      </c>
      <c r="C601" t="str" vm="15990">
        <f>IFERROR(CUBEVALUE("BIDB",$A601,C$3,C$2,'Præsentationstabeller 1'!$C$2),0)</f>
        <v/>
      </c>
      <c r="D601" t="str" vm="9952">
        <f>IFERROR(CUBEVALUE("BIDB",$A601,D$3,D$2,'Præsentationstabeller 1'!$C$2),0)</f>
        <v/>
      </c>
      <c r="E601" vm="10230">
        <f>IFERROR(CUBEVALUE("BIDB",$A601,E$3,E$2,'Præsentationstabeller 1'!$C$2),0)</f>
        <v>1</v>
      </c>
      <c r="F601" vm="6345">
        <f>IFERROR(CUBEVALUE("BIDB",$A601,F$3,F$2,'Præsentationstabeller 1'!$C$2),0)</f>
        <v>1</v>
      </c>
      <c r="G601" vm="6044">
        <f>IFERROR(CUBEVALUE("BIDB",$A601,G$3,G$2,'Præsentationstabeller 1'!$C$2),0)</f>
        <v>2</v>
      </c>
      <c r="H601" t="str" vm="7634">
        <f>IFERROR(CUBEVALUE("BIDB",$A601,H$3,H$2,'Præsentationstabeller 1'!$C$2),0)</f>
        <v/>
      </c>
      <c r="I601" t="str" vm="15689">
        <f>IFERROR(CUBEVALUE("BIDB",$A601,I$3,I$2,'Præsentationstabeller 1'!$C$2),0)</f>
        <v/>
      </c>
      <c r="J601" t="str" vm="10232">
        <f>IFERROR(CUBEVALUE("BIDB",$A601,J$3,J$2,'Præsentationstabeller 1'!$C$2),0)</f>
        <v/>
      </c>
      <c r="K601" t="str" vm="8388">
        <f>IFERROR(CUBEVALUE("BIDB",$A601,K$3,K$2,'Præsentationstabeller 1'!$C$2),0)</f>
        <v/>
      </c>
      <c r="L601" t="str" vm="6518">
        <f>IFERROR(CUBEVALUE("BIDB",$A601,L$3,L$2,'Præsentationstabeller 1'!$C$2),0)</f>
        <v/>
      </c>
    </row>
    <row r="602" spans="1:12" x14ac:dyDescent="0.3">
      <c r="A602" s="123" t="str" vm="734">
        <f>CUBEMEMBER("BIDB","[Dimittenddato].[Dimittenddato].&amp;[2013-07-17T00:00:00]")</f>
        <v>17-07-2013</v>
      </c>
      <c r="B602" t="str" vm="6052">
        <f>IFERROR(CUBEVALUE("BIDB",$A602,B$3,'Præsentationstabeller 1'!$C$2),0)</f>
        <v/>
      </c>
      <c r="C602" t="str" vm="6206">
        <f>IFERROR(CUBEVALUE("BIDB",$A602,C$3,C$2,'Præsentationstabeller 1'!$C$2),0)</f>
        <v/>
      </c>
      <c r="D602" vm="15071">
        <f>IFERROR(CUBEVALUE("BIDB",$A602,D$3,D$2,'Præsentationstabeller 1'!$C$2),0)</f>
        <v>1</v>
      </c>
      <c r="E602" t="str" vm="13409">
        <f>IFERROR(CUBEVALUE("BIDB",$A602,E$3,E$2,'Præsentationstabeller 1'!$C$2),0)</f>
        <v/>
      </c>
      <c r="F602" t="str" vm="9132">
        <f>IFERROR(CUBEVALUE("BIDB",$A602,F$3,F$2,'Præsentationstabeller 1'!$C$2),0)</f>
        <v/>
      </c>
      <c r="G602" t="str" vm="6524">
        <f>IFERROR(CUBEVALUE("BIDB",$A602,G$3,G$2,'Præsentationstabeller 1'!$C$2),0)</f>
        <v/>
      </c>
      <c r="H602" t="str" vm="6800">
        <f>IFERROR(CUBEVALUE("BIDB",$A602,H$3,H$2,'Præsentationstabeller 1'!$C$2),0)</f>
        <v/>
      </c>
      <c r="I602" t="str" vm="5153">
        <f>IFERROR(CUBEVALUE("BIDB",$A602,I$3,I$2,'Præsentationstabeller 1'!$C$2),0)</f>
        <v/>
      </c>
      <c r="J602" t="str" vm="12764">
        <f>IFERROR(CUBEVALUE("BIDB",$A602,J$3,J$2,'Præsentationstabeller 1'!$C$2),0)</f>
        <v/>
      </c>
      <c r="K602" t="str" vm="9788">
        <f>IFERROR(CUBEVALUE("BIDB",$A602,K$3,K$2,'Præsentationstabeller 1'!$C$2),0)</f>
        <v/>
      </c>
      <c r="L602" t="str" vm="8181">
        <f>IFERROR(CUBEVALUE("BIDB",$A602,L$3,L$2,'Præsentationstabeller 1'!$C$2),0)</f>
        <v/>
      </c>
    </row>
    <row r="603" spans="1:12" x14ac:dyDescent="0.3">
      <c r="A603" s="123" t="str" vm="733">
        <f>CUBEMEMBER("BIDB","[Dimittenddato].[Dimittenddato].&amp;[2013-07-18T00:00:00]")</f>
        <v>18-07-2013</v>
      </c>
      <c r="B603" t="str" vm="10693">
        <f>IFERROR(CUBEVALUE("BIDB",$A603,B$3,'Præsentationstabeller 1'!$C$2),0)</f>
        <v/>
      </c>
      <c r="C603" t="str" vm="6808">
        <f>IFERROR(CUBEVALUE("BIDB",$A603,C$3,C$2,'Præsentationstabeller 1'!$C$2),0)</f>
        <v/>
      </c>
      <c r="D603" t="str" vm="13338">
        <f>IFERROR(CUBEVALUE("BIDB",$A603,D$3,D$2,'Præsentationstabeller 1'!$C$2),0)</f>
        <v/>
      </c>
      <c r="E603" vm="7785">
        <f>IFERROR(CUBEVALUE("BIDB",$A603,E$3,E$2,'Præsentationstabeller 1'!$C$2),0)</f>
        <v>1</v>
      </c>
      <c r="F603" vm="10797">
        <f>IFERROR(CUBEVALUE("BIDB",$A603,F$3,F$2,'Præsentationstabeller 1'!$C$2),0)</f>
        <v>1</v>
      </c>
      <c r="G603" vm="8200">
        <f>IFERROR(CUBEVALUE("BIDB",$A603,G$3,G$2,'Præsentationstabeller 1'!$C$2),0)</f>
        <v>2</v>
      </c>
      <c r="H603" t="str" vm="6313">
        <f>IFERROR(CUBEVALUE("BIDB",$A603,H$3,H$2,'Præsentationstabeller 1'!$C$2),0)</f>
        <v/>
      </c>
      <c r="I603" t="str" vm="6214">
        <f>IFERROR(CUBEVALUE("BIDB",$A603,I$3,I$2,'Præsentationstabeller 1'!$C$2),0)</f>
        <v/>
      </c>
      <c r="J603" t="str" vm="8301">
        <f>IFERROR(CUBEVALUE("BIDB",$A603,J$3,J$2,'Præsentationstabeller 1'!$C$2),0)</f>
        <v/>
      </c>
      <c r="K603" t="str" vm="15934">
        <f>IFERROR(CUBEVALUE("BIDB",$A603,K$3,K$2,'Præsentationstabeller 1'!$C$2),0)</f>
        <v/>
      </c>
      <c r="L603" t="str" vm="8232">
        <f>IFERROR(CUBEVALUE("BIDB",$A603,L$3,L$2,'Præsentationstabeller 1'!$C$2),0)</f>
        <v/>
      </c>
    </row>
    <row r="604" spans="1:12" x14ac:dyDescent="0.3">
      <c r="A604" s="123" t="str" vm="732">
        <f>CUBEMEMBER("BIDB","[Dimittenddato].[Dimittenddato].&amp;[2013-07-19T00:00:00]")</f>
        <v>19-07-2013</v>
      </c>
      <c r="B604" t="str" vm="10299">
        <f>IFERROR(CUBEVALUE("BIDB",$A604,B$3,'Præsentationstabeller 1'!$C$2),0)</f>
        <v/>
      </c>
      <c r="C604" t="str" vm="6859">
        <f>IFERROR(CUBEVALUE("BIDB",$A604,C$3,C$2,'Præsentationstabeller 1'!$C$2),0)</f>
        <v/>
      </c>
      <c r="D604" vm="5161">
        <f>IFERROR(CUBEVALUE("BIDB",$A604,D$3,D$2,'Præsentationstabeller 1'!$C$2),0)</f>
        <v>2</v>
      </c>
      <c r="E604" vm="8309">
        <f>IFERROR(CUBEVALUE("BIDB",$A604,E$3,E$2,'Præsentationstabeller 1'!$C$2),0)</f>
        <v>1</v>
      </c>
      <c r="F604" t="str" vm="7942">
        <f>IFERROR(CUBEVALUE("BIDB",$A604,F$3,F$2,'Præsentationstabeller 1'!$C$2),0)</f>
        <v/>
      </c>
      <c r="G604" vm="15054">
        <f>IFERROR(CUBEVALUE("BIDB",$A604,G$3,G$2,'Præsentationstabeller 1'!$C$2),0)</f>
        <v>1</v>
      </c>
      <c r="H604" t="str" vm="9029">
        <f>IFERROR(CUBEVALUE("BIDB",$A604,H$3,H$2,'Præsentationstabeller 1'!$C$2),0)</f>
        <v/>
      </c>
      <c r="I604" t="str" vm="6827">
        <f>IFERROR(CUBEVALUE("BIDB",$A604,I$3,I$2,'Præsentationstabeller 1'!$C$2),0)</f>
        <v/>
      </c>
      <c r="J604" t="str" vm="15887">
        <f>IFERROR(CUBEVALUE("BIDB",$A604,J$3,J$2,'Præsentationstabeller 1'!$C$2),0)</f>
        <v/>
      </c>
      <c r="K604" t="str" vm="6174">
        <f>IFERROR(CUBEVALUE("BIDB",$A604,K$3,K$2,'Præsentationstabeller 1'!$C$2),0)</f>
        <v/>
      </c>
      <c r="L604" t="str" vm="8649">
        <f>IFERROR(CUBEVALUE("BIDB",$A604,L$3,L$2,'Præsentationstabeller 1'!$C$2),0)</f>
        <v/>
      </c>
    </row>
    <row r="605" spans="1:12" x14ac:dyDescent="0.3">
      <c r="A605" s="123" t="str" vm="731">
        <f>CUBEMEMBER("BIDB","[Dimittenddato].[Dimittenddato].&amp;[2013-07-20T00:00:00]")</f>
        <v>20-07-2013</v>
      </c>
      <c r="B605" t="str" vm="6887">
        <f>IFERROR(CUBEVALUE("BIDB",$A605,B$3,'Præsentationstabeller 1'!$C$2),0)</f>
        <v/>
      </c>
      <c r="C605" t="str" vm="11156">
        <f>IFERROR(CUBEVALUE("BIDB",$A605,C$3,C$2,'Præsentationstabeller 1'!$C$2),0)</f>
        <v/>
      </c>
      <c r="D605" t="str" vm="10112">
        <f>IFERROR(CUBEVALUE("BIDB",$A605,D$3,D$2,'Præsentationstabeller 1'!$C$2),0)</f>
        <v/>
      </c>
      <c r="E605" vm="8360">
        <f>IFERROR(CUBEVALUE("BIDB",$A605,E$3,E$2,'Præsentationstabeller 1'!$C$2),0)</f>
        <v>1</v>
      </c>
      <c r="F605" t="str" vm="6182">
        <f>IFERROR(CUBEVALUE("BIDB",$A605,F$3,F$2,'Præsentationstabeller 1'!$C$2),0)</f>
        <v/>
      </c>
      <c r="G605" vm="7516">
        <f>IFERROR(CUBEVALUE("BIDB",$A605,G$3,G$2,'Præsentationstabeller 1'!$C$2),0)</f>
        <v>1</v>
      </c>
      <c r="H605" t="str" vm="9165">
        <f>IFERROR(CUBEVALUE("BIDB",$A605,H$3,H$2,'Præsentationstabeller 1'!$C$2),0)</f>
        <v/>
      </c>
      <c r="I605" t="str" vm="11260">
        <f>IFERROR(CUBEVALUE("BIDB",$A605,I$3,I$2,'Præsentationstabeller 1'!$C$2),0)</f>
        <v/>
      </c>
      <c r="J605" t="str" vm="8926">
        <f>IFERROR(CUBEVALUE("BIDB",$A605,J$3,J$2,'Præsentationstabeller 1'!$C$2),0)</f>
        <v/>
      </c>
      <c r="K605" t="str" vm="7791">
        <f>IFERROR(CUBEVALUE("BIDB",$A605,K$3,K$2,'Præsentationstabeller 1'!$C$2),0)</f>
        <v/>
      </c>
      <c r="L605" t="str" vm="9092">
        <f>IFERROR(CUBEVALUE("BIDB",$A605,L$3,L$2,'Præsentationstabeller 1'!$C$2),0)</f>
        <v/>
      </c>
    </row>
    <row r="606" spans="1:12" x14ac:dyDescent="0.3">
      <c r="A606" s="123" t="str" vm="730">
        <f>CUBEMEMBER("BIDB","[Dimittenddato].[Dimittenddato].&amp;[2013-07-21T00:00:00]")</f>
        <v>21-07-2013</v>
      </c>
      <c r="B606" t="str" vm="8495">
        <f>IFERROR(CUBEVALUE("BIDB",$A606,B$3,'Præsentationstabeller 1'!$C$2),0)</f>
        <v/>
      </c>
      <c r="C606" t="str" vm="7686">
        <f>IFERROR(CUBEVALUE("BIDB",$A606,C$3,C$2,'Præsentationstabeller 1'!$C$2),0)</f>
        <v/>
      </c>
      <c r="D606" t="str" vm="9195">
        <f>IFERROR(CUBEVALUE("BIDB",$A606,D$3,D$2,'Præsentationstabeller 1'!$C$2),0)</f>
        <v/>
      </c>
      <c r="E606" t="str" vm="7717">
        <f>IFERROR(CUBEVALUE("BIDB",$A606,E$3,E$2,'Præsentationstabeller 1'!$C$2),0)</f>
        <v/>
      </c>
      <c r="F606" t="str" vm="10543">
        <f>IFERROR(CUBEVALUE("BIDB",$A606,F$3,F$2,'Præsentationstabeller 1'!$C$2),0)</f>
        <v/>
      </c>
      <c r="G606" t="str" vm="9094">
        <f>IFERROR(CUBEVALUE("BIDB",$A606,G$3,G$2,'Præsentationstabeller 1'!$C$2),0)</f>
        <v/>
      </c>
      <c r="H606" t="str" vm="7376">
        <f>IFERROR(CUBEVALUE("BIDB",$A606,H$3,H$2,'Præsentationstabeller 1'!$C$2),0)</f>
        <v/>
      </c>
      <c r="I606" t="str" vm="7154">
        <f>IFERROR(CUBEVALUE("BIDB",$A606,I$3,I$2,'Præsentationstabeller 1'!$C$2),0)</f>
        <v/>
      </c>
      <c r="J606" t="str" vm="10688">
        <f>IFERROR(CUBEVALUE("BIDB",$A606,J$3,J$2,'Præsentationstabeller 1'!$C$2),0)</f>
        <v/>
      </c>
      <c r="K606" t="str" vm="8328">
        <f>IFERROR(CUBEVALUE("BIDB",$A606,K$3,K$2,'Præsentationstabeller 1'!$C$2),0)</f>
        <v/>
      </c>
      <c r="L606" t="str" vm="7944">
        <f>IFERROR(CUBEVALUE("BIDB",$A606,L$3,L$2,'Præsentationstabeller 1'!$C$2),0)</f>
        <v/>
      </c>
    </row>
    <row r="607" spans="1:12" x14ac:dyDescent="0.3">
      <c r="A607" s="123" t="str" vm="729">
        <f>CUBEMEMBER("BIDB","[Dimittenddato].[Dimittenddato].&amp;[2013-07-22T00:00:00]")</f>
        <v>22-07-2013</v>
      </c>
      <c r="B607" t="str" vm="8610">
        <f>IFERROR(CUBEVALUE("BIDB",$A607,B$3,'Præsentationstabeller 1'!$C$2),0)</f>
        <v/>
      </c>
      <c r="C607" t="str" vm="7378">
        <f>IFERROR(CUBEVALUE("BIDB",$A607,C$3,C$2,'Præsentationstabeller 1'!$C$2),0)</f>
        <v/>
      </c>
      <c r="D607" t="str" vm="5789">
        <f>IFERROR(CUBEVALUE("BIDB",$A607,D$3,D$2,'Præsentationstabeller 1'!$C$2),0)</f>
        <v/>
      </c>
      <c r="E607" vm="6545">
        <f>IFERROR(CUBEVALUE("BIDB",$A607,E$3,E$2,'Præsentationstabeller 1'!$C$2),0)</f>
        <v>2</v>
      </c>
      <c r="F607" t="str" vm="15935">
        <f>IFERROR(CUBEVALUE("BIDB",$A607,F$3,F$2,'Præsentationstabeller 1'!$C$2),0)</f>
        <v/>
      </c>
      <c r="G607" vm="8618">
        <f>IFERROR(CUBEVALUE("BIDB",$A607,G$3,G$2,'Præsentationstabeller 1'!$C$2),0)</f>
        <v>2</v>
      </c>
      <c r="H607" t="str" vm="6889">
        <f>IFERROR(CUBEVALUE("BIDB",$A607,H$3,H$2,'Præsentationstabeller 1'!$C$2),0)</f>
        <v/>
      </c>
      <c r="I607" t="str" vm="7692">
        <f>IFERROR(CUBEVALUE("BIDB",$A607,I$3,I$2,'Præsentationstabeller 1'!$C$2),0)</f>
        <v/>
      </c>
      <c r="J607" t="str" vm="7344">
        <f>IFERROR(CUBEVALUE("BIDB",$A607,J$3,J$2,'Præsentationstabeller 1'!$C$2),0)</f>
        <v/>
      </c>
      <c r="K607" t="str" vm="14161">
        <f>IFERROR(CUBEVALUE("BIDB",$A607,K$3,K$2,'Præsentationstabeller 1'!$C$2),0)</f>
        <v/>
      </c>
      <c r="L607" t="str" vm="10749">
        <f>IFERROR(CUBEVALUE("BIDB",$A607,L$3,L$2,'Præsentationstabeller 1'!$C$2),0)</f>
        <v/>
      </c>
    </row>
    <row r="608" spans="1:12" x14ac:dyDescent="0.3">
      <c r="A608" s="123" t="str" vm="728">
        <f>CUBEMEMBER("BIDB","[Dimittenddato].[Dimittenddato].&amp;[2013-07-23T00:00:00]")</f>
        <v>23-07-2013</v>
      </c>
      <c r="B608" t="str" vm="12900">
        <f>IFERROR(CUBEVALUE("BIDB",$A608,B$3,'Præsentationstabeller 1'!$C$2),0)</f>
        <v/>
      </c>
      <c r="C608" t="str" vm="8643">
        <f>IFERROR(CUBEVALUE("BIDB",$A608,C$3,C$2,'Præsentationstabeller 1'!$C$2),0)</f>
        <v/>
      </c>
      <c r="D608" t="str" vm="7160">
        <f>IFERROR(CUBEVALUE("BIDB",$A608,D$3,D$2,'Præsentationstabeller 1'!$C$2),0)</f>
        <v/>
      </c>
      <c r="E608" t="str" vm="7346">
        <f>IFERROR(CUBEVALUE("BIDB",$A608,E$3,E$2,'Præsentationstabeller 1'!$C$2),0)</f>
        <v/>
      </c>
      <c r="F608" t="str" vm="5916">
        <f>IFERROR(CUBEVALUE("BIDB",$A608,F$3,F$2,'Præsentationstabeller 1'!$C$2),0)</f>
        <v/>
      </c>
      <c r="G608" t="str" vm="9058">
        <f>IFERROR(CUBEVALUE("BIDB",$A608,G$3,G$2,'Præsentationstabeller 1'!$C$2),0)</f>
        <v/>
      </c>
      <c r="H608" t="str" vm="11204">
        <f>IFERROR(CUBEVALUE("BIDB",$A608,H$3,H$2,'Præsentationstabeller 1'!$C$2),0)</f>
        <v/>
      </c>
      <c r="I608" t="str" vm="7743">
        <f>IFERROR(CUBEVALUE("BIDB",$A608,I$3,I$2,'Præsentationstabeller 1'!$C$2),0)</f>
        <v/>
      </c>
      <c r="J608" t="str" vm="5797">
        <f>IFERROR(CUBEVALUE("BIDB",$A608,J$3,J$2,'Præsentationstabeller 1'!$C$2),0)</f>
        <v/>
      </c>
      <c r="K608" t="str" vm="6969">
        <f>IFERROR(CUBEVALUE("BIDB",$A608,K$3,K$2,'Præsentationstabeller 1'!$C$2),0)</f>
        <v/>
      </c>
      <c r="L608" t="str" vm="12368">
        <f>IFERROR(CUBEVALUE("BIDB",$A608,L$3,L$2,'Præsentationstabeller 1'!$C$2),0)</f>
        <v/>
      </c>
    </row>
    <row r="609" spans="1:12" x14ac:dyDescent="0.3">
      <c r="A609" s="123" t="str" vm="727">
        <f>CUBEMEMBER("BIDB","[Dimittenddato].[Dimittenddato].&amp;[2013-07-24T00:00:00]")</f>
        <v>24-07-2013</v>
      </c>
      <c r="B609" t="str" vm="6263">
        <f>IFERROR(CUBEVALUE("BIDB",$A609,B$3,'Præsentationstabeller 1'!$C$2),0)</f>
        <v/>
      </c>
      <c r="C609" t="str" vm="9545">
        <f>IFERROR(CUBEVALUE("BIDB",$A609,C$3,C$2,'Præsentationstabeller 1'!$C$2),0)</f>
        <v/>
      </c>
      <c r="D609" t="str" vm="7711">
        <f>IFERROR(CUBEVALUE("BIDB",$A609,D$3,D$2,'Præsentationstabeller 1'!$C$2),0)</f>
        <v/>
      </c>
      <c r="E609" vm="8540">
        <f>IFERROR(CUBEVALUE("BIDB",$A609,E$3,E$2,'Præsentationstabeller 1'!$C$2),0)</f>
        <v>1</v>
      </c>
      <c r="F609" vm="6977">
        <f>IFERROR(CUBEVALUE("BIDB",$A609,F$3,F$2,'Præsentationstabeller 1'!$C$2),0)</f>
        <v>1</v>
      </c>
      <c r="G609" vm="7812">
        <f>IFERROR(CUBEVALUE("BIDB",$A609,G$3,G$2,'Præsentationstabeller 1'!$C$2),0)</f>
        <v>2</v>
      </c>
      <c r="H609" t="str" vm="11072">
        <f>IFERROR(CUBEVALUE("BIDB",$A609,H$3,H$2,'Præsentationstabeller 1'!$C$2),0)</f>
        <v/>
      </c>
      <c r="I609" t="str" vm="8546">
        <f>IFERROR(CUBEVALUE("BIDB",$A609,I$3,I$2,'Præsentationstabeller 1'!$C$2),0)</f>
        <v/>
      </c>
      <c r="J609" t="str" vm="8079">
        <f>IFERROR(CUBEVALUE("BIDB",$A609,J$3,J$2,'Præsentationstabeller 1'!$C$2),0)</f>
        <v/>
      </c>
      <c r="K609" t="str" vm="6553">
        <f>IFERROR(CUBEVALUE("BIDB",$A609,K$3,K$2,'Præsentationstabeller 1'!$C$2),0)</f>
        <v/>
      </c>
      <c r="L609" t="str" vm="12814">
        <f>IFERROR(CUBEVALUE("BIDB",$A609,L$3,L$2,'Præsentationstabeller 1'!$C$2),0)</f>
        <v/>
      </c>
    </row>
    <row r="610" spans="1:12" x14ac:dyDescent="0.3">
      <c r="A610" s="123" t="str" vm="726">
        <f>CUBEMEMBER("BIDB","[Dimittenddato].[Dimittenddato].&amp;[2013-07-25T00:00:00]")</f>
        <v>25-07-2013</v>
      </c>
      <c r="B610" t="str" vm="7820">
        <f>IFERROR(CUBEVALUE("BIDB",$A610,B$3,'Præsentationstabeller 1'!$C$2),0)</f>
        <v/>
      </c>
      <c r="C610" vm="12188">
        <f>IFERROR(CUBEVALUE("BIDB",$A610,C$3,C$2,'Præsentationstabeller 1'!$C$2),0)</f>
        <v>1</v>
      </c>
      <c r="D610" vm="16227">
        <f>IFERROR(CUBEVALUE("BIDB",$A610,D$3,D$2,'Præsentationstabeller 1'!$C$2),0)</f>
        <v>0</v>
      </c>
      <c r="E610" t="str" vm="12767">
        <f>IFERROR(CUBEVALUE("BIDB",$A610,E$3,E$2,'Præsentationstabeller 1'!$C$2),0)</f>
        <v/>
      </c>
      <c r="F610" vm="6572">
        <f>IFERROR(CUBEVALUE("BIDB",$A610,F$3,F$2,'Præsentationstabeller 1'!$C$2),0)</f>
        <v>1</v>
      </c>
      <c r="G610" vm="11793">
        <f>IFERROR(CUBEVALUE("BIDB",$A610,G$3,G$2,'Præsentationstabeller 1'!$C$2),0)</f>
        <v>1</v>
      </c>
      <c r="H610" t="str" vm="6937">
        <f>IFERROR(CUBEVALUE("BIDB",$A610,H$3,H$2,'Præsentationstabeller 1'!$C$2),0)</f>
        <v/>
      </c>
      <c r="I610" t="str" vm="8989">
        <f>IFERROR(CUBEVALUE("BIDB",$A610,I$3,I$2,'Præsentationstabeller 1'!$C$2),0)</f>
        <v/>
      </c>
      <c r="J610" t="str" vm="12778">
        <f>IFERROR(CUBEVALUE("BIDB",$A610,J$3,J$2,'Præsentationstabeller 1'!$C$2),0)</f>
        <v/>
      </c>
      <c r="K610" t="str" vm="6604">
        <f>IFERROR(CUBEVALUE("BIDB",$A610,K$3,K$2,'Præsentationstabeller 1'!$C$2),0)</f>
        <v/>
      </c>
      <c r="L610" t="str" vm="5924">
        <f>IFERROR(CUBEVALUE("BIDB",$A610,L$3,L$2,'Præsentationstabeller 1'!$C$2),0)</f>
        <v/>
      </c>
    </row>
    <row r="611" spans="1:12" x14ac:dyDescent="0.3">
      <c r="A611" s="123" t="str" vm="725">
        <f>CUBEMEMBER("BIDB","[Dimittenddato].[Dimittenddato].&amp;[2013-07-26T00:00:00]")</f>
        <v>26-07-2013</v>
      </c>
      <c r="B611" t="str" vm="7871">
        <f>IFERROR(CUBEVALUE("BIDB",$A611,B$3,'Præsentationstabeller 1'!$C$2),0)</f>
        <v/>
      </c>
      <c r="C611" t="str" vm="6945">
        <f>IFERROR(CUBEVALUE("BIDB",$A611,C$3,C$2,'Præsentationstabeller 1'!$C$2),0)</f>
        <v/>
      </c>
      <c r="D611" t="str" vm="7296">
        <f>IFERROR(CUBEVALUE("BIDB",$A611,D$3,D$2,'Præsentationstabeller 1'!$C$2),0)</f>
        <v/>
      </c>
      <c r="E611" t="str" vm="7433">
        <f>IFERROR(CUBEVALUE("BIDB",$A611,E$3,E$2,'Præsentationstabeller 1'!$C$2),0)</f>
        <v/>
      </c>
      <c r="F611" t="str" vm="9768">
        <f>IFERROR(CUBEVALUE("BIDB",$A611,F$3,F$2,'Præsentationstabeller 1'!$C$2),0)</f>
        <v/>
      </c>
      <c r="G611" t="str" vm="8437">
        <f>IFERROR(CUBEVALUE("BIDB",$A611,G$3,G$2,'Præsentationstabeller 1'!$C$2),0)</f>
        <v/>
      </c>
      <c r="H611" t="str" vm="6269">
        <f>IFERROR(CUBEVALUE("BIDB",$A611,H$3,H$2,'Præsentationstabeller 1'!$C$2),0)</f>
        <v/>
      </c>
      <c r="I611" t="str" vm="14534">
        <f>IFERROR(CUBEVALUE("BIDB",$A611,I$3,I$2,'Præsentationstabeller 1'!$C$2),0)</f>
        <v/>
      </c>
      <c r="J611" t="str" vm="7014">
        <f>IFERROR(CUBEVALUE("BIDB",$A611,J$3,J$2,'Præsentationstabeller 1'!$C$2),0)</f>
        <v/>
      </c>
      <c r="K611" t="str" vm="8132">
        <f>IFERROR(CUBEVALUE("BIDB",$A611,K$3,K$2,'Præsentationstabeller 1'!$C$2),0)</f>
        <v/>
      </c>
      <c r="L611" t="str" vm="15268">
        <f>IFERROR(CUBEVALUE("BIDB",$A611,L$3,L$2,'Præsentationstabeller 1'!$C$2),0)</f>
        <v/>
      </c>
    </row>
    <row r="612" spans="1:12" x14ac:dyDescent="0.3">
      <c r="A612" s="123" t="str" vm="724">
        <f>CUBEMEMBER("BIDB","[Dimittenddato].[Dimittenddato].&amp;[2013-07-27T00:00:00]")</f>
        <v>27-07-2013</v>
      </c>
      <c r="B612" t="str" vm="6578">
        <f>IFERROR(CUBEVALUE("BIDB",$A612,B$3,'Præsentationstabeller 1'!$C$2),0)</f>
        <v/>
      </c>
      <c r="C612" t="str" vm="9333">
        <f>IFERROR(CUBEVALUE("BIDB",$A612,C$3,C$2,'Præsentationstabeller 1'!$C$2),0)</f>
        <v/>
      </c>
      <c r="D612" t="str" vm="8991">
        <f>IFERROR(CUBEVALUE("BIDB",$A612,D$3,D$2,'Præsentationstabeller 1'!$C$2),0)</f>
        <v/>
      </c>
      <c r="E612" t="str" vm="7016">
        <f>IFERROR(CUBEVALUE("BIDB",$A612,E$3,E$2,'Præsentationstabeller 1'!$C$2),0)</f>
        <v/>
      </c>
      <c r="F612" t="str" vm="7413">
        <f>IFERROR(CUBEVALUE("BIDB",$A612,F$3,F$2,'Præsentationstabeller 1'!$C$2),0)</f>
        <v/>
      </c>
      <c r="G612" t="str" vm="8561">
        <f>IFERROR(CUBEVALUE("BIDB",$A612,G$3,G$2,'Præsentationstabeller 1'!$C$2),0)</f>
        <v/>
      </c>
      <c r="H612" t="str" vm="7839">
        <f>IFERROR(CUBEVALUE("BIDB",$A612,H$3,H$2,'Præsentationstabeller 1'!$C$2),0)</f>
        <v/>
      </c>
      <c r="I612" t="str" vm="10158">
        <f>IFERROR(CUBEVALUE("BIDB",$A612,I$3,I$2,'Præsentationstabeller 1'!$C$2),0)</f>
        <v/>
      </c>
      <c r="J612" t="str" vm="7302">
        <f>IFERROR(CUBEVALUE("BIDB",$A612,J$3,J$2,'Præsentationstabeller 1'!$C$2),0)</f>
        <v/>
      </c>
      <c r="K612" t="str" vm="7181">
        <f>IFERROR(CUBEVALUE("BIDB",$A612,K$3,K$2,'Præsentationstabeller 1'!$C$2),0)</f>
        <v/>
      </c>
      <c r="L612" t="str" vm="8586">
        <f>IFERROR(CUBEVALUE("BIDB",$A612,L$3,L$2,'Præsentationstabeller 1'!$C$2),0)</f>
        <v/>
      </c>
    </row>
    <row r="613" spans="1:12" x14ac:dyDescent="0.3">
      <c r="A613" s="123" t="str" vm="723">
        <f>CUBEMEMBER("BIDB","[Dimittenddato].[Dimittenddato].&amp;[2013-07-28T00:00:00]")</f>
        <v>28-07-2013</v>
      </c>
      <c r="B613" t="str" vm="6290">
        <f>IFERROR(CUBEVALUE("BIDB",$A613,B$3,'Præsentationstabeller 1'!$C$2),0)</f>
        <v/>
      </c>
      <c r="C613" t="str" vm="16070">
        <f>IFERROR(CUBEVALUE("BIDB",$A613,C$3,C$2,'Præsentationstabeller 1'!$C$2),0)</f>
        <v/>
      </c>
      <c r="D613" t="str" vm="8515">
        <f>IFERROR(CUBEVALUE("BIDB",$A613,D$3,D$2,'Præsentationstabeller 1'!$C$2),0)</f>
        <v/>
      </c>
      <c r="E613" t="str" vm="12199">
        <f>IFERROR(CUBEVALUE("BIDB",$A613,E$3,E$2,'Præsentationstabeller 1'!$C$2),0)</f>
        <v/>
      </c>
      <c r="F613" t="str" vm="7189">
        <f>IFERROR(CUBEVALUE("BIDB",$A613,F$3,F$2,'Præsentationstabeller 1'!$C$2),0)</f>
        <v/>
      </c>
      <c r="G613" t="str" vm="7425">
        <f>IFERROR(CUBEVALUE("BIDB",$A613,G$3,G$2,'Præsentationstabeller 1'!$C$2),0)</f>
        <v/>
      </c>
      <c r="H613" t="str" vm="16370">
        <f>IFERROR(CUBEVALUE("BIDB",$A613,H$3,H$2,'Præsentationstabeller 1'!$C$2),0)</f>
        <v/>
      </c>
      <c r="I613" t="str" vm="9062">
        <f>IFERROR(CUBEVALUE("BIDB",$A613,I$3,I$2,'Præsentationstabeller 1'!$C$2),0)</f>
        <v/>
      </c>
      <c r="J613" t="str" vm="8507">
        <f>IFERROR(CUBEVALUE("BIDB",$A613,J$3,J$2,'Præsentationstabeller 1'!$C$2),0)</f>
        <v/>
      </c>
      <c r="K613" t="str" vm="8411">
        <f>IFERROR(CUBEVALUE("BIDB",$A613,K$3,K$2,'Præsentationstabeller 1'!$C$2),0)</f>
        <v/>
      </c>
      <c r="L613" t="str" vm="5535">
        <f>IFERROR(CUBEVALUE("BIDB",$A613,L$3,L$2,'Præsentationstabeller 1'!$C$2),0)</f>
        <v/>
      </c>
    </row>
    <row r="614" spans="1:12" x14ac:dyDescent="0.3">
      <c r="A614" s="123" t="str" vm="722">
        <f>CUBEMEMBER("BIDB","[Dimittenddato].[Dimittenddato].&amp;[2013-07-29T00:00:00]")</f>
        <v>29-07-2013</v>
      </c>
      <c r="B614" t="str" vm="8403">
        <f>IFERROR(CUBEVALUE("BIDB",$A614,B$3,'Præsentationstabeller 1'!$C$2),0)</f>
        <v/>
      </c>
      <c r="C614" t="str" vm="5661">
        <f>IFERROR(CUBEVALUE("BIDB",$A614,C$3,C$2,'Præsentationstabeller 1'!$C$2),0)</f>
        <v/>
      </c>
      <c r="D614" t="str" vm="16062">
        <f>IFERROR(CUBEVALUE("BIDB",$A614,D$3,D$2,'Præsentationstabeller 1'!$C$2),0)</f>
        <v/>
      </c>
      <c r="E614" t="str" vm="9862">
        <f>IFERROR(CUBEVALUE("BIDB",$A614,E$3,E$2,'Præsentationstabeller 1'!$C$2),0)</f>
        <v/>
      </c>
      <c r="F614" t="str" vm="7254">
        <f>IFERROR(CUBEVALUE("BIDB",$A614,F$3,F$2,'Præsentationstabeller 1'!$C$2),0)</f>
        <v/>
      </c>
      <c r="G614" t="str" vm="5543">
        <f>IFERROR(CUBEVALUE("BIDB",$A614,G$3,G$2,'Præsentationstabeller 1'!$C$2),0)</f>
        <v/>
      </c>
      <c r="H614" t="str" vm="6715">
        <f>IFERROR(CUBEVALUE("BIDB",$A614,H$3,H$2,'Præsentationstabeller 1'!$C$2),0)</f>
        <v/>
      </c>
      <c r="I614" t="str" vm="9482">
        <f>IFERROR(CUBEVALUE("BIDB",$A614,I$3,I$2,'Præsentationstabeller 1'!$C$2),0)</f>
        <v/>
      </c>
      <c r="J614" t="str" vm="12172">
        <f>IFERROR(CUBEVALUE("BIDB",$A614,J$3,J$2,'Præsentationstabeller 1'!$C$2),0)</f>
        <v/>
      </c>
      <c r="K614" t="str" vm="8154">
        <f>IFERROR(CUBEVALUE("BIDB",$A614,K$3,K$2,'Præsentationstabeller 1'!$C$2),0)</f>
        <v/>
      </c>
      <c r="L614" t="str" vm="8392">
        <f>IFERROR(CUBEVALUE("BIDB",$A614,L$3,L$2,'Præsentationstabeller 1'!$C$2),0)</f>
        <v/>
      </c>
    </row>
    <row r="615" spans="1:12" x14ac:dyDescent="0.3">
      <c r="A615" s="123" t="str" vm="721">
        <f>CUBEMEMBER("BIDB","[Dimittenddato].[Dimittenddato].&amp;[2013-07-30T00:00:00]")</f>
        <v>30-07-2013</v>
      </c>
      <c r="B615" t="str" vm="8051">
        <f>IFERROR(CUBEVALUE("BIDB",$A615,B$3,'Præsentationstabeller 1'!$C$2),0)</f>
        <v/>
      </c>
      <c r="C615" t="str" vm="6723">
        <f>IFERROR(CUBEVALUE("BIDB",$A615,C$3,C$2,'Præsentationstabeller 1'!$C$2),0)</f>
        <v/>
      </c>
      <c r="D615" t="str" vm="7323">
        <f>IFERROR(CUBEVALUE("BIDB",$A615,D$3,D$2,'Præsentationstabeller 1'!$C$2),0)</f>
        <v/>
      </c>
      <c r="E615" t="str" vm="6683">
        <f>IFERROR(CUBEVALUE("BIDB",$A615,E$3,E$2,'Præsentationstabeller 1'!$C$2),0)</f>
        <v/>
      </c>
      <c r="F615" t="str" vm="8443">
        <f>IFERROR(CUBEVALUE("BIDB",$A615,F$3,F$2,'Præsentationstabeller 1'!$C$2),0)</f>
        <v/>
      </c>
      <c r="G615" t="str" vm="7976">
        <f>IFERROR(CUBEVALUE("BIDB",$A615,G$3,G$2,'Præsentationstabeller 1'!$C$2),0)</f>
        <v/>
      </c>
      <c r="H615" t="str" vm="6298">
        <f>IFERROR(CUBEVALUE("BIDB",$A615,H$3,H$2,'Præsentationstabeller 1'!$C$2),0)</f>
        <v/>
      </c>
      <c r="I615" t="str" vm="5669">
        <f>IFERROR(CUBEVALUE("BIDB",$A615,I$3,I$2,'Præsentationstabeller 1'!$C$2),0)</f>
        <v/>
      </c>
      <c r="J615" t="str" vm="6899">
        <f>IFERROR(CUBEVALUE("BIDB",$A615,J$3,J$2,'Præsentationstabeller 1'!$C$2),0)</f>
        <v/>
      </c>
      <c r="K615" t="str" vm="16348">
        <f>IFERROR(CUBEVALUE("BIDB",$A615,K$3,K$2,'Præsentationstabeller 1'!$C$2),0)</f>
        <v/>
      </c>
      <c r="L615" t="str" vm="7222">
        <f>IFERROR(CUBEVALUE("BIDB",$A615,L$3,L$2,'Præsentationstabeller 1'!$C$2),0)</f>
        <v/>
      </c>
    </row>
    <row r="616" spans="1:12" x14ac:dyDescent="0.3">
      <c r="A616" s="123" t="str" vm="720">
        <f>CUBEMEMBER("BIDB","[Dimittenddato].[Dimittenddato].&amp;[2013-07-31T00:00:00]")</f>
        <v>31-07-2013</v>
      </c>
      <c r="B616" t="str" vm="10342">
        <f>IFERROR(CUBEVALUE("BIDB",$A616,B$3,'Præsentationstabeller 1'!$C$2),0)</f>
        <v/>
      </c>
      <c r="C616" t="str" vm="6317">
        <f>IFERROR(CUBEVALUE("BIDB",$A616,C$3,C$2,'Præsentationstabeller 1'!$C$2),0)</f>
        <v/>
      </c>
      <c r="D616" t="str" vm="10486">
        <f>IFERROR(CUBEVALUE("BIDB",$A616,D$3,D$2,'Præsentationstabeller 1'!$C$2),0)</f>
        <v/>
      </c>
      <c r="E616" vm="6905">
        <f>IFERROR(CUBEVALUE("BIDB",$A616,E$3,E$2,'Præsentationstabeller 1'!$C$2),0)</f>
        <v>4</v>
      </c>
      <c r="F616" vm="8886">
        <f>IFERROR(CUBEVALUE("BIDB",$A616,F$3,F$2,'Præsentationstabeller 1'!$C$2),0)</f>
        <v>2</v>
      </c>
      <c r="G616" vm="15500">
        <f>IFERROR(CUBEVALUE("BIDB",$A616,G$3,G$2,'Præsentationstabeller 1'!$C$2),0)</f>
        <v>6</v>
      </c>
      <c r="H616" t="str" vm="6349">
        <f>IFERROR(CUBEVALUE("BIDB",$A616,H$3,H$2,'Præsentationstabeller 1'!$C$2),0)</f>
        <v/>
      </c>
      <c r="I616" t="str" vm="13850">
        <f>IFERROR(CUBEVALUE("BIDB",$A616,I$3,I$2,'Præsentationstabeller 1'!$C$2),0)</f>
        <v/>
      </c>
      <c r="J616" t="str" vm="7331">
        <f>IFERROR(CUBEVALUE("BIDB",$A616,J$3,J$2,'Præsentationstabeller 1'!$C$2),0)</f>
        <v/>
      </c>
      <c r="K616" t="str" vm="7659">
        <f>IFERROR(CUBEVALUE("BIDB",$A616,K$3,K$2,'Præsentationstabeller 1'!$C$2),0)</f>
        <v/>
      </c>
      <c r="L616" t="str" vm="10386">
        <f>IFERROR(CUBEVALUE("BIDB",$A616,L$3,L$2,'Præsentationstabeller 1'!$C$2),0)</f>
        <v/>
      </c>
    </row>
    <row r="617" spans="1:12" x14ac:dyDescent="0.3">
      <c r="A617" s="123" t="str" vm="719">
        <f>CUBEMEMBER("BIDB","[Dimittenddato].[Dimittenddato].&amp;[2013-08-01T00:00:00]")</f>
        <v>01-08-2013</v>
      </c>
      <c r="B617" t="str" vm="8714">
        <f>IFERROR(CUBEVALUE("BIDB",$A617,B$3,'Præsentationstabeller 1'!$C$2),0)</f>
        <v/>
      </c>
      <c r="C617" vm="16495">
        <f>IFERROR(CUBEVALUE("BIDB",$A617,C$3,C$2,'Præsentationstabeller 1'!$C$2),0)</f>
        <v>3</v>
      </c>
      <c r="D617" vm="7948">
        <f>IFERROR(CUBEVALUE("BIDB",$A617,D$3,D$2,'Præsentationstabeller 1'!$C$2),0)</f>
        <v>3</v>
      </c>
      <c r="E617" vm="7350">
        <f>IFERROR(CUBEVALUE("BIDB",$A617,E$3,E$2,'Præsentationstabeller 1'!$C$2),0)</f>
        <v>7</v>
      </c>
      <c r="F617" vm="7661">
        <f>IFERROR(CUBEVALUE("BIDB",$A617,F$3,F$2,'Præsentationstabeller 1'!$C$2),0)</f>
        <v>2</v>
      </c>
      <c r="G617" vm="8750">
        <f>IFERROR(CUBEVALUE("BIDB",$A617,G$3,G$2,'Præsentationstabeller 1'!$C$2),0)</f>
        <v>9</v>
      </c>
      <c r="H617" t="str" vm="7877">
        <f>IFERROR(CUBEVALUE("BIDB",$A617,H$3,H$2,'Præsentationstabeller 1'!$C$2),0)</f>
        <v/>
      </c>
      <c r="I617" t="str" vm="8483">
        <f>IFERROR(CUBEVALUE("BIDB",$A617,I$3,I$2,'Præsentationstabeller 1'!$C$2),0)</f>
        <v/>
      </c>
      <c r="J617" t="str" vm="7382">
        <f>IFERROR(CUBEVALUE("BIDB",$A617,J$3,J$2,'Præsentationstabeller 1'!$C$2),0)</f>
        <v/>
      </c>
      <c r="K617" t="str" vm="6691">
        <f>IFERROR(CUBEVALUE("BIDB",$A617,K$3,K$2,'Præsentationstabeller 1'!$C$2),0)</f>
        <v/>
      </c>
      <c r="L617" t="str" vm="7026">
        <f>IFERROR(CUBEVALUE("BIDB",$A617,L$3,L$2,'Præsentationstabeller 1'!$C$2),0)</f>
        <v/>
      </c>
    </row>
    <row r="618" spans="1:12" x14ac:dyDescent="0.3">
      <c r="A618" s="123" t="str" vm="718">
        <f>CUBEMEMBER("BIDB","[Dimittenddato].[Dimittenddato].&amp;[2013-08-02T00:00:00]")</f>
        <v>02-08-2013</v>
      </c>
      <c r="B618" t="str" vm="8752">
        <f>IFERROR(CUBEVALUE("BIDB",$A618,B$3,'Præsentationstabeller 1'!$C$2),0)</f>
        <v/>
      </c>
      <c r="C618" t="str" vm="8762">
        <f>IFERROR(CUBEVALUE("BIDB",$A618,C$3,C$2,'Præsentationstabeller 1'!$C$2),0)</f>
        <v/>
      </c>
      <c r="D618" t="str" vm="8458">
        <f>IFERROR(CUBEVALUE("BIDB",$A618,D$3,D$2,'Præsentationstabeller 1'!$C$2),0)</f>
        <v/>
      </c>
      <c r="E618" t="str" vm="13025">
        <f>IFERROR(CUBEVALUE("BIDB",$A618,E$3,E$2,'Præsentationstabeller 1'!$C$2),0)</f>
        <v/>
      </c>
      <c r="F618" vm="15045">
        <f>IFERROR(CUBEVALUE("BIDB",$A618,F$3,F$2,'Præsentationstabeller 1'!$C$2),0)</f>
        <v>1</v>
      </c>
      <c r="G618" vm="7032">
        <f>IFERROR(CUBEVALUE("BIDB",$A618,G$3,G$2,'Præsentationstabeller 1'!$C$2),0)</f>
        <v>1</v>
      </c>
      <c r="H618" t="str" vm="7197">
        <f>IFERROR(CUBEVALUE("BIDB",$A618,H$3,H$2,'Præsentationstabeller 1'!$C$2),0)</f>
        <v/>
      </c>
      <c r="I618" t="str" vm="5280">
        <f>IFERROR(CUBEVALUE("BIDB",$A618,I$3,I$2,'Præsentationstabeller 1'!$C$2),0)</f>
        <v/>
      </c>
      <c r="J618" t="str" vm="7845">
        <f>IFERROR(CUBEVALUE("BIDB",$A618,J$3,J$2,'Præsentationstabeller 1'!$C$2),0)</f>
        <v/>
      </c>
      <c r="K618" t="str" vm="11794">
        <f>IFERROR(CUBEVALUE("BIDB",$A618,K$3,K$2,'Præsentationstabeller 1'!$C$2),0)</f>
        <v/>
      </c>
      <c r="L618" t="str" vm="8888">
        <f>IFERROR(CUBEVALUE("BIDB",$A618,L$3,L$2,'Præsentationstabeller 1'!$C$2),0)</f>
        <v/>
      </c>
    </row>
    <row r="619" spans="1:12" x14ac:dyDescent="0.3">
      <c r="A619" s="123" t="str" vm="717">
        <f>CUBEMEMBER("BIDB","[Dimittenddato].[Dimittenddato].&amp;[2013-08-03T00:00:00]")</f>
        <v>03-08-2013</v>
      </c>
      <c r="B619" t="str" vm="10487">
        <f>IFERROR(CUBEVALUE("BIDB",$A619,B$3,'Præsentationstabeller 1'!$C$2),0)</f>
        <v/>
      </c>
      <c r="C619" t="str" vm="7203">
        <f>IFERROR(CUBEVALUE("BIDB",$A619,C$3,C$2,'Præsentationstabeller 1'!$C$2),0)</f>
        <v/>
      </c>
      <c r="D619" vm="8682">
        <f>IFERROR(CUBEVALUE("BIDB",$A619,D$3,D$2,'Præsentationstabeller 1'!$C$2),0)</f>
        <v>1</v>
      </c>
      <c r="E619" t="str" vm="6461">
        <f>IFERROR(CUBEVALUE("BIDB",$A619,E$3,E$2,'Præsentationstabeller 1'!$C$2),0)</f>
        <v/>
      </c>
      <c r="F619" t="str" vm="15057">
        <f>IFERROR(CUBEVALUE("BIDB",$A619,F$3,F$2,'Præsentationstabeller 1'!$C$2),0)</f>
        <v/>
      </c>
      <c r="G619" t="str" vm="8404">
        <f>IFERROR(CUBEVALUE("BIDB",$A619,G$3,G$2,'Præsentationstabeller 1'!$C$2),0)</f>
        <v/>
      </c>
      <c r="H619" t="str" vm="8716">
        <f>IFERROR(CUBEVALUE("BIDB",$A619,H$3,H$2,'Præsentationstabeller 1'!$C$2),0)</f>
        <v/>
      </c>
      <c r="I619" t="str" vm="8768">
        <f>IFERROR(CUBEVALUE("BIDB",$A619,I$3,I$2,'Præsentationstabeller 1'!$C$2),0)</f>
        <v/>
      </c>
      <c r="J619" t="str" vm="7053">
        <f>IFERROR(CUBEVALUE("BIDB",$A619,J$3,J$2,'Præsentationstabeller 1'!$C$2),0)</f>
        <v/>
      </c>
      <c r="K619" t="str" vm="13038">
        <f>IFERROR(CUBEVALUE("BIDB",$A619,K$3,K$2,'Præsentationstabeller 1'!$C$2),0)</f>
        <v/>
      </c>
      <c r="L619" t="str" vm="8412">
        <f>IFERROR(CUBEVALUE("BIDB",$A619,L$3,L$2,'Præsentationstabeller 1'!$C$2),0)</f>
        <v/>
      </c>
    </row>
    <row r="620" spans="1:12" x14ac:dyDescent="0.3">
      <c r="A620" s="123" t="str" vm="716">
        <f>CUBEMEMBER("BIDB","[Dimittenddato].[Dimittenddato].&amp;[2013-08-04T00:00:00]")</f>
        <v>04-08-2013</v>
      </c>
      <c r="B620" t="str" vm="12323">
        <f>IFERROR(CUBEVALUE("BIDB",$A620,B$3,'Præsentationstabeller 1'!$C$2),0)</f>
        <v/>
      </c>
      <c r="C620" t="str" vm="7069">
        <f>IFERROR(CUBEVALUE("BIDB",$A620,C$3,C$2,'Præsentationstabeller 1'!$C$2),0)</f>
        <v/>
      </c>
      <c r="D620" t="str" vm="5288">
        <f>IFERROR(CUBEVALUE("BIDB",$A620,D$3,D$2,'Præsentationstabeller 1'!$C$2),0)</f>
        <v/>
      </c>
      <c r="E620" t="str" vm="7061">
        <f>IFERROR(CUBEVALUE("BIDB",$A620,E$3,E$2,'Præsentationstabeller 1'!$C$2),0)</f>
        <v/>
      </c>
      <c r="F620" t="str" vm="9752">
        <f>IFERROR(CUBEVALUE("BIDB",$A620,F$3,F$2,'Præsentationstabeller 1'!$C$2),0)</f>
        <v/>
      </c>
      <c r="G620" t="str" vm="12542">
        <f>IFERROR(CUBEVALUE("BIDB",$A620,G$3,G$2,'Præsentationstabeller 1'!$C$2),0)</f>
        <v/>
      </c>
      <c r="H620" t="str" vm="7665">
        <f>IFERROR(CUBEVALUE("BIDB",$A620,H$3,H$2,'Præsentationstabeller 1'!$C$2),0)</f>
        <v/>
      </c>
      <c r="I620" t="str" vm="8720">
        <f>IFERROR(CUBEVALUE("BIDB",$A620,I$3,I$2,'Præsentationstabeller 1'!$C$2),0)</f>
        <v/>
      </c>
      <c r="J620" t="str" vm="8684">
        <f>IFERROR(CUBEVALUE("BIDB",$A620,J$3,J$2,'Præsentationstabeller 1'!$C$2),0)</f>
        <v/>
      </c>
      <c r="K620" t="str" vm="5407">
        <f>IFERROR(CUBEVALUE("BIDB",$A620,K$3,K$2,'Præsentationstabeller 1'!$C$2),0)</f>
        <v/>
      </c>
      <c r="L620" t="str" vm="10338">
        <f>IFERROR(CUBEVALUE("BIDB",$A620,L$3,L$2,'Præsentationstabeller 1'!$C$2),0)</f>
        <v/>
      </c>
    </row>
    <row r="621" spans="1:12" x14ac:dyDescent="0.3">
      <c r="A621" s="123" t="str" vm="715">
        <f>CUBEMEMBER("BIDB","[Dimittenddato].[Dimittenddato].&amp;[2013-08-05T00:00:00]")</f>
        <v>05-08-2013</v>
      </c>
      <c r="B621" t="str" vm="6429">
        <f>IFERROR(CUBEVALUE("BIDB",$A621,B$3,'Præsentationstabeller 1'!$C$2),0)</f>
        <v/>
      </c>
      <c r="C621" vm="11163">
        <f>IFERROR(CUBEVALUE("BIDB",$A621,C$3,C$2,'Præsentationstabeller 1'!$C$2),0)</f>
        <v>1</v>
      </c>
      <c r="D621" t="str" vm="8688">
        <f>IFERROR(CUBEVALUE("BIDB",$A621,D$3,D$2,'Præsentationstabeller 1'!$C$2),0)</f>
        <v/>
      </c>
      <c r="E621" vm="8805">
        <f>IFERROR(CUBEVALUE("BIDB",$A621,E$3,E$2,'Præsentationstabeller 1'!$C$2),0)</f>
        <v>1</v>
      </c>
      <c r="F621" vm="5415">
        <f>IFERROR(CUBEVALUE("BIDB",$A621,F$3,F$2,'Præsentationstabeller 1'!$C$2),0)</f>
        <v>1</v>
      </c>
      <c r="G621" vm="10433">
        <f>IFERROR(CUBEVALUE("BIDB",$A621,G$3,G$2,'Præsentationstabeller 1'!$C$2),0)</f>
        <v>2</v>
      </c>
      <c r="H621" vm="8959">
        <f>IFERROR(CUBEVALUE("BIDB",$A621,H$3,H$2,'Præsentationstabeller 1'!$C$2),0)</f>
        <v>0.6</v>
      </c>
      <c r="I621" t="str" vm="15068">
        <f>IFERROR(CUBEVALUE("BIDB",$A621,I$3,I$2,'Præsentationstabeller 1'!$C$2),0)</f>
        <v/>
      </c>
      <c r="J621" t="str" vm="14536">
        <f>IFERROR(CUBEVALUE("BIDB",$A621,J$3,J$2,'Præsentationstabeller 1'!$C$2),0)</f>
        <v/>
      </c>
      <c r="K621" t="str" vm="6469">
        <f>IFERROR(CUBEVALUE("BIDB",$A621,K$3,K$2,'Præsentationstabeller 1'!$C$2),0)</f>
        <v/>
      </c>
      <c r="L621" t="str" vm="8789">
        <f>IFERROR(CUBEVALUE("BIDB",$A621,L$3,L$2,'Præsentationstabeller 1'!$C$2),0)</f>
        <v/>
      </c>
    </row>
    <row r="622" spans="1:12" x14ac:dyDescent="0.3">
      <c r="A622" s="123" t="str" vm="714">
        <f>CUBEMEMBER("BIDB","[Dimittenddato].[Dimittenddato].&amp;[2013-08-06T00:00:00]")</f>
        <v>06-08-2013</v>
      </c>
      <c r="B622" t="str" vm="9636">
        <f>IFERROR(CUBEVALUE("BIDB",$A622,B$3,'Præsentationstabeller 1'!$C$2),0)</f>
        <v/>
      </c>
      <c r="C622" t="str" vm="10739">
        <f>IFERROR(CUBEVALUE("BIDB",$A622,C$3,C$2,'Præsentationstabeller 1'!$C$2),0)</f>
        <v/>
      </c>
      <c r="D622" vm="11016">
        <f>IFERROR(CUBEVALUE("BIDB",$A622,D$3,D$2,'Præsentationstabeller 1'!$C$2),0)</f>
        <v>0</v>
      </c>
      <c r="E622" vm="8029">
        <f>IFERROR(CUBEVALUE("BIDB",$A622,E$3,E$2,'Præsentationstabeller 1'!$C$2),0)</f>
        <v>1</v>
      </c>
      <c r="F622" vm="7112">
        <f>IFERROR(CUBEVALUE("BIDB",$A622,F$3,F$2,'Præsentationstabeller 1'!$C$2),0)</f>
        <v>2</v>
      </c>
      <c r="G622" vm="8797">
        <f>IFERROR(CUBEVALUE("BIDB",$A622,G$3,G$2,'Præsentationstabeller 1'!$C$2),0)</f>
        <v>3</v>
      </c>
      <c r="H622" t="str" vm="7556">
        <f>IFERROR(CUBEVALUE("BIDB",$A622,H$3,H$2,'Præsentationstabeller 1'!$C$2),0)</f>
        <v/>
      </c>
      <c r="I622" t="str" vm="6645">
        <f>IFERROR(CUBEVALUE("BIDB",$A622,I$3,I$2,'Præsentationstabeller 1'!$C$2),0)</f>
        <v/>
      </c>
      <c r="J622" t="str" vm="16414">
        <f>IFERROR(CUBEVALUE("BIDB",$A622,J$3,J$2,'Præsentationstabeller 1'!$C$2),0)</f>
        <v/>
      </c>
      <c r="K622" t="str" vm="7562">
        <f>IFERROR(CUBEVALUE("BIDB",$A622,K$3,K$2,'Præsentationstabeller 1'!$C$2),0)</f>
        <v/>
      </c>
      <c r="L622" t="str" vm="15373">
        <f>IFERROR(CUBEVALUE("BIDB",$A622,L$3,L$2,'Præsentationstabeller 1'!$C$2),0)</f>
        <v/>
      </c>
    </row>
    <row r="623" spans="1:12" x14ac:dyDescent="0.3">
      <c r="A623" s="123" t="str" vm="713">
        <f>CUBEMEMBER("BIDB","[Dimittenddato].[Dimittenddato].&amp;[2013-08-07T00:00:00]")</f>
        <v>07-08-2013</v>
      </c>
      <c r="B623" t="str" vm="13951">
        <f>IFERROR(CUBEVALUE("BIDB",$A623,B$3,'Præsentationstabeller 1'!$C$2),0)</f>
        <v/>
      </c>
      <c r="C623" t="str" vm="7558">
        <f>IFERROR(CUBEVALUE("BIDB",$A623,C$3,C$2,'Præsentationstabeller 1'!$C$2),0)</f>
        <v/>
      </c>
      <c r="D623" t="str" vm="10943">
        <f>IFERROR(CUBEVALUE("BIDB",$A623,D$3,D$2,'Præsentationstabeller 1'!$C$2),0)</f>
        <v/>
      </c>
      <c r="E623" vm="8663">
        <f>IFERROR(CUBEVALUE("BIDB",$A623,E$3,E$2,'Præsentationstabeller 1'!$C$2),0)</f>
        <v>4</v>
      </c>
      <c r="F623" vm="11173">
        <f>IFERROR(CUBEVALUE("BIDB",$A623,F$3,F$2,'Præsentationstabeller 1'!$C$2),0)</f>
        <v>2</v>
      </c>
      <c r="G623" vm="10740">
        <f>IFERROR(CUBEVALUE("BIDB",$A623,G$3,G$2,'Præsentationstabeller 1'!$C$2),0)</f>
        <v>6</v>
      </c>
      <c r="H623" t="str" vm="6437">
        <f>IFERROR(CUBEVALUE("BIDB",$A623,H$3,H$2,'Præsentationstabeller 1'!$C$2),0)</f>
        <v/>
      </c>
      <c r="I623" t="str" vm="9736">
        <f>IFERROR(CUBEVALUE("BIDB",$A623,I$3,I$2,'Præsentationstabeller 1'!$C$2),0)</f>
        <v/>
      </c>
      <c r="J623" t="str" vm="7106">
        <f>IFERROR(CUBEVALUE("BIDB",$A623,J$3,J$2,'Præsentationstabeller 1'!$C$2),0)</f>
        <v/>
      </c>
      <c r="K623" t="str" vm="10370">
        <f>IFERROR(CUBEVALUE("BIDB",$A623,K$3,K$2,'Præsentationstabeller 1'!$C$2),0)</f>
        <v/>
      </c>
      <c r="L623" t="str" vm="7080">
        <f>IFERROR(CUBEVALUE("BIDB",$A623,L$3,L$2,'Præsentationstabeller 1'!$C$2),0)</f>
        <v/>
      </c>
    </row>
    <row r="624" spans="1:12" x14ac:dyDescent="0.3">
      <c r="A624" s="123" t="str" vm="712">
        <f>CUBEMEMBER("BIDB","[Dimittenddato].[Dimittenddato].&amp;[2013-08-08T00:00:00]")</f>
        <v>08-08-2013</v>
      </c>
      <c r="B624" t="str" vm="14482">
        <f>IFERROR(CUBEVALUE("BIDB",$A624,B$3,'Præsentationstabeller 1'!$C$2),0)</f>
        <v/>
      </c>
      <c r="C624" vm="8848">
        <f>IFERROR(CUBEVALUE("BIDB",$A624,C$3,C$2,'Præsentationstabeller 1'!$C$2),0)</f>
        <v>1</v>
      </c>
      <c r="D624" t="str" vm="6651">
        <f>IFERROR(CUBEVALUE("BIDB",$A624,D$3,D$2,'Præsentationstabeller 1'!$C$2),0)</f>
        <v/>
      </c>
      <c r="E624" vm="7108">
        <f>IFERROR(CUBEVALUE("BIDB",$A624,E$3,E$2,'Præsentationstabeller 1'!$C$2),0)</f>
        <v>4</v>
      </c>
      <c r="F624" vm="6043">
        <f>IFERROR(CUBEVALUE("BIDB",$A624,F$3,F$2,'Præsentationstabeller 1'!$C$2),0)</f>
        <v>0</v>
      </c>
      <c r="G624" vm="7531">
        <f>IFERROR(CUBEVALUE("BIDB",$A624,G$3,G$2,'Præsentationstabeller 1'!$C$2),0)</f>
        <v>4</v>
      </c>
      <c r="H624" t="str" vm="7459">
        <f>IFERROR(CUBEVALUE("BIDB",$A624,H$3,H$2,'Præsentationstabeller 1'!$C$2),0)</f>
        <v/>
      </c>
      <c r="I624" t="str" vm="8188">
        <f>IFERROR(CUBEVALUE("BIDB",$A624,I$3,I$2,'Præsentationstabeller 1'!$C$2),0)</f>
        <v/>
      </c>
      <c r="J624" t="str" vm="9635">
        <f>IFERROR(CUBEVALUE("BIDB",$A624,J$3,J$2,'Præsentationstabeller 1'!$C$2),0)</f>
        <v/>
      </c>
      <c r="K624" t="str" vm="6772">
        <f>IFERROR(CUBEVALUE("BIDB",$A624,K$3,K$2,'Præsentationstabeller 1'!$C$2),0)</f>
        <v/>
      </c>
      <c r="L624" t="str" vm="10656">
        <f>IFERROR(CUBEVALUE("BIDB",$A624,L$3,L$2,'Præsentationstabeller 1'!$C$2),0)</f>
        <v/>
      </c>
    </row>
    <row r="625" spans="1:12" x14ac:dyDescent="0.3">
      <c r="A625" s="123" t="str" vm="711">
        <f>CUBEMEMBER("BIDB","[Dimittenddato].[Dimittenddato].&amp;[2013-08-09T00:00:00]")</f>
        <v>09-08-2013</v>
      </c>
      <c r="B625" t="str" vm="6205">
        <f>IFERROR(CUBEVALUE("BIDB",$A625,B$3,'Præsentationstabeller 1'!$C$2),0)</f>
        <v/>
      </c>
      <c r="C625" t="str" vm="12821">
        <f>IFERROR(CUBEVALUE("BIDB",$A625,C$3,C$2,'Præsentationstabeller 1'!$C$2),0)</f>
        <v/>
      </c>
      <c r="D625" vm="8816">
        <f>IFERROR(CUBEVALUE("BIDB",$A625,D$3,D$2,'Præsentationstabeller 1'!$C$2),0)</f>
        <v>2</v>
      </c>
      <c r="E625" vm="9441">
        <f>IFERROR(CUBEVALUE("BIDB",$A625,E$3,E$2,'Præsentationstabeller 1'!$C$2),0)</f>
        <v>2</v>
      </c>
      <c r="F625" vm="6778">
        <f>IFERROR(CUBEVALUE("BIDB",$A625,F$3,F$2,'Præsentationstabeller 1'!$C$2),0)</f>
        <v>1</v>
      </c>
      <c r="G625" vm="6799">
        <f>IFERROR(CUBEVALUE("BIDB",$A625,G$3,G$2,'Præsentationstabeller 1'!$C$2),0)</f>
        <v>3</v>
      </c>
      <c r="H625" t="str" vm="12085">
        <f>IFERROR(CUBEVALUE("BIDB",$A625,H$3,H$2,'Præsentationstabeller 1'!$C$2),0)</f>
        <v/>
      </c>
      <c r="I625" vm="15056">
        <f>IFERROR(CUBEVALUE("BIDB",$A625,I$3,I$2,'Præsentationstabeller 1'!$C$2),0)</f>
        <v>1</v>
      </c>
      <c r="J625" t="str" vm="11454">
        <f>IFERROR(CUBEVALUE("BIDB",$A625,J$3,J$2,'Præsentationstabeller 1'!$C$2),0)</f>
        <v/>
      </c>
      <c r="K625" t="str" vm="8669">
        <f>IFERROR(CUBEVALUE("BIDB",$A625,K$3,K$2,'Præsentationstabeller 1'!$C$2),0)</f>
        <v/>
      </c>
      <c r="L625" t="str" vm="7074">
        <f>IFERROR(CUBEVALUE("BIDB",$A625,L$3,L$2,'Præsentationstabeller 1'!$C$2),0)</f>
        <v/>
      </c>
    </row>
    <row r="626" spans="1:12" x14ac:dyDescent="0.3">
      <c r="A626" s="123" t="str" vm="710">
        <f>CUBEMEMBER("BIDB","[Dimittenddato].[Dimittenddato].&amp;[2013-08-10T00:00:00]")</f>
        <v>10-08-2013</v>
      </c>
      <c r="B626" t="str" vm="6807">
        <f>IFERROR(CUBEVALUE("BIDB",$A626,B$3,'Præsentationstabeller 1'!$C$2),0)</f>
        <v/>
      </c>
      <c r="C626" t="str" vm="15576">
        <f>IFERROR(CUBEVALUE("BIDB",$A626,C$3,C$2,'Præsentationstabeller 1'!$C$2),0)</f>
        <v/>
      </c>
      <c r="D626" t="str" vm="16124">
        <f>IFERROR(CUBEVALUE("BIDB",$A626,D$3,D$2,'Præsentationstabeller 1'!$C$2),0)</f>
        <v/>
      </c>
      <c r="E626" t="str" vm="9489">
        <f>IFERROR(CUBEVALUE("BIDB",$A626,E$3,E$2,'Præsentationstabeller 1'!$C$2),0)</f>
        <v/>
      </c>
      <c r="F626" t="str" vm="9641">
        <f>IFERROR(CUBEVALUE("BIDB",$A626,F$3,F$2,'Præsentationstabeller 1'!$C$2),0)</f>
        <v/>
      </c>
      <c r="G626" t="str" vm="7076">
        <f>IFERROR(CUBEVALUE("BIDB",$A626,G$3,G$2,'Præsentationstabeller 1'!$C$2),0)</f>
        <v/>
      </c>
      <c r="H626" t="str" vm="5152">
        <f>IFERROR(CUBEVALUE("BIDB",$A626,H$3,H$2,'Præsentationstabeller 1'!$C$2),0)</f>
        <v/>
      </c>
      <c r="I626" t="str" vm="8300">
        <f>IFERROR(CUBEVALUE("BIDB",$A626,I$3,I$2,'Præsentationstabeller 1'!$C$2),0)</f>
        <v/>
      </c>
      <c r="J626" t="str" vm="13239">
        <f>IFERROR(CUBEVALUE("BIDB",$A626,J$3,J$2,'Præsentationstabeller 1'!$C$2),0)</f>
        <v/>
      </c>
      <c r="K626" t="str" vm="6815">
        <f>IFERROR(CUBEVALUE("BIDB",$A626,K$3,K$2,'Præsentationstabeller 1'!$C$2),0)</f>
        <v/>
      </c>
      <c r="L626" t="str" vm="6051">
        <f>IFERROR(CUBEVALUE("BIDB",$A626,L$3,L$2,'Præsentationstabeller 1'!$C$2),0)</f>
        <v/>
      </c>
    </row>
    <row r="627" spans="1:12" x14ac:dyDescent="0.3">
      <c r="A627" s="123" t="str" vm="709">
        <f>CUBEMEMBER("BIDB","[Dimittenddato].[Dimittenddato].&amp;[2013-08-11T00:00:00]")</f>
        <v>11-08-2013</v>
      </c>
      <c r="B627" t="str" vm="8316">
        <f>IFERROR(CUBEVALUE("BIDB",$A627,B$3,'Præsentationstabeller 1'!$C$2),0)</f>
        <v/>
      </c>
      <c r="C627" t="str" vm="5160">
        <f>IFERROR(CUBEVALUE("BIDB",$A627,C$3,C$2,'Præsentationstabeller 1'!$C$2),0)</f>
        <v/>
      </c>
      <c r="D627" t="str" vm="8273">
        <f>IFERROR(CUBEVALUE("BIDB",$A627,D$3,D$2,'Præsentationstabeller 1'!$C$2),0)</f>
        <v/>
      </c>
      <c r="E627" t="str" vm="7453">
        <f>IFERROR(CUBEVALUE("BIDB",$A627,E$3,E$2,'Præsentationstabeller 1'!$C$2),0)</f>
        <v/>
      </c>
      <c r="F627" t="str" vm="9477">
        <f>IFERROR(CUBEVALUE("BIDB",$A627,F$3,F$2,'Præsentationstabeller 1'!$C$2),0)</f>
        <v/>
      </c>
      <c r="G627" t="str" vm="9277">
        <f>IFERROR(CUBEVALUE("BIDB",$A627,G$3,G$2,'Præsentationstabeller 1'!$C$2),0)</f>
        <v/>
      </c>
      <c r="H627" t="str" vm="6213">
        <f>IFERROR(CUBEVALUE("BIDB",$A627,H$3,H$2,'Præsentationstabeller 1'!$C$2),0)</f>
        <v/>
      </c>
      <c r="I627" t="str" vm="15228">
        <f>IFERROR(CUBEVALUE("BIDB",$A627,I$3,I$2,'Præsentationstabeller 1'!$C$2),0)</f>
        <v/>
      </c>
      <c r="J627" t="str" vm="6173">
        <f>IFERROR(CUBEVALUE("BIDB",$A627,J$3,J$2,'Præsentationstabeller 1'!$C$2),0)</f>
        <v/>
      </c>
      <c r="K627" t="str" vm="8160">
        <f>IFERROR(CUBEVALUE("BIDB",$A627,K$3,K$2,'Præsentationstabeller 1'!$C$2),0)</f>
        <v/>
      </c>
      <c r="L627" t="str" vm="9639">
        <f>IFERROR(CUBEVALUE("BIDB",$A627,L$3,L$2,'Præsentationstabeller 1'!$C$2),0)</f>
        <v/>
      </c>
    </row>
    <row r="628" spans="1:12" x14ac:dyDescent="0.3">
      <c r="A628" s="123" t="str" vm="708">
        <f>CUBEMEMBER("BIDB","[Dimittenddato].[Dimittenddato].&amp;[2013-08-12T00:00:00]")</f>
        <v>12-08-2013</v>
      </c>
      <c r="B628" t="str" vm="7926">
        <f>IFERROR(CUBEVALUE("BIDB",$A628,B$3,'Præsentationstabeller 1'!$C$2),0)</f>
        <v/>
      </c>
      <c r="C628" vm="8231">
        <f>IFERROR(CUBEVALUE("BIDB",$A628,C$3,C$2,'Præsentationstabeller 1'!$C$2),0)</f>
        <v>2</v>
      </c>
      <c r="D628" vm="8308">
        <f>IFERROR(CUBEVALUE("BIDB",$A628,D$3,D$2,'Præsentationstabeller 1'!$C$2),0)</f>
        <v>1</v>
      </c>
      <c r="E628" vm="6181">
        <f>IFERROR(CUBEVALUE("BIDB",$A628,E$3,E$2,'Præsentationstabeller 1'!$C$2),0)</f>
        <v>7</v>
      </c>
      <c r="F628" t="str" vm="9085">
        <f>IFERROR(CUBEVALUE("BIDB",$A628,F$3,F$2,'Præsentationstabeller 1'!$C$2),0)</f>
        <v/>
      </c>
      <c r="G628" vm="9243">
        <f>IFERROR(CUBEVALUE("BIDB",$A628,G$3,G$2,'Præsentationstabeller 1'!$C$2),0)</f>
        <v>7</v>
      </c>
      <c r="H628" t="str" vm="9131">
        <f>IFERROR(CUBEVALUE("BIDB",$A628,H$3,H$2,'Præsentationstabeller 1'!$C$2),0)</f>
        <v/>
      </c>
      <c r="I628" t="str" vm="8199">
        <f>IFERROR(CUBEVALUE("BIDB",$A628,I$3,I$2,'Præsentationstabeller 1'!$C$2),0)</f>
        <v/>
      </c>
      <c r="J628" t="str" vm="8279">
        <f>IFERROR(CUBEVALUE("BIDB",$A628,J$3,J$2,'Præsentationstabeller 1'!$C$2),0)</f>
        <v/>
      </c>
      <c r="K628" t="str" vm="8603">
        <f>IFERROR(CUBEVALUE("BIDB",$A628,K$3,K$2,'Præsentationstabeller 1'!$C$2),0)</f>
        <v/>
      </c>
      <c r="L628" t="str" vm="9806">
        <f>IFERROR(CUBEVALUE("BIDB",$A628,L$3,L$2,'Præsentationstabeller 1'!$C$2),0)</f>
        <v/>
      </c>
    </row>
    <row r="629" spans="1:12" x14ac:dyDescent="0.3">
      <c r="A629" s="123" t="str" vm="707">
        <f>CUBEMEMBER("BIDB","[Dimittenddato].[Dimittenddato].&amp;[2013-08-13T00:00:00]")</f>
        <v>13-08-2013</v>
      </c>
      <c r="B629" t="str" vm="8174">
        <f>IFERROR(CUBEVALUE("BIDB",$A629,B$3,'Præsentationstabeller 1'!$C$2),0)</f>
        <v/>
      </c>
      <c r="C629" t="str" vm="10709">
        <f>IFERROR(CUBEVALUE("BIDB",$A629,C$3,C$2,'Præsentationstabeller 1'!$C$2),0)</f>
        <v/>
      </c>
      <c r="D629" vm="8607">
        <f>IFERROR(CUBEVALUE("BIDB",$A629,D$3,D$2,'Præsentationstabeller 1'!$C$2),0)</f>
        <v>1</v>
      </c>
      <c r="E629" vm="9028">
        <f>IFERROR(CUBEVALUE("BIDB",$A629,E$3,E$2,'Præsentationstabeller 1'!$C$2),0)</f>
        <v>4</v>
      </c>
      <c r="F629" t="str" vm="8605">
        <f>IFERROR(CUBEVALUE("BIDB",$A629,F$3,F$2,'Præsentationstabeller 1'!$C$2),0)</f>
        <v/>
      </c>
      <c r="G629" vm="8842">
        <f>IFERROR(CUBEVALUE("BIDB",$A629,G$3,G$2,'Præsentationstabeller 1'!$C$2),0)</f>
        <v>4</v>
      </c>
      <c r="H629" t="str" vm="15064">
        <f>IFERROR(CUBEVALUE("BIDB",$A629,H$3,H$2,'Præsentationstabeller 1'!$C$2),0)</f>
        <v/>
      </c>
      <c r="I629" t="str" vm="10177">
        <f>IFERROR(CUBEVALUE("BIDB",$A629,I$3,I$2,'Præsentationstabeller 1'!$C$2),0)</f>
        <v/>
      </c>
      <c r="J629" t="str" vm="10182">
        <f>IFERROR(CUBEVALUE("BIDB",$A629,J$3,J$2,'Præsentationstabeller 1'!$C$2),0)</f>
        <v/>
      </c>
      <c r="K629" t="str" vm="7455">
        <f>IFERROR(CUBEVALUE("BIDB",$A629,K$3,K$2,'Præsentationstabeller 1'!$C$2),0)</f>
        <v/>
      </c>
      <c r="L629" t="str" vm="6633">
        <f>IFERROR(CUBEVALUE("BIDB",$A629,L$3,L$2,'Præsentationstabeller 1'!$C$2),0)</f>
        <v/>
      </c>
    </row>
    <row r="630" spans="1:12" x14ac:dyDescent="0.3">
      <c r="A630" s="123" t="str" vm="706">
        <f>CUBEMEMBER("BIDB","[Dimittenddato].[Dimittenddato].&amp;[2013-08-14T00:00:00]")</f>
        <v>14-08-2013</v>
      </c>
      <c r="B630" t="str" vm="8844">
        <f>IFERROR(CUBEVALUE("BIDB",$A630,B$3,'Præsentationstabeller 1'!$C$2),0)</f>
        <v/>
      </c>
      <c r="C630" t="str" vm="5788">
        <f>IFERROR(CUBEVALUE("BIDB",$A630,C$3,C$2,'Præsentationstabeller 1'!$C$2),0)</f>
        <v/>
      </c>
      <c r="D630" vm="7228">
        <f>IFERROR(CUBEVALUE("BIDB",$A630,D$3,D$2,'Præsentationstabeller 1'!$C$2),0)</f>
        <v>2</v>
      </c>
      <c r="E630" vm="11120">
        <f>IFERROR(CUBEVALUE("BIDB",$A630,E$3,E$2,'Præsentationstabeller 1'!$C$2),0)</f>
        <v>7</v>
      </c>
      <c r="F630" t="str" vm="7699">
        <f>IFERROR(CUBEVALUE("BIDB",$A630,F$3,F$2,'Præsentationstabeller 1'!$C$2),0)</f>
        <v/>
      </c>
      <c r="G630" vm="6635">
        <f>IFERROR(CUBEVALUE("BIDB",$A630,G$3,G$2,'Præsentationstabeller 1'!$C$2),0)</f>
        <v>7</v>
      </c>
      <c r="H630" t="str" vm="6390">
        <f>IFERROR(CUBEVALUE("BIDB",$A630,H$3,H$2,'Præsentationstabeller 1'!$C$2),0)</f>
        <v/>
      </c>
      <c r="I630" t="str" vm="8810">
        <f>IFERROR(CUBEVALUE("BIDB",$A630,I$3,I$2,'Præsentationstabeller 1'!$C$2),0)</f>
        <v/>
      </c>
      <c r="J630" t="str" vm="15688">
        <f>IFERROR(CUBEVALUE("BIDB",$A630,J$3,J$2,'Præsentationstabeller 1'!$C$2),0)</f>
        <v/>
      </c>
      <c r="K630" t="str" vm="6858">
        <f>IFERROR(CUBEVALUE("BIDB",$A630,K$3,K$2,'Præsentationstabeller 1'!$C$2),0)</f>
        <v/>
      </c>
      <c r="L630" t="str" vm="8109">
        <f>IFERROR(CUBEVALUE("BIDB",$A630,L$3,L$2,'Præsentationstabeller 1'!$C$2),0)</f>
        <v/>
      </c>
    </row>
    <row r="631" spans="1:12" x14ac:dyDescent="0.3">
      <c r="A631" s="123" t="str" vm="705">
        <f>CUBEMEMBER("BIDB","[Dimittenddato].[Dimittenddato].&amp;[2013-08-15T00:00:00]")</f>
        <v>15-08-2013</v>
      </c>
      <c r="B631" t="str" vm="8925">
        <f>IFERROR(CUBEVALUE("BIDB",$A631,B$3,'Præsentationstabeller 1'!$C$2),0)</f>
        <v/>
      </c>
      <c r="C631" t="str" vm="6396">
        <f>IFERROR(CUBEVALUE("BIDB",$A631,C$3,C$2,'Præsentationstabeller 1'!$C$2),0)</f>
        <v/>
      </c>
      <c r="D631" vm="6544">
        <f>IFERROR(CUBEVALUE("BIDB",$A631,D$3,D$2,'Præsentationstabeller 1'!$C$2),0)</f>
        <v>3</v>
      </c>
      <c r="E631" vm="5915">
        <f>IFERROR(CUBEVALUE("BIDB",$A631,E$3,E$2,'Præsentationstabeller 1'!$C$2),0)</f>
        <v>4</v>
      </c>
      <c r="F631" t="str" vm="8955">
        <f>IFERROR(CUBEVALUE("BIDB",$A631,F$3,F$2,'Præsentationstabeller 1'!$C$2),0)</f>
        <v/>
      </c>
      <c r="G631" vm="10909">
        <f>IFERROR(CUBEVALUE("BIDB",$A631,G$3,G$2,'Præsentationstabeller 1'!$C$2),0)</f>
        <v>4</v>
      </c>
      <c r="H631" t="str" vm="8180">
        <f>IFERROR(CUBEVALUE("BIDB",$A631,H$3,H$2,'Præsentationstabeller 1'!$C$2),0)</f>
        <v/>
      </c>
      <c r="I631" t="str" vm="5796">
        <f>IFERROR(CUBEVALUE("BIDB",$A631,I$3,I$2,'Præsentationstabeller 1'!$C$2),0)</f>
        <v/>
      </c>
      <c r="J631" vm="6968">
        <f>IFERROR(CUBEVALUE("BIDB",$A631,J$3,J$2,'Præsentationstabeller 1'!$C$2),0)</f>
        <v>0.52</v>
      </c>
      <c r="K631" t="str" vm="12125">
        <f>IFERROR(CUBEVALUE("BIDB",$A631,K$3,K$2,'Præsentationstabeller 1'!$C$2),0)</f>
        <v/>
      </c>
      <c r="L631" vm="6826">
        <f>IFERROR(CUBEVALUE("BIDB",$A631,L$3,L$2,'Præsentationstabeller 1'!$C$2),0)</f>
        <v>0.52</v>
      </c>
    </row>
    <row r="632" spans="1:12" x14ac:dyDescent="0.3">
      <c r="A632" s="123" t="str" vm="704">
        <f>CUBEMEMBER("BIDB","[Dimittenddato].[Dimittenddato].&amp;[2013-08-16T00:00:00]")</f>
        <v>16-08-2013</v>
      </c>
      <c r="B632" t="str" vm="16892">
        <f>IFERROR(CUBEVALUE("BIDB",$A632,B$3,'Præsentationstabeller 1'!$C$2),0)</f>
        <v/>
      </c>
      <c r="C632" vm="8359">
        <f>IFERROR(CUBEVALUE("BIDB",$A632,C$3,C$2,'Præsentationstabeller 1'!$C$2),0)</f>
        <v>2</v>
      </c>
      <c r="D632" vm="8812">
        <f>IFERROR(CUBEVALUE("BIDB",$A632,D$3,D$2,'Præsentationstabeller 1'!$C$2),0)</f>
        <v>5</v>
      </c>
      <c r="E632" vm="6976">
        <f>IFERROR(CUBEVALUE("BIDB",$A632,E$3,E$2,'Præsentationstabeller 1'!$C$2),0)</f>
        <v>6</v>
      </c>
      <c r="F632" vm="7811">
        <f>IFERROR(CUBEVALUE("BIDB",$A632,F$3,F$2,'Præsentationstabeller 1'!$C$2),0)</f>
        <v>3</v>
      </c>
      <c r="G632" vm="10561">
        <f>IFERROR(CUBEVALUE("BIDB",$A632,G$3,G$2,'Præsentationstabeller 1'!$C$2),0)</f>
        <v>9</v>
      </c>
      <c r="H632" t="str" vm="6560">
        <f>IFERROR(CUBEVALUE("BIDB",$A632,H$3,H$2,'Præsentationstabeller 1'!$C$2),0)</f>
        <v/>
      </c>
      <c r="I632" t="str" vm="8327">
        <f>IFERROR(CUBEVALUE("BIDB",$A632,I$3,I$2,'Præsentationstabeller 1'!$C$2),0)</f>
        <v/>
      </c>
      <c r="J632" t="str" vm="6552">
        <f>IFERROR(CUBEVALUE("BIDB",$A632,J$3,J$2,'Præsentationstabeller 1'!$C$2),0)</f>
        <v/>
      </c>
      <c r="K632" t="str" vm="16856">
        <f>IFERROR(CUBEVALUE("BIDB",$A632,K$3,K$2,'Præsentationstabeller 1'!$C$2),0)</f>
        <v/>
      </c>
      <c r="L632" t="str" vm="15384">
        <f>IFERROR(CUBEVALUE("BIDB",$A632,L$3,L$2,'Præsentationstabeller 1'!$C$2),0)</f>
        <v/>
      </c>
    </row>
    <row r="633" spans="1:12" x14ac:dyDescent="0.3">
      <c r="A633" s="123" t="str" vm="703">
        <f>CUBEMEMBER("BIDB","[Dimittenddato].[Dimittenddato].&amp;[2013-08-17T00:00:00]")</f>
        <v>17-08-2013</v>
      </c>
      <c r="B633" t="str" vm="10443">
        <f>IFERROR(CUBEVALUE("BIDB",$A633,B$3,'Præsentationstabeller 1'!$C$2),0)</f>
        <v/>
      </c>
      <c r="C633" t="str" vm="15618">
        <f>IFERROR(CUBEVALUE("BIDB",$A633,C$3,C$2,'Præsentationstabeller 1'!$C$2),0)</f>
        <v/>
      </c>
      <c r="D633" t="str" vm="10050">
        <f>IFERROR(CUBEVALUE("BIDB",$A633,D$3,D$2,'Præsentationstabeller 1'!$C$2),0)</f>
        <v/>
      </c>
      <c r="E633" t="str" vm="10238">
        <f>IFERROR(CUBEVALUE("BIDB",$A633,E$3,E$2,'Præsentationstabeller 1'!$C$2),0)</f>
        <v/>
      </c>
      <c r="F633" t="str" vm="12987">
        <f>IFERROR(CUBEVALUE("BIDB",$A633,F$3,F$2,'Præsentationstabeller 1'!$C$2),0)</f>
        <v/>
      </c>
      <c r="G633" t="str" vm="6936">
        <f>IFERROR(CUBEVALUE("BIDB",$A633,G$3,G$2,'Præsentationstabeller 1'!$C$2),0)</f>
        <v/>
      </c>
      <c r="H633" t="str" vm="8057">
        <f>IFERROR(CUBEVALUE("BIDB",$A633,H$3,H$2,'Præsentationstabeller 1'!$C$2),0)</f>
        <v/>
      </c>
      <c r="I633" t="str" vm="12267">
        <f>IFERROR(CUBEVALUE("BIDB",$A633,I$3,I$2,'Præsentationstabeller 1'!$C$2),0)</f>
        <v/>
      </c>
      <c r="J633" t="str" vm="7827">
        <f>IFERROR(CUBEVALUE("BIDB",$A633,J$3,J$2,'Præsentationstabeller 1'!$C$2),0)</f>
        <v/>
      </c>
      <c r="K633" t="str" vm="5923">
        <f>IFERROR(CUBEVALUE("BIDB",$A633,K$3,K$2,'Præsentationstabeller 1'!$C$2),0)</f>
        <v/>
      </c>
      <c r="L633" t="str" vm="6517">
        <f>IFERROR(CUBEVALUE("BIDB",$A633,L$3,L$2,'Præsentationstabeller 1'!$C$2),0)</f>
        <v/>
      </c>
    </row>
    <row r="634" spans="1:12" x14ac:dyDescent="0.3">
      <c r="A634" s="123" t="str" vm="702">
        <f>CUBEMEMBER("BIDB","[Dimittenddato].[Dimittenddato].&amp;[2013-08-18T00:00:00]")</f>
        <v>18-08-2013</v>
      </c>
      <c r="B634" t="str" vm="6944">
        <f>IFERROR(CUBEVALUE("BIDB",$A634,B$3,'Præsentationstabeller 1'!$C$2),0)</f>
        <v/>
      </c>
      <c r="C634" t="str" vm="7784">
        <f>IFERROR(CUBEVALUE("BIDB",$A634,C$3,C$2,'Præsentationstabeller 1'!$C$2),0)</f>
        <v/>
      </c>
      <c r="D634" t="str" vm="10286">
        <f>IFERROR(CUBEVALUE("BIDB",$A634,D$3,D$2,'Præsentationstabeller 1'!$C$2),0)</f>
        <v/>
      </c>
      <c r="E634" t="str" vm="11184">
        <f>IFERROR(CUBEVALUE("BIDB",$A634,E$3,E$2,'Præsentationstabeller 1'!$C$2),0)</f>
        <v/>
      </c>
      <c r="F634" t="str" vm="8121">
        <f>IFERROR(CUBEVALUE("BIDB",$A634,F$3,F$2,'Præsentationstabeller 1'!$C$2),0)</f>
        <v/>
      </c>
      <c r="G634" t="str" vm="6523">
        <f>IFERROR(CUBEVALUE("BIDB",$A634,G$3,G$2,'Præsentationstabeller 1'!$C$2),0)</f>
        <v/>
      </c>
      <c r="H634" t="str" vm="8500">
        <f>IFERROR(CUBEVALUE("BIDB",$A634,H$3,H$2,'Præsentationstabeller 1'!$C$2),0)</f>
        <v/>
      </c>
      <c r="I634" t="str" vm="6760">
        <f>IFERROR(CUBEVALUE("BIDB",$A634,I$3,I$2,'Præsentationstabeller 1'!$C$2),0)</f>
        <v/>
      </c>
      <c r="J634" t="str" vm="12187">
        <f>IFERROR(CUBEVALUE("BIDB",$A634,J$3,J$2,'Præsentationstabeller 1'!$C$2),0)</f>
        <v/>
      </c>
      <c r="K634" t="str" vm="8129">
        <f>IFERROR(CUBEVALUE("BIDB",$A634,K$3,K$2,'Præsentationstabeller 1'!$C$2),0)</f>
        <v/>
      </c>
      <c r="L634" t="str" vm="7819">
        <f>IFERROR(CUBEVALUE("BIDB",$A634,L$3,L$2,'Præsentationstabeller 1'!$C$2),0)</f>
        <v/>
      </c>
    </row>
    <row r="635" spans="1:12" x14ac:dyDescent="0.3">
      <c r="A635" s="123" t="str" vm="701">
        <f>CUBEMEMBER("BIDB","[Dimittenddato].[Dimittenddato].&amp;[2013-08-19T00:00:00]")</f>
        <v>19-08-2013</v>
      </c>
      <c r="B635" t="str" vm="8642">
        <f>IFERROR(CUBEVALUE("BIDB",$A635,B$3,'Præsentationstabeller 1'!$C$2),0)</f>
        <v/>
      </c>
      <c r="C635" vm="8502">
        <f>IFERROR(CUBEVALUE("BIDB",$A635,C$3,C$2,'Præsentationstabeller 1'!$C$2),0)</f>
        <v>1</v>
      </c>
      <c r="D635" vm="10438">
        <f>IFERROR(CUBEVALUE("BIDB",$A635,D$3,D$2,'Præsentationstabeller 1'!$C$2),0)</f>
        <v>5</v>
      </c>
      <c r="E635" vm="8982">
        <f>IFERROR(CUBEVALUE("BIDB",$A635,E$3,E$2,'Præsentationstabeller 1'!$C$2),0)</f>
        <v>1</v>
      </c>
      <c r="F635" vm="8072">
        <f>IFERROR(CUBEVALUE("BIDB",$A635,F$3,F$2,'Præsentationstabeller 1'!$C$2),0)</f>
        <v>2</v>
      </c>
      <c r="G635" vm="12252">
        <f>IFERROR(CUBEVALUE("BIDB",$A635,G$3,G$2,'Præsentationstabeller 1'!$C$2),0)</f>
        <v>3</v>
      </c>
      <c r="H635" t="str" vm="9440">
        <f>IFERROR(CUBEVALUE("BIDB",$A635,H$3,H$2,'Præsentationstabeller 1'!$C$2),0)</f>
        <v/>
      </c>
      <c r="I635" t="str" vm="7790">
        <f>IFERROR(CUBEVALUE("BIDB",$A635,I$3,I$2,'Præsentationstabeller 1'!$C$2),0)</f>
        <v/>
      </c>
      <c r="J635" t="str" vm="7180">
        <f>IFERROR(CUBEVALUE("BIDB",$A635,J$3,J$2,'Præsentationstabeller 1'!$C$2),0)</f>
        <v/>
      </c>
      <c r="K635" vm="8097">
        <f>IFERROR(CUBEVALUE("BIDB",$A635,K$3,K$2,'Præsentationstabeller 1'!$C$2),0)</f>
        <v>0.52</v>
      </c>
      <c r="L635" vm="8504">
        <f>IFERROR(CUBEVALUE("BIDB",$A635,L$3,L$2,'Præsentationstabeller 1'!$C$2),0)</f>
        <v>0.52</v>
      </c>
    </row>
    <row r="636" spans="1:12" x14ac:dyDescent="0.3">
      <c r="A636" s="123" t="str" vm="700">
        <f>CUBEMEMBER("BIDB","[Dimittenddato].[Dimittenddato].&amp;[2013-08-20T00:00:00]")</f>
        <v>20-08-2013</v>
      </c>
      <c r="B636" t="str" vm="13737">
        <f>IFERROR(CUBEVALUE("BIDB",$A636,B$3,'Præsentationstabeller 1'!$C$2),0)</f>
        <v/>
      </c>
      <c r="C636" t="str" vm="7210">
        <f>IFERROR(CUBEVALUE("BIDB",$A636,C$3,C$2,'Præsentationstabeller 1'!$C$2),0)</f>
        <v/>
      </c>
      <c r="D636" vm="6762">
        <f>IFERROR(CUBEVALUE("BIDB",$A636,D$3,D$2,'Præsentationstabeller 1'!$C$2),0)</f>
        <v>3</v>
      </c>
      <c r="E636" vm="7188">
        <f>IFERROR(CUBEVALUE("BIDB",$A636,E$3,E$2,'Præsentationstabeller 1'!$C$2),0)</f>
        <v>5</v>
      </c>
      <c r="F636" vm="10436">
        <f>IFERROR(CUBEVALUE("BIDB",$A636,F$3,F$2,'Præsentationstabeller 1'!$C$2),0)</f>
        <v>3</v>
      </c>
      <c r="G636" vm="11608">
        <f>IFERROR(CUBEVALUE("BIDB",$A636,G$3,G$2,'Præsentationstabeller 1'!$C$2),0)</f>
        <v>8</v>
      </c>
      <c r="H636" t="str" vm="7742">
        <f>IFERROR(CUBEVALUE("BIDB",$A636,H$3,H$2,'Præsentationstabeller 1'!$C$2),0)</f>
        <v/>
      </c>
      <c r="I636" t="str" vm="7710">
        <f>IFERROR(CUBEVALUE("BIDB",$A636,I$3,I$2,'Præsentationstabeller 1'!$C$2),0)</f>
        <v/>
      </c>
      <c r="J636" t="str" vm="11155">
        <f>IFERROR(CUBEVALUE("BIDB",$A636,J$3,J$2,'Præsentationstabeller 1'!$C$2),0)</f>
        <v/>
      </c>
      <c r="K636" vm="5534">
        <f>IFERROR(CUBEVALUE("BIDB",$A636,K$3,K$2,'Præsentationstabeller 1'!$C$2),0)</f>
        <v>0.8</v>
      </c>
      <c r="L636" vm="6323">
        <f>IFERROR(CUBEVALUE("BIDB",$A636,L$3,L$2,'Præsentationstabeller 1'!$C$2),0)</f>
        <v>0.8</v>
      </c>
    </row>
    <row r="637" spans="1:12" x14ac:dyDescent="0.3">
      <c r="A637" s="123" t="str" vm="699">
        <f>CUBEMEMBER("BIDB","[Dimittenddato].[Dimittenddato].&amp;[2013-08-21T00:00:00]")</f>
        <v>21-08-2013</v>
      </c>
      <c r="B637" t="str" vm="5660">
        <f>IFERROR(CUBEVALUE("BIDB",$A637,B$3,'Præsentationstabeller 1'!$C$2),0)</f>
        <v/>
      </c>
      <c r="C637" t="str" vm="17135">
        <f>IFERROR(CUBEVALUE("BIDB",$A637,C$3,C$2,'Præsentationstabeller 1'!$C$2),0)</f>
        <v/>
      </c>
      <c r="D637" vm="7590">
        <f>IFERROR(CUBEVALUE("BIDB",$A637,D$3,D$2,'Præsentationstabeller 1'!$C$2),0)</f>
        <v>1</v>
      </c>
      <c r="E637" vm="6305">
        <f>IFERROR(CUBEVALUE("BIDB",$A637,E$3,E$2,'Præsentationstabeller 1'!$C$2),0)</f>
        <v>8</v>
      </c>
      <c r="F637" vm="5542">
        <f>IFERROR(CUBEVALUE("BIDB",$A637,F$3,F$2,'Præsentationstabeller 1'!$C$2),0)</f>
        <v>1</v>
      </c>
      <c r="G637" vm="6714">
        <f>IFERROR(CUBEVALUE("BIDB",$A637,G$3,G$2,'Præsentationstabeller 1'!$C$2),0)</f>
        <v>9</v>
      </c>
      <c r="H637" t="str" vm="10697">
        <f>IFERROR(CUBEVALUE("BIDB",$A637,H$3,H$2,'Præsentationstabeller 1'!$C$2),0)</f>
        <v/>
      </c>
      <c r="I637" t="str" vm="16881">
        <f>IFERROR(CUBEVALUE("BIDB",$A637,I$3,I$2,'Præsentationstabeller 1'!$C$2),0)</f>
        <v/>
      </c>
      <c r="J637" t="str" vm="8539">
        <f>IFERROR(CUBEVALUE("BIDB",$A637,J$3,J$2,'Præsentationstabeller 1'!$C$2),0)</f>
        <v/>
      </c>
      <c r="K637" t="str" vm="8006">
        <f>IFERROR(CUBEVALUE("BIDB",$A637,K$3,K$2,'Præsentationstabeller 1'!$C$2),0)</f>
        <v/>
      </c>
      <c r="L637" t="str" vm="6289">
        <f>IFERROR(CUBEVALUE("BIDB",$A637,L$3,L$2,'Præsentationstabeller 1'!$C$2),0)</f>
        <v/>
      </c>
    </row>
    <row r="638" spans="1:12" x14ac:dyDescent="0.3">
      <c r="A638" s="123" t="str" vm="698">
        <f>CUBEMEMBER("BIDB","[Dimittenddato].[Dimittenddato].&amp;[2013-08-22T00:00:00]")</f>
        <v>22-08-2013</v>
      </c>
      <c r="B638" t="str" vm="6722">
        <f>IFERROR(CUBEVALUE("BIDB",$A638,B$3,'Præsentationstabeller 1'!$C$2),0)</f>
        <v/>
      </c>
      <c r="C638" t="str" vm="7322">
        <f>IFERROR(CUBEVALUE("BIDB",$A638,C$3,C$2,'Præsentationstabeller 1'!$C$2),0)</f>
        <v/>
      </c>
      <c r="D638" vm="9351">
        <f>IFERROR(CUBEVALUE("BIDB",$A638,D$3,D$2,'Præsentationstabeller 1'!$C$2),0)</f>
        <v>3</v>
      </c>
      <c r="E638" vm="7954">
        <f>IFERROR(CUBEVALUE("BIDB",$A638,E$3,E$2,'Præsentationstabeller 1'!$C$2),0)</f>
        <v>6</v>
      </c>
      <c r="F638" vm="6571">
        <f>IFERROR(CUBEVALUE("BIDB",$A638,F$3,F$2,'Præsentationstabeller 1'!$C$2),0)</f>
        <v>1</v>
      </c>
      <c r="G638" vm="6297">
        <f>IFERROR(CUBEVALUE("BIDB",$A638,G$3,G$2,'Præsentationstabeller 1'!$C$2),0)</f>
        <v>7</v>
      </c>
      <c r="H638" t="str" vm="10279">
        <f>IFERROR(CUBEVALUE("BIDB",$A638,H$3,H$2,'Præsentationstabeller 1'!$C$2),0)</f>
        <v/>
      </c>
      <c r="I638" t="str" vm="7153">
        <f>IFERROR(CUBEVALUE("BIDB",$A638,I$3,I$2,'Præsentationstabeller 1'!$C$2),0)</f>
        <v/>
      </c>
      <c r="J638" t="str" vm="11717">
        <f>IFERROR(CUBEVALUE("BIDB",$A638,J$3,J$2,'Præsentationstabeller 1'!$C$2),0)</f>
        <v/>
      </c>
      <c r="K638" t="str" vm="6603">
        <f>IFERROR(CUBEVALUE("BIDB",$A638,K$3,K$2,'Præsentationstabeller 1'!$C$2),0)</f>
        <v/>
      </c>
      <c r="L638" t="str" vm="11153">
        <f>IFERROR(CUBEVALUE("BIDB",$A638,L$3,L$2,'Præsentationstabeller 1'!$C$2),0)</f>
        <v/>
      </c>
    </row>
    <row r="639" spans="1:12" x14ac:dyDescent="0.3">
      <c r="A639" s="123" t="str" vm="697">
        <f>CUBEMEMBER("BIDB","[Dimittenddato].[Dimittenddato].&amp;[2013-08-23T00:00:00]")</f>
        <v>23-08-2013</v>
      </c>
      <c r="B639" t="str" vm="8436">
        <f>IFERROR(CUBEVALUE("BIDB",$A639,B$3,'Præsentationstabeller 1'!$C$2),0)</f>
        <v/>
      </c>
      <c r="C639" t="str" vm="9276">
        <f>IFERROR(CUBEVALUE("BIDB",$A639,C$3,C$2,'Præsentationstabeller 1'!$C$2),0)</f>
        <v/>
      </c>
      <c r="D639" vm="6682">
        <f>IFERROR(CUBEVALUE("BIDB",$A639,D$3,D$2,'Præsentationstabeller 1'!$C$2),0)</f>
        <v>4</v>
      </c>
      <c r="E639" vm="8397">
        <f>IFERROR(CUBEVALUE("BIDB",$A639,E$3,E$2,'Præsentationstabeller 1'!$C$2),0)</f>
        <v>11</v>
      </c>
      <c r="F639" vm="13225">
        <f>IFERROR(CUBEVALUE("BIDB",$A639,F$3,F$2,'Præsentationstabeller 1'!$C$2),0)</f>
        <v>0</v>
      </c>
      <c r="G639" vm="7338">
        <f>IFERROR(CUBEVALUE("BIDB",$A639,G$3,G$2,'Præsentationstabeller 1'!$C$2),0)</f>
        <v>11</v>
      </c>
      <c r="H639" t="str" vm="5668">
        <f>IFERROR(CUBEVALUE("BIDB",$A639,H$3,H$2,'Præsentationstabeller 1'!$C$2),0)</f>
        <v/>
      </c>
      <c r="I639" vm="7330">
        <f>IFERROR(CUBEVALUE("BIDB",$A639,I$3,I$2,'Præsentationstabeller 1'!$C$2),0)</f>
        <v>0.55999999999999994</v>
      </c>
      <c r="J639" t="str" vm="9125">
        <f>IFERROR(CUBEVALUE("BIDB",$A639,J$3,J$2,'Præsentationstabeller 1'!$C$2),0)</f>
        <v/>
      </c>
      <c r="K639" t="str" vm="12865">
        <f>IFERROR(CUBEVALUE("BIDB",$A639,K$3,K$2,'Præsentationstabeller 1'!$C$2),0)</f>
        <v/>
      </c>
      <c r="L639" t="str" vm="14187">
        <f>IFERROR(CUBEVALUE("BIDB",$A639,L$3,L$2,'Præsentationstabeller 1'!$C$2),0)</f>
        <v/>
      </c>
    </row>
    <row r="640" spans="1:12" x14ac:dyDescent="0.3">
      <c r="A640" s="123" t="str" vm="696">
        <f>CUBEMEMBER("BIDB","[Dimittenddato].[Dimittenddato].&amp;[2013-08-24T00:00:00]")</f>
        <v>24-08-2013</v>
      </c>
      <c r="B640" t="str" vm="16213">
        <f>IFERROR(CUBEVALUE("BIDB",$A640,B$3,'Præsentationstabeller 1'!$C$2),0)</f>
        <v/>
      </c>
      <c r="C640" t="str" vm="7838">
        <f>IFERROR(CUBEVALUE("BIDB",$A640,C$3,C$2,'Præsentationstabeller 1'!$C$2),0)</f>
        <v/>
      </c>
      <c r="D640" t="str" vm="7159">
        <f>IFERROR(CUBEVALUE("BIDB",$A640,D$3,D$2,'Præsentationstabeller 1'!$C$2),0)</f>
        <v/>
      </c>
      <c r="E640" t="str" vm="9127">
        <f>IFERROR(CUBEVALUE("BIDB",$A640,E$3,E$2,'Præsentationstabeller 1'!$C$2),0)</f>
        <v/>
      </c>
      <c r="F640" t="str" vm="8261">
        <f>IFERROR(CUBEVALUE("BIDB",$A640,F$3,F$2,'Præsentationstabeller 1'!$C$2),0)</f>
        <v/>
      </c>
      <c r="G640" t="str" vm="7388">
        <f>IFERROR(CUBEVALUE("BIDB",$A640,G$3,G$2,'Præsentationstabeller 1'!$C$2),0)</f>
        <v/>
      </c>
      <c r="H640" t="str" vm="7870">
        <f>IFERROR(CUBEVALUE("BIDB",$A640,H$3,H$2,'Præsentationstabeller 1'!$C$2),0)</f>
        <v/>
      </c>
      <c r="I640" t="str" vm="8401">
        <f>IFERROR(CUBEVALUE("BIDB",$A640,I$3,I$2,'Præsentationstabeller 1'!$C$2),0)</f>
        <v/>
      </c>
      <c r="J640" t="str" vm="6690">
        <f>IFERROR(CUBEVALUE("BIDB",$A640,J$3,J$2,'Præsentationstabeller 1'!$C$2),0)</f>
        <v/>
      </c>
      <c r="K640" t="str" vm="6262">
        <f>IFERROR(CUBEVALUE("BIDB",$A640,K$3,K$2,'Præsentationstabeller 1'!$C$2),0)</f>
        <v/>
      </c>
      <c r="L640" t="str" vm="11059">
        <f>IFERROR(CUBEVALUE("BIDB",$A640,L$3,L$2,'Præsentationstabeller 1'!$C$2),0)</f>
        <v/>
      </c>
    </row>
    <row r="641" spans="1:12" x14ac:dyDescent="0.3">
      <c r="A641" s="123" t="str" vm="695">
        <f>CUBEMEMBER("BIDB","[Dimittenddato].[Dimittenddato].&amp;[2013-08-25T00:00:00]")</f>
        <v>25-08-2013</v>
      </c>
      <c r="B641" t="str" vm="7295">
        <f>IFERROR(CUBEVALUE("BIDB",$A641,B$3,'Præsentationstabeller 1'!$C$2),0)</f>
        <v/>
      </c>
      <c r="C641" t="str" vm="7969">
        <f>IFERROR(CUBEVALUE("BIDB",$A641,C$3,C$2,'Præsentationstabeller 1'!$C$2),0)</f>
        <v/>
      </c>
      <c r="D641" t="str" vm="10847">
        <f>IFERROR(CUBEVALUE("BIDB",$A641,D$3,D$2,'Præsentationstabeller 1'!$C$2),0)</f>
        <v/>
      </c>
      <c r="E641" t="str" vm="8026">
        <f>IFERROR(CUBEVALUE("BIDB",$A641,E$3,E$2,'Præsentationstabeller 1'!$C$2),0)</f>
        <v/>
      </c>
      <c r="F641" t="str" vm="6268">
        <f>IFERROR(CUBEVALUE("BIDB",$A641,F$3,F$2,'Præsentationstabeller 1'!$C$2),0)</f>
        <v/>
      </c>
      <c r="G641" t="str" vm="7685">
        <f>IFERROR(CUBEVALUE("BIDB",$A641,G$3,G$2,'Præsentationstabeller 1'!$C$2),0)</f>
        <v/>
      </c>
      <c r="H641" t="str" vm="7994">
        <f>IFERROR(CUBEVALUE("BIDB",$A641,H$3,H$2,'Præsentationstabeller 1'!$C$2),0)</f>
        <v/>
      </c>
      <c r="I641" t="str" vm="7356">
        <f>IFERROR(CUBEVALUE("BIDB",$A641,I$3,I$2,'Præsentationstabeller 1'!$C$2),0)</f>
        <v/>
      </c>
      <c r="J641" t="str" vm="9647">
        <f>IFERROR(CUBEVALUE("BIDB",$A641,J$3,J$2,'Præsentationstabeller 1'!$C$2),0)</f>
        <v/>
      </c>
      <c r="K641" t="str" vm="8399">
        <f>IFERROR(CUBEVALUE("BIDB",$A641,K$3,K$2,'Præsentationstabeller 1'!$C$2),0)</f>
        <v/>
      </c>
      <c r="L641" t="str" vm="8225">
        <f>IFERROR(CUBEVALUE("BIDB",$A641,L$3,L$2,'Præsentationstabeller 1'!$C$2),0)</f>
        <v/>
      </c>
    </row>
    <row r="642" spans="1:12" x14ac:dyDescent="0.3">
      <c r="A642" s="123" t="str" vm="694">
        <f>CUBEMEMBER("BIDB","[Dimittenddato].[Dimittenddato].&amp;[2013-08-26T00:00:00]")</f>
        <v>26-08-2013</v>
      </c>
      <c r="B642" t="str" vm="7691">
        <f>IFERROR(CUBEVALUE("BIDB",$A642,B$3,'Præsentationstabeller 1'!$C$2),0)</f>
        <v/>
      </c>
      <c r="C642" t="str" vm="8193">
        <f>IFERROR(CUBEVALUE("BIDB",$A642,C$3,C$2,'Præsentationstabeller 1'!$C$2),0)</f>
        <v/>
      </c>
      <c r="D642" vm="16007">
        <f>IFERROR(CUBEVALUE("BIDB",$A642,D$3,D$2,'Præsentationstabeller 1'!$C$2),0)</f>
        <v>1</v>
      </c>
      <c r="E642" vm="12256">
        <f>IFERROR(CUBEVALUE("BIDB",$A642,E$3,E$2,'Præsentationstabeller 1'!$C$2),0)</f>
        <v>6</v>
      </c>
      <c r="F642" vm="8018">
        <f>IFERROR(CUBEVALUE("BIDB",$A642,F$3,F$2,'Præsentationstabeller 1'!$C$2),0)</f>
        <v>1</v>
      </c>
      <c r="G642" vm="8227">
        <f>IFERROR(CUBEVALUE("BIDB",$A642,G$3,G$2,'Præsentationstabeller 1'!$C$2),0)</f>
        <v>7</v>
      </c>
      <c r="H642" t="str" vm="5279">
        <f>IFERROR(CUBEVALUE("BIDB",$A642,H$3,H$2,'Præsentationstabeller 1'!$C$2),0)</f>
        <v/>
      </c>
      <c r="I642" t="str" vm="7052">
        <f>IFERROR(CUBEVALUE("BIDB",$A642,I$3,I$2,'Præsentationstabeller 1'!$C$2),0)</f>
        <v/>
      </c>
      <c r="J642" t="str" vm="13587">
        <f>IFERROR(CUBEVALUE("BIDB",$A642,J$3,J$2,'Præsentationstabeller 1'!$C$2),0)</f>
        <v/>
      </c>
      <c r="K642" t="str" vm="8676">
        <f>IFERROR(CUBEVALUE("BIDB",$A642,K$3,K$2,'Præsentationstabeller 1'!$C$2),0)</f>
        <v/>
      </c>
      <c r="L642" t="str" vm="8263">
        <f>IFERROR(CUBEVALUE("BIDB",$A642,L$3,L$2,'Præsentationstabeller 1'!$C$2),0)</f>
        <v/>
      </c>
    </row>
    <row r="643" spans="1:12" x14ac:dyDescent="0.3">
      <c r="A643" s="123" t="str" vm="693">
        <f>CUBEMEMBER("BIDB","[Dimittenddato].[Dimittenddato].&amp;[2013-08-27T00:00:00]")</f>
        <v>27-08-2013</v>
      </c>
      <c r="B643" t="str" vm="11429">
        <f>IFERROR(CUBEVALUE("BIDB",$A643,B$3,'Præsentationstabeller 1'!$C$2),0)</f>
        <v/>
      </c>
      <c r="C643" vm="8153">
        <f>IFERROR(CUBEVALUE("BIDB",$A643,C$3,C$2,'Præsentationstabeller 1'!$C$2),0)</f>
        <v>1</v>
      </c>
      <c r="D643" vm="6460">
        <f>IFERROR(CUBEVALUE("BIDB",$A643,D$3,D$2,'Præsentationstabeller 1'!$C$2),0)</f>
        <v>2</v>
      </c>
      <c r="E643" vm="7068">
        <f>IFERROR(CUBEVALUE("BIDB",$A643,E$3,E$2,'Præsentationstabeller 1'!$C$2),0)</f>
        <v>4</v>
      </c>
      <c r="F643" vm="5406">
        <f>IFERROR(CUBEVALUE("BIDB",$A643,F$3,F$2,'Præsentationstabeller 1'!$C$2),0)</f>
        <v>2</v>
      </c>
      <c r="G643" vm="6933">
        <f>IFERROR(CUBEVALUE("BIDB",$A643,G$3,G$2,'Præsentationstabeller 1'!$C$2),0)</f>
        <v>6</v>
      </c>
      <c r="H643" t="str" vm="7301">
        <f>IFERROR(CUBEVALUE("BIDB",$A643,H$3,H$2,'Præsentationstabeller 1'!$C$2),0)</f>
        <v/>
      </c>
      <c r="I643" t="str" vm="15135">
        <f>IFERROR(CUBEVALUE("BIDB",$A643,I$3,I$2,'Præsentationstabeller 1'!$C$2),0)</f>
        <v/>
      </c>
      <c r="J643" t="str" vm="5287">
        <f>IFERROR(CUBEVALUE("BIDB",$A643,J$3,J$2,'Præsentationstabeller 1'!$C$2),0)</f>
        <v/>
      </c>
      <c r="K643" vm="12817">
        <f>IFERROR(CUBEVALUE("BIDB",$A643,K$3,K$2,'Præsentationstabeller 1'!$C$2),0)</f>
        <v>1</v>
      </c>
      <c r="L643" vm="11440">
        <f>IFERROR(CUBEVALUE("BIDB",$A643,L$3,L$2,'Præsentationstabeller 1'!$C$2),0)</f>
        <v>1</v>
      </c>
    </row>
    <row r="644" spans="1:12" x14ac:dyDescent="0.3">
      <c r="A644" s="123" t="str" vm="692">
        <f>CUBEMEMBER("BIDB","[Dimittenddato].[Dimittenddato].&amp;[2013-08-28T00:00:00]")</f>
        <v>28-08-2013</v>
      </c>
      <c r="B644" t="str" vm="8573">
        <f>IFERROR(CUBEVALUE("BIDB",$A644,B$3,'Præsentationstabeller 1'!$C$2),0)</f>
        <v/>
      </c>
      <c r="C644" t="str" vm="7293">
        <f>IFERROR(CUBEVALUE("BIDB",$A644,C$3,C$2,'Præsentationstabeller 1'!$C$2),0)</f>
        <v/>
      </c>
      <c r="D644" vm="10181">
        <f>IFERROR(CUBEVALUE("BIDB",$A644,D$3,D$2,'Præsentationstabeller 1'!$C$2),0)</f>
        <v>1</v>
      </c>
      <c r="E644" vm="7221">
        <f>IFERROR(CUBEVALUE("BIDB",$A644,E$3,E$2,'Præsentationstabeller 1'!$C$2),0)</f>
        <v>6</v>
      </c>
      <c r="F644" t="str" vm="8788">
        <f>IFERROR(CUBEVALUE("BIDB",$A644,F$3,F$2,'Præsentationstabeller 1'!$C$2),0)</f>
        <v/>
      </c>
      <c r="G644" vm="7253">
        <f>IFERROR(CUBEVALUE("BIDB",$A644,G$3,G$2,'Præsentationstabeller 1'!$C$2),0)</f>
        <v>6</v>
      </c>
      <c r="H644" t="str" vm="8988">
        <f>IFERROR(CUBEVALUE("BIDB",$A644,H$3,H$2,'Præsentationstabeller 1'!$C$2),0)</f>
        <v/>
      </c>
      <c r="I644" t="str" vm="7013">
        <f>IFERROR(CUBEVALUE("BIDB",$A644,I$3,I$2,'Præsentationstabeller 1'!$C$2),0)</f>
        <v/>
      </c>
      <c r="J644" t="str" vm="7060">
        <f>IFERROR(CUBEVALUE("BIDB",$A644,J$3,J$2,'Præsentationstabeller 1'!$C$2),0)</f>
        <v/>
      </c>
      <c r="K644" t="str" vm="11812">
        <f>IFERROR(CUBEVALUE("BIDB",$A644,K$3,K$2,'Præsentationstabeller 1'!$C$2),0)</f>
        <v/>
      </c>
      <c r="L644" t="str" vm="8195">
        <f>IFERROR(CUBEVALUE("BIDB",$A644,L$3,L$2,'Præsentationstabeller 1'!$C$2),0)</f>
        <v/>
      </c>
    </row>
    <row r="645" spans="1:12" x14ac:dyDescent="0.3">
      <c r="A645" s="123" t="str" vm="691">
        <f>CUBEMEMBER("BIDB","[Dimittenddato].[Dimittenddato].&amp;[2013-08-29T00:00:00]")</f>
        <v>29-08-2013</v>
      </c>
      <c r="B645" t="str" vm="9533">
        <f>IFERROR(CUBEVALUE("BIDB",$A645,B$3,'Præsentationstabeller 1'!$C$2),0)</f>
        <v/>
      </c>
      <c r="C645" t="str" vm="5414">
        <f>IFERROR(CUBEVALUE("BIDB",$A645,C$3,C$2,'Præsentationstabeller 1'!$C$2),0)</f>
        <v/>
      </c>
      <c r="D645" vm="8899">
        <f>IFERROR(CUBEVALUE("BIDB",$A645,D$3,D$2,'Præsentationstabeller 1'!$C$2),0)</f>
        <v>4</v>
      </c>
      <c r="E645" vm="7901">
        <f>IFERROR(CUBEVALUE("BIDB",$A645,E$3,E$2,'Præsentationstabeller 1'!$C$2),0)</f>
        <v>12</v>
      </c>
      <c r="F645" t="str" vm="6428">
        <f>IFERROR(CUBEVALUE("BIDB",$A645,F$3,F$2,'Præsentationstabeller 1'!$C$2),0)</f>
        <v/>
      </c>
      <c r="G645" vm="7487">
        <f>IFERROR(CUBEVALUE("BIDB",$A645,G$3,G$2,'Præsentationstabeller 1'!$C$2),0)</f>
        <v>12</v>
      </c>
      <c r="H645" t="str" vm="8879">
        <f>IFERROR(CUBEVALUE("BIDB",$A645,H$3,H$2,'Præsentationstabeller 1'!$C$2),0)</f>
        <v/>
      </c>
      <c r="I645" t="str" vm="8804">
        <f>IFERROR(CUBEVALUE("BIDB",$A645,I$3,I$2,'Præsentationstabeller 1'!$C$2),0)</f>
        <v/>
      </c>
      <c r="J645" vm="7177">
        <f>IFERROR(CUBEVALUE("BIDB",$A645,J$3,J$2,'Præsentationstabeller 1'!$C$2),0)</f>
        <v>1</v>
      </c>
      <c r="K645" t="str" vm="11677">
        <f>IFERROR(CUBEVALUE("BIDB",$A645,K$3,K$2,'Præsentationstabeller 1'!$C$2),0)</f>
        <v/>
      </c>
      <c r="L645" vm="6468">
        <f>IFERROR(CUBEVALUE("BIDB",$A645,L$3,L$2,'Præsentationstabeller 1'!$C$2),0)</f>
        <v>1</v>
      </c>
    </row>
    <row r="646" spans="1:12" x14ac:dyDescent="0.3">
      <c r="A646" s="123" t="str" vm="690">
        <f>CUBEMEMBER("BIDB","[Dimittenddato].[Dimittenddato].&amp;[2013-08-30T00:00:00]")</f>
        <v>30-08-2013</v>
      </c>
      <c r="B646" t="str" vm="17078">
        <f>IFERROR(CUBEVALUE("BIDB",$A646,B$3,'Præsentationstabeller 1'!$C$2),0)</f>
        <v/>
      </c>
      <c r="C646" vm="8796">
        <f>IFERROR(CUBEVALUE("BIDB",$A646,C$3,C$2,'Præsentationstabeller 1'!$C$2),0)</f>
        <v>2</v>
      </c>
      <c r="D646" vm="10505">
        <f>IFERROR(CUBEVALUE("BIDB",$A646,D$3,D$2,'Præsentationstabeller 1'!$C$2),0)</f>
        <v>7</v>
      </c>
      <c r="E646" vm="7903">
        <f>IFERROR(CUBEVALUE("BIDB",$A646,E$3,E$2,'Præsentationstabeller 1'!$C$2),0)</f>
        <v>11</v>
      </c>
      <c r="F646" vm="8891">
        <f>IFERROR(CUBEVALUE("BIDB",$A646,F$3,F$2,'Præsentationstabeller 1'!$C$2),0)</f>
        <v>3</v>
      </c>
      <c r="G646" vm="8050">
        <f>IFERROR(CUBEVALUE("BIDB",$A646,G$3,G$2,'Præsentationstabeller 1'!$C$2),0)</f>
        <v>14</v>
      </c>
      <c r="H646" t="str" vm="9022">
        <f>IFERROR(CUBEVALUE("BIDB",$A646,H$3,H$2,'Præsentationstabeller 1'!$C$2),0)</f>
        <v/>
      </c>
      <c r="I646" t="str" vm="6348">
        <f>IFERROR(CUBEVALUE("BIDB",$A646,I$3,I$2,'Præsentationstabeller 1'!$C$2),0)</f>
        <v/>
      </c>
      <c r="J646" t="str" vm="10148">
        <f>IFERROR(CUBEVALUE("BIDB",$A646,J$3,J$2,'Præsentationstabeller 1'!$C$2),0)</f>
        <v/>
      </c>
      <c r="K646" vm="5531">
        <f>IFERROR(CUBEVALUE("BIDB",$A646,K$3,K$2,'Præsentationstabeller 1'!$C$2),0)</f>
        <v>1</v>
      </c>
      <c r="L646" vm="10692">
        <f>IFERROR(CUBEVALUE("BIDB",$A646,L$3,L$2,'Præsentationstabeller 1'!$C$2),0)</f>
        <v>1</v>
      </c>
    </row>
    <row r="647" spans="1:12" x14ac:dyDescent="0.3">
      <c r="A647" s="123" t="str" vm="689">
        <f>CUBEMEMBER("BIDB","[Dimittenddato].[Dimittenddato].&amp;[2013-08-31T00:00:00]")</f>
        <v>31-08-2013</v>
      </c>
      <c r="B647" t="str" vm="5657">
        <f>IFERROR(CUBEVALUE("BIDB",$A647,B$3,'Præsentationstabeller 1'!$C$2),0)</f>
        <v/>
      </c>
      <c r="C647" t="str" vm="6436">
        <f>IFERROR(CUBEVALUE("BIDB",$A647,C$3,C$2,'Præsentationstabeller 1'!$C$2),0)</f>
        <v/>
      </c>
      <c r="D647" vm="7643">
        <f>IFERROR(CUBEVALUE("BIDB",$A647,D$3,D$2,'Præsentationstabeller 1'!$C$2),0)</f>
        <v>2</v>
      </c>
      <c r="E647" vm="9024">
        <f>IFERROR(CUBEVALUE("BIDB",$A647,E$3,E$2,'Præsentationstabeller 1'!$C$2),0)</f>
        <v>2</v>
      </c>
      <c r="F647" t="str" vm="12849">
        <f>IFERROR(CUBEVALUE("BIDB",$A647,F$3,F$2,'Præsentationstabeller 1'!$C$2),0)</f>
        <v/>
      </c>
      <c r="G647" vm="6711">
        <f>IFERROR(CUBEVALUE("BIDB",$A647,G$3,G$2,'Præsentationstabeller 1'!$C$2),0)</f>
        <v>2</v>
      </c>
      <c r="H647" t="str" vm="6898">
        <f>IFERROR(CUBEVALUE("BIDB",$A647,H$3,H$2,'Præsentationstabeller 1'!$C$2),0)</f>
        <v/>
      </c>
      <c r="I647" t="str" vm="10149">
        <f>IFERROR(CUBEVALUE("BIDB",$A647,I$3,I$2,'Præsentationstabeller 1'!$C$2),0)</f>
        <v/>
      </c>
      <c r="J647" t="str" vm="9082">
        <f>IFERROR(CUBEVALUE("BIDB",$A647,J$3,J$2,'Præsentationstabeller 1'!$C$2),0)</f>
        <v/>
      </c>
      <c r="K647" t="str" vm="6316">
        <f>IFERROR(CUBEVALUE("BIDB",$A647,K$3,K$2,'Præsentationstabeller 1'!$C$2),0)</f>
        <v/>
      </c>
      <c r="L647" t="str" vm="6286">
        <f>IFERROR(CUBEVALUE("BIDB",$A647,L$3,L$2,'Præsentationstabeller 1'!$C$2),0)</f>
        <v/>
      </c>
    </row>
    <row r="648" spans="1:12" x14ac:dyDescent="0.3">
      <c r="A648" s="123" t="str" vm="688">
        <f>CUBEMEMBER("BIDB","[Dimittenddato].[Dimittenddato].&amp;[2014-06-01T00:00:00]")</f>
        <v>01-06-2014</v>
      </c>
      <c r="B648" t="str" vm="7947">
        <f>IFERROR(CUBEVALUE("BIDB",$A648,B$3,'Præsentationstabeller 1'!$C$2),0)</f>
        <v/>
      </c>
      <c r="C648" t="str" vm="7319">
        <f>IFERROR(CUBEVALUE("BIDB",$A648,C$3,C$2,'Præsentationstabeller 1'!$C$2),0)</f>
        <v/>
      </c>
      <c r="D648" vm="12702">
        <f>IFERROR(CUBEVALUE("BIDB",$A648,D$3,D$2,'Præsentationstabeller 1'!$C$2),0)</f>
        <v>1</v>
      </c>
      <c r="E648" vm="6904">
        <f>IFERROR(CUBEVALUE("BIDB",$A648,E$3,E$2,'Præsentationstabeller 1'!$C$2),0)</f>
        <v>0</v>
      </c>
      <c r="F648" t="str" vm="12964">
        <f>IFERROR(CUBEVALUE("BIDB",$A648,F$3,F$2,'Præsentationstabeller 1'!$C$2),0)</f>
        <v/>
      </c>
      <c r="G648" vm="11152">
        <f>IFERROR(CUBEVALUE("BIDB",$A648,G$3,G$2,'Præsentationstabeller 1'!$C$2),0)</f>
        <v>0</v>
      </c>
      <c r="H648" t="str" vm="10996">
        <f>IFERROR(CUBEVALUE("BIDB",$A648,H$3,H$2,'Præsentationstabeller 1'!$C$2),0)</f>
        <v/>
      </c>
      <c r="I648" t="str" vm="6896">
        <f>IFERROR(CUBEVALUE("BIDB",$A648,I$3,I$2,'Præsentationstabeller 1'!$C$2),0)</f>
        <v/>
      </c>
      <c r="J648" t="str" vm="7196">
        <f>IFERROR(CUBEVALUE("BIDB",$A648,J$3,J$2,'Præsentationstabeller 1'!$C$2),0)</f>
        <v/>
      </c>
      <c r="K648" t="str" vm="11408">
        <f>IFERROR(CUBEVALUE("BIDB",$A648,K$3,K$2,'Præsentationstabeller 1'!$C$2),0)</f>
        <v/>
      </c>
      <c r="L648" t="str" vm="6852">
        <f>IFERROR(CUBEVALUE("BIDB",$A648,L$3,L$2,'Præsentationstabeller 1'!$C$2),0)</f>
        <v/>
      </c>
    </row>
    <row r="649" spans="1:12" x14ac:dyDescent="0.3">
      <c r="A649" s="123" t="str" vm="687">
        <f>CUBEMEMBER("BIDB","[Dimittenddato].[Dimittenddato].&amp;[2014-06-02T00:00:00]")</f>
        <v>02-06-2014</v>
      </c>
      <c r="B649" t="str" vm="8187">
        <f>IFERROR(CUBEVALUE("BIDB",$A649,B$3,'Præsentationstabeller 1'!$C$2),0)</f>
        <v/>
      </c>
      <c r="C649" t="str" vm="6042">
        <f>IFERROR(CUBEVALUE("BIDB",$A649,C$3,C$2,'Præsentationstabeller 1'!$C$2),0)</f>
        <v/>
      </c>
      <c r="D649" vm="6679">
        <f>IFERROR(CUBEVALUE("BIDB",$A649,D$3,D$2,'Præsentationstabeller 1'!$C$2),0)</f>
        <v>1</v>
      </c>
      <c r="E649" vm="8885">
        <f>IFERROR(CUBEVALUE("BIDB",$A649,E$3,E$2,'Præsentationstabeller 1'!$C$2),0)</f>
        <v>3</v>
      </c>
      <c r="F649" vm="13566">
        <f>IFERROR(CUBEVALUE("BIDB",$A649,F$3,F$2,'Præsentationstabeller 1'!$C$2),0)</f>
        <v>0</v>
      </c>
      <c r="G649" vm="8105">
        <f>IFERROR(CUBEVALUE("BIDB",$A649,G$3,G$2,'Præsentationstabeller 1'!$C$2),0)</f>
        <v>3</v>
      </c>
      <c r="H649" t="str" vm="7428">
        <f>IFERROR(CUBEVALUE("BIDB",$A649,H$3,H$2,'Præsentationstabeller 1'!$C$2),0)</f>
        <v/>
      </c>
      <c r="I649" t="str" vm="6854">
        <f>IFERROR(CUBEVALUE("BIDB",$A649,I$3,I$2,'Præsentationstabeller 1'!$C$2),0)</f>
        <v/>
      </c>
      <c r="J649" t="str" vm="7658">
        <f>IFERROR(CUBEVALUE("BIDB",$A649,J$3,J$2,'Præsentationstabeller 1'!$C$2),0)</f>
        <v/>
      </c>
      <c r="K649" t="str" vm="7381">
        <f>IFERROR(CUBEVALUE("BIDB",$A649,K$3,K$2,'Præsentationstabeller 1'!$C$2),0)</f>
        <v/>
      </c>
      <c r="L649" t="str" vm="7025">
        <f>IFERROR(CUBEVALUE("BIDB",$A649,L$3,L$2,'Præsentationstabeller 1'!$C$2),0)</f>
        <v/>
      </c>
    </row>
    <row r="650" spans="1:12" x14ac:dyDescent="0.3">
      <c r="A650" s="123" t="str" vm="686">
        <f>CUBEMEMBER("BIDB","[Dimittenddato].[Dimittenddato].&amp;[2014-06-03T00:00:00]")</f>
        <v>03-06-2014</v>
      </c>
      <c r="B650" t="str" vm="11282">
        <f>IFERROR(CUBEVALUE("BIDB",$A650,B$3,'Præsentationstabeller 1'!$C$2),0)</f>
        <v/>
      </c>
      <c r="C650" t="str" vm="6798">
        <f>IFERROR(CUBEVALUE("BIDB",$A650,C$3,C$2,'Præsentationstabeller 1'!$C$2),0)</f>
        <v/>
      </c>
      <c r="D650" vm="7349">
        <f>IFERROR(CUBEVALUE("BIDB",$A650,D$3,D$2,'Præsentationstabeller 1'!$C$2),0)</f>
        <v>1</v>
      </c>
      <c r="E650" vm="6204">
        <f>IFERROR(CUBEVALUE("BIDB",$A650,E$3,E$2,'Præsentationstabeller 1'!$C$2),0)</f>
        <v>1</v>
      </c>
      <c r="F650" t="str" vm="8749">
        <f>IFERROR(CUBEVALUE("BIDB",$A650,F$3,F$2,'Præsentationstabeller 1'!$C$2),0)</f>
        <v/>
      </c>
      <c r="G650" vm="7202">
        <f>IFERROR(CUBEVALUE("BIDB",$A650,G$3,G$2,'Præsentationstabeller 1'!$C$2),0)</f>
        <v>1</v>
      </c>
      <c r="H650" t="str" vm="14464">
        <f>IFERROR(CUBEVALUE("BIDB",$A650,H$3,H$2,'Præsentationstabeller 1'!$C$2),0)</f>
        <v/>
      </c>
      <c r="I650" t="str" vm="7031">
        <f>IFERROR(CUBEVALUE("BIDB",$A650,I$3,I$2,'Præsentationstabeller 1'!$C$2),0)</f>
        <v/>
      </c>
      <c r="J650" t="str" vm="9849">
        <f>IFERROR(CUBEVALUE("BIDB",$A650,J$3,J$2,'Præsentationstabeller 1'!$C$2),0)</f>
        <v/>
      </c>
      <c r="K650" t="str" vm="7023">
        <f>IFERROR(CUBEVALUE("BIDB",$A650,K$3,K$2,'Præsentationstabeller 1'!$C$2),0)</f>
        <v/>
      </c>
      <c r="L650" t="str" vm="6820">
        <f>IFERROR(CUBEVALUE("BIDB",$A650,L$3,L$2,'Præsentationstabeller 1'!$C$2),0)</f>
        <v/>
      </c>
    </row>
    <row r="651" spans="1:12" x14ac:dyDescent="0.3">
      <c r="A651" s="123" t="str" vm="685">
        <f>CUBEMEMBER("BIDB","[Dimittenddato].[Dimittenddato].&amp;[2014-06-04T00:00:00]")</f>
        <v>04-06-2014</v>
      </c>
      <c r="B651" t="str" vm="8759">
        <f>IFERROR(CUBEVALUE("BIDB",$A651,B$3,'Præsentationstabeller 1'!$C$2),0)</f>
        <v/>
      </c>
      <c r="C651" vm="5151">
        <f>IFERROR(CUBEVALUE("BIDB",$A651,C$3,C$2,'Præsentationstabeller 1'!$C$2),0)</f>
        <v>1</v>
      </c>
      <c r="D651" vm="15963">
        <f>IFERROR(CUBEVALUE("BIDB",$A651,D$3,D$2,'Præsentationstabeller 1'!$C$2),0)</f>
        <v>5</v>
      </c>
      <c r="E651" vm="15973">
        <f>IFERROR(CUBEVALUE("BIDB",$A651,E$3,E$2,'Præsentationstabeller 1'!$C$2),0)</f>
        <v>6</v>
      </c>
      <c r="F651" t="str" vm="6814">
        <f>IFERROR(CUBEVALUE("BIDB",$A651,F$3,F$2,'Præsentationstabeller 1'!$C$2),0)</f>
        <v/>
      </c>
      <c r="G651" vm="7194">
        <f>IFERROR(CUBEVALUE("BIDB",$A651,G$3,G$2,'Præsentationstabeller 1'!$C$2),0)</f>
        <v>6</v>
      </c>
      <c r="H651" t="str" vm="9485">
        <f>IFERROR(CUBEVALUE("BIDB",$A651,H$3,H$2,'Præsentationstabeller 1'!$C$2),0)</f>
        <v/>
      </c>
      <c r="I651" t="str" vm="6822">
        <f>IFERROR(CUBEVALUE("BIDB",$A651,I$3,I$2,'Præsentationstabeller 1'!$C$2),0)</f>
        <v/>
      </c>
      <c r="J651" vm="12094">
        <f>IFERROR(CUBEVALUE("BIDB",$A651,J$3,J$2,'Præsentationstabeller 1'!$C$2),0)</f>
        <v>0.84000000000000008</v>
      </c>
      <c r="K651" t="str" vm="6050">
        <f>IFERROR(CUBEVALUE("BIDB",$A651,K$3,K$2,'Præsentationstabeller 1'!$C$2),0)</f>
        <v/>
      </c>
      <c r="L651" vm="8713">
        <f>IFERROR(CUBEVALUE("BIDB",$A651,L$3,L$2,'Præsentationstabeller 1'!$C$2),0)</f>
        <v>0.84000000000000008</v>
      </c>
    </row>
    <row r="652" spans="1:12" x14ac:dyDescent="0.3">
      <c r="A652" s="123" t="str" vm="684">
        <f>CUBEMEMBER("BIDB","[Dimittenddato].[Dimittenddato].&amp;[2014-06-05T00:00:00]")</f>
        <v>05-06-2014</v>
      </c>
      <c r="B652" t="str" vm="6212">
        <f>IFERROR(CUBEVALUE("BIDB",$A652,B$3,'Præsentationstabeller 1'!$C$2),0)</f>
        <v/>
      </c>
      <c r="C652" t="str" vm="8681">
        <f>IFERROR(CUBEVALUE("BIDB",$A652,C$3,C$2,'Præsentationstabeller 1'!$C$2),0)</f>
        <v/>
      </c>
      <c r="D652" t="str" vm="7923">
        <f>IFERROR(CUBEVALUE("BIDB",$A652,D$3,D$2,'Præsentationstabeller 1'!$C$2),0)</f>
        <v/>
      </c>
      <c r="E652" t="str" vm="8761">
        <f>IFERROR(CUBEVALUE("BIDB",$A652,E$3,E$2,'Præsentationstabeller 1'!$C$2),0)</f>
        <v/>
      </c>
      <c r="F652" t="str" vm="7915">
        <f>IFERROR(CUBEVALUE("BIDB",$A652,F$3,F$2,'Præsentationstabeller 1'!$C$2),0)</f>
        <v/>
      </c>
      <c r="G652" t="str" vm="8299">
        <f>IFERROR(CUBEVALUE("BIDB",$A652,G$3,G$2,'Præsentationstabeller 1'!$C$2),0)</f>
        <v/>
      </c>
      <c r="H652" t="str" vm="5276">
        <f>IFERROR(CUBEVALUE("BIDB",$A652,H$3,H$2,'Præsentationstabeller 1'!$C$2),0)</f>
        <v/>
      </c>
      <c r="I652" t="str" vm="7049">
        <f>IFERROR(CUBEVALUE("BIDB",$A652,I$3,I$2,'Præsentationstabeller 1'!$C$2),0)</f>
        <v/>
      </c>
      <c r="J652" t="str" vm="15966">
        <f>IFERROR(CUBEVALUE("BIDB",$A652,J$3,J$2,'Præsentationstabeller 1'!$C$2),0)</f>
        <v/>
      </c>
      <c r="K652" t="str" vm="6806">
        <f>IFERROR(CUBEVALUE("BIDB",$A652,K$3,K$2,'Præsentationstabeller 1'!$C$2),0)</f>
        <v/>
      </c>
      <c r="L652" t="str" vm="12481">
        <f>IFERROR(CUBEVALUE("BIDB",$A652,L$3,L$2,'Præsentationstabeller 1'!$C$2),0)</f>
        <v/>
      </c>
    </row>
    <row r="653" spans="1:12" x14ac:dyDescent="0.3">
      <c r="A653" s="123" t="str" vm="683">
        <f>CUBEMEMBER("BIDB","[Dimittenddato].[Dimittenddato].&amp;[2014-06-06T00:00:00]")</f>
        <v>06-06-2014</v>
      </c>
      <c r="B653" t="str" vm="10398">
        <f>IFERROR(CUBEVALUE("BIDB",$A653,B$3,'Præsentationstabeller 1'!$C$2),0)</f>
        <v/>
      </c>
      <c r="C653" t="str" vm="10274">
        <f>IFERROR(CUBEVALUE("BIDB",$A653,C$3,C$2,'Præsentationstabeller 1'!$C$2),0)</f>
        <v/>
      </c>
      <c r="D653" t="str" vm="6457">
        <f>IFERROR(CUBEVALUE("BIDB",$A653,D$3,D$2,'Præsentationstabeller 1'!$C$2),0)</f>
        <v/>
      </c>
      <c r="E653" vm="11168">
        <f>IFERROR(CUBEVALUE("BIDB",$A653,E$3,E$2,'Præsentationstabeller 1'!$C$2),0)</f>
        <v>5</v>
      </c>
      <c r="F653" vm="8315">
        <f>IFERROR(CUBEVALUE("BIDB",$A653,F$3,F$2,'Præsentationstabeller 1'!$C$2),0)</f>
        <v>1</v>
      </c>
      <c r="G653" vm="6172">
        <f>IFERROR(CUBEVALUE("BIDB",$A653,G$3,G$2,'Præsentationstabeller 1'!$C$2),0)</f>
        <v>6</v>
      </c>
      <c r="H653" t="str" vm="9994">
        <f>IFERROR(CUBEVALUE("BIDB",$A653,H$3,H$2,'Præsentationstabeller 1'!$C$2),0)</f>
        <v/>
      </c>
      <c r="I653" t="str" vm="8919">
        <f>IFERROR(CUBEVALUE("BIDB",$A653,I$3,I$2,'Præsentationstabeller 1'!$C$2),0)</f>
        <v/>
      </c>
      <c r="J653" t="str" vm="5403">
        <f>IFERROR(CUBEVALUE("BIDB",$A653,J$3,J$2,'Præsentationstabeller 1'!$C$2),0)</f>
        <v/>
      </c>
      <c r="K653" t="str" vm="5159">
        <f>IFERROR(CUBEVALUE("BIDB",$A653,K$3,K$2,'Præsentationstabeller 1'!$C$2),0)</f>
        <v/>
      </c>
      <c r="L653" t="str" vm="7671">
        <f>IFERROR(CUBEVALUE("BIDB",$A653,L$3,L$2,'Præsentationstabeller 1'!$C$2),0)</f>
        <v/>
      </c>
    </row>
    <row r="654" spans="1:12" x14ac:dyDescent="0.3">
      <c r="A654" s="123" t="str" vm="682">
        <f>CUBEMEMBER("BIDB","[Dimittenddato].[Dimittenddato].&amp;[2014-06-07T00:00:00]")</f>
        <v>07-06-2014</v>
      </c>
      <c r="B654" t="str" vm="8767">
        <f>IFERROR(CUBEVALUE("BIDB",$A654,B$3,'Præsentationstabeller 1'!$C$2),0)</f>
        <v/>
      </c>
      <c r="C654" t="str" vm="8470">
        <f>IFERROR(CUBEVALUE("BIDB",$A654,C$3,C$2,'Præsentationstabeller 1'!$C$2),0)</f>
        <v/>
      </c>
      <c r="D654" t="str" vm="8307">
        <f>IFERROR(CUBEVALUE("BIDB",$A654,D$3,D$2,'Præsentationstabeller 1'!$C$2),0)</f>
        <v/>
      </c>
      <c r="E654" t="str" vm="7540">
        <f>IFERROR(CUBEVALUE("BIDB",$A654,E$3,E$2,'Præsentationstabeller 1'!$C$2),0)</f>
        <v/>
      </c>
      <c r="F654" t="str" vm="12449">
        <f>IFERROR(CUBEVALUE("BIDB",$A654,F$3,F$2,'Præsentationstabeller 1'!$C$2),0)</f>
        <v/>
      </c>
      <c r="G654" t="str" vm="8114">
        <f>IFERROR(CUBEVALUE("BIDB",$A654,G$3,G$2,'Præsentationstabeller 1'!$C$2),0)</f>
        <v/>
      </c>
      <c r="H654" t="str" vm="7664">
        <f>IFERROR(CUBEVALUE("BIDB",$A654,H$3,H$2,'Præsentationstabeller 1'!$C$2),0)</f>
        <v/>
      </c>
      <c r="I654" t="str" vm="9223">
        <f>IFERROR(CUBEVALUE("BIDB",$A654,I$3,I$2,'Præsentationstabeller 1'!$C$2),0)</f>
        <v/>
      </c>
      <c r="J654" t="str" vm="8719">
        <f>IFERROR(CUBEVALUE("BIDB",$A654,J$3,J$2,'Præsentationstabeller 1'!$C$2),0)</f>
        <v/>
      </c>
      <c r="K654" t="str" vm="8785">
        <f>IFERROR(CUBEVALUE("BIDB",$A654,K$3,K$2,'Præsentationstabeller 1'!$C$2),0)</f>
        <v/>
      </c>
      <c r="L654" t="str" vm="9295">
        <f>IFERROR(CUBEVALUE("BIDB",$A654,L$3,L$2,'Præsentationstabeller 1'!$C$2),0)</f>
        <v/>
      </c>
    </row>
    <row r="655" spans="1:12" x14ac:dyDescent="0.3">
      <c r="A655" s="123" t="str" vm="681">
        <f>CUBEMEMBER("BIDB","[Dimittenddato].[Dimittenddato].&amp;[2014-06-08T00:00:00]")</f>
        <v>08-06-2014</v>
      </c>
      <c r="B655" t="str" vm="10228">
        <f>IFERROR(CUBEVALUE("BIDB",$A655,B$3,'Præsentationstabeller 1'!$C$2),0)</f>
        <v/>
      </c>
      <c r="C655" t="str" vm="9517">
        <f>IFERROR(CUBEVALUE("BIDB",$A655,C$3,C$2,'Præsentationstabeller 1'!$C$2),0)</f>
        <v/>
      </c>
      <c r="D655" t="str" vm="6180">
        <f>IFERROR(CUBEVALUE("BIDB",$A655,D$3,D$2,'Præsentationstabeller 1'!$C$2),0)</f>
        <v/>
      </c>
      <c r="E655" t="str" vm="5634">
        <f>IFERROR(CUBEVALUE("BIDB",$A655,E$3,E$2,'Præsentationstabeller 1'!$C$2),0)</f>
        <v/>
      </c>
      <c r="F655" t="str" vm="8118">
        <f>IFERROR(CUBEVALUE("BIDB",$A655,F$3,F$2,'Præsentationstabeller 1'!$C$2),0)</f>
        <v/>
      </c>
      <c r="G655" t="str" vm="7555">
        <f>IFERROR(CUBEVALUE("BIDB",$A655,G$3,G$2,'Præsentationstabeller 1'!$C$2),0)</f>
        <v/>
      </c>
      <c r="H655" t="str" vm="8687">
        <f>IFERROR(CUBEVALUE("BIDB",$A655,H$3,H$2,'Præsentationstabeller 1'!$C$2),0)</f>
        <v/>
      </c>
      <c r="I655" t="str" vm="8921">
        <f>IFERROR(CUBEVALUE("BIDB",$A655,I$3,I$2,'Præsentationstabeller 1'!$C$2),0)</f>
        <v/>
      </c>
      <c r="J655" t="str" vm="6415">
        <f>IFERROR(CUBEVALUE("BIDB",$A655,J$3,J$2,'Præsentationstabeller 1'!$C$2),0)</f>
        <v/>
      </c>
      <c r="K655" t="str" vm="6378">
        <f>IFERROR(CUBEVALUE("BIDB",$A655,K$3,K$2,'Præsentationstabeller 1'!$C$2),0)</f>
        <v/>
      </c>
      <c r="L655" t="str" vm="6425">
        <f>IFERROR(CUBEVALUE("BIDB",$A655,L$3,L$2,'Præsentationstabeller 1'!$C$2),0)</f>
        <v/>
      </c>
    </row>
    <row r="656" spans="1:12" x14ac:dyDescent="0.3">
      <c r="A656" s="123" t="str" vm="680">
        <f>CUBEMEMBER("BIDB","[Dimittenddato].[Dimittenddato].&amp;[2014-06-09T00:00:00]")</f>
        <v>09-06-2014</v>
      </c>
      <c r="B656" t="str" vm="8662">
        <f>IFERROR(CUBEVALUE("BIDB",$A656,B$3,'Præsentationstabeller 1'!$C$2),0)</f>
        <v/>
      </c>
      <c r="C656" t="str" vm="9733">
        <f>IFERROR(CUBEVALUE("BIDB",$A656,C$3,C$2,'Præsentationstabeller 1'!$C$2),0)</f>
        <v/>
      </c>
      <c r="D656" vm="10198">
        <f>IFERROR(CUBEVALUE("BIDB",$A656,D$3,D$2,'Præsentationstabeller 1'!$C$2),0)</f>
        <v>1</v>
      </c>
      <c r="E656" vm="9684">
        <f>IFERROR(CUBEVALUE("BIDB",$A656,E$3,E$2,'Præsentationstabeller 1'!$C$2),0)</f>
        <v>1</v>
      </c>
      <c r="F656" t="str" vm="6486">
        <f>IFERROR(CUBEVALUE("BIDB",$A656,F$3,F$2,'Præsentationstabeller 1'!$C$2),0)</f>
        <v/>
      </c>
      <c r="G656" vm="9448">
        <f>IFERROR(CUBEVALUE("BIDB",$A656,G$3,G$2,'Præsentationstabeller 1'!$C$2),0)</f>
        <v>1</v>
      </c>
      <c r="H656" t="str" vm="6642">
        <f>IFERROR(CUBEVALUE("BIDB",$A656,H$3,H$2,'Præsentationstabeller 1'!$C$2),0)</f>
        <v/>
      </c>
      <c r="I656" vm="7105">
        <f>IFERROR(CUBEVALUE("BIDB",$A656,I$3,I$2,'Præsentationstabeller 1'!$C$2),0)</f>
        <v>0.64</v>
      </c>
      <c r="J656" t="str" vm="8116">
        <f>IFERROR(CUBEVALUE("BIDB",$A656,J$3,J$2,'Præsentationstabeller 1'!$C$2),0)</f>
        <v/>
      </c>
      <c r="K656" t="str" vm="4589">
        <f>IFERROR(CUBEVALUE("BIDB",$A656,K$3,K$2,'Præsentationstabeller 1'!$C$2),0)</f>
        <v/>
      </c>
      <c r="L656" t="str" vm="8353">
        <f>IFERROR(CUBEVALUE("BIDB",$A656,L$3,L$2,'Præsentationstabeller 1'!$C$2),0)</f>
        <v/>
      </c>
    </row>
    <row r="657" spans="1:12" x14ac:dyDescent="0.3">
      <c r="A657" s="123" t="str" vm="679">
        <f>CUBEMEMBER("BIDB","[Dimittenddato].[Dimittenddato].&amp;[2014-06-10T00:00:00]")</f>
        <v>10-06-2014</v>
      </c>
      <c r="B657" t="str" vm="5349">
        <f>IFERROR(CUBEVALUE("BIDB",$A657,B$3,'Præsentationstabeller 1'!$C$2),0)</f>
        <v/>
      </c>
      <c r="C657" t="str" vm="6644">
        <f>IFERROR(CUBEVALUE("BIDB",$A657,C$3,C$2,'Præsentationstabeller 1'!$C$2),0)</f>
        <v/>
      </c>
      <c r="D657" vm="8660">
        <f>IFERROR(CUBEVALUE("BIDB",$A657,D$3,D$2,'Præsentationstabeller 1'!$C$2),0)</f>
        <v>4</v>
      </c>
      <c r="E657" vm="6039">
        <f>IFERROR(CUBEVALUE("BIDB",$A657,E$3,E$2,'Præsentationstabeller 1'!$C$2),0)</f>
        <v>12</v>
      </c>
      <c r="F657" vm="8694">
        <f>IFERROR(CUBEVALUE("BIDB",$A657,F$3,F$2,'Præsentationstabeller 1'!$C$2),0)</f>
        <v>5</v>
      </c>
      <c r="G657" vm="6626">
        <f>IFERROR(CUBEVALUE("BIDB",$A657,G$3,G$2,'Præsentationstabeller 1'!$C$2),0)</f>
        <v>17</v>
      </c>
      <c r="H657" t="str" vm="7561">
        <f>IFERROR(CUBEVALUE("BIDB",$A657,H$3,H$2,'Præsentationstabeller 1'!$C$2),0)</f>
        <v/>
      </c>
      <c r="I657" t="str" vm="7111">
        <f>IFERROR(CUBEVALUE("BIDB",$A657,I$3,I$2,'Præsentationstabeller 1'!$C$2),0)</f>
        <v/>
      </c>
      <c r="J657" t="str" vm="6769">
        <f>IFERROR(CUBEVALUE("BIDB",$A657,J$3,J$2,'Præsentationstabeller 1'!$C$2),0)</f>
        <v/>
      </c>
      <c r="K657" t="str" vm="15932">
        <f>IFERROR(CUBEVALUE("BIDB",$A657,K$3,K$2,'Præsentationstabeller 1'!$C$2),0)</f>
        <v/>
      </c>
      <c r="L657" t="str" vm="8530">
        <f>IFERROR(CUBEVALUE("BIDB",$A657,L$3,L$2,'Præsentationstabeller 1'!$C$2),0)</f>
        <v/>
      </c>
    </row>
    <row r="658" spans="1:12" x14ac:dyDescent="0.3">
      <c r="A658" s="123" t="str" vm="678">
        <f>CUBEMEMBER("BIDB","[Dimittenddato].[Dimittenddato].&amp;[2014-06-11T00:00:00]")</f>
        <v>11-06-2014</v>
      </c>
      <c r="B658" t="str" vm="8355">
        <f>IFERROR(CUBEVALUE("BIDB",$A658,B$3,'Præsentationstabeller 1'!$C$2),0)</f>
        <v/>
      </c>
      <c r="C658" t="str" vm="6276">
        <f>IFERROR(CUBEVALUE("BIDB",$A658,C$3,C$2,'Præsentationstabeller 1'!$C$2),0)</f>
        <v/>
      </c>
      <c r="D658" vm="5787">
        <f>IFERROR(CUBEVALUE("BIDB",$A658,D$3,D$2,'Præsentationstabeller 1'!$C$2),0)</f>
        <v>4</v>
      </c>
      <c r="E658" vm="8321">
        <f>IFERROR(CUBEVALUE("BIDB",$A658,E$3,E$2,'Præsentationstabeller 1'!$C$2),0)</f>
        <v>7</v>
      </c>
      <c r="F658" vm="6795">
        <f>IFERROR(CUBEVALUE("BIDB",$A658,F$3,F$2,'Præsentationstabeller 1'!$C$2),0)</f>
        <v>4</v>
      </c>
      <c r="G658" vm="14302">
        <f>IFERROR(CUBEVALUE("BIDB",$A658,G$3,G$2,'Præsentationstabeller 1'!$C$2),0)</f>
        <v>11</v>
      </c>
      <c r="H658" t="str" vm="4907">
        <f>IFERROR(CUBEVALUE("BIDB",$A658,H$3,H$2,'Præsentationstabeller 1'!$C$2),0)</f>
        <v/>
      </c>
      <c r="I658" t="str" vm="5760">
        <f>IFERROR(CUBEVALUE("BIDB",$A658,I$3,I$2,'Præsentationstabeller 1'!$C$2),0)</f>
        <v/>
      </c>
      <c r="J658" t="str" vm="7698">
        <f>IFERROR(CUBEVALUE("BIDB",$A658,J$3,J$2,'Præsentationstabeller 1'!$C$2),0)</f>
        <v/>
      </c>
      <c r="K658" t="str" vm="7073">
        <f>IFERROR(CUBEVALUE("BIDB",$A658,K$3,K$2,'Præsentationstabeller 1'!$C$2),0)</f>
        <v/>
      </c>
      <c r="L658" t="str" vm="6380">
        <f>IFERROR(CUBEVALUE("BIDB",$A658,L$3,L$2,'Præsentationstabeller 1'!$C$2),0)</f>
        <v/>
      </c>
    </row>
    <row r="659" spans="1:12" x14ac:dyDescent="0.3">
      <c r="A659" s="123" t="str" vm="677">
        <f>CUBEMEMBER("BIDB","[Dimittenddato].[Dimittenddato].&amp;[2014-06-12T00:00:00]")</f>
        <v>12-06-2014</v>
      </c>
      <c r="B659" t="str" vm="13104">
        <f>IFERROR(CUBEVALUE("BIDB",$A659,B$3,'Præsentationstabeller 1'!$C$2),0)</f>
        <v/>
      </c>
      <c r="C659" vm="8668">
        <f>IFERROR(CUBEVALUE("BIDB",$A659,C$3,C$2,'Præsentationstabeller 1'!$C$2),0)</f>
        <v>1</v>
      </c>
      <c r="D659" vm="6236">
        <f>IFERROR(CUBEVALUE("BIDB",$A659,D$3,D$2,'Præsentationstabeller 1'!$C$2),0)</f>
        <v>3</v>
      </c>
      <c r="E659" vm="6061">
        <f>IFERROR(CUBEVALUE("BIDB",$A659,E$3,E$2,'Præsentationstabeller 1'!$C$2),0)</f>
        <v>9</v>
      </c>
      <c r="F659" vm="6543">
        <f>IFERROR(CUBEVALUE("BIDB",$A659,F$3,F$2,'Præsentationstabeller 1'!$C$2),0)</f>
        <v>2</v>
      </c>
      <c r="G659" vm="5148">
        <f>IFERROR(CUBEVALUE("BIDB",$A659,G$3,G$2,'Præsentationstabeller 1'!$C$2),0)</f>
        <v>11</v>
      </c>
      <c r="H659" t="str" vm="9910">
        <f>IFERROR(CUBEVALUE("BIDB",$A659,H$3,H$2,'Præsentationstabeller 1'!$C$2),0)</f>
        <v/>
      </c>
      <c r="I659" vm="13339">
        <f>IFERROR(CUBEVALUE("BIDB",$A659,I$3,I$2,'Præsentationstabeller 1'!$C$2),0)</f>
        <v>0.4</v>
      </c>
      <c r="J659" t="str" vm="3284">
        <f>IFERROR(CUBEVALUE("BIDB",$A659,J$3,J$2,'Præsentationstabeller 1'!$C$2),0)</f>
        <v/>
      </c>
      <c r="K659" vm="7079">
        <f>IFERROR(CUBEVALUE("BIDB",$A659,K$3,K$2,'Præsentationstabeller 1'!$C$2),0)</f>
        <v>1</v>
      </c>
      <c r="L659" vm="6201">
        <f>IFERROR(CUBEVALUE("BIDB",$A659,L$3,L$2,'Præsentationstabeller 1'!$C$2),0)</f>
        <v>1</v>
      </c>
    </row>
    <row r="660" spans="1:12" x14ac:dyDescent="0.3">
      <c r="A660" s="123" t="str" vm="676">
        <f>CUBEMEMBER("BIDB","[Dimittenddato].[Dimittenddato].&amp;[2014-06-13T00:00:00]")</f>
        <v>13-06-2014</v>
      </c>
      <c r="B660" t="str" vm="7458">
        <f>IFERROR(CUBEVALUE("BIDB",$A660,B$3,'Præsentationstabeller 1'!$C$2),0)</f>
        <v/>
      </c>
      <c r="C660" t="str" vm="8270">
        <f>IFERROR(CUBEVALUE("BIDB",$A660,C$3,C$2,'Præsentationstabeller 1'!$C$2),0)</f>
        <v/>
      </c>
      <c r="D660" vm="6650">
        <f>IFERROR(CUBEVALUE("BIDB",$A660,D$3,D$2,'Præsentationstabeller 1'!$C$2),0)</f>
        <v>2</v>
      </c>
      <c r="E660" vm="5795">
        <f>IFERROR(CUBEVALUE("BIDB",$A660,E$3,E$2,'Præsentationstabeller 1'!$C$2),0)</f>
        <v>15</v>
      </c>
      <c r="F660" vm="5476">
        <f>IFERROR(CUBEVALUE("BIDB",$A660,F$3,F$2,'Præsentationstabeller 1'!$C$2),0)</f>
        <v>3</v>
      </c>
      <c r="G660" vm="6967">
        <f>IFERROR(CUBEVALUE("BIDB",$A660,G$3,G$2,'Præsentationstabeller 1'!$C$2),0)</f>
        <v>18</v>
      </c>
      <c r="H660" t="str" vm="8296">
        <f>IFERROR(CUBEVALUE("BIDB",$A660,H$3,H$2,'Præsentationstabeller 1'!$C$2),0)</f>
        <v/>
      </c>
      <c r="I660" t="str" vm="6169">
        <f>IFERROR(CUBEVALUE("BIDB",$A660,I$3,I$2,'Præsentationstabeller 1'!$C$2),0)</f>
        <v/>
      </c>
      <c r="J660" vm="9242">
        <f>IFERROR(CUBEVALUE("BIDB",$A660,J$3,J$2,'Præsentationstabeller 1'!$C$2),0)</f>
        <v>0.8</v>
      </c>
      <c r="K660" t="str" vm="4619">
        <f>IFERROR(CUBEVALUE("BIDB",$A660,K$3,K$2,'Præsentationstabeller 1'!$C$2),0)</f>
        <v/>
      </c>
      <c r="L660" vm="14165">
        <f>IFERROR(CUBEVALUE("BIDB",$A660,L$3,L$2,'Præsentationstabeller 1'!$C$2),0)</f>
        <v>0.8</v>
      </c>
    </row>
    <row r="661" spans="1:12" x14ac:dyDescent="0.3">
      <c r="A661" s="123" t="str" vm="675">
        <f>CUBEMEMBER("BIDB","[Dimittenddato].[Dimittenddato].&amp;[2014-06-14T00:00:00]")</f>
        <v>14-06-2014</v>
      </c>
      <c r="B661" t="str" vm="5379">
        <f>IFERROR(CUBEVALUE("BIDB",$A661,B$3,'Præsentationstabeller 1'!$C$2),0)</f>
        <v/>
      </c>
      <c r="C661" t="str" vm="6559">
        <f>IFERROR(CUBEVALUE("BIDB",$A661,C$3,C$2,'Præsentationstabeller 1'!$C$2),0)</f>
        <v/>
      </c>
      <c r="D661" vm="7452">
        <f>IFERROR(CUBEVALUE("BIDB",$A661,D$3,D$2,'Præsentationstabeller 1'!$C$2),0)</f>
        <v>1</v>
      </c>
      <c r="E661" t="str" vm="7618">
        <f>IFERROR(CUBEVALUE("BIDB",$A661,E$3,E$2,'Præsentationstabeller 1'!$C$2),0)</f>
        <v/>
      </c>
      <c r="F661" t="str" vm="8323">
        <f>IFERROR(CUBEVALUE("BIDB",$A661,F$3,F$2,'Præsentationstabeller 1'!$C$2),0)</f>
        <v/>
      </c>
      <c r="G661" t="str" vm="7512">
        <f>IFERROR(CUBEVALUE("BIDB",$A661,G$3,G$2,'Præsentationstabeller 1'!$C$2),0)</f>
        <v/>
      </c>
      <c r="H661" t="str" vm="5914">
        <f>IFERROR(CUBEVALUE("BIDB",$A661,H$3,H$2,'Præsentationstabeller 1'!$C$2),0)</f>
        <v/>
      </c>
      <c r="I661" t="str" vm="11052">
        <f>IFERROR(CUBEVALUE("BIDB",$A661,I$3,I$2,'Præsentationstabeller 1'!$C$2),0)</f>
        <v/>
      </c>
      <c r="J661" t="str" vm="8602">
        <f>IFERROR(CUBEVALUE("BIDB",$A661,J$3,J$2,'Præsentationstabeller 1'!$C$2),0)</f>
        <v/>
      </c>
      <c r="K661" t="str" vm="11138">
        <f>IFERROR(CUBEVALUE("BIDB",$A661,K$3,K$2,'Præsentationstabeller 1'!$C$2),0)</f>
        <v/>
      </c>
      <c r="L661" t="str" vm="4769">
        <f>IFERROR(CUBEVALUE("BIDB",$A661,L$3,L$2,'Præsentationstabeller 1'!$C$2),0)</f>
        <v/>
      </c>
    </row>
    <row r="662" spans="1:12" x14ac:dyDescent="0.3">
      <c r="A662" s="123" t="str" vm="674">
        <f>CUBEMEMBER("BIDB","[Dimittenddato].[Dimittenddato].&amp;[2014-06-15T00:00:00]")</f>
        <v>15-06-2014</v>
      </c>
      <c r="B662" t="str" vm="12310">
        <f>IFERROR(CUBEVALUE("BIDB",$A662,B$3,'Præsentationstabeller 1'!$C$2),0)</f>
        <v/>
      </c>
      <c r="C662" t="str" vm="5457">
        <f>IFERROR(CUBEVALUE("BIDB",$A662,C$3,C$2,'Præsentationstabeller 1'!$C$2),0)</f>
        <v/>
      </c>
      <c r="D662" vm="8847">
        <f>IFERROR(CUBEVALUE("BIDB",$A662,D$3,D$2,'Præsentationstabeller 1'!$C$2),0)</f>
        <v>1</v>
      </c>
      <c r="E662" t="str" vm="8815">
        <f>IFERROR(CUBEVALUE("BIDB",$A662,E$3,E$2,'Præsentationstabeller 1'!$C$2),0)</f>
        <v/>
      </c>
      <c r="F662" t="str" vm="8841">
        <f>IFERROR(CUBEVALUE("BIDB",$A662,F$3,F$2,'Præsentationstabeller 1'!$C$2),0)</f>
        <v/>
      </c>
      <c r="G662" t="str" vm="6551">
        <f>IFERROR(CUBEVALUE("BIDB",$A662,G$3,G$2,'Præsentationstabeller 1'!$C$2),0)</f>
        <v/>
      </c>
      <c r="H662" t="str" vm="4336">
        <f>IFERROR(CUBEVALUE("BIDB",$A662,H$3,H$2,'Præsentationstabeller 1'!$C$2),0)</f>
        <v/>
      </c>
      <c r="I662" t="str" vm="6594">
        <f>IFERROR(CUBEVALUE("BIDB",$A662,I$3,I$2,'Præsentationstabeller 1'!$C$2),0)</f>
        <v/>
      </c>
      <c r="J662" t="str" vm="7810">
        <f>IFERROR(CUBEVALUE("BIDB",$A662,J$3,J$2,'Præsentationstabeller 1'!$C$2),0)</f>
        <v/>
      </c>
      <c r="K662" t="str" vm="6632">
        <f>IFERROR(CUBEVALUE("BIDB",$A662,K$3,K$2,'Præsentationstabeller 1'!$C$2),0)</f>
        <v/>
      </c>
      <c r="L662" t="str" vm="10068">
        <f>IFERROR(CUBEVALUE("BIDB",$A662,L$3,L$2,'Præsentationstabeller 1'!$C$2),0)</f>
        <v/>
      </c>
    </row>
    <row r="663" spans="1:12" x14ac:dyDescent="0.3">
      <c r="A663" s="123" t="str" vm="673">
        <f>CUBEMEMBER("BIDB","[Dimittenddato].[Dimittenddato].&amp;[2014-06-16T00:00:00]")</f>
        <v>16-06-2014</v>
      </c>
      <c r="B663" t="str" vm="5784">
        <f>IFERROR(CUBEVALUE("BIDB",$A663,B$3,'Præsentationstabeller 1'!$C$2),0)</f>
        <v/>
      </c>
      <c r="C663" vm="7568">
        <f>IFERROR(CUBEVALUE("BIDB",$A663,C$3,C$2,'Præsentationstabeller 1'!$C$2),0)</f>
        <v>1</v>
      </c>
      <c r="D663" vm="6753">
        <f>IFERROR(CUBEVALUE("BIDB",$A663,D$3,D$2,'Præsentationstabeller 1'!$C$2),0)</f>
        <v>8</v>
      </c>
      <c r="E663" vm="4654">
        <f>IFERROR(CUBEVALUE("BIDB",$A663,E$3,E$2,'Præsentationstabeller 1'!$C$2),0)</f>
        <v>23</v>
      </c>
      <c r="F663" vm="14048">
        <f>IFERROR(CUBEVALUE("BIDB",$A663,F$3,F$2,'Præsentationstabeller 1'!$C$2),0)</f>
        <v>10</v>
      </c>
      <c r="G663" vm="6387">
        <f>IFERROR(CUBEVALUE("BIDB",$A663,G$3,G$2,'Præsentationstabeller 1'!$C$2),0)</f>
        <v>33</v>
      </c>
      <c r="H663" t="str" vm="6975">
        <f>IFERROR(CUBEVALUE("BIDB",$A663,H$3,H$2,'Præsentationstabeller 1'!$C$2),0)</f>
        <v/>
      </c>
      <c r="I663" vm="5922">
        <f>IFERROR(CUBEVALUE("BIDB",$A663,I$3,I$2,'Præsentationstabeller 1'!$C$2),0)</f>
        <v>1</v>
      </c>
      <c r="J663" t="str" vm="6112">
        <f>IFERROR(CUBEVALUE("BIDB",$A663,J$3,J$2,'Præsentationstabeller 1'!$C$2),0)</f>
        <v/>
      </c>
      <c r="K663" vm="6771">
        <f>IFERROR(CUBEVALUE("BIDB",$A663,K$3,K$2,'Præsentationstabeller 1'!$C$2),0)</f>
        <v>1</v>
      </c>
      <c r="L663" vm="8171">
        <f>IFERROR(CUBEVALUE("BIDB",$A663,L$3,L$2,'Præsentationstabeller 1'!$C$2),0)</f>
        <v>1</v>
      </c>
    </row>
    <row r="664" spans="1:12" x14ac:dyDescent="0.3">
      <c r="A664" s="123" t="str" vm="672">
        <f>CUBEMEMBER("BIDB","[Dimittenddato].[Dimittenddato].&amp;[2014-06-17T00:00:00]")</f>
        <v>17-06-2014</v>
      </c>
      <c r="B664" t="str" vm="9233">
        <f>IFERROR(CUBEVALUE("BIDB",$A664,B$3,'Præsentationstabeller 1'!$C$2),0)</f>
        <v/>
      </c>
      <c r="C664" t="str" vm="6540">
        <f>IFERROR(CUBEVALUE("BIDB",$A664,C$3,C$2,'Præsentationstabeller 1'!$C$2),0)</f>
        <v/>
      </c>
      <c r="D664" vm="13152">
        <f>IFERROR(CUBEVALUE("BIDB",$A664,D$3,D$2,'Præsentationstabeller 1'!$C$2),0)</f>
        <v>14</v>
      </c>
      <c r="E664" vm="11756">
        <f>IFERROR(CUBEVALUE("BIDB",$A664,E$3,E$2,'Præsentationstabeller 1'!$C$2),0)</f>
        <v>20</v>
      </c>
      <c r="F664" t="str" vm="5506">
        <f>IFERROR(CUBEVALUE("BIDB",$A664,F$3,F$2,'Præsentationstabeller 1'!$C$2),0)</f>
        <v/>
      </c>
      <c r="G664" vm="7826">
        <f>IFERROR(CUBEVALUE("BIDB",$A664,G$3,G$2,'Præsentationstabeller 1'!$C$2),0)</f>
        <v>20</v>
      </c>
      <c r="H664" t="str" vm="8809">
        <f>IFERROR(CUBEVALUE("BIDB",$A664,H$3,H$2,'Præsentationstabeller 1'!$C$2),0)</f>
        <v/>
      </c>
      <c r="I664" vm="6964">
        <f>IFERROR(CUBEVALUE("BIDB",$A664,I$3,I$2,'Præsentationstabeller 1'!$C$2),0)</f>
        <v>0.8</v>
      </c>
      <c r="J664" vm="10049">
        <f>IFERROR(CUBEVALUE("BIDB",$A664,J$3,J$2,'Præsentationstabeller 1'!$C$2),0)</f>
        <v>0.52</v>
      </c>
      <c r="K664" t="str" vm="6223">
        <f>IFERROR(CUBEVALUE("BIDB",$A664,K$3,K$2,'Præsentationstabeller 1'!$C$2),0)</f>
        <v/>
      </c>
      <c r="L664" vm="6935">
        <f>IFERROR(CUBEVALUE("BIDB",$A664,L$3,L$2,'Præsentationstabeller 1'!$C$2),0)</f>
        <v>0.52</v>
      </c>
    </row>
    <row r="665" spans="1:12" x14ac:dyDescent="0.3">
      <c r="A665" s="123" t="str" vm="671">
        <f>CUBEMEMBER("BIDB","[Dimittenddato].[Dimittenddato].&amp;[2014-06-18T00:00:00]")</f>
        <v>18-06-2014</v>
      </c>
      <c r="B665" t="str" vm="5170">
        <f>IFERROR(CUBEVALUE("BIDB",$A665,B$3,'Præsentationstabeller 1'!$C$2),0)</f>
        <v/>
      </c>
      <c r="C665" vm="8011">
        <f>IFERROR(CUBEVALUE("BIDB",$A665,C$3,C$2,'Præsentationstabeller 1'!$C$2),0)</f>
        <v>1</v>
      </c>
      <c r="D665" vm="5911">
        <f>IFERROR(CUBEVALUE("BIDB",$A665,D$3,D$2,'Præsentationstabeller 1'!$C$2),0)</f>
        <v>8</v>
      </c>
      <c r="E665" vm="7807">
        <f>IFERROR(CUBEVALUE("BIDB",$A665,E$3,E$2,'Præsentationstabeller 1'!$C$2),0)</f>
        <v>20</v>
      </c>
      <c r="F665" vm="11003">
        <f>IFERROR(CUBEVALUE("BIDB",$A665,F$3,F$2,'Præsentationstabeller 1'!$C$2),0)</f>
        <v>5</v>
      </c>
      <c r="G665" vm="4041">
        <f>IFERROR(CUBEVALUE("BIDB",$A665,G$3,G$2,'Præsentationstabeller 1'!$C$2),0)</f>
        <v>25</v>
      </c>
      <c r="H665" t="str" vm="10955">
        <f>IFERROR(CUBEVALUE("BIDB",$A665,H$3,H$2,'Præsentationstabeller 1'!$C$2),0)</f>
        <v/>
      </c>
      <c r="I665" t="str" vm="16075">
        <f>IFERROR(CUBEVALUE("BIDB",$A665,I$3,I$2,'Præsentationstabeller 1'!$C$2),0)</f>
        <v/>
      </c>
      <c r="J665" vm="13234">
        <f>IFERROR(CUBEVALUE("BIDB",$A665,J$3,J$2,'Præsentationstabeller 1'!$C$2),0)</f>
        <v>1.972972972972973</v>
      </c>
      <c r="K665" vm="7818">
        <f>IFERROR(CUBEVALUE("BIDB",$A665,K$3,K$2,'Præsentationstabeller 1'!$C$2),0)</f>
        <v>0.8</v>
      </c>
      <c r="L665" vm="7269">
        <f>IFERROR(CUBEVALUE("BIDB",$A665,L$3,L$2,'Præsentationstabeller 1'!$C$2),0)</f>
        <v>2.7729729729729731</v>
      </c>
    </row>
    <row r="666" spans="1:12" x14ac:dyDescent="0.3">
      <c r="A666" s="123" t="str" vm="670">
        <f>CUBEMEMBER("BIDB","[Dimittenddato].[Dimittenddato].&amp;[2014-06-19T00:00:00]")</f>
        <v>19-06-2014</v>
      </c>
      <c r="B666" t="str" vm="6943">
        <f>IFERROR(CUBEVALUE("BIDB",$A666,B$3,'Præsentationstabeller 1'!$C$2),0)</f>
        <v/>
      </c>
      <c r="C666" vm="5221">
        <f>IFERROR(CUBEVALUE("BIDB",$A666,C$3,C$2,'Præsentationstabeller 1'!$C$2),0)</f>
        <v>1</v>
      </c>
      <c r="D666" vm="8272">
        <f>IFERROR(CUBEVALUE("BIDB",$A666,D$3,D$2,'Præsentationstabeller 1'!$C$2),0)</f>
        <v>15</v>
      </c>
      <c r="E666" vm="6505">
        <f>IFERROR(CUBEVALUE("BIDB",$A666,E$3,E$2,'Præsentationstabeller 1'!$C$2),0)</f>
        <v>39</v>
      </c>
      <c r="F666" vm="6932">
        <f>IFERROR(CUBEVALUE("BIDB",$A666,F$3,F$2,'Præsentationstabeller 1'!$C$2),0)</f>
        <v>8</v>
      </c>
      <c r="G666" vm="7437">
        <f>IFERROR(CUBEVALUE("BIDB",$A666,G$3,G$2,'Præsentationstabeller 1'!$C$2),0)</f>
        <v>47</v>
      </c>
      <c r="H666" t="str" vm="4366">
        <f>IFERROR(CUBEVALUE("BIDB",$A666,H$3,H$2,'Præsentationstabeller 1'!$C$2),0)</f>
        <v/>
      </c>
      <c r="I666" vm="4520">
        <f>IFERROR(CUBEVALUE("BIDB",$A666,I$3,I$2,'Præsentationstabeller 1'!$C$2),0)</f>
        <v>2.3600000000000003</v>
      </c>
      <c r="J666" vm="16885">
        <f>IFERROR(CUBEVALUE("BIDB",$A666,J$3,J$2,'Præsentationstabeller 1'!$C$2),0)</f>
        <v>1</v>
      </c>
      <c r="K666" t="str" vm="6514">
        <f>IFERROR(CUBEVALUE("BIDB",$A666,K$3,K$2,'Præsentationstabeller 1'!$C$2),0)</f>
        <v/>
      </c>
      <c r="L666" vm="6777">
        <f>IFERROR(CUBEVALUE("BIDB",$A666,L$3,L$2,'Præsentationstabeller 1'!$C$2),0)</f>
        <v>1</v>
      </c>
    </row>
    <row r="667" spans="1:12" x14ac:dyDescent="0.3">
      <c r="A667" s="123" t="str" vm="669">
        <f>CUBEMEMBER("BIDB","[Dimittenddato].[Dimittenddato].&amp;[2014-06-20T00:00:00]")</f>
        <v>20-06-2014</v>
      </c>
      <c r="B667" t="str" vm="7781">
        <f>IFERROR(CUBEVALUE("BIDB",$A667,B$3,'Præsentationstabeller 1'!$C$2),0)</f>
        <v/>
      </c>
      <c r="C667" vm="10237">
        <f>IFERROR(CUBEVALUE("BIDB",$A667,C$3,C$2,'Præsentationstabeller 1'!$C$2),0)</f>
        <v>2</v>
      </c>
      <c r="D667" vm="6029">
        <f>IFERROR(CUBEVALUE("BIDB",$A667,D$3,D$2,'Præsentationstabeller 1'!$C$2),0)</f>
        <v>14</v>
      </c>
      <c r="E667" vm="5090">
        <f>IFERROR(CUBEVALUE("BIDB",$A667,E$3,E$2,'Præsentationstabeller 1'!$C$2),0)</f>
        <v>44</v>
      </c>
      <c r="F667" vm="9105">
        <f>IFERROR(CUBEVALUE("BIDB",$A667,F$3,F$2,'Præsentationstabeller 1'!$C$2),0)</f>
        <v>26</v>
      </c>
      <c r="G667" vm="8499">
        <f>IFERROR(CUBEVALUE("BIDB",$A667,G$3,G$2,'Præsentationstabeller 1'!$C$2),0)</f>
        <v>70</v>
      </c>
      <c r="H667" t="str" vm="12194">
        <f>IFERROR(CUBEVALUE("BIDB",$A667,H$3,H$2,'Præsentationstabeller 1'!$C$2),0)</f>
        <v/>
      </c>
      <c r="I667" vm="7608">
        <f>IFERROR(CUBEVALUE("BIDB",$A667,I$3,I$2,'Præsentationstabeller 1'!$C$2),0)</f>
        <v>0.8</v>
      </c>
      <c r="J667" vm="6142">
        <f>IFERROR(CUBEVALUE("BIDB",$A667,J$3,J$2,'Præsentationstabeller 1'!$C$2),0)</f>
        <v>0.55999999999999994</v>
      </c>
      <c r="K667" vm="8015">
        <f>IFERROR(CUBEVALUE("BIDB",$A667,K$3,K$2,'Præsentationstabeller 1'!$C$2),0)</f>
        <v>2.12</v>
      </c>
      <c r="L667" vm="9950">
        <f>IFERROR(CUBEVALUE("BIDB",$A667,L$3,L$2,'Præsentationstabeller 1'!$C$2),0)</f>
        <v>2.6799999999999997</v>
      </c>
    </row>
    <row r="668" spans="1:12" x14ac:dyDescent="0.3">
      <c r="A668" s="123" t="str" vm="668">
        <f>CUBEMEMBER("BIDB","[Dimittenddato].[Dimittenddato].&amp;[2014-06-21T00:00:00]")</f>
        <v>21-06-2014</v>
      </c>
      <c r="B668" t="str" vm="9130">
        <f>IFERROR(CUBEVALUE("BIDB",$A668,B$3,'Præsentationstabeller 1'!$C$2),0)</f>
        <v/>
      </c>
      <c r="C668" t="str" vm="9228">
        <f>IFERROR(CUBEVALUE("BIDB",$A668,C$3,C$2,'Præsentationstabeller 1'!$C$2),0)</f>
        <v/>
      </c>
      <c r="D668" t="str" vm="8013">
        <f>IFERROR(CUBEVALUE("BIDB",$A668,D$3,D$2,'Præsentationstabeller 1'!$C$2),0)</f>
        <v/>
      </c>
      <c r="E668" vm="8278">
        <f>IFERROR(CUBEVALUE("BIDB",$A668,E$3,E$2,'Præsentationstabeller 1'!$C$2),0)</f>
        <v>3</v>
      </c>
      <c r="F668" vm="6562">
        <f>IFERROR(CUBEVALUE("BIDB",$A668,F$3,F$2,'Præsentationstabeller 1'!$C$2),0)</f>
        <v>2</v>
      </c>
      <c r="G668" vm="7179">
        <f>IFERROR(CUBEVALUE("BIDB",$A668,G$3,G$2,'Præsentationstabeller 1'!$C$2),0)</f>
        <v>5</v>
      </c>
      <c r="H668" t="str" vm="6759">
        <f>IFERROR(CUBEVALUE("BIDB",$A668,H$3,H$2,'Præsentationstabeller 1'!$C$2),0)</f>
        <v/>
      </c>
      <c r="I668" t="str" vm="7176">
        <f>IFERROR(CUBEVALUE("BIDB",$A668,I$3,I$2,'Præsentationstabeller 1'!$C$2),0)</f>
        <v/>
      </c>
      <c r="J668" t="str" vm="7583">
        <f>IFERROR(CUBEVALUE("BIDB",$A668,J$3,J$2,'Præsentationstabeller 1'!$C$2),0)</f>
        <v/>
      </c>
      <c r="K668" vm="4317">
        <f>IFERROR(CUBEVALUE("BIDB",$A668,K$3,K$2,'Præsentationstabeller 1'!$C$2),0)</f>
        <v>0.15113513513513513</v>
      </c>
      <c r="L668" vm="10791">
        <f>IFERROR(CUBEVALUE("BIDB",$A668,L$3,L$2,'Præsentationstabeller 1'!$C$2),0)</f>
        <v>0.15113513513513513</v>
      </c>
    </row>
    <row r="669" spans="1:12" x14ac:dyDescent="0.3">
      <c r="A669" s="123" t="str" vm="667">
        <f>CUBEMEMBER("BIDB","[Dimittenddato].[Dimittenddato].&amp;[2014-06-22T00:00:00]")</f>
        <v>22-06-2014</v>
      </c>
      <c r="B669" t="str" vm="4405">
        <f>IFERROR(CUBEVALUE("BIDB",$A669,B$3,'Præsentationstabeller 1'!$C$2),0)</f>
        <v/>
      </c>
      <c r="C669" t="str" vm="8230">
        <f>IFERROR(CUBEVALUE("BIDB",$A669,C$3,C$2,'Præsentationstabeller 1'!$C$2),0)</f>
        <v/>
      </c>
      <c r="D669" t="str" vm="7515">
        <f>IFERROR(CUBEVALUE("BIDB",$A669,D$3,D$2,'Præsentationstabeller 1'!$C$2),0)</f>
        <v/>
      </c>
      <c r="E669" t="str" vm="9226">
        <f>IFERROR(CUBEVALUE("BIDB",$A669,E$3,E$2,'Præsentationstabeller 1'!$C$2),0)</f>
        <v/>
      </c>
      <c r="F669" t="str" vm="6507">
        <f>IFERROR(CUBEVALUE("BIDB",$A669,F$3,F$2,'Præsentationstabeller 1'!$C$2),0)</f>
        <v/>
      </c>
      <c r="G669" t="str" vm="5857">
        <f>IFERROR(CUBEVALUE("BIDB",$A669,G$3,G$2,'Præsentationstabeller 1'!$C$2),0)</f>
        <v/>
      </c>
      <c r="H669" t="str" vm="8596">
        <f>IFERROR(CUBEVALUE("BIDB",$A669,H$3,H$2,'Præsentationstabeller 1'!$C$2),0)</f>
        <v/>
      </c>
      <c r="I669" t="str" vm="5533">
        <f>IFERROR(CUBEVALUE("BIDB",$A669,I$3,I$2,'Præsentationstabeller 1'!$C$2),0)</f>
        <v/>
      </c>
      <c r="J669" t="str" vm="5530">
        <f>IFERROR(CUBEVALUE("BIDB",$A669,J$3,J$2,'Præsentationstabeller 1'!$C$2),0)</f>
        <v/>
      </c>
      <c r="K669" t="str" vm="7086">
        <f>IFERROR(CUBEVALUE("BIDB",$A669,K$3,K$2,'Præsentationstabeller 1'!$C$2),0)</f>
        <v/>
      </c>
      <c r="L669" t="str" vm="8254">
        <f>IFERROR(CUBEVALUE("BIDB",$A669,L$3,L$2,'Præsentationstabeller 1'!$C$2),0)</f>
        <v/>
      </c>
    </row>
    <row r="670" spans="1:12" x14ac:dyDescent="0.3">
      <c r="A670" s="123" t="str" vm="666">
        <f>CUBEMEMBER("BIDB","[Dimittenddato].[Dimittenddato].&amp;[2014-06-23T00:00:00]")</f>
        <v>23-06-2014</v>
      </c>
      <c r="B670" t="str" vm="11594">
        <f>IFERROR(CUBEVALUE("BIDB",$A670,B$3,'Præsentationstabeller 1'!$C$2),0)</f>
        <v/>
      </c>
      <c r="C670" vm="5251">
        <f>IFERROR(CUBEVALUE("BIDB",$A670,C$3,C$2,'Præsentationstabeller 1'!$C$2),0)</f>
        <v>1</v>
      </c>
      <c r="D670" vm="7209">
        <f>IFERROR(CUBEVALUE("BIDB",$A670,D$3,D$2,'Præsentationstabeller 1'!$C$2),0)</f>
        <v>20</v>
      </c>
      <c r="E670" vm="8198">
        <f>IFERROR(CUBEVALUE("BIDB",$A670,E$3,E$2,'Præsentationstabeller 1'!$C$2),0)</f>
        <v>54</v>
      </c>
      <c r="F670" vm="6710">
        <f>IFERROR(CUBEVALUE("BIDB",$A670,F$3,F$2,'Præsentationstabeller 1'!$C$2),0)</f>
        <v>16</v>
      </c>
      <c r="G670" vm="8128">
        <f>IFERROR(CUBEVALUE("BIDB",$A670,G$3,G$2,'Præsentationstabeller 1'!$C$2),0)</f>
        <v>70</v>
      </c>
      <c r="H670" t="str" vm="7309">
        <f>IFERROR(CUBEVALUE("BIDB",$A670,H$3,H$2,'Præsentationstabeller 1'!$C$2),0)</f>
        <v/>
      </c>
      <c r="I670" vm="7895">
        <f>IFERROR(CUBEVALUE("BIDB",$A670,I$3,I$2,'Præsentationstabeller 1'!$C$2),0)</f>
        <v>2.72</v>
      </c>
      <c r="J670" vm="9097">
        <f>IFERROR(CUBEVALUE("BIDB",$A670,J$3,J$2,'Præsentationstabeller 1'!$C$2),0)</f>
        <v>2.7600000000000002</v>
      </c>
      <c r="K670" t="str" vm="6285">
        <f>IFERROR(CUBEVALUE("BIDB",$A670,K$3,K$2,'Præsentationstabeller 1'!$C$2),0)</f>
        <v/>
      </c>
      <c r="L670" vm="13897">
        <f>IFERROR(CUBEVALUE("BIDB",$A670,L$3,L$2,'Præsentationstabeller 1'!$C$2),0)</f>
        <v>2.7600000000000002</v>
      </c>
    </row>
    <row r="671" spans="1:12" x14ac:dyDescent="0.3">
      <c r="A671" s="123" t="str" vm="665">
        <f>CUBEMEMBER("BIDB","[Dimittenddato].[Dimittenddato].&amp;[2014-06-24T00:00:00]")</f>
        <v>24-06-2014</v>
      </c>
      <c r="B671" t="str" vm="7318">
        <f>IFERROR(CUBEVALUE("BIDB",$A671,B$3,'Præsentationstabeller 1'!$C$2),0)</f>
        <v/>
      </c>
      <c r="C671" vm="5128">
        <f>IFERROR(CUBEVALUE("BIDB",$A671,C$3,C$2,'Præsentationstabeller 1'!$C$2),0)</f>
        <v>10</v>
      </c>
      <c r="D671" vm="3788">
        <f>IFERROR(CUBEVALUE("BIDB",$A671,D$3,D$2,'Præsentationstabeller 1'!$C$2),0)</f>
        <v>16</v>
      </c>
      <c r="E671" vm="5120">
        <f>IFERROR(CUBEVALUE("BIDB",$A671,E$3,E$2,'Præsentationstabeller 1'!$C$2),0)</f>
        <v>35</v>
      </c>
      <c r="F671" vm="10659">
        <f>IFERROR(CUBEVALUE("BIDB",$A671,F$3,F$2,'Præsentationstabeller 1'!$C$2),0)</f>
        <v>23</v>
      </c>
      <c r="G671" vm="9786">
        <f>IFERROR(CUBEVALUE("BIDB",$A671,G$3,G$2,'Præsentationstabeller 1'!$C$2),0)</f>
        <v>58</v>
      </c>
      <c r="H671" vm="7187">
        <f>IFERROR(CUBEVALUE("BIDB",$A671,H$3,H$2,'Præsentationstabeller 1'!$C$2),0)</f>
        <v>1</v>
      </c>
      <c r="I671" t="str" vm="5300">
        <f>IFERROR(CUBEVALUE("BIDB",$A671,I$3,I$2,'Præsentationstabeller 1'!$C$2),0)</f>
        <v/>
      </c>
      <c r="J671" t="str" vm="6191">
        <f>IFERROR(CUBEVALUE("BIDB",$A671,J$3,J$2,'Præsentationstabeller 1'!$C$2),0)</f>
        <v/>
      </c>
      <c r="K671" vm="6288">
        <f>IFERROR(CUBEVALUE("BIDB",$A671,K$3,K$2,'Præsentationstabeller 1'!$C$2),0)</f>
        <v>0.55999999999999994</v>
      </c>
      <c r="L671" vm="5656">
        <f>IFERROR(CUBEVALUE("BIDB",$A671,L$3,L$2,'Præsentationstabeller 1'!$C$2),0)</f>
        <v>0.55999999999999994</v>
      </c>
    </row>
    <row r="672" spans="1:12" x14ac:dyDescent="0.3">
      <c r="A672" s="123" t="str" vm="664">
        <f>CUBEMEMBER("BIDB","[Dimittenddato].[Dimittenddato].&amp;[2014-06-25T00:00:00]")</f>
        <v>25-06-2014</v>
      </c>
      <c r="B672" t="str" vm="6713">
        <f>IFERROR(CUBEVALUE("BIDB",$A672,B$3,'Præsentationstabeller 1'!$C$2),0)</f>
        <v/>
      </c>
      <c r="C672" vm="6678">
        <f>IFERROR(CUBEVALUE("BIDB",$A672,C$3,C$2,'Præsentationstabeller 1'!$C$2),0)</f>
        <v>4</v>
      </c>
      <c r="D672" vm="8747">
        <f>IFERROR(CUBEVALUE("BIDB",$A672,D$3,D$2,'Præsentationstabeller 1'!$C$2),0)</f>
        <v>18</v>
      </c>
      <c r="E672" vm="5895">
        <f>IFERROR(CUBEVALUE("BIDB",$A672,E$3,E$2,'Præsentationstabeller 1'!$C$2),0)</f>
        <v>44</v>
      </c>
      <c r="F672" vm="4268">
        <f>IFERROR(CUBEVALUE("BIDB",$A672,F$3,F$2,'Præsentationstabeller 1'!$C$2),0)</f>
        <v>18</v>
      </c>
      <c r="G672" vm="7620">
        <f>IFERROR(CUBEVALUE("BIDB",$A672,G$3,G$2,'Præsentationstabeller 1'!$C$2),0)</f>
        <v>62</v>
      </c>
      <c r="H672" t="str" vm="7150">
        <f>IFERROR(CUBEVALUE("BIDB",$A672,H$3,H$2,'Præsentationstabeller 1'!$C$2),0)</f>
        <v/>
      </c>
      <c r="I672" vm="9124">
        <f>IFERROR(CUBEVALUE("BIDB",$A672,I$3,I$2,'Præsentationstabeller 1'!$C$2),0)</f>
        <v>0.48</v>
      </c>
      <c r="J672" vm="8711">
        <f>IFERROR(CUBEVALUE("BIDB",$A672,J$3,J$2,'Præsentationstabeller 1'!$C$2),0)</f>
        <v>2</v>
      </c>
      <c r="K672" vm="5984">
        <f>IFERROR(CUBEVALUE("BIDB",$A672,K$3,K$2,'Præsentationstabeller 1'!$C$2),0)</f>
        <v>1</v>
      </c>
      <c r="L672" vm="9159">
        <f>IFERROR(CUBEVALUE("BIDB",$A672,L$3,L$2,'Præsentationstabeller 1'!$C$2),0)</f>
        <v>3</v>
      </c>
    </row>
    <row r="673" spans="1:12" x14ac:dyDescent="0.3">
      <c r="A673" s="123" t="str" vm="663">
        <f>CUBEMEMBER("BIDB","[Dimittenddato].[Dimittenddato].&amp;[2014-06-26T00:00:00]")</f>
        <v>26-06-2014</v>
      </c>
      <c r="B673" t="str" vm="4837">
        <f>IFERROR(CUBEVALUE("BIDB",$A673,B$3,'Præsentationstabeller 1'!$C$2),0)</f>
        <v/>
      </c>
      <c r="C673" t="str" vm="9027">
        <f>IFERROR(CUBEVALUE("BIDB",$A673,C$3,C$2,'Præsentationstabeller 1'!$C$2),0)</f>
        <v/>
      </c>
      <c r="D673" vm="8396">
        <f>IFERROR(CUBEVALUE("BIDB",$A673,D$3,D$2,'Præsentationstabeller 1'!$C$2),0)</f>
        <v>13</v>
      </c>
      <c r="E673" vm="8260">
        <f>IFERROR(CUBEVALUE("BIDB",$A673,E$3,E$2,'Præsentationstabeller 1'!$C$2),0)</f>
        <v>18</v>
      </c>
      <c r="F673" vm="5427">
        <f>IFERROR(CUBEVALUE("BIDB",$A673,F$3,F$2,'Præsentationstabeller 1'!$C$2),0)</f>
        <v>6</v>
      </c>
      <c r="G673" vm="5887">
        <f>IFERROR(CUBEVALUE("BIDB",$A673,G$3,G$2,'Præsentationstabeller 1'!$C$2),0)</f>
        <v>24</v>
      </c>
      <c r="H673" t="str" vm="13146">
        <f>IFERROR(CUBEVALUE("BIDB",$A673,H$3,H$2,'Præsentationstabeller 1'!$C$2),0)</f>
        <v/>
      </c>
      <c r="I673" t="str" vm="5541">
        <f>IFERROR(CUBEVALUE("BIDB",$A673,I$3,I$2,'Præsentationstabeller 1'!$C$2),0)</f>
        <v/>
      </c>
      <c r="J673" vm="6259">
        <f>IFERROR(CUBEVALUE("BIDB",$A673,J$3,J$2,'Præsentationstabeller 1'!$C$2),0)</f>
        <v>1.2</v>
      </c>
      <c r="K673" vm="6914">
        <f>IFERROR(CUBEVALUE("BIDB",$A673,K$3,K$2,'Præsentationstabeller 1'!$C$2),0)</f>
        <v>0.4</v>
      </c>
      <c r="L673" vm="5138">
        <f>IFERROR(CUBEVALUE("BIDB",$A673,L$3,L$2,'Præsentationstabeller 1'!$C$2),0)</f>
        <v>1.6</v>
      </c>
    </row>
    <row r="674" spans="1:12" x14ac:dyDescent="0.3">
      <c r="A674" s="123" t="str" vm="662">
        <f>CUBEMEMBER("BIDB","[Dimittenddato].[Dimittenddato].&amp;[2014-06-27T00:00:00]")</f>
        <v>27-06-2014</v>
      </c>
      <c r="B674" t="str" vm="8679">
        <f>IFERROR(CUBEVALUE("BIDB",$A674,B$3,'Præsentationstabeller 1'!$C$2),0)</f>
        <v/>
      </c>
      <c r="C674" vm="15428">
        <f>IFERROR(CUBEVALUE("BIDB",$A674,C$3,C$2,'Præsentationstabeller 1'!$C$2),0)</f>
        <v>1</v>
      </c>
      <c r="D674" vm="5659">
        <f>IFERROR(CUBEVALUE("BIDB",$A674,D$3,D$2,'Præsentationstabeller 1'!$C$2),0)</f>
        <v>24</v>
      </c>
      <c r="E674" vm="6304">
        <f>IFERROR(CUBEVALUE("BIDB",$A674,E$3,E$2,'Præsentationstabeller 1'!$C$2),0)</f>
        <v>30</v>
      </c>
      <c r="F674" vm="7682">
        <f>IFERROR(CUBEVALUE("BIDB",$A674,F$3,F$2,'Præsentationstabeller 1'!$C$2),0)</f>
        <v>21</v>
      </c>
      <c r="G674" vm="8592">
        <f>IFERROR(CUBEVALUE("BIDB",$A674,G$3,G$2,'Præsentationstabeller 1'!$C$2),0)</f>
        <v>51</v>
      </c>
      <c r="H674" t="str" vm="6093">
        <f>IFERROR(CUBEVALUE("BIDB",$A674,H$3,H$2,'Præsentationstabeller 1'!$C$2),0)</f>
        <v/>
      </c>
      <c r="I674" vm="7614">
        <f>IFERROR(CUBEVALUE("BIDB",$A674,I$3,I$2,'Præsentationstabeller 1'!$C$2),0)</f>
        <v>1.8451351351351351</v>
      </c>
      <c r="J674" vm="13746">
        <f>IFERROR(CUBEVALUE("BIDB",$A674,J$3,J$2,'Præsentationstabeller 1'!$C$2),0)</f>
        <v>2.6</v>
      </c>
      <c r="K674" t="str" vm="8224">
        <f>IFERROR(CUBEVALUE("BIDB",$A674,K$3,K$2,'Præsentationstabeller 1'!$C$2),0)</f>
        <v/>
      </c>
      <c r="L674" vm="5268">
        <f>IFERROR(CUBEVALUE("BIDB",$A674,L$3,L$2,'Præsentationstabeller 1'!$C$2),0)</f>
        <v>2.6</v>
      </c>
    </row>
    <row r="675" spans="1:12" x14ac:dyDescent="0.3">
      <c r="A675" s="123" t="str" vm="661">
        <f>CUBEMEMBER("BIDB","[Dimittenddato].[Dimittenddato].&amp;[2014-06-28T00:00:00]")</f>
        <v>28-06-2014</v>
      </c>
      <c r="B675" t="str" vm="8192">
        <f>IFERROR(CUBEVALUE("BIDB",$A675,B$3,'Præsentationstabeller 1'!$C$2),0)</f>
        <v/>
      </c>
      <c r="C675" t="str" vm="6449">
        <f>IFERROR(CUBEVALUE("BIDB",$A675,C$3,C$2,'Præsentationstabeller 1'!$C$2),0)</f>
        <v/>
      </c>
      <c r="D675" t="str" vm="5603">
        <f>IFERROR(CUBEVALUE("BIDB",$A675,D$3,D$2,'Præsentationstabeller 1'!$C$2),0)</f>
        <v/>
      </c>
      <c r="E675" vm="7905">
        <f>IFERROR(CUBEVALUE("BIDB",$A675,E$3,E$2,'Præsentationstabeller 1'!$C$2),0)</f>
        <v>1</v>
      </c>
      <c r="F675" vm="11740">
        <f>IFERROR(CUBEVALUE("BIDB",$A675,F$3,F$2,'Præsentationstabeller 1'!$C$2),0)</f>
        <v>0</v>
      </c>
      <c r="G675" vm="5275">
        <f>IFERROR(CUBEVALUE("BIDB",$A675,G$3,G$2,'Præsentationstabeller 1'!$C$2),0)</f>
        <v>1</v>
      </c>
      <c r="H675" t="str" vm="7041">
        <f>IFERROR(CUBEVALUE("BIDB",$A675,H$3,H$2,'Præsentationstabeller 1'!$C$2),0)</f>
        <v/>
      </c>
      <c r="I675" t="str" vm="6022">
        <f>IFERROR(CUBEVALUE("BIDB",$A675,I$3,I$2,'Præsentationstabeller 1'!$C$2),0)</f>
        <v/>
      </c>
      <c r="J675" t="str" vm="4156">
        <f>IFERROR(CUBEVALUE("BIDB",$A675,J$3,J$2,'Præsentationstabeller 1'!$C$2),0)</f>
        <v/>
      </c>
      <c r="K675" t="str" vm="8120">
        <f>IFERROR(CUBEVALUE("BIDB",$A675,K$3,K$2,'Præsentationstabeller 1'!$C$2),0)</f>
        <v/>
      </c>
      <c r="L675" t="str" vm="7292">
        <f>IFERROR(CUBEVALUE("BIDB",$A675,L$3,L$2,'Præsentationstabeller 1'!$C$2),0)</f>
        <v/>
      </c>
    </row>
    <row r="676" spans="1:12" x14ac:dyDescent="0.3">
      <c r="A676" s="123" t="str" vm="660">
        <f>CUBEMEMBER("BIDB","[Dimittenddato].[Dimittenddato].&amp;[2014-06-29T00:00:00]")</f>
        <v>29-06-2014</v>
      </c>
      <c r="B676" t="str" vm="6296">
        <f>IFERROR(CUBEVALUE("BIDB",$A676,B$3,'Præsentationstabeller 1'!$C$2),0)</f>
        <v/>
      </c>
      <c r="C676" t="str" vm="6456">
        <f>IFERROR(CUBEVALUE("BIDB",$A676,C$3,C$2,'Præsentationstabeller 1'!$C$2),0)</f>
        <v/>
      </c>
      <c r="D676" t="str" vm="5395">
        <f>IFERROR(CUBEVALUE("BIDB",$A676,D$3,D$2,'Præsentationstabeller 1'!$C$2),0)</f>
        <v/>
      </c>
      <c r="E676" t="str" vm="8777">
        <f>IFERROR(CUBEVALUE("BIDB",$A676,E$3,E$2,'Præsentationstabeller 1'!$C$2),0)</f>
        <v/>
      </c>
      <c r="F676" t="str" vm="6872">
        <f>IFERROR(CUBEVALUE("BIDB",$A676,F$3,F$2,'Præsentationstabeller 1'!$C$2),0)</f>
        <v/>
      </c>
      <c r="G676" t="str" vm="6857">
        <f>IFERROR(CUBEVALUE("BIDB",$A676,G$3,G$2,'Præsentationstabeller 1'!$C$2),0)</f>
        <v/>
      </c>
      <c r="H676" t="str" vm="7048">
        <f>IFERROR(CUBEVALUE("BIDB",$A676,H$3,H$2,'Præsentationstabeller 1'!$C$2),0)</f>
        <v/>
      </c>
      <c r="I676" t="str" vm="5402">
        <f>IFERROR(CUBEVALUE("BIDB",$A676,I$3,I$2,'Præsentationstabeller 1'!$C$2),0)</f>
        <v/>
      </c>
      <c r="J676" t="str" vm="10451">
        <f>IFERROR(CUBEVALUE("BIDB",$A676,J$3,J$2,'Præsentationstabeller 1'!$C$2),0)</f>
        <v/>
      </c>
      <c r="K676" t="str" vm="6014">
        <f>IFERROR(CUBEVALUE("BIDB",$A676,K$3,K$2,'Præsentationstabeller 1'!$C$2),0)</f>
        <v/>
      </c>
      <c r="L676" t="str" vm="10865">
        <f>IFERROR(CUBEVALUE("BIDB",$A676,L$3,L$2,'Præsentationstabeller 1'!$C$2),0)</f>
        <v/>
      </c>
    </row>
    <row r="677" spans="1:12" x14ac:dyDescent="0.3">
      <c r="A677" s="123" t="str" vm="659">
        <f>CUBEMEMBER("BIDB","[Dimittenddato].[Dimittenddato].&amp;[2014-06-30T00:00:00]")</f>
        <v>30-06-2014</v>
      </c>
      <c r="B677" t="str" vm="4867">
        <f>IFERROR(CUBEVALUE("BIDB",$A677,B$3,'Præsentationstabeller 1'!$C$2),0)</f>
        <v/>
      </c>
      <c r="C677" vm="7101">
        <f>IFERROR(CUBEVALUE("BIDB",$A677,C$3,C$2,'Præsentationstabeller 1'!$C$2),0)</f>
        <v>3</v>
      </c>
      <c r="D677" vm="9688">
        <f>IFERROR(CUBEVALUE("BIDB",$A677,D$3,D$2,'Præsentationstabeller 1'!$C$2),0)</f>
        <v>5</v>
      </c>
      <c r="E677" vm="7412">
        <f>IFERROR(CUBEVALUE("BIDB",$A677,E$3,E$2,'Præsentationstabeller 1'!$C$2),0)</f>
        <v>12</v>
      </c>
      <c r="F677" vm="15042">
        <f>IFERROR(CUBEVALUE("BIDB",$A677,F$3,F$2,'Præsentationstabeller 1'!$C$2),0)</f>
        <v>7</v>
      </c>
      <c r="G677" vm="7146">
        <f>IFERROR(CUBEVALUE("BIDB",$A677,G$3,G$2,'Præsentationstabeller 1'!$C$2),0)</f>
        <v>19</v>
      </c>
      <c r="H677" t="str" vm="7321">
        <f>IFERROR(CUBEVALUE("BIDB",$A677,H$3,H$2,'Præsentationstabeller 1'!$C$2),0)</f>
        <v/>
      </c>
      <c r="I677" t="str" vm="6825">
        <f>IFERROR(CUBEVALUE("BIDB",$A677,I$3,I$2,'Præsentationstabeller 1'!$C$2),0)</f>
        <v/>
      </c>
      <c r="J677" vm="8784">
        <f>IFERROR(CUBEVALUE("BIDB",$A677,J$3,J$2,'Præsentationstabeller 1'!$C$2),0)</f>
        <v>1</v>
      </c>
      <c r="K677" t="str" vm="4875">
        <f>IFERROR(CUBEVALUE("BIDB",$A677,K$3,K$2,'Præsentationstabeller 1'!$C$2),0)</f>
        <v/>
      </c>
      <c r="L677" vm="3535">
        <f>IFERROR(CUBEVALUE("BIDB",$A677,L$3,L$2,'Præsentationstabeller 1'!$C$2),0)</f>
        <v>1</v>
      </c>
    </row>
    <row r="678" spans="1:12" x14ac:dyDescent="0.3">
      <c r="A678" s="123" t="str" vm="658">
        <f>CUBEMEMBER("BIDB","[Dimittenddato].[Dimittenddato].&amp;[2014-07-01T00:00:00]")</f>
        <v>01-07-2014</v>
      </c>
      <c r="B678" t="str" vm="6153">
        <f>IFERROR(CUBEVALUE("BIDB",$A678,B$3,'Præsentationstabeller 1'!$C$2),0)</f>
        <v/>
      </c>
      <c r="C678" vm="5021">
        <f>IFERROR(CUBEVALUE("BIDB",$A678,C$3,C$2,'Præsentationstabeller 1'!$C$2),0)</f>
        <v>1</v>
      </c>
      <c r="D678" vm="6721">
        <f>IFERROR(CUBEVALUE("BIDB",$A678,D$3,D$2,'Præsentationstabeller 1'!$C$2),0)</f>
        <v>2</v>
      </c>
      <c r="E678" vm="7465">
        <f>IFERROR(CUBEVALUE("BIDB",$A678,E$3,E$2,'Præsentationstabeller 1'!$C$2),0)</f>
        <v>9</v>
      </c>
      <c r="F678" vm="9021">
        <f>IFERROR(CUBEVALUE("BIDB",$A678,F$3,F$2,'Præsentationstabeller 1'!$C$2),0)</f>
        <v>4</v>
      </c>
      <c r="G678" vm="7553">
        <f>IFERROR(CUBEVALUE("BIDB",$A678,G$3,G$2,'Præsentationstabeller 1'!$C$2),0)</f>
        <v>13</v>
      </c>
      <c r="H678" t="str" vm="5729">
        <f>IFERROR(CUBEVALUE("BIDB",$A678,H$3,H$2,'Præsentationstabeller 1'!$C$2),0)</f>
        <v/>
      </c>
      <c r="I678" vm="6159">
        <f>IFERROR(CUBEVALUE("BIDB",$A678,I$3,I$2,'Præsentationstabeller 1'!$C$2),0)</f>
        <v>1</v>
      </c>
      <c r="J678" t="str" vm="6389">
        <f>IFERROR(CUBEVALUE("BIDB",$A678,J$3,J$2,'Præsentationstabeller 1'!$C$2),0)</f>
        <v/>
      </c>
      <c r="K678" vm="6424">
        <f>IFERROR(CUBEVALUE("BIDB",$A678,K$3,K$2,'Præsentationstabeller 1'!$C$2),0)</f>
        <v>0.76</v>
      </c>
      <c r="L678" vm="6417">
        <f>IFERROR(CUBEVALUE("BIDB",$A678,L$3,L$2,'Præsentationstabeller 1'!$C$2),0)</f>
        <v>0.76</v>
      </c>
    </row>
    <row r="679" spans="1:12" x14ac:dyDescent="0.3">
      <c r="A679" s="123" t="str" vm="657">
        <f>CUBEMEMBER("BIDB","[Dimittenddato].[Dimittenddato].&amp;[2014-07-02T00:00:00]")</f>
        <v>02-07-2014</v>
      </c>
      <c r="B679" t="str" vm="8593">
        <f>IFERROR(CUBEVALUE("BIDB",$A679,B$3,'Præsentationstabeller 1'!$C$2),0)</f>
        <v/>
      </c>
      <c r="C679" t="str" vm="6063">
        <f>IFERROR(CUBEVALUE("BIDB",$A679,C$3,C$2,'Præsentationstabeller 1'!$C$2),0)</f>
        <v/>
      </c>
      <c r="D679" vm="5633">
        <f>IFERROR(CUBEVALUE("BIDB",$A679,D$3,D$2,'Præsentationstabeller 1'!$C$2),0)</f>
        <v>2</v>
      </c>
      <c r="E679" vm="7753">
        <f>IFERROR(CUBEVALUE("BIDB",$A679,E$3,E$2,'Præsentationstabeller 1'!$C$2),0)</f>
        <v>4</v>
      </c>
      <c r="F679" t="str" vm="5667">
        <f>IFERROR(CUBEVALUE("BIDB",$A679,F$3,F$2,'Præsentationstabeller 1'!$C$2),0)</f>
        <v/>
      </c>
      <c r="G679" vm="6895">
        <f>IFERROR(CUBEVALUE("BIDB",$A679,G$3,G$2,'Præsentationstabeller 1'!$C$2),0)</f>
        <v>4</v>
      </c>
      <c r="H679" t="str" vm="9224">
        <f>IFERROR(CUBEVALUE("BIDB",$A679,H$3,H$2,'Præsentationstabeller 1'!$C$2),0)</f>
        <v/>
      </c>
      <c r="I679" vm="12696">
        <f>IFERROR(CUBEVALUE("BIDB",$A679,I$3,I$2,'Præsentationstabeller 1'!$C$2),0)</f>
        <v>1</v>
      </c>
      <c r="J679" t="str" vm="4588">
        <f>IFERROR(CUBEVALUE("BIDB",$A679,J$3,J$2,'Præsentationstabeller 1'!$C$2),0)</f>
        <v/>
      </c>
      <c r="K679" t="str" vm="11344">
        <f>IFERROR(CUBEVALUE("BIDB",$A679,K$3,K$2,'Præsentationstabeller 1'!$C$2),0)</f>
        <v/>
      </c>
      <c r="L679" t="str" vm="9637">
        <f>IFERROR(CUBEVALUE("BIDB",$A679,L$3,L$2,'Præsentationstabeller 1'!$C$2),0)</f>
        <v/>
      </c>
    </row>
    <row r="680" spans="1:12" x14ac:dyDescent="0.3">
      <c r="A680" s="123" t="str" vm="656">
        <f>CUBEMEMBER("BIDB","[Dimittenddato].[Dimittenddato].&amp;[2014-07-03T00:00:00]")</f>
        <v>03-07-2014</v>
      </c>
      <c r="B680" t="str" vm="7337">
        <f>IFERROR(CUBEVALUE("BIDB",$A680,B$3,'Præsentationstabeller 1'!$C$2),0)</f>
        <v/>
      </c>
      <c r="C680" t="str" vm="7193">
        <f>IFERROR(CUBEVALUE("BIDB",$A680,C$3,C$2,'Præsentationstabeller 1'!$C$2),0)</f>
        <v/>
      </c>
      <c r="D680" vm="6373">
        <f>IFERROR(CUBEVALUE("BIDB",$A680,D$3,D$2,'Præsentationstabeller 1'!$C$2),0)</f>
        <v>1</v>
      </c>
      <c r="E680" vm="6660">
        <f>IFERROR(CUBEVALUE("BIDB",$A680,E$3,E$2,'Præsentationstabeller 1'!$C$2),0)</f>
        <v>1</v>
      </c>
      <c r="F680" vm="6371">
        <f>IFERROR(CUBEVALUE("BIDB",$A680,F$3,F$2,'Præsentationstabeller 1'!$C$2),0)</f>
        <v>2</v>
      </c>
      <c r="G680" vm="16405">
        <f>IFERROR(CUBEVALUE("BIDB",$A680,G$3,G$2,'Præsentationstabeller 1'!$C$2),0)</f>
        <v>3</v>
      </c>
      <c r="H680" t="str" vm="6851">
        <f>IFERROR(CUBEVALUE("BIDB",$A680,H$3,H$2,'Præsentationstabeller 1'!$C$2),0)</f>
        <v/>
      </c>
      <c r="I680" t="str" vm="7022">
        <f>IFERROR(CUBEVALUE("BIDB",$A680,I$3,I$2,'Præsentationstabeller 1'!$C$2),0)</f>
        <v/>
      </c>
      <c r="J680" t="str" vm="7103">
        <f>IFERROR(CUBEVALUE("BIDB",$A680,J$3,J$2,'Præsentationstabeller 1'!$C$2),0)</f>
        <v/>
      </c>
      <c r="K680" t="str" vm="8427">
        <f>IFERROR(CUBEVALUE("BIDB",$A680,K$3,K$2,'Præsentationstabeller 1'!$C$2),0)</f>
        <v/>
      </c>
      <c r="L680" t="str" vm="6681">
        <f>IFERROR(CUBEVALUE("BIDB",$A680,L$3,L$2,'Præsentationstabeller 1'!$C$2),0)</f>
        <v/>
      </c>
    </row>
    <row r="681" spans="1:12" x14ac:dyDescent="0.3">
      <c r="A681" s="123" t="str" vm="655">
        <f>CUBEMEMBER("BIDB","[Dimittenddato].[Dimittenddato].&amp;[2014-07-04T00:00:00]")</f>
        <v>04-07-2014</v>
      </c>
      <c r="B681" t="str" vm="6912">
        <f>IFERROR(CUBEVALUE("BIDB",$A681,B$3,'Præsentationstabeller 1'!$C$2),0)</f>
        <v/>
      </c>
      <c r="C681" t="str" vm="8636">
        <f>IFERROR(CUBEVALUE("BIDB",$A681,C$3,C$2,'Præsentationstabeller 1'!$C$2),0)</f>
        <v/>
      </c>
      <c r="D681" vm="6038">
        <f>IFERROR(CUBEVALUE("BIDB",$A681,D$3,D$2,'Præsentationstabeller 1'!$C$2),0)</f>
        <v>4</v>
      </c>
      <c r="E681" vm="6794">
        <f>IFERROR(CUBEVALUE("BIDB",$A681,E$3,E$2,'Præsentationstabeller 1'!$C$2),0)</f>
        <v>14</v>
      </c>
      <c r="F681" t="str" vm="5767">
        <f>IFERROR(CUBEVALUE("BIDB",$A681,F$3,F$2,'Præsentationstabeller 1'!$C$2),0)</f>
        <v/>
      </c>
      <c r="G681" vm="4906">
        <f>IFERROR(CUBEVALUE("BIDB",$A681,G$3,G$2,'Præsentationstabeller 1'!$C$2),0)</f>
        <v>14</v>
      </c>
      <c r="H681" t="str" vm="12762">
        <f>IFERROR(CUBEVALUE("BIDB",$A681,H$3,H$2,'Præsentationstabeller 1'!$C$2),0)</f>
        <v/>
      </c>
      <c r="I681" t="str" vm="12467">
        <f>IFERROR(CUBEVALUE("BIDB",$A681,I$3,I$2,'Præsentationstabeller 1'!$C$2),0)</f>
        <v/>
      </c>
      <c r="J681" t="str" vm="6819">
        <f>IFERROR(CUBEVALUE("BIDB",$A681,J$3,J$2,'Præsentationstabeller 1'!$C$2),0)</f>
        <v/>
      </c>
      <c r="K681" t="str" vm="5172">
        <f>IFERROR(CUBEVALUE("BIDB",$A681,K$3,K$2,'Præsentationstabeller 1'!$C$2),0)</f>
        <v/>
      </c>
      <c r="L681" t="str" vm="5348">
        <f>IFERROR(CUBEVALUE("BIDB",$A681,L$3,L$2,'Præsentationstabeller 1'!$C$2),0)</f>
        <v/>
      </c>
    </row>
    <row r="682" spans="1:12" x14ac:dyDescent="0.3">
      <c r="A682" s="123" t="str" vm="654">
        <f>CUBEMEMBER("BIDB","[Dimittenddato].[Dimittenddato].&amp;[2014-07-05T00:00:00]")</f>
        <v>05-07-2014</v>
      </c>
      <c r="B682" t="str" vm="6787">
        <f>IFERROR(CUBEVALUE("BIDB",$A682,B$3,'Præsentationstabeller 1'!$C$2),0)</f>
        <v/>
      </c>
      <c r="C682" t="str" vm="6999">
        <f>IFERROR(CUBEVALUE("BIDB",$A682,C$3,C$2,'Præsentationstabeller 1'!$C$2),0)</f>
        <v/>
      </c>
      <c r="D682" vm="8924">
        <f>IFERROR(CUBEVALUE("BIDB",$A682,D$3,D$2,'Præsentationstabeller 1'!$C$2),0)</f>
        <v>1</v>
      </c>
      <c r="E682" vm="7908">
        <f>IFERROR(CUBEVALUE("BIDB",$A682,E$3,E$2,'Præsentationstabeller 1'!$C$2),0)</f>
        <v>1</v>
      </c>
      <c r="F682" vm="5147">
        <f>IFERROR(CUBEVALUE("BIDB",$A682,F$3,F$2,'Præsentationstabeller 1'!$C$2),0)</f>
        <v>6</v>
      </c>
      <c r="G682" vm="7071">
        <f>IFERROR(CUBEVALUE("BIDB",$A682,G$3,G$2,'Præsentationstabeller 1'!$C$2),0)</f>
        <v>7</v>
      </c>
      <c r="H682" t="str" vm="5759">
        <f>IFERROR(CUBEVALUE("BIDB",$A682,H$3,H$2,'Præsentationstabeller 1'!$C$2),0)</f>
        <v/>
      </c>
      <c r="I682" t="str" vm="3283">
        <f>IFERROR(CUBEVALUE("BIDB",$A682,I$3,I$2,'Præsentationstabeller 1'!$C$2),0)</f>
        <v/>
      </c>
      <c r="J682" t="str" vm="7329">
        <f>IFERROR(CUBEVALUE("BIDB",$A682,J$3,J$2,'Præsentationstabeller 1'!$C$2),0)</f>
        <v/>
      </c>
      <c r="K682" t="str" vm="6200">
        <f>IFERROR(CUBEVALUE("BIDB",$A682,K$3,K$2,'Præsentationstabeller 1'!$C$2),0)</f>
        <v/>
      </c>
      <c r="L682" t="str" vm="6031">
        <f>IFERROR(CUBEVALUE("BIDB",$A682,L$3,L$2,'Præsentationstabeller 1'!$C$2),0)</f>
        <v/>
      </c>
    </row>
    <row r="683" spans="1:12" x14ac:dyDescent="0.3">
      <c r="A683" s="123" t="str" vm="653">
        <f>CUBEMEMBER("BIDB","[Dimittenddato].[Dimittenddato].&amp;[2014-07-06T00:00:00]")</f>
        <v>06-07-2014</v>
      </c>
      <c r="B683" t="str" vm="8758">
        <f>IFERROR(CUBEVALUE("BIDB",$A683,B$3,'Præsentationstabeller 1'!$C$2),0)</f>
        <v/>
      </c>
      <c r="C683" t="str" vm="6193">
        <f>IFERROR(CUBEVALUE("BIDB",$A683,C$3,C$2,'Præsentationstabeller 1'!$C$2),0)</f>
        <v/>
      </c>
      <c r="D683" t="str" vm="5806">
        <f>IFERROR(CUBEVALUE("BIDB",$A683,D$3,D$2,'Præsentationstabeller 1'!$C$2),0)</f>
        <v/>
      </c>
      <c r="E683" t="str" vm="5475">
        <f>IFERROR(CUBEVALUE("BIDB",$A683,E$3,E$2,'Præsentationstabeller 1'!$C$2),0)</f>
        <v/>
      </c>
      <c r="F683" t="str" vm="8358">
        <f>IFERROR(CUBEVALUE("BIDB",$A683,F$3,F$2,'Præsentationstabeller 1'!$C$2),0)</f>
        <v/>
      </c>
      <c r="G683" t="str" vm="8295">
        <f>IFERROR(CUBEVALUE("BIDB",$A683,G$3,G$2,'Præsentationstabeller 1'!$C$2),0)</f>
        <v/>
      </c>
      <c r="H683" t="str" vm="5641">
        <f>IFERROR(CUBEVALUE("BIDB",$A683,H$3,H$2,'Præsentationstabeller 1'!$C$2),0)</f>
        <v/>
      </c>
      <c r="I683" t="str" vm="5140">
        <f>IFERROR(CUBEVALUE("BIDB",$A683,I$3,I$2,'Præsentationstabeller 1'!$C$2),0)</f>
        <v/>
      </c>
      <c r="J683" t="str" vm="4618">
        <f>IFERROR(CUBEVALUE("BIDB",$A683,J$3,J$2,'Præsentationstabeller 1'!$C$2),0)</f>
        <v/>
      </c>
      <c r="K683" t="str" vm="15943">
        <f>IFERROR(CUBEVALUE("BIDB",$A683,K$3,K$2,'Præsentationstabeller 1'!$C$2),0)</f>
        <v/>
      </c>
      <c r="L683" t="str" vm="11115">
        <f>IFERROR(CUBEVALUE("BIDB",$A683,L$3,L$2,'Præsentationstabeller 1'!$C$2),0)</f>
        <v/>
      </c>
    </row>
    <row r="684" spans="1:12" x14ac:dyDescent="0.3">
      <c r="A684" s="123" t="str" vm="652">
        <f>CUBEMEMBER("BIDB","[Dimittenddato].[Dimittenddato].&amp;[2014-07-07T00:00:00]")</f>
        <v>07-07-2014</v>
      </c>
      <c r="B684" t="str" vm="8854">
        <f>IFERROR(CUBEVALUE("BIDB",$A684,B$3,'Præsentationstabeller 1'!$C$2),0)</f>
        <v/>
      </c>
      <c r="C684" t="str" vm="8918">
        <f>IFERROR(CUBEVALUE("BIDB",$A684,C$3,C$2,'Præsentationstabeller 1'!$C$2),0)</f>
        <v/>
      </c>
      <c r="D684" vm="13653">
        <f>IFERROR(CUBEVALUE("BIDB",$A684,D$3,D$2,'Præsentationstabeller 1'!$C$2),0)</f>
        <v>2</v>
      </c>
      <c r="E684" t="str" vm="8288">
        <f>IFERROR(CUBEVALUE("BIDB",$A684,E$3,E$2,'Præsentationstabeller 1'!$C$2),0)</f>
        <v/>
      </c>
      <c r="F684" vm="7138">
        <f>IFERROR(CUBEVALUE("BIDB",$A684,F$3,F$2,'Præsentationstabeller 1'!$C$2),0)</f>
        <v>3</v>
      </c>
      <c r="G684" vm="6516">
        <f>IFERROR(CUBEVALUE("BIDB",$A684,G$3,G$2,'Præsentationstabeller 1'!$C$2),0)</f>
        <v>3</v>
      </c>
      <c r="H684" t="str" vm="6168">
        <f>IFERROR(CUBEVALUE("BIDB",$A684,H$3,H$2,'Præsentationstabeller 1'!$C$2),0)</f>
        <v/>
      </c>
      <c r="I684" t="str" vm="8113">
        <f>IFERROR(CUBEVALUE("BIDB",$A684,I$3,I$2,'Præsentationstabeller 1'!$C$2),0)</f>
        <v/>
      </c>
      <c r="J684" t="str" vm="5386">
        <f>IFERROR(CUBEVALUE("BIDB",$A684,J$3,J$2,'Præsentationstabeller 1'!$C$2),0)</f>
        <v/>
      </c>
      <c r="K684" t="str" vm="4768">
        <f>IFERROR(CUBEVALUE("BIDB",$A684,K$3,K$2,'Præsentationstabeller 1'!$C$2),0)</f>
        <v/>
      </c>
      <c r="L684" t="str" vm="6395">
        <f>IFERROR(CUBEVALUE("BIDB",$A684,L$3,L$2,'Præsentationstabeller 1'!$C$2),0)</f>
        <v/>
      </c>
    </row>
    <row r="685" spans="1:12" x14ac:dyDescent="0.3">
      <c r="A685" s="123" t="str" vm="651">
        <f>CUBEMEMBER("BIDB","[Dimittenddato].[Dimittenddato].&amp;[2014-07-08T00:00:00]")</f>
        <v>08-07-2014</v>
      </c>
      <c r="B685" t="str" vm="5202">
        <f>IFERROR(CUBEVALUE("BIDB",$A685,B$3,'Præsentationstabeller 1'!$C$2),0)</f>
        <v/>
      </c>
      <c r="C685" t="str" vm="6689">
        <f>IFERROR(CUBEVALUE("BIDB",$A685,C$3,C$2,'Præsentationstabeller 1'!$C$2),0)</f>
        <v/>
      </c>
      <c r="D685" vm="9940">
        <f>IFERROR(CUBEVALUE("BIDB",$A685,D$3,D$2,'Præsentationstabeller 1'!$C$2),0)</f>
        <v>5</v>
      </c>
      <c r="E685" vm="8352">
        <f>IFERROR(CUBEVALUE("BIDB",$A685,E$3,E$2,'Præsentationstabeller 1'!$C$2),0)</f>
        <v>1</v>
      </c>
      <c r="F685" t="str" vm="6161">
        <f>IFERROR(CUBEVALUE("BIDB",$A685,F$3,F$2,'Præsentationstabeller 1'!$C$2),0)</f>
        <v/>
      </c>
      <c r="G685" vm="4335">
        <f>IFERROR(CUBEVALUE("BIDB",$A685,G$3,G$2,'Præsentationstabeller 1'!$C$2),0)</f>
        <v>1</v>
      </c>
      <c r="H685" t="str" vm="8326">
        <f>IFERROR(CUBEVALUE("BIDB",$A685,H$3,H$2,'Præsentationstabeller 1'!$C$2),0)</f>
        <v/>
      </c>
      <c r="I685" t="str" vm="7772">
        <f>IFERROR(CUBEVALUE("BIDB",$A685,I$3,I$2,'Præsentationstabeller 1'!$C$2),0)</f>
        <v/>
      </c>
      <c r="J685" t="str" vm="6377">
        <f>IFERROR(CUBEVALUE("BIDB",$A685,J$3,J$2,'Præsentationstabeller 1'!$C$2),0)</f>
        <v/>
      </c>
      <c r="K685" t="str" vm="6638">
        <f>IFERROR(CUBEVALUE("BIDB",$A685,K$3,K$2,'Præsentationstabeller 1'!$C$2),0)</f>
        <v/>
      </c>
      <c r="L685" t="str" vm="5378">
        <f>IFERROR(CUBEVALUE("BIDB",$A685,L$3,L$2,'Præsentationstabeller 1'!$C$2),0)</f>
        <v/>
      </c>
    </row>
    <row r="686" spans="1:12" x14ac:dyDescent="0.3">
      <c r="A686" s="123" t="str" vm="650">
        <f>CUBEMEMBER("BIDB","[Dimittenddato].[Dimittenddato].&amp;[2014-07-09T00:00:00]")</f>
        <v>09-07-2014</v>
      </c>
      <c r="B686" t="str" vm="8600">
        <f>IFERROR(CUBEVALUE("BIDB",$A686,B$3,'Præsentationstabeller 1'!$C$2),0)</f>
        <v/>
      </c>
      <c r="C686" t="str" vm="6498">
        <f>IFERROR(CUBEVALUE("BIDB",$A686,C$3,C$2,'Præsentationstabeller 1'!$C$2),0)</f>
        <v/>
      </c>
      <c r="D686" t="str" vm="13150">
        <f>IFERROR(CUBEVALUE("BIDB",$A686,D$3,D$2,'Præsentationstabeller 1'!$C$2),0)</f>
        <v/>
      </c>
      <c r="E686" vm="8638">
        <f>IFERROR(CUBEVALUE("BIDB",$A686,E$3,E$2,'Præsentationstabeller 1'!$C$2),0)</f>
        <v>6</v>
      </c>
      <c r="F686" vm="6641">
        <f>IFERROR(CUBEVALUE("BIDB",$A686,F$3,F$2,'Præsentationstabeller 1'!$C$2),0)</f>
        <v>0</v>
      </c>
      <c r="G686" vm="7450">
        <f>IFERROR(CUBEVALUE("BIDB",$A686,G$3,G$2,'Præsentationstabeller 1'!$C$2),0)</f>
        <v>6</v>
      </c>
      <c r="H686" t="str" vm="7861">
        <f>IFERROR(CUBEVALUE("BIDB",$A686,H$3,H$2,'Præsentationstabeller 1'!$C$2),0)</f>
        <v/>
      </c>
      <c r="I686" t="str" vm="6111">
        <f>IFERROR(CUBEVALUE("BIDB",$A686,I$3,I$2,'Præsentationstabeller 1'!$C$2),0)</f>
        <v/>
      </c>
      <c r="J686" vm="7912">
        <f>IFERROR(CUBEVALUE("BIDB",$A686,J$3,J$2,'Præsentationstabeller 1'!$C$2),0)</f>
        <v>0.8</v>
      </c>
      <c r="K686" t="str" vm="8659">
        <f>IFERROR(CUBEVALUE("BIDB",$A686,K$3,K$2,'Præsentationstabeller 1'!$C$2),0)</f>
        <v/>
      </c>
      <c r="L686" vm="6500">
        <f>IFERROR(CUBEVALUE("BIDB",$A686,L$3,L$2,'Præsentationstabeller 1'!$C$2),0)</f>
        <v>0.8</v>
      </c>
    </row>
    <row r="687" spans="1:12" x14ac:dyDescent="0.3">
      <c r="A687" s="123" t="str" vm="649">
        <f>CUBEMEMBER("BIDB","[Dimittenddato].[Dimittenddato].&amp;[2014-07-10T00:00:00]")</f>
        <v>10-07-2014</v>
      </c>
      <c r="B687" t="str" vm="6539">
        <f>IFERROR(CUBEVALUE("BIDB",$A687,B$3,'Præsentationstabeller 1'!$C$2),0)</f>
        <v/>
      </c>
      <c r="C687" vm="5513">
        <f>IFERROR(CUBEVALUE("BIDB",$A687,C$3,C$2,'Præsentationstabeller 1'!$C$2),0)</f>
        <v>0</v>
      </c>
      <c r="D687" t="str" vm="4653">
        <f>IFERROR(CUBEVALUE("BIDB",$A687,D$3,D$2,'Præsentationstabeller 1'!$C$2),0)</f>
        <v/>
      </c>
      <c r="E687" vm="5505">
        <f>IFERROR(CUBEVALUE("BIDB",$A687,E$3,E$2,'Præsentationstabeller 1'!$C$2),0)</f>
        <v>7</v>
      </c>
      <c r="F687" t="str" vm="7505">
        <f>IFERROR(CUBEVALUE("BIDB",$A687,F$3,F$2,'Præsentationstabeller 1'!$C$2),0)</f>
        <v/>
      </c>
      <c r="G687" vm="8320">
        <f>IFERROR(CUBEVALUE("BIDB",$A687,G$3,G$2,'Præsentationstabeller 1'!$C$2),0)</f>
        <v>7</v>
      </c>
      <c r="H687" t="str" vm="5808">
        <f>IFERROR(CUBEVALUE("BIDB",$A687,H$3,H$2,'Præsentationstabeller 1'!$C$2),0)</f>
        <v/>
      </c>
      <c r="I687" t="str" vm="6630">
        <f>IFERROR(CUBEVALUE("BIDB",$A687,I$3,I$2,'Præsentationstabeller 1'!$C$2),0)</f>
        <v/>
      </c>
      <c r="J687" t="str" vm="6986">
        <f>IFERROR(CUBEVALUE("BIDB",$A687,J$3,J$2,'Præsentationstabeller 1'!$C$2),0)</f>
        <v/>
      </c>
      <c r="K687" t="str" vm="7736">
        <f>IFERROR(CUBEVALUE("BIDB",$A687,K$3,K$2,'Præsentationstabeller 1'!$C$2),0)</f>
        <v/>
      </c>
      <c r="L687" t="str" vm="5783">
        <f>IFERROR(CUBEVALUE("BIDB",$A687,L$3,L$2,'Præsentationstabeller 1'!$C$2),0)</f>
        <v/>
      </c>
    </row>
    <row r="688" spans="1:12" x14ac:dyDescent="0.3">
      <c r="A688" s="123" t="str" vm="648">
        <f>CUBEMEMBER("BIDB","[Dimittenddato].[Dimittenddato].&amp;[2014-07-11T00:00:00]")</f>
        <v>11-07-2014</v>
      </c>
      <c r="B688" t="str" vm="8173">
        <f>IFERROR(CUBEVALUE("BIDB",$A688,B$3,'Præsentationstabeller 1'!$C$2),0)</f>
        <v/>
      </c>
      <c r="C688" t="str" vm="5910">
        <f>IFERROR(CUBEVALUE("BIDB",$A688,C$3,C$2,'Præsentationstabeller 1'!$C$2),0)</f>
        <v/>
      </c>
      <c r="D688" t="str" vm="8839">
        <f>IFERROR(CUBEVALUE("BIDB",$A688,D$3,D$2,'Præsentationstabeller 1'!$C$2),0)</f>
        <v/>
      </c>
      <c r="E688" vm="4373">
        <f>IFERROR(CUBEVALUE("BIDB",$A688,E$3,E$2,'Præsentationstabeller 1'!$C$2),0)</f>
        <v>2</v>
      </c>
      <c r="F688" t="str" vm="4040">
        <f>IFERROR(CUBEVALUE("BIDB",$A688,F$3,F$2,'Præsentationstabeller 1'!$C$2),0)</f>
        <v/>
      </c>
      <c r="G688" vm="7910">
        <f>IFERROR(CUBEVALUE("BIDB",$A688,G$3,G$2,'Præsentationstabeller 1'!$C$2),0)</f>
        <v>2</v>
      </c>
      <c r="H688" t="str" vm="6963">
        <f>IFERROR(CUBEVALUE("BIDB",$A688,H$3,H$2,'Præsentationstabeller 1'!$C$2),0)</f>
        <v/>
      </c>
      <c r="I688" t="str" vm="10541">
        <f>IFERROR(CUBEVALUE("BIDB",$A688,I$3,I$2,'Præsentationstabeller 1'!$C$2),0)</f>
        <v/>
      </c>
      <c r="J688" t="str" vm="6405">
        <f>IFERROR(CUBEVALUE("BIDB",$A688,J$3,J$2,'Præsentationstabeller 1'!$C$2),0)</f>
        <v/>
      </c>
      <c r="K688" t="str" vm="8735">
        <f>IFERROR(CUBEVALUE("BIDB",$A688,K$3,K$2,'Præsentationstabeller 1'!$C$2),0)</f>
        <v/>
      </c>
      <c r="L688" t="str" vm="9539">
        <f>IFERROR(CUBEVALUE("BIDB",$A688,L$3,L$2,'Præsentationstabeller 1'!$C$2),0)</f>
        <v/>
      </c>
    </row>
    <row r="689" spans="1:12" x14ac:dyDescent="0.3">
      <c r="A689" s="123" t="str" vm="647">
        <f>CUBEMEMBER("BIDB","[Dimittenddato].[Dimittenddato].&amp;[2014-07-12T00:00:00]")</f>
        <v>12-07-2014</v>
      </c>
      <c r="B689" t="str" vm="5220">
        <f>IFERROR(CUBEVALUE("BIDB",$A689,B$3,'Præsentationstabeller 1'!$C$2),0)</f>
        <v/>
      </c>
      <c r="C689" t="str" vm="9745">
        <f>IFERROR(CUBEVALUE("BIDB",$A689,C$3,C$2,'Præsentationstabeller 1'!$C$2),0)</f>
        <v/>
      </c>
      <c r="D689" t="str" vm="7806">
        <f>IFERROR(CUBEVALUE("BIDB",$A689,D$3,D$2,'Præsentationstabeller 1'!$C$2),0)</f>
        <v/>
      </c>
      <c r="E689" t="str" vm="6931">
        <f>IFERROR(CUBEVALUE("BIDB",$A689,E$3,E$2,'Præsentationstabeller 1'!$C$2),0)</f>
        <v/>
      </c>
      <c r="F689" t="str" vm="5935">
        <f>IFERROR(CUBEVALUE("BIDB",$A689,F$3,F$2,'Præsentationstabeller 1'!$C$2),0)</f>
        <v/>
      </c>
      <c r="G689" t="str" vm="4365">
        <f>IFERROR(CUBEVALUE("BIDB",$A689,G$3,G$2,'Præsentationstabeller 1'!$C$2),0)</f>
        <v/>
      </c>
      <c r="H689" t="str" vm="7480">
        <f>IFERROR(CUBEVALUE("BIDB",$A689,H$3,H$2,'Præsentationstabeller 1'!$C$2),0)</f>
        <v/>
      </c>
      <c r="I689" t="str" vm="6522">
        <f>IFERROR(CUBEVALUE("BIDB",$A689,I$3,I$2,'Præsentationstabeller 1'!$C$2),0)</f>
        <v/>
      </c>
      <c r="J689" t="str" vm="6768">
        <f>IFERROR(CUBEVALUE("BIDB",$A689,J$3,J$2,'Præsentationstabeller 1'!$C$2),0)</f>
        <v/>
      </c>
      <c r="K689" t="str" vm="5228">
        <f>IFERROR(CUBEVALUE("BIDB",$A689,K$3,K$2,'Præsentationstabeller 1'!$C$2),0)</f>
        <v/>
      </c>
      <c r="L689" t="str" vm="5933">
        <f>IFERROR(CUBEVALUE("BIDB",$A689,L$3,L$2,'Præsentationstabeller 1'!$C$2),0)</f>
        <v/>
      </c>
    </row>
    <row r="690" spans="1:12" x14ac:dyDescent="0.3">
      <c r="A690" s="123" t="str" vm="646">
        <f>CUBEMEMBER("BIDB","[Dimittenddato].[Dimittenddato].&amp;[2014-07-13T00:00:00]")</f>
        <v>13-07-2014</v>
      </c>
      <c r="B690" t="str" vm="5097">
        <f>IFERROR(CUBEVALUE("BIDB",$A690,B$3,'Præsentationstabeller 1'!$C$2),0)</f>
        <v/>
      </c>
      <c r="C690" t="str" vm="5774">
        <f>IFERROR(CUBEVALUE("BIDB",$A690,C$3,C$2,'Præsentationstabeller 1'!$C$2),0)</f>
        <v/>
      </c>
      <c r="D690" t="str" vm="7783">
        <f>IFERROR(CUBEVALUE("BIDB",$A690,D$3,D$2,'Præsentationstabeller 1'!$C$2),0)</f>
        <v/>
      </c>
      <c r="E690" t="str" vm="7640">
        <f>IFERROR(CUBEVALUE("BIDB",$A690,E$3,E$2,'Præsentationstabeller 1'!$C$2),0)</f>
        <v/>
      </c>
      <c r="F690" t="str" vm="8010">
        <f>IFERROR(CUBEVALUE("BIDB",$A690,F$3,F$2,'Præsentationstabeller 1'!$C$2),0)</f>
        <v/>
      </c>
      <c r="G690" t="str" vm="6149">
        <f>IFERROR(CUBEVALUE("BIDB",$A690,G$3,G$2,'Præsentationstabeller 1'!$C$2),0)</f>
        <v/>
      </c>
      <c r="H690" t="str" vm="4519">
        <f>IFERROR(CUBEVALUE("BIDB",$A690,H$3,H$2,'Præsentationstabeller 1'!$C$2),0)</f>
        <v/>
      </c>
      <c r="I690" t="str" vm="6141">
        <f>IFERROR(CUBEVALUE("BIDB",$A690,I$3,I$2,'Præsentationstabeller 1'!$C$2),0)</f>
        <v/>
      </c>
      <c r="J690" t="str" vm="8822">
        <f>IFERROR(CUBEVALUE("BIDB",$A690,J$3,J$2,'Præsentationstabeller 1'!$C$2),0)</f>
        <v/>
      </c>
      <c r="K690" t="str" vm="10747">
        <f>IFERROR(CUBEVALUE("BIDB",$A690,K$3,K$2,'Præsentationstabeller 1'!$C$2),0)</f>
        <v/>
      </c>
      <c r="L690" t="str" vm="5776">
        <f>IFERROR(CUBEVALUE("BIDB",$A690,L$3,L$2,'Præsentationstabeller 1'!$C$2),0)</f>
        <v/>
      </c>
    </row>
    <row r="691" spans="1:12" x14ac:dyDescent="0.3">
      <c r="A691" s="123" t="str" vm="645">
        <f>CUBEMEMBER("BIDB","[Dimittenddato].[Dimittenddato].&amp;[2014-07-14T00:00:00]")</f>
        <v>14-07-2014</v>
      </c>
      <c r="B691" t="str" vm="8616">
        <f>IFERROR(CUBEVALUE("BIDB",$A691,B$3,'Præsentationstabeller 1'!$C$2),0)</f>
        <v/>
      </c>
      <c r="C691" t="str" vm="8807">
        <f>IFERROR(CUBEVALUE("BIDB",$A691,C$3,C$2,'Præsentationstabeller 1'!$C$2),0)</f>
        <v/>
      </c>
      <c r="D691" vm="5089">
        <f>IFERROR(CUBEVALUE("BIDB",$A691,D$3,D$2,'Præsentationstabeller 1'!$C$2),0)</f>
        <v>2</v>
      </c>
      <c r="E691" vm="7829">
        <f>IFERROR(CUBEVALUE("BIDB",$A691,E$3,E$2,'Præsentationstabeller 1'!$C$2),0)</f>
        <v>1</v>
      </c>
      <c r="F691" vm="5278">
        <f>IFERROR(CUBEVALUE("BIDB",$A691,F$3,F$2,'Præsentationstabeller 1'!$C$2),0)</f>
        <v>1</v>
      </c>
      <c r="G691" vm="6504">
        <f>IFERROR(CUBEVALUE("BIDB",$A691,G$3,G$2,'Præsentationstabeller 1'!$C$2),0)</f>
        <v>2</v>
      </c>
      <c r="H691" t="str" vm="5073">
        <f>IFERROR(CUBEVALUE("BIDB",$A691,H$3,H$2,'Præsentationstabeller 1'!$C$2),0)</f>
        <v/>
      </c>
      <c r="I691" t="str" vm="7767">
        <f>IFERROR(CUBEVALUE("BIDB",$A691,I$3,I$2,'Præsentationstabeller 1'!$C$2),0)</f>
        <v/>
      </c>
      <c r="J691" t="str" vm="5071">
        <f>IFERROR(CUBEVALUE("BIDB",$A691,J$3,J$2,'Præsentationstabeller 1'!$C$2),0)</f>
        <v/>
      </c>
      <c r="K691" t="str" vm="7774">
        <f>IFERROR(CUBEVALUE("BIDB",$A691,K$3,K$2,'Præsentationstabeller 1'!$C$2),0)</f>
        <v/>
      </c>
      <c r="L691" t="str" vm="8269">
        <f>IFERROR(CUBEVALUE("BIDB",$A691,L$3,L$2,'Præsentationstabeller 1'!$C$2),0)</f>
        <v/>
      </c>
    </row>
    <row r="692" spans="1:12" x14ac:dyDescent="0.3">
      <c r="A692" s="123" t="str" vm="644">
        <f>CUBEMEMBER("BIDB","[Dimittenddato].[Dimittenddato].&amp;[2014-07-15T00:00:00]")</f>
        <v>15-07-2014</v>
      </c>
      <c r="B692" t="str" vm="7738">
        <f>IFERROR(CUBEVALUE("BIDB",$A692,B$3,'Præsentationstabeller 1'!$C$2),0)</f>
        <v/>
      </c>
      <c r="C692" t="str" vm="9084">
        <f>IFERROR(CUBEVALUE("BIDB",$A692,C$3,C$2,'Præsentationstabeller 1'!$C$2),0)</f>
        <v/>
      </c>
      <c r="D692" vm="5864">
        <f>IFERROR(CUBEVALUE("BIDB",$A692,D$3,D$2,'Præsentationstabeller 1'!$C$2),0)</f>
        <v>1</v>
      </c>
      <c r="E692" vm="6532">
        <f>IFERROR(CUBEVALUE("BIDB",$A692,E$3,E$2,'Præsentationstabeller 1'!$C$2),0)</f>
        <v>1</v>
      </c>
      <c r="F692" t="str" vm="5856">
        <f>IFERROR(CUBEVALUE("BIDB",$A692,F$3,F$2,'Præsentationstabeller 1'!$C$2),0)</f>
        <v/>
      </c>
      <c r="G692" vm="8675">
        <f>IFERROR(CUBEVALUE("BIDB",$A692,G$3,G$2,'Præsentationstabeller 1'!$C$2),0)</f>
        <v>1</v>
      </c>
      <c r="H692" t="str" vm="7175">
        <f>IFERROR(CUBEVALUE("BIDB",$A692,H$3,H$2,'Præsentationstabeller 1'!$C$2),0)</f>
        <v/>
      </c>
      <c r="I692" t="str" vm="5529">
        <f>IFERROR(CUBEVALUE("BIDB",$A692,I$3,I$2,'Præsentationstabeller 1'!$C$2),0)</f>
        <v/>
      </c>
      <c r="J692" vm="4412">
        <f>IFERROR(CUBEVALUE("BIDB",$A692,J$3,J$2,'Præsentationstabeller 1'!$C$2),0)</f>
        <v>0.04</v>
      </c>
      <c r="K692" t="str" vm="7765">
        <f>IFERROR(CUBEVALUE("BIDB",$A692,K$3,K$2,'Præsentationstabeller 1'!$C$2),0)</f>
        <v/>
      </c>
      <c r="L692" vm="14908">
        <f>IFERROR(CUBEVALUE("BIDB",$A692,L$3,L$2,'Præsentationstabeller 1'!$C$2),0)</f>
        <v>0.04</v>
      </c>
    </row>
    <row r="693" spans="1:12" x14ac:dyDescent="0.3">
      <c r="A693" s="123" t="str" vm="643">
        <f>CUBEMEMBER("BIDB","[Dimittenddato].[Dimittenddato].&amp;[2014-07-16T00:00:00]")</f>
        <v>16-07-2014</v>
      </c>
      <c r="B693" t="str" vm="5250">
        <f>IFERROR(CUBEVALUE("BIDB",$A693,B$3,'Præsentationstabeller 1'!$C$2),0)</f>
        <v/>
      </c>
      <c r="C693" t="str" vm="12435">
        <f>IFERROR(CUBEVALUE("BIDB",$A693,C$3,C$2,'Præsentationstabeller 1'!$C$2),0)</f>
        <v/>
      </c>
      <c r="D693" vm="8608">
        <f>IFERROR(CUBEVALUE("BIDB",$A693,D$3,D$2,'Præsentationstabeller 1'!$C$2),0)</f>
        <v>1</v>
      </c>
      <c r="E693" t="str" vm="6709">
        <f>IFERROR(CUBEVALUE("BIDB",$A693,E$3,E$2,'Præsentationstabeller 1'!$C$2),0)</f>
        <v/>
      </c>
      <c r="F693" vm="10225">
        <f>IFERROR(CUBEVALUE("BIDB",$A693,F$3,F$2,'Præsentationstabeller 1'!$C$2),0)</f>
        <v>1</v>
      </c>
      <c r="G693" vm="7039">
        <f>IFERROR(CUBEVALUE("BIDB",$A693,G$3,G$2,'Præsentationstabeller 1'!$C$2),0)</f>
        <v>1</v>
      </c>
      <c r="H693" t="str" vm="7704">
        <f>IFERROR(CUBEVALUE("BIDB",$A693,H$3,H$2,'Præsentationstabeller 1'!$C$2),0)</f>
        <v/>
      </c>
      <c r="I693" t="str" vm="7632">
        <f>IFERROR(CUBEVALUE("BIDB",$A693,I$3,I$2,'Præsentationstabeller 1'!$C$2),0)</f>
        <v/>
      </c>
      <c r="J693" t="str" vm="6284">
        <f>IFERROR(CUBEVALUE("BIDB",$A693,J$3,J$2,'Præsentationstabeller 1'!$C$2),0)</f>
        <v/>
      </c>
      <c r="K693" t="str" vm="5258">
        <f>IFERROR(CUBEVALUE("BIDB",$A693,K$3,K$2,'Præsentationstabeller 1'!$C$2),0)</f>
        <v/>
      </c>
      <c r="L693" t="str" vm="4404">
        <f>IFERROR(CUBEVALUE("BIDB",$A693,L$3,L$2,'Præsentationstabeller 1'!$C$2),0)</f>
        <v/>
      </c>
    </row>
    <row r="694" spans="1:12" x14ac:dyDescent="0.3">
      <c r="A694" s="123" t="str" vm="642">
        <f>CUBEMEMBER("BIDB","[Dimittenddato].[Dimittenddato].&amp;[2014-07-17T00:00:00]")</f>
        <v>17-07-2014</v>
      </c>
      <c r="B694" t="str" vm="5127">
        <f>IFERROR(CUBEVALUE("BIDB",$A694,B$3,'Præsentationstabeller 1'!$C$2),0)</f>
        <v/>
      </c>
      <c r="C694" vm="3787">
        <f>IFERROR(CUBEVALUE("BIDB",$A694,C$3,C$2,'Præsentationstabeller 1'!$C$2),0)</f>
        <v>1</v>
      </c>
      <c r="D694" vm="8179">
        <f>IFERROR(CUBEVALUE("BIDB",$A694,D$3,D$2,'Præsentationstabeller 1'!$C$2),0)</f>
        <v>0</v>
      </c>
      <c r="E694" vm="8869">
        <f>IFERROR(CUBEVALUE("BIDB",$A694,E$3,E$2,'Præsentationstabeller 1'!$C$2),0)</f>
        <v>0</v>
      </c>
      <c r="F694" t="str" vm="11202">
        <f>IFERROR(CUBEVALUE("BIDB",$A694,F$3,F$2,'Præsentationstabeller 1'!$C$2),0)</f>
        <v/>
      </c>
      <c r="G694" vm="6956">
        <f>IFERROR(CUBEVALUE("BIDB",$A694,G$3,G$2,'Præsentationstabeller 1'!$C$2),0)</f>
        <v>0</v>
      </c>
      <c r="H694" t="str" vm="15873">
        <f>IFERROR(CUBEVALUE("BIDB",$A694,H$3,H$2,'Præsentationstabeller 1'!$C$2),0)</f>
        <v/>
      </c>
      <c r="I694" t="str" vm="6954">
        <f>IFERROR(CUBEVALUE("BIDB",$A694,I$3,I$2,'Præsentationstabeller 1'!$C$2),0)</f>
        <v/>
      </c>
      <c r="J694" t="str" vm="7051">
        <f>IFERROR(CUBEVALUE("BIDB",$A694,J$3,J$2,'Præsentationstabeller 1'!$C$2),0)</f>
        <v/>
      </c>
      <c r="K694" t="str" vm="5655">
        <f>IFERROR(CUBEVALUE("BIDB",$A694,K$3,K$2,'Præsentationstabeller 1'!$C$2),0)</f>
        <v/>
      </c>
      <c r="L694" t="str" vm="3795">
        <f>IFERROR(CUBEVALUE("BIDB",$A694,L$3,L$2,'Præsentationstabeller 1'!$C$2),0)</f>
        <v/>
      </c>
    </row>
    <row r="695" spans="1:12" x14ac:dyDescent="0.3">
      <c r="A695" s="123" t="str" vm="641">
        <f>CUBEMEMBER("BIDB","[Dimittenddato].[Dimittenddato].&amp;[2014-07-18T00:00:00]")</f>
        <v>18-07-2014</v>
      </c>
      <c r="B695" t="str" vm="6677">
        <f>IFERROR(CUBEVALUE("BIDB",$A695,B$3,'Præsentationstabeller 1'!$C$2),0)</f>
        <v/>
      </c>
      <c r="C695" t="str" vm="4275">
        <f>IFERROR(CUBEVALUE("BIDB",$A695,C$3,C$2,'Præsentationstabeller 1'!$C$2),0)</f>
        <v/>
      </c>
      <c r="D695" vm="5119">
        <f>IFERROR(CUBEVALUE("BIDB",$A695,D$3,D$2,'Præsentationstabeller 1'!$C$2),0)</f>
        <v>1</v>
      </c>
      <c r="E695" vm="4267">
        <f>IFERROR(CUBEVALUE("BIDB",$A695,E$3,E$2,'Præsentationstabeller 1'!$C$2),0)</f>
        <v>1</v>
      </c>
      <c r="F695" vm="7789">
        <f>IFERROR(CUBEVALUE("BIDB",$A695,F$3,F$2,'Præsentationstabeller 1'!$C$2),0)</f>
        <v>1</v>
      </c>
      <c r="G695" vm="6386">
        <f>IFERROR(CUBEVALUE("BIDB",$A695,G$3,G$2,'Præsentationstabeller 1'!$C$2),0)</f>
        <v>2</v>
      </c>
      <c r="H695" t="str" vm="5991">
        <f>IFERROR(CUBEVALUE("BIDB",$A695,H$3,H$2,'Præsentationstabeller 1'!$C$2),0)</f>
        <v/>
      </c>
      <c r="I695" vm="5903">
        <f>IFERROR(CUBEVALUE("BIDB",$A695,I$3,I$2,'Præsentationstabeller 1'!$C$2),0)</f>
        <v>0.84000000000000008</v>
      </c>
      <c r="J695" t="str" vm="5983">
        <f>IFERROR(CUBEVALUE("BIDB",$A695,J$3,J$2,'Præsentationstabeller 1'!$C$2),0)</f>
        <v/>
      </c>
      <c r="K695" t="str" vm="11741">
        <f>IFERROR(CUBEVALUE("BIDB",$A695,K$3,K$2,'Præsentationstabeller 1'!$C$2),0)</f>
        <v/>
      </c>
      <c r="L695" t="str" vm="7317">
        <f>IFERROR(CUBEVALUE("BIDB",$A695,L$3,L$2,'Præsentationstabeller 1'!$C$2),0)</f>
        <v/>
      </c>
    </row>
    <row r="696" spans="1:12" x14ac:dyDescent="0.3">
      <c r="A696" s="123" t="str" vm="640">
        <f>CUBEMEMBER("BIDB","[Dimittenddato].[Dimittenddato].&amp;[2014-07-19T00:00:00]")</f>
        <v>19-07-2014</v>
      </c>
      <c r="B696" t="str" vm="8641">
        <f>IFERROR(CUBEVALUE("BIDB",$A696,B$3,'Præsentationstabeller 1'!$C$2),0)</f>
        <v/>
      </c>
      <c r="C696" t="str" vm="7907">
        <f>IFERROR(CUBEVALUE("BIDB",$A696,C$3,C$2,'Præsentationstabeller 1'!$C$2),0)</f>
        <v/>
      </c>
      <c r="D696" t="str" vm="5894">
        <f>IFERROR(CUBEVALUE("BIDB",$A696,D$3,D$2,'Præsentationstabeller 1'!$C$2),0)</f>
        <v/>
      </c>
      <c r="E696" t="str" vm="5840">
        <f>IFERROR(CUBEVALUE("BIDB",$A696,E$3,E$2,'Præsentationstabeller 1'!$C$2),0)</f>
        <v/>
      </c>
      <c r="F696" t="str" vm="5886">
        <f>IFERROR(CUBEVALUE("BIDB",$A696,F$3,F$2,'Præsentationstabeller 1'!$C$2),0)</f>
        <v/>
      </c>
      <c r="G696" t="str" vm="16402">
        <f>IFERROR(CUBEVALUE("BIDB",$A696,G$3,G$2,'Præsentationstabeller 1'!$C$2),0)</f>
        <v/>
      </c>
      <c r="H696" t="str" vm="8635">
        <f>IFERROR(CUBEVALUE("BIDB",$A696,H$3,H$2,'Præsentationstabeller 1'!$C$2),0)</f>
        <v/>
      </c>
      <c r="I696" t="str" vm="6513">
        <f>IFERROR(CUBEVALUE("BIDB",$A696,I$3,I$2,'Præsentationstabeller 1'!$C$2),0)</f>
        <v/>
      </c>
      <c r="J696" t="str" vm="4844">
        <f>IFERROR(CUBEVALUE("BIDB",$A696,J$3,J$2,'Præsentationstabeller 1'!$C$2),0)</f>
        <v/>
      </c>
      <c r="K696" t="str" vm="5901">
        <f>IFERROR(CUBEVALUE("BIDB",$A696,K$3,K$2,'Præsentationstabeller 1'!$C$2),0)</f>
        <v/>
      </c>
      <c r="L696" t="str" vm="6459">
        <f>IFERROR(CUBEVALUE("BIDB",$A696,L$3,L$2,'Præsentationstabeller 1'!$C$2),0)</f>
        <v/>
      </c>
    </row>
    <row r="697" spans="1:12" x14ac:dyDescent="0.3">
      <c r="A697" s="123" t="str" vm="639">
        <f>CUBEMEMBER("BIDB","[Dimittenddato].[Dimittenddato].&amp;[2014-07-20T00:00:00]")</f>
        <v>20-07-2014</v>
      </c>
      <c r="B697" t="str" vm="10334">
        <f>IFERROR(CUBEVALUE("BIDB",$A697,B$3,'Præsentationstabeller 1'!$C$2),0)</f>
        <v/>
      </c>
      <c r="C697" t="str" vm="5405">
        <f>IFERROR(CUBEVALUE("BIDB",$A697,C$3,C$2,'Præsentationstabeller 1'!$C$2),0)</f>
        <v/>
      </c>
      <c r="D697" t="str" vm="7771">
        <f>IFERROR(CUBEVALUE("BIDB",$A697,D$3,D$2,'Præsentationstabeller 1'!$C$2),0)</f>
        <v/>
      </c>
      <c r="E697" t="str" vm="8170">
        <f>IFERROR(CUBEVALUE("BIDB",$A697,E$3,E$2,'Præsentationstabeller 1'!$C$2),0)</f>
        <v/>
      </c>
      <c r="F697" t="str" vm="8489">
        <f>IFERROR(CUBEVALUE("BIDB",$A697,F$3,F$2,'Præsentationstabeller 1'!$C$2),0)</f>
        <v/>
      </c>
      <c r="G697" t="str" vm="5838">
        <f>IFERROR(CUBEVALUE("BIDB",$A697,G$3,G$2,'Præsentationstabeller 1'!$C$2),0)</f>
        <v/>
      </c>
      <c r="H697" t="str" vm="5286">
        <f>IFERROR(CUBEVALUE("BIDB",$A697,H$3,H$2,'Præsentationstabeller 1'!$C$2),0)</f>
        <v/>
      </c>
      <c r="I697" t="str" vm="16908">
        <f>IFERROR(CUBEVALUE("BIDB",$A697,I$3,I$2,'Præsentationstabeller 1'!$C$2),0)</f>
        <v/>
      </c>
      <c r="J697" t="str" vm="7735">
        <f>IFERROR(CUBEVALUE("BIDB",$A697,J$3,J$2,'Præsentationstabeller 1'!$C$2),0)</f>
        <v/>
      </c>
      <c r="K697" t="str" vm="15069">
        <f>IFERROR(CUBEVALUE("BIDB",$A697,K$3,K$2,'Præsentationstabeller 1'!$C$2),0)</f>
        <v/>
      </c>
      <c r="L697" t="str" vm="4836">
        <f>IFERROR(CUBEVALUE("BIDB",$A697,L$3,L$2,'Præsentationstabeller 1'!$C$2),0)</f>
        <v/>
      </c>
    </row>
    <row r="698" spans="1:12" x14ac:dyDescent="0.3">
      <c r="A698" s="123" t="str" vm="638">
        <f>CUBEMEMBER("BIDB","[Dimittenddato].[Dimittenddato].&amp;[2014-07-21T00:00:00]")</f>
        <v>21-07-2014</v>
      </c>
      <c r="B698" t="str" vm="7799">
        <f>IFERROR(CUBEVALUE("BIDB",$A698,B$3,'Præsentationstabeller 1'!$C$2),0)</f>
        <v/>
      </c>
      <c r="C698" t="str" vm="5602">
        <f>IFERROR(CUBEVALUE("BIDB",$A698,C$3,C$2,'Præsentationstabeller 1'!$C$2),0)</f>
        <v/>
      </c>
      <c r="D698" vm="7067">
        <f>IFERROR(CUBEVALUE("BIDB",$A698,D$3,D$2,'Præsentationstabeller 1'!$C$2),0)</f>
        <v>1</v>
      </c>
      <c r="E698" vm="8566">
        <f>IFERROR(CUBEVALUE("BIDB",$A698,E$3,E$2,'Præsentationstabeller 1'!$C$2),0)</f>
        <v>2</v>
      </c>
      <c r="F698" vm="5274">
        <f>IFERROR(CUBEVALUE("BIDB",$A698,F$3,F$2,'Præsentationstabeller 1'!$C$2),0)</f>
        <v>4</v>
      </c>
      <c r="G698" vm="4163">
        <f>IFERROR(CUBEVALUE("BIDB",$A698,G$3,G$2,'Præsentationstabeller 1'!$C$2),0)</f>
        <v>6</v>
      </c>
      <c r="H698" t="str" vm="7511">
        <f>IFERROR(CUBEVALUE("BIDB",$A698,H$3,H$2,'Præsentationstabeller 1'!$C$2),0)</f>
        <v/>
      </c>
      <c r="I698" t="str" vm="4155">
        <f>IFERROR(CUBEVALUE("BIDB",$A698,I$3,I$2,'Præsentationstabeller 1'!$C$2),0)</f>
        <v/>
      </c>
      <c r="J698" t="str" vm="7706">
        <f>IFERROR(CUBEVALUE("BIDB",$A698,J$3,J$2,'Præsentationstabeller 1'!$C$2),0)</f>
        <v/>
      </c>
      <c r="K698" t="str" vm="7780">
        <f>IFERROR(CUBEVALUE("BIDB",$A698,K$3,K$2,'Præsentationstabeller 1'!$C$2),0)</f>
        <v/>
      </c>
      <c r="L698" t="str" vm="5610">
        <f>IFERROR(CUBEVALUE("BIDB",$A698,L$3,L$2,'Præsentationstabeller 1'!$C$2),0)</f>
        <v/>
      </c>
    </row>
    <row r="699" spans="1:12" x14ac:dyDescent="0.3">
      <c r="A699" s="123" t="str" vm="637">
        <f>CUBEMEMBER("BIDB","[Dimittenddato].[Dimittenddato].&amp;[2014-07-22T00:00:00]")</f>
        <v>22-07-2014</v>
      </c>
      <c r="B699" t="str" vm="6455">
        <f>IFERROR(CUBEVALUE("BIDB",$A699,B$3,'Præsentationstabeller 1'!$C$2),0)</f>
        <v/>
      </c>
      <c r="C699" t="str" vm="6620">
        <f>IFERROR(CUBEVALUE("BIDB",$A699,C$3,C$2,'Præsentationstabeller 1'!$C$2),0)</f>
        <v/>
      </c>
      <c r="D699" t="str" vm="8775">
        <f>IFERROR(CUBEVALUE("BIDB",$A699,D$3,D$2,'Præsentationstabeller 1'!$C$2),0)</f>
        <v/>
      </c>
      <c r="E699" t="str" vm="6618">
        <f>IFERROR(CUBEVALUE("BIDB",$A699,E$3,E$2,'Præsentationstabeller 1'!$C$2),0)</f>
        <v/>
      </c>
      <c r="F699" t="str" vm="7741">
        <f>IFERROR(CUBEVALUE("BIDB",$A699,F$3,F$2,'Præsentationstabeller 1'!$C$2),0)</f>
        <v/>
      </c>
      <c r="G699" t="str" vm="7047">
        <f>IFERROR(CUBEVALUE("BIDB",$A699,G$3,G$2,'Præsentationstabeller 1'!$C$2),0)</f>
        <v/>
      </c>
      <c r="H699" t="str" vm="6021">
        <f>IFERROR(CUBEVALUE("BIDB",$A699,H$3,H$2,'Præsentationstabeller 1'!$C$2),0)</f>
        <v/>
      </c>
      <c r="I699" t="str" vm="3542">
        <f>IFERROR(CUBEVALUE("BIDB",$A699,I$3,I$2,'Præsentationstabeller 1'!$C$2),0)</f>
        <v/>
      </c>
      <c r="J699" t="str" vm="6013">
        <f>IFERROR(CUBEVALUE("BIDB",$A699,J$3,J$2,'Præsentationstabeller 1'!$C$2),0)</f>
        <v/>
      </c>
      <c r="K699" t="str" vm="11300">
        <f>IFERROR(CUBEVALUE("BIDB",$A699,K$3,K$2,'Præsentationstabeller 1'!$C$2),0)</f>
        <v/>
      </c>
      <c r="L699" t="str" vm="7703">
        <f>IFERROR(CUBEVALUE("BIDB",$A699,L$3,L$2,'Præsentationstabeller 1'!$C$2),0)</f>
        <v/>
      </c>
    </row>
    <row r="700" spans="1:12" x14ac:dyDescent="0.3">
      <c r="A700" s="123" t="str" vm="636">
        <f>CUBEMEMBER("BIDB","[Dimittenddato].[Dimittenddato].&amp;[2014-07-23T00:00:00]")</f>
        <v>23-07-2014</v>
      </c>
      <c r="B700" t="str" vm="8837">
        <f>IFERROR(CUBEVALUE("BIDB",$A700,B$3,'Præsentationstabeller 1'!$C$2),0)</f>
        <v/>
      </c>
      <c r="C700" t="str" vm="8077">
        <f>IFERROR(CUBEVALUE("BIDB",$A700,C$3,C$2,'Præsentationstabeller 1'!$C$2),0)</f>
        <v/>
      </c>
      <c r="D700" t="str" vm="6765">
        <f>IFERROR(CUBEVALUE("BIDB",$A700,D$3,D$2,'Præsentationstabeller 1'!$C$2),0)</f>
        <v/>
      </c>
      <c r="E700" vm="5736">
        <f>IFERROR(CUBEVALUE("BIDB",$A700,E$3,E$2,'Præsentationstabeller 1'!$C$2),0)</f>
        <v>1</v>
      </c>
      <c r="F700" t="str" vm="6255">
        <f>IFERROR(CUBEVALUE("BIDB",$A700,F$3,F$2,'Præsentationstabeller 1'!$C$2),0)</f>
        <v/>
      </c>
      <c r="G700" vm="8787">
        <f>IFERROR(CUBEVALUE("BIDB",$A700,G$3,G$2,'Præsentationstabeller 1'!$C$2),0)</f>
        <v>1</v>
      </c>
      <c r="H700" t="str" vm="5401">
        <f>IFERROR(CUBEVALUE("BIDB",$A700,H$3,H$2,'Præsentationstabeller 1'!$C$2),0)</f>
        <v/>
      </c>
      <c r="I700" t="str" vm="8783">
        <f>IFERROR(CUBEVALUE("BIDB",$A700,I$3,I$2,'Præsentationstabeller 1'!$C$2),0)</f>
        <v/>
      </c>
      <c r="J700" t="str" vm="4874">
        <f>IFERROR(CUBEVALUE("BIDB",$A700,J$3,J$2,'Præsentationstabeller 1'!$C$2),0)</f>
        <v/>
      </c>
      <c r="K700" t="str" vm="3534">
        <f>IFERROR(CUBEVALUE("BIDB",$A700,K$3,K$2,'Præsentationstabeller 1'!$C$2),0)</f>
        <v/>
      </c>
      <c r="L700" t="str" vm="7059">
        <f>IFERROR(CUBEVALUE("BIDB",$A700,L$3,L$2,'Præsentationstabeller 1'!$C$2),0)</f>
        <v/>
      </c>
    </row>
    <row r="701" spans="1:12" x14ac:dyDescent="0.3">
      <c r="A701" s="123" t="str" vm="635">
        <f>CUBEMEMBER("BIDB","[Dimittenddato].[Dimittenddato].&amp;[2014-07-24T00:00:00]")</f>
        <v>24-07-2014</v>
      </c>
      <c r="B701" t="str" vm="5020">
        <f>IFERROR(CUBEVALUE("BIDB",$A701,B$3,'Præsentationstabeller 1'!$C$2),0)</f>
        <v/>
      </c>
      <c r="C701" t="str" vm="6467">
        <f>IFERROR(CUBEVALUE("BIDB",$A701,C$3,C$2,'Præsentationstabeller 1'!$C$2),0)</f>
        <v/>
      </c>
      <c r="D701" vm="8981">
        <f>IFERROR(CUBEVALUE("BIDB",$A701,D$3,D$2,'Præsentationstabeller 1'!$C$2),0)</f>
        <v>0</v>
      </c>
      <c r="E701" vm="8532">
        <f>IFERROR(CUBEVALUE("BIDB",$A701,E$3,E$2,'Præsentationstabeller 1'!$C$2),0)</f>
        <v>1</v>
      </c>
      <c r="F701" t="str" vm="6924">
        <f>IFERROR(CUBEVALUE("BIDB",$A701,F$3,F$2,'Præsentationstabeller 1'!$C$2),0)</f>
        <v/>
      </c>
      <c r="G701" vm="5728">
        <f>IFERROR(CUBEVALUE("BIDB",$A701,G$3,G$2,'Præsentationstabeller 1'!$C$2),0)</f>
        <v>1</v>
      </c>
      <c r="H701" t="str" vm="7709">
        <f>IFERROR(CUBEVALUE("BIDB",$A701,H$3,H$2,'Præsentationstabeller 1'!$C$2),0)</f>
        <v/>
      </c>
      <c r="I701" t="str" vm="8493">
        <f>IFERROR(CUBEVALUE("BIDB",$A701,I$3,I$2,'Præsentationstabeller 1'!$C$2),0)</f>
        <v/>
      </c>
      <c r="J701" t="str" vm="6423">
        <f>IFERROR(CUBEVALUE("BIDB",$A701,J$3,J$2,'Præsentationstabeller 1'!$C$2),0)</f>
        <v/>
      </c>
      <c r="K701" t="str" vm="5028">
        <f>IFERROR(CUBEVALUE("BIDB",$A701,K$3,K$2,'Præsentationstabeller 1'!$C$2),0)</f>
        <v/>
      </c>
      <c r="L701" t="str" vm="4866">
        <f>IFERROR(CUBEVALUE("BIDB",$A701,L$3,L$2,'Præsentationstabeller 1'!$C$2),0)</f>
        <v/>
      </c>
    </row>
    <row r="702" spans="1:12" x14ac:dyDescent="0.3">
      <c r="A702" s="123" t="str" vm="634">
        <f>CUBEMEMBER("BIDB","[Dimittenddato].[Dimittenddato].&amp;[2014-07-25T00:00:00]")</f>
        <v>25-07-2014</v>
      </c>
      <c r="B702" t="str" vm="12185">
        <f>IFERROR(CUBEVALUE("BIDB",$A702,B$3,'Præsentationstabeller 1'!$C$2),0)</f>
        <v/>
      </c>
      <c r="C702" t="str" vm="5632">
        <f>IFERROR(CUBEVALUE("BIDB",$A702,C$3,C$2,'Præsentationstabeller 1'!$C$2),0)</f>
        <v/>
      </c>
      <c r="D702" vm="10446">
        <f>IFERROR(CUBEVALUE("BIDB",$A702,D$3,D$2,'Præsentationstabeller 1'!$C$2),0)</f>
        <v>1</v>
      </c>
      <c r="E702" vm="5413">
        <f>IFERROR(CUBEVALUE("BIDB",$A702,E$3,E$2,'Præsentationstabeller 1'!$C$2),0)</f>
        <v>2</v>
      </c>
      <c r="F702" vm="7149">
        <f>IFERROR(CUBEVALUE("BIDB",$A702,F$3,F$2,'Præsentationstabeller 1'!$C$2),0)</f>
        <v>2</v>
      </c>
      <c r="G702" vm="4595">
        <f>IFERROR(CUBEVALUE("BIDB",$A702,G$3,G$2,'Præsentationstabeller 1'!$C$2),0)</f>
        <v>4</v>
      </c>
      <c r="H702" t="str" vm="6922">
        <f>IFERROR(CUBEVALUE("BIDB",$A702,H$3,H$2,'Præsentationstabeller 1'!$C$2),0)</f>
        <v/>
      </c>
      <c r="I702" t="str" vm="4587">
        <f>IFERROR(CUBEVALUE("BIDB",$A702,I$3,I$2,'Præsentationstabeller 1'!$C$2),0)</f>
        <v/>
      </c>
      <c r="J702" t="str" vm="9056">
        <f>IFERROR(CUBEVALUE("BIDB",$A702,J$3,J$2,'Præsentationstabeller 1'!$C$2),0)</f>
        <v/>
      </c>
      <c r="K702" vm="15642">
        <f>IFERROR(CUBEVALUE("BIDB",$A702,K$3,K$2,'Præsentationstabeller 1'!$C$2),0)</f>
        <v>0.71621621621621623</v>
      </c>
      <c r="L702" vm="5640">
        <f>IFERROR(CUBEVALUE("BIDB",$A702,L$3,L$2,'Præsentationstabeller 1'!$C$2),0)</f>
        <v>0.71621621621621623</v>
      </c>
    </row>
    <row r="703" spans="1:12" x14ac:dyDescent="0.3">
      <c r="A703" s="123" t="str" vm="633">
        <f>CUBEMEMBER("BIDB","[Dimittenddato].[Dimittenddato].&amp;[2014-07-26T00:00:00]")</f>
        <v>26-07-2014</v>
      </c>
      <c r="B703" t="str" vm="7681">
        <f>IFERROR(CUBEVALUE("BIDB",$A703,B$3,'Præsentationstabeller 1'!$C$2),0)</f>
        <v/>
      </c>
      <c r="C703" t="str" vm="7136">
        <f>IFERROR(CUBEVALUE("BIDB",$A703,C$3,C$2,'Præsentationstabeller 1'!$C$2),0)</f>
        <v/>
      </c>
      <c r="D703" t="str" vm="7508">
        <f>IFERROR(CUBEVALUE("BIDB",$A703,D$3,D$2,'Præsentationstabeller 1'!$C$2),0)</f>
        <v/>
      </c>
      <c r="E703" t="str" vm="7134">
        <f>IFERROR(CUBEVALUE("BIDB",$A703,E$3,E$2,'Præsentationstabeller 1'!$C$2),0)</f>
        <v/>
      </c>
      <c r="F703" t="str" vm="10330">
        <f>IFERROR(CUBEVALUE("BIDB",$A703,F$3,F$2,'Præsentationstabeller 1'!$C$2),0)</f>
        <v/>
      </c>
      <c r="G703" t="str" vm="6596">
        <f>IFERROR(CUBEVALUE("BIDB",$A703,G$3,G$2,'Præsentationstabeller 1'!$C$2),0)</f>
        <v/>
      </c>
      <c r="H703" t="str" vm="10953">
        <f>IFERROR(CUBEVALUE("BIDB",$A703,H$3,H$2,'Præsentationstabeller 1'!$C$2),0)</f>
        <v/>
      </c>
      <c r="I703" t="str" vm="5355">
        <f>IFERROR(CUBEVALUE("BIDB",$A703,I$3,I$2,'Præsentationstabeller 1'!$C$2),0)</f>
        <v/>
      </c>
      <c r="J703" t="str" vm="11159">
        <f>IFERROR(CUBEVALUE("BIDB",$A703,J$3,J$2,'Præsentationstabeller 1'!$C$2),0)</f>
        <v/>
      </c>
      <c r="K703" t="str" vm="6427">
        <f>IFERROR(CUBEVALUE("BIDB",$A703,K$3,K$2,'Præsentationstabeller 1'!$C$2),0)</f>
        <v/>
      </c>
      <c r="L703" t="str" vm="8490">
        <f>IFERROR(CUBEVALUE("BIDB",$A703,L$3,L$2,'Præsentationstabeller 1'!$C$2),0)</f>
        <v/>
      </c>
    </row>
    <row r="704" spans="1:12" x14ac:dyDescent="0.3">
      <c r="A704" s="123" t="str" vm="632">
        <f>CUBEMEMBER("BIDB","[Dimittenddato].[Dimittenddato].&amp;[2014-07-27T00:00:00]")</f>
        <v>27-07-2014</v>
      </c>
      <c r="B704" t="str" vm="8533">
        <f>IFERROR(CUBEVALUE("BIDB",$A704,B$3,'Præsentationstabeller 1'!$C$2),0)</f>
        <v/>
      </c>
      <c r="C704" t="str" vm="6037">
        <f>IFERROR(CUBEVALUE("BIDB",$A704,C$3,C$2,'Præsentationstabeller 1'!$C$2),0)</f>
        <v/>
      </c>
      <c r="D704" t="str" vm="4913">
        <f>IFERROR(CUBEVALUE("BIDB",$A704,D$3,D$2,'Præsentationstabeller 1'!$C$2),0)</f>
        <v/>
      </c>
      <c r="E704" t="str" vm="5766">
        <f>IFERROR(CUBEVALUE("BIDB",$A704,E$3,E$2,'Præsentationstabeller 1'!$C$2),0)</f>
        <v/>
      </c>
      <c r="F704" t="str" vm="4905">
        <f>IFERROR(CUBEVALUE("BIDB",$A704,F$3,F$2,'Præsentationstabeller 1'!$C$2),0)</f>
        <v/>
      </c>
      <c r="G704" t="str" vm="7589">
        <f>IFERROR(CUBEVALUE("BIDB",$A704,G$3,G$2,'Præsentationstabeller 1'!$C$2),0)</f>
        <v/>
      </c>
      <c r="H704" t="str" vm="6258">
        <f>IFERROR(CUBEVALUE("BIDB",$A704,H$3,H$2,'Præsentationstabeller 1'!$C$2),0)</f>
        <v/>
      </c>
      <c r="I704" t="str" vm="6564">
        <f>IFERROR(CUBEVALUE("BIDB",$A704,I$3,I$2,'Præsentationstabeller 1'!$C$2),0)</f>
        <v/>
      </c>
      <c r="J704" t="str" vm="8497">
        <f>IFERROR(CUBEVALUE("BIDB",$A704,J$3,J$2,'Præsentationstabeller 1'!$C$2),0)</f>
        <v/>
      </c>
      <c r="K704" t="str" vm="5347">
        <f>IFERROR(CUBEVALUE("BIDB",$A704,K$3,K$2,'Præsentationstabeller 1'!$C$2),0)</f>
        <v/>
      </c>
      <c r="L704" t="str" vm="8803">
        <f>IFERROR(CUBEVALUE("BIDB",$A704,L$3,L$2,'Præsentationstabeller 1'!$C$2),0)</f>
        <v/>
      </c>
    </row>
    <row r="705" spans="1:12" x14ac:dyDescent="0.3">
      <c r="A705" s="123" t="str" vm="631">
        <f>CUBEMEMBER("BIDB","[Dimittenddato].[Dimittenddato].&amp;[2014-07-28T00:00:00]")</f>
        <v>28-07-2014</v>
      </c>
      <c r="B705" t="str" vm="6745">
        <f>IFERROR(CUBEVALUE("BIDB",$A705,B$3,'Præsentationstabeller 1'!$C$2),0)</f>
        <v/>
      </c>
      <c r="C705" t="str" vm="8538">
        <f>IFERROR(CUBEVALUE("BIDB",$A705,C$3,C$2,'Præsentationstabeller 1'!$C$2),0)</f>
        <v/>
      </c>
      <c r="D705" t="str" vm="6793">
        <f>IFERROR(CUBEVALUE("BIDB",$A705,D$3,D$2,'Præsentationstabeller 1'!$C$2),0)</f>
        <v/>
      </c>
      <c r="E705" vm="5146">
        <f>IFERROR(CUBEVALUE("BIDB",$A705,E$3,E$2,'Præsentationstabeller 1'!$C$2),0)</f>
        <v>3</v>
      </c>
      <c r="F705" vm="3290">
        <f>IFERROR(CUBEVALUE("BIDB",$A705,F$3,F$2,'Præsentationstabeller 1'!$C$2),0)</f>
        <v>0</v>
      </c>
      <c r="G705" vm="5758">
        <f>IFERROR(CUBEVALUE("BIDB",$A705,G$3,G$2,'Præsentationstabeller 1'!$C$2),0)</f>
        <v>3</v>
      </c>
      <c r="H705" t="str" vm="10012">
        <f>IFERROR(CUBEVALUE("BIDB",$A705,H$3,H$2,'Præsentationstabeller 1'!$C$2),0)</f>
        <v/>
      </c>
      <c r="I705" t="str" vm="8795">
        <f>IFERROR(CUBEVALUE("BIDB",$A705,I$3,I$2,'Præsentationstabeller 1'!$C$2),0)</f>
        <v/>
      </c>
      <c r="J705" t="str" vm="6199">
        <f>IFERROR(CUBEVALUE("BIDB",$A705,J$3,J$2,'Præsentationstabeller 1'!$C$2),0)</f>
        <v/>
      </c>
      <c r="K705" t="str" vm="6747">
        <f>IFERROR(CUBEVALUE("BIDB",$A705,K$3,K$2,'Præsentationstabeller 1'!$C$2),0)</f>
        <v/>
      </c>
      <c r="L705" t="str" vm="12960">
        <f>IFERROR(CUBEVALUE("BIDB",$A705,L$3,L$2,'Præsentationstabeller 1'!$C$2),0)</f>
        <v/>
      </c>
    </row>
    <row r="706" spans="1:12" x14ac:dyDescent="0.3">
      <c r="A706" s="123" t="str" vm="630">
        <f>CUBEMEMBER("BIDB","[Dimittenddato].[Dimittenddato].&amp;[2014-07-29T00:00:00]")</f>
        <v>29-07-2014</v>
      </c>
      <c r="B706" t="str" vm="5482">
        <f>IFERROR(CUBEVALUE("BIDB",$A706,B$3,'Præsentationstabeller 1'!$C$2),0)</f>
        <v/>
      </c>
      <c r="C706" t="str" vm="5552">
        <f>IFERROR(CUBEVALUE("BIDB",$A706,C$3,C$2,'Præsentationstabeller 1'!$C$2),0)</f>
        <v/>
      </c>
      <c r="D706" vm="14021">
        <f>IFERROR(CUBEVALUE("BIDB",$A706,D$3,D$2,'Præsentationstabeller 1'!$C$2),0)</f>
        <v>0</v>
      </c>
      <c r="E706" t="str" vm="6602">
        <f>IFERROR(CUBEVALUE("BIDB",$A706,E$3,E$2,'Præsentationstabeller 1'!$C$2),0)</f>
        <v/>
      </c>
      <c r="F706" t="str" vm="8294">
        <f>IFERROR(CUBEVALUE("BIDB",$A706,F$3,F$2,'Præsentationstabeller 1'!$C$2),0)</f>
        <v/>
      </c>
      <c r="G706" t="str" vm="5387">
        <f>IFERROR(CUBEVALUE("BIDB",$A706,G$3,G$2,'Præsentationstabeller 1'!$C$2),0)</f>
        <v/>
      </c>
      <c r="H706" t="str" vm="3282">
        <f>IFERROR(CUBEVALUE("BIDB",$A706,H$3,H$2,'Præsentationstabeller 1'!$C$2),0)</f>
        <v/>
      </c>
      <c r="I706" t="str" vm="4617">
        <f>IFERROR(CUBEVALUE("BIDB",$A706,I$3,I$2,'Præsentationstabeller 1'!$C$2),0)</f>
        <v/>
      </c>
      <c r="J706" t="str" vm="12725">
        <f>IFERROR(CUBEVALUE("BIDB",$A706,J$3,J$2,'Præsentationstabeller 1'!$C$2),0)</f>
        <v/>
      </c>
      <c r="K706" t="str" vm="14757">
        <f>IFERROR(CUBEVALUE("BIDB",$A706,K$3,K$2,'Præsentationstabeller 1'!$C$2),0)</f>
        <v/>
      </c>
      <c r="L706" t="str" vm="5554">
        <f>IFERROR(CUBEVALUE("BIDB",$A706,L$3,L$2,'Præsentationstabeller 1'!$C$2),0)</f>
        <v/>
      </c>
    </row>
    <row r="707" spans="1:12" x14ac:dyDescent="0.3">
      <c r="A707" s="123" t="str" vm="629">
        <f>CUBEMEMBER("BIDB","[Dimittenddato].[Dimittenddato].&amp;[2014-07-30T00:00:00]")</f>
        <v>30-07-2014</v>
      </c>
      <c r="B707" t="str" vm="8429">
        <f>IFERROR(CUBEVALUE("BIDB",$A707,B$3,'Præsentationstabeller 1'!$C$2),0)</f>
        <v/>
      </c>
      <c r="C707" t="str" vm="6757">
        <f>IFERROR(CUBEVALUE("BIDB",$A707,C$3,C$2,'Præsentationstabeller 1'!$C$2),0)</f>
        <v/>
      </c>
      <c r="D707" t="str" vm="5474">
        <f>IFERROR(CUBEVALUE("BIDB",$A707,D$3,D$2,'Præsentationstabeller 1'!$C$2),0)</f>
        <v/>
      </c>
      <c r="E707" vm="6247">
        <f>IFERROR(CUBEVALUE("BIDB",$A707,E$3,E$2,'Præsentationstabeller 1'!$C$2),0)</f>
        <v>1</v>
      </c>
      <c r="F707" t="str" vm="7152">
        <f>IFERROR(CUBEVALUE("BIDB",$A707,F$3,F$2,'Præsentationstabeller 1'!$C$2),0)</f>
        <v/>
      </c>
      <c r="G707" vm="6167">
        <f>IFERROR(CUBEVALUE("BIDB",$A707,G$3,G$2,'Præsentationstabeller 1'!$C$2),0)</f>
        <v>1</v>
      </c>
      <c r="H707" t="str" vm="4775">
        <f>IFERROR(CUBEVALUE("BIDB",$A707,H$3,H$2,'Præsentationstabeller 1'!$C$2),0)</f>
        <v/>
      </c>
      <c r="I707" t="str" vm="5385">
        <f>IFERROR(CUBEVALUE("BIDB",$A707,I$3,I$2,'Præsentationstabeller 1'!$C$2),0)</f>
        <v/>
      </c>
      <c r="J707" t="str" vm="4767">
        <f>IFERROR(CUBEVALUE("BIDB",$A707,J$3,J$2,'Præsentationstabeller 1'!$C$2),0)</f>
        <v/>
      </c>
      <c r="K707" t="str" vm="7517">
        <f>IFERROR(CUBEVALUE("BIDB",$A707,K$3,K$2,'Præsentationstabeller 1'!$C$2),0)</f>
        <v/>
      </c>
      <c r="L707" t="str" vm="7291">
        <f>IFERROR(CUBEVALUE("BIDB",$A707,L$3,L$2,'Præsentationstabeller 1'!$C$2),0)</f>
        <v/>
      </c>
    </row>
    <row r="708" spans="1:12" x14ac:dyDescent="0.3">
      <c r="A708" s="123" t="str" vm="628">
        <f>CUBEMEMBER("BIDB","[Dimittenddato].[Dimittenddato].&amp;[2014-07-31T00:00:00]")</f>
        <v>31-07-2014</v>
      </c>
      <c r="B708" t="str" vm="6435">
        <f>IFERROR(CUBEVALUE("BIDB",$A708,B$3,'Præsentationstabeller 1'!$C$2),0)</f>
        <v/>
      </c>
      <c r="C708" t="str" vm="8878">
        <f>IFERROR(CUBEVALUE("BIDB",$A708,C$3,C$2,'Præsentationstabeller 1'!$C$2),0)</f>
        <v/>
      </c>
      <c r="D708" vm="4342">
        <f>IFERROR(CUBEVALUE("BIDB",$A708,D$3,D$2,'Præsentationstabeller 1'!$C$2),0)</f>
        <v>3</v>
      </c>
      <c r="E708" vm="12961">
        <f>IFERROR(CUBEVALUE("BIDB",$A708,E$3,E$2,'Præsentationstabeller 1'!$C$2),0)</f>
        <v>3</v>
      </c>
      <c r="F708" vm="4334">
        <f>IFERROR(CUBEVALUE("BIDB",$A708,F$3,F$2,'Præsentationstabeller 1'!$C$2),0)</f>
        <v>0</v>
      </c>
      <c r="G708" vm="6570">
        <f>IFERROR(CUBEVALUE("BIDB",$A708,G$3,G$2,'Præsentationstabeller 1'!$C$2),0)</f>
        <v>3</v>
      </c>
      <c r="H708" t="str" vm="7624">
        <f>IFERROR(CUBEVALUE("BIDB",$A708,H$3,H$2,'Præsentationstabeller 1'!$C$2),0)</f>
        <v/>
      </c>
      <c r="I708" t="str" vm="7140">
        <f>IFERROR(CUBEVALUE("BIDB",$A708,I$3,I$2,'Præsentationstabeller 1'!$C$2),0)</f>
        <v/>
      </c>
      <c r="J708" t="str" vm="5967">
        <f>IFERROR(CUBEVALUE("BIDB",$A708,J$3,J$2,'Præsentationstabeller 1'!$C$2),0)</f>
        <v/>
      </c>
      <c r="K708" t="str" vm="5377">
        <f>IFERROR(CUBEVALUE("BIDB",$A708,K$3,K$2,'Præsentationstabeller 1'!$C$2),0)</f>
        <v/>
      </c>
      <c r="L708" t="str" vm="10439">
        <f>IFERROR(CUBEVALUE("BIDB",$A708,L$3,L$2,'Præsentationstabeller 1'!$C$2),0)</f>
        <v/>
      </c>
    </row>
    <row r="709" spans="1:12" x14ac:dyDescent="0.3">
      <c r="A709" s="123" t="str" vm="627">
        <f>CUBEMEMBER("BIDB","[Dimittenddato].[Dimittenddato].&amp;[2014-08-01T00:00:00]")</f>
        <v>01-08-2014</v>
      </c>
      <c r="B709" t="str" vm="6243">
        <f>IFERROR(CUBEVALUE("BIDB",$A709,B$3,'Præsentationstabeller 1'!$C$2),0)</f>
        <v/>
      </c>
      <c r="C709" vm="16404">
        <f>IFERROR(CUBEVALUE("BIDB",$A709,C$3,C$2,'Præsentationstabeller 1'!$C$2),0)</f>
        <v>1</v>
      </c>
      <c r="D709" vm="7863">
        <f>IFERROR(CUBEVALUE("BIDB",$A709,D$3,D$2,'Præsentationstabeller 1'!$C$2),0)</f>
        <v>3</v>
      </c>
      <c r="E709" vm="6894">
        <f>IFERROR(CUBEVALUE("BIDB",$A709,E$3,E$2,'Præsentationstabeller 1'!$C$2),0)</f>
        <v>2</v>
      </c>
      <c r="F709" vm="6118">
        <f>IFERROR(CUBEVALUE("BIDB",$A709,F$3,F$2,'Præsentationstabeller 1'!$C$2),0)</f>
        <v>0</v>
      </c>
      <c r="G709" vm="7535">
        <f>IFERROR(CUBEVALUE("BIDB",$A709,G$3,G$2,'Præsentationstabeller 1'!$C$2),0)</f>
        <v>2</v>
      </c>
      <c r="H709" t="str" vm="8979">
        <f>IFERROR(CUBEVALUE("BIDB",$A709,H$3,H$2,'Præsentationstabeller 1'!$C$2),0)</f>
        <v/>
      </c>
      <c r="I709" vm="14532">
        <f>IFERROR(CUBEVALUE("BIDB",$A709,I$3,I$2,'Præsentationstabeller 1'!$C$2),0)</f>
        <v>0.32</v>
      </c>
      <c r="J709" t="str" vm="7192">
        <f>IFERROR(CUBEVALUE("BIDB",$A709,J$3,J$2,'Præsentationstabeller 1'!$C$2),0)</f>
        <v/>
      </c>
      <c r="K709" t="str" vm="6245">
        <f>IFERROR(CUBEVALUE("BIDB",$A709,K$3,K$2,'Præsentationstabeller 1'!$C$2),0)</f>
        <v/>
      </c>
      <c r="L709" t="str" vm="5965">
        <f>IFERROR(CUBEVALUE("BIDB",$A709,L$3,L$2,'Præsentationstabeller 1'!$C$2),0)</f>
        <v/>
      </c>
    </row>
    <row r="710" spans="1:12" x14ac:dyDescent="0.3">
      <c r="A710" s="123" t="str" vm="626">
        <f>CUBEMEMBER("BIDB","[Dimittenddato].[Dimittenddato].&amp;[2014-08-02T00:00:00]")</f>
        <v>02-08-2014</v>
      </c>
      <c r="B710" t="str" vm="5512">
        <f>IFERROR(CUBEVALUE("BIDB",$A710,B$3,'Præsentationstabeller 1'!$C$2),0)</f>
        <v/>
      </c>
      <c r="C710" t="str" vm="4652">
        <f>IFERROR(CUBEVALUE("BIDB",$A710,C$3,C$2,'Præsentationstabeller 1'!$C$2),0)</f>
        <v/>
      </c>
      <c r="D710" t="str" vm="8535">
        <f>IFERROR(CUBEVALUE("BIDB",$A710,D$3,D$2,'Præsentationstabeller 1'!$C$2),0)</f>
        <v/>
      </c>
      <c r="E710" t="str" vm="10456">
        <f>IFERROR(CUBEVALUE("BIDB",$A710,E$3,E$2,'Præsentationstabeller 1'!$C$2),0)</f>
        <v/>
      </c>
      <c r="F710" t="str" vm="7831">
        <f>IFERROR(CUBEVALUE("BIDB",$A710,F$3,F$2,'Præsentationstabeller 1'!$C$2),0)</f>
        <v/>
      </c>
      <c r="G710" t="str" vm="6734">
        <f>IFERROR(CUBEVALUE("BIDB",$A710,G$3,G$2,'Præsentationstabeller 1'!$C$2),0)</f>
        <v/>
      </c>
      <c r="H710" t="str" vm="6110">
        <f>IFERROR(CUBEVALUE("BIDB",$A710,H$3,H$2,'Præsentationstabeller 1'!$C$2),0)</f>
        <v/>
      </c>
      <c r="I710" t="str" vm="6732">
        <f>IFERROR(CUBEVALUE("BIDB",$A710,I$3,I$2,'Præsentationstabeller 1'!$C$2),0)</f>
        <v/>
      </c>
      <c r="J710" t="str" vm="6597">
        <f>IFERROR(CUBEVALUE("BIDB",$A710,J$3,J$2,'Præsentationstabeller 1'!$C$2),0)</f>
        <v/>
      </c>
      <c r="K710" t="str" vm="5782">
        <f>IFERROR(CUBEVALUE("BIDB",$A710,K$3,K$2,'Præsentationstabeller 1'!$C$2),0)</f>
        <v/>
      </c>
      <c r="L710" t="str" vm="4660">
        <f>IFERROR(CUBEVALUE("BIDB",$A710,L$3,L$2,'Præsentationstabeller 1'!$C$2),0)</f>
        <v/>
      </c>
    </row>
    <row r="711" spans="1:12" x14ac:dyDescent="0.3">
      <c r="A711" s="123" t="str" vm="625">
        <f>CUBEMEMBER("BIDB","[Dimittenddato].[Dimittenddato].&amp;[2014-08-03T00:00:00]")</f>
        <v>03-08-2014</v>
      </c>
      <c r="B711" t="str" vm="5909">
        <f>IFERROR(CUBEVALUE("BIDB",$A711,B$3,'Præsentationstabeller 1'!$C$2),0)</f>
        <v/>
      </c>
      <c r="C711" t="str" vm="4047">
        <f>IFERROR(CUBEVALUE("BIDB",$A711,C$3,C$2,'Præsentationstabeller 1'!$C$2),0)</f>
        <v/>
      </c>
      <c r="D711" t="str" vm="5504">
        <f>IFERROR(CUBEVALUE("BIDB",$A711,D$3,D$2,'Præsentationstabeller 1'!$C$2),0)</f>
        <v/>
      </c>
      <c r="E711" t="str" vm="4039">
        <f>IFERROR(CUBEVALUE("BIDB",$A711,E$3,E$2,'Præsentationstabeller 1'!$C$2),0)</f>
        <v/>
      </c>
      <c r="F711" t="str" vm="12186">
        <f>IFERROR(CUBEVALUE("BIDB",$A711,F$3,F$2,'Præsentationstabeller 1'!$C$2),0)</f>
        <v/>
      </c>
      <c r="G711" t="str" vm="6962">
        <f>IFERROR(CUBEVALUE("BIDB",$A711,G$3,G$2,'Præsentationstabeller 1'!$C$2),0)</f>
        <v/>
      </c>
      <c r="H711" t="str" vm="8248">
        <f>IFERROR(CUBEVALUE("BIDB",$A711,H$3,H$2,'Præsentationstabeller 1'!$C$2),0)</f>
        <v/>
      </c>
      <c r="I711" t="str" vm="5680">
        <f>IFERROR(CUBEVALUE("BIDB",$A711,I$3,I$2,'Præsentationstabeller 1'!$C$2),0)</f>
        <v/>
      </c>
      <c r="J711" t="str" vm="8246">
        <f>IFERROR(CUBEVALUE("BIDB",$A711,J$3,J$2,'Præsentationstabeller 1'!$C$2),0)</f>
        <v/>
      </c>
      <c r="K711" t="str" vm="15586">
        <f>IFERROR(CUBEVALUE("BIDB",$A711,K$3,K$2,'Præsentationstabeller 1'!$C$2),0)</f>
        <v/>
      </c>
      <c r="L711" t="str" vm="6538">
        <f>IFERROR(CUBEVALUE("BIDB",$A711,L$3,L$2,'Præsentationstabeller 1'!$C$2),0)</f>
        <v/>
      </c>
    </row>
    <row r="712" spans="1:12" x14ac:dyDescent="0.3">
      <c r="A712" s="123" t="str" vm="624">
        <f>CUBEMEMBER("BIDB","[Dimittenddato].[Dimittenddato].&amp;[2014-08-04T00:00:00]")</f>
        <v>04-08-2014</v>
      </c>
      <c r="B712" t="str" vm="8435">
        <f>IFERROR(CUBEVALUE("BIDB",$A712,B$3,'Præsentationstabeller 1'!$C$2),0)</f>
        <v/>
      </c>
      <c r="C712" t="str" vm="7805">
        <f>IFERROR(CUBEVALUE("BIDB",$A712,C$3,C$2,'Præsentationstabeller 1'!$C$2),0)</f>
        <v/>
      </c>
      <c r="D712" t="str" vm="4372">
        <f>IFERROR(CUBEVALUE("BIDB",$A712,D$3,D$2,'Præsentationstabeller 1'!$C$2),0)</f>
        <v/>
      </c>
      <c r="E712" vm="4526">
        <f>IFERROR(CUBEVALUE("BIDB",$A712,E$3,E$2,'Præsentationstabeller 1'!$C$2),0)</f>
        <v>5</v>
      </c>
      <c r="F712" vm="4364">
        <f>IFERROR(CUBEVALUE("BIDB",$A712,F$3,F$2,'Præsentationstabeller 1'!$C$2),0)</f>
        <v>1</v>
      </c>
      <c r="G712" vm="9957">
        <f>IFERROR(CUBEVALUE("BIDB",$A712,G$3,G$2,'Præsentationstabeller 1'!$C$2),0)</f>
        <v>6</v>
      </c>
      <c r="H712" t="str" vm="9331">
        <f>IFERROR(CUBEVALUE("BIDB",$A712,H$3,H$2,'Præsentationstabeller 1'!$C$2),0)</f>
        <v/>
      </c>
      <c r="I712" t="str" vm="7021">
        <f>IFERROR(CUBEVALUE("BIDB",$A712,I$3,I$2,'Præsentationstabeller 1'!$C$2),0)</f>
        <v/>
      </c>
      <c r="J712" t="str" vm="5227">
        <f>IFERROR(CUBEVALUE("BIDB",$A712,J$3,J$2,'Præsentationstabeller 1'!$C$2),0)</f>
        <v/>
      </c>
      <c r="K712" t="str" vm="5678">
        <f>IFERROR(CUBEVALUE("BIDB",$A712,K$3,K$2,'Præsentationstabeller 1'!$C$2),0)</f>
        <v/>
      </c>
      <c r="L712" t="str" vm="7684">
        <f>IFERROR(CUBEVALUE("BIDB",$A712,L$3,L$2,'Præsentationstabeller 1'!$C$2),0)</f>
        <v/>
      </c>
    </row>
    <row r="713" spans="1:12" x14ac:dyDescent="0.3">
      <c r="A713" s="123" t="str" vm="623">
        <f>CUBEMEMBER("BIDB","[Dimittenddato].[Dimittenddato].&amp;[2014-08-05T00:00:00]")</f>
        <v>05-08-2014</v>
      </c>
      <c r="B713" t="str" vm="5520">
        <f>IFERROR(CUBEVALUE("BIDB",$A713,B$3,'Præsentationstabeller 1'!$C$2),0)</f>
        <v/>
      </c>
      <c r="C713" t="str" vm="6261">
        <f>IFERROR(CUBEVALUE("BIDB",$A713,C$3,C$2,'Præsentationstabeller 1'!$C$2),0)</f>
        <v/>
      </c>
      <c r="D713" t="str" vm="6930">
        <f>IFERROR(CUBEVALUE("BIDB",$A713,D$3,D$2,'Præsentationstabeller 1'!$C$2),0)</f>
        <v/>
      </c>
      <c r="E713" t="str" vm="7521">
        <f>IFERROR(CUBEVALUE("BIDB",$A713,E$3,E$2,'Præsentationstabeller 1'!$C$2),0)</f>
        <v/>
      </c>
      <c r="F713" t="str" vm="6148">
        <f>IFERROR(CUBEVALUE("BIDB",$A713,F$3,F$2,'Præsentationstabeller 1'!$C$2),0)</f>
        <v/>
      </c>
      <c r="G713" t="str" vm="4518">
        <f>IFERROR(CUBEVALUE("BIDB",$A713,G$3,G$2,'Præsentationstabeller 1'!$C$2),0)</f>
        <v/>
      </c>
      <c r="H713" t="str" vm="7158">
        <f>IFERROR(CUBEVALUE("BIDB",$A713,H$3,H$2,'Præsentationstabeller 1'!$C$2),0)</f>
        <v/>
      </c>
      <c r="I713" t="str" vm="9944">
        <f>IFERROR(CUBEVALUE("BIDB",$A713,I$3,I$2,'Præsentationstabeller 1'!$C$2),0)</f>
        <v/>
      </c>
      <c r="J713" t="str" vm="10156">
        <f>IFERROR(CUBEVALUE("BIDB",$A713,J$3,J$2,'Præsentationstabeller 1'!$C$2),0)</f>
        <v/>
      </c>
      <c r="K713" t="str" vm="5522">
        <f>IFERROR(CUBEVALUE("BIDB",$A713,K$3,K$2,'Præsentationstabeller 1'!$C$2),0)</f>
        <v/>
      </c>
      <c r="L713" t="str" vm="5219">
        <f>IFERROR(CUBEVALUE("BIDB",$A713,L$3,L$2,'Præsentationstabeller 1'!$C$2),0)</f>
        <v/>
      </c>
    </row>
    <row r="714" spans="1:12" x14ac:dyDescent="0.3">
      <c r="A714" s="123" t="str" vm="622">
        <f>CUBEMEMBER("BIDB","[Dimittenddato].[Dimittenddato].&amp;[2014-08-06T00:00:00]")</f>
        <v>06-08-2014</v>
      </c>
      <c r="B714" t="str" vm="11939">
        <f>IFERROR(CUBEVALUE("BIDB",$A714,B$3,'Præsentationstabeller 1'!$C$2),0)</f>
        <v/>
      </c>
      <c r="C714" t="str" vm="5088">
        <f>IFERROR(CUBEVALUE("BIDB",$A714,C$3,C$2,'Præsentationstabeller 1'!$C$2),0)</f>
        <v/>
      </c>
      <c r="D714" vm="7869">
        <f>IFERROR(CUBEVALUE("BIDB",$A714,D$3,D$2,'Præsentationstabeller 1'!$C$2),0)</f>
        <v>2</v>
      </c>
      <c r="E714" vm="6041">
        <f>IFERROR(CUBEVALUE("BIDB",$A714,E$3,E$2,'Præsentationstabeller 1'!$C$2),0)</f>
        <v>1</v>
      </c>
      <c r="F714" t="str" vm="6249">
        <f>IFERROR(CUBEVALUE("BIDB",$A714,F$3,F$2,'Præsentationstabeller 1'!$C$2),0)</f>
        <v/>
      </c>
      <c r="G714" vm="4820">
        <f>IFERROR(CUBEVALUE("BIDB",$A714,G$3,G$2,'Præsentationstabeller 1'!$C$2),0)</f>
        <v>1</v>
      </c>
      <c r="H714" t="str" vm="6140">
        <f>IFERROR(CUBEVALUE("BIDB",$A714,H$3,H$2,'Præsentationstabeller 1'!$C$2),0)</f>
        <v/>
      </c>
      <c r="I714" t="str" vm="4818">
        <f>IFERROR(CUBEVALUE("BIDB",$A714,I$3,I$2,'Præsentationstabeller 1'!$C$2),0)</f>
        <v/>
      </c>
      <c r="J714" t="str" vm="8002">
        <f>IFERROR(CUBEVALUE("BIDB",$A714,J$3,J$2,'Præsentationstabeller 1'!$C$2),0)</f>
        <v/>
      </c>
      <c r="K714" t="str" vm="8757">
        <f>IFERROR(CUBEVALUE("BIDB",$A714,K$3,K$2,'Præsentationstabeller 1'!$C$2),0)</f>
        <v/>
      </c>
      <c r="L714" t="str" vm="5096">
        <f>IFERROR(CUBEVALUE("BIDB",$A714,L$3,L$2,'Præsentationstabeller 1'!$C$2),0)</f>
        <v/>
      </c>
    </row>
    <row r="715" spans="1:12" x14ac:dyDescent="0.3">
      <c r="A715" s="123" t="str" vm="621">
        <f>CUBEMEMBER("BIDB","[Dimittenddato].[Dimittenddato].&amp;[2014-08-07T00:00:00]")</f>
        <v>07-08-2014</v>
      </c>
      <c r="B715" t="str" vm="10737">
        <f>IFERROR(CUBEVALUE("BIDB",$A715,B$3,'Præsentationstabeller 1'!$C$2),0)</f>
        <v/>
      </c>
      <c r="C715" t="str" vm="5863">
        <f>IFERROR(CUBEVALUE("BIDB",$A715,C$3,C$2,'Præsentationstabeller 1'!$C$2),0)</f>
        <v/>
      </c>
      <c r="D715" vm="7527">
        <f>IFERROR(CUBEVALUE("BIDB",$A715,D$3,D$2,'Præsentationstabeller 1'!$C$2),0)</f>
        <v>2</v>
      </c>
      <c r="E715" vm="5855">
        <f>IFERROR(CUBEVALUE("BIDB",$A715,E$3,E$2,'Præsentationstabeller 1'!$C$2),0)</f>
        <v>1</v>
      </c>
      <c r="F715" t="str" vm="8186">
        <f>IFERROR(CUBEVALUE("BIDB",$A715,F$3,F$2,'Præsentationstabeller 1'!$C$2),0)</f>
        <v/>
      </c>
      <c r="G715" vm="7174">
        <f>IFERROR(CUBEVALUE("BIDB",$A715,G$3,G$2,'Præsentationstabeller 1'!$C$2),0)</f>
        <v>1</v>
      </c>
      <c r="H715" t="str" vm="7278">
        <f>IFERROR(CUBEVALUE("BIDB",$A715,H$3,H$2,'Præsentationstabeller 1'!$C$2),0)</f>
        <v/>
      </c>
      <c r="I715" vm="4411">
        <f>IFERROR(CUBEVALUE("BIDB",$A715,I$3,I$2,'Præsentationstabeller 1'!$C$2),0)</f>
        <v>1</v>
      </c>
      <c r="J715" t="str" vm="7276">
        <f>IFERROR(CUBEVALUE("BIDB",$A715,J$3,J$2,'Præsentationstabeller 1'!$C$2),0)</f>
        <v/>
      </c>
      <c r="K715" t="str" vm="13136">
        <f>IFERROR(CUBEVALUE("BIDB",$A715,K$3,K$2,'Præsentationstabeller 1'!$C$2),0)</f>
        <v/>
      </c>
      <c r="L715" t="str" vm="8513">
        <f>IFERROR(CUBEVALUE("BIDB",$A715,L$3,L$2,'Præsentationstabeller 1'!$C$2),0)</f>
        <v/>
      </c>
    </row>
    <row r="716" spans="1:12" x14ac:dyDescent="0.3">
      <c r="A716" s="123" t="str" vm="620">
        <f>CUBEMEMBER("BIDB","[Dimittenddato].[Dimittenddato].&amp;[2014-08-08T00:00:00]")</f>
        <v>08-08-2014</v>
      </c>
      <c r="B716" t="str" vm="14678">
        <f>IFERROR(CUBEVALUE("BIDB",$A716,B$3,'Præsentationstabeller 1'!$C$2),0)</f>
        <v/>
      </c>
      <c r="C716" vm="8505">
        <f>IFERROR(CUBEVALUE("BIDB",$A716,C$3,C$2,'Præsentationstabeller 1'!$C$2),0)</f>
        <v>1</v>
      </c>
      <c r="D716" vm="7168">
        <f>IFERROR(CUBEVALUE("BIDB",$A716,D$3,D$2,'Præsentationstabeller 1'!$C$2),0)</f>
        <v>1</v>
      </c>
      <c r="E716" vm="8590">
        <f>IFERROR(CUBEVALUE("BIDB",$A716,E$3,E$2,'Præsentationstabeller 1'!$C$2),0)</f>
        <v>10</v>
      </c>
      <c r="F716" t="str" vm="6658">
        <f>IFERROR(CUBEVALUE("BIDB",$A716,F$3,F$2,'Præsentationstabeller 1'!$C$2),0)</f>
        <v/>
      </c>
      <c r="G716" vm="6565">
        <f>IFERROR(CUBEVALUE("BIDB",$A716,G$3,G$2,'Præsentationstabeller 1'!$C$2),0)</f>
        <v>10</v>
      </c>
      <c r="H716" t="str" vm="5528">
        <f>IFERROR(CUBEVALUE("BIDB",$A716,H$3,H$2,'Præsentationstabeller 1'!$C$2),0)</f>
        <v/>
      </c>
      <c r="I716" t="str" vm="6283">
        <f>IFERROR(CUBEVALUE("BIDB",$A716,I$3,I$2,'Præsentationstabeller 1'!$C$2),0)</f>
        <v/>
      </c>
      <c r="J716" vm="5257">
        <f>IFERROR(CUBEVALUE("BIDB",$A716,J$3,J$2,'Præsentationstabeller 1'!$C$2),0)</f>
        <v>1</v>
      </c>
      <c r="K716" t="str" vm="4403">
        <f>IFERROR(CUBEVALUE("BIDB",$A716,K$3,K$2,'Præsentationstabeller 1'!$C$2),0)</f>
        <v/>
      </c>
      <c r="L716" vm="6599">
        <f>IFERROR(CUBEVALUE("BIDB",$A716,L$3,L$2,'Præsentationstabeller 1'!$C$2),0)</f>
        <v>1</v>
      </c>
    </row>
    <row r="717" spans="1:12" x14ac:dyDescent="0.3">
      <c r="A717" s="123" t="str" vm="619">
        <f>CUBEMEMBER("BIDB","[Dimittenddato].[Dimittenddato].&amp;[2014-08-09T00:00:00]")</f>
        <v>09-08-2014</v>
      </c>
      <c r="B717" t="str" vm="3786">
        <f>IFERROR(CUBEVALUE("BIDB",$A717,B$3,'Præsentationstabeller 1'!$C$2),0)</f>
        <v/>
      </c>
      <c r="C717" t="str" vm="7690">
        <f>IFERROR(CUBEVALUE("BIDB",$A717,C$3,C$2,'Præsentationstabeller 1'!$C$2),0)</f>
        <v/>
      </c>
      <c r="D717" vm="6708">
        <f>IFERROR(CUBEVALUE("BIDB",$A717,D$3,D$2,'Præsentationstabeller 1'!$C$2),0)</f>
        <v>1</v>
      </c>
      <c r="E717" t="str" vm="13220">
        <f>IFERROR(CUBEVALUE("BIDB",$A717,E$3,E$2,'Præsentationstabeller 1'!$C$2),0)</f>
        <v/>
      </c>
      <c r="F717" t="str" vm="6702">
        <f>IFERROR(CUBEVALUE("BIDB",$A717,F$3,F$2,'Præsentationstabeller 1'!$C$2),0)</f>
        <v/>
      </c>
      <c r="G717" t="str" vm="7612">
        <f>IFERROR(CUBEVALUE("BIDB",$A717,G$3,G$2,'Præsentationstabeller 1'!$C$2),0)</f>
        <v/>
      </c>
      <c r="H717" t="str" vm="7837">
        <f>IFERROR(CUBEVALUE("BIDB",$A717,H$3,H$2,'Præsentationstabeller 1'!$C$2),0)</f>
        <v/>
      </c>
      <c r="I717" t="str" vm="6797">
        <f>IFERROR(CUBEVALUE("BIDB",$A717,I$3,I$2,'Præsentationstabeller 1'!$C$2),0)</f>
        <v/>
      </c>
      <c r="J717" t="str" vm="5654">
        <f>IFERROR(CUBEVALUE("BIDB",$A717,J$3,J$2,'Præsentationstabeller 1'!$C$2),0)</f>
        <v/>
      </c>
      <c r="K717" t="str" vm="3794">
        <f>IFERROR(CUBEVALUE("BIDB",$A717,K$3,K$2,'Præsentationstabeller 1'!$C$2),0)</f>
        <v/>
      </c>
      <c r="L717" t="str" vm="5249">
        <f>IFERROR(CUBEVALUE("BIDB",$A717,L$3,L$2,'Præsentationstabeller 1'!$C$2),0)</f>
        <v/>
      </c>
    </row>
    <row r="718" spans="1:12" x14ac:dyDescent="0.3">
      <c r="A718" s="123" t="str" vm="618">
        <f>CUBEMEMBER("BIDB","[Dimittenddato].[Dimittenddato].&amp;[2014-08-10T00:00:00]")</f>
        <v>10-08-2014</v>
      </c>
      <c r="B718" t="str" vm="4274">
        <f>IFERROR(CUBEVALUE("BIDB",$A718,B$3,'Præsentationstabeller 1'!$C$2),0)</f>
        <v/>
      </c>
      <c r="C718" t="str" vm="5118">
        <f>IFERROR(CUBEVALUE("BIDB",$A718,C$3,C$2,'Præsentationstabeller 1'!$C$2),0)</f>
        <v/>
      </c>
      <c r="D718" t="str" vm="12962">
        <f>IFERROR(CUBEVALUE("BIDB",$A718,D$3,D$2,'Præsentationstabeller 1'!$C$2),0)</f>
        <v/>
      </c>
      <c r="E718" t="str" vm="6267">
        <f>IFERROR(CUBEVALUE("BIDB",$A718,E$3,E$2,'Præsentationstabeller 1'!$C$2),0)</f>
        <v/>
      </c>
      <c r="F718" t="str" vm="6640">
        <f>IFERROR(CUBEVALUE("BIDB",$A718,F$3,F$2,'Præsentationstabeller 1'!$C$2),0)</f>
        <v/>
      </c>
      <c r="G718" t="str" vm="5990">
        <f>IFERROR(CUBEVALUE("BIDB",$A718,G$3,G$2,'Præsentationstabeller 1'!$C$2),0)</f>
        <v/>
      </c>
      <c r="H718" t="str" vm="6700">
        <f>IFERROR(CUBEVALUE("BIDB",$A718,H$3,H$2,'Præsentationstabeller 1'!$C$2),0)</f>
        <v/>
      </c>
      <c r="I718" t="str" vm="5982">
        <f>IFERROR(CUBEVALUE("BIDB",$A718,I$3,I$2,'Præsentationstabeller 1'!$C$2),0)</f>
        <v/>
      </c>
      <c r="J718" t="str" vm="10336">
        <f>IFERROR(CUBEVALUE("BIDB",$A718,J$3,J$2,'Præsentationstabeller 1'!$C$2),0)</f>
        <v/>
      </c>
      <c r="K718" t="str" vm="7316">
        <f>IFERROR(CUBEVALUE("BIDB",$A718,K$3,K$2,'Præsentationstabeller 1'!$C$2),0)</f>
        <v/>
      </c>
      <c r="L718" t="str" vm="5126">
        <f>IFERROR(CUBEVALUE("BIDB",$A718,L$3,L$2,'Præsentationstabeller 1'!$C$2),0)</f>
        <v/>
      </c>
    </row>
    <row r="719" spans="1:12" x14ac:dyDescent="0.3">
      <c r="A719" s="123" t="str" vm="617">
        <f>CUBEMEMBER("BIDB","[Dimittenddato].[Dimittenddato].&amp;[2014-08-11T00:00:00]")</f>
        <v>11-08-2014</v>
      </c>
      <c r="B719" t="str" vm="5885">
        <f>IFERROR(CUBEVALUE("BIDB",$A719,B$3,'Præsentationstabeller 1'!$C$2),0)</f>
        <v/>
      </c>
      <c r="C719" t="str" vm="4843">
        <f>IFERROR(CUBEVALUE("BIDB",$A719,C$3,C$2,'Præsentationstabeller 1'!$C$2),0)</f>
        <v/>
      </c>
      <c r="D719" vm="7418">
        <f>IFERROR(CUBEVALUE("BIDB",$A719,D$3,D$2,'Præsentationstabeller 1'!$C$2),0)</f>
        <v>5</v>
      </c>
      <c r="E719" vm="6203">
        <f>IFERROR(CUBEVALUE("BIDB",$A719,E$3,E$2,'Præsentationstabeller 1'!$C$2),0)</f>
        <v>1</v>
      </c>
      <c r="F719" vm="5648">
        <f>IFERROR(CUBEVALUE("BIDB",$A719,F$3,F$2,'Præsentationstabeller 1'!$C$2),0)</f>
        <v>2</v>
      </c>
      <c r="G719" vm="10282">
        <f>IFERROR(CUBEVALUE("BIDB",$A719,G$3,G$2,'Præsentationstabeller 1'!$C$2),0)</f>
        <v>3</v>
      </c>
      <c r="H719" t="str" vm="5893">
        <f>IFERROR(CUBEVALUE("BIDB",$A719,H$3,H$2,'Præsentationstabeller 1'!$C$2),0)</f>
        <v/>
      </c>
      <c r="I719" t="str" vm="4266">
        <f>IFERROR(CUBEVALUE("BIDB",$A719,I$3,I$2,'Præsentationstabeller 1'!$C$2),0)</f>
        <v/>
      </c>
      <c r="J719" t="str" vm="6676">
        <f>IFERROR(CUBEVALUE("BIDB",$A719,J$3,J$2,'Præsentationstabeller 1'!$C$2),0)</f>
        <v/>
      </c>
      <c r="K719" t="str" vm="5646">
        <f>IFERROR(CUBEVALUE("BIDB",$A719,K$3,K$2,'Præsentationstabeller 1'!$C$2),0)</f>
        <v/>
      </c>
      <c r="L719" t="str" vm="8146">
        <f>IFERROR(CUBEVALUE("BIDB",$A719,L$3,L$2,'Præsentationstabeller 1'!$C$2),0)</f>
        <v/>
      </c>
    </row>
    <row r="720" spans="1:12" x14ac:dyDescent="0.3">
      <c r="A720" s="123" t="str" vm="616">
        <f>CUBEMEMBER("BIDB","[Dimittenddato].[Dimittenddato].&amp;[2014-08-12T00:00:00]")</f>
        <v>12-08-2014</v>
      </c>
      <c r="B720" t="str" vm="5586">
        <f>IFERROR(CUBEVALUE("BIDB",$A720,B$3,'Præsentationstabeller 1'!$C$2),0)</f>
        <v/>
      </c>
      <c r="C720" t="str" vm="13274">
        <f>IFERROR(CUBEVALUE("BIDB",$A720,C$3,C$2,'Præsentationstabeller 1'!$C$2),0)</f>
        <v/>
      </c>
      <c r="D720" vm="14775">
        <f>IFERROR(CUBEVALUE("BIDB",$A720,D$3,D$2,'Præsentationstabeller 1'!$C$2),0)</f>
        <v>3</v>
      </c>
      <c r="E720" vm="6049">
        <f>IFERROR(CUBEVALUE("BIDB",$A720,E$3,E$2,'Præsentationstabeller 1'!$C$2),0)</f>
        <v>3</v>
      </c>
      <c r="F720" t="str" vm="6767">
        <f>IFERROR(CUBEVALUE("BIDB",$A720,F$3,F$2,'Præsentationstabeller 1'!$C$2),0)</f>
        <v/>
      </c>
      <c r="G720" vm="16175">
        <f>IFERROR(CUBEVALUE("BIDB",$A720,G$3,G$2,'Præsentationstabeller 1'!$C$2),0)</f>
        <v>3</v>
      </c>
      <c r="H720" t="str" vm="13355">
        <f>IFERROR(CUBEVALUE("BIDB",$A720,H$3,H$2,'Præsentationstabeller 1'!$C$2),0)</f>
        <v/>
      </c>
      <c r="I720" t="str" vm="4835">
        <f>IFERROR(CUBEVALUE("BIDB",$A720,I$3,I$2,'Præsentationstabeller 1'!$C$2),0)</f>
        <v/>
      </c>
      <c r="J720" t="str" vm="11161">
        <f>IFERROR(CUBEVALUE("BIDB",$A720,J$3,J$2,'Præsentationstabeller 1'!$C$2),0)</f>
        <v/>
      </c>
      <c r="K720" t="str" vm="11267">
        <f>IFERROR(CUBEVALUE("BIDB",$A720,K$3,K$2,'Præsentationstabeller 1'!$C$2),0)</f>
        <v/>
      </c>
      <c r="L720" t="str" vm="14607">
        <f>IFERROR(CUBEVALUE("BIDB",$A720,L$3,L$2,'Præsentationstabeller 1'!$C$2),0)</f>
        <v/>
      </c>
    </row>
    <row r="721" spans="1:12" x14ac:dyDescent="0.3">
      <c r="A721" s="123" t="str" vm="615">
        <f>CUBEMEMBER("BIDB","[Dimittenddato].[Dimittenddato].&amp;[2014-08-13T00:00:00]")</f>
        <v>13-08-2014</v>
      </c>
      <c r="B721" t="str" vm="5584">
        <f>IFERROR(CUBEVALUE("BIDB",$A721,B$3,'Præsentationstabeller 1'!$C$2),0)</f>
        <v/>
      </c>
      <c r="C721" t="str" vm="14507">
        <f>IFERROR(CUBEVALUE("BIDB",$A721,C$3,C$2,'Præsentationstabeller 1'!$C$2),0)</f>
        <v/>
      </c>
      <c r="D721" vm="14411">
        <f>IFERROR(CUBEVALUE("BIDB",$A721,D$3,D$2,'Præsentationstabeller 1'!$C$2),0)</f>
        <v>3</v>
      </c>
      <c r="E721" vm="7246">
        <f>IFERROR(CUBEVALUE("BIDB",$A721,E$3,E$2,'Præsentationstabeller 1'!$C$2),0)</f>
        <v>3</v>
      </c>
      <c r="F721" t="str" vm="10789">
        <f>IFERROR(CUBEVALUE("BIDB",$A721,F$3,F$2,'Præsentationstabeller 1'!$C$2),0)</f>
        <v/>
      </c>
      <c r="G721" vm="10991">
        <f>IFERROR(CUBEVALUE("BIDB",$A721,G$3,G$2,'Præsentationstabeller 1'!$C$2),0)</f>
        <v>3</v>
      </c>
      <c r="H721" t="str" vm="14182">
        <f>IFERROR(CUBEVALUE("BIDB",$A721,H$3,H$2,'Præsentationstabeller 1'!$C$2),0)</f>
        <v/>
      </c>
      <c r="I721" t="str" vm="5150">
        <f>IFERROR(CUBEVALUE("BIDB",$A721,I$3,I$2,'Præsentationstabeller 1'!$C$2),0)</f>
        <v/>
      </c>
      <c r="J721" t="str" vm="7282">
        <f>IFERROR(CUBEVALUE("BIDB",$A721,J$3,J$2,'Præsentationstabeller 1'!$C$2),0)</f>
        <v/>
      </c>
      <c r="K721" t="str" vm="12643">
        <f>IFERROR(CUBEVALUE("BIDB",$A721,K$3,K$2,'Præsentationstabeller 1'!$C$2),0)</f>
        <v/>
      </c>
      <c r="L721" t="str" vm="12776">
        <f>IFERROR(CUBEVALUE("BIDB",$A721,L$3,L$2,'Præsentationstabeller 1'!$C$2),0)</f>
        <v/>
      </c>
    </row>
    <row r="722" spans="1:12" x14ac:dyDescent="0.3">
      <c r="A722" s="123" t="str" vm="614">
        <f>CUBEMEMBER("BIDB","[Dimittenddato].[Dimittenddato].&amp;[2014-08-14T00:00:00]")</f>
        <v>14-08-2014</v>
      </c>
      <c r="B722" t="str" vm="14473">
        <f>IFERROR(CUBEVALUE("BIDB",$A722,B$3,'Præsentationstabeller 1'!$C$2),0)</f>
        <v/>
      </c>
      <c r="C722" t="str" vm="9392">
        <f>IFERROR(CUBEVALUE("BIDB",$A722,C$3,C$2,'Præsentationstabeller 1'!$C$2),0)</f>
        <v/>
      </c>
      <c r="D722" vm="10271">
        <f>IFERROR(CUBEVALUE("BIDB",$A722,D$3,D$2,'Præsentationstabeller 1'!$C$2),0)</f>
        <v>7</v>
      </c>
      <c r="E722" vm="5609">
        <f>IFERROR(CUBEVALUE("BIDB",$A722,E$3,E$2,'Præsentationstabeller 1'!$C$2),0)</f>
        <v>9</v>
      </c>
      <c r="F722" vm="15055">
        <f>IFERROR(CUBEVALUE("BIDB",$A722,F$3,F$2,'Præsentationstabeller 1'!$C$2),0)</f>
        <v>3</v>
      </c>
      <c r="G722" vm="17162">
        <f>IFERROR(CUBEVALUE("BIDB",$A722,G$3,G$2,'Præsentationstabeller 1'!$C$2),0)</f>
        <v>12</v>
      </c>
      <c r="H722" t="str" vm="11827">
        <f>IFERROR(CUBEVALUE("BIDB",$A722,H$3,H$2,'Præsentationstabeller 1'!$C$2),0)</f>
        <v/>
      </c>
      <c r="I722" t="str" vm="8658">
        <f>IFERROR(CUBEVALUE("BIDB",$A722,I$3,I$2,'Præsentationstabeller 1'!$C$2),0)</f>
        <v/>
      </c>
      <c r="J722" t="str" vm="8386">
        <f>IFERROR(CUBEVALUE("BIDB",$A722,J$3,J$2,'Præsentationstabeller 1'!$C$2),0)</f>
        <v/>
      </c>
      <c r="K722" t="str" vm="14435">
        <f>IFERROR(CUBEVALUE("BIDB",$A722,K$3,K$2,'Præsentationstabeller 1'!$C$2),0)</f>
        <v/>
      </c>
      <c r="L722" t="str" vm="14761">
        <f>IFERROR(CUBEVALUE("BIDB",$A722,L$3,L$2,'Præsentationstabeller 1'!$C$2),0)</f>
        <v/>
      </c>
    </row>
    <row r="723" spans="1:12" x14ac:dyDescent="0.3">
      <c r="A723" s="123" t="str" vm="613">
        <f>CUBEMEMBER("BIDB","[Dimittenddato].[Dimittenddato].&amp;[2014-08-15T00:00:00]")</f>
        <v>15-08-2014</v>
      </c>
      <c r="B723" t="str" vm="8268">
        <f>IFERROR(CUBEVALUE("BIDB",$A723,B$3,'Præsentationstabeller 1'!$C$2),0)</f>
        <v/>
      </c>
      <c r="C723" t="str" vm="13819">
        <f>IFERROR(CUBEVALUE("BIDB",$A723,C$3,C$2,'Præsentationstabeller 1'!$C$2),0)</f>
        <v/>
      </c>
      <c r="D723" vm="16592">
        <f>IFERROR(CUBEVALUE("BIDB",$A723,D$3,D$2,'Præsentationstabeller 1'!$C$2),0)</f>
        <v>5</v>
      </c>
      <c r="E723" vm="5601">
        <f>IFERROR(CUBEVALUE("BIDB",$A723,E$3,E$2,'Præsentationstabeller 1'!$C$2),0)</f>
        <v>16</v>
      </c>
      <c r="F723" vm="6813">
        <f>IFERROR(CUBEVALUE("BIDB",$A723,F$3,F$2,'Præsentationstabeller 1'!$C$2),0)</f>
        <v>5</v>
      </c>
      <c r="G723" vm="16806">
        <f>IFERROR(CUBEVALUE("BIDB",$A723,G$3,G$2,'Præsentationstabeller 1'!$C$2),0)</f>
        <v>21</v>
      </c>
      <c r="H723" t="str" vm="9915">
        <f>IFERROR(CUBEVALUE("BIDB",$A723,H$3,H$2,'Præsentationstabeller 1'!$C$2),0)</f>
        <v/>
      </c>
      <c r="I723" vm="4162">
        <f>IFERROR(CUBEVALUE("BIDB",$A723,I$3,I$2,'Præsentationstabeller 1'!$C$2),0)</f>
        <v>1</v>
      </c>
      <c r="J723" vm="7408">
        <f>IFERROR(CUBEVALUE("BIDB",$A723,J$3,J$2,'Præsentationstabeller 1'!$C$2),0)</f>
        <v>1</v>
      </c>
      <c r="K723" vm="15400">
        <f>IFERROR(CUBEVALUE("BIDB",$A723,K$3,K$2,'Præsentationstabeller 1'!$C$2),0)</f>
        <v>2</v>
      </c>
      <c r="L723" vm="14320">
        <f>IFERROR(CUBEVALUE("BIDB",$A723,L$3,L$2,'Præsentationstabeller 1'!$C$2),0)</f>
        <v>3</v>
      </c>
    </row>
    <row r="724" spans="1:12" x14ac:dyDescent="0.3">
      <c r="A724" s="123" t="str" vm="612">
        <f>CUBEMEMBER("BIDB","[Dimittenddato].[Dimittenddato].&amp;[2014-08-16T00:00:00]")</f>
        <v>16-08-2014</v>
      </c>
      <c r="B724" t="str" vm="6277">
        <f>IFERROR(CUBEVALUE("BIDB",$A724,B$3,'Præsentationstabeller 1'!$C$2),0)</f>
        <v/>
      </c>
      <c r="C724" t="str" vm="13767">
        <f>IFERROR(CUBEVALUE("BIDB",$A724,C$3,C$2,'Præsentationstabeller 1'!$C$2),0)</f>
        <v/>
      </c>
      <c r="D724" t="str" vm="11480">
        <f>IFERROR(CUBEVALUE("BIDB",$A724,D$3,D$2,'Præsentationstabeller 1'!$C$2),0)</f>
        <v/>
      </c>
      <c r="E724" t="str" vm="15957">
        <f>IFERROR(CUBEVALUE("BIDB",$A724,E$3,E$2,'Præsentationstabeller 1'!$C$2),0)</f>
        <v/>
      </c>
      <c r="F724" t="str" vm="5273">
        <f>IFERROR(CUBEVALUE("BIDB",$A724,F$3,F$2,'Præsentationstabeller 1'!$C$2),0)</f>
        <v/>
      </c>
      <c r="G724" t="str" vm="13396">
        <f>IFERROR(CUBEVALUE("BIDB",$A724,G$3,G$2,'Præsentationstabeller 1'!$C$2),0)</f>
        <v/>
      </c>
      <c r="H724" t="str" vm="10104">
        <f>IFERROR(CUBEVALUE("BIDB",$A724,H$3,H$2,'Præsentationstabeller 1'!$C$2),0)</f>
        <v/>
      </c>
      <c r="I724" t="str" vm="4154">
        <f>IFERROR(CUBEVALUE("BIDB",$A724,I$3,I$2,'Præsentationstabeller 1'!$C$2),0)</f>
        <v/>
      </c>
      <c r="J724" t="str" vm="6567">
        <f>IFERROR(CUBEVALUE("BIDB",$A724,J$3,J$2,'Præsentationstabeller 1'!$C$2),0)</f>
        <v/>
      </c>
      <c r="K724" t="str" vm="9580">
        <f>IFERROR(CUBEVALUE("BIDB",$A724,K$3,K$2,'Præsentationstabeller 1'!$C$2),0)</f>
        <v/>
      </c>
      <c r="L724" t="str" vm="6335">
        <f>IFERROR(CUBEVALUE("BIDB",$A724,L$3,L$2,'Præsentationstabeller 1'!$C$2),0)</f>
        <v/>
      </c>
    </row>
    <row r="725" spans="1:12" x14ac:dyDescent="0.3">
      <c r="A725" s="123" t="str" vm="611">
        <f>CUBEMEMBER("BIDB","[Dimittenddato].[Dimittenddato].&amp;[2014-08-17T00:00:00]")</f>
        <v>17-08-2014</v>
      </c>
      <c r="B725" t="str" vm="6785">
        <f>IFERROR(CUBEVALUE("BIDB",$A725,B$3,'Præsentationstabeller 1'!$C$2),0)</f>
        <v/>
      </c>
      <c r="C725" t="str" vm="16510">
        <f>IFERROR(CUBEVALUE("BIDB",$A725,C$3,C$2,'Præsentationstabeller 1'!$C$2),0)</f>
        <v/>
      </c>
      <c r="D725" t="str" vm="13981">
        <f>IFERROR(CUBEVALUE("BIDB",$A725,D$3,D$2,'Præsentationstabeller 1'!$C$2),0)</f>
        <v/>
      </c>
      <c r="E725" t="str" vm="7046">
        <f>IFERROR(CUBEVALUE("BIDB",$A725,E$3,E$2,'Præsentationstabeller 1'!$C$2),0)</f>
        <v/>
      </c>
      <c r="F725" t="str" vm="6020">
        <f>IFERROR(CUBEVALUE("BIDB",$A725,F$3,F$2,'Præsentationstabeller 1'!$C$2),0)</f>
        <v/>
      </c>
      <c r="G725" t="str" vm="15536">
        <f>IFERROR(CUBEVALUE("BIDB",$A725,G$3,G$2,'Præsentationstabeller 1'!$C$2),0)</f>
        <v/>
      </c>
      <c r="H725" t="str" vm="15215">
        <f>IFERROR(CUBEVALUE("BIDB",$A725,H$3,H$2,'Præsentationstabeller 1'!$C$2),0)</f>
        <v/>
      </c>
      <c r="I725" t="str" vm="15074">
        <f>IFERROR(CUBEVALUE("BIDB",$A725,I$3,I$2,'Præsentationstabeller 1'!$C$2),0)</f>
        <v/>
      </c>
      <c r="J725" t="str" vm="7214">
        <f>IFERROR(CUBEVALUE("BIDB",$A725,J$3,J$2,'Præsentationstabeller 1'!$C$2),0)</f>
        <v/>
      </c>
      <c r="K725" t="str" vm="12025">
        <f>IFERROR(CUBEVALUE("BIDB",$A725,K$3,K$2,'Præsentationstabeller 1'!$C$2),0)</f>
        <v/>
      </c>
      <c r="L725" t="str" vm="11070">
        <f>IFERROR(CUBEVALUE("BIDB",$A725,L$3,L$2,'Præsentationstabeller 1'!$C$2),0)</f>
        <v/>
      </c>
    </row>
    <row r="726" spans="1:12" x14ac:dyDescent="0.3">
      <c r="A726" s="123" t="str" vm="610">
        <f>CUBEMEMBER("BIDB","[Dimittenddato].[Dimittenddato].&amp;[2014-08-18T00:00:00]")</f>
        <v>18-08-2014</v>
      </c>
      <c r="B726" t="str" vm="7537">
        <f>IFERROR(CUBEVALUE("BIDB",$A726,B$3,'Præsentationstabeller 1'!$C$2),0)</f>
        <v/>
      </c>
      <c r="C726" vm="10416">
        <f>IFERROR(CUBEVALUE("BIDB",$A726,C$3,C$2,'Præsentationstabeller 1'!$C$2),0)</f>
        <v>1</v>
      </c>
      <c r="D726" vm="9530">
        <f>IFERROR(CUBEVALUE("BIDB",$A726,D$3,D$2,'Præsentationstabeller 1'!$C$2),0)</f>
        <v>7</v>
      </c>
      <c r="E726" vm="3541">
        <f>IFERROR(CUBEVALUE("BIDB",$A726,E$3,E$2,'Præsentationstabeller 1'!$C$2),0)</f>
        <v>8</v>
      </c>
      <c r="F726" vm="6012">
        <f>IFERROR(CUBEVALUE("BIDB",$A726,F$3,F$2,'Præsentationstabeller 1'!$C$2),0)</f>
        <v>0</v>
      </c>
      <c r="G726" vm="16034">
        <f>IFERROR(CUBEVALUE("BIDB",$A726,G$3,G$2,'Præsentationstabeller 1'!$C$2),0)</f>
        <v>8</v>
      </c>
      <c r="H726" t="str" vm="12530">
        <f>IFERROR(CUBEVALUE("BIDB",$A726,H$3,H$2,'Præsentationstabeller 1'!$C$2),0)</f>
        <v/>
      </c>
      <c r="I726" t="str" vm="6454">
        <f>IFERROR(CUBEVALUE("BIDB",$A726,I$3,I$2,'Præsentationstabeller 1'!$C$2),0)</f>
        <v/>
      </c>
      <c r="J726" t="str" vm="6365">
        <f>IFERROR(CUBEVALUE("BIDB",$A726,J$3,J$2,'Præsentationstabeller 1'!$C$2),0)</f>
        <v/>
      </c>
      <c r="K726" t="str" vm="13307">
        <f>IFERROR(CUBEVALUE("BIDB",$A726,K$3,K$2,'Præsentationstabeller 1'!$C$2),0)</f>
        <v/>
      </c>
      <c r="L726" t="str" vm="15050">
        <f>IFERROR(CUBEVALUE("BIDB",$A726,L$3,L$2,'Præsentationstabeller 1'!$C$2),0)</f>
        <v/>
      </c>
    </row>
    <row r="727" spans="1:12" x14ac:dyDescent="0.3">
      <c r="A727" s="123" t="str" vm="609">
        <f>CUBEMEMBER("BIDB","[Dimittenddato].[Dimittenddato].&amp;[2014-08-19T00:00:00]")</f>
        <v>19-08-2014</v>
      </c>
      <c r="B727" t="str" vm="5400">
        <f>IFERROR(CUBEVALUE("BIDB",$A727,B$3,'Præsentationstabeller 1'!$C$2),0)</f>
        <v/>
      </c>
      <c r="C727" t="str" vm="11888">
        <f>IFERROR(CUBEVALUE("BIDB",$A727,C$3,C$2,'Præsentationstabeller 1'!$C$2),0)</f>
        <v/>
      </c>
      <c r="D727" vm="16210">
        <f>IFERROR(CUBEVALUE("BIDB",$A727,D$3,D$2,'Præsentationstabeller 1'!$C$2),0)</f>
        <v>5</v>
      </c>
      <c r="E727" vm="3533">
        <f>IFERROR(CUBEVALUE("BIDB",$A727,E$3,E$2,'Præsentationstabeller 1'!$C$2),0)</f>
        <v>4</v>
      </c>
      <c r="F727" vm="6805">
        <f>IFERROR(CUBEVALUE("BIDB",$A727,F$3,F$2,'Præsentationstabeller 1'!$C$2),0)</f>
        <v>2</v>
      </c>
      <c r="G727" vm="13165">
        <f>IFERROR(CUBEVALUE("BIDB",$A727,G$3,G$2,'Præsentationstabeller 1'!$C$2),0)</f>
        <v>6</v>
      </c>
      <c r="H727" t="str" vm="15487">
        <f>IFERROR(CUBEVALUE("BIDB",$A727,H$3,H$2,'Præsentationstabeller 1'!$C$2),0)</f>
        <v/>
      </c>
      <c r="I727" vm="8266">
        <f>IFERROR(CUBEVALUE("BIDB",$A727,I$3,I$2,'Præsentationstabeller 1'!$C$2),0)</f>
        <v>0.44000000000000006</v>
      </c>
      <c r="J727" t="str" vm="6363">
        <f>IFERROR(CUBEVALUE("BIDB",$A727,J$3,J$2,'Præsentationstabeller 1'!$C$2),0)</f>
        <v/>
      </c>
      <c r="K727" t="str" vm="14999">
        <f>IFERROR(CUBEVALUE("BIDB",$A727,K$3,K$2,'Præsentationstabeller 1'!$C$2),0)</f>
        <v/>
      </c>
      <c r="L727" t="str" vm="9672">
        <f>IFERROR(CUBEVALUE("BIDB",$A727,L$3,L$2,'Præsentationstabeller 1'!$C$2),0)</f>
        <v/>
      </c>
    </row>
    <row r="728" spans="1:12" x14ac:dyDescent="0.3">
      <c r="A728" s="123" t="str" vm="608">
        <f>CUBEMEMBER("BIDB","[Dimittenddato].[Dimittenddato].&amp;[2014-08-20T00:00:00]")</f>
        <v>20-08-2014</v>
      </c>
      <c r="B728" t="str" vm="4873">
        <f>IFERROR(CUBEVALUE("BIDB",$A728,B$3,'Præsentationstabeller 1'!$C$2),0)</f>
        <v/>
      </c>
      <c r="C728" vm="14830">
        <f>IFERROR(CUBEVALUE("BIDB",$A728,C$3,C$2,'Præsentationstabeller 1'!$C$2),0)</f>
        <v>3</v>
      </c>
      <c r="D728" vm="11671">
        <f>IFERROR(CUBEVALUE("BIDB",$A728,D$3,D$2,'Præsentationstabeller 1'!$C$2),0)</f>
        <v>9</v>
      </c>
      <c r="E728" vm="10742">
        <f>IFERROR(CUBEVALUE("BIDB",$A728,E$3,E$2,'Præsentationstabeller 1'!$C$2),0)</f>
        <v>12</v>
      </c>
      <c r="F728" vm="7974">
        <f>IFERROR(CUBEVALUE("BIDB",$A728,F$3,F$2,'Præsentationstabeller 1'!$C$2),0)</f>
        <v>2</v>
      </c>
      <c r="G728" vm="12422">
        <f>IFERROR(CUBEVALUE("BIDB",$A728,G$3,G$2,'Præsentationstabeller 1'!$C$2),0)</f>
        <v>14</v>
      </c>
      <c r="H728" t="str" vm="10218">
        <f>IFERROR(CUBEVALUE("BIDB",$A728,H$3,H$2,'Præsentationstabeller 1'!$C$2),0)</f>
        <v/>
      </c>
      <c r="I728" t="str" vm="7288">
        <f>IFERROR(CUBEVALUE("BIDB",$A728,I$3,I$2,'Præsentationstabeller 1'!$C$2),0)</f>
        <v/>
      </c>
      <c r="J728" t="str" vm="8298">
        <f>IFERROR(CUBEVALUE("BIDB",$A728,J$3,J$2,'Præsentationstabeller 1'!$C$2),0)</f>
        <v/>
      </c>
      <c r="K728" t="str" vm="11866">
        <f>IFERROR(CUBEVALUE("BIDB",$A728,K$3,K$2,'Præsentationstabeller 1'!$C$2),0)</f>
        <v/>
      </c>
      <c r="L728" t="str" vm="16476">
        <f>IFERROR(CUBEVALUE("BIDB",$A728,L$3,L$2,'Præsentationstabeller 1'!$C$2),0)</f>
        <v/>
      </c>
    </row>
    <row r="729" spans="1:12" x14ac:dyDescent="0.3">
      <c r="A729" s="123" t="str" vm="607">
        <f>CUBEMEMBER("BIDB","[Dimittenddato].[Dimittenddato].&amp;[2014-08-21T00:00:00]")</f>
        <v>21-08-2014</v>
      </c>
      <c r="B729" t="str" vm="4865">
        <f>IFERROR(CUBEVALUE("BIDB",$A729,B$3,'Præsentationstabeller 1'!$C$2),0)</f>
        <v/>
      </c>
      <c r="C729" t="str" vm="12292">
        <f>IFERROR(CUBEVALUE("BIDB",$A729,C$3,C$2,'Præsentationstabeller 1'!$C$2),0)</f>
        <v/>
      </c>
      <c r="D729" vm="16317">
        <f>IFERROR(CUBEVALUE("BIDB",$A729,D$3,D$2,'Præsentationstabeller 1'!$C$2),0)</f>
        <v>3</v>
      </c>
      <c r="E729" vm="8595">
        <f>IFERROR(CUBEVALUE("BIDB",$A729,E$3,E$2,'Præsentationstabeller 1'!$C$2),0)</f>
        <v>8</v>
      </c>
      <c r="F729" t="str" vm="5735">
        <f>IFERROR(CUBEVALUE("BIDB",$A729,F$3,F$2,'Præsentationstabeller 1'!$C$2),0)</f>
        <v/>
      </c>
      <c r="G729" vm="9893">
        <f>IFERROR(CUBEVALUE("BIDB",$A729,G$3,G$2,'Præsentationstabeller 1'!$C$2),0)</f>
        <v>8</v>
      </c>
      <c r="H729" t="str" vm="16236">
        <f>IFERROR(CUBEVALUE("BIDB",$A729,H$3,H$2,'Præsentationstabeller 1'!$C$2),0)</f>
        <v/>
      </c>
      <c r="I729" t="str" vm="7529">
        <f>IFERROR(CUBEVALUE("BIDB",$A729,I$3,I$2,'Præsentationstabeller 1'!$C$2),0)</f>
        <v/>
      </c>
      <c r="J729" t="str" vm="8782">
        <f>IFERROR(CUBEVALUE("BIDB",$A729,J$3,J$2,'Præsentationstabeller 1'!$C$2),0)</f>
        <v/>
      </c>
      <c r="K729" t="str" vm="9596">
        <f>IFERROR(CUBEVALUE("BIDB",$A729,K$3,K$2,'Præsentationstabeller 1'!$C$2),0)</f>
        <v/>
      </c>
      <c r="L729" t="str" vm="12493">
        <f>IFERROR(CUBEVALUE("BIDB",$A729,L$3,L$2,'Præsentationstabeller 1'!$C$2),0)</f>
        <v/>
      </c>
    </row>
    <row r="730" spans="1:12" x14ac:dyDescent="0.3">
      <c r="A730" s="123" t="str" vm="606">
        <f>CUBEMEMBER("BIDB","[Dimittenddato].[Dimittenddato].&amp;[2014-08-22T00:00:00]")</f>
        <v>22-08-2014</v>
      </c>
      <c r="B730" t="str" vm="6211">
        <f>IFERROR(CUBEVALUE("BIDB",$A730,B$3,'Præsentationstabeller 1'!$C$2),0)</f>
        <v/>
      </c>
      <c r="C730" vm="15237">
        <f>IFERROR(CUBEVALUE("BIDB",$A730,C$3,C$2,'Præsentationstabeller 1'!$C$2),0)</f>
        <v>5</v>
      </c>
      <c r="D730" vm="12862">
        <f>IFERROR(CUBEVALUE("BIDB",$A730,D$3,D$2,'Præsentationstabeller 1'!$C$2),0)</f>
        <v>6</v>
      </c>
      <c r="E730" vm="6670">
        <f>IFERROR(CUBEVALUE("BIDB",$A730,E$3,E$2,'Præsentationstabeller 1'!$C$2),0)</f>
        <v>12</v>
      </c>
      <c r="F730" t="str" vm="5727">
        <f>IFERROR(CUBEVALUE("BIDB",$A730,F$3,F$2,'Præsentationstabeller 1'!$C$2),0)</f>
        <v/>
      </c>
      <c r="G730" vm="14751">
        <f>IFERROR(CUBEVALUE("BIDB",$A730,G$3,G$2,'Præsentationstabeller 1'!$C$2),0)</f>
        <v>12</v>
      </c>
      <c r="H730" t="str" vm="9974">
        <f>IFERROR(CUBEVALUE("BIDB",$A730,H$3,H$2,'Præsentationstabeller 1'!$C$2),0)</f>
        <v/>
      </c>
      <c r="I730" t="str" vm="6422">
        <f>IFERROR(CUBEVALUE("BIDB",$A730,I$3,I$2,'Præsentationstabeller 1'!$C$2),0)</f>
        <v/>
      </c>
      <c r="J730" vm="5027">
        <f>IFERROR(CUBEVALUE("BIDB",$A730,J$3,J$2,'Præsentationstabeller 1'!$C$2),0)</f>
        <v>0.72</v>
      </c>
      <c r="K730" t="str" vm="17114">
        <f>IFERROR(CUBEVALUE("BIDB",$A730,K$3,K$2,'Præsentationstabeller 1'!$C$2),0)</f>
        <v/>
      </c>
      <c r="L730" vm="12279">
        <f>IFERROR(CUBEVALUE("BIDB",$A730,L$3,L$2,'Præsentationstabeller 1'!$C$2),0)</f>
        <v>0.72</v>
      </c>
    </row>
    <row r="731" spans="1:12" x14ac:dyDescent="0.3">
      <c r="A731" s="123" t="str" vm="605">
        <f>CUBEMEMBER("BIDB","[Dimittenddato].[Dimittenddato].&amp;[2014-08-23T00:00:00]")</f>
        <v>23-08-2014</v>
      </c>
      <c r="B731" t="str" vm="8043">
        <f>IFERROR(CUBEVALUE("BIDB",$A731,B$3,'Præsentationstabeller 1'!$C$2),0)</f>
        <v/>
      </c>
      <c r="C731" t="str" vm="11587">
        <f>IFERROR(CUBEVALUE("BIDB",$A731,C$3,C$2,'Præsentationstabeller 1'!$C$2),0)</f>
        <v/>
      </c>
      <c r="D731" t="str" vm="15691">
        <f>IFERROR(CUBEVALUE("BIDB",$A731,D$3,D$2,'Præsentationstabeller 1'!$C$2),0)</f>
        <v/>
      </c>
      <c r="E731" t="str" vm="6668">
        <f>IFERROR(CUBEVALUE("BIDB",$A731,E$3,E$2,'Præsentationstabeller 1'!$C$2),0)</f>
        <v/>
      </c>
      <c r="F731" vm="7294">
        <f>IFERROR(CUBEVALUE("BIDB",$A731,F$3,F$2,'Præsentationstabeller 1'!$C$2),0)</f>
        <v>0</v>
      </c>
      <c r="G731" vm="12047">
        <f>IFERROR(CUBEVALUE("BIDB",$A731,G$3,G$2,'Præsentationstabeller 1'!$C$2),0)</f>
        <v>0</v>
      </c>
      <c r="H731" t="str" vm="10936">
        <f>IFERROR(CUBEVALUE("BIDB",$A731,H$3,H$2,'Præsentationstabeller 1'!$C$2),0)</f>
        <v/>
      </c>
      <c r="I731" t="str" vm="5639">
        <f>IFERROR(CUBEVALUE("BIDB",$A731,I$3,I$2,'Præsentationstabeller 1'!$C$2),0)</f>
        <v/>
      </c>
      <c r="J731" t="str" vm="5019">
        <f>IFERROR(CUBEVALUE("BIDB",$A731,J$3,J$2,'Præsentationstabeller 1'!$C$2),0)</f>
        <v/>
      </c>
      <c r="K731" t="str" vm="15584">
        <f>IFERROR(CUBEVALUE("BIDB",$A731,K$3,K$2,'Præsentationstabeller 1'!$C$2),0)</f>
        <v/>
      </c>
      <c r="L731" t="str" vm="14616">
        <f>IFERROR(CUBEVALUE("BIDB",$A731,L$3,L$2,'Præsentationstabeller 1'!$C$2),0)</f>
        <v/>
      </c>
    </row>
    <row r="732" spans="1:12" x14ac:dyDescent="0.3">
      <c r="A732" s="123" t="str" vm="604">
        <f>CUBEMEMBER("BIDB","[Dimittenddato].[Dimittenddato].&amp;[2014-08-24T00:00:00]")</f>
        <v>24-08-2014</v>
      </c>
      <c r="B732" t="str" vm="4594">
        <f>IFERROR(CUBEVALUE("BIDB",$A732,B$3,'Præsentationstabeller 1'!$C$2),0)</f>
        <v/>
      </c>
      <c r="C732" t="str" vm="13073">
        <f>IFERROR(CUBEVALUE("BIDB",$A732,C$3,C$2,'Præsentationstabeller 1'!$C$2),0)</f>
        <v/>
      </c>
      <c r="D732" t="str" vm="15148">
        <f>IFERROR(CUBEVALUE("BIDB",$A732,D$3,D$2,'Præsentationstabeller 1'!$C$2),0)</f>
        <v/>
      </c>
      <c r="E732" t="str" vm="14034">
        <f>IFERROR(CUBEVALUE("BIDB",$A732,E$3,E$2,'Præsentationstabeller 1'!$C$2),0)</f>
        <v/>
      </c>
      <c r="F732" t="str" vm="10945">
        <f>IFERROR(CUBEVALUE("BIDB",$A732,F$3,F$2,'Præsentationstabeller 1'!$C$2),0)</f>
        <v/>
      </c>
      <c r="G732" t="str" vm="13573">
        <f>IFERROR(CUBEVALUE("BIDB",$A732,G$3,G$2,'Præsentationstabeller 1'!$C$2),0)</f>
        <v/>
      </c>
      <c r="H732" t="str" vm="15324">
        <f>IFERROR(CUBEVALUE("BIDB",$A732,H$3,H$2,'Præsentationstabeller 1'!$C$2),0)</f>
        <v/>
      </c>
      <c r="I732" t="str" vm="5631">
        <f>IFERROR(CUBEVALUE("BIDB",$A732,I$3,I$2,'Præsentationstabeller 1'!$C$2),0)</f>
        <v/>
      </c>
      <c r="J732" t="str" vm="9137">
        <f>IFERROR(CUBEVALUE("BIDB",$A732,J$3,J$2,'Præsentationstabeller 1'!$C$2),0)</f>
        <v/>
      </c>
      <c r="K732" t="str" vm="9728">
        <f>IFERROR(CUBEVALUE("BIDB",$A732,K$3,K$2,'Præsentationstabeller 1'!$C$2),0)</f>
        <v/>
      </c>
      <c r="L732" t="str" vm="8069">
        <f>IFERROR(CUBEVALUE("BIDB",$A732,L$3,L$2,'Præsentationstabeller 1'!$C$2),0)</f>
        <v/>
      </c>
    </row>
    <row r="733" spans="1:12" x14ac:dyDescent="0.3">
      <c r="A733" s="123" t="str" vm="603">
        <f>CUBEMEMBER("BIDB","[Dimittenddato].[Dimittenddato].&amp;[2014-08-25T00:00:00]")</f>
        <v>25-08-2014</v>
      </c>
      <c r="B733" t="str" vm="4586">
        <f>IFERROR(CUBEVALUE("BIDB",$A733,B$3,'Præsentationstabeller 1'!$C$2),0)</f>
        <v/>
      </c>
      <c r="C733" t="str" vm="10586">
        <f>IFERROR(CUBEVALUE("BIDB",$A733,C$3,C$2,'Præsentationstabeller 1'!$C$2),0)</f>
        <v/>
      </c>
      <c r="D733" vm="14711">
        <f>IFERROR(CUBEVALUE("BIDB",$A733,D$3,D$2,'Præsentationstabeller 1'!$C$2),0)</f>
        <v>5</v>
      </c>
      <c r="E733" vm="8387">
        <f>IFERROR(CUBEVALUE("BIDB",$A733,E$3,E$2,'Præsentationstabeller 1'!$C$2),0)</f>
        <v>2</v>
      </c>
      <c r="F733" vm="6614">
        <f>IFERROR(CUBEVALUE("BIDB",$A733,F$3,F$2,'Præsentationstabeller 1'!$C$2),0)</f>
        <v>0</v>
      </c>
      <c r="G733" vm="14190">
        <f>IFERROR(CUBEVALUE("BIDB",$A733,G$3,G$2,'Præsentationstabeller 1'!$C$2),0)</f>
        <v>2</v>
      </c>
      <c r="H733" t="str" vm="9315">
        <f>IFERROR(CUBEVALUE("BIDB",$A733,H$3,H$2,'Præsentationstabeller 1'!$C$2),0)</f>
        <v/>
      </c>
      <c r="I733" t="str" vm="5158">
        <f>IFERROR(CUBEVALUE("BIDB",$A733,I$3,I$2,'Præsentationstabeller 1'!$C$2),0)</f>
        <v/>
      </c>
      <c r="J733" t="str" vm="6385">
        <f>IFERROR(CUBEVALUE("BIDB",$A733,J$3,J$2,'Præsentationstabeller 1'!$C$2),0)</f>
        <v/>
      </c>
      <c r="K733" t="str" vm="15588">
        <f>IFERROR(CUBEVALUE("BIDB",$A733,K$3,K$2,'Præsentationstabeller 1'!$C$2),0)</f>
        <v/>
      </c>
      <c r="L733" t="str" vm="9193">
        <f>IFERROR(CUBEVALUE("BIDB",$A733,L$3,L$2,'Præsentationstabeller 1'!$C$2),0)</f>
        <v/>
      </c>
    </row>
    <row r="734" spans="1:12" x14ac:dyDescent="0.3">
      <c r="A734" s="123" t="str" vm="602">
        <f>CUBEMEMBER("BIDB","[Dimittenddato].[Dimittenddato].&amp;[2014-08-26T00:00:00]")</f>
        <v>26-08-2014</v>
      </c>
      <c r="B734" t="str" vm="6171">
        <f>IFERROR(CUBEVALUE("BIDB",$A734,B$3,'Præsentationstabeller 1'!$C$2),0)</f>
        <v/>
      </c>
      <c r="C734" vm="15781">
        <f>IFERROR(CUBEVALUE("BIDB",$A734,C$3,C$2,'Præsentationstabeller 1'!$C$2),0)</f>
        <v>1</v>
      </c>
      <c r="D734" vm="14878">
        <f>IFERROR(CUBEVALUE("BIDB",$A734,D$3,D$2,'Præsentationstabeller 1'!$C$2),0)</f>
        <v>12</v>
      </c>
      <c r="E734" vm="6881">
        <f>IFERROR(CUBEVALUE("BIDB",$A734,E$3,E$2,'Præsentationstabeller 1'!$C$2),0)</f>
        <v>6</v>
      </c>
      <c r="F734" vm="7122">
        <f>IFERROR(CUBEVALUE("BIDB",$A734,F$3,F$2,'Præsentationstabeller 1'!$C$2),0)</f>
        <v>1</v>
      </c>
      <c r="G734" vm="13322">
        <f>IFERROR(CUBEVALUE("BIDB",$A734,G$3,G$2,'Præsentationstabeller 1'!$C$2),0)</f>
        <v>7</v>
      </c>
      <c r="H734" t="str" vm="12718">
        <f>IFERROR(CUBEVALUE("BIDB",$A734,H$3,H$2,'Præsentationstabeller 1'!$C$2),0)</f>
        <v/>
      </c>
      <c r="I734" vm="6341">
        <f>IFERROR(CUBEVALUE("BIDB",$A734,I$3,I$2,'Præsentationstabeller 1'!$C$2),0)</f>
        <v>2.12</v>
      </c>
      <c r="J734" t="str" vm="9122">
        <f>IFERROR(CUBEVALUE("BIDB",$A734,J$3,J$2,'Præsentationstabeller 1'!$C$2),0)</f>
        <v/>
      </c>
      <c r="K734" vm="10428">
        <f>IFERROR(CUBEVALUE("BIDB",$A734,K$3,K$2,'Præsentationstabeller 1'!$C$2),0)</f>
        <v>1</v>
      </c>
      <c r="L734" vm="10573">
        <f>IFERROR(CUBEVALUE("BIDB",$A734,L$3,L$2,'Præsentationstabeller 1'!$C$2),0)</f>
        <v>1</v>
      </c>
    </row>
    <row r="735" spans="1:12" x14ac:dyDescent="0.3">
      <c r="A735" s="123" t="str" vm="601">
        <f>CUBEMEMBER("BIDB","[Dimittenddato].[Dimittenddato].&amp;[2014-08-27T00:00:00]")</f>
        <v>27-08-2014</v>
      </c>
      <c r="B735" t="str" vm="8169">
        <f>IFERROR(CUBEVALUE("BIDB",$A735,B$3,'Præsentationstabeller 1'!$C$2),0)</f>
        <v/>
      </c>
      <c r="C735" t="str" vm="13359">
        <f>IFERROR(CUBEVALUE("BIDB",$A735,C$3,C$2,'Præsentationstabeller 1'!$C$2),0)</f>
        <v/>
      </c>
      <c r="D735" vm="12540">
        <f>IFERROR(CUBEVALUE("BIDB",$A735,D$3,D$2,'Præsentationstabeller 1'!$C$2),0)</f>
        <v>4</v>
      </c>
      <c r="E735" vm="6879">
        <f>IFERROR(CUBEVALUE("BIDB",$A735,E$3,E$2,'Præsentationstabeller 1'!$C$2),0)</f>
        <v>14</v>
      </c>
      <c r="F735" vm="12247">
        <f>IFERROR(CUBEVALUE("BIDB",$A735,F$3,F$2,'Præsentationstabeller 1'!$C$2),0)</f>
        <v>2</v>
      </c>
      <c r="G735" vm="16986">
        <f>IFERROR(CUBEVALUE("BIDB",$A735,G$3,G$2,'Præsentationstabeller 1'!$C$2),0)</f>
        <v>16</v>
      </c>
      <c r="H735" t="str" vm="14067">
        <f>IFERROR(CUBEVALUE("BIDB",$A735,H$3,H$2,'Præsentationstabeller 1'!$C$2),0)</f>
        <v/>
      </c>
      <c r="I735" t="str" vm="5354">
        <f>IFERROR(CUBEVALUE("BIDB",$A735,I$3,I$2,'Præsentationstabeller 1'!$C$2),0)</f>
        <v/>
      </c>
      <c r="J735" vm="8144">
        <f>IFERROR(CUBEVALUE("BIDB",$A735,J$3,J$2,'Præsentationstabeller 1'!$C$2),0)</f>
        <v>0.8</v>
      </c>
      <c r="K735" t="str" vm="14454">
        <f>IFERROR(CUBEVALUE("BIDB",$A735,K$3,K$2,'Præsentationstabeller 1'!$C$2),0)</f>
        <v/>
      </c>
      <c r="L735" vm="16087">
        <f>IFERROR(CUBEVALUE("BIDB",$A735,L$3,L$2,'Præsentationstabeller 1'!$C$2),0)</f>
        <v>0.8</v>
      </c>
    </row>
    <row r="736" spans="1:12" x14ac:dyDescent="0.3">
      <c r="A736" s="123" t="str" vm="600">
        <f>CUBEMEMBER("BIDB","[Dimittenddato].[Dimittenddato].&amp;[2014-08-28T00:00:00]")</f>
        <v>28-08-2014</v>
      </c>
      <c r="B736" t="str" vm="4912">
        <f>IFERROR(CUBEVALUE("BIDB",$A736,B$3,'Præsentationstabeller 1'!$C$2),0)</f>
        <v/>
      </c>
      <c r="C736" vm="16938">
        <f>IFERROR(CUBEVALUE("BIDB",$A736,C$3,C$2,'Præsentationstabeller 1'!$C$2),0)</f>
        <v>1</v>
      </c>
      <c r="D736" vm="13940">
        <f>IFERROR(CUBEVALUE("BIDB",$A736,D$3,D$2,'Præsentationstabeller 1'!$C$2),0)</f>
        <v>8</v>
      </c>
      <c r="E736" vm="16549">
        <f>IFERROR(CUBEVALUE("BIDB",$A736,E$3,E$2,'Præsentationstabeller 1'!$C$2),0)</f>
        <v>7</v>
      </c>
      <c r="F736" vm="6512">
        <f>IFERROR(CUBEVALUE("BIDB",$A736,F$3,F$2,'Præsentationstabeller 1'!$C$2),0)</f>
        <v>0</v>
      </c>
      <c r="G736" vm="17072">
        <f>IFERROR(CUBEVALUE("BIDB",$A736,G$3,G$2,'Præsentationstabeller 1'!$C$2),0)</f>
        <v>7</v>
      </c>
      <c r="H736" vm="14986">
        <f>IFERROR(CUBEVALUE("BIDB",$A736,H$3,H$2,'Præsentationstabeller 1'!$C$2),0)</f>
        <v>0.2</v>
      </c>
      <c r="I736" t="str" vm="5346">
        <f>IFERROR(CUBEVALUE("BIDB",$A736,I$3,I$2,'Præsentationstabeller 1'!$C$2),0)</f>
        <v/>
      </c>
      <c r="J736" t="str" vm="8314">
        <f>IFERROR(CUBEVALUE("BIDB",$A736,J$3,J$2,'Præsentationstabeller 1'!$C$2),0)</f>
        <v/>
      </c>
      <c r="K736" t="str" vm="10832">
        <f>IFERROR(CUBEVALUE("BIDB",$A736,K$3,K$2,'Præsentationstabeller 1'!$C$2),0)</f>
        <v/>
      </c>
      <c r="L736" t="str" vm="8958">
        <f>IFERROR(CUBEVALUE("BIDB",$A736,L$3,L$2,'Præsentationstabeller 1'!$C$2),0)</f>
        <v/>
      </c>
    </row>
    <row r="737" spans="1:12" x14ac:dyDescent="0.3">
      <c r="A737" s="123" t="str" vm="599">
        <f>CUBEMEMBER("BIDB","[Dimittenddato].[Dimittenddato].&amp;[2014-08-29T00:00:00]")</f>
        <v>29-08-2014</v>
      </c>
      <c r="B737" t="str" vm="4904">
        <f>IFERROR(CUBEVALUE("BIDB",$A737,B$3,'Præsentationstabeller 1'!$C$2),0)</f>
        <v/>
      </c>
      <c r="C737" t="str" vm="9612">
        <f>IFERROR(CUBEVALUE("BIDB",$A737,C$3,C$2,'Præsentationstabeller 1'!$C$2),0)</f>
        <v/>
      </c>
      <c r="D737" vm="12102">
        <f>IFERROR(CUBEVALUE("BIDB",$A737,D$3,D$2,'Præsentationstabeller 1'!$C$2),0)</f>
        <v>11</v>
      </c>
      <c r="E737" vm="6309">
        <f>IFERROR(CUBEVALUE("BIDB",$A737,E$3,E$2,'Præsentationstabeller 1'!$C$2),0)</f>
        <v>12</v>
      </c>
      <c r="F737" vm="7310">
        <f>IFERROR(CUBEVALUE("BIDB",$A737,F$3,F$2,'Præsentationstabeller 1'!$C$2),0)</f>
        <v>1</v>
      </c>
      <c r="G737" vm="16461">
        <f>IFERROR(CUBEVALUE("BIDB",$A737,G$3,G$2,'Præsentationstabeller 1'!$C$2),0)</f>
        <v>13</v>
      </c>
      <c r="H737" t="str" vm="16193">
        <f>IFERROR(CUBEVALUE("BIDB",$A737,H$3,H$2,'Præsentationstabeller 1'!$C$2),0)</f>
        <v/>
      </c>
      <c r="I737" vm="8430">
        <f>IFERROR(CUBEVALUE("BIDB",$A737,I$3,I$2,'Præsentationstabeller 1'!$C$2),0)</f>
        <v>2.68</v>
      </c>
      <c r="J737" t="str" vm="6036">
        <f>IFERROR(CUBEVALUE("BIDB",$A737,J$3,J$2,'Præsentationstabeller 1'!$C$2),0)</f>
        <v/>
      </c>
      <c r="K737" t="str" vm="11360">
        <f>IFERROR(CUBEVALUE("BIDB",$A737,K$3,K$2,'Præsentationstabeller 1'!$C$2),0)</f>
        <v/>
      </c>
      <c r="L737" t="str" vm="10297">
        <f>IFERROR(CUBEVALUE("BIDB",$A737,L$3,L$2,'Præsentationstabeller 1'!$C$2),0)</f>
        <v/>
      </c>
    </row>
    <row r="738" spans="1:12" x14ac:dyDescent="0.3">
      <c r="A738" s="123" t="str" vm="598">
        <f>CUBEMEMBER("BIDB","[Dimittenddato].[Dimittenddato].&amp;[2014-08-30T00:00:00]")</f>
        <v>30-08-2014</v>
      </c>
      <c r="B738" t="str" vm="10809">
        <f>IFERROR(CUBEVALUE("BIDB",$A738,B$3,'Præsentationstabeller 1'!$C$2),0)</f>
        <v/>
      </c>
      <c r="C738" t="str" vm="10602">
        <f>IFERROR(CUBEVALUE("BIDB",$A738,C$3,C$2,'Præsentationstabeller 1'!$C$2),0)</f>
        <v/>
      </c>
      <c r="D738" vm="9474">
        <f>IFERROR(CUBEVALUE("BIDB",$A738,D$3,D$2,'Præsentationstabeller 1'!$C$2),0)</f>
        <v>1</v>
      </c>
      <c r="E738" vm="6492">
        <f>IFERROR(CUBEVALUE("BIDB",$A738,E$3,E$2,'Præsentationstabeller 1'!$C$2),0)</f>
        <v>1</v>
      </c>
      <c r="F738" t="str" vm="8286">
        <f>IFERROR(CUBEVALUE("BIDB",$A738,F$3,F$2,'Præsentationstabeller 1'!$C$2),0)</f>
        <v/>
      </c>
      <c r="G738" vm="14662">
        <f>IFERROR(CUBEVALUE("BIDB",$A738,G$3,G$2,'Præsentationstabeller 1'!$C$2),0)</f>
        <v>1</v>
      </c>
      <c r="H738" t="str" vm="9366">
        <f>IFERROR(CUBEVALUE("BIDB",$A738,H$3,H$2,'Præsentationstabeller 1'!$C$2),0)</f>
        <v/>
      </c>
      <c r="I738" vm="6792">
        <f>IFERROR(CUBEVALUE("BIDB",$A738,I$3,I$2,'Præsentationstabeller 1'!$C$2),0)</f>
        <v>0.8</v>
      </c>
      <c r="J738" t="str" vm="5765">
        <f>IFERROR(CUBEVALUE("BIDB",$A738,J$3,J$2,'Præsentationstabeller 1'!$C$2),0)</f>
        <v/>
      </c>
      <c r="K738" t="str" vm="15243">
        <f>IFERROR(CUBEVALUE("BIDB",$A738,K$3,K$2,'Præsentationstabeller 1'!$C$2),0)</f>
        <v/>
      </c>
      <c r="L738" t="str" vm="11123">
        <f>IFERROR(CUBEVALUE("BIDB",$A738,L$3,L$2,'Præsentationstabeller 1'!$C$2),0)</f>
        <v/>
      </c>
    </row>
    <row r="739" spans="1:12" x14ac:dyDescent="0.3">
      <c r="A739" s="123" t="str" vm="597">
        <f>CUBEMEMBER("BIDB","[Dimittenddato].[Dimittenddato].&amp;[2014-08-31T00:00:00]")</f>
        <v>31-08-2014</v>
      </c>
      <c r="B739" t="str" vm="6198">
        <f>IFERROR(CUBEVALUE("BIDB",$A739,B$3,'Præsentationstabeller 1'!$C$2),0)</f>
        <v/>
      </c>
      <c r="C739" t="str" vm="13683">
        <f>IFERROR(CUBEVALUE("BIDB",$A739,C$3,C$2,'Præsentationstabeller 1'!$C$2),0)</f>
        <v/>
      </c>
      <c r="D739" vm="14327">
        <f>IFERROR(CUBEVALUE("BIDB",$A739,D$3,D$2,'Præsentationstabeller 1'!$C$2),0)</f>
        <v>1</v>
      </c>
      <c r="E739" vm="6490">
        <f>IFERROR(CUBEVALUE("BIDB",$A739,E$3,E$2,'Præsentationstabeller 1'!$C$2),0)</f>
        <v>2</v>
      </c>
      <c r="F739" vm="8152">
        <f>IFERROR(CUBEVALUE("BIDB",$A739,F$3,F$2,'Præsentationstabeller 1'!$C$2),0)</f>
        <v>0</v>
      </c>
      <c r="G739" vm="12405">
        <f>IFERROR(CUBEVALUE("BIDB",$A739,G$3,G$2,'Præsentationstabeller 1'!$C$2),0)</f>
        <v>2</v>
      </c>
      <c r="H739" t="str" vm="12486">
        <f>IFERROR(CUBEVALUE("BIDB",$A739,H$3,H$2,'Præsentationstabeller 1'!$C$2),0)</f>
        <v/>
      </c>
      <c r="I739" t="str" vm="3289">
        <f>IFERROR(CUBEVALUE("BIDB",$A739,I$3,I$2,'Præsentationstabeller 1'!$C$2),0)</f>
        <v/>
      </c>
      <c r="J739" t="str" vm="5757">
        <f>IFERROR(CUBEVALUE("BIDB",$A739,J$3,J$2,'Præsentationstabeller 1'!$C$2),0)</f>
        <v/>
      </c>
      <c r="K739" t="str" vm="14012">
        <f>IFERROR(CUBEVALUE("BIDB",$A739,K$3,K$2,'Præsentationstabeller 1'!$C$2),0)</f>
        <v/>
      </c>
      <c r="L739" t="str" vm="15418">
        <f>IFERROR(CUBEVALUE("BIDB",$A739,L$3,L$2,'Præsentationstabeller 1'!$C$2),0)</f>
        <v/>
      </c>
    </row>
    <row r="740" spans="1:12" x14ac:dyDescent="0.3">
      <c r="A740" s="123" t="str" vm="596">
        <f>CUBEMEMBER("BIDB","[Dimittenddato].[Dimittenddato].&amp;[2015-06-01T00:00:00]")</f>
        <v>01-06-2015</v>
      </c>
      <c r="B740" vm="5299">
        <f>IFERROR(CUBEVALUE("BIDB",$A740,B$3,'Præsentationstabeller 1'!$C$2),0)</f>
        <v>1</v>
      </c>
      <c r="C740" vm="14810">
        <f>IFERROR(CUBEVALUE("BIDB",$A740,C$3,C$2,'Præsentationstabeller 1'!$C$2),0)</f>
        <v>0</v>
      </c>
      <c r="D740" vm="12239">
        <f>IFERROR(CUBEVALUE("BIDB",$A740,D$3,D$2,'Præsentationstabeller 1'!$C$2),0)</f>
        <v>2</v>
      </c>
      <c r="E740" vm="7625">
        <f>IFERROR(CUBEVALUE("BIDB",$A740,E$3,E$2,'Præsentationstabeller 1'!$C$2),0)</f>
        <v>3</v>
      </c>
      <c r="F740" vm="5145">
        <f>IFERROR(CUBEVALUE("BIDB",$A740,F$3,F$2,'Præsentationstabeller 1'!$C$2),0)</f>
        <v>1</v>
      </c>
      <c r="G740" vm="13137">
        <f>IFERROR(CUBEVALUE("BIDB",$A740,G$3,G$2,'Præsentationstabeller 1'!$C$2),0)</f>
        <v>4</v>
      </c>
      <c r="H740" t="str" vm="12642">
        <f>IFERROR(CUBEVALUE("BIDB",$A740,H$3,H$2,'Præsentationstabeller 1'!$C$2),0)</f>
        <v/>
      </c>
      <c r="I740" t="str" vm="3281">
        <f>IFERROR(CUBEVALUE("BIDB",$A740,I$3,I$2,'Præsentationstabeller 1'!$C$2),0)</f>
        <v/>
      </c>
      <c r="J740" t="str" vm="8306">
        <f>IFERROR(CUBEVALUE("BIDB",$A740,J$3,J$2,'Præsentationstabeller 1'!$C$2),0)</f>
        <v/>
      </c>
      <c r="K740" t="str" vm="14569">
        <f>IFERROR(CUBEVALUE("BIDB",$A740,K$3,K$2,'Præsentationstabeller 1'!$C$2),0)</f>
        <v/>
      </c>
      <c r="L740" t="str" vm="7240">
        <f>IFERROR(CUBEVALUE("BIDB",$A740,L$3,L$2,'Præsentationstabeller 1'!$C$2),0)</f>
        <v/>
      </c>
    </row>
    <row r="741" spans="1:12" x14ac:dyDescent="0.3">
      <c r="A741" s="123" t="str" vm="595">
        <f>CUBEMEMBER("BIDB","[Dimittenddato].[Dimittenddato].&amp;[2015-06-02T00:00:00]")</f>
        <v>02-06-2015</v>
      </c>
      <c r="B741" vm="5297">
        <f>IFERROR(CUBEVALUE("BIDB",$A741,B$3,'Præsentationstabeller 1'!$C$2),0)</f>
        <v>1</v>
      </c>
      <c r="C741" t="str" vm="10734">
        <f>IFERROR(CUBEVALUE("BIDB",$A741,C$3,C$2,'Præsentationstabeller 1'!$C$2),0)</f>
        <v/>
      </c>
      <c r="D741" vm="16194">
        <f>IFERROR(CUBEVALUE("BIDB",$A741,D$3,D$2,'Præsentationstabeller 1'!$C$2),0)</f>
        <v>5</v>
      </c>
      <c r="E741" vm="8293">
        <f>IFERROR(CUBEVALUE("BIDB",$A741,E$3,E$2,'Præsentationstabeller 1'!$C$2),0)</f>
        <v>3</v>
      </c>
      <c r="F741" t="str" vm="5132">
        <f>IFERROR(CUBEVALUE("BIDB",$A741,F$3,F$2,'Præsentationstabeller 1'!$C$2),0)</f>
        <v/>
      </c>
      <c r="G741" vm="13379">
        <f>IFERROR(CUBEVALUE("BIDB",$A741,G$3,G$2,'Præsentationstabeller 1'!$C$2),0)</f>
        <v>3</v>
      </c>
      <c r="H741" t="str" vm="16099">
        <f>IFERROR(CUBEVALUE("BIDB",$A741,H$3,H$2,'Præsentationstabeller 1'!$C$2),0)</f>
        <v/>
      </c>
      <c r="I741" vm="9793">
        <f>IFERROR(CUBEVALUE("BIDB",$A741,I$3,I$2,'Præsentationstabeller 1'!$C$2),0)</f>
        <v>0.91999999999999993</v>
      </c>
      <c r="J741" vm="14095">
        <f>IFERROR(CUBEVALUE("BIDB",$A741,J$3,J$2,'Præsentationstabeller 1'!$C$2),0)</f>
        <v>0.2</v>
      </c>
      <c r="K741" t="str" vm="14173">
        <f>IFERROR(CUBEVALUE("BIDB",$A741,K$3,K$2,'Præsentationstabeller 1'!$C$2),0)</f>
        <v/>
      </c>
      <c r="L741" vm="15879">
        <f>IFERROR(CUBEVALUE("BIDB",$A741,L$3,L$2,'Præsentationstabeller 1'!$C$2),0)</f>
        <v>0.2</v>
      </c>
    </row>
    <row r="742" spans="1:12" x14ac:dyDescent="0.3">
      <c r="A742" s="123" t="str" vm="594">
        <f>CUBEMEMBER("BIDB","[Dimittenddato].[Dimittenddato].&amp;[2015-06-03T00:00:00]")</f>
        <v>03-06-2015</v>
      </c>
      <c r="B742" vm="7252">
        <f>IFERROR(CUBEVALUE("BIDB",$A742,B$3,'Præsentationstabeller 1'!$C$2),0)</f>
        <v>1</v>
      </c>
      <c r="C742" t="str" vm="13488">
        <f>IFERROR(CUBEVALUE("BIDB",$A742,C$3,C$2,'Præsentationstabeller 1'!$C$2),0)</f>
        <v/>
      </c>
      <c r="D742" vm="13534">
        <f>IFERROR(CUBEVALUE("BIDB",$A742,D$3,D$2,'Præsentationstabeller 1'!$C$2),0)</f>
        <v>1</v>
      </c>
      <c r="E742" vm="4774">
        <f>IFERROR(CUBEVALUE("BIDB",$A742,E$3,E$2,'Præsentationstabeller 1'!$C$2),0)</f>
        <v>1</v>
      </c>
      <c r="F742" vm="4616">
        <f>IFERROR(CUBEVALUE("BIDB",$A742,F$3,F$2,'Præsentationstabeller 1'!$C$2),0)</f>
        <v>1</v>
      </c>
      <c r="G742" vm="14412">
        <f>IFERROR(CUBEVALUE("BIDB",$A742,G$3,G$2,'Præsentationstabeller 1'!$C$2),0)</f>
        <v>2</v>
      </c>
      <c r="H742" t="str" vm="13995">
        <f>IFERROR(CUBEVALUE("BIDB",$A742,H$3,H$2,'Præsentationstabeller 1'!$C$2),0)</f>
        <v/>
      </c>
      <c r="I742" t="str" vm="7779">
        <f>IFERROR(CUBEVALUE("BIDB",$A742,I$3,I$2,'Præsentationstabeller 1'!$C$2),0)</f>
        <v/>
      </c>
      <c r="J742" t="str" vm="5481">
        <f>IFERROR(CUBEVALUE("BIDB",$A742,J$3,J$2,'Præsentationstabeller 1'!$C$2),0)</f>
        <v/>
      </c>
      <c r="K742" t="str" vm="16052">
        <f>IFERROR(CUBEVALUE("BIDB",$A742,K$3,K$2,'Præsentationstabeller 1'!$C$2),0)</f>
        <v/>
      </c>
      <c r="L742" t="str" vm="10721">
        <f>IFERROR(CUBEVALUE("BIDB",$A742,L$3,L$2,'Præsentationstabeller 1'!$C$2),0)</f>
        <v/>
      </c>
    </row>
    <row r="743" spans="1:12" x14ac:dyDescent="0.3">
      <c r="A743" s="123" t="str" vm="593">
        <f>CUBEMEMBER("BIDB","[Dimittenddato].[Dimittenddato].&amp;[2015-06-04T00:00:00]")</f>
        <v>04-06-2015</v>
      </c>
      <c r="B743" vm="6166">
        <f>IFERROR(CUBEVALUE("BIDB",$A743,B$3,'Præsentationstabeller 1'!$C$2),0)</f>
        <v>1</v>
      </c>
      <c r="C743" vm="9427">
        <f>IFERROR(CUBEVALUE("BIDB",$A743,C$3,C$2,'Præsentationstabeller 1'!$C$2),0)</f>
        <v>1</v>
      </c>
      <c r="D743" vm="12898">
        <f>IFERROR(CUBEVALUE("BIDB",$A743,D$3,D$2,'Præsentationstabeller 1'!$C$2),0)</f>
        <v>2</v>
      </c>
      <c r="E743" vm="4766">
        <f>IFERROR(CUBEVALUE("BIDB",$A743,E$3,E$2,'Præsentationstabeller 1'!$C$2),0)</f>
        <v>3</v>
      </c>
      <c r="F743" vm="7300">
        <f>IFERROR(CUBEVALUE("BIDB",$A743,F$3,F$2,'Præsentationstabeller 1'!$C$2),0)</f>
        <v>1</v>
      </c>
      <c r="G743" vm="15310">
        <f>IFERROR(CUBEVALUE("BIDB",$A743,G$3,G$2,'Præsentationstabeller 1'!$C$2),0)</f>
        <v>4</v>
      </c>
      <c r="H743" t="str" vm="14654">
        <f>IFERROR(CUBEVALUE("BIDB",$A743,H$3,H$2,'Præsentationstabeller 1'!$C$2),0)</f>
        <v/>
      </c>
      <c r="I743" t="str" vm="8258">
        <f>IFERROR(CUBEVALUE("BIDB",$A743,I$3,I$2,'Præsentationstabeller 1'!$C$2),0)</f>
        <v/>
      </c>
      <c r="J743" t="str" vm="5473">
        <f>IFERROR(CUBEVALUE("BIDB",$A743,J$3,J$2,'Præsentationstabeller 1'!$C$2),0)</f>
        <v/>
      </c>
      <c r="K743" t="str" vm="17028">
        <f>IFERROR(CUBEVALUE("BIDB",$A743,K$3,K$2,'Præsentationstabeller 1'!$C$2),0)</f>
        <v/>
      </c>
      <c r="L743" t="str" vm="14554">
        <f>IFERROR(CUBEVALUE("BIDB",$A743,L$3,L$2,'Præsentationstabeller 1'!$C$2),0)</f>
        <v/>
      </c>
    </row>
    <row r="744" spans="1:12" x14ac:dyDescent="0.3">
      <c r="A744" s="123" t="str" vm="592">
        <f>CUBEMEMBER("BIDB","[Dimittenddato].[Dimittenddato].&amp;[2015-06-05T00:00:00]")</f>
        <v>05-06-2015</v>
      </c>
      <c r="B744" vm="5384">
        <f>IFERROR(CUBEVALUE("BIDB",$A744,B$3,'Præsentationstabeller 1'!$C$2),0)</f>
        <v>1</v>
      </c>
      <c r="C744" t="str" vm="16468">
        <f>IFERROR(CUBEVALUE("BIDB",$A744,C$3,C$2,'Præsentationstabeller 1'!$C$2),0)</f>
        <v/>
      </c>
      <c r="D744" vm="16446">
        <f>IFERROR(CUBEVALUE("BIDB",$A744,D$3,D$2,'Præsentationstabeller 1'!$C$2),0)</f>
        <v>1</v>
      </c>
      <c r="E744" vm="9109">
        <f>IFERROR(CUBEVALUE("BIDB",$A744,E$3,E$2,'Præsentationstabeller 1'!$C$2),0)</f>
        <v>2</v>
      </c>
      <c r="F744" vm="7940">
        <f>IFERROR(CUBEVALUE("BIDB",$A744,F$3,F$2,'Præsentationstabeller 1'!$C$2),0)</f>
        <v>0</v>
      </c>
      <c r="G744" vm="17122">
        <f>IFERROR(CUBEVALUE("BIDB",$A744,G$3,G$2,'Præsentationstabeller 1'!$C$2),0)</f>
        <v>2</v>
      </c>
      <c r="H744" t="str" vm="13444">
        <f>IFERROR(CUBEVALUE("BIDB",$A744,H$3,H$2,'Præsentationstabeller 1'!$C$2),0)</f>
        <v/>
      </c>
      <c r="I744" t="str" vm="7280">
        <f>IFERROR(CUBEVALUE("BIDB",$A744,I$3,I$2,'Præsentationstabeller 1'!$C$2),0)</f>
        <v/>
      </c>
      <c r="J744" vm="8390">
        <f>IFERROR(CUBEVALUE("BIDB",$A744,J$3,J$2,'Præsentationstabeller 1'!$C$2),0)</f>
        <v>1</v>
      </c>
      <c r="K744" t="str" vm="14936">
        <f>IFERROR(CUBEVALUE("BIDB",$A744,K$3,K$2,'Præsentationstabeller 1'!$C$2),0)</f>
        <v/>
      </c>
      <c r="L744" vm="7935">
        <f>IFERROR(CUBEVALUE("BIDB",$A744,L$3,L$2,'Præsentationstabeller 1'!$C$2),0)</f>
        <v>1</v>
      </c>
    </row>
    <row r="745" spans="1:12" x14ac:dyDescent="0.3">
      <c r="A745" s="123" t="str" vm="591">
        <f>CUBEMEMBER("BIDB","[Dimittenddato].[Dimittenddato].&amp;[2015-06-06T00:00:00]")</f>
        <v>06-06-2015</v>
      </c>
      <c r="B745" vm="5376">
        <f>IFERROR(CUBEVALUE("BIDB",$A745,B$3,'Præsentationstabeller 1'!$C$2),0)</f>
        <v>1</v>
      </c>
      <c r="C745" t="str" vm="9831">
        <f>IFERROR(CUBEVALUE("BIDB",$A745,C$3,C$2,'Præsentationstabeller 1'!$C$2),0)</f>
        <v/>
      </c>
      <c r="D745" t="str" vm="15250">
        <f>IFERROR(CUBEVALUE("BIDB",$A745,D$3,D$2,'Præsentationstabeller 1'!$C$2),0)</f>
        <v/>
      </c>
      <c r="E745" t="str" vm="8492">
        <f>IFERROR(CUBEVALUE("BIDB",$A745,E$3,E$2,'Præsentationstabeller 1'!$C$2),0)</f>
        <v/>
      </c>
      <c r="F745" t="str" vm="4341">
        <f>IFERROR(CUBEVALUE("BIDB",$A745,F$3,F$2,'Præsentationstabeller 1'!$C$2),0)</f>
        <v/>
      </c>
      <c r="G745" t="str" vm="15657">
        <f>IFERROR(CUBEVALUE("BIDB",$A745,G$3,G$2,'Præsentationstabeller 1'!$C$2),0)</f>
        <v/>
      </c>
      <c r="H745" t="str" vm="12490">
        <f>IFERROR(CUBEVALUE("BIDB",$A745,H$3,H$2,'Præsentationstabeller 1'!$C$2),0)</f>
        <v/>
      </c>
      <c r="I745" t="str" vm="7220">
        <f>IFERROR(CUBEVALUE("BIDB",$A745,I$3,I$2,'Præsentationstabeller 1'!$C$2),0)</f>
        <v/>
      </c>
      <c r="J745" t="str" vm="9090">
        <f>IFERROR(CUBEVALUE("BIDB",$A745,J$3,J$2,'Præsentationstabeller 1'!$C$2),0)</f>
        <v/>
      </c>
      <c r="K745" t="str" vm="14573">
        <f>IFERROR(CUBEVALUE("BIDB",$A745,K$3,K$2,'Præsentationstabeller 1'!$C$2),0)</f>
        <v/>
      </c>
      <c r="L745" t="str" vm="16059">
        <f>IFERROR(CUBEVALUE("BIDB",$A745,L$3,L$2,'Præsentationstabeller 1'!$C$2),0)</f>
        <v/>
      </c>
    </row>
    <row r="746" spans="1:12" x14ac:dyDescent="0.3">
      <c r="A746" s="123" t="str" vm="590">
        <f>CUBEMEMBER("BIDB","[Dimittenddato].[Dimittenddato].&amp;[2015-06-07T00:00:00]")</f>
        <v>07-06-2015</v>
      </c>
      <c r="B746" vm="6179">
        <f>IFERROR(CUBEVALUE("BIDB",$A746,B$3,'Præsentationstabeller 1'!$C$2),0)</f>
        <v>1</v>
      </c>
      <c r="C746" t="str" vm="9619">
        <f>IFERROR(CUBEVALUE("BIDB",$A746,C$3,C$2,'Præsentationstabeller 1'!$C$2),0)</f>
        <v/>
      </c>
      <c r="D746" t="str" vm="10383">
        <f>IFERROR(CUBEVALUE("BIDB",$A746,D$3,D$2,'Præsentationstabeller 1'!$C$2),0)</f>
        <v/>
      </c>
      <c r="E746" t="str" vm="8222">
        <f>IFERROR(CUBEVALUE("BIDB",$A746,E$3,E$2,'Præsentationstabeller 1'!$C$2),0)</f>
        <v/>
      </c>
      <c r="F746" t="str" vm="4333">
        <f>IFERROR(CUBEVALUE("BIDB",$A746,F$3,F$2,'Præsentationstabeller 1'!$C$2),0)</f>
        <v/>
      </c>
      <c r="G746" t="str" vm="15222">
        <f>IFERROR(CUBEVALUE("BIDB",$A746,G$3,G$2,'Præsentationstabeller 1'!$C$2),0)</f>
        <v/>
      </c>
      <c r="H746" t="str" vm="11435">
        <f>IFERROR(CUBEVALUE("BIDB",$A746,H$3,H$2,'Præsentationstabeller 1'!$C$2),0)</f>
        <v/>
      </c>
      <c r="I746" t="str" vm="6885">
        <f>IFERROR(CUBEVALUE("BIDB",$A746,I$3,I$2,'Præsentationstabeller 1'!$C$2),0)</f>
        <v/>
      </c>
      <c r="J746" t="str" vm="5712">
        <f>IFERROR(CUBEVALUE("BIDB",$A746,J$3,J$2,'Præsentationstabeller 1'!$C$2),0)</f>
        <v/>
      </c>
      <c r="K746" t="str" vm="13494">
        <f>IFERROR(CUBEVALUE("BIDB",$A746,K$3,K$2,'Præsentationstabeller 1'!$C$2),0)</f>
        <v/>
      </c>
      <c r="L746" t="str" vm="9818">
        <f>IFERROR(CUBEVALUE("BIDB",$A746,L$3,L$2,'Præsentationstabeller 1'!$C$2),0)</f>
        <v/>
      </c>
    </row>
    <row r="747" spans="1:12" x14ac:dyDescent="0.3">
      <c r="A747" s="123" t="str" vm="589">
        <f>CUBEMEMBER("BIDB","[Dimittenddato].[Dimittenddato].&amp;[2015-06-08T00:00:00]")</f>
        <v>08-06-2015</v>
      </c>
      <c r="B747" vm="7374">
        <f>IFERROR(CUBEVALUE("BIDB",$A747,B$3,'Præsentationstabeller 1'!$C$2),0)</f>
        <v>1</v>
      </c>
      <c r="C747" t="str" vm="13711">
        <f>IFERROR(CUBEVALUE("BIDB",$A747,C$3,C$2,'Præsentationstabeller 1'!$C$2),0)</f>
        <v/>
      </c>
      <c r="D747" vm="13408">
        <f>IFERROR(CUBEVALUE("BIDB",$A747,D$3,D$2,'Præsentationstabeller 1'!$C$2),0)</f>
        <v>2</v>
      </c>
      <c r="E747" vm="7244">
        <f>IFERROR(CUBEVALUE("BIDB",$A747,E$3,E$2,'Præsentationstabeller 1'!$C$2),0)</f>
        <v>12</v>
      </c>
      <c r="F747" vm="7141">
        <f>IFERROR(CUBEVALUE("BIDB",$A747,F$3,F$2,'Præsentationstabeller 1'!$C$2),0)</f>
        <v>2</v>
      </c>
      <c r="G747" vm="14897">
        <f>IFERROR(CUBEVALUE("BIDB",$A747,G$3,G$2,'Præsentationstabeller 1'!$C$2),0)</f>
        <v>14</v>
      </c>
      <c r="H747" t="str" vm="14260">
        <f>IFERROR(CUBEVALUE("BIDB",$A747,H$3,H$2,'Præsentationstabeller 1'!$C$2),0)</f>
        <v/>
      </c>
      <c r="I747" vm="7008">
        <f>IFERROR(CUBEVALUE("BIDB",$A747,I$3,I$2,'Præsentationstabeller 1'!$C$2),0)</f>
        <v>1</v>
      </c>
      <c r="J747" vm="5710">
        <f>IFERROR(CUBEVALUE("BIDB",$A747,J$3,J$2,'Præsentationstabeller 1'!$C$2),0)</f>
        <v>0.36</v>
      </c>
      <c r="K747" t="str" vm="15563">
        <f>IFERROR(CUBEVALUE("BIDB",$A747,K$3,K$2,'Præsentationstabeller 1'!$C$2),0)</f>
        <v/>
      </c>
      <c r="L747" vm="9480">
        <f>IFERROR(CUBEVALUE("BIDB",$A747,L$3,L$2,'Præsentationstabeller 1'!$C$2),0)</f>
        <v>0.36</v>
      </c>
    </row>
    <row r="748" spans="1:12" x14ac:dyDescent="0.3">
      <c r="A748" s="123" t="str" vm="588">
        <f>CUBEMEMBER("BIDB","[Dimittenddato].[Dimittenddato].&amp;[2015-06-09T00:00:00]")</f>
        <v>09-06-2015</v>
      </c>
      <c r="B748" vm="6117">
        <f>IFERROR(CUBEVALUE("BIDB",$A748,B$3,'Præsentationstabeller 1'!$C$2),0)</f>
        <v>1</v>
      </c>
      <c r="C748" vm="17059">
        <f>IFERROR(CUBEVALUE("BIDB",$A748,C$3,C$2,'Præsentationstabeller 1'!$C$2),0)</f>
        <v>1</v>
      </c>
      <c r="D748" vm="12555">
        <f>IFERROR(CUBEVALUE("BIDB",$A748,D$3,D$2,'Præsentationstabeller 1'!$C$2),0)</f>
        <v>5</v>
      </c>
      <c r="E748" vm="7629">
        <f>IFERROR(CUBEVALUE("BIDB",$A748,E$3,E$2,'Præsentationstabeller 1'!$C$2),0)</f>
        <v>7</v>
      </c>
      <c r="F748" t="str" vm="7680">
        <f>IFERROR(CUBEVALUE("BIDB",$A748,F$3,F$2,'Præsentationstabeller 1'!$C$2),0)</f>
        <v/>
      </c>
      <c r="G748" vm="16039">
        <f>IFERROR(CUBEVALUE("BIDB",$A748,G$3,G$2,'Præsentationstabeller 1'!$C$2),0)</f>
        <v>7</v>
      </c>
      <c r="H748" t="str" vm="13642">
        <f>IFERROR(CUBEVALUE("BIDB",$A748,H$3,H$2,'Præsentationstabeller 1'!$C$2),0)</f>
        <v/>
      </c>
      <c r="I748" vm="7006">
        <f>IFERROR(CUBEVALUE("BIDB",$A748,I$3,I$2,'Præsentationstabeller 1'!$C$2),0)</f>
        <v>1.1599999999999999</v>
      </c>
      <c r="J748" vm="10314">
        <f>IFERROR(CUBEVALUE("BIDB",$A748,J$3,J$2,'Præsentationstabeller 1'!$C$2),0)</f>
        <v>0.6</v>
      </c>
      <c r="K748" t="str" vm="9469">
        <f>IFERROR(CUBEVALUE("BIDB",$A748,K$3,K$2,'Præsentationstabeller 1'!$C$2),0)</f>
        <v/>
      </c>
      <c r="L748" vm="9682">
        <f>IFERROR(CUBEVALUE("BIDB",$A748,L$3,L$2,'Præsentationstabeller 1'!$C$2),0)</f>
        <v>0.6</v>
      </c>
    </row>
    <row r="749" spans="1:12" x14ac:dyDescent="0.3">
      <c r="A749" s="123" t="str" vm="587">
        <f>CUBEMEMBER("BIDB","[Dimittenddato].[Dimittenddato].&amp;[2015-06-10T00:00:00]")</f>
        <v>10-06-2015</v>
      </c>
      <c r="B749" vm="6109">
        <f>IFERROR(CUBEVALUE("BIDB",$A749,B$3,'Præsentationstabeller 1'!$C$2),0)</f>
        <v>1</v>
      </c>
      <c r="C749" vm="11712">
        <f>IFERROR(CUBEVALUE("BIDB",$A749,C$3,C$2,'Præsentationstabeller 1'!$C$2),0)</f>
        <v>1</v>
      </c>
      <c r="D749" vm="14599">
        <f>IFERROR(CUBEVALUE("BIDB",$A749,D$3,D$2,'Præsentationstabeller 1'!$C$2),0)</f>
        <v>5</v>
      </c>
      <c r="E749" vm="5781">
        <f>IFERROR(CUBEVALUE("BIDB",$A749,E$3,E$2,'Præsentationstabeller 1'!$C$2),0)</f>
        <v>8</v>
      </c>
      <c r="F749" vm="4659">
        <f>IFERROR(CUBEVALUE("BIDB",$A749,F$3,F$2,'Præsentationstabeller 1'!$C$2),0)</f>
        <v>4</v>
      </c>
      <c r="G749" vm="14437">
        <f>IFERROR(CUBEVALUE("BIDB",$A749,G$3,G$2,'Præsentationstabeller 1'!$C$2),0)</f>
        <v>12</v>
      </c>
      <c r="H749" t="str" vm="10264">
        <f>IFERROR(CUBEVALUE("BIDB",$A749,H$3,H$2,'Præsentationstabeller 1'!$C$2),0)</f>
        <v/>
      </c>
      <c r="I749" vm="8432">
        <f>IFERROR(CUBEVALUE("BIDB",$A749,I$3,I$2,'Præsentationstabeller 1'!$C$2),0)</f>
        <v>1.8745945945945948</v>
      </c>
      <c r="J749" vm="7148">
        <f>IFERROR(CUBEVALUE("BIDB",$A749,J$3,J$2,'Præsentationstabeller 1'!$C$2),0)</f>
        <v>4</v>
      </c>
      <c r="K749" vm="11424">
        <f>IFERROR(CUBEVALUE("BIDB",$A749,K$3,K$2,'Præsentationstabeller 1'!$C$2),0)</f>
        <v>1</v>
      </c>
      <c r="L749" vm="10760">
        <f>IFERROR(CUBEVALUE("BIDB",$A749,L$3,L$2,'Præsentationstabeller 1'!$C$2),0)</f>
        <v>5</v>
      </c>
    </row>
    <row r="750" spans="1:12" x14ac:dyDescent="0.3">
      <c r="A750" s="123" t="str" vm="586">
        <f>CUBEMEMBER("BIDB","[Dimittenddato].[Dimittenddato].&amp;[2015-06-11T00:00:00]")</f>
        <v>11-06-2015</v>
      </c>
      <c r="B750" vm="7864">
        <f>IFERROR(CUBEVALUE("BIDB",$A750,B$3,'Præsentationstabeller 1'!$C$2),0)</f>
        <v>1</v>
      </c>
      <c r="C750" t="str" vm="16113">
        <f>IFERROR(CUBEVALUE("BIDB",$A750,C$3,C$2,'Præsentationstabeller 1'!$C$2),0)</f>
        <v/>
      </c>
      <c r="D750" vm="15346">
        <f>IFERROR(CUBEVALUE("BIDB",$A750,D$3,D$2,'Præsentationstabeller 1'!$C$2),0)</f>
        <v>5</v>
      </c>
      <c r="E750" vm="5511">
        <f>IFERROR(CUBEVALUE("BIDB",$A750,E$3,E$2,'Præsentationstabeller 1'!$C$2),0)</f>
        <v>13</v>
      </c>
      <c r="F750" vm="4651">
        <f>IFERROR(CUBEVALUE("BIDB",$A750,F$3,F$2,'Præsentationstabeller 1'!$C$2),0)</f>
        <v>2</v>
      </c>
      <c r="G750" vm="14229">
        <f>IFERROR(CUBEVALUE("BIDB",$A750,G$3,G$2,'Præsentationstabeller 1'!$C$2),0)</f>
        <v>15</v>
      </c>
      <c r="H750" t="str" vm="12282">
        <f>IFERROR(CUBEVALUE("BIDB",$A750,H$3,H$2,'Præsentationstabeller 1'!$C$2),0)</f>
        <v/>
      </c>
      <c r="I750" t="str" vm="7342">
        <f>IFERROR(CUBEVALUE("BIDB",$A750,I$3,I$2,'Præsentationstabeller 1'!$C$2),0)</f>
        <v/>
      </c>
      <c r="J750" vm="6480">
        <f>IFERROR(CUBEVALUE("BIDB",$A750,J$3,J$2,'Præsentationstabeller 1'!$C$2),0)</f>
        <v>3.2</v>
      </c>
      <c r="K750" vm="9631">
        <f>IFERROR(CUBEVALUE("BIDB",$A750,K$3,K$2,'Præsentationstabeller 1'!$C$2),0)</f>
        <v>0.12</v>
      </c>
      <c r="L750" vm="13242">
        <f>IFERROR(CUBEVALUE("BIDB",$A750,L$3,L$2,'Præsentationstabeller 1'!$C$2),0)</f>
        <v>3.3200000000000003</v>
      </c>
    </row>
    <row r="751" spans="1:12" x14ac:dyDescent="0.3">
      <c r="A751" s="123" t="str" vm="585">
        <f>CUBEMEMBER("BIDB","[Dimittenddato].[Dimittenddato].&amp;[2015-06-12T00:00:00]")</f>
        <v>12-06-2015</v>
      </c>
      <c r="B751" vm="6537">
        <f>IFERROR(CUBEVALUE("BIDB",$A751,B$3,'Præsentationstabeller 1'!$C$2),0)</f>
        <v>1</v>
      </c>
      <c r="C751" t="str" vm="16325">
        <f>IFERROR(CUBEVALUE("BIDB",$A751,C$3,C$2,'Præsentationstabeller 1'!$C$2),0)</f>
        <v/>
      </c>
      <c r="D751" vm="13298">
        <f>IFERROR(CUBEVALUE("BIDB",$A751,D$3,D$2,'Præsentationstabeller 1'!$C$2),0)</f>
        <v>3</v>
      </c>
      <c r="E751" vm="5503">
        <f>IFERROR(CUBEVALUE("BIDB",$A751,E$3,E$2,'Præsentationstabeller 1'!$C$2),0)</f>
        <v>12</v>
      </c>
      <c r="F751" vm="9705">
        <f>IFERROR(CUBEVALUE("BIDB",$A751,F$3,F$2,'Præsentationstabeller 1'!$C$2),0)</f>
        <v>3</v>
      </c>
      <c r="G751" vm="12114">
        <f>IFERROR(CUBEVALUE("BIDB",$A751,G$3,G$2,'Præsentationstabeller 1'!$C$2),0)</f>
        <v>15</v>
      </c>
      <c r="H751" t="str" vm="13045">
        <f>IFERROR(CUBEVALUE("BIDB",$A751,H$3,H$2,'Præsentationstabeller 1'!$C$2),0)</f>
        <v/>
      </c>
      <c r="I751" vm="7759">
        <f>IFERROR(CUBEVALUE("BIDB",$A751,I$3,I$2,'Præsentationstabeller 1'!$C$2),0)</f>
        <v>1.2</v>
      </c>
      <c r="J751" vm="6478">
        <f>IFERROR(CUBEVALUE("BIDB",$A751,J$3,J$2,'Præsentationstabeller 1'!$C$2),0)</f>
        <v>1</v>
      </c>
      <c r="K751" t="str" vm="15562">
        <f>IFERROR(CUBEVALUE("BIDB",$A751,K$3,K$2,'Præsentationstabeller 1'!$C$2),0)</f>
        <v/>
      </c>
      <c r="L751" vm="16012">
        <f>IFERROR(CUBEVALUE("BIDB",$A751,L$3,L$2,'Præsentationstabeller 1'!$C$2),0)</f>
        <v>1</v>
      </c>
    </row>
    <row r="752" spans="1:12" x14ac:dyDescent="0.3">
      <c r="A752" s="123" t="str" vm="584">
        <f>CUBEMEMBER("BIDB","[Dimittenddato].[Dimittenddato].&amp;[2015-06-13T00:00:00]")</f>
        <v>13-06-2015</v>
      </c>
      <c r="B752" vm="4046">
        <f>IFERROR(CUBEVALUE("BIDB",$A752,B$3,'Præsentationstabeller 1'!$C$2),0)</f>
        <v>1</v>
      </c>
      <c r="C752" t="str" vm="12573">
        <f>IFERROR(CUBEVALUE("BIDB",$A752,C$3,C$2,'Præsentationstabeller 1'!$C$2),0)</f>
        <v/>
      </c>
      <c r="D752" vm="15353">
        <f>IFERROR(CUBEVALUE("BIDB",$A752,D$3,D$2,'Præsentationstabeller 1'!$C$2),0)</f>
        <v>1</v>
      </c>
      <c r="E752" vm="7627">
        <f>IFERROR(CUBEVALUE("BIDB",$A752,E$3,E$2,'Præsentationstabeller 1'!$C$2),0)</f>
        <v>1</v>
      </c>
      <c r="F752" t="str" vm="6961">
        <f>IFERROR(CUBEVALUE("BIDB",$A752,F$3,F$2,'Præsentationstabeller 1'!$C$2),0)</f>
        <v/>
      </c>
      <c r="G752" vm="14089">
        <f>IFERROR(CUBEVALUE("BIDB",$A752,G$3,G$2,'Præsentationstabeller 1'!$C$2),0)</f>
        <v>1</v>
      </c>
      <c r="H752" t="str" vm="10139">
        <f>IFERROR(CUBEVALUE("BIDB",$A752,H$3,H$2,'Præsentationstabeller 1'!$C$2),0)</f>
        <v/>
      </c>
      <c r="I752" t="str" vm="7757">
        <f>IFERROR(CUBEVALUE("BIDB",$A752,I$3,I$2,'Præsentationstabeller 1'!$C$2),0)</f>
        <v/>
      </c>
      <c r="J752" t="str" vm="8953">
        <f>IFERROR(CUBEVALUE("BIDB",$A752,J$3,J$2,'Præsentationstabeller 1'!$C$2),0)</f>
        <v/>
      </c>
      <c r="K752" t="str" vm="10035">
        <f>IFERROR(CUBEVALUE("BIDB",$A752,K$3,K$2,'Præsentationstabeller 1'!$C$2),0)</f>
        <v/>
      </c>
      <c r="L752" t="str" vm="14546">
        <f>IFERROR(CUBEVALUE("BIDB",$A752,L$3,L$2,'Præsentationstabeller 1'!$C$2),0)</f>
        <v/>
      </c>
    </row>
    <row r="753" spans="1:12" x14ac:dyDescent="0.3">
      <c r="A753" s="123" t="str" vm="583">
        <f>CUBEMEMBER("BIDB","[Dimittenddato].[Dimittenddato].&amp;[2015-06-14T00:00:00]")</f>
        <v>14-06-2015</v>
      </c>
      <c r="B753" vm="4038">
        <f>IFERROR(CUBEVALUE("BIDB",$A753,B$3,'Præsentationstabeller 1'!$C$2),0)</f>
        <v>1</v>
      </c>
      <c r="C753" t="str" vm="15567">
        <f>IFERROR(CUBEVALUE("BIDB",$A753,C$3,C$2,'Præsentationstabeller 1'!$C$2),0)</f>
        <v/>
      </c>
      <c r="D753" vm="11609">
        <f>IFERROR(CUBEVALUE("BIDB",$A753,D$3,D$2,'Præsentationstabeller 1'!$C$2),0)</f>
        <v>1</v>
      </c>
      <c r="E753" vm="11792">
        <f>IFERROR(CUBEVALUE("BIDB",$A753,E$3,E$2,'Præsentationstabeller 1'!$C$2),0)</f>
        <v>1</v>
      </c>
      <c r="F753" t="str" vm="5426">
        <f>IFERROR(CUBEVALUE("BIDB",$A753,F$3,F$2,'Præsentationstabeller 1'!$C$2),0)</f>
        <v/>
      </c>
      <c r="G753" vm="16008">
        <f>IFERROR(CUBEVALUE("BIDB",$A753,G$3,G$2,'Præsentationstabeller 1'!$C$2),0)</f>
        <v>1</v>
      </c>
      <c r="H753" t="str" vm="11568">
        <f>IFERROR(CUBEVALUE("BIDB",$A753,H$3,H$2,'Præsentationstabeller 1'!$C$2),0)</f>
        <v/>
      </c>
      <c r="I753" t="str" vm="7195">
        <f>IFERROR(CUBEVALUE("BIDB",$A753,I$3,I$2,'Præsentationstabeller 1'!$C$2),0)</f>
        <v/>
      </c>
      <c r="J753" t="str" vm="5908">
        <f>IFERROR(CUBEVALUE("BIDB",$A753,J$3,J$2,'Præsentationstabeller 1'!$C$2),0)</f>
        <v/>
      </c>
      <c r="K753" t="str" vm="16850">
        <f>IFERROR(CUBEVALUE("BIDB",$A753,K$3,K$2,'Præsentationstabeller 1'!$C$2),0)</f>
        <v/>
      </c>
      <c r="L753" t="str" vm="9500">
        <f>IFERROR(CUBEVALUE("BIDB",$A753,L$3,L$2,'Præsentationstabeller 1'!$C$2),0)</f>
        <v/>
      </c>
    </row>
    <row r="754" spans="1:12" x14ac:dyDescent="0.3">
      <c r="A754" s="123" t="str" vm="582">
        <f>CUBEMEMBER("BIDB","[Dimittenddato].[Dimittenddato].&amp;[2015-06-15T00:00:00]")</f>
        <v>15-06-2015</v>
      </c>
      <c r="B754" vm="9152">
        <f>IFERROR(CUBEVALUE("BIDB",$A754,B$3,'Præsentationstabeller 1'!$C$2),0)</f>
        <v>1</v>
      </c>
      <c r="C754" vm="11716">
        <f>IFERROR(CUBEVALUE("BIDB",$A754,C$3,C$2,'Præsentationstabeller 1'!$C$2),0)</f>
        <v>2</v>
      </c>
      <c r="D754" vm="13520">
        <f>IFERROR(CUBEVALUE("BIDB",$A754,D$3,D$2,'Præsentationstabeller 1'!$C$2),0)</f>
        <v>13</v>
      </c>
      <c r="E754" vm="5226">
        <f>IFERROR(CUBEVALUE("BIDB",$A754,E$3,E$2,'Præsentationstabeller 1'!$C$2),0)</f>
        <v>19</v>
      </c>
      <c r="F754" vm="5424">
        <f>IFERROR(CUBEVALUE("BIDB",$A754,F$3,F$2,'Præsentationstabeller 1'!$C$2),0)</f>
        <v>12</v>
      </c>
      <c r="G754" vm="17127">
        <f>IFERROR(CUBEVALUE("BIDB",$A754,G$3,G$2,'Præsentationstabeller 1'!$C$2),0)</f>
        <v>31</v>
      </c>
      <c r="H754" vm="10576">
        <f>IFERROR(CUBEVALUE("BIDB",$A754,H$3,H$2,'Præsentationstabeller 1'!$C$2),0)</f>
        <v>0.2</v>
      </c>
      <c r="I754" vm="7804">
        <f>IFERROR(CUBEVALUE("BIDB",$A754,I$3,I$2,'Præsentationstabeller 1'!$C$2),0)</f>
        <v>1</v>
      </c>
      <c r="J754" t="str" vm="4371">
        <f>IFERROR(CUBEVALUE("BIDB",$A754,J$3,J$2,'Præsentationstabeller 1'!$C$2),0)</f>
        <v/>
      </c>
      <c r="K754" vm="17037">
        <f>IFERROR(CUBEVALUE("BIDB",$A754,K$3,K$2,'Præsentationstabeller 1'!$C$2),0)</f>
        <v>2</v>
      </c>
      <c r="L754" vm="13108">
        <f>IFERROR(CUBEVALUE("BIDB",$A754,L$3,L$2,'Præsentationstabeller 1'!$C$2),0)</f>
        <v>2</v>
      </c>
    </row>
    <row r="755" spans="1:12" x14ac:dyDescent="0.3">
      <c r="A755" s="123" t="str" vm="581">
        <f>CUBEMEMBER("BIDB","[Dimittenddato].[Dimittenddato].&amp;[2015-06-16T00:00:00]")</f>
        <v>16-06-2015</v>
      </c>
      <c r="B755" vm="6257">
        <f>IFERROR(CUBEVALUE("BIDB",$A755,B$3,'Præsentationstabeller 1'!$C$2),0)</f>
        <v>1</v>
      </c>
      <c r="C755" vm="14007">
        <f>IFERROR(CUBEVALUE("BIDB",$A755,C$3,C$2,'Præsentationstabeller 1'!$C$2),0)</f>
        <v>4</v>
      </c>
      <c r="D755" vm="16623">
        <f>IFERROR(CUBEVALUE("BIDB",$A755,D$3,D$2,'Præsentationstabeller 1'!$C$2),0)</f>
        <v>6</v>
      </c>
      <c r="E755" vm="5218">
        <f>IFERROR(CUBEVALUE("BIDB",$A755,E$3,E$2,'Præsentationstabeller 1'!$C$2),0)</f>
        <v>29</v>
      </c>
      <c r="F755" vm="8049">
        <f>IFERROR(CUBEVALUE("BIDB",$A755,F$3,F$2,'Præsentationstabeller 1'!$C$2),0)</f>
        <v>2</v>
      </c>
      <c r="G755" vm="14587">
        <f>IFERROR(CUBEVALUE("BIDB",$A755,G$3,G$2,'Præsentationstabeller 1'!$C$2),0)</f>
        <v>31</v>
      </c>
      <c r="H755" vm="10525">
        <f>IFERROR(CUBEVALUE("BIDB",$A755,H$3,H$2,'Præsentationstabeller 1'!$C$2),0)</f>
        <v>1.9600000000000002</v>
      </c>
      <c r="I755" vm="4525">
        <f>IFERROR(CUBEVALUE("BIDB",$A755,I$3,I$2,'Præsentationstabeller 1'!$C$2),0)</f>
        <v>1.4</v>
      </c>
      <c r="J755" vm="4363">
        <f>IFERROR(CUBEVALUE("BIDB",$A755,J$3,J$2,'Præsentationstabeller 1'!$C$2),0)</f>
        <v>2.4</v>
      </c>
      <c r="K755" t="str" vm="13326">
        <f>IFERROR(CUBEVALUE("BIDB",$A755,K$3,K$2,'Præsentationstabeller 1'!$C$2),0)</f>
        <v/>
      </c>
      <c r="L755" vm="14738">
        <f>IFERROR(CUBEVALUE("BIDB",$A755,L$3,L$2,'Præsentationstabeller 1'!$C$2),0)</f>
        <v>2.4</v>
      </c>
    </row>
    <row r="756" spans="1:12" x14ac:dyDescent="0.3">
      <c r="A756" s="123" t="str" vm="580">
        <f>CUBEMEMBER("BIDB","[Dimittenddato].[Dimittenddato].&amp;[2015-06-17T00:00:00]")</f>
        <v>17-06-2015</v>
      </c>
      <c r="B756" vm="5267">
        <f>IFERROR(CUBEVALUE("BIDB",$A756,B$3,'Præsentationstabeller 1'!$C$2),0)</f>
        <v>1</v>
      </c>
      <c r="C756" t="str" vm="11561">
        <f>IFERROR(CUBEVALUE("BIDB",$A756,C$3,C$2,'Præsentationstabeller 1'!$C$2),0)</f>
        <v/>
      </c>
      <c r="D756" vm="12913">
        <f>IFERROR(CUBEVALUE("BIDB",$A756,D$3,D$2,'Præsentationstabeller 1'!$C$2),0)</f>
        <v>13</v>
      </c>
      <c r="E756" vm="6897">
        <f>IFERROR(CUBEVALUE("BIDB",$A756,E$3,E$2,'Præsentationstabeller 1'!$C$2),0)</f>
        <v>21</v>
      </c>
      <c r="F756" vm="6929">
        <f>IFERROR(CUBEVALUE("BIDB",$A756,F$3,F$2,'Præsentationstabeller 1'!$C$2),0)</f>
        <v>14</v>
      </c>
      <c r="G756" vm="16486">
        <f>IFERROR(CUBEVALUE("BIDB",$A756,G$3,G$2,'Præsentationstabeller 1'!$C$2),0)</f>
        <v>35</v>
      </c>
      <c r="H756" t="str" vm="16943">
        <f>IFERROR(CUBEVALUE("BIDB",$A756,H$3,H$2,'Præsentationstabeller 1'!$C$2),0)</f>
        <v/>
      </c>
      <c r="I756" vm="4517">
        <f>IFERROR(CUBEVALUE("BIDB",$A756,I$3,I$2,'Præsentationstabeller 1'!$C$2),0)</f>
        <v>1.6799999999999997</v>
      </c>
      <c r="J756" t="str" vm="7414">
        <f>IFERROR(CUBEVALUE("BIDB",$A756,J$3,J$2,'Præsentationstabeller 1'!$C$2),0)</f>
        <v/>
      </c>
      <c r="K756" t="str" vm="11323">
        <f>IFERROR(CUBEVALUE("BIDB",$A756,K$3,K$2,'Præsentationstabeller 1'!$C$2),0)</f>
        <v/>
      </c>
      <c r="L756" t="str" vm="7534">
        <f>IFERROR(CUBEVALUE("BIDB",$A756,L$3,L$2,'Præsentationstabeller 1'!$C$2),0)</f>
        <v/>
      </c>
    </row>
    <row r="757" spans="1:12" x14ac:dyDescent="0.3">
      <c r="A757" s="123" t="str" vm="579">
        <f>CUBEMEMBER("BIDB","[Dimittenddato].[Dimittenddato].&amp;[2015-06-18T00:00:00]")</f>
        <v>18-06-2015</v>
      </c>
      <c r="B757" vm="5265">
        <f>IFERROR(CUBEVALUE("BIDB",$A757,B$3,'Præsentationstabeller 1'!$C$2),0)</f>
        <v>1</v>
      </c>
      <c r="C757" vm="9677">
        <f>IFERROR(CUBEVALUE("BIDB",$A757,C$3,C$2,'Præsentationstabeller 1'!$C$2),0)</f>
        <v>2</v>
      </c>
      <c r="D757" vm="15626">
        <f>IFERROR(CUBEVALUE("BIDB",$A757,D$3,D$2,'Præsentationstabeller 1'!$C$2),0)</f>
        <v>6</v>
      </c>
      <c r="E757" vm="8987">
        <f>IFERROR(CUBEVALUE("BIDB",$A757,E$3,E$2,'Præsentationstabeller 1'!$C$2),0)</f>
        <v>33</v>
      </c>
      <c r="F757" vm="6147">
        <f>IFERROR(CUBEVALUE("BIDB",$A757,F$3,F$2,'Præsentationstabeller 1'!$C$2),0)</f>
        <v>24</v>
      </c>
      <c r="G757" vm="13467">
        <f>IFERROR(CUBEVALUE("BIDB",$A757,G$3,G$2,'Præsentationstabeller 1'!$C$2),0)</f>
        <v>57</v>
      </c>
      <c r="H757" t="str" vm="12607">
        <f>IFERROR(CUBEVALUE("BIDB",$A757,H$3,H$2,'Præsentationstabeller 1'!$C$2),0)</f>
        <v/>
      </c>
      <c r="I757" vm="8205">
        <f>IFERROR(CUBEVALUE("BIDB",$A757,I$3,I$2,'Præsentationstabeller 1'!$C$2),0)</f>
        <v>0.72</v>
      </c>
      <c r="J757" vm="14023">
        <f>IFERROR(CUBEVALUE("BIDB",$A757,J$3,J$2,'Præsentationstabeller 1'!$C$2),0)</f>
        <v>1.8399999999999999</v>
      </c>
      <c r="K757" vm="10925">
        <f>IFERROR(CUBEVALUE("BIDB",$A757,K$3,K$2,'Præsentationstabeller 1'!$C$2),0)</f>
        <v>1</v>
      </c>
      <c r="L757" vm="12832">
        <f>IFERROR(CUBEVALUE("BIDB",$A757,L$3,L$2,'Præsentationstabeller 1'!$C$2),0)</f>
        <v>2.84</v>
      </c>
    </row>
    <row r="758" spans="1:12" x14ac:dyDescent="0.3">
      <c r="A758" s="123" t="str" vm="578">
        <f>CUBEMEMBER("BIDB","[Dimittenddato].[Dimittenddato].&amp;[2015-06-19T00:00:00]")</f>
        <v>19-06-2015</v>
      </c>
      <c r="B758" vm="6347">
        <f>IFERROR(CUBEVALUE("BIDB",$A758,B$3,'Præsentationstabeller 1'!$C$2),0)</f>
        <v>1</v>
      </c>
      <c r="C758" t="str" vm="13597">
        <f>IFERROR(CUBEVALUE("BIDB",$A758,C$3,C$2,'Præsentationstabeller 1'!$C$2),0)</f>
        <v/>
      </c>
      <c r="D758" vm="11273">
        <f>IFERROR(CUBEVALUE("BIDB",$A758,D$3,D$2,'Præsentationstabeller 1'!$C$2),0)</f>
        <v>17</v>
      </c>
      <c r="E758" vm="4571">
        <f>IFERROR(CUBEVALUE("BIDB",$A758,E$3,E$2,'Præsentationstabeller 1'!$C$2),0)</f>
        <v>37</v>
      </c>
      <c r="F758" vm="6139">
        <f>IFERROR(CUBEVALUE("BIDB",$A758,F$3,F$2,'Præsentationstabeller 1'!$C$2),0)</f>
        <v>23</v>
      </c>
      <c r="G758" vm="12158">
        <f>IFERROR(CUBEVALUE("BIDB",$A758,G$3,G$2,'Præsentationstabeller 1'!$C$2),0)</f>
        <v>60</v>
      </c>
      <c r="H758" t="str" vm="10613">
        <f>IFERROR(CUBEVALUE("BIDB",$A758,H$3,H$2,'Præsentationstabeller 1'!$C$2),0)</f>
        <v/>
      </c>
      <c r="I758" vm="7290">
        <f>IFERROR(CUBEVALUE("BIDB",$A758,I$3,I$2,'Præsentationstabeller 1'!$C$2),0)</f>
        <v>1.9600000000000002</v>
      </c>
      <c r="J758" vm="5095">
        <f>IFERROR(CUBEVALUE("BIDB",$A758,J$3,J$2,'Præsentationstabeller 1'!$C$2),0)</f>
        <v>1</v>
      </c>
      <c r="K758" vm="13609">
        <f>IFERROR(CUBEVALUE("BIDB",$A758,K$3,K$2,'Præsentationstabeller 1'!$C$2),0)</f>
        <v>3.4</v>
      </c>
      <c r="L758" vm="12241">
        <f>IFERROR(CUBEVALUE("BIDB",$A758,L$3,L$2,'Præsentationstabeller 1'!$C$2),0)</f>
        <v>4.4000000000000004</v>
      </c>
    </row>
    <row r="759" spans="1:12" x14ac:dyDescent="0.3">
      <c r="A759" s="123" t="str" vm="577">
        <f>CUBEMEMBER("BIDB","[Dimittenddato].[Dimittenddato].&amp;[2015-06-20T00:00:00]")</f>
        <v>20-06-2015</v>
      </c>
      <c r="B759" vm="7012">
        <f>IFERROR(CUBEVALUE("BIDB",$A759,B$3,'Præsentationstabeller 1'!$C$2),0)</f>
        <v>1</v>
      </c>
      <c r="C759" t="str" vm="13258">
        <f>IFERROR(CUBEVALUE("BIDB",$A759,C$3,C$2,'Præsentationstabeller 1'!$C$2),0)</f>
        <v/>
      </c>
      <c r="D759" vm="10419">
        <f>IFERROR(CUBEVALUE("BIDB",$A759,D$3,D$2,'Præsentationstabeller 1'!$C$2),0)</f>
        <v>1</v>
      </c>
      <c r="E759" vm="4569">
        <f>IFERROR(CUBEVALUE("BIDB",$A759,E$3,E$2,'Præsentationstabeller 1'!$C$2),0)</f>
        <v>1</v>
      </c>
      <c r="F759" vm="7143">
        <f>IFERROR(CUBEVALUE("BIDB",$A759,F$3,F$2,'Præsentationstabeller 1'!$C$2),0)</f>
        <v>1</v>
      </c>
      <c r="G759" vm="14481">
        <f>IFERROR(CUBEVALUE("BIDB",$A759,G$3,G$2,'Præsentationstabeller 1'!$C$2),0)</f>
        <v>2</v>
      </c>
      <c r="H759" t="str" vm="13265">
        <f>IFERROR(CUBEVALUE("BIDB",$A759,H$3,H$2,'Præsentationstabeller 1'!$C$2),0)</f>
        <v/>
      </c>
      <c r="I759" t="str" vm="8190">
        <f>IFERROR(CUBEVALUE("BIDB",$A759,I$3,I$2,'Præsentationstabeller 1'!$C$2),0)</f>
        <v/>
      </c>
      <c r="J759" t="str" vm="5087">
        <f>IFERROR(CUBEVALUE("BIDB",$A759,J$3,J$2,'Præsentationstabeller 1'!$C$2),0)</f>
        <v/>
      </c>
      <c r="K759" t="str" vm="14273">
        <f>IFERROR(CUBEVALUE("BIDB",$A759,K$3,K$2,'Præsentationstabeller 1'!$C$2),0)</f>
        <v/>
      </c>
      <c r="L759" t="str" vm="10373">
        <f>IFERROR(CUBEVALUE("BIDB",$A759,L$3,L$2,'Præsentationstabeller 1'!$C$2),0)</f>
        <v/>
      </c>
    </row>
    <row r="760" spans="1:12" x14ac:dyDescent="0.3">
      <c r="A760" s="123" t="str" vm="576">
        <f>CUBEMEMBER("BIDB","[Dimittenddato].[Dimittenddato].&amp;[2015-06-21T00:00:00]")</f>
        <v>21-06-2015</v>
      </c>
      <c r="B760" vm="8744">
        <f>IFERROR(CUBEVALUE("BIDB",$A760,B$3,'Præsentationstabeller 1'!$C$2),0)</f>
        <v>1</v>
      </c>
      <c r="C760" t="str" vm="12104">
        <f>IFERROR(CUBEVALUE("BIDB",$A760,C$3,C$2,'Præsentationstabeller 1'!$C$2),0)</f>
        <v/>
      </c>
      <c r="D760" t="str" vm="15599">
        <f>IFERROR(CUBEVALUE("BIDB",$A760,D$3,D$2,'Præsentationstabeller 1'!$C$2),0)</f>
        <v/>
      </c>
      <c r="E760" vm="15520">
        <f>IFERROR(CUBEVALUE("BIDB",$A760,E$3,E$2,'Præsentationstabeller 1'!$C$2),0)</f>
        <v>1</v>
      </c>
      <c r="F760" t="str" vm="8410">
        <f>IFERROR(CUBEVALUE("BIDB",$A760,F$3,F$2,'Præsentationstabeller 1'!$C$2),0)</f>
        <v/>
      </c>
      <c r="G760" vm="13145">
        <f>IFERROR(CUBEVALUE("BIDB",$A760,G$3,G$2,'Præsentationstabeller 1'!$C$2),0)</f>
        <v>1</v>
      </c>
      <c r="H760" t="str" vm="11832">
        <f>IFERROR(CUBEVALUE("BIDB",$A760,H$3,H$2,'Præsentationstabeller 1'!$C$2),0)</f>
        <v/>
      </c>
      <c r="I760" t="str" vm="7212">
        <f>IFERROR(CUBEVALUE("BIDB",$A760,I$3,I$2,'Præsentationstabeller 1'!$C$2),0)</f>
        <v/>
      </c>
      <c r="J760" vm="5786">
        <f>IFERROR(CUBEVALUE("BIDB",$A760,J$3,J$2,'Præsentationstabeller 1'!$C$2),0)</f>
        <v>0.52</v>
      </c>
      <c r="K760" t="str" vm="11930">
        <f>IFERROR(CUBEVALUE("BIDB",$A760,K$3,K$2,'Præsentationstabeller 1'!$C$2),0)</f>
        <v/>
      </c>
      <c r="L760" vm="8038">
        <f>IFERROR(CUBEVALUE("BIDB",$A760,L$3,L$2,'Præsentationstabeller 1'!$C$2),0)</f>
        <v>0.52</v>
      </c>
    </row>
    <row r="761" spans="1:12" x14ac:dyDescent="0.3">
      <c r="A761" s="123" t="str" vm="575">
        <f>CUBEMEMBER("BIDB","[Dimittenddato].[Dimittenddato].&amp;[2015-06-22T00:00:00]")</f>
        <v>22-06-2015</v>
      </c>
      <c r="B761" vm="8742">
        <f>IFERROR(CUBEVALUE("BIDB",$A761,B$3,'Præsentationstabeller 1'!$C$2),0)</f>
        <v>1</v>
      </c>
      <c r="C761" vm="11041">
        <f>IFERROR(CUBEVALUE("BIDB",$A761,C$3,C$2,'Præsentationstabeller 1'!$C$2),0)</f>
        <v>3</v>
      </c>
      <c r="D761" vm="16863">
        <f>IFERROR(CUBEVALUE("BIDB",$A761,D$3,D$2,'Præsentationstabeller 1'!$C$2),0)</f>
        <v>27</v>
      </c>
      <c r="E761" vm="8389">
        <f>IFERROR(CUBEVALUE("BIDB",$A761,E$3,E$2,'Præsentationstabeller 1'!$C$2),0)</f>
        <v>40</v>
      </c>
      <c r="F761" vm="5862">
        <f>IFERROR(CUBEVALUE("BIDB",$A761,F$3,F$2,'Præsentationstabeller 1'!$C$2),0)</f>
        <v>18</v>
      </c>
      <c r="G761" vm="14524">
        <f>IFERROR(CUBEVALUE("BIDB",$A761,G$3,G$2,'Præsentationstabeller 1'!$C$2),0)</f>
        <v>58</v>
      </c>
      <c r="H761" vm="11358">
        <f>IFERROR(CUBEVALUE("BIDB",$A761,H$3,H$2,'Præsentationstabeller 1'!$C$2),0)</f>
        <v>1.6</v>
      </c>
      <c r="I761" vm="7697">
        <f>IFERROR(CUBEVALUE("BIDB",$A761,I$3,I$2,'Præsentationstabeller 1'!$C$2),0)</f>
        <v>7.6</v>
      </c>
      <c r="J761" vm="7173">
        <f>IFERROR(CUBEVALUE("BIDB",$A761,J$3,J$2,'Præsentationstabeller 1'!$C$2),0)</f>
        <v>2.8</v>
      </c>
      <c r="K761" vm="11339">
        <f>IFERROR(CUBEVALUE("BIDB",$A761,K$3,K$2,'Præsentationstabeller 1'!$C$2),0)</f>
        <v>3.085405405405405</v>
      </c>
      <c r="L761" vm="15120">
        <f>IFERROR(CUBEVALUE("BIDB",$A761,L$3,L$2,'Præsentationstabeller 1'!$C$2),0)</f>
        <v>5.8854054054054048</v>
      </c>
    </row>
    <row r="762" spans="1:12" x14ac:dyDescent="0.3">
      <c r="A762" s="123" t="str" vm="574">
        <f>CUBEMEMBER("BIDB","[Dimittenddato].[Dimittenddato].&amp;[2015-06-23T00:00:00]")</f>
        <v>23-06-2015</v>
      </c>
      <c r="B762" vm="7866">
        <f>IFERROR(CUBEVALUE("BIDB",$A762,B$3,'Præsentationstabeller 1'!$C$2),0)</f>
        <v>1</v>
      </c>
      <c r="C762" vm="12109">
        <f>IFERROR(CUBEVALUE("BIDB",$A762,C$3,C$2,'Præsentationstabeller 1'!$C$2),0)</f>
        <v>2</v>
      </c>
      <c r="D762" vm="9586">
        <f>IFERROR(CUBEVALUE("BIDB",$A762,D$3,D$2,'Præsentationstabeller 1'!$C$2),0)</f>
        <v>16</v>
      </c>
      <c r="E762" vm="8394">
        <f>IFERROR(CUBEVALUE("BIDB",$A762,E$3,E$2,'Præsentationstabeller 1'!$C$2),0)</f>
        <v>19</v>
      </c>
      <c r="F762" vm="5854">
        <f>IFERROR(CUBEVALUE("BIDB",$A762,F$3,F$2,'Præsentationstabeller 1'!$C$2),0)</f>
        <v>8</v>
      </c>
      <c r="G762" vm="15561">
        <f>IFERROR(CUBEVALUE("BIDB",$A762,G$3,G$2,'Præsentationstabeller 1'!$C$2),0)</f>
        <v>27</v>
      </c>
      <c r="H762" t="str" vm="10724">
        <f>IFERROR(CUBEVALUE("BIDB",$A762,H$3,H$2,'Præsentationstabeller 1'!$C$2),0)</f>
        <v/>
      </c>
      <c r="I762" vm="5527">
        <f>IFERROR(CUBEVALUE("BIDB",$A762,I$3,I$2,'Præsentationstabeller 1'!$C$2),0)</f>
        <v>3.72</v>
      </c>
      <c r="J762" t="str" vm="4410">
        <f>IFERROR(CUBEVALUE("BIDB",$A762,J$3,J$2,'Præsentationstabeller 1'!$C$2),0)</f>
        <v/>
      </c>
      <c r="K762" vm="16828">
        <f>IFERROR(CUBEVALUE("BIDB",$A762,K$3,K$2,'Præsentationstabeller 1'!$C$2),0)</f>
        <v>1.9600000000000002</v>
      </c>
      <c r="L762" vm="11028">
        <f>IFERROR(CUBEVALUE("BIDB",$A762,L$3,L$2,'Præsentationstabeller 1'!$C$2),0)</f>
        <v>1.9600000000000002</v>
      </c>
    </row>
    <row r="763" spans="1:12" x14ac:dyDescent="0.3">
      <c r="A763" s="123" t="str" vm="573">
        <f>CUBEMEMBER("BIDB","[Dimittenddato].[Dimittenddato].&amp;[2015-06-24T00:00:00]")</f>
        <v>24-06-2015</v>
      </c>
      <c r="B763" vm="8402">
        <f>IFERROR(CUBEVALUE("BIDB",$A763,B$3,'Præsentationstabeller 1'!$C$2),0)</f>
        <v>1</v>
      </c>
      <c r="C763" vm="14947">
        <f>IFERROR(CUBEVALUE("BIDB",$A763,C$3,C$2,'Præsentationstabeller 1'!$C$2),0)</f>
        <v>3</v>
      </c>
      <c r="D763" vm="14217">
        <f>IFERROR(CUBEVALUE("BIDB",$A763,D$3,D$2,'Præsentationstabeller 1'!$C$2),0)</f>
        <v>15</v>
      </c>
      <c r="E763" vm="7622">
        <f>IFERROR(CUBEVALUE("BIDB",$A763,E$3,E$2,'Præsentationstabeller 1'!$C$2),0)</f>
        <v>27</v>
      </c>
      <c r="F763" vm="7832">
        <f>IFERROR(CUBEVALUE("BIDB",$A763,F$3,F$2,'Præsentationstabeller 1'!$C$2),0)</f>
        <v>4</v>
      </c>
      <c r="G763" vm="16912">
        <f>IFERROR(CUBEVALUE("BIDB",$A763,G$3,G$2,'Præsentationstabeller 1'!$C$2),0)</f>
        <v>31</v>
      </c>
      <c r="H763" t="str" vm="14118">
        <f>IFERROR(CUBEVALUE("BIDB",$A763,H$3,H$2,'Præsentationstabeller 1'!$C$2),0)</f>
        <v/>
      </c>
      <c r="I763" vm="5256">
        <f>IFERROR(CUBEVALUE("BIDB",$A763,I$3,I$2,'Præsentationstabeller 1'!$C$2),0)</f>
        <v>1.3599999999999999</v>
      </c>
      <c r="J763" vm="4402">
        <f>IFERROR(CUBEVALUE("BIDB",$A763,J$3,J$2,'Præsentationstabeller 1'!$C$2),0)</f>
        <v>0.2</v>
      </c>
      <c r="K763" vm="15362">
        <f>IFERROR(CUBEVALUE("BIDB",$A763,K$3,K$2,'Præsentationstabeller 1'!$C$2),0)</f>
        <v>1</v>
      </c>
      <c r="L763" vm="14558">
        <f>IFERROR(CUBEVALUE("BIDB",$A763,L$3,L$2,'Præsentationstabeller 1'!$C$2),0)</f>
        <v>1.2</v>
      </c>
    </row>
    <row r="764" spans="1:12" x14ac:dyDescent="0.3">
      <c r="A764" s="123" t="str" vm="572">
        <f>CUBEMEMBER("BIDB","[Dimittenddato].[Dimittenddato].&amp;[2015-06-25T00:00:00]")</f>
        <v>25-06-2015</v>
      </c>
      <c r="B764" vm="8487">
        <f>IFERROR(CUBEVALUE("BIDB",$A764,B$3,'Præsentationstabeller 1'!$C$2),0)</f>
        <v>1</v>
      </c>
      <c r="C764" vm="11387">
        <f>IFERROR(CUBEVALUE("BIDB",$A764,C$3,C$2,'Præsentationstabeller 1'!$C$2),0)</f>
        <v>6</v>
      </c>
      <c r="D764" vm="13313">
        <f>IFERROR(CUBEVALUE("BIDB",$A764,D$3,D$2,'Præsentationstabeller 1'!$C$2),0)</f>
        <v>23</v>
      </c>
      <c r="E764" vm="6315">
        <f>IFERROR(CUBEVALUE("BIDB",$A764,E$3,E$2,'Præsentationstabeller 1'!$C$2),0)</f>
        <v>31</v>
      </c>
      <c r="F764" vm="6282">
        <f>IFERROR(CUBEVALUE("BIDB",$A764,F$3,F$2,'Præsentationstabeller 1'!$C$2),0)</f>
        <v>13</v>
      </c>
      <c r="G764" vm="15676">
        <f>IFERROR(CUBEVALUE("BIDB",$A764,G$3,G$2,'Præsentationstabeller 1'!$C$2),0)</f>
        <v>44</v>
      </c>
      <c r="H764" vm="13688">
        <f>IFERROR(CUBEVALUE("BIDB",$A764,H$3,H$2,'Præsentationstabeller 1'!$C$2),0)</f>
        <v>2.56</v>
      </c>
      <c r="I764" vm="5248">
        <f>IFERROR(CUBEVALUE("BIDB",$A764,I$3,I$2,'Præsentationstabeller 1'!$C$2),0)</f>
        <v>4.699459459459459</v>
      </c>
      <c r="J764" vm="12371">
        <f>IFERROR(CUBEVALUE("BIDB",$A764,J$3,J$2,'Præsentationstabeller 1'!$C$2),0)</f>
        <v>5</v>
      </c>
      <c r="K764" vm="15052">
        <f>IFERROR(CUBEVALUE("BIDB",$A764,K$3,K$2,'Præsentationstabeller 1'!$C$2),0)</f>
        <v>0.16</v>
      </c>
      <c r="L764" vm="11166">
        <f>IFERROR(CUBEVALUE("BIDB",$A764,L$3,L$2,'Præsentationstabeller 1'!$C$2),0)</f>
        <v>5.16</v>
      </c>
    </row>
    <row r="765" spans="1:12" x14ac:dyDescent="0.3">
      <c r="A765" s="123" t="str" vm="571">
        <f>CUBEMEMBER("BIDB","[Dimittenddato].[Dimittenddato].&amp;[2015-06-26T00:00:00]")</f>
        <v>26-06-2015</v>
      </c>
      <c r="B765" vm="7509">
        <f>IFERROR(CUBEVALUE("BIDB",$A765,B$3,'Præsentationstabeller 1'!$C$2),0)</f>
        <v>1</v>
      </c>
      <c r="C765" vm="12348">
        <f>IFERROR(CUBEVALUE("BIDB",$A765,C$3,C$2,'Præsentationstabeller 1'!$C$2),0)</f>
        <v>4</v>
      </c>
      <c r="D765" vm="14489">
        <f>IFERROR(CUBEVALUE("BIDB",$A765,D$3,D$2,'Præsentationstabeller 1'!$C$2),0)</f>
        <v>27</v>
      </c>
      <c r="E765" vm="5653">
        <f>IFERROR(CUBEVALUE("BIDB",$A765,E$3,E$2,'Præsentationstabeller 1'!$C$2),0)</f>
        <v>25</v>
      </c>
      <c r="F765" vm="3793">
        <f>IFERROR(CUBEVALUE("BIDB",$A765,F$3,F$2,'Præsentationstabeller 1'!$C$2),0)</f>
        <v>14</v>
      </c>
      <c r="G765" vm="13629">
        <f>IFERROR(CUBEVALUE("BIDB",$A765,G$3,G$2,'Præsentationstabeller 1'!$C$2),0)</f>
        <v>39</v>
      </c>
      <c r="H765" t="str" vm="15124">
        <f>IFERROR(CUBEVALUE("BIDB",$A765,H$3,H$2,'Præsentationstabeller 1'!$C$2),0)</f>
        <v/>
      </c>
      <c r="I765" vm="7201">
        <f>IFERROR(CUBEVALUE("BIDB",$A765,I$3,I$2,'Præsentationstabeller 1'!$C$2),0)</f>
        <v>2.7781081081081078</v>
      </c>
      <c r="J765" vm="6707">
        <f>IFERROR(CUBEVALUE("BIDB",$A765,J$3,J$2,'Præsentationstabeller 1'!$C$2),0)</f>
        <v>2.8</v>
      </c>
      <c r="K765" t="str" vm="13959">
        <f>IFERROR(CUBEVALUE("BIDB",$A765,K$3,K$2,'Præsentationstabeller 1'!$C$2),0)</f>
        <v/>
      </c>
      <c r="L765" vm="8970">
        <f>IFERROR(CUBEVALUE("BIDB",$A765,L$3,L$2,'Præsentationstabeller 1'!$C$2),0)</f>
        <v>2.8</v>
      </c>
    </row>
    <row r="766" spans="1:12" x14ac:dyDescent="0.3">
      <c r="A766" s="123" t="str" vm="570">
        <f>CUBEMEMBER("BIDB","[Dimittenddato].[Dimittenddato].&amp;[2015-06-27T00:00:00]")</f>
        <v>27-06-2015</v>
      </c>
      <c r="B766" vm="6542">
        <f>IFERROR(CUBEVALUE("BIDB",$A766,B$3,'Præsentationstabeller 1'!$C$2),0)</f>
        <v>1</v>
      </c>
      <c r="C766" t="str" vm="14068">
        <f>IFERROR(CUBEVALUE("BIDB",$A766,C$3,C$2,'Præsentationstabeller 1'!$C$2),0)</f>
        <v/>
      </c>
      <c r="D766" vm="12889">
        <f>IFERROR(CUBEVALUE("BIDB",$A766,D$3,D$2,'Præsentationstabeller 1'!$C$2),0)</f>
        <v>1</v>
      </c>
      <c r="E766" vm="5125">
        <f>IFERROR(CUBEVALUE("BIDB",$A766,E$3,E$2,'Præsentationstabeller 1'!$C$2),0)</f>
        <v>6</v>
      </c>
      <c r="F766" t="str" vm="3785">
        <f>IFERROR(CUBEVALUE("BIDB",$A766,F$3,F$2,'Præsentationstabeller 1'!$C$2),0)</f>
        <v/>
      </c>
      <c r="G766" vm="14081">
        <f>IFERROR(CUBEVALUE("BIDB",$A766,G$3,G$2,'Præsentationstabeller 1'!$C$2),0)</f>
        <v>6</v>
      </c>
      <c r="H766" t="str" vm="9821">
        <f>IFERROR(CUBEVALUE("BIDB",$A766,H$3,H$2,'Præsentationstabeller 1'!$C$2),0)</f>
        <v/>
      </c>
      <c r="I766" t="str" vm="10485">
        <f>IFERROR(CUBEVALUE("BIDB",$A766,I$3,I$2,'Præsentationstabeller 1'!$C$2),0)</f>
        <v/>
      </c>
      <c r="J766" t="str" vm="6448">
        <f>IFERROR(CUBEVALUE("BIDB",$A766,J$3,J$2,'Præsentationstabeller 1'!$C$2),0)</f>
        <v/>
      </c>
      <c r="K766" t="str" vm="14071">
        <f>IFERROR(CUBEVALUE("BIDB",$A766,K$3,K$2,'Præsentationstabeller 1'!$C$2),0)</f>
        <v/>
      </c>
      <c r="L766" t="str" vm="12335">
        <f>IFERROR(CUBEVALUE("BIDB",$A766,L$3,L$2,'Præsentationstabeller 1'!$C$2),0)</f>
        <v/>
      </c>
    </row>
    <row r="767" spans="1:12" x14ac:dyDescent="0.3">
      <c r="A767" s="123" t="str" vm="569">
        <f>CUBEMEMBER("BIDB","[Dimittenddato].[Dimittenddato].&amp;[2015-06-28T00:00:00]")</f>
        <v>28-06-2015</v>
      </c>
      <c r="B767" vm="7315">
        <f>IFERROR(CUBEVALUE("BIDB",$A767,B$3,'Præsentationstabeller 1'!$C$2),0)</f>
        <v>1</v>
      </c>
      <c r="C767" t="str" vm="14634">
        <f>IFERROR(CUBEVALUE("BIDB",$A767,C$3,C$2,'Præsentationstabeller 1'!$C$2),0)</f>
        <v/>
      </c>
      <c r="D767" t="str" vm="16214">
        <f>IFERROR(CUBEVALUE("BIDB",$A767,D$3,D$2,'Præsentationstabeller 1'!$C$2),0)</f>
        <v/>
      </c>
      <c r="E767" t="str" vm="5117">
        <f>IFERROR(CUBEVALUE("BIDB",$A767,E$3,E$2,'Præsentationstabeller 1'!$C$2),0)</f>
        <v/>
      </c>
      <c r="F767" t="str" vm="7654">
        <f>IFERROR(CUBEVALUE("BIDB",$A767,F$3,F$2,'Præsentationstabeller 1'!$C$2),0)</f>
        <v/>
      </c>
      <c r="G767" t="str" vm="13754">
        <f>IFERROR(CUBEVALUE("BIDB",$A767,G$3,G$2,'Præsentationstabeller 1'!$C$2),0)</f>
        <v/>
      </c>
      <c r="H767" t="str" vm="11848">
        <f>IFERROR(CUBEVALUE("BIDB",$A767,H$3,H$2,'Præsentationstabeller 1'!$C$2),0)</f>
        <v/>
      </c>
      <c r="I767" t="str" vm="5989">
        <f>IFERROR(CUBEVALUE("BIDB",$A767,I$3,I$2,'Præsentationstabeller 1'!$C$2),0)</f>
        <v/>
      </c>
      <c r="J767" t="str" vm="6446">
        <f>IFERROR(CUBEVALUE("BIDB",$A767,J$3,J$2,'Præsentationstabeller 1'!$C$2),0)</f>
        <v/>
      </c>
      <c r="K767" t="str" vm="17101">
        <f>IFERROR(CUBEVALUE("BIDB",$A767,K$3,K$2,'Præsentationstabeller 1'!$C$2),0)</f>
        <v/>
      </c>
      <c r="L767" t="str" vm="12545">
        <f>IFERROR(CUBEVALUE("BIDB",$A767,L$3,L$2,'Præsentationstabeller 1'!$C$2),0)</f>
        <v/>
      </c>
    </row>
    <row r="768" spans="1:12" x14ac:dyDescent="0.3">
      <c r="A768" s="123" t="str" vm="568">
        <f>CUBEMEMBER("BIDB","[Dimittenddato].[Dimittenddato].&amp;[2015-06-29T00:00:00]")</f>
        <v>29-06-2015</v>
      </c>
      <c r="B768" vm="4273">
        <f>IFERROR(CUBEVALUE("BIDB",$A768,B$3,'Præsentationstabeller 1'!$C$2),0)</f>
        <v>1</v>
      </c>
      <c r="C768" t="str" vm="11666">
        <f>IFERROR(CUBEVALUE("BIDB",$A768,C$3,C$2,'Præsentationstabeller 1'!$C$2),0)</f>
        <v/>
      </c>
      <c r="D768" vm="16072">
        <f>IFERROR(CUBEVALUE("BIDB",$A768,D$3,D$2,'Præsentationstabeller 1'!$C$2),0)</f>
        <v>12</v>
      </c>
      <c r="E768" vm="6903">
        <f>IFERROR(CUBEVALUE("BIDB",$A768,E$3,E$2,'Præsentationstabeller 1'!$C$2),0)</f>
        <v>5</v>
      </c>
      <c r="F768" vm="6893">
        <f>IFERROR(CUBEVALUE("BIDB",$A768,F$3,F$2,'Præsentationstabeller 1'!$C$2),0)</f>
        <v>3</v>
      </c>
      <c r="G768" vm="14785">
        <f>IFERROR(CUBEVALUE("BIDB",$A768,G$3,G$2,'Præsentationstabeller 1'!$C$2),0)</f>
        <v>8</v>
      </c>
      <c r="H768" t="str" vm="14311">
        <f>IFERROR(CUBEVALUE("BIDB",$A768,H$3,H$2,'Præsentationstabeller 1'!$C$2),0)</f>
        <v/>
      </c>
      <c r="I768" vm="5981">
        <f>IFERROR(CUBEVALUE("BIDB",$A768,I$3,I$2,'Præsentationstabeller 1'!$C$2),0)</f>
        <v>1.7037837837837837</v>
      </c>
      <c r="J768" t="str" vm="12013">
        <f>IFERROR(CUBEVALUE("BIDB",$A768,J$3,J$2,'Præsentationstabeller 1'!$C$2),0)</f>
        <v/>
      </c>
      <c r="K768" t="str" vm="11962">
        <f>IFERROR(CUBEVALUE("BIDB",$A768,K$3,K$2,'Præsentationstabeller 1'!$C$2),0)</f>
        <v/>
      </c>
      <c r="L768" t="str" vm="10341">
        <f>IFERROR(CUBEVALUE("BIDB",$A768,L$3,L$2,'Præsentationstabeller 1'!$C$2),0)</f>
        <v/>
      </c>
    </row>
    <row r="769" spans="1:12" x14ac:dyDescent="0.3">
      <c r="A769" s="123" t="str" vm="567">
        <f>CUBEMEMBER("BIDB","[Dimittenddato].[Dimittenddato].&amp;[2015-06-30T00:00:00]")</f>
        <v>30-06-2015</v>
      </c>
      <c r="B769" vm="4265">
        <f>IFERROR(CUBEVALUE("BIDB",$A769,B$3,'Præsentationstabeller 1'!$C$2),0)</f>
        <v>1</v>
      </c>
      <c r="C769" vm="15125">
        <f>IFERROR(CUBEVALUE("BIDB",$A769,C$3,C$2,'Præsentationstabeller 1'!$C$2),0)</f>
        <v>7</v>
      </c>
      <c r="D769" vm="12668">
        <f>IFERROR(CUBEVALUE("BIDB",$A769,D$3,D$2,'Præsentationstabeller 1'!$C$2),0)</f>
        <v>25</v>
      </c>
      <c r="E769" vm="7657">
        <f>IFERROR(CUBEVALUE("BIDB",$A769,E$3,E$2,'Præsentationstabeller 1'!$C$2),0)</f>
        <v>21</v>
      </c>
      <c r="F769" vm="5394">
        <f>IFERROR(CUBEVALUE("BIDB",$A769,F$3,F$2,'Præsentationstabeller 1'!$C$2),0)</f>
        <v>10</v>
      </c>
      <c r="G769" vm="16065">
        <f>IFERROR(CUBEVALUE("BIDB",$A769,G$3,G$2,'Præsentationstabeller 1'!$C$2),0)</f>
        <v>31</v>
      </c>
      <c r="H769" t="str" vm="12120">
        <f>IFERROR(CUBEVALUE("BIDB",$A769,H$3,H$2,'Præsentationstabeller 1'!$C$2),0)</f>
        <v/>
      </c>
      <c r="I769" vm="6966">
        <f>IFERROR(CUBEVALUE("BIDB",$A769,I$3,I$2,'Præsentationstabeller 1'!$C$2),0)</f>
        <v>3.1201621621621625</v>
      </c>
      <c r="J769" vm="6675">
        <f>IFERROR(CUBEVALUE("BIDB",$A769,J$3,J$2,'Præsentationstabeller 1'!$C$2),0)</f>
        <v>1.2</v>
      </c>
      <c r="K769" vm="13859">
        <f>IFERROR(CUBEVALUE("BIDB",$A769,K$3,K$2,'Præsentationstabeller 1'!$C$2),0)</f>
        <v>1.08</v>
      </c>
      <c r="L769" vm="14549">
        <f>IFERROR(CUBEVALUE("BIDB",$A769,L$3,L$2,'Præsentationstabeller 1'!$C$2),0)</f>
        <v>2.2800000000000002</v>
      </c>
    </row>
    <row r="770" spans="1:12" x14ac:dyDescent="0.3">
      <c r="A770" s="123" t="str" vm="566">
        <f>CUBEMEMBER("BIDB","[Dimittenddato].[Dimittenddato].&amp;[2015-07-01T00:00:00]")</f>
        <v>01-07-2015</v>
      </c>
      <c r="B770" vm="10694">
        <f>IFERROR(CUBEVALUE("BIDB",$A770,B$3,'Præsentationstabeller 1'!$C$2),0)</f>
        <v>1</v>
      </c>
      <c r="C770" vm="12364">
        <f>IFERROR(CUBEVALUE("BIDB",$A770,C$3,C$2,'Præsentationstabeller 1'!$C$2),0)</f>
        <v>4</v>
      </c>
      <c r="D770" vm="12245">
        <f>IFERROR(CUBEVALUE("BIDB",$A770,D$3,D$2,'Præsentationstabeller 1'!$C$2),0)</f>
        <v>17</v>
      </c>
      <c r="E770" vm="4842">
        <f>IFERROR(CUBEVALUE("BIDB",$A770,E$3,E$2,'Præsentationstabeller 1'!$C$2),0)</f>
        <v>15</v>
      </c>
      <c r="F770" vm="5392">
        <f>IFERROR(CUBEVALUE("BIDB",$A770,F$3,F$2,'Præsentationstabeller 1'!$C$2),0)</f>
        <v>9</v>
      </c>
      <c r="G770" vm="16645">
        <f>IFERROR(CUBEVALUE("BIDB",$A770,G$3,G$2,'Præsentationstabeller 1'!$C$2),0)</f>
        <v>24</v>
      </c>
      <c r="H770" t="str" vm="12732">
        <f>IFERROR(CUBEVALUE("BIDB",$A770,H$3,H$2,'Præsentationstabeller 1'!$C$2),0)</f>
        <v/>
      </c>
      <c r="I770" vm="8884">
        <f>IFERROR(CUBEVALUE("BIDB",$A770,I$3,I$2,'Præsentationstabeller 1'!$C$2),0)</f>
        <v>1.6</v>
      </c>
      <c r="J770" vm="5892">
        <f>IFERROR(CUBEVALUE("BIDB",$A770,J$3,J$2,'Præsentationstabeller 1'!$C$2),0)</f>
        <v>2.2799999999999998</v>
      </c>
      <c r="K770" t="str" vm="12650">
        <f>IFERROR(CUBEVALUE("BIDB",$A770,K$3,K$2,'Præsentationstabeller 1'!$C$2),0)</f>
        <v/>
      </c>
      <c r="L770" vm="11507">
        <f>IFERROR(CUBEVALUE("BIDB",$A770,L$3,L$2,'Præsentationstabeller 1'!$C$2),0)</f>
        <v>2.2799999999999998</v>
      </c>
    </row>
    <row r="771" spans="1:12" x14ac:dyDescent="0.3">
      <c r="A771" s="123" t="str" vm="565">
        <f>CUBEMEMBER("BIDB","[Dimittenddato].[Dimittenddato].&amp;[2015-07-02T00:00:00]")</f>
        <v>02-07-2015</v>
      </c>
      <c r="B771" vm="7020">
        <f>IFERROR(CUBEVALUE("BIDB",$A771,B$3,'Præsentationstabeller 1'!$C$2),0)</f>
        <v>1</v>
      </c>
      <c r="C771" t="str" vm="15759">
        <f>IFERROR(CUBEVALUE("BIDB",$A771,C$3,C$2,'Præsentationstabeller 1'!$C$2),0)</f>
        <v/>
      </c>
      <c r="D771" vm="14512">
        <f>IFERROR(CUBEVALUE("BIDB",$A771,D$3,D$2,'Præsentationstabeller 1'!$C$2),0)</f>
        <v>3</v>
      </c>
      <c r="E771" vm="4834">
        <f>IFERROR(CUBEVALUE("BIDB",$A771,E$3,E$2,'Præsentationstabeller 1'!$C$2),0)</f>
        <v>8</v>
      </c>
      <c r="F771" vm="7946">
        <f>IFERROR(CUBEVALUE("BIDB",$A771,F$3,F$2,'Præsentationstabeller 1'!$C$2),0)</f>
        <v>2</v>
      </c>
      <c r="G771" vm="11994">
        <f>IFERROR(CUBEVALUE("BIDB",$A771,G$3,G$2,'Præsentationstabeller 1'!$C$2),0)</f>
        <v>10</v>
      </c>
      <c r="H771" t="str" vm="9467">
        <f>IFERROR(CUBEVALUE("BIDB",$A771,H$3,H$2,'Præsentationstabeller 1'!$C$2),0)</f>
        <v/>
      </c>
      <c r="I771" vm="5331">
        <f>IFERROR(CUBEVALUE("BIDB",$A771,I$3,I$2,'Præsentationstabeller 1'!$C$2),0)</f>
        <v>1.44</v>
      </c>
      <c r="J771" t="str" vm="5884">
        <f>IFERROR(CUBEVALUE("BIDB",$A771,J$3,J$2,'Præsentationstabeller 1'!$C$2),0)</f>
        <v/>
      </c>
      <c r="K771" t="str" vm="15748">
        <f>IFERROR(CUBEVALUE("BIDB",$A771,K$3,K$2,'Præsentationstabeller 1'!$C$2),0)</f>
        <v/>
      </c>
      <c r="L771" t="str" vm="14354">
        <f>IFERROR(CUBEVALUE("BIDB",$A771,L$3,L$2,'Præsentationstabeller 1'!$C$2),0)</f>
        <v/>
      </c>
    </row>
    <row r="772" spans="1:12" x14ac:dyDescent="0.3">
      <c r="A772" s="123" t="str" vm="564">
        <f>CUBEMEMBER("BIDB","[Dimittenddato].[Dimittenddato].&amp;[2015-07-03T00:00:00]")</f>
        <v>03-07-2015</v>
      </c>
      <c r="B772" vm="9157">
        <f>IFERROR(CUBEVALUE("BIDB",$A772,B$3,'Præsentationstabeller 1'!$C$2),0)</f>
        <v>1</v>
      </c>
      <c r="C772" t="str" vm="15342">
        <f>IFERROR(CUBEVALUE("BIDB",$A772,C$3,C$2,'Præsentationstabeller 1'!$C$2),0)</f>
        <v/>
      </c>
      <c r="D772" vm="15883">
        <f>IFERROR(CUBEVALUE("BIDB",$A772,D$3,D$2,'Præsentationstabeller 1'!$C$2),0)</f>
        <v>4</v>
      </c>
      <c r="E772" vm="5913">
        <f>IFERROR(CUBEVALUE("BIDB",$A772,E$3,E$2,'Præsentationstabeller 1'!$C$2),0)</f>
        <v>19</v>
      </c>
      <c r="F772" vm="8748">
        <f>IFERROR(CUBEVALUE("BIDB",$A772,F$3,F$2,'Præsentationstabeller 1'!$C$2),0)</f>
        <v>7</v>
      </c>
      <c r="G772" vm="16067">
        <f>IFERROR(CUBEVALUE("BIDB",$A772,G$3,G$2,'Præsentationstabeller 1'!$C$2),0)</f>
        <v>26</v>
      </c>
      <c r="H772" t="str" vm="14172">
        <f>IFERROR(CUBEVALUE("BIDB",$A772,H$3,H$2,'Præsentationstabeller 1'!$C$2),0)</f>
        <v/>
      </c>
      <c r="I772" vm="5329">
        <f>IFERROR(CUBEVALUE("BIDB",$A772,I$3,I$2,'Præsentationstabeller 1'!$C$2),0)</f>
        <v>1</v>
      </c>
      <c r="J772" vm="5794">
        <f>IFERROR(CUBEVALUE("BIDB",$A772,J$3,J$2,'Præsentationstabeller 1'!$C$2),0)</f>
        <v>0.87340540540540545</v>
      </c>
      <c r="K772" vm="10888">
        <f>IFERROR(CUBEVALUE("BIDB",$A772,K$3,K$2,'Præsentationstabeller 1'!$C$2),0)</f>
        <v>1.9038918918918921</v>
      </c>
      <c r="L772" vm="7857">
        <f>IFERROR(CUBEVALUE("BIDB",$A772,L$3,L$2,'Præsentationstabeller 1'!$C$2),0)</f>
        <v>2.7772972972972969</v>
      </c>
    </row>
    <row r="773" spans="1:12" x14ac:dyDescent="0.3">
      <c r="A773" s="123" t="str" vm="563">
        <f>CUBEMEMBER("BIDB","[Dimittenddato].[Dimittenddato].&amp;[2015-07-04T00:00:00]")</f>
        <v>04-07-2015</v>
      </c>
      <c r="B773" vm="8951">
        <f>IFERROR(CUBEVALUE("BIDB",$A773,B$3,'Præsentationstabeller 1'!$C$2),0)</f>
        <v>1</v>
      </c>
      <c r="C773" t="str" vm="10268">
        <f>IFERROR(CUBEVALUE("BIDB",$A773,C$3,C$2,'Præsentationstabeller 1'!$C$2),0)</f>
        <v/>
      </c>
      <c r="D773" vm="16540">
        <f>IFERROR(CUBEVALUE("BIDB",$A773,D$3,D$2,'Præsentationstabeller 1'!$C$2),0)</f>
        <v>1</v>
      </c>
      <c r="E773" vm="7191">
        <f>IFERROR(CUBEVALUE("BIDB",$A773,E$3,E$2,'Præsentationstabeller 1'!$C$2),0)</f>
        <v>1</v>
      </c>
      <c r="F773" vm="10638">
        <f>IFERROR(CUBEVALUE("BIDB",$A773,F$3,F$2,'Præsentationstabeller 1'!$C$2),0)</f>
        <v>1</v>
      </c>
      <c r="G773" vm="11495">
        <f>IFERROR(CUBEVALUE("BIDB",$A773,G$3,G$2,'Præsentationstabeller 1'!$C$2),0)</f>
        <v>2</v>
      </c>
      <c r="H773" t="str" vm="11988">
        <f>IFERROR(CUBEVALUE("BIDB",$A773,H$3,H$2,'Præsentationstabeller 1'!$C$2),0)</f>
        <v/>
      </c>
      <c r="I773" vm="9928">
        <f>IFERROR(CUBEVALUE("BIDB",$A773,I$3,I$2,'Præsentationstabeller 1'!$C$2),0)</f>
        <v>0.6</v>
      </c>
      <c r="J773" t="str" vm="8712">
        <f>IFERROR(CUBEVALUE("BIDB",$A773,J$3,J$2,'Præsentationstabeller 1'!$C$2),0)</f>
        <v/>
      </c>
      <c r="K773" t="str" vm="15276">
        <f>IFERROR(CUBEVALUE("BIDB",$A773,K$3,K$2,'Præsentationstabeller 1'!$C$2),0)</f>
        <v/>
      </c>
      <c r="L773" t="str" vm="10353">
        <f>IFERROR(CUBEVALUE("BIDB",$A773,L$3,L$2,'Præsentationstabeller 1'!$C$2),0)</f>
        <v/>
      </c>
    </row>
    <row r="774" spans="1:12" x14ac:dyDescent="0.3">
      <c r="A774" s="123" t="str" vm="562">
        <f>CUBEMEMBER("BIDB","[Dimittenddato].[Dimittenddato].&amp;[2015-07-05T00:00:00]")</f>
        <v>05-07-2015</v>
      </c>
      <c r="B774" vm="6558">
        <f>IFERROR(CUBEVALUE("BIDB",$A774,B$3,'Præsentationstabeller 1'!$C$2),0)</f>
        <v>1</v>
      </c>
      <c r="C774" t="str" vm="12644">
        <f>IFERROR(CUBEVALUE("BIDB",$A774,C$3,C$2,'Præsentationstabeller 1'!$C$2),0)</f>
        <v/>
      </c>
      <c r="D774" t="str" vm="10838">
        <f>IFERROR(CUBEVALUE("BIDB",$A774,D$3,D$2,'Præsentationstabeller 1'!$C$2),0)</f>
        <v/>
      </c>
      <c r="E774" t="str" vm="4161">
        <f>IFERROR(CUBEVALUE("BIDB",$A774,E$3,E$2,'Præsentationstabeller 1'!$C$2),0)</f>
        <v/>
      </c>
      <c r="F774" vm="9939">
        <f>IFERROR(CUBEVALUE("BIDB",$A774,F$3,F$2,'Præsentationstabeller 1'!$C$2),0)</f>
        <v>0</v>
      </c>
      <c r="G774" vm="13929">
        <f>IFERROR(CUBEVALUE("BIDB",$A774,G$3,G$2,'Præsentationstabeller 1'!$C$2),0)</f>
        <v>0</v>
      </c>
      <c r="H774" t="str" vm="15409">
        <f>IFERROR(CUBEVALUE("BIDB",$A774,H$3,H$2,'Præsentationstabeller 1'!$C$2),0)</f>
        <v/>
      </c>
      <c r="I774" t="str" vm="8756">
        <f>IFERROR(CUBEVALUE("BIDB",$A774,I$3,I$2,'Præsentationstabeller 1'!$C$2),0)</f>
        <v/>
      </c>
      <c r="J774" t="str" vm="5608">
        <f>IFERROR(CUBEVALUE("BIDB",$A774,J$3,J$2,'Præsentationstabeller 1'!$C$2),0)</f>
        <v/>
      </c>
      <c r="K774" t="str" vm="13060">
        <f>IFERROR(CUBEVALUE("BIDB",$A774,K$3,K$2,'Præsentationstabeller 1'!$C$2),0)</f>
        <v/>
      </c>
      <c r="L774" t="str" vm="10769">
        <f>IFERROR(CUBEVALUE("BIDB",$A774,L$3,L$2,'Præsentationstabeller 1'!$C$2),0)</f>
        <v/>
      </c>
    </row>
    <row r="775" spans="1:12" x14ac:dyDescent="0.3">
      <c r="A775" s="123" t="str" vm="561">
        <f>CUBEMEMBER("BIDB","[Dimittenddato].[Dimittenddato].&amp;[2015-07-06T00:00:00]")</f>
        <v>06-07-2015</v>
      </c>
      <c r="B775" vm="5272">
        <f>IFERROR(CUBEVALUE("BIDB",$A775,B$3,'Præsentationstabeller 1'!$C$2),0)</f>
        <v>1</v>
      </c>
      <c r="C775" t="str" vm="16858">
        <f>IFERROR(CUBEVALUE("BIDB",$A775,C$3,C$2,'Præsentationstabeller 1'!$C$2),0)</f>
        <v/>
      </c>
      <c r="D775" vm="9622">
        <f>IFERROR(CUBEVALUE("BIDB",$A775,D$3,D$2,'Præsentationstabeller 1'!$C$2),0)</f>
        <v>5</v>
      </c>
      <c r="E775" vm="4153">
        <f>IFERROR(CUBEVALUE("BIDB",$A775,E$3,E$2,'Præsentationstabeller 1'!$C$2),0)</f>
        <v>5</v>
      </c>
      <c r="F775" vm="7834">
        <f>IFERROR(CUBEVALUE("BIDB",$A775,F$3,F$2,'Præsentationstabeller 1'!$C$2),0)</f>
        <v>1</v>
      </c>
      <c r="G775" vm="12694">
        <f>IFERROR(CUBEVALUE("BIDB",$A775,G$3,G$2,'Præsentationstabeller 1'!$C$2),0)</f>
        <v>6</v>
      </c>
      <c r="H775" t="str" vm="12123">
        <f>IFERROR(CUBEVALUE("BIDB",$A775,H$3,H$2,'Præsentationstabeller 1'!$C$2),0)</f>
        <v/>
      </c>
      <c r="I775" t="str" vm="6913">
        <f>IFERROR(CUBEVALUE("BIDB",$A775,I$3,I$2,'Præsentationstabeller 1'!$C$2),0)</f>
        <v/>
      </c>
      <c r="J775" vm="5600">
        <f>IFERROR(CUBEVALUE("BIDB",$A775,J$3,J$2,'Præsentationstabeller 1'!$C$2),0)</f>
        <v>1</v>
      </c>
      <c r="K775" t="str" vm="16808">
        <f>IFERROR(CUBEVALUE("BIDB",$A775,K$3,K$2,'Præsentationstabeller 1'!$C$2),0)</f>
        <v/>
      </c>
      <c r="L775" vm="13190">
        <f>IFERROR(CUBEVALUE("BIDB",$A775,L$3,L$2,'Præsentationstabeller 1'!$C$2),0)</f>
        <v>1</v>
      </c>
    </row>
    <row r="776" spans="1:12" x14ac:dyDescent="0.3">
      <c r="A776" s="123" t="str" vm="560">
        <f>CUBEMEMBER("BIDB","[Dimittenddato].[Dimittenddato].&amp;[2015-07-07T00:00:00]")</f>
        <v>07-07-2015</v>
      </c>
      <c r="B776" vm="6019">
        <f>IFERROR(CUBEVALUE("BIDB",$A776,B$3,'Præsentationstabeller 1'!$C$2),0)</f>
        <v>1</v>
      </c>
      <c r="C776" t="str" vm="16809">
        <f>IFERROR(CUBEVALUE("BIDB",$A776,C$3,C$2,'Præsentationstabeller 1'!$C$2),0)</f>
        <v/>
      </c>
      <c r="D776" vm="15246">
        <f>IFERROR(CUBEVALUE("BIDB",$A776,D$3,D$2,'Præsentationstabeller 1'!$C$2),0)</f>
        <v>4</v>
      </c>
      <c r="E776" vm="9557">
        <f>IFERROR(CUBEVALUE("BIDB",$A776,E$3,E$2,'Præsentationstabeller 1'!$C$2),0)</f>
        <v>4</v>
      </c>
      <c r="F776" vm="8680">
        <f>IFERROR(CUBEVALUE("BIDB",$A776,F$3,F$2,'Præsentationstabeller 1'!$C$2),0)</f>
        <v>2</v>
      </c>
      <c r="G776" vm="15771">
        <f>IFERROR(CUBEVALUE("BIDB",$A776,G$3,G$2,'Præsentationstabeller 1'!$C$2),0)</f>
        <v>6</v>
      </c>
      <c r="H776" t="str" vm="13230">
        <f>IFERROR(CUBEVALUE("BIDB",$A776,H$3,H$2,'Præsentationstabeller 1'!$C$2),0)</f>
        <v/>
      </c>
      <c r="I776" t="str" vm="6403">
        <f>IFERROR(CUBEVALUE("BIDB",$A776,I$3,I$2,'Præsentationstabeller 1'!$C$2),0)</f>
        <v/>
      </c>
      <c r="J776" t="str" vm="9842">
        <f>IFERROR(CUBEVALUE("BIDB",$A776,J$3,J$2,'Præsentationstabeller 1'!$C$2),0)</f>
        <v/>
      </c>
      <c r="K776" vm="16590">
        <f>IFERROR(CUBEVALUE("BIDB",$A776,K$3,K$2,'Præsentationstabeller 1'!$C$2),0)</f>
        <v>1</v>
      </c>
      <c r="L776" vm="7889">
        <f>IFERROR(CUBEVALUE("BIDB",$A776,L$3,L$2,'Præsentationstabeller 1'!$C$2),0)</f>
        <v>1</v>
      </c>
    </row>
    <row r="777" spans="1:12" x14ac:dyDescent="0.3">
      <c r="A777" s="123" t="str" vm="559">
        <f>CUBEMEMBER("BIDB","[Dimittenddato].[Dimittenddato].&amp;[2015-07-08T00:00:00]")</f>
        <v>08-07-2015</v>
      </c>
      <c r="B777" vm="6011">
        <f>IFERROR(CUBEVALUE("BIDB",$A777,B$3,'Præsentationstabeller 1'!$C$2),0)</f>
        <v>1</v>
      </c>
      <c r="C777" t="str" vm="15648">
        <f>IFERROR(CUBEVALUE("BIDB",$A777,C$3,C$2,'Præsentationstabeller 1'!$C$2),0)</f>
        <v/>
      </c>
      <c r="D777" vm="13501">
        <f>IFERROR(CUBEVALUE("BIDB",$A777,D$3,D$2,'Præsentationstabeller 1'!$C$2),0)</f>
        <v>3</v>
      </c>
      <c r="E777" vm="6453">
        <f>IFERROR(CUBEVALUE("BIDB",$A777,E$3,E$2,'Præsentationstabeller 1'!$C$2),0)</f>
        <v>5</v>
      </c>
      <c r="F777" vm="7128">
        <f>IFERROR(CUBEVALUE("BIDB",$A777,F$3,F$2,'Præsentationstabeller 1'!$C$2),0)</f>
        <v>2</v>
      </c>
      <c r="G777" vm="13624">
        <f>IFERROR(CUBEVALUE("BIDB",$A777,G$3,G$2,'Præsentationstabeller 1'!$C$2),0)</f>
        <v>7</v>
      </c>
      <c r="H777" t="str" vm="11422">
        <f>IFERROR(CUBEVALUE("BIDB",$A777,H$3,H$2,'Præsentationstabeller 1'!$C$2),0)</f>
        <v/>
      </c>
      <c r="I777" vm="7380">
        <f>IFERROR(CUBEVALUE("BIDB",$A777,I$3,I$2,'Præsentationstabeller 1'!$C$2),0)</f>
        <v>1</v>
      </c>
      <c r="J777" t="str" vm="7045">
        <f>IFERROR(CUBEVALUE("BIDB",$A777,J$3,J$2,'Præsentationstabeller 1'!$C$2),0)</f>
        <v/>
      </c>
      <c r="K777" t="str" vm="10904">
        <f>IFERROR(CUBEVALUE("BIDB",$A777,K$3,K$2,'Præsentationstabeller 1'!$C$2),0)</f>
        <v/>
      </c>
      <c r="L777" t="str" vm="12166">
        <f>IFERROR(CUBEVALUE("BIDB",$A777,L$3,L$2,'Præsentationstabeller 1'!$C$2),0)</f>
        <v/>
      </c>
    </row>
    <row r="778" spans="1:12" x14ac:dyDescent="0.3">
      <c r="A778" s="123" t="str" vm="558">
        <f>CUBEMEMBER("BIDB","[Dimittenddato].[Dimittenddato].&amp;[2015-07-09T00:00:00]")</f>
        <v>09-07-2015</v>
      </c>
      <c r="B778" vm="6550">
        <f>IFERROR(CUBEVALUE("BIDB",$A778,B$3,'Præsentationstabeller 1'!$C$2),0)</f>
        <v>1</v>
      </c>
      <c r="C778" t="str" vm="13048">
        <f>IFERROR(CUBEVALUE("BIDB",$A778,C$3,C$2,'Præsentationstabeller 1'!$C$2),0)</f>
        <v/>
      </c>
      <c r="D778" vm="13548">
        <f>IFERROR(CUBEVALUE("BIDB",$A778,D$3,D$2,'Præsentationstabeller 1'!$C$2),0)</f>
        <v>4</v>
      </c>
      <c r="E778" vm="7617">
        <f>IFERROR(CUBEVALUE("BIDB",$A778,E$3,E$2,'Præsentationstabeller 1'!$C$2),0)</f>
        <v>12</v>
      </c>
      <c r="F778" vm="7126">
        <f>IFERROR(CUBEVALUE("BIDB",$A778,F$3,F$2,'Præsentationstabeller 1'!$C$2),0)</f>
        <v>2</v>
      </c>
      <c r="G778" vm="15204">
        <f>IFERROR(CUBEVALUE("BIDB",$A778,G$3,G$2,'Præsentationstabeller 1'!$C$2),0)</f>
        <v>14</v>
      </c>
      <c r="H778" t="str" vm="10673">
        <f>IFERROR(CUBEVALUE("BIDB",$A778,H$3,H$2,'Præsentationstabeller 1'!$C$2),0)</f>
        <v/>
      </c>
      <c r="I778" vm="5399">
        <f>IFERROR(CUBEVALUE("BIDB",$A778,I$3,I$2,'Præsentationstabeller 1'!$C$2),0)</f>
        <v>1</v>
      </c>
      <c r="J778" t="str" vm="3540">
        <f>IFERROR(CUBEVALUE("BIDB",$A778,J$3,J$2,'Præsentationstabeller 1'!$C$2),0)</f>
        <v/>
      </c>
      <c r="K778" vm="16945">
        <f>IFERROR(CUBEVALUE("BIDB",$A778,K$3,K$2,'Præsentationstabeller 1'!$C$2),0)</f>
        <v>0.6</v>
      </c>
      <c r="L778" vm="15933">
        <f>IFERROR(CUBEVALUE("BIDB",$A778,L$3,L$2,'Præsentationstabeller 1'!$C$2),0)</f>
        <v>0.6</v>
      </c>
    </row>
    <row r="779" spans="1:12" x14ac:dyDescent="0.3">
      <c r="A779" s="123" t="str" vm="557">
        <f>CUBEMEMBER("BIDB","[Dimittenddato].[Dimittenddato].&amp;[2015-07-10T00:00:00]")</f>
        <v>10-07-2015</v>
      </c>
      <c r="B779" vm="12190">
        <f>IFERROR(CUBEVALUE("BIDB",$A779,B$3,'Præsentationstabeller 1'!$C$2),0)</f>
        <v>1</v>
      </c>
      <c r="C779" t="str" vm="13162">
        <f>IFERROR(CUBEVALUE("BIDB",$A779,C$3,C$2,'Præsentationstabeller 1'!$C$2),0)</f>
        <v/>
      </c>
      <c r="D779" vm="16001">
        <f>IFERROR(CUBEVALUE("BIDB",$A779,D$3,D$2,'Præsentationstabeller 1'!$C$2),0)</f>
        <v>6</v>
      </c>
      <c r="E779" vm="7411">
        <f>IFERROR(CUBEVALUE("BIDB",$A779,E$3,E$2,'Præsentationstabeller 1'!$C$2),0)</f>
        <v>15</v>
      </c>
      <c r="F779" vm="7809">
        <f>IFERROR(CUBEVALUE("BIDB",$A779,F$3,F$2,'Præsentationstabeller 1'!$C$2),0)</f>
        <v>2</v>
      </c>
      <c r="G779" vm="15151">
        <f>IFERROR(CUBEVALUE("BIDB",$A779,G$3,G$2,'Præsentationstabeller 1'!$C$2),0)</f>
        <v>17</v>
      </c>
      <c r="H779" t="str" vm="16833">
        <f>IFERROR(CUBEVALUE("BIDB",$A779,H$3,H$2,'Præsentationstabeller 1'!$C$2),0)</f>
        <v/>
      </c>
      <c r="I779" t="str" vm="4872">
        <f>IFERROR(CUBEVALUE("BIDB",$A779,I$3,I$2,'Præsentationstabeller 1'!$C$2),0)</f>
        <v/>
      </c>
      <c r="J779" vm="3532">
        <f>IFERROR(CUBEVALUE("BIDB",$A779,J$3,J$2,'Præsentationstabeller 1'!$C$2),0)</f>
        <v>0.8783783783783784</v>
      </c>
      <c r="K779" vm="14299">
        <f>IFERROR(CUBEVALUE("BIDB",$A779,K$3,K$2,'Præsentationstabeller 1'!$C$2),0)</f>
        <v>1.3027027027027027</v>
      </c>
      <c r="L779" vm="10389">
        <f>IFERROR(CUBEVALUE("BIDB",$A779,L$3,L$2,'Præsentationstabeller 1'!$C$2),0)</f>
        <v>2.1810810810810812</v>
      </c>
    </row>
    <row r="780" spans="1:12" x14ac:dyDescent="0.3">
      <c r="A780" s="123" t="str" vm="556">
        <f>CUBEMEMBER("BIDB","[Dimittenddato].[Dimittenddato].&amp;[2015-07-11T00:00:00]")</f>
        <v>11-07-2015</v>
      </c>
      <c r="B780" vm="5734">
        <f>IFERROR(CUBEVALUE("BIDB",$A780,B$3,'Præsentationstabeller 1'!$C$2),0)</f>
        <v>1</v>
      </c>
      <c r="C780" t="str" vm="13779">
        <f>IFERROR(CUBEVALUE("BIDB",$A780,C$3,C$2,'Præsentationstabeller 1'!$C$2),0)</f>
        <v/>
      </c>
      <c r="D780" t="str" vm="16975">
        <f>IFERROR(CUBEVALUE("BIDB",$A780,D$3,D$2,'Præsentationstabeller 1'!$C$2),0)</f>
        <v/>
      </c>
      <c r="E780" t="str" vm="7348">
        <f>IFERROR(CUBEVALUE("BIDB",$A780,E$3,E$2,'Præsentationstabeller 1'!$C$2),0)</f>
        <v/>
      </c>
      <c r="F780" t="str" vm="8781">
        <f>IFERROR(CUBEVALUE("BIDB",$A780,F$3,F$2,'Præsentationstabeller 1'!$C$2),0)</f>
        <v/>
      </c>
      <c r="G780" t="str" vm="14832">
        <f>IFERROR(CUBEVALUE("BIDB",$A780,G$3,G$2,'Præsentationstabeller 1'!$C$2),0)</f>
        <v/>
      </c>
      <c r="H780" t="str" vm="16014">
        <f>IFERROR(CUBEVALUE("BIDB",$A780,H$3,H$2,'Præsentationstabeller 1'!$C$2),0)</f>
        <v/>
      </c>
      <c r="I780" t="str" vm="4864">
        <f>IFERROR(CUBEVALUE("BIDB",$A780,I$3,I$2,'Præsentationstabeller 1'!$C$2),0)</f>
        <v/>
      </c>
      <c r="J780" t="str" vm="8220">
        <f>IFERROR(CUBEVALUE("BIDB",$A780,J$3,J$2,'Præsentationstabeller 1'!$C$2),0)</f>
        <v/>
      </c>
      <c r="K780" t="str" vm="12243">
        <f>IFERROR(CUBEVALUE("BIDB",$A780,K$3,K$2,'Præsentationstabeller 1'!$C$2),0)</f>
        <v/>
      </c>
      <c r="L780" t="str" vm="8455">
        <f>IFERROR(CUBEVALUE("BIDB",$A780,L$3,L$2,'Præsentationstabeller 1'!$C$2),0)</f>
        <v/>
      </c>
    </row>
    <row r="781" spans="1:12" x14ac:dyDescent="0.3">
      <c r="A781" s="123" t="str" vm="555">
        <f>CUBEMEMBER("BIDB","[Dimittenddato].[Dimittenddato].&amp;[2015-07-12T00:00:00]")</f>
        <v>12-07-2015</v>
      </c>
      <c r="B781" vm="5726">
        <f>IFERROR(CUBEVALUE("BIDB",$A781,B$3,'Præsentationstabeller 1'!$C$2),0)</f>
        <v>1</v>
      </c>
      <c r="C781" t="str" vm="9887">
        <f>IFERROR(CUBEVALUE("BIDB",$A781,C$3,C$2,'Præsentationstabeller 1'!$C$2),0)</f>
        <v/>
      </c>
      <c r="D781" vm="16916">
        <f>IFERROR(CUBEVALUE("BIDB",$A781,D$3,D$2,'Præsentationstabeller 1'!$C$2),0)</f>
        <v>1</v>
      </c>
      <c r="E781" t="str" vm="6421">
        <f>IFERROR(CUBEVALUE("BIDB",$A781,E$3,E$2,'Præsentationstabeller 1'!$C$2),0)</f>
        <v/>
      </c>
      <c r="F781" t="str" vm="5026">
        <f>IFERROR(CUBEVALUE("BIDB",$A781,F$3,F$2,'Præsentationstabeller 1'!$C$2),0)</f>
        <v/>
      </c>
      <c r="G781" t="str" vm="15915">
        <f>IFERROR(CUBEVALUE("BIDB",$A781,G$3,G$2,'Præsentationstabeller 1'!$C$2),0)</f>
        <v/>
      </c>
      <c r="H781" t="str" vm="9371">
        <f>IFERROR(CUBEVALUE("BIDB",$A781,H$3,H$2,'Præsentationstabeller 1'!$C$2),0)</f>
        <v/>
      </c>
      <c r="I781" t="str" vm="6974">
        <f>IFERROR(CUBEVALUE("BIDB",$A781,I$3,I$2,'Præsentationstabeller 1'!$C$2),0)</f>
        <v/>
      </c>
      <c r="J781" t="str" vm="10146">
        <f>IFERROR(CUBEVALUE("BIDB",$A781,J$3,J$2,'Præsentationstabeller 1'!$C$2),0)</f>
        <v/>
      </c>
      <c r="K781" t="str" vm="10128">
        <f>IFERROR(CUBEVALUE("BIDB",$A781,K$3,K$2,'Præsentationstabeller 1'!$C$2),0)</f>
        <v/>
      </c>
      <c r="L781" t="str" vm="9073">
        <f>IFERROR(CUBEVALUE("BIDB",$A781,L$3,L$2,'Præsentationstabeller 1'!$C$2),0)</f>
        <v/>
      </c>
    </row>
    <row r="782" spans="1:12" x14ac:dyDescent="0.3">
      <c r="A782" s="123" t="str" vm="554">
        <f>CUBEMEMBER("BIDB","[Dimittenddato].[Dimittenddato].&amp;[2015-07-13T00:00:00]")</f>
        <v>13-07-2015</v>
      </c>
      <c r="B782" vm="7024">
        <f>IFERROR(CUBEVALUE("BIDB",$A782,B$3,'Præsentationstabeller 1'!$C$2),0)</f>
        <v>1</v>
      </c>
      <c r="C782" t="str" vm="16021">
        <f>IFERROR(CUBEVALUE("BIDB",$A782,C$3,C$2,'Præsentationstabeller 1'!$C$2),0)</f>
        <v/>
      </c>
      <c r="D782" vm="14426">
        <f>IFERROR(CUBEVALUE("BIDB",$A782,D$3,D$2,'Præsentationstabeller 1'!$C$2),0)</f>
        <v>3</v>
      </c>
      <c r="E782" vm="5638">
        <f>IFERROR(CUBEVALUE("BIDB",$A782,E$3,E$2,'Præsentationstabeller 1'!$C$2),0)</f>
        <v>3</v>
      </c>
      <c r="F782" vm="5018">
        <f>IFERROR(CUBEVALUE("BIDB",$A782,F$3,F$2,'Præsentationstabeller 1'!$C$2),0)</f>
        <v>0</v>
      </c>
      <c r="G782" vm="16238">
        <f>IFERROR(CUBEVALUE("BIDB",$A782,G$3,G$2,'Præsentationstabeller 1'!$C$2),0)</f>
        <v>3</v>
      </c>
      <c r="H782" t="str" vm="11031">
        <f>IFERROR(CUBEVALUE("BIDB",$A782,H$3,H$2,'Præsentationstabeller 1'!$C$2),0)</f>
        <v/>
      </c>
      <c r="I782" vm="7554">
        <f>IFERROR(CUBEVALUE("BIDB",$A782,I$3,I$2,'Præsentationstabeller 1'!$C$2),0)</f>
        <v>0.27999999999999997</v>
      </c>
      <c r="J782" t="str" vm="6416">
        <f>IFERROR(CUBEVALUE("BIDB",$A782,J$3,J$2,'Præsentationstabeller 1'!$C$2),0)</f>
        <v/>
      </c>
      <c r="K782" t="str" vm="11374">
        <f>IFERROR(CUBEVALUE("BIDB",$A782,K$3,K$2,'Præsentationstabeller 1'!$C$2),0)</f>
        <v/>
      </c>
      <c r="L782" t="str" vm="9874">
        <f>IFERROR(CUBEVALUE("BIDB",$A782,L$3,L$2,'Præsentationstabeller 1'!$C$2),0)</f>
        <v/>
      </c>
    </row>
    <row r="783" spans="1:12" x14ac:dyDescent="0.3">
      <c r="A783" s="123" t="str" vm="553">
        <f>CUBEMEMBER("BIDB","[Dimittenddato].[Dimittenddato].&amp;[2015-07-14T00:00:00]")</f>
        <v>14-07-2015</v>
      </c>
      <c r="B783" vm="9735">
        <f>IFERROR(CUBEVALUE("BIDB",$A783,B$3,'Præsentationstabeller 1'!$C$2),0)</f>
        <v>1</v>
      </c>
      <c r="C783" t="str" vm="12041">
        <f>IFERROR(CUBEVALUE("BIDB",$A783,C$3,C$2,'Præsentationstabeller 1'!$C$2),0)</f>
        <v/>
      </c>
      <c r="D783" t="str" vm="13600">
        <f>IFERROR(CUBEVALUE("BIDB",$A783,D$3,D$2,'Præsentationstabeller 1'!$C$2),0)</f>
        <v/>
      </c>
      <c r="E783" vm="5630">
        <f>IFERROR(CUBEVALUE("BIDB",$A783,E$3,E$2,'Præsentationstabeller 1'!$C$2),0)</f>
        <v>4</v>
      </c>
      <c r="F783" t="str" vm="9034">
        <f>IFERROR(CUBEVALUE("BIDB",$A783,F$3,F$2,'Præsentationstabeller 1'!$C$2),0)</f>
        <v/>
      </c>
      <c r="G783" vm="15730">
        <f>IFERROR(CUBEVALUE("BIDB",$A783,G$3,G$2,'Præsentationstabeller 1'!$C$2),0)</f>
        <v>4</v>
      </c>
      <c r="H783" t="str" vm="13423">
        <f>IFERROR(CUBEVALUE("BIDB",$A783,H$3,H$2,'Præsentationstabeller 1'!$C$2),0)</f>
        <v/>
      </c>
      <c r="I783" t="str" vm="4593">
        <f>IFERROR(CUBEVALUE("BIDB",$A783,I$3,I$2,'Præsentationstabeller 1'!$C$2),0)</f>
        <v/>
      </c>
      <c r="J783" t="str" vm="6414">
        <f>IFERROR(CUBEVALUE("BIDB",$A783,J$3,J$2,'Præsentationstabeller 1'!$C$2),0)</f>
        <v/>
      </c>
      <c r="K783" t="str" vm="14787">
        <f>IFERROR(CUBEVALUE("BIDB",$A783,K$3,K$2,'Præsentationstabeller 1'!$C$2),0)</f>
        <v/>
      </c>
      <c r="L783" t="str" vm="13194">
        <f>IFERROR(CUBEVALUE("BIDB",$A783,L$3,L$2,'Præsentationstabeller 1'!$C$2),0)</f>
        <v/>
      </c>
    </row>
    <row r="784" spans="1:12" x14ac:dyDescent="0.3">
      <c r="A784" s="123" t="str" vm="552">
        <f>CUBEMEMBER("BIDB","[Dimittenddato].[Dimittenddato].&amp;[2015-07-15T00:00:00]")</f>
        <v>15-07-2015</v>
      </c>
      <c r="B784" vm="6741">
        <f>IFERROR(CUBEVALUE("BIDB",$A784,B$3,'Præsentationstabeller 1'!$C$2),0)</f>
        <v>1</v>
      </c>
      <c r="C784" t="str" vm="12931">
        <f>IFERROR(CUBEVALUE("BIDB",$A784,C$3,C$2,'Præsentationstabeller 1'!$C$2),0)</f>
        <v/>
      </c>
      <c r="D784" vm="13497">
        <f>IFERROR(CUBEVALUE("BIDB",$A784,D$3,D$2,'Præsentationstabeller 1'!$C$2),0)</f>
        <v>1</v>
      </c>
      <c r="E784" vm="5921">
        <f>IFERROR(CUBEVALUE("BIDB",$A784,E$3,E$2,'Præsentationstabeller 1'!$C$2),0)</f>
        <v>4</v>
      </c>
      <c r="F784" t="str" vm="6067">
        <f>IFERROR(CUBEVALUE("BIDB",$A784,F$3,F$2,'Præsentationstabeller 1'!$C$2),0)</f>
        <v/>
      </c>
      <c r="G784" vm="15168">
        <f>IFERROR(CUBEVALUE("BIDB",$A784,G$3,G$2,'Præsentationstabeller 1'!$C$2),0)</f>
        <v>4</v>
      </c>
      <c r="H784" t="str" vm="11524">
        <f>IFERROR(CUBEVALUE("BIDB",$A784,H$3,H$2,'Præsentationstabeller 1'!$C$2),0)</f>
        <v/>
      </c>
      <c r="I784" t="str" vm="4585">
        <f>IFERROR(CUBEVALUE("BIDB",$A784,I$3,I$2,'Præsentationstabeller 1'!$C$2),0)</f>
        <v/>
      </c>
      <c r="J784" vm="12815">
        <f>IFERROR(CUBEVALUE("BIDB",$A784,J$3,J$2,'Præsentationstabeller 1'!$C$2),0)</f>
        <v>1</v>
      </c>
      <c r="K784" t="str" vm="11779">
        <f>IFERROR(CUBEVALUE("BIDB",$A784,K$3,K$2,'Præsentationstabeller 1'!$C$2),0)</f>
        <v/>
      </c>
      <c r="L784" vm="13186">
        <f>IFERROR(CUBEVALUE("BIDB",$A784,L$3,L$2,'Præsentationstabeller 1'!$C$2),0)</f>
        <v>1</v>
      </c>
    </row>
    <row r="785" spans="1:12" x14ac:dyDescent="0.3">
      <c r="A785" s="123" t="str" vm="551">
        <f>CUBEMEMBER("BIDB","[Dimittenddato].[Dimittenddato].&amp;[2015-07-16T00:00:00]")</f>
        <v>16-07-2015</v>
      </c>
      <c r="B785" vm="6231">
        <f>IFERROR(CUBEVALUE("BIDB",$A785,B$3,'Præsentationstabeller 1'!$C$2),0)</f>
        <v>1</v>
      </c>
      <c r="C785" t="str" vm="13934">
        <f>IFERROR(CUBEVALUE("BIDB",$A785,C$3,C$2,'Præsentationstabeller 1'!$C$2),0)</f>
        <v/>
      </c>
      <c r="D785" t="str" vm="17031">
        <f>IFERROR(CUBEVALUE("BIDB",$A785,D$3,D$2,'Præsentationstabeller 1'!$C$2),0)</f>
        <v/>
      </c>
      <c r="E785" vm="7104">
        <f>IFERROR(CUBEVALUE("BIDB",$A785,E$3,E$2,'Præsentationstabeller 1'!$C$2),0)</f>
        <v>4</v>
      </c>
      <c r="F785" vm="9019">
        <f>IFERROR(CUBEVALUE("BIDB",$A785,F$3,F$2,'Præsentationstabeller 1'!$C$2),0)</f>
        <v>1</v>
      </c>
      <c r="G785" vm="14157">
        <f>IFERROR(CUBEVALUE("BIDB",$A785,G$3,G$2,'Præsentationstabeller 1'!$C$2),0)</f>
        <v>5</v>
      </c>
      <c r="H785" t="str" vm="15504">
        <f>IFERROR(CUBEVALUE("BIDB",$A785,H$3,H$2,'Præsentationstabeller 1'!$C$2),0)</f>
        <v/>
      </c>
      <c r="I785" t="str" vm="6934">
        <f>IFERROR(CUBEVALUE("BIDB",$A785,I$3,I$2,'Præsentationstabeller 1'!$C$2),0)</f>
        <v/>
      </c>
      <c r="J785" t="str" vm="11149">
        <f>IFERROR(CUBEVALUE("BIDB",$A785,J$3,J$2,'Præsentationstabeller 1'!$C$2),0)</f>
        <v/>
      </c>
      <c r="K785" t="str" vm="11579">
        <f>IFERROR(CUBEVALUE("BIDB",$A785,K$3,K$2,'Præsentationstabeller 1'!$C$2),0)</f>
        <v/>
      </c>
      <c r="L785" t="str" vm="11243">
        <f>IFERROR(CUBEVALUE("BIDB",$A785,L$3,L$2,'Præsentationstabeller 1'!$C$2),0)</f>
        <v/>
      </c>
    </row>
    <row r="786" spans="1:12" x14ac:dyDescent="0.3">
      <c r="A786" s="123" t="str" vm="550">
        <f>CUBEMEMBER("BIDB","[Dimittenddato].[Dimittenddato].&amp;[2015-07-17T00:00:00]")</f>
        <v>17-07-2015</v>
      </c>
      <c r="B786" vm="13253">
        <f>IFERROR(CUBEVALUE("BIDB",$A786,B$3,'Præsentationstabeller 1'!$C$2),0)</f>
        <v>1</v>
      </c>
      <c r="C786" t="str" vm="9903">
        <f>IFERROR(CUBEVALUE("BIDB",$A786,C$3,C$2,'Præsentationstabeller 1'!$C$2),0)</f>
        <v/>
      </c>
      <c r="D786" vm="10782">
        <f>IFERROR(CUBEVALUE("BIDB",$A786,D$3,D$2,'Præsentationstabeller 1'!$C$2),0)</f>
        <v>1</v>
      </c>
      <c r="E786" vm="5353">
        <f>IFERROR(CUBEVALUE("BIDB",$A786,E$3,E$2,'Præsentationstabeller 1'!$C$2),0)</f>
        <v>4</v>
      </c>
      <c r="F786" vm="8041">
        <f>IFERROR(CUBEVALUE("BIDB",$A786,F$3,F$2,'Præsentationstabeller 1'!$C$2),0)</f>
        <v>1</v>
      </c>
      <c r="G786" vm="13024">
        <f>IFERROR(CUBEVALUE("BIDB",$A786,G$3,G$2,'Præsentationstabeller 1'!$C$2),0)</f>
        <v>5</v>
      </c>
      <c r="H786" t="str" vm="12338">
        <f>IFERROR(CUBEVALUE("BIDB",$A786,H$3,H$2,'Præsentationstabeller 1'!$C$2),0)</f>
        <v/>
      </c>
      <c r="I786" t="str" vm="8657">
        <f>IFERROR(CUBEVALUE("BIDB",$A786,I$3,I$2,'Præsentationstabeller 1'!$C$2),0)</f>
        <v/>
      </c>
      <c r="J786" t="str" vm="6627">
        <f>IFERROR(CUBEVALUE("BIDB",$A786,J$3,J$2,'Præsentationstabeller 1'!$C$2),0)</f>
        <v/>
      </c>
      <c r="K786" t="str" vm="14180">
        <f>IFERROR(CUBEVALUE("BIDB",$A786,K$3,K$2,'Præsentationstabeller 1'!$C$2),0)</f>
        <v/>
      </c>
      <c r="L786" t="str" vm="15724">
        <f>IFERROR(CUBEVALUE("BIDB",$A786,L$3,L$2,'Præsentationstabeller 1'!$C$2),0)</f>
        <v/>
      </c>
    </row>
    <row r="787" spans="1:12" x14ac:dyDescent="0.3">
      <c r="A787" s="123" t="str" vm="549">
        <f>CUBEMEMBER("BIDB","[Dimittenddato].[Dimittenddato].&amp;[2015-07-18T00:00:00]")</f>
        <v>18-07-2015</v>
      </c>
      <c r="B787" vm="5176">
        <f>IFERROR(CUBEVALUE("BIDB",$A787,B$3,'Præsentationstabeller 1'!$C$2),0)</f>
        <v>1</v>
      </c>
      <c r="C787" t="str" vm="16496">
        <f>IFERROR(CUBEVALUE("BIDB",$A787,C$3,C$2,'Præsentationstabeller 1'!$C$2),0)</f>
        <v/>
      </c>
      <c r="D787" t="str" vm="14192">
        <f>IFERROR(CUBEVALUE("BIDB",$A787,D$3,D$2,'Præsentationstabeller 1'!$C$2),0)</f>
        <v/>
      </c>
      <c r="E787" t="str" vm="5345">
        <f>IFERROR(CUBEVALUE("BIDB",$A787,E$3,E$2,'Præsentationstabeller 1'!$C$2),0)</f>
        <v/>
      </c>
      <c r="F787" t="str" vm="7825">
        <f>IFERROR(CUBEVALUE("BIDB",$A787,F$3,F$2,'Præsentationstabeller 1'!$C$2),0)</f>
        <v/>
      </c>
      <c r="G787" t="str" vm="13324">
        <f>IFERROR(CUBEVALUE("BIDB",$A787,G$3,G$2,'Præsentationstabeller 1'!$C$2),0)</f>
        <v/>
      </c>
      <c r="H787" t="str" vm="14762">
        <f>IFERROR(CUBEVALUE("BIDB",$A787,H$3,H$2,'Præsentationstabeller 1'!$C$2),0)</f>
        <v/>
      </c>
      <c r="I787" t="str" vm="4911">
        <f>IFERROR(CUBEVALUE("BIDB",$A787,I$3,I$2,'Præsentationstabeller 1'!$C$2),0)</f>
        <v/>
      </c>
      <c r="J787" t="str" vm="6625">
        <f>IFERROR(CUBEVALUE("BIDB",$A787,J$3,J$2,'Præsentationstabeller 1'!$C$2),0)</f>
        <v/>
      </c>
      <c r="K787" t="str" vm="14644">
        <f>IFERROR(CUBEVALUE("BIDB",$A787,K$3,K$2,'Præsentationstabeller 1'!$C$2),0)</f>
        <v/>
      </c>
      <c r="L787" t="str" vm="14605">
        <f>IFERROR(CUBEVALUE("BIDB",$A787,L$3,L$2,'Præsentationstabeller 1'!$C$2),0)</f>
        <v/>
      </c>
    </row>
    <row r="788" spans="1:12" x14ac:dyDescent="0.3">
      <c r="A788" s="123" t="str" vm="548">
        <f>CUBEMEMBER("BIDB","[Dimittenddato].[Dimittenddato].&amp;[2015-07-19T00:00:00]")</f>
        <v>19-07-2015</v>
      </c>
      <c r="B788" vm="7040">
        <f>IFERROR(CUBEVALUE("BIDB",$A788,B$3,'Præsentationstabeller 1'!$C$2),0)</f>
        <v>1</v>
      </c>
      <c r="C788" t="str" vm="16562">
        <f>IFERROR(CUBEVALUE("BIDB",$A788,C$3,C$2,'Præsentationstabeller 1'!$C$2),0)</f>
        <v/>
      </c>
      <c r="D788" t="str" vm="14585">
        <f>IFERROR(CUBEVALUE("BIDB",$A788,D$3,D$2,'Præsentationstabeller 1'!$C$2),0)</f>
        <v/>
      </c>
      <c r="E788" t="str" vm="10649">
        <f>IFERROR(CUBEVALUE("BIDB",$A788,E$3,E$2,'Præsentationstabeller 1'!$C$2),0)</f>
        <v/>
      </c>
      <c r="F788" t="str" vm="6035">
        <f>IFERROR(CUBEVALUE("BIDB",$A788,F$3,F$2,'Præsentationstabeller 1'!$C$2),0)</f>
        <v/>
      </c>
      <c r="G788" t="str" vm="11487">
        <f>IFERROR(CUBEVALUE("BIDB",$A788,G$3,G$2,'Præsentationstabeller 1'!$C$2),0)</f>
        <v/>
      </c>
      <c r="H788" t="str" vm="9387">
        <f>IFERROR(CUBEVALUE("BIDB",$A788,H$3,H$2,'Præsentationstabeller 1'!$C$2),0)</f>
        <v/>
      </c>
      <c r="I788" t="str" vm="4903">
        <f>IFERROR(CUBEVALUE("BIDB",$A788,I$3,I$2,'Præsentationstabeller 1'!$C$2),0)</f>
        <v/>
      </c>
      <c r="J788" t="str" vm="10846">
        <f>IFERROR(CUBEVALUE("BIDB",$A788,J$3,J$2,'Præsentationstabeller 1'!$C$2),0)</f>
        <v/>
      </c>
      <c r="K788" t="str" vm="10091">
        <f>IFERROR(CUBEVALUE("BIDB",$A788,K$3,K$2,'Præsentationstabeller 1'!$C$2),0)</f>
        <v/>
      </c>
      <c r="L788" t="str" vm="6590">
        <f>IFERROR(CUBEVALUE("BIDB",$A788,L$3,L$2,'Præsentationstabeller 1'!$C$2),0)</f>
        <v/>
      </c>
    </row>
    <row r="789" spans="1:12" x14ac:dyDescent="0.3">
      <c r="A789" s="123" t="str" vm="547">
        <f>CUBEMEMBER("BIDB","[Dimittenddato].[Dimittenddato].&amp;[2015-07-20T00:00:00]")</f>
        <v>20-07-2015</v>
      </c>
      <c r="B789" vm="6530">
        <f>IFERROR(CUBEVALUE("BIDB",$A789,B$3,'Præsentationstabeller 1'!$C$2),0)</f>
        <v>1</v>
      </c>
      <c r="C789" t="str" vm="9471">
        <f>IFERROR(CUBEVALUE("BIDB",$A789,C$3,C$2,'Præsentationstabeller 1'!$C$2),0)</f>
        <v/>
      </c>
      <c r="D789" vm="15106">
        <f>IFERROR(CUBEVALUE("BIDB",$A789,D$3,D$2,'Præsentationstabeller 1'!$C$2),0)</f>
        <v>2</v>
      </c>
      <c r="E789" vm="6791">
        <f>IFERROR(CUBEVALUE("BIDB",$A789,E$3,E$2,'Præsentationstabeller 1'!$C$2),0)</f>
        <v>2</v>
      </c>
      <c r="F789" vm="5764">
        <f>IFERROR(CUBEVALUE("BIDB",$A789,F$3,F$2,'Præsentationstabeller 1'!$C$2),0)</f>
        <v>1</v>
      </c>
      <c r="G789" vm="14829">
        <f>IFERROR(CUBEVALUE("BIDB",$A789,G$3,G$2,'Præsentationstabeller 1'!$C$2),0)</f>
        <v>3</v>
      </c>
      <c r="H789" t="str" vm="11661">
        <f>IFERROR(CUBEVALUE("BIDB",$A789,H$3,H$2,'Præsentationstabeller 1'!$C$2),0)</f>
        <v/>
      </c>
      <c r="I789" t="str" vm="11244">
        <f>IFERROR(CUBEVALUE("BIDB",$A789,I$3,I$2,'Præsentationstabeller 1'!$C$2),0)</f>
        <v/>
      </c>
      <c r="J789" t="str" vm="7072">
        <f>IFERROR(CUBEVALUE("BIDB",$A789,J$3,J$2,'Præsentationstabeller 1'!$C$2),0)</f>
        <v/>
      </c>
      <c r="K789" t="str" vm="15984">
        <f>IFERROR(CUBEVALUE("BIDB",$A789,K$3,K$2,'Præsentationstabeller 1'!$C$2),0)</f>
        <v/>
      </c>
      <c r="L789" t="str" vm="9556">
        <f>IFERROR(CUBEVALUE("BIDB",$A789,L$3,L$2,'Præsentationstabeller 1'!$C$2),0)</f>
        <v/>
      </c>
    </row>
    <row r="790" spans="1:12" x14ac:dyDescent="0.3">
      <c r="A790" s="123" t="str" vm="546">
        <f>CUBEMEMBER("BIDB","[Dimittenddato].[Dimittenddato].&amp;[2015-07-21T00:00:00]")</f>
        <v>21-07-2015</v>
      </c>
      <c r="B790" vm="12699">
        <f>IFERROR(CUBEVALUE("BIDB",$A790,B$3,'Præsentationstabeller 1'!$C$2),0)</f>
        <v>1</v>
      </c>
      <c r="C790" t="str" vm="11362">
        <f>IFERROR(CUBEVALUE("BIDB",$A790,C$3,C$2,'Præsentationstabeller 1'!$C$2),0)</f>
        <v/>
      </c>
      <c r="D790" t="str" vm="10041">
        <f>IFERROR(CUBEVALUE("BIDB",$A790,D$3,D$2,'Præsentationstabeller 1'!$C$2),0)</f>
        <v/>
      </c>
      <c r="E790" vm="3288">
        <f>IFERROR(CUBEVALUE("BIDB",$A790,E$3,E$2,'Præsentationstabeller 1'!$C$2),0)</f>
        <v>2</v>
      </c>
      <c r="F790" vm="5756">
        <f>IFERROR(CUBEVALUE("BIDB",$A790,F$3,F$2,'Præsentationstabeller 1'!$C$2),0)</f>
        <v>1</v>
      </c>
      <c r="G790" vm="13473">
        <f>IFERROR(CUBEVALUE("BIDB",$A790,G$3,G$2,'Præsentationstabeller 1'!$C$2),0)</f>
        <v>3</v>
      </c>
      <c r="H790" t="str" vm="13288">
        <f>IFERROR(CUBEVALUE("BIDB",$A790,H$3,H$2,'Præsentationstabeller 1'!$C$2),0)</f>
        <v/>
      </c>
      <c r="I790" t="str" vm="6197">
        <f>IFERROR(CUBEVALUE("BIDB",$A790,I$3,I$2,'Præsentationstabeller 1'!$C$2),0)</f>
        <v/>
      </c>
      <c r="J790" t="str" vm="6237">
        <f>IFERROR(CUBEVALUE("BIDB",$A790,J$3,J$2,'Præsentationstabeller 1'!$C$2),0)</f>
        <v/>
      </c>
      <c r="K790" vm="13869">
        <f>IFERROR(CUBEVALUE("BIDB",$A790,K$3,K$2,'Præsentationstabeller 1'!$C$2),0)</f>
        <v>1</v>
      </c>
      <c r="L790" vm="9972">
        <f>IFERROR(CUBEVALUE("BIDB",$A790,L$3,L$2,'Præsentationstabeller 1'!$C$2),0)</f>
        <v>1</v>
      </c>
    </row>
    <row r="791" spans="1:12" x14ac:dyDescent="0.3">
      <c r="A791" s="123" t="str" vm="545">
        <f>CUBEMEMBER("BIDB","[Dimittenddato].[Dimittenddato].&amp;[2015-07-22T00:00:00]")</f>
        <v>22-07-2015</v>
      </c>
      <c r="B791" vm="5144">
        <f>IFERROR(CUBEVALUE("BIDB",$A791,B$3,'Præsentationstabeller 1'!$C$2),0)</f>
        <v>1</v>
      </c>
      <c r="C791" t="str" vm="12399">
        <f>IFERROR(CUBEVALUE("BIDB",$A791,C$3,C$2,'Præsentationstabeller 1'!$C$2),0)</f>
        <v/>
      </c>
      <c r="D791" t="str" vm="13557">
        <f>IFERROR(CUBEVALUE("BIDB",$A791,D$3,D$2,'Præsentationstabeller 1'!$C$2),0)</f>
        <v/>
      </c>
      <c r="E791" vm="3280">
        <f>IFERROR(CUBEVALUE("BIDB",$A791,E$3,E$2,'Præsentationstabeller 1'!$C$2),0)</f>
        <v>1</v>
      </c>
      <c r="F791" t="str" vm="7817">
        <f>IFERROR(CUBEVALUE("BIDB",$A791,F$3,F$2,'Præsentationstabeller 1'!$C$2),0)</f>
        <v/>
      </c>
      <c r="G791" vm="16126">
        <f>IFERROR(CUBEVALUE("BIDB",$A791,G$3,G$2,'Præsentationstabeller 1'!$C$2),0)</f>
        <v>1</v>
      </c>
      <c r="H791" t="str" vm="12523">
        <f>IFERROR(CUBEVALUE("BIDB",$A791,H$3,H$2,'Præsentationstabeller 1'!$C$2),0)</f>
        <v/>
      </c>
      <c r="I791" t="str" vm="6062">
        <f>IFERROR(CUBEVALUE("BIDB",$A791,I$3,I$2,'Præsentationstabeller 1'!$C$2),0)</f>
        <v/>
      </c>
      <c r="J791" t="str" vm="6235">
        <f>IFERROR(CUBEVALUE("BIDB",$A791,J$3,J$2,'Præsentationstabeller 1'!$C$2),0)</f>
        <v/>
      </c>
      <c r="K791" t="str" vm="15317">
        <f>IFERROR(CUBEVALUE("BIDB",$A791,K$3,K$2,'Præsentationstabeller 1'!$C$2),0)</f>
        <v/>
      </c>
      <c r="L791" t="str" vm="10263">
        <f>IFERROR(CUBEVALUE("BIDB",$A791,L$3,L$2,'Præsentationstabeller 1'!$C$2),0)</f>
        <v/>
      </c>
    </row>
    <row r="792" spans="1:12" x14ac:dyDescent="0.3">
      <c r="A792" s="123" t="str" vm="544">
        <f>CUBEMEMBER("BIDB","[Dimittenddato].[Dimittenddato].&amp;[2015-07-23T00:00:00]")</f>
        <v>23-07-2015</v>
      </c>
      <c r="B792" vm="4623">
        <f>IFERROR(CUBEVALUE("BIDB",$A792,B$3,'Præsentationstabeller 1'!$C$2),0)</f>
        <v>1</v>
      </c>
      <c r="C792" t="str" vm="14906">
        <f>IFERROR(CUBEVALUE("BIDB",$A792,C$3,C$2,'Præsentationstabeller 1'!$C$2),0)</f>
        <v/>
      </c>
      <c r="D792" vm="16499">
        <f>IFERROR(CUBEVALUE("BIDB",$A792,D$3,D$2,'Præsentationstabeller 1'!$C$2),0)</f>
        <v>2</v>
      </c>
      <c r="E792" vm="10186">
        <f>IFERROR(CUBEVALUE("BIDB",$A792,E$3,E$2,'Præsentationstabeller 1'!$C$2),0)</f>
        <v>4</v>
      </c>
      <c r="F792" t="str" vm="13439">
        <f>IFERROR(CUBEVALUE("BIDB",$A792,F$3,F$2,'Præsentationstabeller 1'!$C$2),0)</f>
        <v/>
      </c>
      <c r="G792" vm="13176">
        <f>IFERROR(CUBEVALUE("BIDB",$A792,G$3,G$2,'Præsentationstabeller 1'!$C$2),0)</f>
        <v>4</v>
      </c>
      <c r="H792" t="str" vm="14030">
        <f>IFERROR(CUBEVALUE("BIDB",$A792,H$3,H$2,'Præsentationstabeller 1'!$C$2),0)</f>
        <v/>
      </c>
      <c r="I792" t="str" vm="6060">
        <f>IFERROR(CUBEVALUE("BIDB",$A792,I$3,I$2,'Præsentationstabeller 1'!$C$2),0)</f>
        <v/>
      </c>
      <c r="J792" vm="7522">
        <f>IFERROR(CUBEVALUE("BIDB",$A792,J$3,J$2,'Præsentationstabeller 1'!$C$2),0)</f>
        <v>1</v>
      </c>
      <c r="K792" t="str" vm="9405">
        <f>IFERROR(CUBEVALUE("BIDB",$A792,K$3,K$2,'Præsentationstabeller 1'!$C$2),0)</f>
        <v/>
      </c>
      <c r="L792" vm="8141">
        <f>IFERROR(CUBEVALUE("BIDB",$A792,L$3,L$2,'Præsentationstabeller 1'!$C$2),0)</f>
        <v>1</v>
      </c>
    </row>
    <row r="793" spans="1:12" x14ac:dyDescent="0.3">
      <c r="A793" s="123" t="str" vm="543">
        <f>CUBEMEMBER("BIDB","[Dimittenddato].[Dimittenddato].&amp;[2015-07-24T00:00:00]")</f>
        <v>24-07-2015</v>
      </c>
      <c r="B793" vm="4615">
        <f>IFERROR(CUBEVALUE("BIDB",$A793,B$3,'Præsentationstabeller 1'!$C$2),0)</f>
        <v>1</v>
      </c>
      <c r="C793" t="str" vm="12803">
        <f>IFERROR(CUBEVALUE("BIDB",$A793,C$3,C$2,'Præsentationstabeller 1'!$C$2),0)</f>
        <v/>
      </c>
      <c r="D793" vm="14591">
        <f>IFERROR(CUBEVALUE("BIDB",$A793,D$3,D$2,'Præsentationstabeller 1'!$C$2),0)</f>
        <v>0</v>
      </c>
      <c r="E793" vm="6639">
        <f>IFERROR(CUBEVALUE("BIDB",$A793,E$3,E$2,'Præsentationstabeller 1'!$C$2),0)</f>
        <v>2</v>
      </c>
      <c r="F793" t="str" vm="5480">
        <f>IFERROR(CUBEVALUE("BIDB",$A793,F$3,F$2,'Præsentationstabeller 1'!$C$2),0)</f>
        <v/>
      </c>
      <c r="G793" vm="11635">
        <f>IFERROR(CUBEVALUE("BIDB",$A793,G$3,G$2,'Præsentationstabeller 1'!$C$2),0)</f>
        <v>2</v>
      </c>
      <c r="H793" t="str" vm="10923">
        <f>IFERROR(CUBEVALUE("BIDB",$A793,H$3,H$2,'Præsentationstabeller 1'!$C$2),0)</f>
        <v/>
      </c>
      <c r="I793" t="str" vm="7434">
        <f>IFERROR(CUBEVALUE("BIDB",$A793,I$3,I$2,'Præsentationstabeller 1'!$C$2),0)</f>
        <v/>
      </c>
      <c r="J793" t="str" vm="8292">
        <f>IFERROR(CUBEVALUE("BIDB",$A793,J$3,J$2,'Præsentationstabeller 1'!$C$2),0)</f>
        <v/>
      </c>
      <c r="K793" t="str" vm="10107">
        <f>IFERROR(CUBEVALUE("BIDB",$A793,K$3,K$2,'Præsentationstabeller 1'!$C$2),0)</f>
        <v/>
      </c>
      <c r="L793" t="str" vm="11860">
        <f>IFERROR(CUBEVALUE("BIDB",$A793,L$3,L$2,'Præsentationstabeller 1'!$C$2),0)</f>
        <v/>
      </c>
    </row>
    <row r="794" spans="1:12" x14ac:dyDescent="0.3">
      <c r="A794" s="123" t="str" vm="542">
        <f>CUBEMEMBER("BIDB","[Dimittenddato].[Dimittenddato].&amp;[2015-07-25T00:00:00]")</f>
        <v>25-07-2015</v>
      </c>
      <c r="B794" vm="7030">
        <f>IFERROR(CUBEVALUE("BIDB",$A794,B$3,'Præsentationstabeller 1'!$C$2),0)</f>
        <v>1</v>
      </c>
      <c r="C794" t="str" vm="14174">
        <f>IFERROR(CUBEVALUE("BIDB",$A794,C$3,C$2,'Præsentationstabeller 1'!$C$2),0)</f>
        <v/>
      </c>
      <c r="D794" t="str" vm="11329">
        <f>IFERROR(CUBEVALUE("BIDB",$A794,D$3,D$2,'Præsentationstabeller 1'!$C$2),0)</f>
        <v/>
      </c>
      <c r="E794" t="str" vm="7615">
        <f>IFERROR(CUBEVALUE("BIDB",$A794,E$3,E$2,'Præsentationstabeller 1'!$C$2),0)</f>
        <v/>
      </c>
      <c r="F794" t="str" vm="5472">
        <f>IFERROR(CUBEVALUE("BIDB",$A794,F$3,F$2,'Præsentationstabeller 1'!$C$2),0)</f>
        <v/>
      </c>
      <c r="G794" t="str" vm="14356">
        <f>IFERROR(CUBEVALUE("BIDB",$A794,G$3,G$2,'Præsentationstabeller 1'!$C$2),0)</f>
        <v/>
      </c>
      <c r="H794" t="str" vm="9257">
        <f>IFERROR(CUBEVALUE("BIDB",$A794,H$3,H$2,'Præsentationstabeller 1'!$C$2),0)</f>
        <v/>
      </c>
      <c r="I794" t="str" vm="6165">
        <f>IFERROR(CUBEVALUE("BIDB",$A794,I$3,I$2,'Præsentationstabeller 1'!$C$2),0)</f>
        <v/>
      </c>
      <c r="J794" t="str" vm="4773">
        <f>IFERROR(CUBEVALUE("BIDB",$A794,J$3,J$2,'Præsentationstabeller 1'!$C$2),0)</f>
        <v/>
      </c>
      <c r="K794" t="str" vm="13800">
        <f>IFERROR(CUBEVALUE("BIDB",$A794,K$3,K$2,'Præsentationstabeller 1'!$C$2),0)</f>
        <v/>
      </c>
      <c r="L794" t="str" vm="12790">
        <f>IFERROR(CUBEVALUE("BIDB",$A794,L$3,L$2,'Præsentationstabeller 1'!$C$2),0)</f>
        <v/>
      </c>
    </row>
    <row r="795" spans="1:12" x14ac:dyDescent="0.3">
      <c r="A795" s="123" t="str" vm="541">
        <f>CUBEMEMBER("BIDB","[Dimittenddato].[Dimittenddato].&amp;[2015-07-26T00:00:00]")</f>
        <v>26-07-2015</v>
      </c>
      <c r="B795" vm="7451">
        <f>IFERROR(CUBEVALUE("BIDB",$A795,B$3,'Præsentationstabeller 1'!$C$2),0)</f>
        <v>1</v>
      </c>
      <c r="C795" t="str" vm="15412">
        <f>IFERROR(CUBEVALUE("BIDB",$A795,C$3,C$2,'Præsentationstabeller 1'!$C$2),0)</f>
        <v/>
      </c>
      <c r="D795" t="str" vm="11623">
        <f>IFERROR(CUBEVALUE("BIDB",$A795,D$3,D$2,'Præsentationstabeller 1'!$C$2),0)</f>
        <v/>
      </c>
      <c r="E795" vm="7409">
        <f>IFERROR(CUBEVALUE("BIDB",$A795,E$3,E$2,'Præsentationstabeller 1'!$C$2),0)</f>
        <v>1</v>
      </c>
      <c r="F795" vm="8760">
        <f>IFERROR(CUBEVALUE("BIDB",$A795,F$3,F$2,'Præsentationstabeller 1'!$C$2),0)</f>
        <v>1</v>
      </c>
      <c r="G795" vm="12558">
        <f>IFERROR(CUBEVALUE("BIDB",$A795,G$3,G$2,'Præsentationstabeller 1'!$C$2),0)</f>
        <v>2</v>
      </c>
      <c r="H795" t="str" vm="11883">
        <f>IFERROR(CUBEVALUE("BIDB",$A795,H$3,H$2,'Præsentationstabeller 1'!$C$2),0)</f>
        <v/>
      </c>
      <c r="I795" t="str" vm="5383">
        <f>IFERROR(CUBEVALUE("BIDB",$A795,I$3,I$2,'Præsentationstabeller 1'!$C$2),0)</f>
        <v/>
      </c>
      <c r="J795" vm="4765">
        <f>IFERROR(CUBEVALUE("BIDB",$A795,J$3,J$2,'Præsentationstabeller 1'!$C$2),0)</f>
        <v>0.4</v>
      </c>
      <c r="K795" t="str" vm="12631">
        <f>IFERROR(CUBEVALUE("BIDB",$A795,K$3,K$2,'Præsentationstabeller 1'!$C$2),0)</f>
        <v/>
      </c>
      <c r="L795" vm="13813">
        <f>IFERROR(CUBEVALUE("BIDB",$A795,L$3,L$2,'Præsentationstabeller 1'!$C$2),0)</f>
        <v>0.4</v>
      </c>
    </row>
    <row r="796" spans="1:12" x14ac:dyDescent="0.3">
      <c r="A796" s="123" t="str" vm="540">
        <f>CUBEMEMBER("BIDB","[Dimittenddato].[Dimittenddato].&amp;[2015-07-27T00:00:00]")</f>
        <v>27-07-2015</v>
      </c>
      <c r="B796" vm="4340">
        <f>IFERROR(CUBEVALUE("BIDB",$A796,B$3,'Præsentationstabeller 1'!$C$2),0)</f>
        <v>1</v>
      </c>
      <c r="C796" t="str" vm="13367">
        <f>IFERROR(CUBEVALUE("BIDB",$A796,C$3,C$2,'Præsentationstabeller 1'!$C$2),0)</f>
        <v/>
      </c>
      <c r="D796" t="str" vm="13615">
        <f>IFERROR(CUBEVALUE("BIDB",$A796,D$3,D$2,'Præsentationstabeller 1'!$C$2),0)</f>
        <v/>
      </c>
      <c r="E796" vm="7426">
        <f>IFERROR(CUBEVALUE("BIDB",$A796,E$3,E$2,'Præsentationstabeller 1'!$C$2),0)</f>
        <v>1</v>
      </c>
      <c r="F796" vm="8601">
        <f>IFERROR(CUBEVALUE("BIDB",$A796,F$3,F$2,'Præsentationstabeller 1'!$C$2),0)</f>
        <v>3</v>
      </c>
      <c r="G796" vm="14791">
        <f>IFERROR(CUBEVALUE("BIDB",$A796,G$3,G$2,'Præsentationstabeller 1'!$C$2),0)</f>
        <v>4</v>
      </c>
      <c r="H796" t="str" vm="15482">
        <f>IFERROR(CUBEVALUE("BIDB",$A796,H$3,H$2,'Præsentationstabeller 1'!$C$2),0)</f>
        <v/>
      </c>
      <c r="I796" t="str" vm="5375">
        <f>IFERROR(CUBEVALUE("BIDB",$A796,I$3,I$2,'Præsentationstabeller 1'!$C$2),0)</f>
        <v/>
      </c>
      <c r="J796" t="str" vm="9006">
        <f>IFERROR(CUBEVALUE("BIDB",$A796,J$3,J$2,'Præsentationstabeller 1'!$C$2),0)</f>
        <v/>
      </c>
      <c r="K796" t="str" vm="10221">
        <f>IFERROR(CUBEVALUE("BIDB",$A796,K$3,K$2,'Præsentationstabeller 1'!$C$2),0)</f>
        <v/>
      </c>
      <c r="L796" t="str" vm="8558">
        <f>IFERROR(CUBEVALUE("BIDB",$A796,L$3,L$2,'Præsentationstabeller 1'!$C$2),0)</f>
        <v/>
      </c>
    </row>
    <row r="797" spans="1:12" x14ac:dyDescent="0.3">
      <c r="A797" s="123" t="str" vm="539">
        <f>CUBEMEMBER("BIDB","[Dimittenddato].[Dimittenddato].&amp;[2015-07-28T00:00:00]")</f>
        <v>28-07-2015</v>
      </c>
      <c r="B797" vm="4332">
        <f>IFERROR(CUBEVALUE("BIDB",$A797,B$3,'Præsentationstabeller 1'!$C$2),0)</f>
        <v>1</v>
      </c>
      <c r="C797" t="str" vm="11097">
        <f>IFERROR(CUBEVALUE("BIDB",$A797,C$3,C$2,'Præsentationstabeller 1'!$C$2),0)</f>
        <v/>
      </c>
      <c r="D797" vm="13762">
        <f>IFERROR(CUBEVALUE("BIDB",$A797,D$3,D$2,'Præsentationstabeller 1'!$C$2),0)</f>
        <v>1</v>
      </c>
      <c r="E797" vm="6631">
        <f>IFERROR(CUBEVALUE("BIDB",$A797,E$3,E$2,'Præsentationstabeller 1'!$C$2),0)</f>
        <v>5</v>
      </c>
      <c r="F797" t="str" vm="5458">
        <f>IFERROR(CUBEVALUE("BIDB",$A797,F$3,F$2,'Præsentationstabeller 1'!$C$2),0)</f>
        <v/>
      </c>
      <c r="G797" vm="15998">
        <f>IFERROR(CUBEVALUE("BIDB",$A797,G$3,G$2,'Præsentationstabeller 1'!$C$2),0)</f>
        <v>5</v>
      </c>
      <c r="H797" t="str" vm="12287">
        <f>IFERROR(CUBEVALUE("BIDB",$A797,H$3,H$2,'Præsentationstabeller 1'!$C$2),0)</f>
        <v/>
      </c>
      <c r="I797" t="str" vm="6942">
        <f>IFERROR(CUBEVALUE("BIDB",$A797,I$3,I$2,'Præsentationstabeller 1'!$C$2),0)</f>
        <v/>
      </c>
      <c r="J797" vm="5812">
        <f>IFERROR(CUBEVALUE("BIDB",$A797,J$3,J$2,'Præsentationstabeller 1'!$C$2),0)</f>
        <v>0.87567567567567572</v>
      </c>
      <c r="K797" t="str" vm="15638">
        <f>IFERROR(CUBEVALUE("BIDB",$A797,K$3,K$2,'Præsentationstabeller 1'!$C$2),0)</f>
        <v/>
      </c>
      <c r="L797" vm="9704">
        <f>IFERROR(CUBEVALUE("BIDB",$A797,L$3,L$2,'Præsentationstabeller 1'!$C$2),0)</f>
        <v>0.87567567567567572</v>
      </c>
    </row>
    <row r="798" spans="1:12" x14ac:dyDescent="0.3">
      <c r="A798" s="123" t="str" vm="538">
        <f>CUBEMEMBER("BIDB","[Dimittenddato].[Dimittenddato].&amp;[2015-07-29T00:00:00]")</f>
        <v>29-07-2015</v>
      </c>
      <c r="B798" vm="6250">
        <f>IFERROR(CUBEVALUE("BIDB",$A798,B$3,'Præsentationstabeller 1'!$C$2),0)</f>
        <v>1</v>
      </c>
      <c r="C798" t="str" vm="13860">
        <f>IFERROR(CUBEVALUE("BIDB",$A798,C$3,C$2,'Præsentationstabeller 1'!$C$2),0)</f>
        <v/>
      </c>
      <c r="D798" vm="12953">
        <f>IFERROR(CUBEVALUE("BIDB",$A798,D$3,D$2,'Præsentationstabeller 1'!$C$2),0)</f>
        <v>1</v>
      </c>
      <c r="E798" vm="6754">
        <f>IFERROR(CUBEVALUE("BIDB",$A798,E$3,E$2,'Præsentationstabeller 1'!$C$2),0)</f>
        <v>2</v>
      </c>
      <c r="F798" vm="5456">
        <f>IFERROR(CUBEVALUE("BIDB",$A798,F$3,F$2,'Præsentationstabeller 1'!$C$2),0)</f>
        <v>1</v>
      </c>
      <c r="G798" vm="13075">
        <f>IFERROR(CUBEVALUE("BIDB",$A798,G$3,G$2,'Præsentationstabeller 1'!$C$2),0)</f>
        <v>3</v>
      </c>
      <c r="H798" t="str" vm="15535">
        <f>IFERROR(CUBEVALUE("BIDB",$A798,H$3,H$2,'Præsentationstabeller 1'!$C$2),0)</f>
        <v/>
      </c>
      <c r="I798" t="str" vm="8840">
        <f>IFERROR(CUBEVALUE("BIDB",$A798,I$3,I$2,'Præsentationstabeller 1'!$C$2),0)</f>
        <v/>
      </c>
      <c r="J798" t="str" vm="6849">
        <f>IFERROR(CUBEVALUE("BIDB",$A798,J$3,J$2,'Præsentationstabeller 1'!$C$2),0)</f>
        <v/>
      </c>
      <c r="K798" t="str" vm="10939">
        <f>IFERROR(CUBEVALUE("BIDB",$A798,K$3,K$2,'Præsentationstabeller 1'!$C$2),0)</f>
        <v/>
      </c>
      <c r="L798" t="str" vm="11084">
        <f>IFERROR(CUBEVALUE("BIDB",$A798,L$3,L$2,'Præsentationstabeller 1'!$C$2),0)</f>
        <v/>
      </c>
    </row>
    <row r="799" spans="1:12" x14ac:dyDescent="0.3">
      <c r="A799" s="123" t="str" vm="537">
        <f>CUBEMEMBER("BIDB","[Dimittenddato].[Dimittenddato].&amp;[2015-07-30T00:00:00]")</f>
        <v>30-07-2015</v>
      </c>
      <c r="B799" vm="8168">
        <f>IFERROR(CUBEVALUE("BIDB",$A799,B$3,'Præsentationstabeller 1'!$C$2),0)</f>
        <v>1</v>
      </c>
      <c r="C799" t="str" vm="13871">
        <f>IFERROR(CUBEVALUE("BIDB",$A799,C$3,C$2,'Præsentationstabeller 1'!$C$2),0)</f>
        <v/>
      </c>
      <c r="D799" vm="13051">
        <f>IFERROR(CUBEVALUE("BIDB",$A799,D$3,D$2,'Præsentationstabeller 1'!$C$2),0)</f>
        <v>3</v>
      </c>
      <c r="E799" vm="6752">
        <f>IFERROR(CUBEVALUE("BIDB",$A799,E$3,E$2,'Præsentationstabeller 1'!$C$2),0)</f>
        <v>2</v>
      </c>
      <c r="F799" vm="9210">
        <f>IFERROR(CUBEVALUE("BIDB",$A799,F$3,F$2,'Præsentationstabeller 1'!$C$2),0)</f>
        <v>1</v>
      </c>
      <c r="G799" vm="15354">
        <f>IFERROR(CUBEVALUE("BIDB",$A799,G$3,G$2,'Præsentationstabeller 1'!$C$2),0)</f>
        <v>3</v>
      </c>
      <c r="H799" t="str" vm="13958">
        <f>IFERROR(CUBEVALUE("BIDB",$A799,H$3,H$2,'Præsentationstabeller 1'!$C$2),0)</f>
        <v/>
      </c>
      <c r="I799" t="str" vm="6116">
        <f>IFERROR(CUBEVALUE("BIDB",$A799,I$3,I$2,'Præsentationstabeller 1'!$C$2),0)</f>
        <v/>
      </c>
      <c r="J799" t="str" vm="6339">
        <f>IFERROR(CUBEVALUE("BIDB",$A799,J$3,J$2,'Præsentationstabeller 1'!$C$2),0)</f>
        <v/>
      </c>
      <c r="K799" t="str" vm="14863">
        <f>IFERROR(CUBEVALUE("BIDB",$A799,K$3,K$2,'Præsentationstabeller 1'!$C$2),0)</f>
        <v/>
      </c>
      <c r="L799" t="str" vm="12903">
        <f>IFERROR(CUBEVALUE("BIDB",$A799,L$3,L$2,'Præsentationstabeller 1'!$C$2),0)</f>
        <v/>
      </c>
    </row>
    <row r="800" spans="1:12" x14ac:dyDescent="0.3">
      <c r="A800" s="123" t="str" vm="536">
        <f>CUBEMEMBER("BIDB","[Dimittenddato].[Dimittenddato].&amp;[2015-07-31T00:00:00]")</f>
        <v>31-07-2015</v>
      </c>
      <c r="B800" vm="4658">
        <f>IFERROR(CUBEVALUE("BIDB",$A800,B$3,'Præsentationstabeller 1'!$C$2),0)</f>
        <v>1</v>
      </c>
      <c r="C800" t="str" vm="16336">
        <f>IFERROR(CUBEVALUE("BIDB",$A800,C$3,C$2,'Præsentationstabeller 1'!$C$2),0)</f>
        <v/>
      </c>
      <c r="D800" vm="16058">
        <f>IFERROR(CUBEVALUE("BIDB",$A800,D$3,D$2,'Præsentationstabeller 1'!$C$2),0)</f>
        <v>2</v>
      </c>
      <c r="E800" vm="9646">
        <f>IFERROR(CUBEVALUE("BIDB",$A800,E$3,E$2,'Præsentationstabeller 1'!$C$2),0)</f>
        <v>10</v>
      </c>
      <c r="F800" vm="5939">
        <f>IFERROR(CUBEVALUE("BIDB",$A800,F$3,F$2,'Præsentationstabeller 1'!$C$2),0)</f>
        <v>4</v>
      </c>
      <c r="G800" vm="15583">
        <f>IFERROR(CUBEVALUE("BIDB",$A800,G$3,G$2,'Præsentationstabeller 1'!$C$2),0)</f>
        <v>14</v>
      </c>
      <c r="H800" t="str" vm="13923">
        <f>IFERROR(CUBEVALUE("BIDB",$A800,H$3,H$2,'Præsentationstabeller 1'!$C$2),0)</f>
        <v/>
      </c>
      <c r="I800" t="str" vm="6108">
        <f>IFERROR(CUBEVALUE("BIDB",$A800,I$3,I$2,'Præsentationstabeller 1'!$C$2),0)</f>
        <v/>
      </c>
      <c r="J800" t="str" vm="7526">
        <f>IFERROR(CUBEVALUE("BIDB",$A800,J$3,J$2,'Præsentationstabeller 1'!$C$2),0)</f>
        <v/>
      </c>
      <c r="K800" t="str" vm="9318">
        <f>IFERROR(CUBEVALUE("BIDB",$A800,K$3,K$2,'Præsentationstabeller 1'!$C$2),0)</f>
        <v/>
      </c>
      <c r="L800" t="str" vm="9061">
        <f>IFERROR(CUBEVALUE("BIDB",$A800,L$3,L$2,'Præsentationstabeller 1'!$C$2),0)</f>
        <v/>
      </c>
    </row>
    <row r="801" spans="1:12" x14ac:dyDescent="0.3">
      <c r="A801" s="123" t="str" vm="535">
        <f>CUBEMEMBER("BIDB","[Dimittenddato].[Dimittenddato].&amp;[2015-08-01T00:00:00]")</f>
        <v>01-08-2015</v>
      </c>
      <c r="B801" vm="4650">
        <f>IFERROR(CUBEVALUE("BIDB",$A801,B$3,'Præsentationstabeller 1'!$C$2),0)</f>
        <v>1</v>
      </c>
      <c r="C801" t="str" vm="14577">
        <f>IFERROR(CUBEVALUE("BIDB",$A801,C$3,C$2,'Præsentationstabeller 1'!$C$2),0)</f>
        <v/>
      </c>
      <c r="D801" vm="15744">
        <f>IFERROR(CUBEVALUE("BIDB",$A801,D$3,D$2,'Præsentationstabeller 1'!$C$2),0)</f>
        <v>2</v>
      </c>
      <c r="E801" vm="8808">
        <f>IFERROR(CUBEVALUE("BIDB",$A801,E$3,E$2,'Præsentationstabeller 1'!$C$2),0)</f>
        <v>4</v>
      </c>
      <c r="F801" vm="6224">
        <f>IFERROR(CUBEVALUE("BIDB",$A801,F$3,F$2,'Præsentationstabeller 1'!$C$2),0)</f>
        <v>2</v>
      </c>
      <c r="G801" vm="15636">
        <f>IFERROR(CUBEVALUE("BIDB",$A801,G$3,G$2,'Præsentationstabeller 1'!$C$2),0)</f>
        <v>6</v>
      </c>
      <c r="H801" t="str" vm="12561">
        <f>IFERROR(CUBEVALUE("BIDB",$A801,H$3,H$2,'Præsentationstabeller 1'!$C$2),0)</f>
        <v/>
      </c>
      <c r="I801" t="str" vm="9002">
        <f>IFERROR(CUBEVALUE("BIDB",$A801,I$3,I$2,'Præsentationstabeller 1'!$C$2),0)</f>
        <v/>
      </c>
      <c r="J801" t="str" vm="5780">
        <f>IFERROR(CUBEVALUE("BIDB",$A801,J$3,J$2,'Præsentationstabeller 1'!$C$2),0)</f>
        <v/>
      </c>
      <c r="K801" vm="12496">
        <f>IFERROR(CUBEVALUE("BIDB",$A801,K$3,K$2,'Præsentationstabeller 1'!$C$2),0)</f>
        <v>1</v>
      </c>
      <c r="L801" vm="10808">
        <f>IFERROR(CUBEVALUE("BIDB",$A801,L$3,L$2,'Præsentationstabeller 1'!$C$2),0)</f>
        <v>1</v>
      </c>
    </row>
    <row r="802" spans="1:12" x14ac:dyDescent="0.3">
      <c r="A802" s="123" t="str" vm="534">
        <f>CUBEMEMBER("BIDB","[Dimittenddato].[Dimittenddato].&amp;[2015-08-02T00:00:00]")</f>
        <v>02-08-2015</v>
      </c>
      <c r="B802" vm="9074">
        <f>IFERROR(CUBEVALUE("BIDB",$A802,B$3,'Præsentationstabeller 1'!$C$2),0)</f>
        <v>1</v>
      </c>
      <c r="C802" t="str" vm="11113">
        <f>IFERROR(CUBEVALUE("BIDB",$A802,C$3,C$2,'Præsentationstabeller 1'!$C$2),0)</f>
        <v/>
      </c>
      <c r="D802" t="str" vm="9985">
        <f>IFERROR(CUBEVALUE("BIDB",$A802,D$3,D$2,'Præsentationstabeller 1'!$C$2),0)</f>
        <v/>
      </c>
      <c r="E802" t="str" vm="7270">
        <f>IFERROR(CUBEVALUE("BIDB",$A802,E$3,E$2,'Præsentationstabeller 1'!$C$2),0)</f>
        <v/>
      </c>
      <c r="F802" t="str" vm="6222">
        <f>IFERROR(CUBEVALUE("BIDB",$A802,F$3,F$2,'Præsentationstabeller 1'!$C$2),0)</f>
        <v/>
      </c>
      <c r="G802" t="str" vm="12660">
        <f>IFERROR(CUBEVALUE("BIDB",$A802,G$3,G$2,'Præsentationstabeller 1'!$C$2),0)</f>
        <v/>
      </c>
      <c r="H802" t="str" vm="9877">
        <f>IFERROR(CUBEVALUE("BIDB",$A802,H$3,H$2,'Præsentationstabeller 1'!$C$2),0)</f>
        <v/>
      </c>
      <c r="I802" t="str" vm="6536">
        <f>IFERROR(CUBEVALUE("BIDB",$A802,I$3,I$2,'Præsentationstabeller 1'!$C$2),0)</f>
        <v/>
      </c>
      <c r="J802" t="str" vm="5510">
        <f>IFERROR(CUBEVALUE("BIDB",$A802,J$3,J$2,'Præsentationstabeller 1'!$C$2),0)</f>
        <v/>
      </c>
      <c r="K802" t="str" vm="13966">
        <f>IFERROR(CUBEVALUE("BIDB",$A802,K$3,K$2,'Præsentationstabeller 1'!$C$2),0)</f>
        <v/>
      </c>
      <c r="L802" t="str" vm="16896">
        <f>IFERROR(CUBEVALUE("BIDB",$A802,L$3,L$2,'Præsentationstabeller 1'!$C$2),0)</f>
        <v/>
      </c>
    </row>
    <row r="803" spans="1:12" x14ac:dyDescent="0.3">
      <c r="A803" s="123" t="str" vm="533">
        <f>CUBEMEMBER("BIDB","[Dimittenddato].[Dimittenddato].&amp;[2015-08-03T00:00:00]")</f>
        <v>03-08-2015</v>
      </c>
      <c r="B803" vm="6960">
        <f>IFERROR(CUBEVALUE("BIDB",$A803,B$3,'Præsentationstabeller 1'!$C$2),0)</f>
        <v>1</v>
      </c>
      <c r="C803" t="str" vm="13134">
        <f>IFERROR(CUBEVALUE("BIDB",$A803,C$3,C$2,'Præsentationstabeller 1'!$C$2),0)</f>
        <v/>
      </c>
      <c r="D803" vm="15701">
        <f>IFERROR(CUBEVALUE("BIDB",$A803,D$3,D$2,'Præsentationstabeller 1'!$C$2),0)</f>
        <v>3</v>
      </c>
      <c r="E803" vm="7268">
        <f>IFERROR(CUBEVALUE("BIDB",$A803,E$3,E$2,'Præsentationstabeller 1'!$C$2),0)</f>
        <v>7</v>
      </c>
      <c r="F803" t="str" vm="9483">
        <f>IFERROR(CUBEVALUE("BIDB",$A803,F$3,F$2,'Præsentationstabeller 1'!$C$2),0)</f>
        <v/>
      </c>
      <c r="G803" vm="12916">
        <f>IFERROR(CUBEVALUE("BIDB",$A803,G$3,G$2,'Præsentationstabeller 1'!$C$2),0)</f>
        <v>7</v>
      </c>
      <c r="H803" t="str" vm="10581">
        <f>IFERROR(CUBEVALUE("BIDB",$A803,H$3,H$2,'Præsentationstabeller 1'!$C$2),0)</f>
        <v/>
      </c>
      <c r="I803" t="str" vm="4045">
        <f>IFERROR(CUBEVALUE("BIDB",$A803,I$3,I$2,'Præsentationstabeller 1'!$C$2),0)</f>
        <v/>
      </c>
      <c r="J803" vm="5502">
        <f>IFERROR(CUBEVALUE("BIDB",$A803,J$3,J$2,'Præsentationstabeller 1'!$C$2),0)</f>
        <v>0.96</v>
      </c>
      <c r="K803" t="str" vm="14708">
        <f>IFERROR(CUBEVALUE("BIDB",$A803,K$3,K$2,'Præsentationstabeller 1'!$C$2),0)</f>
        <v/>
      </c>
      <c r="L803" vm="13650">
        <f>IFERROR(CUBEVALUE("BIDB",$A803,L$3,L$2,'Præsentationstabeller 1'!$C$2),0)</f>
        <v>0.96</v>
      </c>
    </row>
    <row r="804" spans="1:12" x14ac:dyDescent="0.3">
      <c r="A804" s="123" t="str" vm="532">
        <f>CUBEMEMBER("BIDB","[Dimittenddato].[Dimittenddato].&amp;[2015-08-04T00:00:00]")</f>
        <v>04-08-2015</v>
      </c>
      <c r="B804" vm="5171">
        <f>IFERROR(CUBEVALUE("BIDB",$A804,B$3,'Præsentationstabeller 1'!$C$2),0)</f>
        <v>1</v>
      </c>
      <c r="C804" t="str" vm="13829">
        <f>IFERROR(CUBEVALUE("BIDB",$A804,C$3,C$2,'Præsentationstabeller 1'!$C$2),0)</f>
        <v/>
      </c>
      <c r="D804" vm="11992">
        <f>IFERROR(CUBEVALUE("BIDB",$A804,D$3,D$2,'Præsentationstabeller 1'!$C$2),0)</f>
        <v>4</v>
      </c>
      <c r="E804" vm="7178">
        <f>IFERROR(CUBEVALUE("BIDB",$A804,E$3,E$2,'Præsentationstabeller 1'!$C$2),0)</f>
        <v>2</v>
      </c>
      <c r="F804" t="str" vm="5907">
        <f>IFERROR(CUBEVALUE("BIDB",$A804,F$3,F$2,'Præsentationstabeller 1'!$C$2),0)</f>
        <v/>
      </c>
      <c r="G804" vm="15704">
        <f>IFERROR(CUBEVALUE("BIDB",$A804,G$3,G$2,'Præsentationstabeller 1'!$C$2),0)</f>
        <v>2</v>
      </c>
      <c r="H804" t="str" vm="13346">
        <f>IFERROR(CUBEVALUE("BIDB",$A804,H$3,H$2,'Præsentationstabeller 1'!$C$2),0)</f>
        <v/>
      </c>
      <c r="I804" t="str" vm="4037">
        <f>IFERROR(CUBEVALUE("BIDB",$A804,I$3,I$2,'Præsentationstabeller 1'!$C$2),0)</f>
        <v/>
      </c>
      <c r="J804" t="str" vm="7524">
        <f>IFERROR(CUBEVALUE("BIDB",$A804,J$3,J$2,'Præsentationstabeller 1'!$C$2),0)</f>
        <v/>
      </c>
      <c r="K804" t="str" vm="11976">
        <f>IFERROR(CUBEVALUE("BIDB",$A804,K$3,K$2,'Præsentationstabeller 1'!$C$2),0)</f>
        <v/>
      </c>
      <c r="L804" t="str" vm="7729">
        <f>IFERROR(CUBEVALUE("BIDB",$A804,L$3,L$2,'Præsentationstabeller 1'!$C$2),0)</f>
        <v/>
      </c>
    </row>
    <row r="805" spans="1:12" x14ac:dyDescent="0.3">
      <c r="A805" s="123" t="str" vm="531">
        <f>CUBEMEMBER("BIDB","[Dimittenddato].[Dimittenddato].&amp;[2015-08-05T00:00:00]")</f>
        <v>05-08-2015</v>
      </c>
      <c r="B805" vm="5169">
        <f>IFERROR(CUBEVALUE("BIDB",$A805,B$3,'Præsentationstabeller 1'!$C$2),0)</f>
        <v>1</v>
      </c>
      <c r="C805" t="str" vm="9220">
        <f>IFERROR(CUBEVALUE("BIDB",$A805,C$3,C$2,'Præsentationstabeller 1'!$C$2),0)</f>
        <v/>
      </c>
      <c r="D805" vm="15298">
        <f>IFERROR(CUBEVALUE("BIDB",$A805,D$3,D$2,'Præsentationstabeller 1'!$C$2),0)</f>
        <v>2</v>
      </c>
      <c r="E805" vm="7803">
        <f>IFERROR(CUBEVALUE("BIDB",$A805,E$3,E$2,'Præsentationstabeller 1'!$C$2),0)</f>
        <v>4</v>
      </c>
      <c r="F805" t="str" vm="4370">
        <f>IFERROR(CUBEVALUE("BIDB",$A805,F$3,F$2,'Præsentationstabeller 1'!$C$2),0)</f>
        <v/>
      </c>
      <c r="G805" vm="12575">
        <f>IFERROR(CUBEVALUE("BIDB",$A805,G$3,G$2,'Præsentationstabeller 1'!$C$2),0)</f>
        <v>4</v>
      </c>
      <c r="H805" t="str" vm="13867">
        <f>IFERROR(CUBEVALUE("BIDB",$A805,H$3,H$2,'Præsentationstabeller 1'!$C$2),0)</f>
        <v/>
      </c>
      <c r="I805" t="str" vm="9049">
        <f>IFERROR(CUBEVALUE("BIDB",$A805,I$3,I$2,'Præsentationstabeller 1'!$C$2),0)</f>
        <v/>
      </c>
      <c r="J805" vm="12476">
        <f>IFERROR(CUBEVALUE("BIDB",$A805,J$3,J$2,'Præsentationstabeller 1'!$C$2),0)</f>
        <v>0.52</v>
      </c>
      <c r="K805" t="str" vm="17146">
        <f>IFERROR(CUBEVALUE("BIDB",$A805,K$3,K$2,'Præsentationstabeller 1'!$C$2),0)</f>
        <v/>
      </c>
      <c r="L805" vm="14563">
        <f>IFERROR(CUBEVALUE("BIDB",$A805,L$3,L$2,'Præsentationstabeller 1'!$C$2),0)</f>
        <v>0.52</v>
      </c>
    </row>
    <row r="806" spans="1:12" x14ac:dyDescent="0.3">
      <c r="A806" s="123" t="str" vm="530">
        <f>CUBEMEMBER("BIDB","[Dimittenddato].[Dimittenddato].&amp;[2015-08-06T00:00:00]")</f>
        <v>06-08-2015</v>
      </c>
      <c r="B806" vm="7663">
        <f>IFERROR(CUBEVALUE("BIDB",$A806,B$3,'Præsentationstabeller 1'!$C$2),0)</f>
        <v>1</v>
      </c>
      <c r="C806" t="str" vm="15726">
        <f>IFERROR(CUBEVALUE("BIDB",$A806,C$3,C$2,'Præsentationstabeller 1'!$C$2),0)</f>
        <v/>
      </c>
      <c r="D806" vm="12985">
        <f>IFERROR(CUBEVALUE("BIDB",$A806,D$3,D$2,'Præsentationstabeller 1'!$C$2),0)</f>
        <v>4</v>
      </c>
      <c r="E806" vm="4524">
        <f>IFERROR(CUBEVALUE("BIDB",$A806,E$3,E$2,'Præsentationstabeller 1'!$C$2),0)</f>
        <v>6</v>
      </c>
      <c r="F806" vm="4362">
        <f>IFERROR(CUBEVALUE("BIDB",$A806,F$3,F$2,'Præsentationstabeller 1'!$C$2),0)</f>
        <v>1</v>
      </c>
      <c r="G806" vm="11563">
        <f>IFERROR(CUBEVALUE("BIDB",$A806,G$3,G$2,'Præsentationstabeller 1'!$C$2),0)</f>
        <v>7</v>
      </c>
      <c r="H806" t="str" vm="17123">
        <f>IFERROR(CUBEVALUE("BIDB",$A806,H$3,H$2,'Præsentationstabeller 1'!$C$2),0)</f>
        <v/>
      </c>
      <c r="I806" vm="6766">
        <f>IFERROR(CUBEVALUE("BIDB",$A806,I$3,I$2,'Præsentationstabeller 1'!$C$2),0)</f>
        <v>1</v>
      </c>
      <c r="J806" vm="5225">
        <f>IFERROR(CUBEVALUE("BIDB",$A806,J$3,J$2,'Præsentationstabeller 1'!$C$2),0)</f>
        <v>1.0399999999999998</v>
      </c>
      <c r="K806" t="str" vm="15667">
        <f>IFERROR(CUBEVALUE("BIDB",$A806,K$3,K$2,'Præsentationstabeller 1'!$C$2),0)</f>
        <v/>
      </c>
      <c r="L806" vm="9207">
        <f>IFERROR(CUBEVALUE("BIDB",$A806,L$3,L$2,'Præsentationstabeller 1'!$C$2),0)</f>
        <v>1.0399999999999998</v>
      </c>
    </row>
    <row r="807" spans="1:12" x14ac:dyDescent="0.3">
      <c r="A807" s="123" t="str" vm="529">
        <f>CUBEMEMBER("BIDB","[Dimittenddato].[Dimittenddato].&amp;[2015-08-07T00:00:00]")</f>
        <v>07-08-2015</v>
      </c>
      <c r="B807" vm="6928">
        <f>IFERROR(CUBEVALUE("BIDB",$A807,B$3,'Præsentationstabeller 1'!$C$2),0)</f>
        <v>1</v>
      </c>
      <c r="C807" t="str" vm="13560">
        <f>IFERROR(CUBEVALUE("BIDB",$A807,C$3,C$2,'Præsentationstabeller 1'!$C$2),0)</f>
        <v/>
      </c>
      <c r="D807" vm="11365">
        <f>IFERROR(CUBEVALUE("BIDB",$A807,D$3,D$2,'Præsentationstabeller 1'!$C$2),0)</f>
        <v>3</v>
      </c>
      <c r="E807" vm="4516">
        <f>IFERROR(CUBEVALUE("BIDB",$A807,E$3,E$2,'Præsentationstabeller 1'!$C$2),0)</f>
        <v>5</v>
      </c>
      <c r="F807" vm="8766">
        <f>IFERROR(CUBEVALUE("BIDB",$A807,F$3,F$2,'Præsentationstabeller 1'!$C$2),0)</f>
        <v>2</v>
      </c>
      <c r="G807" vm="16955">
        <f>IFERROR(CUBEVALUE("BIDB",$A807,G$3,G$2,'Præsentationstabeller 1'!$C$2),0)</f>
        <v>7</v>
      </c>
      <c r="H807" t="str" vm="13172">
        <f>IFERROR(CUBEVALUE("BIDB",$A807,H$3,H$2,'Præsentationstabeller 1'!$C$2),0)</f>
        <v/>
      </c>
      <c r="I807" t="str" vm="6030">
        <f>IFERROR(CUBEVALUE("BIDB",$A807,I$3,I$2,'Præsentationstabeller 1'!$C$2),0)</f>
        <v/>
      </c>
      <c r="J807" vm="5217">
        <f>IFERROR(CUBEVALUE("BIDB",$A807,J$3,J$2,'Præsentationstabeller 1'!$C$2),0)</f>
        <v>1</v>
      </c>
      <c r="K807" t="str" vm="14144">
        <f>IFERROR(CUBEVALUE("BIDB",$A807,K$3,K$2,'Præsentationstabeller 1'!$C$2),0)</f>
        <v/>
      </c>
      <c r="L807" vm="11263">
        <f>IFERROR(CUBEVALUE("BIDB",$A807,L$3,L$2,'Præsentationstabeller 1'!$C$2),0)</f>
        <v>1</v>
      </c>
    </row>
    <row r="808" spans="1:12" x14ac:dyDescent="0.3">
      <c r="A808" s="123" t="str" vm="528">
        <f>CUBEMEMBER("BIDB","[Dimittenddato].[Dimittenddato].&amp;[2015-08-08T00:00:00]")</f>
        <v>08-08-2015</v>
      </c>
      <c r="B808" vm="6146">
        <f>IFERROR(CUBEVALUE("BIDB",$A808,B$3,'Præsentationstabeller 1'!$C$2),0)</f>
        <v>1</v>
      </c>
      <c r="C808" t="str" vm="13102">
        <f>IFERROR(CUBEVALUE("BIDB",$A808,C$3,C$2,'Præsentationstabeller 1'!$C$2),0)</f>
        <v/>
      </c>
      <c r="D808" t="str" vm="12653">
        <f>IFERROR(CUBEVALUE("BIDB",$A808,D$3,D$2,'Præsentationstabeller 1'!$C$2),0)</f>
        <v/>
      </c>
      <c r="E808" t="str" vm="6832">
        <f>IFERROR(CUBEVALUE("BIDB",$A808,E$3,E$2,'Præsentationstabeller 1'!$C$2),0)</f>
        <v/>
      </c>
      <c r="F808" t="str" vm="9439">
        <f>IFERROR(CUBEVALUE("BIDB",$A808,F$3,F$2,'Præsentationstabeller 1'!$C$2),0)</f>
        <v/>
      </c>
      <c r="G808" t="str" vm="12069">
        <f>IFERROR(CUBEVALUE("BIDB",$A808,G$3,G$2,'Præsentationstabeller 1'!$C$2),0)</f>
        <v/>
      </c>
      <c r="H808" t="str" vm="11125">
        <f>IFERROR(CUBEVALUE("BIDB",$A808,H$3,H$2,'Præsentationstabeller 1'!$C$2),0)</f>
        <v/>
      </c>
      <c r="I808" t="str" vm="6028">
        <f>IFERROR(CUBEVALUE("BIDB",$A808,I$3,I$2,'Præsentationstabeller 1'!$C$2),0)</f>
        <v/>
      </c>
      <c r="J808" t="str" vm="10639">
        <f>IFERROR(CUBEVALUE("BIDB",$A808,J$3,J$2,'Præsentationstabeller 1'!$C$2),0)</f>
        <v/>
      </c>
      <c r="K808" t="str" vm="13700">
        <f>IFERROR(CUBEVALUE("BIDB",$A808,K$3,K$2,'Præsentationstabeller 1'!$C$2),0)</f>
        <v/>
      </c>
      <c r="L808" t="str" vm="9644">
        <f>IFERROR(CUBEVALUE("BIDB",$A808,L$3,L$2,'Præsentationstabeller 1'!$C$2),0)</f>
        <v/>
      </c>
    </row>
    <row r="809" spans="1:12" x14ac:dyDescent="0.3">
      <c r="A809" s="123" t="str" vm="527">
        <f>CUBEMEMBER("BIDB","[Dimittenddato].[Dimittenddato].&amp;[2015-08-09T00:00:00]")</f>
        <v>09-08-2015</v>
      </c>
      <c r="B809" vm="6138">
        <f>IFERROR(CUBEVALUE("BIDB",$A809,B$3,'Præsentationstabeller 1'!$C$2),0)</f>
        <v>1</v>
      </c>
      <c r="C809" t="str" vm="10324">
        <f>IFERROR(CUBEVALUE("BIDB",$A809,C$3,C$2,'Præsentationstabeller 1'!$C$2),0)</f>
        <v/>
      </c>
      <c r="D809" t="str" vm="15799">
        <f>IFERROR(CUBEVALUE("BIDB",$A809,D$3,D$2,'Præsentationstabeller 1'!$C$2),0)</f>
        <v/>
      </c>
      <c r="E809" t="str" vm="5558">
        <f>IFERROR(CUBEVALUE("BIDB",$A809,E$3,E$2,'Præsentationstabeller 1'!$C$2),0)</f>
        <v/>
      </c>
      <c r="F809" t="str" vm="5094">
        <f>IFERROR(CUBEVALUE("BIDB",$A809,F$3,F$2,'Præsentationstabeller 1'!$C$2),0)</f>
        <v/>
      </c>
      <c r="G809" t="str" vm="11389">
        <f>IFERROR(CUBEVALUE("BIDB",$A809,G$3,G$2,'Præsentationstabeller 1'!$C$2),0)</f>
        <v/>
      </c>
      <c r="H809" t="str" vm="10597">
        <f>IFERROR(CUBEVALUE("BIDB",$A809,H$3,H$2,'Præsentationstabeller 1'!$C$2),0)</f>
        <v/>
      </c>
      <c r="I809" t="str" vm="8718">
        <f>IFERROR(CUBEVALUE("BIDB",$A809,I$3,I$2,'Præsentationstabeller 1'!$C$2),0)</f>
        <v/>
      </c>
      <c r="J809" t="str" vm="8498">
        <f>IFERROR(CUBEVALUE("BIDB",$A809,J$3,J$2,'Præsentationstabeller 1'!$C$2),0)</f>
        <v/>
      </c>
      <c r="K809" t="str" vm="11980">
        <f>IFERROR(CUBEVALUE("BIDB",$A809,K$3,K$2,'Præsentationstabeller 1'!$C$2),0)</f>
        <v/>
      </c>
      <c r="L809" t="str" vm="14933">
        <f>IFERROR(CUBEVALUE("BIDB",$A809,L$3,L$2,'Præsentationstabeller 1'!$C$2),0)</f>
        <v/>
      </c>
    </row>
    <row r="810" spans="1:12" x14ac:dyDescent="0.3">
      <c r="A810" s="123" t="str" vm="526">
        <f>CUBEMEMBER("BIDB","[Dimittenddato].[Dimittenddato].&amp;[2015-08-10T00:00:00]")</f>
        <v>10-08-2015</v>
      </c>
      <c r="B810" vm="6252">
        <f>IFERROR(CUBEVALUE("BIDB",$A810,B$3,'Præsentationstabeller 1'!$C$2),0)</f>
        <v>1</v>
      </c>
      <c r="C810" t="str" vm="10927">
        <f>IFERROR(CUBEVALUE("BIDB",$A810,C$3,C$2,'Præsentationstabeller 1'!$C$2),0)</f>
        <v/>
      </c>
      <c r="D810" vm="10894">
        <f>IFERROR(CUBEVALUE("BIDB",$A810,D$3,D$2,'Præsentationstabeller 1'!$C$2),0)</f>
        <v>5</v>
      </c>
      <c r="E810" vm="6817">
        <f>IFERROR(CUBEVALUE("BIDB",$A810,E$3,E$2,'Præsentationstabeller 1'!$C$2),0)</f>
        <v>8</v>
      </c>
      <c r="F810" vm="5086">
        <f>IFERROR(CUBEVALUE("BIDB",$A810,F$3,F$2,'Præsentationstabeller 1'!$C$2),0)</f>
        <v>1</v>
      </c>
      <c r="G810" vm="14338">
        <f>IFERROR(CUBEVALUE("BIDB",$A810,G$3,G$2,'Præsentationstabeller 1'!$C$2),0)</f>
        <v>9</v>
      </c>
      <c r="H810" t="str" vm="10467">
        <f>IFERROR(CUBEVALUE("BIDB",$A810,H$3,H$2,'Præsentationstabeller 1'!$C$2),0)</f>
        <v/>
      </c>
      <c r="I810" vm="6758">
        <f>IFERROR(CUBEVALUE("BIDB",$A810,I$3,I$2,'Præsentationstabeller 1'!$C$2),0)</f>
        <v>2</v>
      </c>
      <c r="J810" vm="4318">
        <f>IFERROR(CUBEVALUE("BIDB",$A810,J$3,J$2,'Præsentationstabeller 1'!$C$2),0)</f>
        <v>1</v>
      </c>
      <c r="K810" t="str" vm="15283">
        <f>IFERROR(CUBEVALUE("BIDB",$A810,K$3,K$2,'Præsentationstabeller 1'!$C$2),0)</f>
        <v/>
      </c>
      <c r="L810" vm="10311">
        <f>IFERROR(CUBEVALUE("BIDB",$A810,L$3,L$2,'Præsentationstabeller 1'!$C$2),0)</f>
        <v>1</v>
      </c>
    </row>
    <row r="811" spans="1:12" x14ac:dyDescent="0.3">
      <c r="A811" s="123" t="str" vm="525">
        <f>CUBEMEMBER("BIDB","[Dimittenddato].[Dimittenddato].&amp;[2015-08-11T00:00:00]")</f>
        <v>11-08-2015</v>
      </c>
      <c r="B811" vm="10644">
        <f>IFERROR(CUBEVALUE("BIDB",$A811,B$3,'Præsentationstabeller 1'!$C$2),0)</f>
        <v>1</v>
      </c>
      <c r="C811" t="str" vm="14478">
        <f>IFERROR(CUBEVALUE("BIDB",$A811,C$3,C$2,'Præsentationstabeller 1'!$C$2),0)</f>
        <v/>
      </c>
      <c r="D811" vm="15197">
        <f>IFERROR(CUBEVALUE("BIDB",$A811,D$3,D$2,'Præsentationstabeller 1'!$C$2),0)</f>
        <v>2</v>
      </c>
      <c r="E811" vm="6307">
        <f>IFERROR(CUBEVALUE("BIDB",$A811,E$3,E$2,'Præsentationstabeller 1'!$C$2),0)</f>
        <v>8</v>
      </c>
      <c r="F811" vm="5532">
        <f>IFERROR(CUBEVALUE("BIDB",$A811,F$3,F$2,'Præsentationstabeller 1'!$C$2),0)</f>
        <v>1</v>
      </c>
      <c r="G811" vm="13316">
        <f>IFERROR(CUBEVALUE("BIDB",$A811,G$3,G$2,'Præsentationstabeller 1'!$C$2),0)</f>
        <v>9</v>
      </c>
      <c r="H811" t="str" vm="12622">
        <f>IFERROR(CUBEVALUE("BIDB",$A811,H$3,H$2,'Præsentationstabeller 1'!$C$2),0)</f>
        <v/>
      </c>
      <c r="I811" t="str" vm="8255">
        <f>IFERROR(CUBEVALUE("BIDB",$A811,I$3,I$2,'Præsentationstabeller 1'!$C$2),0)</f>
        <v/>
      </c>
      <c r="J811" vm="4316">
        <f>IFERROR(CUBEVALUE("BIDB",$A811,J$3,J$2,'Præsentationstabeller 1'!$C$2),0)</f>
        <v>2</v>
      </c>
      <c r="K811" t="str" vm="15176">
        <f>IFERROR(CUBEVALUE("BIDB",$A811,K$3,K$2,'Præsentationstabeller 1'!$C$2),0)</f>
        <v/>
      </c>
      <c r="L811" vm="14544">
        <f>IFERROR(CUBEVALUE("BIDB",$A811,L$3,L$2,'Præsentationstabeller 1'!$C$2),0)</f>
        <v>2</v>
      </c>
    </row>
    <row r="812" spans="1:12" x14ac:dyDescent="0.3">
      <c r="A812" s="123" t="str" vm="524">
        <f>CUBEMEMBER("BIDB","[Dimittenddato].[Dimittenddato].&amp;[2015-08-12T00:00:00]")</f>
        <v>12-08-2015</v>
      </c>
      <c r="B812" vm="5861">
        <f>IFERROR(CUBEVALUE("BIDB",$A812,B$3,'Præsentationstabeller 1'!$C$2),0)</f>
        <v>1</v>
      </c>
      <c r="C812" t="str" vm="16626">
        <f>IFERROR(CUBEVALUE("BIDB",$A812,C$3,C$2,'Præsentationstabeller 1'!$C$2),0)</f>
        <v/>
      </c>
      <c r="D812" vm="13066">
        <f>IFERROR(CUBEVALUE("BIDB",$A812,D$3,D$2,'Præsentationstabeller 1'!$C$2),0)</f>
        <v>4</v>
      </c>
      <c r="E812" vm="7208">
        <f>IFERROR(CUBEVALUE("BIDB",$A812,E$3,E$2,'Præsentationstabeller 1'!$C$2),0)</f>
        <v>11</v>
      </c>
      <c r="F812" vm="7172">
        <f>IFERROR(CUBEVALUE("BIDB",$A812,F$3,F$2,'Præsentationstabeller 1'!$C$2),0)</f>
        <v>1</v>
      </c>
      <c r="G812" vm="15225">
        <f>IFERROR(CUBEVALUE("BIDB",$A812,G$3,G$2,'Præsentationstabeller 1'!$C$2),0)</f>
        <v>12</v>
      </c>
      <c r="H812" t="str" vm="11644">
        <f>IFERROR(CUBEVALUE("BIDB",$A812,H$3,H$2,'Præsentationstabeller 1'!$C$2),0)</f>
        <v/>
      </c>
      <c r="I812" vm="8253">
        <f>IFERROR(CUBEVALUE("BIDB",$A812,I$3,I$2,'Præsentationstabeller 1'!$C$2),0)</f>
        <v>1</v>
      </c>
      <c r="J812" vm="16151">
        <f>IFERROR(CUBEVALUE("BIDB",$A812,J$3,J$2,'Præsentationstabeller 1'!$C$2),0)</f>
        <v>1</v>
      </c>
      <c r="K812" t="str" vm="10777">
        <f>IFERROR(CUBEVALUE("BIDB",$A812,K$3,K$2,'Præsentationstabeller 1'!$C$2),0)</f>
        <v/>
      </c>
      <c r="L812" vm="10175">
        <f>IFERROR(CUBEVALUE("BIDB",$A812,L$3,L$2,'Præsentationstabeller 1'!$C$2),0)</f>
        <v>1</v>
      </c>
    </row>
    <row r="813" spans="1:12" x14ac:dyDescent="0.3">
      <c r="A813" s="123" t="str" vm="523">
        <f>CUBEMEMBER("BIDB","[Dimittenddato].[Dimittenddato].&amp;[2015-08-13T00:00:00]")</f>
        <v>13-08-2015</v>
      </c>
      <c r="B813" vm="5853">
        <f>IFERROR(CUBEVALUE("BIDB",$A813,B$3,'Præsentationstabeller 1'!$C$2),0)</f>
        <v>1</v>
      </c>
      <c r="C813" vm="16517">
        <f>IFERROR(CUBEVALUE("BIDB",$A813,C$3,C$2,'Præsentationstabeller 1'!$C$2),0)</f>
        <v>1</v>
      </c>
      <c r="D813" vm="12006">
        <f>IFERROR(CUBEVALUE("BIDB",$A813,D$3,D$2,'Præsentationstabeller 1'!$C$2),0)</f>
        <v>3</v>
      </c>
      <c r="E813" vm="5526">
        <f>IFERROR(CUBEVALUE("BIDB",$A813,E$3,E$2,'Præsentationstabeller 1'!$C$2),0)</f>
        <v>13</v>
      </c>
      <c r="F813" vm="4409">
        <f>IFERROR(CUBEVALUE("BIDB",$A813,F$3,F$2,'Præsentationstabeller 1'!$C$2),0)</f>
        <v>4</v>
      </c>
      <c r="G813" vm="13833">
        <f>IFERROR(CUBEVALUE("BIDB",$A813,G$3,G$2,'Præsentationstabeller 1'!$C$2),0)</f>
        <v>17</v>
      </c>
      <c r="H813" t="str" vm="10729">
        <f>IFERROR(CUBEVALUE("BIDB",$A813,H$3,H$2,'Præsentationstabeller 1'!$C$2),0)</f>
        <v/>
      </c>
      <c r="I813" t="str" vm="8025">
        <f>IFERROR(CUBEVALUE("BIDB",$A813,I$3,I$2,'Præsentationstabeller 1'!$C$2),0)</f>
        <v/>
      </c>
      <c r="J813" vm="5684">
        <f>IFERROR(CUBEVALUE("BIDB",$A813,J$3,J$2,'Præsentationstabeller 1'!$C$2),0)</f>
        <v>0.6</v>
      </c>
      <c r="K813" vm="15129">
        <f>IFERROR(CUBEVALUE("BIDB",$A813,K$3,K$2,'Præsentationstabeller 1'!$C$2),0)</f>
        <v>0.8</v>
      </c>
      <c r="L813" vm="9963">
        <f>IFERROR(CUBEVALUE("BIDB",$A813,L$3,L$2,'Præsentationstabeller 1'!$C$2),0)</f>
        <v>1.4</v>
      </c>
    </row>
    <row r="814" spans="1:12" x14ac:dyDescent="0.3">
      <c r="A814" s="123" t="str" vm="522">
        <f>CUBEMEMBER("BIDB","[Dimittenddato].[Dimittenddato].&amp;[2015-08-14T00:00:00]")</f>
        <v>14-08-2015</v>
      </c>
      <c r="B814" vm="8994">
        <f>IFERROR(CUBEVALUE("BIDB",$A814,B$3,'Præsentationstabeller 1'!$C$2),0)</f>
        <v>1</v>
      </c>
      <c r="C814" t="str" vm="13960">
        <f>IFERROR(CUBEVALUE("BIDB",$A814,C$3,C$2,'Præsentationstabeller 1'!$C$2),0)</f>
        <v/>
      </c>
      <c r="D814" vm="14307">
        <f>IFERROR(CUBEVALUE("BIDB",$A814,D$3,D$2,'Præsentationstabeller 1'!$C$2),0)</f>
        <v>6</v>
      </c>
      <c r="E814" vm="5255">
        <f>IFERROR(CUBEVALUE("BIDB",$A814,E$3,E$2,'Præsentationstabeller 1'!$C$2),0)</f>
        <v>13</v>
      </c>
      <c r="F814" t="str" vm="4401">
        <f>IFERROR(CUBEVALUE("BIDB",$A814,F$3,F$2,'Præsentationstabeller 1'!$C$2),0)</f>
        <v/>
      </c>
      <c r="G814" vm="13780">
        <f>IFERROR(CUBEVALUE("BIDB",$A814,G$3,G$2,'Præsentationstabeller 1'!$C$2),0)</f>
        <v>13</v>
      </c>
      <c r="H814" t="str" vm="15275">
        <f>IFERROR(CUBEVALUE("BIDB",$A814,H$3,H$2,'Præsentationstabeller 1'!$C$2),0)</f>
        <v/>
      </c>
      <c r="I814" t="str" vm="10642">
        <f>IFERROR(CUBEVALUE("BIDB",$A814,I$3,I$2,'Præsentationstabeller 1'!$C$2),0)</f>
        <v/>
      </c>
      <c r="J814" vm="8776">
        <f>IFERROR(CUBEVALUE("BIDB",$A814,J$3,J$2,'Præsentationstabeller 1'!$C$2),0)</f>
        <v>0.44000000000000006</v>
      </c>
      <c r="K814" t="str" vm="10142">
        <f>IFERROR(CUBEVALUE("BIDB",$A814,K$3,K$2,'Præsentationstabeller 1'!$C$2),0)</f>
        <v/>
      </c>
      <c r="L814" vm="16367">
        <f>IFERROR(CUBEVALUE("BIDB",$A814,L$3,L$2,'Præsentationstabeller 1'!$C$2),0)</f>
        <v>0.44000000000000006</v>
      </c>
    </row>
    <row r="815" spans="1:12" x14ac:dyDescent="0.3">
      <c r="A815" s="123" t="str" vm="521">
        <f>CUBEMEMBER("BIDB","[Dimittenddato].[Dimittenddato].&amp;[2015-08-15T00:00:00]")</f>
        <v>15-08-2015</v>
      </c>
      <c r="B815" vm="6281">
        <f>IFERROR(CUBEVALUE("BIDB",$A815,B$3,'Præsentationstabeller 1'!$C$2),0)</f>
        <v>1</v>
      </c>
      <c r="C815" t="str" vm="15988">
        <f>IFERROR(CUBEVALUE("BIDB",$A815,C$3,C$2,'Præsentationstabeller 1'!$C$2),0)</f>
        <v/>
      </c>
      <c r="D815" t="str" vm="14373">
        <f>IFERROR(CUBEVALUE("BIDB",$A815,D$3,D$2,'Præsentationstabeller 1'!$C$2),0)</f>
        <v/>
      </c>
      <c r="E815" vm="5247">
        <f>IFERROR(CUBEVALUE("BIDB",$A815,E$3,E$2,'Præsentationstabeller 1'!$C$2),0)</f>
        <v>0</v>
      </c>
      <c r="F815" vm="16872">
        <f>IFERROR(CUBEVALUE("BIDB",$A815,F$3,F$2,'Præsentationstabeller 1'!$C$2),0)</f>
        <v>-1</v>
      </c>
      <c r="G815" vm="13429">
        <f>IFERROR(CUBEVALUE("BIDB",$A815,G$3,G$2,'Præsentationstabeller 1'!$C$2),0)</f>
        <v>-1</v>
      </c>
      <c r="H815" t="str" vm="9422">
        <f>IFERROR(CUBEVALUE("BIDB",$A815,H$3,H$2,'Præsentationstabeller 1'!$C$2),0)</f>
        <v/>
      </c>
      <c r="I815" t="str" vm="8384">
        <f>IFERROR(CUBEVALUE("BIDB",$A815,I$3,I$2,'Præsentationstabeller 1'!$C$2),0)</f>
        <v/>
      </c>
      <c r="J815" t="str" vm="7797">
        <f>IFERROR(CUBEVALUE("BIDB",$A815,J$3,J$2,'Præsentationstabeller 1'!$C$2),0)</f>
        <v/>
      </c>
      <c r="K815" t="str" vm="13907">
        <f>IFERROR(CUBEVALUE("BIDB",$A815,K$3,K$2,'Præsentationstabeller 1'!$C$2),0)</f>
        <v/>
      </c>
      <c r="L815" t="str" vm="14433">
        <f>IFERROR(CUBEVALUE("BIDB",$A815,L$3,L$2,'Præsentationstabeller 1'!$C$2),0)</f>
        <v/>
      </c>
    </row>
    <row r="816" spans="1:12" x14ac:dyDescent="0.3">
      <c r="A816" s="123" t="str" vm="520">
        <f>CUBEMEMBER("BIDB","[Dimittenddato].[Dimittenddato].&amp;[2015-08-16T00:00:00]")</f>
        <v>16-08-2015</v>
      </c>
      <c r="B816" vm="3792">
        <f>IFERROR(CUBEVALUE("BIDB",$A816,B$3,'Præsentationstabeller 1'!$C$2),0)</f>
        <v>1</v>
      </c>
      <c r="C816" t="str" vm="13889">
        <f>IFERROR(CUBEVALUE("BIDB",$A816,C$3,C$2,'Præsentationstabeller 1'!$C$2),0)</f>
        <v/>
      </c>
      <c r="D816" t="str" vm="16456">
        <f>IFERROR(CUBEVALUE("BIDB",$A816,D$3,D$2,'Præsentationstabeller 1'!$C$2),0)</f>
        <v/>
      </c>
      <c r="E816" t="str" vm="7186">
        <f>IFERROR(CUBEVALUE("BIDB",$A816,E$3,E$2,'Præsentationstabeller 1'!$C$2),0)</f>
        <v/>
      </c>
      <c r="F816" t="str" vm="6706">
        <f>IFERROR(CUBEVALUE("BIDB",$A816,F$3,F$2,'Præsentationstabeller 1'!$C$2),0)</f>
        <v/>
      </c>
      <c r="G816" t="str" vm="12933">
        <f>IFERROR(CUBEVALUE("BIDB",$A816,G$3,G$2,'Præsentationstabeller 1'!$C$2),0)</f>
        <v/>
      </c>
      <c r="H816" t="str" vm="11670">
        <f>IFERROR(CUBEVALUE("BIDB",$A816,H$3,H$2,'Præsentationstabeller 1'!$C$2),0)</f>
        <v/>
      </c>
      <c r="I816" t="str" vm="7406">
        <f>IFERROR(CUBEVALUE("BIDB",$A816,I$3,I$2,'Præsentationstabeller 1'!$C$2),0)</f>
        <v/>
      </c>
      <c r="J816" t="str" vm="8686">
        <f>IFERROR(CUBEVALUE("BIDB",$A816,J$3,J$2,'Præsentationstabeller 1'!$C$2),0)</f>
        <v/>
      </c>
      <c r="K816" t="str" vm="10528">
        <f>IFERROR(CUBEVALUE("BIDB",$A816,K$3,K$2,'Præsentationstabeller 1'!$C$2),0)</f>
        <v/>
      </c>
      <c r="L816" t="str" vm="11233">
        <f>IFERROR(CUBEVALUE("BIDB",$A816,L$3,L$2,'Præsentationstabeller 1'!$C$2),0)</f>
        <v/>
      </c>
    </row>
    <row r="817" spans="1:12" x14ac:dyDescent="0.3">
      <c r="A817" s="123" t="str" vm="519">
        <f>CUBEMEMBER("BIDB","[Dimittenddato].[Dimittenddato].&amp;[2015-08-17T00:00:00]")</f>
        <v>17-08-2015</v>
      </c>
      <c r="B817" vm="3784">
        <f>IFERROR(CUBEVALUE("BIDB",$A817,B$3,'Præsentationstabeller 1'!$C$2),0)</f>
        <v>1</v>
      </c>
      <c r="C817" t="str" vm="11618">
        <f>IFERROR(CUBEVALUE("BIDB",$A817,C$3,C$2,'Præsentationstabeller 1'!$C$2),0)</f>
        <v/>
      </c>
      <c r="D817" vm="15920">
        <f>IFERROR(CUBEVALUE("BIDB",$A817,D$3,D$2,'Præsentationstabeller 1'!$C$2),0)</f>
        <v>2</v>
      </c>
      <c r="E817" vm="9275">
        <f>IFERROR(CUBEVALUE("BIDB",$A817,E$3,E$2,'Præsentationstabeller 1'!$C$2),0)</f>
        <v>4</v>
      </c>
      <c r="F817" vm="6192">
        <f>IFERROR(CUBEVALUE("BIDB",$A817,F$3,F$2,'Præsentationstabeller 1'!$C$2),0)</f>
        <v>1</v>
      </c>
      <c r="G817" vm="16450">
        <f>IFERROR(CUBEVALUE("BIDB",$A817,G$3,G$2,'Præsentationstabeller 1'!$C$2),0)</f>
        <v>5</v>
      </c>
      <c r="H817" t="str" vm="9826">
        <f>IFERROR(CUBEVALUE("BIDB",$A817,H$3,H$2,'Præsentationstabeller 1'!$C$2),0)</f>
        <v/>
      </c>
      <c r="I817" vm="6287">
        <f>IFERROR(CUBEVALUE("BIDB",$A817,I$3,I$2,'Præsentationstabeller 1'!$C$2),0)</f>
        <v>1.72</v>
      </c>
      <c r="J817" vm="5652">
        <f>IFERROR(CUBEVALUE("BIDB",$A817,J$3,J$2,'Præsentationstabeller 1'!$C$2),0)</f>
        <v>1</v>
      </c>
      <c r="K817" t="str" vm="15347">
        <f>IFERROR(CUBEVALUE("BIDB",$A817,K$3,K$2,'Præsentationstabeller 1'!$C$2),0)</f>
        <v/>
      </c>
      <c r="L817" vm="10011">
        <f>IFERROR(CUBEVALUE("BIDB",$A817,L$3,L$2,'Præsentationstabeller 1'!$C$2),0)</f>
        <v>1</v>
      </c>
    </row>
    <row r="818" spans="1:12" x14ac:dyDescent="0.3">
      <c r="A818" s="123" t="str" vm="518">
        <f>CUBEMEMBER("BIDB","[Dimittenddato].[Dimittenddato].&amp;[2015-08-18T00:00:00]")</f>
        <v>18-08-2015</v>
      </c>
      <c r="B818" vm="7551">
        <f>IFERROR(CUBEVALUE("BIDB",$A818,B$3,'Præsentationstabeller 1'!$C$2),0)</f>
        <v>1</v>
      </c>
      <c r="C818" vm="16518">
        <f>IFERROR(CUBEVALUE("BIDB",$A818,C$3,C$2,'Præsentationstabeller 1'!$C$2),0)</f>
        <v>3</v>
      </c>
      <c r="D818" vm="12971">
        <f>IFERROR(CUBEVALUE("BIDB",$A818,D$3,D$2,'Præsentationstabeller 1'!$C$2),0)</f>
        <v>8</v>
      </c>
      <c r="E818" vm="5988">
        <f>IFERROR(CUBEVALUE("BIDB",$A818,E$3,E$2,'Præsentationstabeller 1'!$C$2),0)</f>
        <v>5</v>
      </c>
      <c r="F818" t="str" vm="6190">
        <f>IFERROR(CUBEVALUE("BIDB",$A818,F$3,F$2,'Præsentationstabeller 1'!$C$2),0)</f>
        <v/>
      </c>
      <c r="G818" vm="13080">
        <f>IFERROR(CUBEVALUE("BIDB",$A818,G$3,G$2,'Præsentationstabeller 1'!$C$2),0)</f>
        <v>5</v>
      </c>
      <c r="H818" vm="10126">
        <f>IFERROR(CUBEVALUE("BIDB",$A818,H$3,H$2,'Præsentationstabeller 1'!$C$2),0)</f>
        <v>1</v>
      </c>
      <c r="I818" vm="7314">
        <f>IFERROR(CUBEVALUE("BIDB",$A818,I$3,I$2,'Præsentationstabeller 1'!$C$2),0)</f>
        <v>1</v>
      </c>
      <c r="J818" vm="5124">
        <f>IFERROR(CUBEVALUE("BIDB",$A818,J$3,J$2,'Præsentationstabeller 1'!$C$2),0)</f>
        <v>0.95675675675675675</v>
      </c>
      <c r="K818" t="str" vm="11586">
        <f>IFERROR(CUBEVALUE("BIDB",$A818,K$3,K$2,'Præsentationstabeller 1'!$C$2),0)</f>
        <v/>
      </c>
      <c r="L818" vm="15577">
        <f>IFERROR(CUBEVALUE("BIDB",$A818,L$3,L$2,'Præsentationstabeller 1'!$C$2),0)</f>
        <v>0.95675675675675675</v>
      </c>
    </row>
    <row r="819" spans="1:12" x14ac:dyDescent="0.3">
      <c r="A819" s="123" t="str" vm="517">
        <f>CUBEMEMBER("BIDB","[Dimittenddato].[Dimittenddato].&amp;[2015-08-19T00:00:00]")</f>
        <v>19-08-2015</v>
      </c>
      <c r="B819" vm="8267">
        <f>IFERROR(CUBEVALUE("BIDB",$A819,B$3,'Præsentationstabeller 1'!$C$2),0)</f>
        <v>1</v>
      </c>
      <c r="C819" t="str" vm="13751">
        <f>IFERROR(CUBEVALUE("BIDB",$A819,C$3,C$2,'Præsentationstabeller 1'!$C$2),0)</f>
        <v/>
      </c>
      <c r="D819" vm="17124">
        <f>IFERROR(CUBEVALUE("BIDB",$A819,D$3,D$2,'Præsentationstabeller 1'!$C$2),0)</f>
        <v>8</v>
      </c>
      <c r="E819" vm="5980">
        <f>IFERROR(CUBEVALUE("BIDB",$A819,E$3,E$2,'Præsentationstabeller 1'!$C$2),0)</f>
        <v>10</v>
      </c>
      <c r="F819" vm="10245">
        <f>IFERROR(CUBEVALUE("BIDB",$A819,F$3,F$2,'Præsentationstabeller 1'!$C$2),0)</f>
        <v>2</v>
      </c>
      <c r="G819" vm="16409">
        <f>IFERROR(CUBEVALUE("BIDB",$A819,G$3,G$2,'Præsentationstabeller 1'!$C$2),0)</f>
        <v>12</v>
      </c>
      <c r="H819" t="str" vm="14731">
        <f>IFERROR(CUBEVALUE("BIDB",$A819,H$3,H$2,'Præsentationstabeller 1'!$C$2),0)</f>
        <v/>
      </c>
      <c r="I819" vm="4272">
        <f>IFERROR(CUBEVALUE("BIDB",$A819,I$3,I$2,'Præsentationstabeller 1'!$C$2),0)</f>
        <v>0.6</v>
      </c>
      <c r="J819" vm="5116">
        <f>IFERROR(CUBEVALUE("BIDB",$A819,J$3,J$2,'Præsentationstabeller 1'!$C$2),0)</f>
        <v>2</v>
      </c>
      <c r="K819" vm="15884">
        <f>IFERROR(CUBEVALUE("BIDB",$A819,K$3,K$2,'Præsentationstabeller 1'!$C$2),0)</f>
        <v>1</v>
      </c>
      <c r="L819" vm="15894">
        <f>IFERROR(CUBEVALUE("BIDB",$A819,L$3,L$2,'Præsentationstabeller 1'!$C$2),0)</f>
        <v>3</v>
      </c>
    </row>
    <row r="820" spans="1:12" x14ac:dyDescent="0.3">
      <c r="A820" s="123" t="str" vm="516">
        <f>CUBEMEMBER("BIDB","[Dimittenddato].[Dimittenddato].&amp;[2015-08-20T00:00:00]")</f>
        <v>20-08-2015</v>
      </c>
      <c r="B820" vm="5139">
        <f>IFERROR(CUBEVALUE("BIDB",$A820,B$3,'Præsentationstabeller 1'!$C$2),0)</f>
        <v>1</v>
      </c>
      <c r="C820" vm="14921">
        <f>IFERROR(CUBEVALUE("BIDB",$A820,C$3,C$2,'Præsentationstabeller 1'!$C$2),0)</f>
        <v>1</v>
      </c>
      <c r="D820" vm="11380">
        <f>IFERROR(CUBEVALUE("BIDB",$A820,D$3,D$2,'Præsentationstabeller 1'!$C$2),0)</f>
        <v>7</v>
      </c>
      <c r="E820" vm="6712">
        <f>IFERROR(CUBEVALUE("BIDB",$A820,E$3,E$2,'Præsentationstabeller 1'!$C$2),0)</f>
        <v>7</v>
      </c>
      <c r="F820" vm="6674">
        <f>IFERROR(CUBEVALUE("BIDB",$A820,F$3,F$2,'Præsentationstabeller 1'!$C$2),0)</f>
        <v>2</v>
      </c>
      <c r="G820" vm="14391">
        <f>IFERROR(CUBEVALUE("BIDB",$A820,G$3,G$2,'Præsentationstabeller 1'!$C$2),0)</f>
        <v>9</v>
      </c>
      <c r="H820" t="str" vm="15355">
        <f>IFERROR(CUBEVALUE("BIDB",$A820,H$3,H$2,'Præsentationstabeller 1'!$C$2),0)</f>
        <v/>
      </c>
      <c r="I820" vm="4264">
        <f>IFERROR(CUBEVALUE("BIDB",$A820,I$3,I$2,'Præsentationstabeller 1'!$C$2),0)</f>
        <v>2</v>
      </c>
      <c r="J820" vm="10944">
        <f>IFERROR(CUBEVALUE("BIDB",$A820,J$3,J$2,'Præsentationstabeller 1'!$C$2),0)</f>
        <v>1</v>
      </c>
      <c r="K820" vm="11835">
        <f>IFERROR(CUBEVALUE("BIDB",$A820,K$3,K$2,'Præsentationstabeller 1'!$C$2),0)</f>
        <v>1</v>
      </c>
      <c r="L820" vm="7637">
        <f>IFERROR(CUBEVALUE("BIDB",$A820,L$3,L$2,'Præsentationstabeller 1'!$C$2),0)</f>
        <v>2</v>
      </c>
    </row>
    <row r="821" spans="1:12" x14ac:dyDescent="0.3">
      <c r="A821" s="123" t="str" vm="515">
        <f>CUBEMEMBER("BIDB","[Dimittenddato].[Dimittenddato].&amp;[2015-08-21T00:00:00]")</f>
        <v>21-08-2015</v>
      </c>
      <c r="B821" vm="5137">
        <f>IFERROR(CUBEVALUE("BIDB",$A821,B$3,'Præsentationstabeller 1'!$C$2),0)</f>
        <v>1</v>
      </c>
      <c r="C821" vm="14031">
        <f>IFERROR(CUBEVALUE("BIDB",$A821,C$3,C$2,'Præsentationstabeller 1'!$C$2),0)</f>
        <v>1</v>
      </c>
      <c r="D821" vm="15698">
        <f>IFERROR(CUBEVALUE("BIDB",$A821,D$3,D$2,'Præsentationstabeller 1'!$C$2),0)</f>
        <v>7</v>
      </c>
      <c r="E821" vm="8395">
        <f>IFERROR(CUBEVALUE("BIDB",$A821,E$3,E$2,'Præsentationstabeller 1'!$C$2),0)</f>
        <v>13</v>
      </c>
      <c r="F821" vm="5891">
        <f>IFERROR(CUBEVALUE("BIDB",$A821,F$3,F$2,'Præsentationstabeller 1'!$C$2),0)</f>
        <v>3</v>
      </c>
      <c r="G821" vm="16616">
        <f>IFERROR(CUBEVALUE("BIDB",$A821,G$3,G$2,'Præsentationstabeller 1'!$C$2),0)</f>
        <v>16</v>
      </c>
      <c r="H821" t="str" vm="13244">
        <f>IFERROR(CUBEVALUE("BIDB",$A821,H$3,H$2,'Præsentationstabeller 1'!$C$2),0)</f>
        <v/>
      </c>
      <c r="I821" vm="13250">
        <f>IFERROR(CUBEVALUE("BIDB",$A821,I$3,I$2,'Præsentationstabeller 1'!$C$2),0)</f>
        <v>1.48</v>
      </c>
      <c r="J821" vm="9123">
        <f>IFERROR(CUBEVALUE("BIDB",$A821,J$3,J$2,'Præsentationstabeller 1'!$C$2),0)</f>
        <v>0.6</v>
      </c>
      <c r="K821" vm="11872">
        <f>IFERROR(CUBEVALUE("BIDB",$A821,K$3,K$2,'Præsentationstabeller 1'!$C$2),0)</f>
        <v>0.67999999999999994</v>
      </c>
      <c r="L821" vm="11299">
        <f>IFERROR(CUBEVALUE("BIDB",$A821,L$3,L$2,'Præsentationstabeller 1'!$C$2),0)</f>
        <v>1.28</v>
      </c>
    </row>
    <row r="822" spans="1:12" x14ac:dyDescent="0.3">
      <c r="A822" s="123" t="str" vm="514">
        <f>CUBEMEMBER("BIDB","[Dimittenddato].[Dimittenddato].&amp;[2015-08-22T00:00:00]")</f>
        <v>22-08-2015</v>
      </c>
      <c r="B822" vm="7560">
        <f>IFERROR(CUBEVALUE("BIDB",$A822,B$3,'Præsentationstabeller 1'!$C$2),0)</f>
        <v>1</v>
      </c>
      <c r="C822" vm="15664">
        <f>IFERROR(CUBEVALUE("BIDB",$A822,C$3,C$2,'Præsentationstabeller 1'!$C$2),0)</f>
        <v>1</v>
      </c>
      <c r="D822" vm="11785">
        <f>IFERROR(CUBEVALUE("BIDB",$A822,D$3,D$2,'Præsentationstabeller 1'!$C$2),0)</f>
        <v>1</v>
      </c>
      <c r="E822" t="str" vm="6094">
        <f>IFERROR(CUBEVALUE("BIDB",$A822,E$3,E$2,'Præsentationstabeller 1'!$C$2),0)</f>
        <v/>
      </c>
      <c r="F822" t="str" vm="5883">
        <f>IFERROR(CUBEVALUE("BIDB",$A822,F$3,F$2,'Præsentationstabeller 1'!$C$2),0)</f>
        <v/>
      </c>
      <c r="G822" t="str" vm="13830">
        <f>IFERROR(CUBEVALUE("BIDB",$A822,G$3,G$2,'Præsentationstabeller 1'!$C$2),0)</f>
        <v/>
      </c>
      <c r="H822" t="str" vm="11578">
        <f>IFERROR(CUBEVALUE("BIDB",$A822,H$3,H$2,'Præsentationstabeller 1'!$C$2),0)</f>
        <v/>
      </c>
      <c r="I822" vm="5303">
        <f>IFERROR(CUBEVALUE("BIDB",$A822,I$3,I$2,'Præsentationstabeller 1'!$C$2),0)</f>
        <v>1</v>
      </c>
      <c r="J822" t="str" vm="4841">
        <f>IFERROR(CUBEVALUE("BIDB",$A822,J$3,J$2,'Præsentationstabeller 1'!$C$2),0)</f>
        <v/>
      </c>
      <c r="K822" t="str" vm="14121">
        <f>IFERROR(CUBEVALUE("BIDB",$A822,K$3,K$2,'Præsentationstabeller 1'!$C$2),0)</f>
        <v/>
      </c>
      <c r="L822" t="str" vm="12457">
        <f>IFERROR(CUBEVALUE("BIDB",$A822,L$3,L$2,'Præsentationstabeller 1'!$C$2),0)</f>
        <v/>
      </c>
    </row>
    <row r="823" spans="1:12" x14ac:dyDescent="0.3">
      <c r="A823" s="123" t="str" vm="513">
        <f>CUBEMEMBER("BIDB","[Dimittenddato].[Dimittenddato].&amp;[2015-08-23T00:00:00]")</f>
        <v>23-08-2015</v>
      </c>
      <c r="B823" vm="8259">
        <f>IFERROR(CUBEVALUE("BIDB",$A823,B$3,'Præsentationstabeller 1'!$C$2),0)</f>
        <v>1</v>
      </c>
      <c r="C823" t="str" vm="13011">
        <f>IFERROR(CUBEVALUE("BIDB",$A823,C$3,C$2,'Præsentationstabeller 1'!$C$2),0)</f>
        <v/>
      </c>
      <c r="D823" t="str" vm="10930">
        <f>IFERROR(CUBEVALUE("BIDB",$A823,D$3,D$2,'Præsentationstabeller 1'!$C$2),0)</f>
        <v/>
      </c>
      <c r="E823" t="str" vm="6092">
        <f>IFERROR(CUBEVALUE("BIDB",$A823,E$3,E$2,'Præsentationstabeller 1'!$C$2),0)</f>
        <v/>
      </c>
      <c r="F823" t="str" vm="5540">
        <f>IFERROR(CUBEVALUE("BIDB",$A823,F$3,F$2,'Præsentationstabeller 1'!$C$2),0)</f>
        <v/>
      </c>
      <c r="G823" t="str" vm="14226">
        <f>IFERROR(CUBEVALUE("BIDB",$A823,G$3,G$2,'Præsentationstabeller 1'!$C$2),0)</f>
        <v/>
      </c>
      <c r="H823" t="str" vm="16324">
        <f>IFERROR(CUBEVALUE("BIDB",$A823,H$3,H$2,'Præsentationstabeller 1'!$C$2),0)</f>
        <v/>
      </c>
      <c r="I823" t="str" vm="12366">
        <f>IFERROR(CUBEVALUE("BIDB",$A823,I$3,I$2,'Præsentationstabeller 1'!$C$2),0)</f>
        <v/>
      </c>
      <c r="J823" t="str" vm="4833">
        <f>IFERROR(CUBEVALUE("BIDB",$A823,J$3,J$2,'Præsentationstabeller 1'!$C$2),0)</f>
        <v/>
      </c>
      <c r="K823" t="str" vm="17042">
        <f>IFERROR(CUBEVALUE("BIDB",$A823,K$3,K$2,'Præsentationstabeller 1'!$C$2),0)</f>
        <v/>
      </c>
      <c r="L823" t="str" vm="9576">
        <f>IFERROR(CUBEVALUE("BIDB",$A823,L$3,L$2,'Præsentationstabeller 1'!$C$2),0)</f>
        <v/>
      </c>
    </row>
    <row r="824" spans="1:12" x14ac:dyDescent="0.3">
      <c r="A824" s="123" t="str" vm="512">
        <f>CUBEMEMBER("BIDB","[Dimittenddato].[Dimittenddato].&amp;[2015-08-24T00:00:00]")</f>
        <v>24-08-2015</v>
      </c>
      <c r="B824" vm="8103">
        <f>IFERROR(CUBEVALUE("BIDB",$A824,B$3,'Præsentationstabeller 1'!$C$2),0)</f>
        <v>1</v>
      </c>
      <c r="C824" vm="15258">
        <f>IFERROR(CUBEVALUE("BIDB",$A824,C$3,C$2,'Præsentationstabeller 1'!$C$2),0)</f>
        <v>1</v>
      </c>
      <c r="D824" vm="14798">
        <f>IFERROR(CUBEVALUE("BIDB",$A824,D$3,D$2,'Præsentationstabeller 1'!$C$2),0)</f>
        <v>11</v>
      </c>
      <c r="E824" vm="13425">
        <f>IFERROR(CUBEVALUE("BIDB",$A824,E$3,E$2,'Præsentationstabeller 1'!$C$2),0)</f>
        <v>5</v>
      </c>
      <c r="F824" vm="8223">
        <f>IFERROR(CUBEVALUE("BIDB",$A824,F$3,F$2,'Præsentationstabeller 1'!$C$2),0)</f>
        <v>1</v>
      </c>
      <c r="G824" vm="16987">
        <f>IFERROR(CUBEVALUE("BIDB",$A824,G$3,G$2,'Præsentationstabeller 1'!$C$2),0)</f>
        <v>6</v>
      </c>
      <c r="H824" t="str" vm="12061">
        <f>IFERROR(CUBEVALUE("BIDB",$A824,H$3,H$2,'Præsentationstabeller 1'!$C$2),0)</f>
        <v/>
      </c>
      <c r="I824" vm="16526">
        <f>IFERROR(CUBEVALUE("BIDB",$A824,I$3,I$2,'Præsentationstabeller 1'!$C$2),0)</f>
        <v>3.3131891891891896</v>
      </c>
      <c r="J824" t="str" vm="5658">
        <f>IFERROR(CUBEVALUE("BIDB",$A824,J$3,J$2,'Præsentationstabeller 1'!$C$2),0)</f>
        <v/>
      </c>
      <c r="K824" t="str" vm="11509">
        <f>IFERROR(CUBEVALUE("BIDB",$A824,K$3,K$2,'Præsentationstabeller 1'!$C$2),0)</f>
        <v/>
      </c>
      <c r="L824" t="str" vm="8424">
        <f>IFERROR(CUBEVALUE("BIDB",$A824,L$3,L$2,'Præsentationstabeller 1'!$C$2),0)</f>
        <v/>
      </c>
    </row>
    <row r="825" spans="1:12" x14ac:dyDescent="0.3">
      <c r="A825" s="123" t="str" vm="511">
        <f>CUBEMEMBER("BIDB","[Dimittenddato].[Dimittenddato].&amp;[2015-08-25T00:00:00]")</f>
        <v>25-08-2015</v>
      </c>
      <c r="B825" vm="9080">
        <f>IFERROR(CUBEVALUE("BIDB",$A825,B$3,'Præsentationstabeller 1'!$C$2),0)</f>
        <v>1</v>
      </c>
      <c r="C825" t="str" vm="9527">
        <f>IFERROR(CUBEVALUE("BIDB",$A825,C$3,C$2,'Præsentationstabeller 1'!$C$2),0)</f>
        <v/>
      </c>
      <c r="D825" vm="13623">
        <f>IFERROR(CUBEVALUE("BIDB",$A825,D$3,D$2,'Præsentationstabeller 1'!$C$2),0)</f>
        <v>8</v>
      </c>
      <c r="E825" vm="5430">
        <f>IFERROR(CUBEVALUE("BIDB",$A825,E$3,E$2,'Præsentationstabeller 1'!$C$2),0)</f>
        <v>6</v>
      </c>
      <c r="F825" vm="5607">
        <f>IFERROR(CUBEVALUE("BIDB",$A825,F$3,F$2,'Præsentationstabeller 1'!$C$2),0)</f>
        <v>1</v>
      </c>
      <c r="G825" vm="14453">
        <f>IFERROR(CUBEVALUE("BIDB",$A825,G$3,G$2,'Præsentationstabeller 1'!$C$2),0)</f>
        <v>7</v>
      </c>
      <c r="H825" t="str" vm="13109">
        <f>IFERROR(CUBEVALUE("BIDB",$A825,H$3,H$2,'Præsentationstabeller 1'!$C$2),0)</f>
        <v/>
      </c>
      <c r="I825" vm="6303">
        <f>IFERROR(CUBEVALUE("BIDB",$A825,I$3,I$2,'Præsentationstabeller 1'!$C$2),0)</f>
        <v>2</v>
      </c>
      <c r="J825" t="str" vm="7679">
        <f>IFERROR(CUBEVALUE("BIDB",$A825,J$3,J$2,'Præsentationstabeller 1'!$C$2),0)</f>
        <v/>
      </c>
      <c r="K825" t="str" vm="11851">
        <f>IFERROR(CUBEVALUE("BIDB",$A825,K$3,K$2,'Præsentationstabeller 1'!$C$2),0)</f>
        <v/>
      </c>
      <c r="L825" t="str" vm="11924">
        <f>IFERROR(CUBEVALUE("BIDB",$A825,L$3,L$2,'Præsentationstabeller 1'!$C$2),0)</f>
        <v/>
      </c>
    </row>
    <row r="826" spans="1:12" x14ac:dyDescent="0.3">
      <c r="A826" s="123" t="str" vm="510">
        <f>CUBEMEMBER("BIDB","[Dimittenddato].[Dimittenddato].&amp;[2015-08-26T00:00:00]")</f>
        <v>26-08-2015</v>
      </c>
      <c r="B826" vm="8017">
        <f>IFERROR(CUBEVALUE("BIDB",$A826,B$3,'Præsentationstabeller 1'!$C$2),0)</f>
        <v>1</v>
      </c>
      <c r="C826" t="str" vm="15277">
        <f>IFERROR(CUBEVALUE("BIDB",$A826,C$3,C$2,'Præsentationstabeller 1'!$C$2),0)</f>
        <v/>
      </c>
      <c r="D826" vm="10097">
        <f>IFERROR(CUBEVALUE("BIDB",$A826,D$3,D$2,'Præsentationstabeller 1'!$C$2),0)</f>
        <v>12</v>
      </c>
      <c r="E826" vm="10640">
        <f>IFERROR(CUBEVALUE("BIDB",$A826,E$3,E$2,'Præsentationstabeller 1'!$C$2),0)</f>
        <v>4</v>
      </c>
      <c r="F826" vm="5599">
        <f>IFERROR(CUBEVALUE("BIDB",$A826,F$3,F$2,'Præsentationstabeller 1'!$C$2),0)</f>
        <v>2</v>
      </c>
      <c r="G826" vm="13891">
        <f>IFERROR(CUBEVALUE("BIDB",$A826,G$3,G$2,'Præsentationstabeller 1'!$C$2),0)</f>
        <v>6</v>
      </c>
      <c r="H826" t="str" vm="13248">
        <f>IFERROR(CUBEVALUE("BIDB",$A826,H$3,H$2,'Præsentationstabeller 1'!$C$2),0)</f>
        <v/>
      </c>
      <c r="I826" vm="5271">
        <f>IFERROR(CUBEVALUE("BIDB",$A826,I$3,I$2,'Præsentationstabeller 1'!$C$2),0)</f>
        <v>1.72</v>
      </c>
      <c r="J826" vm="4160">
        <f>IFERROR(CUBEVALUE("BIDB",$A826,J$3,J$2,'Præsentationstabeller 1'!$C$2),0)</f>
        <v>0.08</v>
      </c>
      <c r="K826" vm="14705">
        <f>IFERROR(CUBEVALUE("BIDB",$A826,K$3,K$2,'Præsentationstabeller 1'!$C$2),0)</f>
        <v>1</v>
      </c>
      <c r="L826" vm="9514">
        <f>IFERROR(CUBEVALUE("BIDB",$A826,L$3,L$2,'Præsentationstabeller 1'!$C$2),0)</f>
        <v>1.08</v>
      </c>
    </row>
    <row r="827" spans="1:12" x14ac:dyDescent="0.3">
      <c r="A827" s="123" t="str" vm="509">
        <f>CUBEMEMBER("BIDB","[Dimittenddato].[Dimittenddato].&amp;[2015-08-27T00:00:00]")</f>
        <v>27-08-2015</v>
      </c>
      <c r="B827" vm="8191">
        <f>IFERROR(CUBEVALUE("BIDB",$A827,B$3,'Præsentationstabeller 1'!$C$2),0)</f>
        <v>1</v>
      </c>
      <c r="C827" t="str" vm="16464">
        <f>IFERROR(CUBEVALUE("BIDB",$A827,C$3,C$2,'Præsentationstabeller 1'!$C$2),0)</f>
        <v/>
      </c>
      <c r="D827" vm="14983">
        <f>IFERROR(CUBEVALUE("BIDB",$A827,D$3,D$2,'Præsentationstabeller 1'!$C$2),0)</f>
        <v>8</v>
      </c>
      <c r="E827" vm="7519">
        <f>IFERROR(CUBEVALUE("BIDB",$A827,E$3,E$2,'Præsentationstabeller 1'!$C$2),0)</f>
        <v>6</v>
      </c>
      <c r="F827" vm="16478">
        <f>IFERROR(CUBEVALUE("BIDB",$A827,F$3,F$2,'Præsentationstabeller 1'!$C$2),0)</f>
        <v>2</v>
      </c>
      <c r="G827" vm="15620">
        <f>IFERROR(CUBEVALUE("BIDB",$A827,G$3,G$2,'Præsentationstabeller 1'!$C$2),0)</f>
        <v>8</v>
      </c>
      <c r="H827" t="str" vm="15026">
        <f>IFERROR(CUBEVALUE("BIDB",$A827,H$3,H$2,'Præsentationstabeller 1'!$C$2),0)</f>
        <v/>
      </c>
      <c r="I827" vm="6018">
        <f>IFERROR(CUBEVALUE("BIDB",$A827,I$3,I$2,'Præsentationstabeller 1'!$C$2),0)</f>
        <v>2.52</v>
      </c>
      <c r="J827" vm="4152">
        <f>IFERROR(CUBEVALUE("BIDB",$A827,J$3,J$2,'Præsentationstabeller 1'!$C$2),0)</f>
        <v>1</v>
      </c>
      <c r="K827" t="str" vm="15260">
        <f>IFERROR(CUBEVALUE("BIDB",$A827,K$3,K$2,'Præsentationstabeller 1'!$C$2),0)</f>
        <v/>
      </c>
      <c r="L827" vm="11279">
        <f>IFERROR(CUBEVALUE("BIDB",$A827,L$3,L$2,'Præsentationstabeller 1'!$C$2),0)</f>
        <v>1</v>
      </c>
    </row>
    <row r="828" spans="1:12" x14ac:dyDescent="0.3">
      <c r="A828" s="123" t="str" vm="508">
        <f>CUBEMEMBER("BIDB","[Dimittenddato].[Dimittenddato].&amp;[2015-08-28T00:00:00]")</f>
        <v>28-08-2015</v>
      </c>
      <c r="B828" vm="6873">
        <f>IFERROR(CUBEVALUE("BIDB",$A828,B$3,'Præsentationstabeller 1'!$C$2),0)</f>
        <v>1</v>
      </c>
      <c r="C828" vm="13266">
        <f>IFERROR(CUBEVALUE("BIDB",$A828,C$3,C$2,'Præsentationstabeller 1'!$C$2),0)</f>
        <v>2</v>
      </c>
      <c r="D828" vm="14895">
        <f>IFERROR(CUBEVALUE("BIDB",$A828,D$3,D$2,'Præsentationstabeller 1'!$C$2),0)</f>
        <v>9</v>
      </c>
      <c r="E828" vm="7110">
        <f>IFERROR(CUBEVALUE("BIDB",$A828,E$3,E$2,'Præsentationstabeller 1'!$C$2),0)</f>
        <v>13</v>
      </c>
      <c r="F828" vm="7044">
        <f>IFERROR(CUBEVALUE("BIDB",$A828,F$3,F$2,'Præsentationstabeller 1'!$C$2),0)</f>
        <v>1</v>
      </c>
      <c r="G828" vm="14923">
        <f>IFERROR(CUBEVALUE("BIDB",$A828,G$3,G$2,'Præsentationstabeller 1'!$C$2),0)</f>
        <v>14</v>
      </c>
      <c r="H828" vm="13093">
        <f>IFERROR(CUBEVALUE("BIDB",$A828,H$3,H$2,'Præsentationstabeller 1'!$C$2),0)</f>
        <v>1.2</v>
      </c>
      <c r="I828" vm="6010">
        <f>IFERROR(CUBEVALUE("BIDB",$A828,I$3,I$2,'Præsentationstabeller 1'!$C$2),0)</f>
        <v>2</v>
      </c>
      <c r="J828" vm="10354">
        <f>IFERROR(CUBEVALUE("BIDB",$A828,J$3,J$2,'Præsentationstabeller 1'!$C$2),0)</f>
        <v>0.6</v>
      </c>
      <c r="K828" t="str" vm="9980">
        <f>IFERROR(CUBEVALUE("BIDB",$A828,K$3,K$2,'Præsentationstabeller 1'!$C$2),0)</f>
        <v/>
      </c>
      <c r="L828" vm="9750">
        <f>IFERROR(CUBEVALUE("BIDB",$A828,L$3,L$2,'Præsentationstabeller 1'!$C$2),0)</f>
        <v>0.6</v>
      </c>
    </row>
    <row r="829" spans="1:12" x14ac:dyDescent="0.3">
      <c r="A829" s="123" t="str" vm="507">
        <f>CUBEMEMBER("BIDB","[Dimittenddato].[Dimittenddato].&amp;[2015-08-29T00:00:00]")</f>
        <v>29-08-2015</v>
      </c>
      <c r="B829" vm="6871">
        <f>IFERROR(CUBEVALUE("BIDB",$A829,B$3,'Præsentationstabeller 1'!$C$2),0)</f>
        <v>1</v>
      </c>
      <c r="C829" t="str" vm="12859">
        <f>IFERROR(CUBEVALUE("BIDB",$A829,C$3,C$2,'Præsentationstabeller 1'!$C$2),0)</f>
        <v/>
      </c>
      <c r="D829" t="str" vm="12100">
        <f>IFERROR(CUBEVALUE("BIDB",$A829,D$3,D$2,'Præsentationstabeller 1'!$C$2),0)</f>
        <v/>
      </c>
      <c r="E829" t="str" vm="5398">
        <f>IFERROR(CUBEVALUE("BIDB",$A829,E$3,E$2,'Præsentationstabeller 1'!$C$2),0)</f>
        <v/>
      </c>
      <c r="F829" t="str" vm="3539">
        <f>IFERROR(CUBEVALUE("BIDB",$A829,F$3,F$2,'Præsentationstabeller 1'!$C$2),0)</f>
        <v/>
      </c>
      <c r="G829" t="str" vm="15208">
        <f>IFERROR(CUBEVALUE("BIDB",$A829,G$3,G$2,'Præsentationstabeller 1'!$C$2),0)</f>
        <v/>
      </c>
      <c r="H829" t="str" vm="11220">
        <f>IFERROR(CUBEVALUE("BIDB",$A829,H$3,H$2,'Præsentationstabeller 1'!$C$2),0)</f>
        <v/>
      </c>
      <c r="I829" t="str" vm="6295">
        <f>IFERROR(CUBEVALUE("BIDB",$A829,I$3,I$2,'Præsentationstabeller 1'!$C$2),0)</f>
        <v/>
      </c>
      <c r="J829" t="str" vm="6452">
        <f>IFERROR(CUBEVALUE("BIDB",$A829,J$3,J$2,'Præsentationstabeller 1'!$C$2),0)</f>
        <v/>
      </c>
      <c r="K829" t="str" vm="14939">
        <f>IFERROR(CUBEVALUE("BIDB",$A829,K$3,K$2,'Præsentationstabeller 1'!$C$2),0)</f>
        <v/>
      </c>
      <c r="L829" t="str" vm="7504">
        <f>IFERROR(CUBEVALUE("BIDB",$A829,L$3,L$2,'Præsentationstabeller 1'!$C$2),0)</f>
        <v/>
      </c>
    </row>
    <row r="830" spans="1:12" x14ac:dyDescent="0.3">
      <c r="A830" s="123" t="str" vm="506">
        <f>CUBEMEMBER("BIDB","[Dimittenddato].[Dimittenddato].&amp;[2015-08-30T00:00:00]")</f>
        <v>30-08-2015</v>
      </c>
      <c r="B830" vm="7320">
        <f>IFERROR(CUBEVALUE("BIDB",$A830,B$3,'Præsentationstabeller 1'!$C$2),0)</f>
        <v>1</v>
      </c>
      <c r="C830" t="str" vm="10130">
        <f>IFERROR(CUBEVALUE("BIDB",$A830,C$3,C$2,'Præsentationstabeller 1'!$C$2),0)</f>
        <v/>
      </c>
      <c r="D830" vm="10410">
        <f>IFERROR(CUBEVALUE("BIDB",$A830,D$3,D$2,'Præsentationstabeller 1'!$C$2),0)</f>
        <v>2</v>
      </c>
      <c r="E830" t="str" vm="4871">
        <f>IFERROR(CUBEVALUE("BIDB",$A830,E$3,E$2,'Præsentationstabeller 1'!$C$2),0)</f>
        <v/>
      </c>
      <c r="F830" t="str" vm="3531">
        <f>IFERROR(CUBEVALUE("BIDB",$A830,F$3,F$2,'Præsentationstabeller 1'!$C$2),0)</f>
        <v/>
      </c>
      <c r="G830" t="str" vm="14350">
        <f>IFERROR(CUBEVALUE("BIDB",$A830,G$3,G$2,'Præsentationstabeller 1'!$C$2),0)</f>
        <v/>
      </c>
      <c r="H830" t="str" vm="16096">
        <f>IFERROR(CUBEVALUE("BIDB",$A830,H$3,H$2,'Præsentationstabeller 1'!$C$2),0)</f>
        <v/>
      </c>
      <c r="I830" vm="9177">
        <f>IFERROR(CUBEVALUE("BIDB",$A830,I$3,I$2,'Præsentationstabeller 1'!$C$2),0)</f>
        <v>1.4037837837837837</v>
      </c>
      <c r="J830" t="str" vm="6383">
        <f>IFERROR(CUBEVALUE("BIDB",$A830,J$3,J$2,'Præsentationstabeller 1'!$C$2),0)</f>
        <v/>
      </c>
      <c r="K830" t="str" vm="11477">
        <f>IFERROR(CUBEVALUE("BIDB",$A830,K$3,K$2,'Præsentationstabeller 1'!$C$2),0)</f>
        <v/>
      </c>
      <c r="L830" t="str" vm="12846">
        <f>IFERROR(CUBEVALUE("BIDB",$A830,L$3,L$2,'Præsentationstabeller 1'!$C$2),0)</f>
        <v/>
      </c>
    </row>
    <row r="831" spans="1:12" x14ac:dyDescent="0.3">
      <c r="A831" s="123" t="str" vm="505">
        <f>CUBEMEMBER("BIDB","[Dimittenddato].[Dimittenddato].&amp;[2015-08-31T00:00:00]")</f>
        <v>31-08-2015</v>
      </c>
      <c r="B831" vm="8780">
        <f>IFERROR(CUBEVALUE("BIDB",$A831,B$3,'Præsentationstabeller 1'!$C$2),0)</f>
        <v>1</v>
      </c>
      <c r="C831" t="str" vm="15145">
        <f>IFERROR(CUBEVALUE("BIDB",$A831,C$3,C$2,'Præsentationstabeller 1'!$C$2),0)</f>
        <v/>
      </c>
      <c r="D831" vm="17020">
        <f>IFERROR(CUBEVALUE("BIDB",$A831,D$3,D$2,'Præsentationstabeller 1'!$C$2),0)</f>
        <v>15</v>
      </c>
      <c r="E831" vm="4863">
        <f>IFERROR(CUBEVALUE("BIDB",$A831,E$3,E$2,'Præsentationstabeller 1'!$C$2),0)</f>
        <v>4</v>
      </c>
      <c r="F831" vm="6847">
        <f>IFERROR(CUBEVALUE("BIDB",$A831,F$3,F$2,'Præsentationstabeller 1'!$C$2),0)</f>
        <v>3</v>
      </c>
      <c r="G831" vm="14521">
        <f>IFERROR(CUBEVALUE("BIDB",$A831,G$3,G$2,'Præsentationstabeller 1'!$C$2),0)</f>
        <v>7</v>
      </c>
      <c r="H831" t="str" vm="10632">
        <f>IFERROR(CUBEVALUE("BIDB",$A831,H$3,H$2,'Præsentationstabeller 1'!$C$2),0)</f>
        <v/>
      </c>
      <c r="I831" vm="5733">
        <f>IFERROR(CUBEVALUE("BIDB",$A831,I$3,I$2,'Præsentationstabeller 1'!$C$2),0)</f>
        <v>3</v>
      </c>
      <c r="J831" t="str" vm="6891">
        <f>IFERROR(CUBEVALUE("BIDB",$A831,J$3,J$2,'Præsentationstabeller 1'!$C$2),0)</f>
        <v/>
      </c>
      <c r="K831" vm="11498">
        <f>IFERROR(CUBEVALUE("BIDB",$A831,K$3,K$2,'Præsentationstabeller 1'!$C$2),0)</f>
        <v>2</v>
      </c>
      <c r="L831" vm="13303">
        <f>IFERROR(CUBEVALUE("BIDB",$A831,L$3,L$2,'Præsentationstabeller 1'!$C$2),0)</f>
        <v>2</v>
      </c>
    </row>
    <row r="832" spans="1:12" x14ac:dyDescent="0.3">
      <c r="A832" s="123" t="str" vm="504">
        <f>CUBEMEMBER("BIDB","[Dimittenddato].[Dimittenddato].&amp;[2016-06-01T00:00:00]")</f>
        <v>01-06-2016</v>
      </c>
      <c r="B832" t="str" vm="5025">
        <f>IFERROR(CUBEVALUE("BIDB",$A832,B$3,'Præsentationstabeller 1'!$C$2),0)</f>
        <v/>
      </c>
      <c r="C832" vm="11606">
        <f>IFERROR(CUBEVALUE("BIDB",$A832,C$3,C$2,'Præsentationstabeller 1'!$C$2),0)</f>
        <v>1</v>
      </c>
      <c r="D832" vm="14824">
        <f>IFERROR(CUBEVALUE("BIDB",$A832,D$3,D$2,'Præsentationstabeller 1'!$C$2),0)</f>
        <v>12</v>
      </c>
      <c r="E832" vm="6720">
        <f>IFERROR(CUBEVALUE("BIDB",$A832,E$3,E$2,'Præsentationstabeller 1'!$C$2),0)</f>
        <v>22</v>
      </c>
      <c r="F832" vm="8106">
        <f>IFERROR(CUBEVALUE("BIDB",$A832,F$3,F$2,'Præsentationstabeller 1'!$C$2),0)</f>
        <v>8</v>
      </c>
      <c r="G832" vm="12629">
        <f>IFERROR(CUBEVALUE("BIDB",$A832,G$3,G$2,'Præsentationstabeller 1'!$C$2),0)</f>
        <v>30</v>
      </c>
      <c r="H832" vm="14928">
        <f>IFERROR(CUBEVALUE("BIDB",$A832,H$3,H$2,'Præsentationstabeller 1'!$C$2),0)</f>
        <v>1.6</v>
      </c>
      <c r="I832" t="str" vm="5725">
        <f>IFERROR(CUBEVALUE("BIDB",$A832,I$3,I$2,'Præsentationstabeller 1'!$C$2),0)</f>
        <v/>
      </c>
      <c r="J832" t="str" vm="7078">
        <f>IFERROR(CUBEVALUE("BIDB",$A832,J$3,J$2,'Præsentationstabeller 1'!$C$2),0)</f>
        <v/>
      </c>
      <c r="K832" vm="12720">
        <f>IFERROR(CUBEVALUE("BIDB",$A832,K$3,K$2,'Præsentationstabeller 1'!$C$2),0)</f>
        <v>0.4</v>
      </c>
      <c r="L832" vm="9544">
        <f>IFERROR(CUBEVALUE("BIDB",$A832,L$3,L$2,'Præsentationstabeller 1'!$C$2),0)</f>
        <v>0.4</v>
      </c>
    </row>
    <row r="833" spans="1:12" x14ac:dyDescent="0.3">
      <c r="A833" s="123" t="str" vm="503">
        <f>CUBEMEMBER("BIDB","[Dimittenddato].[Dimittenddato].&amp;[2016-06-02T00:00:00]")</f>
        <v>02-06-2016</v>
      </c>
      <c r="B833" t="str" vm="5017">
        <f>IFERROR(CUBEVALUE("BIDB",$A833,B$3,'Præsentationstabeller 1'!$C$2),0)</f>
        <v/>
      </c>
      <c r="C833" t="str" vm="12532">
        <f>IFERROR(CUBEVALUE("BIDB",$A833,C$3,C$2,'Præsentationstabeller 1'!$C$2),0)</f>
        <v/>
      </c>
      <c r="D833" t="str" vm="16394">
        <f>IFERROR(CUBEVALUE("BIDB",$A833,D$3,D$2,'Præsentationstabeller 1'!$C$2),0)</f>
        <v/>
      </c>
      <c r="E833" vm="9020">
        <f>IFERROR(CUBEVALUE("BIDB",$A833,E$3,E$2,'Præsentationstabeller 1'!$C$2),0)</f>
        <v>2</v>
      </c>
      <c r="F833" vm="6160">
        <f>IFERROR(CUBEVALUE("BIDB",$A833,F$3,F$2,'Præsentationstabeller 1'!$C$2),0)</f>
        <v>3</v>
      </c>
      <c r="G833" vm="15788">
        <f>IFERROR(CUBEVALUE("BIDB",$A833,G$3,G$2,'Præsentationstabeller 1'!$C$2),0)</f>
        <v>5</v>
      </c>
      <c r="H833" t="str" vm="11036">
        <f>IFERROR(CUBEVALUE("BIDB",$A833,H$3,H$2,'Præsentationstabeller 1'!$C$2),0)</f>
        <v/>
      </c>
      <c r="I833" t="str" vm="6643">
        <f>IFERROR(CUBEVALUE("BIDB",$A833,I$3,I$2,'Præsentationstabeller 1'!$C$2),0)</f>
        <v/>
      </c>
      <c r="J833" vm="6420">
        <f>IFERROR(CUBEVALUE("BIDB",$A833,J$3,J$2,'Præsentationstabeller 1'!$C$2),0)</f>
        <v>0.4</v>
      </c>
      <c r="K833" vm="11936">
        <f>IFERROR(CUBEVALUE("BIDB",$A833,K$3,K$2,'Præsentationstabeller 1'!$C$2),0)</f>
        <v>1</v>
      </c>
      <c r="L833" vm="11956">
        <f>IFERROR(CUBEVALUE("BIDB",$A833,L$3,L$2,'Præsentationstabeller 1'!$C$2),0)</f>
        <v>1.4</v>
      </c>
    </row>
    <row r="834" spans="1:12" x14ac:dyDescent="0.3">
      <c r="A834" s="123" t="str" vm="502">
        <f>CUBEMEMBER("BIDB","[Dimittenddato].[Dimittenddato].&amp;[2016-06-03T00:00:00]")</f>
        <v>03-06-2016</v>
      </c>
      <c r="B834" t="str" vm="8931">
        <f>IFERROR(CUBEVALUE("BIDB",$A834,B$3,'Præsentationstabeller 1'!$C$2),0)</f>
        <v/>
      </c>
      <c r="C834" t="str" vm="12875">
        <f>IFERROR(CUBEVALUE("BIDB",$A834,C$3,C$2,'Præsentationstabeller 1'!$C$2),0)</f>
        <v/>
      </c>
      <c r="D834" vm="12756">
        <f>IFERROR(CUBEVALUE("BIDB",$A834,D$3,D$2,'Præsentationstabeller 1'!$C$2),0)</f>
        <v>4</v>
      </c>
      <c r="E834" vm="4592">
        <f>IFERROR(CUBEVALUE("BIDB",$A834,E$3,E$2,'Præsentationstabeller 1'!$C$2),0)</f>
        <v>4</v>
      </c>
      <c r="F834" vm="6158">
        <f>IFERROR(CUBEVALUE("BIDB",$A834,F$3,F$2,'Præsentationstabeller 1'!$C$2),0)</f>
        <v>1</v>
      </c>
      <c r="G834" vm="16025">
        <f>IFERROR(CUBEVALUE("BIDB",$A834,G$3,G$2,'Præsentationstabeller 1'!$C$2),0)</f>
        <v>5</v>
      </c>
      <c r="H834" t="str" vm="16158">
        <f>IFERROR(CUBEVALUE("BIDB",$A834,H$3,H$2,'Præsentationstabeller 1'!$C$2),0)</f>
        <v/>
      </c>
      <c r="I834" vm="11151">
        <f>IFERROR(CUBEVALUE("BIDB",$A834,I$3,I$2,'Præsentationstabeller 1'!$C$2),0)</f>
        <v>3.96</v>
      </c>
      <c r="J834" vm="5637">
        <f>IFERROR(CUBEVALUE("BIDB",$A834,J$3,J$2,'Præsentationstabeller 1'!$C$2),0)</f>
        <v>0.95200000000000007</v>
      </c>
      <c r="K834" vm="16060">
        <f>IFERROR(CUBEVALUE("BIDB",$A834,K$3,K$2,'Præsentationstabeller 1'!$C$2),0)</f>
        <v>1</v>
      </c>
      <c r="L834" vm="14365">
        <f>IFERROR(CUBEVALUE("BIDB",$A834,L$3,L$2,'Præsentationstabeller 1'!$C$2),0)</f>
        <v>1.952</v>
      </c>
    </row>
    <row r="835" spans="1:12" x14ac:dyDescent="0.3">
      <c r="A835" s="123" t="str" vm="501">
        <f>CUBEMEMBER("BIDB","[Dimittenddato].[Dimittenddato].&amp;[2016-06-04T00:00:00]")</f>
        <v>04-06-2016</v>
      </c>
      <c r="B835" t="str" vm="6066">
        <f>IFERROR(CUBEVALUE("BIDB",$A835,B$3,'Præsentationstabeller 1'!$C$2),0)</f>
        <v/>
      </c>
      <c r="C835" t="str" vm="15496">
        <f>IFERROR(CUBEVALUE("BIDB",$A835,C$3,C$2,'Præsentationstabeller 1'!$C$2),0)</f>
        <v/>
      </c>
      <c r="D835" t="str" vm="14257">
        <f>IFERROR(CUBEVALUE("BIDB",$A835,D$3,D$2,'Præsentationstabeller 1'!$C$2),0)</f>
        <v/>
      </c>
      <c r="E835" t="str" vm="4584">
        <f>IFERROR(CUBEVALUE("BIDB",$A835,E$3,E$2,'Præsentationstabeller 1'!$C$2),0)</f>
        <v/>
      </c>
      <c r="F835" t="str" vm="12635">
        <f>IFERROR(CUBEVALUE("BIDB",$A835,F$3,F$2,'Præsentationstabeller 1'!$C$2),0)</f>
        <v/>
      </c>
      <c r="G835" t="str" vm="15098">
        <f>IFERROR(CUBEVALUE("BIDB",$A835,G$3,G$2,'Præsentationstabeller 1'!$C$2),0)</f>
        <v/>
      </c>
      <c r="H835" t="str" vm="15944">
        <f>IFERROR(CUBEVALUE("BIDB",$A835,H$3,H$2,'Præsentationstabeller 1'!$C$2),0)</f>
        <v/>
      </c>
      <c r="I835" t="str" vm="8242">
        <f>IFERROR(CUBEVALUE("BIDB",$A835,I$3,I$2,'Præsentationstabeller 1'!$C$2),0)</f>
        <v/>
      </c>
      <c r="J835" t="str" vm="5629">
        <f>IFERROR(CUBEVALUE("BIDB",$A835,J$3,J$2,'Præsentationstabeller 1'!$C$2),0)</f>
        <v/>
      </c>
      <c r="K835" t="str" vm="13167">
        <f>IFERROR(CUBEVALUE("BIDB",$A835,K$3,K$2,'Præsentationstabeller 1'!$C$2),0)</f>
        <v/>
      </c>
      <c r="L835" t="str" vm="13977">
        <f>IFERROR(CUBEVALUE("BIDB",$A835,L$3,L$2,'Præsentationstabeller 1'!$C$2),0)</f>
        <v/>
      </c>
    </row>
    <row r="836" spans="1:12" x14ac:dyDescent="0.3">
      <c r="A836" s="123" t="str" vm="500">
        <f>CUBEMEMBER("BIDB","[Dimittenddato].[Dimittenddato].&amp;[2016-06-05T00:00:00]")</f>
        <v>05-06-2016</v>
      </c>
      <c r="B836" t="str" vm="8916">
        <f>IFERROR(CUBEVALUE("BIDB",$A836,B$3,'Præsentationstabeller 1'!$C$2),0)</f>
        <v/>
      </c>
      <c r="C836" t="str" vm="15719">
        <f>IFERROR(CUBEVALUE("BIDB",$A836,C$3,C$2,'Præsentationstabeller 1'!$C$2),0)</f>
        <v/>
      </c>
      <c r="D836" t="str" vm="12750">
        <f>IFERROR(CUBEVALUE("BIDB",$A836,D$3,D$2,'Præsentationstabeller 1'!$C$2),0)</f>
        <v/>
      </c>
      <c r="E836" t="str" vm="6680">
        <f>IFERROR(CUBEVALUE("BIDB",$A836,E$3,E$2,'Præsentationstabeller 1'!$C$2),0)</f>
        <v/>
      </c>
      <c r="F836" t="str" vm="8104">
        <f>IFERROR(CUBEVALUE("BIDB",$A836,F$3,F$2,'Præsentationstabeller 1'!$C$2),0)</f>
        <v/>
      </c>
      <c r="G836" t="str" vm="14995">
        <f>IFERROR(CUBEVALUE("BIDB",$A836,G$3,G$2,'Præsentationstabeller 1'!$C$2),0)</f>
        <v/>
      </c>
      <c r="H836" t="str" vm="12919">
        <f>IFERROR(CUBEVALUE("BIDB",$A836,H$3,H$2,'Præsentationstabeller 1'!$C$2),0)</f>
        <v/>
      </c>
      <c r="I836" t="str" vm="7264">
        <f>IFERROR(CUBEVALUE("BIDB",$A836,I$3,I$2,'Præsentationstabeller 1'!$C$2),0)</f>
        <v/>
      </c>
      <c r="J836" t="str" vm="5666">
        <f>IFERROR(CUBEVALUE("BIDB",$A836,J$3,J$2,'Præsentationstabeller 1'!$C$2),0)</f>
        <v/>
      </c>
      <c r="K836" t="str" vm="9374">
        <f>IFERROR(CUBEVALUE("BIDB",$A836,K$3,K$2,'Præsentationstabeller 1'!$C$2),0)</f>
        <v/>
      </c>
      <c r="L836" t="str" vm="8346">
        <f>IFERROR(CUBEVALUE("BIDB",$A836,L$3,L$2,'Præsentationstabeller 1'!$C$2),0)</f>
        <v/>
      </c>
    </row>
    <row r="837" spans="1:12" x14ac:dyDescent="0.3">
      <c r="A837" s="123" t="str" vm="499">
        <f>CUBEMEMBER("BIDB","[Dimittenddato].[Dimittenddato].&amp;[2016-06-06T00:00:00]")</f>
        <v>06-06-2016</v>
      </c>
      <c r="B837" t="str" vm="7938">
        <f>IFERROR(CUBEVALUE("BIDB",$A837,B$3,'Præsentationstabeller 1'!$C$2),0)</f>
        <v/>
      </c>
      <c r="C837" vm="11221">
        <f>IFERROR(CUBEVALUE("BIDB",$A837,C$3,C$2,'Præsentationstabeller 1'!$C$2),0)</f>
        <v>3</v>
      </c>
      <c r="D837" vm="13464">
        <f>IFERROR(CUBEVALUE("BIDB",$A837,D$3,D$2,'Præsentationstabeller 1'!$C$2),0)</f>
        <v>4</v>
      </c>
      <c r="E837" t="str" vm="7190">
        <f>IFERROR(CUBEVALUE("BIDB",$A837,E$3,E$2,'Præsentationstabeller 1'!$C$2),0)</f>
        <v/>
      </c>
      <c r="F837" vm="6372">
        <f>IFERROR(CUBEVALUE("BIDB",$A837,F$3,F$2,'Præsentationstabeller 1'!$C$2),0)</f>
        <v>3</v>
      </c>
      <c r="G837" vm="15389">
        <f>IFERROR(CUBEVALUE("BIDB",$A837,G$3,G$2,'Præsentationstabeller 1'!$C$2),0)</f>
        <v>3</v>
      </c>
      <c r="H837" vm="12343">
        <f>IFERROR(CUBEVALUE("BIDB",$A837,H$3,H$2,'Præsentationstabeller 1'!$C$2),0)</f>
        <v>0.48</v>
      </c>
      <c r="I837" vm="11103">
        <f>IFERROR(CUBEVALUE("BIDB",$A837,I$3,I$2,'Præsentationstabeller 1'!$C$2),0)</f>
        <v>1.1599999999999999</v>
      </c>
      <c r="J837" t="str" vm="6850">
        <f>IFERROR(CUBEVALUE("BIDB",$A837,J$3,J$2,'Præsentationstabeller 1'!$C$2),0)</f>
        <v/>
      </c>
      <c r="K837" vm="14446">
        <f>IFERROR(CUBEVALUE("BIDB",$A837,K$3,K$2,'Præsentationstabeller 1'!$C$2),0)</f>
        <v>1.8800000000000001</v>
      </c>
      <c r="L837" vm="10864">
        <f>IFERROR(CUBEVALUE("BIDB",$A837,L$3,L$2,'Præsentationstabeller 1'!$C$2),0)</f>
        <v>1.8800000000000001</v>
      </c>
    </row>
    <row r="838" spans="1:12" x14ac:dyDescent="0.3">
      <c r="A838" s="123" t="str" vm="498">
        <f>CUBEMEMBER("BIDB","[Dimittenddato].[Dimittenddato].&amp;[2016-06-07T00:00:00]")</f>
        <v>07-06-2016</v>
      </c>
      <c r="B838" t="str" vm="7336">
        <f>IFERROR(CUBEVALUE("BIDB",$A838,B$3,'Præsentationstabeller 1'!$C$2),0)</f>
        <v/>
      </c>
      <c r="C838" vm="11580">
        <f>IFERROR(CUBEVALUE("BIDB",$A838,C$3,C$2,'Præsentationstabeller 1'!$C$2),0)</f>
        <v>1</v>
      </c>
      <c r="D838" vm="9324">
        <f>IFERROR(CUBEVALUE("BIDB",$A838,D$3,D$2,'Præsentationstabeller 1'!$C$2),0)</f>
        <v>5</v>
      </c>
      <c r="E838" vm="4910">
        <f>IFERROR(CUBEVALUE("BIDB",$A838,E$3,E$2,'Præsentationstabeller 1'!$C$2),0)</f>
        <v>4</v>
      </c>
      <c r="F838" vm="6370">
        <f>IFERROR(CUBEVALUE("BIDB",$A838,F$3,F$2,'Præsentationstabeller 1'!$C$2),0)</f>
        <v>2</v>
      </c>
      <c r="G838" vm="16601">
        <f>IFERROR(CUBEVALUE("BIDB",$A838,G$3,G$2,'Præsentationstabeller 1'!$C$2),0)</f>
        <v>6</v>
      </c>
      <c r="H838" t="str" vm="11473">
        <f>IFERROR(CUBEVALUE("BIDB",$A838,H$3,H$2,'Præsentationstabeller 1'!$C$2),0)</f>
        <v/>
      </c>
      <c r="I838" vm="5175">
        <f>IFERROR(CUBEVALUE("BIDB",$A838,I$3,I$2,'Præsentationstabeller 1'!$C$2),0)</f>
        <v>1.3199999999999998</v>
      </c>
      <c r="J838" vm="5352">
        <f>IFERROR(CUBEVALUE("BIDB",$A838,J$3,J$2,'Præsentationstabeller 1'!$C$2),0)</f>
        <v>2.6399999999999997</v>
      </c>
      <c r="K838" vm="11527">
        <f>IFERROR(CUBEVALUE("BIDB",$A838,K$3,K$2,'Præsentationstabeller 1'!$C$2),0)</f>
        <v>1</v>
      </c>
      <c r="L838" vm="10671">
        <f>IFERROR(CUBEVALUE("BIDB",$A838,L$3,L$2,'Præsentationstabeller 1'!$C$2),0)</f>
        <v>3.6399999999999997</v>
      </c>
    </row>
    <row r="839" spans="1:12" x14ac:dyDescent="0.3">
      <c r="A839" s="123" t="str" vm="497">
        <f>CUBEMEMBER("BIDB","[Dimittenddato].[Dimittenddato].&amp;[2016-06-08T00:00:00]")</f>
        <v>08-06-2016</v>
      </c>
      <c r="B839" t="str" vm="6034">
        <f>IFERROR(CUBEVALUE("BIDB",$A839,B$3,'Præsentationstabeller 1'!$C$2),0)</f>
        <v/>
      </c>
      <c r="C839" t="str" vm="11725">
        <f>IFERROR(CUBEVALUE("BIDB",$A839,C$3,C$2,'Præsentationstabeller 1'!$C$2),0)</f>
        <v/>
      </c>
      <c r="D839" vm="10133">
        <f>IFERROR(CUBEVALUE("BIDB",$A839,D$3,D$2,'Præsentationstabeller 1'!$C$2),0)</f>
        <v>4</v>
      </c>
      <c r="E839" vm="4902">
        <f>IFERROR(CUBEVALUE("BIDB",$A839,E$3,E$2,'Præsentationstabeller 1'!$C$2),0)</f>
        <v>11</v>
      </c>
      <c r="F839" vm="12973">
        <f>IFERROR(CUBEVALUE("BIDB",$A839,F$3,F$2,'Præsentationstabeller 1'!$C$2),0)</f>
        <v>5</v>
      </c>
      <c r="G839" vm="16989">
        <f>IFERROR(CUBEVALUE("BIDB",$A839,G$3,G$2,'Præsentationstabeller 1'!$C$2),0)</f>
        <v>16</v>
      </c>
      <c r="H839" t="str" vm="14629">
        <f>IFERROR(CUBEVALUE("BIDB",$A839,H$3,H$2,'Præsentationstabeller 1'!$C$2),0)</f>
        <v/>
      </c>
      <c r="I839" vm="6659">
        <f>IFERROR(CUBEVALUE("BIDB",$A839,I$3,I$2,'Præsentationstabeller 1'!$C$2),0)</f>
        <v>1.7600000000000002</v>
      </c>
      <c r="J839" vm="5344">
        <f>IFERROR(CUBEVALUE("BIDB",$A839,J$3,J$2,'Præsentationstabeller 1'!$C$2),0)</f>
        <v>8.1999999999999993</v>
      </c>
      <c r="K839" vm="14598">
        <f>IFERROR(CUBEVALUE("BIDB",$A839,K$3,K$2,'Præsentationstabeller 1'!$C$2),0)</f>
        <v>1</v>
      </c>
      <c r="L839" vm="11865">
        <f>IFERROR(CUBEVALUE("BIDB",$A839,L$3,L$2,'Præsentationstabeller 1'!$C$2),0)</f>
        <v>9.1999999999999993</v>
      </c>
    </row>
    <row r="840" spans="1:12" x14ac:dyDescent="0.3">
      <c r="A840" s="123" t="str" vm="496">
        <f>CUBEMEMBER("BIDB","[Dimittenddato].[Dimittenddato].&amp;[2016-06-09T00:00:00]")</f>
        <v>09-06-2016</v>
      </c>
      <c r="B840" t="str" vm="5763">
        <f>IFERROR(CUBEVALUE("BIDB",$A840,B$3,'Præsentationstabeller 1'!$C$2),0)</f>
        <v/>
      </c>
      <c r="C840" vm="16552">
        <f>IFERROR(CUBEVALUE("BIDB",$A840,C$3,C$2,'Præsentationstabeller 1'!$C$2),0)</f>
        <v>1</v>
      </c>
      <c r="D840" vm="13969">
        <f>IFERROR(CUBEVALUE("BIDB",$A840,D$3,D$2,'Præsentationstabeller 1'!$C$2),0)</f>
        <v>5</v>
      </c>
      <c r="E840" vm="15060">
        <f>IFERROR(CUBEVALUE("BIDB",$A840,E$3,E$2,'Præsentationstabeller 1'!$C$2),0)</f>
        <v>19</v>
      </c>
      <c r="F840" vm="6818">
        <f>IFERROR(CUBEVALUE("BIDB",$A840,F$3,F$2,'Præsentationstabeller 1'!$C$2),0)</f>
        <v>3</v>
      </c>
      <c r="G840" vm="12427">
        <f>IFERROR(CUBEVALUE("BIDB",$A840,G$3,G$2,'Præsentationstabeller 1'!$C$2),0)</f>
        <v>22</v>
      </c>
      <c r="H840" vm="15796">
        <f>IFERROR(CUBEVALUE("BIDB",$A840,H$3,H$2,'Præsentationstabeller 1'!$C$2),0)</f>
        <v>0.75945945945945947</v>
      </c>
      <c r="I840" vm="7166">
        <f>IFERROR(CUBEVALUE("BIDB",$A840,I$3,I$2,'Præsentationstabeller 1'!$C$2),0)</f>
        <v>2.2399999999999998</v>
      </c>
      <c r="J840" vm="8147">
        <f>IFERROR(CUBEVALUE("BIDB",$A840,J$3,J$2,'Præsentationstabeller 1'!$C$2),0)</f>
        <v>11.52</v>
      </c>
      <c r="K840" vm="13996">
        <f>IFERROR(CUBEVALUE("BIDB",$A840,K$3,K$2,'Præsentationstabeller 1'!$C$2),0)</f>
        <v>0.4</v>
      </c>
      <c r="L840" vm="8378">
        <f>IFERROR(CUBEVALUE("BIDB",$A840,L$3,L$2,'Præsentationstabeller 1'!$C$2),0)</f>
        <v>11.919999999999998</v>
      </c>
    </row>
    <row r="841" spans="1:12" x14ac:dyDescent="0.3">
      <c r="A841" s="123" t="str" vm="495">
        <f>CUBEMEMBER("BIDB","[Dimittenddato].[Dimittenddato].&amp;[2016-06-10T00:00:00]")</f>
        <v>10-06-2016</v>
      </c>
      <c r="B841" t="str" vm="5755">
        <f>IFERROR(CUBEVALUE("BIDB",$A841,B$3,'Præsentationstabeller 1'!$C$2),0)</f>
        <v/>
      </c>
      <c r="C841" vm="14045">
        <f>IFERROR(CUBEVALUE("BIDB",$A841,C$3,C$2,'Præsentationstabeller 1'!$C$2),0)</f>
        <v>2</v>
      </c>
      <c r="D841" vm="15731">
        <f>IFERROR(CUBEVALUE("BIDB",$A841,D$3,D$2,'Præsentationstabeller 1'!$C$2),0)</f>
        <v>5</v>
      </c>
      <c r="E841" vm="6196">
        <f>IFERROR(CUBEVALUE("BIDB",$A841,E$3,E$2,'Præsentationstabeller 1'!$C$2),0)</f>
        <v>14</v>
      </c>
      <c r="F841" vm="7000">
        <f>IFERROR(CUBEVALUE("BIDB",$A841,F$3,F$2,'Præsentationstabeller 1'!$C$2),0)</f>
        <v>6</v>
      </c>
      <c r="G841" vm="17026">
        <f>IFERROR(CUBEVALUE("BIDB",$A841,G$3,G$2,'Præsentationstabeller 1'!$C$2),0)</f>
        <v>20</v>
      </c>
      <c r="H841" vm="12531">
        <f>IFERROR(CUBEVALUE("BIDB",$A841,H$3,H$2,'Præsentationstabeller 1'!$C$2),0)</f>
        <v>2</v>
      </c>
      <c r="I841" vm="7457">
        <f>IFERROR(CUBEVALUE("BIDB",$A841,I$3,I$2,'Præsentationstabeller 1'!$C$2),0)</f>
        <v>1.64</v>
      </c>
      <c r="J841" vm="6790">
        <f>IFERROR(CUBEVALUE("BIDB",$A841,J$3,J$2,'Præsentationstabeller 1'!$C$2),0)</f>
        <v>7.8382162162162157</v>
      </c>
      <c r="K841" vm="9390">
        <f>IFERROR(CUBEVALUE("BIDB",$A841,K$3,K$2,'Præsentationstabeller 1'!$C$2),0)</f>
        <v>2.2378378378378376</v>
      </c>
      <c r="L841" vm="14188">
        <f>IFERROR(CUBEVALUE("BIDB",$A841,L$3,L$2,'Præsentationstabeller 1'!$C$2),0)</f>
        <v>10.076054054054053</v>
      </c>
    </row>
    <row r="842" spans="1:12" x14ac:dyDescent="0.3">
      <c r="A842" s="123" t="str" vm="494">
        <f>CUBEMEMBER("BIDB","[Dimittenddato].[Dimittenddato].&amp;[2016-06-11T00:00:00]")</f>
        <v>11-06-2016</v>
      </c>
      <c r="B842" t="str" vm="7328">
        <f>IFERROR(CUBEVALUE("BIDB",$A842,B$3,'Præsentationstabeller 1'!$C$2),0)</f>
        <v/>
      </c>
      <c r="C842" t="str" vm="14109">
        <f>IFERROR(CUBEVALUE("BIDB",$A842,C$3,C$2,'Præsentationstabeller 1'!$C$2),0)</f>
        <v/>
      </c>
      <c r="D842" t="str" vm="12999">
        <f>IFERROR(CUBEVALUE("BIDB",$A842,D$3,D$2,'Præsentationstabeller 1'!$C$2),0)</f>
        <v/>
      </c>
      <c r="E842" t="str" vm="5807">
        <f>IFERROR(CUBEVALUE("BIDB",$A842,E$3,E$2,'Præsentationstabeller 1'!$C$2),0)</f>
        <v/>
      </c>
      <c r="F842" t="str" vm="6998">
        <f>IFERROR(CUBEVALUE("BIDB",$A842,F$3,F$2,'Præsentationstabeller 1'!$C$2),0)</f>
        <v/>
      </c>
      <c r="G842" t="str" vm="15256">
        <f>IFERROR(CUBEVALUE("BIDB",$A842,G$3,G$2,'Præsentationstabeller 1'!$C$2),0)</f>
        <v/>
      </c>
      <c r="H842" t="str" vm="12359">
        <f>IFERROR(CUBEVALUE("BIDB",$A842,H$3,H$2,'Præsentationstabeller 1'!$C$2),0)</f>
        <v/>
      </c>
      <c r="I842" t="str" vm="5143">
        <f>IFERROR(CUBEVALUE("BIDB",$A842,I$3,I$2,'Præsentationstabeller 1'!$C$2),0)</f>
        <v/>
      </c>
      <c r="J842" t="str" vm="3287">
        <f>IFERROR(CUBEVALUE("BIDB",$A842,J$3,J$2,'Præsentationstabeller 1'!$C$2),0)</f>
        <v/>
      </c>
      <c r="K842" t="str" vm="14330">
        <f>IFERROR(CUBEVALUE("BIDB",$A842,K$3,K$2,'Præsentationstabeller 1'!$C$2),0)</f>
        <v/>
      </c>
      <c r="L842" t="str" vm="13530">
        <f>IFERROR(CUBEVALUE("BIDB",$A842,L$3,L$2,'Præsentationstabeller 1'!$C$2),0)</f>
        <v/>
      </c>
    </row>
    <row r="843" spans="1:12" x14ac:dyDescent="0.3">
      <c r="A843" s="123" t="str" vm="493">
        <f>CUBEMEMBER("BIDB","[Dimittenddato].[Dimittenddato].&amp;[2016-06-12T00:00:00]")</f>
        <v>12-06-2016</v>
      </c>
      <c r="B843" t="str" vm="9905">
        <f>IFERROR(CUBEVALUE("BIDB",$A843,B$3,'Præsentationstabeller 1'!$C$2),0)</f>
        <v/>
      </c>
      <c r="C843" t="str" vm="16558">
        <f>IFERROR(CUBEVALUE("BIDB",$A843,C$3,C$2,'Præsentationstabeller 1'!$C$2),0)</f>
        <v/>
      </c>
      <c r="D843" t="str" vm="12604">
        <f>IFERROR(CUBEVALUE("BIDB",$A843,D$3,D$2,'Præsentationstabeller 1'!$C$2),0)</f>
        <v/>
      </c>
      <c r="E843" t="str" vm="5805">
        <f>IFERROR(CUBEVALUE("BIDB",$A843,E$3,E$2,'Præsentationstabeller 1'!$C$2),0)</f>
        <v/>
      </c>
      <c r="F843" t="str" vm="7419">
        <f>IFERROR(CUBEVALUE("BIDB",$A843,F$3,F$2,'Præsentationstabeller 1'!$C$2),0)</f>
        <v/>
      </c>
      <c r="G843" t="str" vm="13618">
        <f>IFERROR(CUBEVALUE("BIDB",$A843,G$3,G$2,'Præsentationstabeller 1'!$C$2),0)</f>
        <v/>
      </c>
      <c r="H843" t="str" vm="15922">
        <f>IFERROR(CUBEVALUE("BIDB",$A843,H$3,H$2,'Præsentationstabeller 1'!$C$2),0)</f>
        <v/>
      </c>
      <c r="I843" t="str" vm="4622">
        <f>IFERROR(CUBEVALUE("BIDB",$A843,I$3,I$2,'Præsentationstabeller 1'!$C$2),0)</f>
        <v/>
      </c>
      <c r="J843" t="str" vm="3279">
        <f>IFERROR(CUBEVALUE("BIDB",$A843,J$3,J$2,'Præsentationstabeller 1'!$C$2),0)</f>
        <v/>
      </c>
      <c r="K843" t="str" vm="15707">
        <f>IFERROR(CUBEVALUE("BIDB",$A843,K$3,K$2,'Præsentationstabeller 1'!$C$2),0)</f>
        <v/>
      </c>
      <c r="L843" t="str" vm="9592">
        <f>IFERROR(CUBEVALUE("BIDB",$A843,L$3,L$2,'Præsentationstabeller 1'!$C$2),0)</f>
        <v/>
      </c>
    </row>
    <row r="844" spans="1:12" x14ac:dyDescent="0.3">
      <c r="A844" s="123" t="str" vm="492">
        <f>CUBEMEMBER("BIDB","[Dimittenddato].[Dimittenddato].&amp;[2016-06-13T00:00:00]")</f>
        <v>13-06-2016</v>
      </c>
      <c r="B844" t="str" vm="5479">
        <f>IFERROR(CUBEVALUE("BIDB",$A844,B$3,'Præsentationstabeller 1'!$C$2),0)</f>
        <v/>
      </c>
      <c r="C844" vm="14994">
        <f>IFERROR(CUBEVALUE("BIDB",$A844,C$3,C$2,'Præsentationstabeller 1'!$C$2),0)</f>
        <v>3</v>
      </c>
      <c r="D844" vm="16534">
        <f>IFERROR(CUBEVALUE("BIDB",$A844,D$3,D$2,'Præsentationstabeller 1'!$C$2),0)</f>
        <v>11</v>
      </c>
      <c r="E844" vm="8846">
        <f>IFERROR(CUBEVALUE("BIDB",$A844,E$3,E$2,'Præsentationstabeller 1'!$C$2),0)</f>
        <v>34</v>
      </c>
      <c r="F844" vm="8291">
        <f>IFERROR(CUBEVALUE("BIDB",$A844,F$3,F$2,'Præsentationstabeller 1'!$C$2),0)</f>
        <v>4</v>
      </c>
      <c r="G844" vm="15262">
        <f>IFERROR(CUBEVALUE("BIDB",$A844,G$3,G$2,'Præsentationstabeller 1'!$C$2),0)</f>
        <v>38</v>
      </c>
      <c r="H844" vm="15431">
        <f>IFERROR(CUBEVALUE("BIDB",$A844,H$3,H$2,'Præsentationstabeller 1'!$C$2),0)</f>
        <v>2.6756756756756759</v>
      </c>
      <c r="I844" vm="4614">
        <f>IFERROR(CUBEVALUE("BIDB",$A844,I$3,I$2,'Præsentationstabeller 1'!$C$2),0)</f>
        <v>6.2</v>
      </c>
      <c r="J844" vm="10606">
        <f>IFERROR(CUBEVALUE("BIDB",$A844,J$3,J$2,'Præsentationstabeller 1'!$C$2),0)</f>
        <v>20.68</v>
      </c>
      <c r="K844" t="str" vm="12459">
        <f>IFERROR(CUBEVALUE("BIDB",$A844,K$3,K$2,'Præsentationstabeller 1'!$C$2),0)</f>
        <v/>
      </c>
      <c r="L844" vm="8944">
        <f>IFERROR(CUBEVALUE("BIDB",$A844,L$3,L$2,'Præsentationstabeller 1'!$C$2),0)</f>
        <v>20.68</v>
      </c>
    </row>
    <row r="845" spans="1:12" x14ac:dyDescent="0.3">
      <c r="A845" s="123" t="str" vm="491">
        <f>CUBEMEMBER("BIDB","[Dimittenddato].[Dimittenddato].&amp;[2016-06-14T00:00:00]")</f>
        <v>14-06-2016</v>
      </c>
      <c r="B845" t="str" vm="5471">
        <f>IFERROR(CUBEVALUE("BIDB",$A845,B$3,'Præsentationstabeller 1'!$C$2),0)</f>
        <v/>
      </c>
      <c r="C845" vm="10380">
        <f>IFERROR(CUBEVALUE("BIDB",$A845,C$3,C$2,'Præsentationstabeller 1'!$C$2),0)</f>
        <v>4</v>
      </c>
      <c r="D845" vm="15167">
        <f>IFERROR(CUBEVALUE("BIDB",$A845,D$3,D$2,'Præsentationstabeller 1'!$C$2),0)</f>
        <v>17</v>
      </c>
      <c r="E845" vm="6164">
        <f>IFERROR(CUBEVALUE("BIDB",$A845,E$3,E$2,'Præsentationstabeller 1'!$C$2),0)</f>
        <v>15</v>
      </c>
      <c r="F845" vm="4772">
        <f>IFERROR(CUBEVALUE("BIDB",$A845,F$3,F$2,'Præsentationstabeller 1'!$C$2),0)</f>
        <v>7</v>
      </c>
      <c r="G845" vm="13812">
        <f>IFERROR(CUBEVALUE("BIDB",$A845,G$3,G$2,'Præsentationstabeller 1'!$C$2),0)</f>
        <v>22</v>
      </c>
      <c r="H845" vm="10775">
        <f>IFERROR(CUBEVALUE("BIDB",$A845,H$3,H$2,'Præsentationstabeller 1'!$C$2),0)</f>
        <v>2</v>
      </c>
      <c r="I845" vm="6649">
        <f>IFERROR(CUBEVALUE("BIDB",$A845,I$3,I$2,'Præsentationstabeller 1'!$C$2),0)</f>
        <v>11.465945945945945</v>
      </c>
      <c r="J845" vm="6384">
        <f>IFERROR(CUBEVALUE("BIDB",$A845,J$3,J$2,'Præsentationstabeller 1'!$C$2),0)</f>
        <v>7.9012432432432433</v>
      </c>
      <c r="K845" vm="9411">
        <f>IFERROR(CUBEVALUE("BIDB",$A845,K$3,K$2,'Præsentationstabeller 1'!$C$2),0)</f>
        <v>3.807027027027027</v>
      </c>
      <c r="L845" vm="7607">
        <f>IFERROR(CUBEVALUE("BIDB",$A845,L$3,L$2,'Præsentationstabeller 1'!$C$2),0)</f>
        <v>11.708270270270269</v>
      </c>
    </row>
    <row r="846" spans="1:12" x14ac:dyDescent="0.3">
      <c r="A846" s="123" t="str" vm="490">
        <f>CUBEMEMBER("BIDB","[Dimittenddato].[Dimittenddato].&amp;[2016-06-15T00:00:00]")</f>
        <v>15-06-2016</v>
      </c>
      <c r="B846" t="str" vm="6770">
        <f>IFERROR(CUBEVALUE("BIDB",$A846,B$3,'Præsentationstabeller 1'!$C$2),0)</f>
        <v/>
      </c>
      <c r="C846" vm="13424">
        <f>IFERROR(CUBEVALUE("BIDB",$A846,C$3,C$2,'Præsentationstabeller 1'!$C$2),0)</f>
        <v>5</v>
      </c>
      <c r="D846" vm="15234">
        <f>IFERROR(CUBEVALUE("BIDB",$A846,D$3,D$2,'Præsentationstabeller 1'!$C$2),0)</f>
        <v>23</v>
      </c>
      <c r="E846" vm="5382">
        <f>IFERROR(CUBEVALUE("BIDB",$A846,E$3,E$2,'Præsentationstabeller 1'!$C$2),0)</f>
        <v>25</v>
      </c>
      <c r="F846" vm="4764">
        <f>IFERROR(CUBEVALUE("BIDB",$A846,F$3,F$2,'Præsentationstabeller 1'!$C$2),0)</f>
        <v>21</v>
      </c>
      <c r="G846" vm="14269">
        <f>IFERROR(CUBEVALUE("BIDB",$A846,G$3,G$2,'Præsentationstabeller 1'!$C$2),0)</f>
        <v>46</v>
      </c>
      <c r="H846" vm="15514">
        <f>IFERROR(CUBEVALUE("BIDB",$A846,H$3,H$2,'Præsentationstabeller 1'!$C$2),0)</f>
        <v>1.8924324324324326</v>
      </c>
      <c r="I846" vm="8917">
        <f>IFERROR(CUBEVALUE("BIDB",$A846,I$3,I$2,'Præsentationstabeller 1'!$C$2),0)</f>
        <v>17.980540540540538</v>
      </c>
      <c r="J846" vm="6375">
        <f>IFERROR(CUBEVALUE("BIDB",$A846,J$3,J$2,'Præsentationstabeller 1'!$C$2),0)</f>
        <v>10.836756756756756</v>
      </c>
      <c r="K846" vm="11886">
        <f>IFERROR(CUBEVALUE("BIDB",$A846,K$3,K$2,'Præsentationstabeller 1'!$C$2),0)</f>
        <v>5.4835135135135138</v>
      </c>
      <c r="L846" vm="10367">
        <f>IFERROR(CUBEVALUE("BIDB",$A846,L$3,L$2,'Præsentationstabeller 1'!$C$2),0)</f>
        <v>16.320270270270271</v>
      </c>
    </row>
    <row r="847" spans="1:12" x14ac:dyDescent="0.3">
      <c r="A847" s="123" t="str" vm="489">
        <f>CUBEMEMBER("BIDB","[Dimittenddato].[Dimittenddato].&amp;[2016-06-16T00:00:00]")</f>
        <v>16-06-2016</v>
      </c>
      <c r="B847" t="str" vm="8112">
        <f>IFERROR(CUBEVALUE("BIDB",$A847,B$3,'Præsentationstabeller 1'!$C$2),0)</f>
        <v/>
      </c>
      <c r="C847" vm="12552">
        <f>IFERROR(CUBEVALUE("BIDB",$A847,C$3,C$2,'Præsentationstabeller 1'!$C$2),0)</f>
        <v>1</v>
      </c>
      <c r="D847" vm="14112">
        <f>IFERROR(CUBEVALUE("BIDB",$A847,D$3,D$2,'Præsentationstabeller 1'!$C$2),0)</f>
        <v>22</v>
      </c>
      <c r="E847" vm="5374">
        <f>IFERROR(CUBEVALUE("BIDB",$A847,E$3,E$2,'Præsentationstabeller 1'!$C$2),0)</f>
        <v>34</v>
      </c>
      <c r="F847" vm="8365">
        <f>IFERROR(CUBEVALUE("BIDB",$A847,F$3,F$2,'Præsentationstabeller 1'!$C$2),0)</f>
        <v>5</v>
      </c>
      <c r="G847" vm="14314">
        <f>IFERROR(CUBEVALUE("BIDB",$A847,G$3,G$2,'Præsentationstabeller 1'!$C$2),0)</f>
        <v>39</v>
      </c>
      <c r="H847" vm="12746">
        <f>IFERROR(CUBEVALUE("BIDB",$A847,H$3,H$2,'Præsentationstabeller 1'!$C$2),0)</f>
        <v>1</v>
      </c>
      <c r="I847" vm="4339">
        <f>IFERROR(CUBEVALUE("BIDB",$A847,I$3,I$2,'Præsentationstabeller 1'!$C$2),0)</f>
        <v>10.16</v>
      </c>
      <c r="J847" vm="6883">
        <f>IFERROR(CUBEVALUE("BIDB",$A847,J$3,J$2,'Præsentationstabeller 1'!$C$2),0)</f>
        <v>20.596216216216217</v>
      </c>
      <c r="K847" vm="14997">
        <f>IFERROR(CUBEVALUE("BIDB",$A847,K$3,K$2,'Præsentationstabeller 1'!$C$2),0)</f>
        <v>1.2</v>
      </c>
      <c r="L847" vm="15415">
        <f>IFERROR(CUBEVALUE("BIDB",$A847,L$3,L$2,'Præsentationstabeller 1'!$C$2),0)</f>
        <v>21.796216216216216</v>
      </c>
    </row>
    <row r="848" spans="1:12" x14ac:dyDescent="0.3">
      <c r="A848" s="123" t="str" vm="488">
        <f>CUBEMEMBER("BIDB","[Dimittenddato].[Dimittenddato].&amp;[2016-06-17T00:00:00]")</f>
        <v>17-06-2016</v>
      </c>
      <c r="B848" t="str" vm="5203">
        <f>IFERROR(CUBEVALUE("BIDB",$A848,B$3,'Præsentationstabeller 1'!$C$2),0)</f>
        <v/>
      </c>
      <c r="C848" vm="15779">
        <f>IFERROR(CUBEVALUE("BIDB",$A848,C$3,C$2,'Præsentationstabeller 1'!$C$2),0)</f>
        <v>3</v>
      </c>
      <c r="D848" vm="15286">
        <f>IFERROR(CUBEVALUE("BIDB",$A848,D$3,D$2,'Præsentationstabeller 1'!$C$2),0)</f>
        <v>36</v>
      </c>
      <c r="E848" vm="6688">
        <f>IFERROR(CUBEVALUE("BIDB",$A848,E$3,E$2,'Præsentationstabeller 1'!$C$2),0)</f>
        <v>17</v>
      </c>
      <c r="F848" vm="5811">
        <f>IFERROR(CUBEVALUE("BIDB",$A848,F$3,F$2,'Præsentationstabeller 1'!$C$2),0)</f>
        <v>18</v>
      </c>
      <c r="G848" vm="16864">
        <f>IFERROR(CUBEVALUE("BIDB",$A848,G$3,G$2,'Præsentationstabeller 1'!$C$2),0)</f>
        <v>35</v>
      </c>
      <c r="H848" vm="15802">
        <f>IFERROR(CUBEVALUE("BIDB",$A848,H$3,H$2,'Præsentationstabeller 1'!$C$2),0)</f>
        <v>1.2</v>
      </c>
      <c r="I848" vm="4331">
        <f>IFERROR(CUBEVALUE("BIDB",$A848,I$3,I$2,'Præsentationstabeller 1'!$C$2),0)</f>
        <v>18.553243243243244</v>
      </c>
      <c r="J848" vm="8814">
        <f>IFERROR(CUBEVALUE("BIDB",$A848,J$3,J$2,'Præsentationstabeller 1'!$C$2),0)</f>
        <v>11.887837837837838</v>
      </c>
      <c r="K848" vm="12290">
        <f>IFERROR(CUBEVALUE("BIDB",$A848,K$3,K$2,'Præsentationstabeller 1'!$C$2),0)</f>
        <v>5.515135135135135</v>
      </c>
      <c r="L848" vm="11857">
        <f>IFERROR(CUBEVALUE("BIDB",$A848,L$3,L$2,'Præsentationstabeller 1'!$C$2),0)</f>
        <v>17.402972972972975</v>
      </c>
    </row>
    <row r="849" spans="1:12" x14ac:dyDescent="0.3">
      <c r="A849" s="123" t="str" vm="487">
        <f>CUBEMEMBER("BIDB","[Dimittenddato].[Dimittenddato].&amp;[2016-06-18T00:00:00]")</f>
        <v>18-06-2016</v>
      </c>
      <c r="B849" t="str" vm="5201">
        <f>IFERROR(CUBEVALUE("BIDB",$A849,B$3,'Præsentationstabeller 1'!$C$2),0)</f>
        <v/>
      </c>
      <c r="C849" t="str" vm="17055">
        <f>IFERROR(CUBEVALUE("BIDB",$A849,C$3,C$2,'Præsentationstabeller 1'!$C$2),0)</f>
        <v/>
      </c>
      <c r="D849" t="str" vm="14156">
        <f>IFERROR(CUBEVALUE("BIDB",$A849,D$3,D$2,'Præsentationstabeller 1'!$C$2),0)</f>
        <v/>
      </c>
      <c r="E849" vm="8351">
        <f>IFERROR(CUBEVALUE("BIDB",$A849,E$3,E$2,'Præsentationstabeller 1'!$C$2),0)</f>
        <v>1</v>
      </c>
      <c r="F849" t="str" vm="8350">
        <f>IFERROR(CUBEVALUE("BIDB",$A849,F$3,F$2,'Præsentationstabeller 1'!$C$2),0)</f>
        <v/>
      </c>
      <c r="G849" vm="15406">
        <f>IFERROR(CUBEVALUE("BIDB",$A849,G$3,G$2,'Præsentationstabeller 1'!$C$2),0)</f>
        <v>1</v>
      </c>
      <c r="H849" t="str" vm="16046">
        <f>IFERROR(CUBEVALUE("BIDB",$A849,H$3,H$2,'Præsentationstabeller 1'!$C$2),0)</f>
        <v/>
      </c>
      <c r="I849" t="str" vm="7283">
        <f>IFERROR(CUBEVALUE("BIDB",$A849,I$3,I$2,'Præsentationstabeller 1'!$C$2),0)</f>
        <v/>
      </c>
      <c r="J849" vm="6376">
        <f>IFERROR(CUBEVALUE("BIDB",$A849,J$3,J$2,'Præsentationstabeller 1'!$C$2),0)</f>
        <v>0.16</v>
      </c>
      <c r="K849" t="str" vm="13703">
        <f>IFERROR(CUBEVALUE("BIDB",$A849,K$3,K$2,'Præsentationstabeller 1'!$C$2),0)</f>
        <v/>
      </c>
      <c r="L849" vm="11755">
        <f>IFERROR(CUBEVALUE("BIDB",$A849,L$3,L$2,'Præsentationstabeller 1'!$C$2),0)</f>
        <v>0.16</v>
      </c>
    </row>
    <row r="850" spans="1:12" x14ac:dyDescent="0.3">
      <c r="A850" s="123" t="str" vm="486">
        <f>CUBEMEMBER("BIDB","[Dimittenddato].[Dimittenddato].&amp;[2016-06-19T00:00:00]")</f>
        <v>19-06-2016</v>
      </c>
      <c r="B850" t="str" vm="13252">
        <f>IFERROR(CUBEVALUE("BIDB",$A850,B$3,'Præsentationstabeller 1'!$C$2),0)</f>
        <v/>
      </c>
      <c r="C850" t="str" vm="10396">
        <f>IFERROR(CUBEVALUE("BIDB",$A850,C$3,C$2,'Præsentationstabeller 1'!$C$2),0)</f>
        <v/>
      </c>
      <c r="D850" vm="9268">
        <f>IFERROR(CUBEVALUE("BIDB",$A850,D$3,D$2,'Præsentationstabeller 1'!$C$2),0)</f>
        <v>1</v>
      </c>
      <c r="E850" t="str" vm="6115">
        <f>IFERROR(CUBEVALUE("BIDB",$A850,E$3,E$2,'Præsentationstabeller 1'!$C$2),0)</f>
        <v/>
      </c>
      <c r="F850" vm="7372">
        <f>IFERROR(CUBEVALUE("BIDB",$A850,F$3,F$2,'Præsentationstabeller 1'!$C$2),0)</f>
        <v>1</v>
      </c>
      <c r="G850" vm="11394">
        <f>IFERROR(CUBEVALUE("BIDB",$A850,G$3,G$2,'Præsentationstabeller 1'!$C$2),0)</f>
        <v>1</v>
      </c>
      <c r="H850" t="str" vm="14106">
        <f>IFERROR(CUBEVALUE("BIDB",$A850,H$3,H$2,'Præsentationstabeller 1'!$C$2),0)</f>
        <v/>
      </c>
      <c r="I850" t="str" vm="6408">
        <f>IFERROR(CUBEVALUE("BIDB",$A850,I$3,I$2,'Præsentationstabeller 1'!$C$2),0)</f>
        <v/>
      </c>
      <c r="J850" t="str" vm="6499">
        <f>IFERROR(CUBEVALUE("BIDB",$A850,J$3,J$2,'Præsentationstabeller 1'!$C$2),0)</f>
        <v/>
      </c>
      <c r="K850" t="str" vm="14946">
        <f>IFERROR(CUBEVALUE("BIDB",$A850,K$3,K$2,'Præsentationstabeller 1'!$C$2),0)</f>
        <v/>
      </c>
      <c r="L850" t="str" vm="11656">
        <f>IFERROR(CUBEVALUE("BIDB",$A850,L$3,L$2,'Præsentationstabeller 1'!$C$2),0)</f>
        <v/>
      </c>
    </row>
    <row r="851" spans="1:12" x14ac:dyDescent="0.3">
      <c r="A851" s="123" t="str" vm="485">
        <f>CUBEMEMBER("BIDB","[Dimittenddato].[Dimittenddato].&amp;[2016-06-20T00:00:00]")</f>
        <v>20-06-2016</v>
      </c>
      <c r="B851" t="str" vm="5938">
        <f>IFERROR(CUBEVALUE("BIDB",$A851,B$3,'Præsentationstabeller 1'!$C$2),0)</f>
        <v/>
      </c>
      <c r="C851" vm="11662">
        <f>IFERROR(CUBEVALUE("BIDB",$A851,C$3,C$2,'Præsentationstabeller 1'!$C$2),0)</f>
        <v>3</v>
      </c>
      <c r="D851" vm="11598">
        <f>IFERROR(CUBEVALUE("BIDB",$A851,D$3,D$2,'Præsentationstabeller 1'!$C$2),0)</f>
        <v>25</v>
      </c>
      <c r="E851" vm="6107">
        <f>IFERROR(CUBEVALUE("BIDB",$A851,E$3,E$2,'Præsentationstabeller 1'!$C$2),0)</f>
        <v>55</v>
      </c>
      <c r="F851" vm="7423">
        <f>IFERROR(CUBEVALUE("BIDB",$A851,F$3,F$2,'Præsentationstabeller 1'!$C$2),0)</f>
        <v>20</v>
      </c>
      <c r="G851" vm="12505">
        <f>IFERROR(CUBEVALUE("BIDB",$A851,G$3,G$2,'Præsentationstabeller 1'!$C$2),0)</f>
        <v>75</v>
      </c>
      <c r="H851" vm="12138">
        <f>IFERROR(CUBEVALUE("BIDB",$A851,H$3,H$2,'Præsentationstabeller 1'!$C$2),0)</f>
        <v>1.5502702702702704</v>
      </c>
      <c r="I851" vm="4657">
        <f>IFERROR(CUBEVALUE("BIDB",$A851,I$3,I$2,'Præsentationstabeller 1'!$C$2),0)</f>
        <v>16.520540540540537</v>
      </c>
      <c r="J851" vm="6497">
        <f>IFERROR(CUBEVALUE("BIDB",$A851,J$3,J$2,'Præsentationstabeller 1'!$C$2),0)</f>
        <v>25.767567567567568</v>
      </c>
      <c r="K851" vm="12051">
        <f>IFERROR(CUBEVALUE("BIDB",$A851,K$3,K$2,'Præsentationstabeller 1'!$C$2),0)</f>
        <v>7.5383783783783782</v>
      </c>
      <c r="L851" vm="14493">
        <f>IFERROR(CUBEVALUE("BIDB",$A851,L$3,L$2,'Præsentationstabeller 1'!$C$2),0)</f>
        <v>33.30594594594595</v>
      </c>
    </row>
    <row r="852" spans="1:12" x14ac:dyDescent="0.3">
      <c r="A852" s="123" t="str" vm="484">
        <f>CUBEMEMBER("BIDB","[Dimittenddato].[Dimittenddato].&amp;[2016-06-21T00:00:00]")</f>
        <v>21-06-2016</v>
      </c>
      <c r="B852" t="str" vm="6987">
        <f>IFERROR(CUBEVALUE("BIDB",$A852,B$3,'Præsentationstabeller 1'!$C$2),0)</f>
        <v/>
      </c>
      <c r="C852" vm="13142">
        <f>IFERROR(CUBEVALUE("BIDB",$A852,C$3,C$2,'Præsentationstabeller 1'!$C$2),0)</f>
        <v>5</v>
      </c>
      <c r="D852" vm="15543">
        <f>IFERROR(CUBEVALUE("BIDB",$A852,D$3,D$2,'Præsentationstabeller 1'!$C$2),0)</f>
        <v>32</v>
      </c>
      <c r="E852" vm="7247">
        <f>IFERROR(CUBEVALUE("BIDB",$A852,E$3,E$2,'Præsentationstabeller 1'!$C$2),0)</f>
        <v>47</v>
      </c>
      <c r="F852" vm="5779">
        <f>IFERROR(CUBEVALUE("BIDB",$A852,F$3,F$2,'Præsentationstabeller 1'!$C$2),0)</f>
        <v>12</v>
      </c>
      <c r="G852" vm="15387">
        <f>IFERROR(CUBEVALUE("BIDB",$A852,G$3,G$2,'Præsentationstabeller 1'!$C$2),0)</f>
        <v>59</v>
      </c>
      <c r="H852" vm="16466">
        <f>IFERROR(CUBEVALUE("BIDB",$A852,H$3,H$2,'Præsentationstabeller 1'!$C$2),0)</f>
        <v>2.6799999999999997</v>
      </c>
      <c r="I852" vm="4649">
        <f>IFERROR(CUBEVALUE("BIDB",$A852,I$3,I$2,'Præsentationstabeller 1'!$C$2),0)</f>
        <v>17.623783783783786</v>
      </c>
      <c r="J852" vm="8149">
        <f>IFERROR(CUBEVALUE("BIDB",$A852,J$3,J$2,'Præsentationstabeller 1'!$C$2),0)</f>
        <v>27.339891891891881</v>
      </c>
      <c r="K852" vm="10584">
        <f>IFERROR(CUBEVALUE("BIDB",$A852,K$3,K$2,'Præsentationstabeller 1'!$C$2),0)</f>
        <v>5.4594594594594597</v>
      </c>
      <c r="L852" vm="6845">
        <f>IFERROR(CUBEVALUE("BIDB",$A852,L$3,L$2,'Præsentationstabeller 1'!$C$2),0)</f>
        <v>32.799351351351341</v>
      </c>
    </row>
    <row r="853" spans="1:12" x14ac:dyDescent="0.3">
      <c r="A853" s="123" t="str" vm="483">
        <f>CUBEMEMBER("BIDB","[Dimittenddato].[Dimittenddato].&amp;[2016-06-22T00:00:00]")</f>
        <v>22-06-2016</v>
      </c>
      <c r="B853" t="str" vm="6985">
        <f>IFERROR(CUBEVALUE("BIDB",$A853,B$3,'Præsentationstabeller 1'!$C$2),0)</f>
        <v/>
      </c>
      <c r="C853" vm="10779">
        <f>IFERROR(CUBEVALUE("BIDB",$A853,C$3,C$2,'Præsentationstabeller 1'!$C$2),0)</f>
        <v>5</v>
      </c>
      <c r="D853" vm="16413">
        <f>IFERROR(CUBEVALUE("BIDB",$A853,D$3,D$2,'Præsentationstabeller 1'!$C$2),0)</f>
        <v>31</v>
      </c>
      <c r="E853" vm="6535">
        <f>IFERROR(CUBEVALUE("BIDB",$A853,E$3,E$2,'Præsentationstabeller 1'!$C$2),0)</f>
        <v>41</v>
      </c>
      <c r="F853" vm="5509">
        <f>IFERROR(CUBEVALUE("BIDB",$A853,F$3,F$2,'Præsentationstabeller 1'!$C$2),0)</f>
        <v>13</v>
      </c>
      <c r="G853" vm="13507">
        <f>IFERROR(CUBEVALUE("BIDB",$A853,G$3,G$2,'Præsentationstabeller 1'!$C$2),0)</f>
        <v>54</v>
      </c>
      <c r="H853" vm="9882">
        <f>IFERROR(CUBEVALUE("BIDB",$A853,H$3,H$2,'Præsentationstabeller 1'!$C$2),0)</f>
        <v>2.76</v>
      </c>
      <c r="I853" vm="8971">
        <f>IFERROR(CUBEVALUE("BIDB",$A853,I$3,I$2,'Præsentationstabeller 1'!$C$2),0)</f>
        <v>16.252432432432435</v>
      </c>
      <c r="J853" vm="8319">
        <f>IFERROR(CUBEVALUE("BIDB",$A853,J$3,J$2,'Præsentationstabeller 1'!$C$2),0)</f>
        <v>20.954594594594599</v>
      </c>
      <c r="K853" vm="12536">
        <f>IFERROR(CUBEVALUE("BIDB",$A853,K$3,K$2,'Præsentationstabeller 1'!$C$2),0)</f>
        <v>5.2</v>
      </c>
      <c r="L853" vm="10067">
        <f>IFERROR(CUBEVALUE("BIDB",$A853,L$3,L$2,'Præsentationstabeller 1'!$C$2),0)</f>
        <v>26.154594594594602</v>
      </c>
    </row>
    <row r="854" spans="1:12" x14ac:dyDescent="0.3">
      <c r="A854" s="123" t="str" vm="482">
        <f>CUBEMEMBER("BIDB","[Dimittenddato].[Dimittenddato].&amp;[2016-06-23T00:00:00]")</f>
        <v>23-06-2016</v>
      </c>
      <c r="B854" t="str" vm="17004">
        <f>IFERROR(CUBEVALUE("BIDB",$A854,B$3,'Præsentationstabeller 1'!$C$2),0)</f>
        <v/>
      </c>
      <c r="C854" vm="11474">
        <f>IFERROR(CUBEVALUE("BIDB",$A854,C$3,C$2,'Præsentationstabeller 1'!$C$2),0)</f>
        <v>3</v>
      </c>
      <c r="D854" vm="10534">
        <f>IFERROR(CUBEVALUE("BIDB",$A854,D$3,D$2,'Præsentationstabeller 1'!$C$2),0)</f>
        <v>41</v>
      </c>
      <c r="E854" vm="4044">
        <f>IFERROR(CUBEVALUE("BIDB",$A854,E$3,E$2,'Præsentationstabeller 1'!$C$2),0)</f>
        <v>40</v>
      </c>
      <c r="F854" vm="5501">
        <f>IFERROR(CUBEVALUE("BIDB",$A854,F$3,F$2,'Præsentationstabeller 1'!$C$2),0)</f>
        <v>8</v>
      </c>
      <c r="G854" vm="15708">
        <f>IFERROR(CUBEVALUE("BIDB",$A854,G$3,G$2,'Præsentationstabeller 1'!$C$2),0)</f>
        <v>48</v>
      </c>
      <c r="H854" vm="14325">
        <f>IFERROR(CUBEVALUE("BIDB",$A854,H$3,H$2,'Præsentationstabeller 1'!$C$2),0)</f>
        <v>1.4035135135135135</v>
      </c>
      <c r="I854" vm="6959">
        <f>IFERROR(CUBEVALUE("BIDB",$A854,I$3,I$2,'Præsentationstabeller 1'!$C$2),0)</f>
        <v>19.839999999999996</v>
      </c>
      <c r="J854" vm="8736">
        <f>IFERROR(CUBEVALUE("BIDB",$A854,J$3,J$2,'Præsentationstabeller 1'!$C$2),0)</f>
        <v>18.2172972972973</v>
      </c>
      <c r="K854" vm="14380">
        <f>IFERROR(CUBEVALUE("BIDB",$A854,K$3,K$2,'Præsentationstabeller 1'!$C$2),0)</f>
        <v>3.5200000000000005</v>
      </c>
      <c r="L854" vm="9255">
        <f>IFERROR(CUBEVALUE("BIDB",$A854,L$3,L$2,'Præsentationstabeller 1'!$C$2),0)</f>
        <v>21.7372972972973</v>
      </c>
    </row>
    <row r="855" spans="1:12" x14ac:dyDescent="0.3">
      <c r="A855" s="123" t="str" vm="481">
        <f>CUBEMEMBER("BIDB","[Dimittenddato].[Dimittenddato].&amp;[2016-06-24T00:00:00]")</f>
        <v>24-06-2016</v>
      </c>
      <c r="B855" t="str" vm="5906">
        <f>IFERROR(CUBEVALUE("BIDB",$A855,B$3,'Præsentationstabeller 1'!$C$2),0)</f>
        <v/>
      </c>
      <c r="C855" vm="12910">
        <f>IFERROR(CUBEVALUE("BIDB",$A855,C$3,C$2,'Præsentationstabeller 1'!$C$2),0)</f>
        <v>6</v>
      </c>
      <c r="D855" vm="13008">
        <f>IFERROR(CUBEVALUE("BIDB",$A855,D$3,D$2,'Præsentationstabeller 1'!$C$2),0)</f>
        <v>52</v>
      </c>
      <c r="E855" vm="4036">
        <f>IFERROR(CUBEVALUE("BIDB",$A855,E$3,E$2,'Præsentationstabeller 1'!$C$2),0)</f>
        <v>43</v>
      </c>
      <c r="F855" vm="7421">
        <f>IFERROR(CUBEVALUE("BIDB",$A855,F$3,F$2,'Præsentationstabeller 1'!$C$2),0)</f>
        <v>25</v>
      </c>
      <c r="G855" vm="11632">
        <f>IFERROR(CUBEVALUE("BIDB",$A855,G$3,G$2,'Præsentationstabeller 1'!$C$2),0)</f>
        <v>68</v>
      </c>
      <c r="H855" vm="12036">
        <f>IFERROR(CUBEVALUE("BIDB",$A855,H$3,H$2,'Præsentationstabeller 1'!$C$2),0)</f>
        <v>1.6</v>
      </c>
      <c r="I855" vm="5934">
        <f>IFERROR(CUBEVALUE("BIDB",$A855,I$3,I$2,'Præsentationstabeller 1'!$C$2),0)</f>
        <v>21.380648648648648</v>
      </c>
      <c r="J855" vm="8734">
        <f>IFERROR(CUBEVALUE("BIDB",$A855,J$3,J$2,'Præsentationstabeller 1'!$C$2),0)</f>
        <v>17.048000000000002</v>
      </c>
      <c r="K855" vm="15425">
        <f>IFERROR(CUBEVALUE("BIDB",$A855,K$3,K$2,'Præsentationstabeller 1'!$C$2),0)</f>
        <v>1.24</v>
      </c>
      <c r="L855" vm="9724">
        <f>IFERROR(CUBEVALUE("BIDB",$A855,L$3,L$2,'Præsentationstabeller 1'!$C$2),0)</f>
        <v>18.288</v>
      </c>
    </row>
    <row r="856" spans="1:12" x14ac:dyDescent="0.3">
      <c r="A856" s="123" t="str" vm="480">
        <f>CUBEMEMBER("BIDB","[Dimittenddato].[Dimittenddato].&amp;[2016-06-25T00:00:00]")</f>
        <v>25-06-2016</v>
      </c>
      <c r="B856" t="str" vm="4369">
        <f>IFERROR(CUBEVALUE("BIDB",$A856,B$3,'Præsentationstabeller 1'!$C$2),0)</f>
        <v/>
      </c>
      <c r="C856" vm="15345">
        <f>IFERROR(CUBEVALUE("BIDB",$A856,C$3,C$2,'Præsentationstabeller 1'!$C$2),0)</f>
        <v>1</v>
      </c>
      <c r="D856" vm="15870">
        <f>IFERROR(CUBEVALUE("BIDB",$A856,D$3,D$2,'Præsentationstabeller 1'!$C$2),0)</f>
        <v>1</v>
      </c>
      <c r="E856" vm="8946">
        <f>IFERROR(CUBEVALUE("BIDB",$A856,E$3,E$2,'Præsentationstabeller 1'!$C$2),0)</f>
        <v>3</v>
      </c>
      <c r="F856" vm="10048">
        <f>IFERROR(CUBEVALUE("BIDB",$A856,F$3,F$2,'Præsentationstabeller 1'!$C$2),0)</f>
        <v>4</v>
      </c>
      <c r="G856" vm="15718">
        <f>IFERROR(CUBEVALUE("BIDB",$A856,G$3,G$2,'Præsentationstabeller 1'!$C$2),0)</f>
        <v>7</v>
      </c>
      <c r="H856" vm="12419">
        <f>IFERROR(CUBEVALUE("BIDB",$A856,H$3,H$2,'Præsentationstabeller 1'!$C$2),0)</f>
        <v>0.8</v>
      </c>
      <c r="I856" vm="5932">
        <f>IFERROR(CUBEVALUE("BIDB",$A856,I$3,I$2,'Præsentationstabeller 1'!$C$2),0)</f>
        <v>0.67999999999999994</v>
      </c>
      <c r="J856" vm="8661">
        <f>IFERROR(CUBEVALUE("BIDB",$A856,J$3,J$2,'Præsentationstabeller 1'!$C$2),0)</f>
        <v>0.64</v>
      </c>
      <c r="K856" t="str" vm="10615">
        <f>IFERROR(CUBEVALUE("BIDB",$A856,K$3,K$2,'Præsentationstabeller 1'!$C$2),0)</f>
        <v/>
      </c>
      <c r="L856" vm="8527">
        <f>IFERROR(CUBEVALUE("BIDB",$A856,L$3,L$2,'Præsentationstabeller 1'!$C$2),0)</f>
        <v>0.64</v>
      </c>
    </row>
    <row r="857" spans="1:12" x14ac:dyDescent="0.3">
      <c r="A857" s="123" t="str" vm="479">
        <f>CUBEMEMBER("BIDB","[Dimittenddato].[Dimittenddato].&amp;[2016-06-26T00:00:00]")</f>
        <v>26-06-2016</v>
      </c>
      <c r="B857" t="str" vm="4361">
        <f>IFERROR(CUBEVALUE("BIDB",$A857,B$3,'Præsentationstabeller 1'!$C$2),0)</f>
        <v/>
      </c>
      <c r="C857" vm="11270">
        <f>IFERROR(CUBEVALUE("BIDB",$A857,C$3,C$2,'Præsentationstabeller 1'!$C$2),0)</f>
        <v>0</v>
      </c>
      <c r="D857" t="str" vm="11998">
        <f>IFERROR(CUBEVALUE("BIDB",$A857,D$3,D$2,'Præsentationstabeller 1'!$C$2),0)</f>
        <v/>
      </c>
      <c r="E857" vm="6511">
        <f>IFERROR(CUBEVALUE("BIDB",$A857,E$3,E$2,'Præsentationstabeller 1'!$C$2),0)</f>
        <v>1</v>
      </c>
      <c r="F857" t="str" vm="5224">
        <f>IFERROR(CUBEVALUE("BIDB",$A857,F$3,F$2,'Præsentationstabeller 1'!$C$2),0)</f>
        <v/>
      </c>
      <c r="G857" vm="16305">
        <f>IFERROR(CUBEVALUE("BIDB",$A857,G$3,G$2,'Præsentationstabeller 1'!$C$2),0)</f>
        <v>1</v>
      </c>
      <c r="H857" t="str" vm="15927">
        <f>IFERROR(CUBEVALUE("BIDB",$A857,H$3,H$2,'Præsentationstabeller 1'!$C$2),0)</f>
        <v/>
      </c>
      <c r="I857" t="str" vm="10444">
        <f>IFERROR(CUBEVALUE("BIDB",$A857,I$3,I$2,'Præsentationstabeller 1'!$C$2),0)</f>
        <v/>
      </c>
      <c r="J857" t="str" vm="7802">
        <f>IFERROR(CUBEVALUE("BIDB",$A857,J$3,J$2,'Præsentationstabeller 1'!$C$2),0)</f>
        <v/>
      </c>
      <c r="K857" t="str" vm="10600">
        <f>IFERROR(CUBEVALUE("BIDB",$A857,K$3,K$2,'Præsentationstabeller 1'!$C$2),0)</f>
        <v/>
      </c>
      <c r="L857" t="str" vm="9399">
        <f>IFERROR(CUBEVALUE("BIDB",$A857,L$3,L$2,'Præsentationstabeller 1'!$C$2),0)</f>
        <v/>
      </c>
    </row>
    <row r="858" spans="1:12" x14ac:dyDescent="0.3">
      <c r="A858" s="123" t="str" vm="478">
        <f>CUBEMEMBER("BIDB","[Dimittenddato].[Dimittenddato].&amp;[2016-06-27T00:00:00]")</f>
        <v>27-06-2016</v>
      </c>
      <c r="B858" t="str" vm="6776">
        <f>IFERROR(CUBEVALUE("BIDB",$A858,B$3,'Præsentationstabeller 1'!$C$2),0)</f>
        <v/>
      </c>
      <c r="C858" vm="16982">
        <f>IFERROR(CUBEVALUE("BIDB",$A858,C$3,C$2,'Præsentationstabeller 1'!$C$2),0)</f>
        <v>3</v>
      </c>
      <c r="D858" vm="11841">
        <f>IFERROR(CUBEVALUE("BIDB",$A858,D$3,D$2,'Præsentationstabeller 1'!$C$2),0)</f>
        <v>31</v>
      </c>
      <c r="E858" vm="5775">
        <f>IFERROR(CUBEVALUE("BIDB",$A858,E$3,E$2,'Præsentationstabeller 1'!$C$2),0)</f>
        <v>27</v>
      </c>
      <c r="F858" vm="5216">
        <f>IFERROR(CUBEVALUE("BIDB",$A858,F$3,F$2,'Præsentationstabeller 1'!$C$2),0)</f>
        <v>10</v>
      </c>
      <c r="G858" vm="14600">
        <f>IFERROR(CUBEVALUE("BIDB",$A858,G$3,G$2,'Præsentationstabeller 1'!$C$2),0)</f>
        <v>37</v>
      </c>
      <c r="H858" vm="9898">
        <f>IFERROR(CUBEVALUE("BIDB",$A858,H$3,H$2,'Præsentationstabeller 1'!$C$2),0)</f>
        <v>0.76</v>
      </c>
      <c r="I858" vm="6927">
        <f>IFERROR(CUBEVALUE("BIDB",$A858,I$3,I$2,'Præsentationstabeller 1'!$C$2),0)</f>
        <v>11.209729729729728</v>
      </c>
      <c r="J858" vm="4523">
        <f>IFERROR(CUBEVALUE("BIDB",$A858,J$3,J$2,'Præsentationstabeller 1'!$C$2),0)</f>
        <v>13.719999999999999</v>
      </c>
      <c r="K858" vm="16851">
        <f>IFERROR(CUBEVALUE("BIDB",$A858,K$3,K$2,'Præsentationstabeller 1'!$C$2),0)</f>
        <v>2.5567567567567568</v>
      </c>
      <c r="L858" vm="11257">
        <f>IFERROR(CUBEVALUE("BIDB",$A858,L$3,L$2,'Præsentationstabeller 1'!$C$2),0)</f>
        <v>16.276756756756754</v>
      </c>
    </row>
    <row r="859" spans="1:12" x14ac:dyDescent="0.3">
      <c r="A859" s="123" t="str" vm="477">
        <f>CUBEMEMBER("BIDB","[Dimittenddato].[Dimittenddato].&amp;[2016-06-28T00:00:00]")</f>
        <v>28-06-2016</v>
      </c>
      <c r="B859" t="str" vm="10236">
        <f>IFERROR(CUBEVALUE("BIDB",$A859,B$3,'Præsentationstabeller 1'!$C$2),0)</f>
        <v/>
      </c>
      <c r="C859" t="str" vm="14692">
        <f>IFERROR(CUBEVALUE("BIDB",$A859,C$3,C$2,'Præsentationstabeller 1'!$C$2),0)</f>
        <v/>
      </c>
      <c r="D859" vm="15421">
        <f>IFERROR(CUBEVALUE("BIDB",$A859,D$3,D$2,'Præsentationstabeller 1'!$C$2),0)</f>
        <v>27</v>
      </c>
      <c r="E859" vm="5773">
        <f>IFERROR(CUBEVALUE("BIDB",$A859,E$3,E$2,'Præsentationstabeller 1'!$C$2),0)</f>
        <v>23</v>
      </c>
      <c r="F859" vm="8271">
        <f>IFERROR(CUBEVALUE("BIDB",$A859,F$3,F$2,'Præsentationstabeller 1'!$C$2),0)</f>
        <v>12</v>
      </c>
      <c r="G859" vm="13069">
        <f>IFERROR(CUBEVALUE("BIDB",$A859,G$3,G$2,'Præsentationstabeller 1'!$C$2),0)</f>
        <v>35</v>
      </c>
      <c r="H859" t="str" vm="16349">
        <f>IFERROR(CUBEVALUE("BIDB",$A859,H$3,H$2,'Præsentationstabeller 1'!$C$2),0)</f>
        <v/>
      </c>
      <c r="I859" vm="6145">
        <f>IFERROR(CUBEVALUE("BIDB",$A859,I$3,I$2,'Præsentationstabeller 1'!$C$2),0)</f>
        <v>13.798378378378381</v>
      </c>
      <c r="J859" vm="4515">
        <f>IFERROR(CUBEVALUE("BIDB",$A859,J$3,J$2,'Præsentationstabeller 1'!$C$2),0)</f>
        <v>8</v>
      </c>
      <c r="K859" vm="17038">
        <f>IFERROR(CUBEVALUE("BIDB",$A859,K$3,K$2,'Præsentationstabeller 1'!$C$2),0)</f>
        <v>1.2</v>
      </c>
      <c r="L859" vm="11869">
        <f>IFERROR(CUBEVALUE("BIDB",$A859,L$3,L$2,'Præsentationstabeller 1'!$C$2),0)</f>
        <v>9.1999999999999993</v>
      </c>
    </row>
    <row r="860" spans="1:12" x14ac:dyDescent="0.3">
      <c r="A860" s="123" t="str" vm="476">
        <f>CUBEMEMBER("BIDB","[Dimittenddato].[Dimittenddato].&amp;[2016-06-29T00:00:00]")</f>
        <v>29-06-2016</v>
      </c>
      <c r="B860" t="str" vm="5093">
        <f>IFERROR(CUBEVALUE("BIDB",$A860,B$3,'Præsentationstabeller 1'!$C$2),0)</f>
        <v/>
      </c>
      <c r="C860" vm="16103">
        <f>IFERROR(CUBEVALUE("BIDB",$A860,C$3,C$2,'Præsentationstabeller 1'!$C$2),0)</f>
        <v>3</v>
      </c>
      <c r="D860" vm="14127">
        <f>IFERROR(CUBEVALUE("BIDB",$A860,D$3,D$2,'Præsentationstabeller 1'!$C$2),0)</f>
        <v>41</v>
      </c>
      <c r="E860" vm="10949">
        <f>IFERROR(CUBEVALUE("BIDB",$A860,E$3,E$2,'Præsentationstabeller 1'!$C$2),0)</f>
        <v>20</v>
      </c>
      <c r="F860" vm="8009">
        <f>IFERROR(CUBEVALUE("BIDB",$A860,F$3,F$2,'Præsentationstabeller 1'!$C$2),0)</f>
        <v>8</v>
      </c>
      <c r="G860" vm="14811">
        <f>IFERROR(CUBEVALUE("BIDB",$A860,G$3,G$2,'Præsentationstabeller 1'!$C$2),0)</f>
        <v>28</v>
      </c>
      <c r="H860" vm="11407">
        <f>IFERROR(CUBEVALUE("BIDB",$A860,H$3,H$2,'Præsentationstabeller 1'!$C$2),0)</f>
        <v>1.3599999999999999</v>
      </c>
      <c r="I860" vm="6137">
        <f>IFERROR(CUBEVALUE("BIDB",$A860,I$3,I$2,'Præsentationstabeller 1'!$C$2),0)</f>
        <v>14.4</v>
      </c>
      <c r="J860" vm="8333">
        <f>IFERROR(CUBEVALUE("BIDB",$A860,J$3,J$2,'Præsentationstabeller 1'!$C$2),0)</f>
        <v>7.4399999999999977</v>
      </c>
      <c r="K860" vm="10732">
        <f>IFERROR(CUBEVALUE("BIDB",$A860,K$3,K$2,'Præsentationstabeller 1'!$C$2),0)</f>
        <v>2.7600000000000002</v>
      </c>
      <c r="L860" vm="9047">
        <f>IFERROR(CUBEVALUE("BIDB",$A860,L$3,L$2,'Præsentationstabeller 1'!$C$2),0)</f>
        <v>10.199999999999998</v>
      </c>
    </row>
    <row r="861" spans="1:12" x14ac:dyDescent="0.3">
      <c r="A861" s="123" t="str" vm="475">
        <f>CUBEMEMBER("BIDB","[Dimittenddato].[Dimittenddato].&amp;[2016-06-30T00:00:00]")</f>
        <v>30-06-2016</v>
      </c>
      <c r="B861" t="str" vm="5085">
        <f>IFERROR(CUBEVALUE("BIDB",$A861,B$3,'Præsentationstabeller 1'!$C$2),0)</f>
        <v/>
      </c>
      <c r="C861" vm="9583">
        <f>IFERROR(CUBEVALUE("BIDB",$A861,C$3,C$2,'Præsentationstabeller 1'!$C$2),0)</f>
        <v>14</v>
      </c>
      <c r="D861" vm="14318">
        <f>IFERROR(CUBEVALUE("BIDB",$A861,D$3,D$2,'Præsentationstabeller 1'!$C$2),0)</f>
        <v>69</v>
      </c>
      <c r="E861" vm="6503">
        <f>IFERROR(CUBEVALUE("BIDB",$A861,E$3,E$2,'Præsentationstabeller 1'!$C$2),0)</f>
        <v>72</v>
      </c>
      <c r="F861" vm="5072">
        <f>IFERROR(CUBEVALUE("BIDB",$A861,F$3,F$2,'Præsentationstabeller 1'!$C$2),0)</f>
        <v>27</v>
      </c>
      <c r="G861" vm="15185">
        <f>IFERROR(CUBEVALUE("BIDB",$A861,G$3,G$2,'Præsentationstabeller 1'!$C$2),0)</f>
        <v>99</v>
      </c>
      <c r="H861" vm="9978">
        <f>IFERROR(CUBEVALUE("BIDB",$A861,H$3,H$2,'Præsentationstabeller 1'!$C$2),0)</f>
        <v>3.2</v>
      </c>
      <c r="I861" vm="7285">
        <f>IFERROR(CUBEVALUE("BIDB",$A861,I$3,I$2,'Præsentationstabeller 1'!$C$2),0)</f>
        <v>14.325243243243246</v>
      </c>
      <c r="J861" vm="5557">
        <f>IFERROR(CUBEVALUE("BIDB",$A861,J$3,J$2,'Præsentationstabeller 1'!$C$2),0)</f>
        <v>13.229729729729732</v>
      </c>
      <c r="K861" t="str" vm="13999">
        <f>IFERROR(CUBEVALUE("BIDB",$A861,K$3,K$2,'Præsentationstabeller 1'!$C$2),0)</f>
        <v/>
      </c>
      <c r="L861" vm="10197">
        <f>IFERROR(CUBEVALUE("BIDB",$A861,L$3,L$2,'Præsentationstabeller 1'!$C$2),0)</f>
        <v>13.229729729729732</v>
      </c>
    </row>
    <row r="862" spans="1:12" x14ac:dyDescent="0.3">
      <c r="A862" s="123" t="str" vm="474">
        <f>CUBEMEMBER("BIDB","[Dimittenddato].[Dimittenddato].&amp;[2016-07-01T00:00:00]")</f>
        <v>01-07-2016</v>
      </c>
      <c r="B862" t="str" vm="5277">
        <f>IFERROR(CUBEVALUE("BIDB",$A862,B$3,'Præsentationstabeller 1'!$C$2),0)</f>
        <v/>
      </c>
      <c r="C862" vm="11515">
        <f>IFERROR(CUBEVALUE("BIDB",$A862,C$3,C$2,'Præsentationstabeller 1'!$C$2),0)</f>
        <v>3</v>
      </c>
      <c r="D862" vm="15456">
        <f>IFERROR(CUBEVALUE("BIDB",$A862,D$3,D$2,'Præsentationstabeller 1'!$C$2),0)</f>
        <v>34</v>
      </c>
      <c r="E862" vm="7766">
        <f>IFERROR(CUBEVALUE("BIDB",$A862,E$3,E$2,'Præsentationstabeller 1'!$C$2),0)</f>
        <v>38</v>
      </c>
      <c r="F862" vm="5070">
        <f>IFERROR(CUBEVALUE("BIDB",$A862,F$3,F$2,'Præsentationstabeller 1'!$C$2),0)</f>
        <v>19</v>
      </c>
      <c r="G862" vm="14136">
        <f>IFERROR(CUBEVALUE("BIDB",$A862,G$3,G$2,'Præsentationstabeller 1'!$C$2),0)</f>
        <v>57</v>
      </c>
      <c r="H862" t="str" vm="11870">
        <f>IFERROR(CUBEVALUE("BIDB",$A862,H$3,H$2,'Præsentationstabeller 1'!$C$2),0)</f>
        <v/>
      </c>
      <c r="I862" vm="8127">
        <f>IFERROR(CUBEVALUE("BIDB",$A862,I$3,I$2,'Præsentationstabeller 1'!$C$2),0)</f>
        <v>8.5167567567567559</v>
      </c>
      <c r="J862" vm="8318">
        <f>IFERROR(CUBEVALUE("BIDB",$A862,J$3,J$2,'Præsentationstabeller 1'!$C$2),0)</f>
        <v>6.3457837837837836</v>
      </c>
      <c r="K862" vm="9425">
        <f>IFERROR(CUBEVALUE("BIDB",$A862,K$3,K$2,'Præsentationstabeller 1'!$C$2),0)</f>
        <v>1.8800000000000001</v>
      </c>
      <c r="L862" vm="9570">
        <f>IFERROR(CUBEVALUE("BIDB",$A862,L$3,L$2,'Præsentationstabeller 1'!$C$2),0)</f>
        <v>8.2257837837837844</v>
      </c>
    </row>
    <row r="863" spans="1:12" x14ac:dyDescent="0.3">
      <c r="A863" s="123" t="str" vm="473">
        <f>CUBEMEMBER("BIDB","[Dimittenddato].[Dimittenddato].&amp;[2016-07-02T00:00:00]")</f>
        <v>02-07-2016</v>
      </c>
      <c r="B863" t="str" vm="7171">
        <f>IFERROR(CUBEVALUE("BIDB",$A863,B$3,'Præsentationstabeller 1'!$C$2),0)</f>
        <v/>
      </c>
      <c r="C863" t="str" vm="13310">
        <f>IFERROR(CUBEVALUE("BIDB",$A863,C$3,C$2,'Præsentationstabeller 1'!$C$2),0)</f>
        <v/>
      </c>
      <c r="D863" t="str" vm="11518">
        <f>IFERROR(CUBEVALUE("BIDB",$A863,D$3,D$2,'Præsentationstabeller 1'!$C$2),0)</f>
        <v/>
      </c>
      <c r="E863" t="str" vm="7764">
        <f>IFERROR(CUBEVALUE("BIDB",$A863,E$3,E$2,'Præsentationstabeller 1'!$C$2),0)</f>
        <v/>
      </c>
      <c r="F863" vm="13783">
        <f>IFERROR(CUBEVALUE("BIDB",$A863,F$3,F$2,'Præsentationstabeller 1'!$C$2),0)</f>
        <v>2</v>
      </c>
      <c r="G863" vm="16136">
        <f>IFERROR(CUBEVALUE("BIDB",$A863,G$3,G$2,'Præsentationstabeller 1'!$C$2),0)</f>
        <v>2</v>
      </c>
      <c r="H863" t="str" vm="12394">
        <f>IFERROR(CUBEVALUE("BIDB",$A863,H$3,H$2,'Præsentationstabeller 1'!$C$2),0)</f>
        <v/>
      </c>
      <c r="I863" t="str" vm="5860">
        <f>IFERROR(CUBEVALUE("BIDB",$A863,I$3,I$2,'Præsentationstabeller 1'!$C$2),0)</f>
        <v/>
      </c>
      <c r="J863" t="str" vm="7340">
        <f>IFERROR(CUBEVALUE("BIDB",$A863,J$3,J$2,'Præsentationstabeller 1'!$C$2),0)</f>
        <v/>
      </c>
      <c r="K863" vm="14697">
        <f>IFERROR(CUBEVALUE("BIDB",$A863,K$3,K$2,'Præsentationstabeller 1'!$C$2),0)</f>
        <v>1.2</v>
      </c>
      <c r="L863" vm="10424">
        <f>IFERROR(CUBEVALUE("BIDB",$A863,L$3,L$2,'Præsentationstabeller 1'!$C$2),0)</f>
        <v>1.2</v>
      </c>
    </row>
    <row r="864" spans="1:12" x14ac:dyDescent="0.3">
      <c r="A864" s="123" t="str" vm="472">
        <f>CUBEMEMBER("BIDB","[Dimittenddato].[Dimittenddato].&amp;[2016-07-03T00:00:00]")</f>
        <v>03-07-2016</v>
      </c>
      <c r="B864" t="str" vm="4408">
        <f>IFERROR(CUBEVALUE("BIDB",$A864,B$3,'Præsentationstabeller 1'!$C$2),0)</f>
        <v/>
      </c>
      <c r="C864" t="str" vm="15255">
        <f>IFERROR(CUBEVALUE("BIDB",$A864,C$3,C$2,'Præsentationstabeller 1'!$C$2),0)</f>
        <v/>
      </c>
      <c r="D864" t="str" vm="13684">
        <f>IFERROR(CUBEVALUE("BIDB",$A864,D$3,D$2,'Præsentationstabeller 1'!$C$2),0)</f>
        <v/>
      </c>
      <c r="E864" vm="7249">
        <f>IFERROR(CUBEVALUE("BIDB",$A864,E$3,E$2,'Præsentationstabeller 1'!$C$2),0)</f>
        <v>3</v>
      </c>
      <c r="F864" t="str" vm="5683">
        <f>IFERROR(CUBEVALUE("BIDB",$A864,F$3,F$2,'Præsentationstabeller 1'!$C$2),0)</f>
        <v/>
      </c>
      <c r="G864" vm="16631">
        <f>IFERROR(CUBEVALUE("BIDB",$A864,G$3,G$2,'Præsentationstabeller 1'!$C$2),0)</f>
        <v>3</v>
      </c>
      <c r="H864" t="str" vm="14834">
        <f>IFERROR(CUBEVALUE("BIDB",$A864,H$3,H$2,'Præsentationstabeller 1'!$C$2),0)</f>
        <v/>
      </c>
      <c r="I864" t="str" vm="5852">
        <f>IFERROR(CUBEVALUE("BIDB",$A864,I$3,I$2,'Præsentationstabeller 1'!$C$2),0)</f>
        <v/>
      </c>
      <c r="J864" vm="8674">
        <f>IFERROR(CUBEVALUE("BIDB",$A864,J$3,J$2,'Præsentationstabeller 1'!$C$2),0)</f>
        <v>1.08</v>
      </c>
      <c r="K864" t="str" vm="9829">
        <f>IFERROR(CUBEVALUE("BIDB",$A864,K$3,K$2,'Præsentationstabeller 1'!$C$2),0)</f>
        <v/>
      </c>
      <c r="L864" vm="9164">
        <f>IFERROR(CUBEVALUE("BIDB",$A864,L$3,L$2,'Præsentationstabeller 1'!$C$2),0)</f>
        <v>1.08</v>
      </c>
    </row>
    <row r="865" spans="1:12" x14ac:dyDescent="0.3">
      <c r="A865" s="123" t="str" vm="471">
        <f>CUBEMEMBER("BIDB","[Dimittenddato].[Dimittenddato].&amp;[2016-07-04T00:00:00]")</f>
        <v>04-07-2016</v>
      </c>
      <c r="B865" t="str" vm="4400">
        <f>IFERROR(CUBEVALUE("BIDB",$A865,B$3,'Præsentationstabeller 1'!$C$2),0)</f>
        <v/>
      </c>
      <c r="C865" t="str" vm="11355">
        <f>IFERROR(CUBEVALUE("BIDB",$A865,C$3,C$2,'Præsentationstabeller 1'!$C$2),0)</f>
        <v/>
      </c>
      <c r="D865" vm="13984">
        <f>IFERROR(CUBEVALUE("BIDB",$A865,D$3,D$2,'Præsentationstabeller 1'!$C$2),0)</f>
        <v>7</v>
      </c>
      <c r="E865" vm="8119">
        <f>IFERROR(CUBEVALUE("BIDB",$A865,E$3,E$2,'Præsentationstabeller 1'!$C$2),0)</f>
        <v>9</v>
      </c>
      <c r="F865" t="str" vm="6786">
        <f>IFERROR(CUBEVALUE("BIDB",$A865,F$3,F$2,'Præsentationstabeller 1'!$C$2),0)</f>
        <v/>
      </c>
      <c r="G865" vm="12632">
        <f>IFERROR(CUBEVALUE("BIDB",$A865,G$3,G$2,'Præsentationstabeller 1'!$C$2),0)</f>
        <v>9</v>
      </c>
      <c r="H865" t="str" vm="12798">
        <f>IFERROR(CUBEVALUE("BIDB",$A865,H$3,H$2,'Præsentationstabeller 1'!$C$2),0)</f>
        <v/>
      </c>
      <c r="I865" vm="7215">
        <f>IFERROR(CUBEVALUE("BIDB",$A865,I$3,I$2,'Præsentationstabeller 1'!$C$2),0)</f>
        <v>2.2000000000000002</v>
      </c>
      <c r="J865" vm="5525">
        <f>IFERROR(CUBEVALUE("BIDB",$A865,J$3,J$2,'Præsentationstabeller 1'!$C$2),0)</f>
        <v>2</v>
      </c>
      <c r="K865" t="str" vm="10621">
        <f>IFERROR(CUBEVALUE("BIDB",$A865,K$3,K$2,'Præsentationstabeller 1'!$C$2),0)</f>
        <v/>
      </c>
      <c r="L865" vm="9294">
        <f>IFERROR(CUBEVALUE("BIDB",$A865,L$3,L$2,'Præsentationstabeller 1'!$C$2),0)</f>
        <v>2</v>
      </c>
    </row>
    <row r="866" spans="1:12" x14ac:dyDescent="0.3">
      <c r="A866" s="123" t="str" vm="470">
        <f>CUBEMEMBER("BIDB","[Dimittenddato].[Dimittenddato].&amp;[2016-07-05T00:00:00]")</f>
        <v>05-07-2016</v>
      </c>
      <c r="B866" t="str" vm="15780">
        <f>IFERROR(CUBEVALUE("BIDB",$A866,B$3,'Præsentationstabeller 1'!$C$2),0)</f>
        <v/>
      </c>
      <c r="C866" t="str" vm="9599">
        <f>IFERROR(CUBEVALUE("BIDB",$A866,C$3,C$2,'Præsentationstabeller 1'!$C$2),0)</f>
        <v/>
      </c>
      <c r="D866" vm="10478">
        <f>IFERROR(CUBEVALUE("BIDB",$A866,D$3,D$2,'Præsentationstabeller 1'!$C$2),0)</f>
        <v>5</v>
      </c>
      <c r="E866" vm="9634">
        <f>IFERROR(CUBEVALUE("BIDB",$A866,E$3,E$2,'Præsentationstabeller 1'!$C$2),0)</f>
        <v>13</v>
      </c>
      <c r="F866" vm="6275">
        <f>IFERROR(CUBEVALUE("BIDB",$A866,F$3,F$2,'Præsentationstabeller 1'!$C$2),0)</f>
        <v>1</v>
      </c>
      <c r="G866" vm="16958">
        <f>IFERROR(CUBEVALUE("BIDB",$A866,G$3,G$2,'Præsentationstabeller 1'!$C$2),0)</f>
        <v>14</v>
      </c>
      <c r="H866" t="str" vm="14938">
        <f>IFERROR(CUBEVALUE("BIDB",$A866,H$3,H$2,'Præsentationstabeller 1'!$C$2),0)</f>
        <v/>
      </c>
      <c r="I866" vm="6280">
        <f>IFERROR(CUBEVALUE("BIDB",$A866,I$3,I$2,'Præsentationstabeller 1'!$C$2),0)</f>
        <v>0.48</v>
      </c>
      <c r="J866" vm="5254">
        <f>IFERROR(CUBEVALUE("BIDB",$A866,J$3,J$2,'Præsentationstabeller 1'!$C$2),0)</f>
        <v>2.8400000000000003</v>
      </c>
      <c r="K866" t="str" vm="13710">
        <f>IFERROR(CUBEVALUE("BIDB",$A866,K$3,K$2,'Præsentationstabeller 1'!$C$2),0)</f>
        <v/>
      </c>
      <c r="L866" vm="12885">
        <f>IFERROR(CUBEVALUE("BIDB",$A866,L$3,L$2,'Præsentationstabeller 1'!$C$2),0)</f>
        <v>2.8400000000000003</v>
      </c>
    </row>
    <row r="867" spans="1:12" x14ac:dyDescent="0.3">
      <c r="A867" s="123" t="str" vm="469">
        <f>CUBEMEMBER("BIDB","[Dimittenddato].[Dimittenddato].&amp;[2016-07-06T00:00:00]")</f>
        <v>06-07-2016</v>
      </c>
      <c r="B867" t="str" vm="6705">
        <f>IFERROR(CUBEVALUE("BIDB",$A867,B$3,'Præsentationstabeller 1'!$C$2),0)</f>
        <v/>
      </c>
      <c r="C867" t="str" vm="14450">
        <f>IFERROR(CUBEVALUE("BIDB",$A867,C$3,C$2,'Præsentationstabeller 1'!$C$2),0)</f>
        <v/>
      </c>
      <c r="D867" vm="11660">
        <f>IFERROR(CUBEVALUE("BIDB",$A867,D$3,D$2,'Præsentationstabeller 1'!$C$2),0)</f>
        <v>3</v>
      </c>
      <c r="E867" vm="10942">
        <f>IFERROR(CUBEVALUE("BIDB",$A867,E$3,E$2,'Præsentationstabeller 1'!$C$2),0)</f>
        <v>12</v>
      </c>
      <c r="F867" vm="10947">
        <f>IFERROR(CUBEVALUE("BIDB",$A867,F$3,F$2,'Præsentationstabeller 1'!$C$2),0)</f>
        <v>1</v>
      </c>
      <c r="G867" vm="11383">
        <f>IFERROR(CUBEVALUE("BIDB",$A867,G$3,G$2,'Præsentationstabeller 1'!$C$2),0)</f>
        <v>13</v>
      </c>
      <c r="H867" t="str" vm="13667">
        <f>IFERROR(CUBEVALUE("BIDB",$A867,H$3,H$2,'Præsentationstabeller 1'!$C$2),0)</f>
        <v/>
      </c>
      <c r="I867" vm="3791">
        <f>IFERROR(CUBEVALUE("BIDB",$A867,I$3,I$2,'Præsentationstabeller 1'!$C$2),0)</f>
        <v>0.8</v>
      </c>
      <c r="J867" vm="5246">
        <f>IFERROR(CUBEVALUE("BIDB",$A867,J$3,J$2,'Præsentationstabeller 1'!$C$2),0)</f>
        <v>3.6399999999999997</v>
      </c>
      <c r="K867" t="str" vm="15951">
        <f>IFERROR(CUBEVALUE("BIDB",$A867,K$3,K$2,'Præsentationstabeller 1'!$C$2),0)</f>
        <v/>
      </c>
      <c r="L867" vm="12068">
        <f>IFERROR(CUBEVALUE("BIDB",$A867,L$3,L$2,'Præsentationstabeller 1'!$C$2),0)</f>
        <v>3.6399999999999997</v>
      </c>
    </row>
    <row r="868" spans="1:12" x14ac:dyDescent="0.3">
      <c r="A868" s="123" t="str" vm="468">
        <f>CUBEMEMBER("BIDB","[Dimittenddato].[Dimittenddato].&amp;[2016-07-07T00:00:00]")</f>
        <v>07-07-2016</v>
      </c>
      <c r="B868" t="str" vm="6953">
        <f>IFERROR(CUBEVALUE("BIDB",$A868,B$3,'Præsentationstabeller 1'!$C$2),0)</f>
        <v/>
      </c>
      <c r="C868" t="str" vm="14239">
        <f>IFERROR(CUBEVALUE("BIDB",$A868,C$3,C$2,'Præsentationstabeller 1'!$C$2),0)</f>
        <v/>
      </c>
      <c r="D868" vm="15096">
        <f>IFERROR(CUBEVALUE("BIDB",$A868,D$3,D$2,'Præsentationstabeller 1'!$C$2),0)</f>
        <v>10</v>
      </c>
      <c r="E868" vm="3783">
        <f>IFERROR(CUBEVALUE("BIDB",$A868,E$3,E$2,'Præsentationstabeller 1'!$C$2),0)</f>
        <v>12</v>
      </c>
      <c r="F868" vm="5651">
        <f>IFERROR(CUBEVALUE("BIDB",$A868,F$3,F$2,'Præsentationstabeller 1'!$C$2),0)</f>
        <v>2</v>
      </c>
      <c r="G868" vm="11228">
        <f>IFERROR(CUBEVALUE("BIDB",$A868,G$3,G$2,'Præsentationstabeller 1'!$C$2),0)</f>
        <v>14</v>
      </c>
      <c r="H868" t="str" vm="8380">
        <f>IFERROR(CUBEVALUE("BIDB",$A868,H$3,H$2,'Præsentationstabeller 1'!$C$2),0)</f>
        <v/>
      </c>
      <c r="I868" vm="6955">
        <f>IFERROR(CUBEVALUE("BIDB",$A868,I$3,I$2,'Præsentationstabeller 1'!$C$2),0)</f>
        <v>1.4327567567567567</v>
      </c>
      <c r="J868" vm="8667">
        <f>IFERROR(CUBEVALUE("BIDB",$A868,J$3,J$2,'Præsentationstabeller 1'!$C$2),0)</f>
        <v>2.399189189189189</v>
      </c>
      <c r="K868" t="str" vm="7050">
        <f>IFERROR(CUBEVALUE("BIDB",$A868,K$3,K$2,'Præsentationstabeller 1'!$C$2),0)</f>
        <v/>
      </c>
      <c r="L868" vm="5123">
        <f>IFERROR(CUBEVALUE("BIDB",$A868,L$3,L$2,'Præsentationstabeller 1'!$C$2),0)</f>
        <v>2.399189189189189</v>
      </c>
    </row>
    <row r="869" spans="1:12" x14ac:dyDescent="0.3">
      <c r="A869" s="123" t="str" vm="467">
        <f>CUBEMEMBER("BIDB","[Dimittenddato].[Dimittenddato].&amp;[2016-07-08T00:00:00]")</f>
        <v>08-07-2016</v>
      </c>
      <c r="B869" t="str" vm="5115">
        <f>IFERROR(CUBEVALUE("BIDB",$A869,B$3,'Præsentationstabeller 1'!$C$2),0)</f>
        <v/>
      </c>
      <c r="C869" t="str" vm="9731">
        <f>IFERROR(CUBEVALUE("BIDB",$A869,C$3,C$2,'Præsentationstabeller 1'!$C$2),0)</f>
        <v/>
      </c>
      <c r="D869" vm="14472">
        <f>IFERROR(CUBEVALUE("BIDB",$A869,D$3,D$2,'Præsentationstabeller 1'!$C$2),0)</f>
        <v>8</v>
      </c>
      <c r="E869" vm="7778">
        <f>IFERROR(CUBEVALUE("BIDB",$A869,E$3,E$2,'Præsentationstabeller 1'!$C$2),0)</f>
        <v>20</v>
      </c>
      <c r="F869" t="str" vm="5987">
        <f>IFERROR(CUBEVALUE("BIDB",$A869,F$3,F$2,'Præsentationstabeller 1'!$C$2),0)</f>
        <v/>
      </c>
      <c r="G869" vm="16164">
        <f>IFERROR(CUBEVALUE("BIDB",$A869,G$3,G$2,'Præsentationstabeller 1'!$C$2),0)</f>
        <v>20</v>
      </c>
      <c r="H869" t="str" vm="13319">
        <f>IFERROR(CUBEVALUE("BIDB",$A869,H$3,H$2,'Præsentationstabeller 1'!$C$2),0)</f>
        <v/>
      </c>
      <c r="I869" vm="10280">
        <f>IFERROR(CUBEVALUE("BIDB",$A869,I$3,I$2,'Præsentationstabeller 1'!$C$2),0)</f>
        <v>0.96</v>
      </c>
      <c r="J869" vm="7313">
        <f>IFERROR(CUBEVALUE("BIDB",$A869,J$3,J$2,'Præsentationstabeller 1'!$C$2),0)</f>
        <v>2.4389189189189189</v>
      </c>
      <c r="K869" t="str" vm="12734">
        <f>IFERROR(CUBEVALUE("BIDB",$A869,K$3,K$2,'Præsentationstabeller 1'!$C$2),0)</f>
        <v/>
      </c>
      <c r="L869" vm="12527">
        <f>IFERROR(CUBEVALUE("BIDB",$A869,L$3,L$2,'Præsentationstabeller 1'!$C$2),0)</f>
        <v>2.4389189189189189</v>
      </c>
    </row>
    <row r="870" spans="1:12" x14ac:dyDescent="0.3">
      <c r="A870" s="123" t="str" vm="466">
        <f>CUBEMEMBER("BIDB","[Dimittenddato].[Dimittenddato].&amp;[2016-07-09T00:00:00]")</f>
        <v>09-07-2016</v>
      </c>
      <c r="B870" t="str" vm="8277">
        <f>IFERROR(CUBEVALUE("BIDB",$A870,B$3,'Præsentationstabeller 1'!$C$2),0)</f>
        <v/>
      </c>
      <c r="C870" t="str" vm="14837">
        <f>IFERROR(CUBEVALUE("BIDB",$A870,C$3,C$2,'Præsentationstabeller 1'!$C$2),0)</f>
        <v/>
      </c>
      <c r="D870" t="str" vm="14623">
        <f>IFERROR(CUBEVALUE("BIDB",$A870,D$3,D$2,'Præsentationstabeller 1'!$C$2),0)</f>
        <v/>
      </c>
      <c r="E870" t="str" vm="5902">
        <f>IFERROR(CUBEVALUE("BIDB",$A870,E$3,E$2,'Præsentationstabeller 1'!$C$2),0)</f>
        <v/>
      </c>
      <c r="F870" t="str" vm="5979">
        <f>IFERROR(CUBEVALUE("BIDB",$A870,F$3,F$2,'Præsentationstabeller 1'!$C$2),0)</f>
        <v/>
      </c>
      <c r="G870" t="str" vm="13635">
        <f>IFERROR(CUBEVALUE("BIDB",$A870,G$3,G$2,'Præsentationstabeller 1'!$C$2),0)</f>
        <v/>
      </c>
      <c r="H870" t="str" vm="13057">
        <f>IFERROR(CUBEVALUE("BIDB",$A870,H$3,H$2,'Præsentationstabeller 1'!$C$2),0)</f>
        <v/>
      </c>
      <c r="I870" t="str" vm="6673">
        <f>IFERROR(CUBEVALUE("BIDB",$A870,I$3,I$2,'Præsentationstabeller 1'!$C$2),0)</f>
        <v/>
      </c>
      <c r="J870" t="str" vm="4271">
        <f>IFERROR(CUBEVALUE("BIDB",$A870,J$3,J$2,'Præsentationstabeller 1'!$C$2),0)</f>
        <v/>
      </c>
      <c r="K870" t="str" vm="15410">
        <f>IFERROR(CUBEVALUE("BIDB",$A870,K$3,K$2,'Præsentationstabeller 1'!$C$2),0)</f>
        <v/>
      </c>
      <c r="L870" t="str" vm="8218">
        <f>IFERROR(CUBEVALUE("BIDB",$A870,L$3,L$2,'Præsentationstabeller 1'!$C$2),0)</f>
        <v/>
      </c>
    </row>
    <row r="871" spans="1:12" x14ac:dyDescent="0.3">
      <c r="A871" s="123" t="str" vm="465">
        <f>CUBEMEMBER("BIDB","[Dimittenddato].[Dimittenddato].&amp;[2016-07-10T00:00:00]")</f>
        <v>10-07-2016</v>
      </c>
      <c r="B871" t="str" vm="8634">
        <f>IFERROR(CUBEVALUE("BIDB",$A871,B$3,'Præsentationstabeller 1'!$C$2),0)</f>
        <v/>
      </c>
      <c r="C871" t="str" vm="17010">
        <f>IFERROR(CUBEVALUE("BIDB",$A871,C$3,C$2,'Præsentationstabeller 1'!$C$2),0)</f>
        <v/>
      </c>
      <c r="D871" t="str" vm="10590">
        <f>IFERROR(CUBEVALUE("BIDB",$A871,D$3,D$2,'Præsentationstabeller 1'!$C$2),0)</f>
        <v/>
      </c>
      <c r="E871" t="str" vm="5900">
        <f>IFERROR(CUBEVALUE("BIDB",$A871,E$3,E$2,'Præsentationstabeller 1'!$C$2),0)</f>
        <v/>
      </c>
      <c r="F871" t="str" vm="6458">
        <f>IFERROR(CUBEVALUE("BIDB",$A871,F$3,F$2,'Præsentationstabeller 1'!$C$2),0)</f>
        <v/>
      </c>
      <c r="G871" t="str" vm="14668">
        <f>IFERROR(CUBEVALUE("BIDB",$A871,G$3,G$2,'Præsentationstabeller 1'!$C$2),0)</f>
        <v/>
      </c>
      <c r="H871" t="str" vm="16824">
        <f>IFERROR(CUBEVALUE("BIDB",$A871,H$3,H$2,'Præsentationstabeller 1'!$C$2),0)</f>
        <v/>
      </c>
      <c r="I871" t="str" vm="5890">
        <f>IFERROR(CUBEVALUE("BIDB",$A871,I$3,I$2,'Præsentationstabeller 1'!$C$2),0)</f>
        <v/>
      </c>
      <c r="J871" t="str" vm="4263">
        <f>IFERROR(CUBEVALUE("BIDB",$A871,J$3,J$2,'Præsentationstabeller 1'!$C$2),0)</f>
        <v/>
      </c>
      <c r="K871" t="str" vm="15397">
        <f>IFERROR(CUBEVALUE("BIDB",$A871,K$3,K$2,'Præsentationstabeller 1'!$C$2),0)</f>
        <v/>
      </c>
      <c r="L871" t="str" vm="9536">
        <f>IFERROR(CUBEVALUE("BIDB",$A871,L$3,L$2,'Præsentationstabeller 1'!$C$2),0)</f>
        <v/>
      </c>
    </row>
    <row r="872" spans="1:12" x14ac:dyDescent="0.3">
      <c r="A872" s="123" t="str" vm="464">
        <f>CUBEMEMBER("BIDB","[Dimittenddato].[Dimittenddato].&amp;[2016-07-11T00:00:00]")</f>
        <v>11-07-2016</v>
      </c>
      <c r="B872" t="str" vm="4840">
        <f>IFERROR(CUBEVALUE("BIDB",$A872,B$3,'Præsentationstabeller 1'!$C$2),0)</f>
        <v/>
      </c>
      <c r="C872" t="str" vm="15509">
        <f>IFERROR(CUBEVALUE("BIDB",$A872,C$3,C$2,'Præsentationstabeller 1'!$C$2),0)</f>
        <v/>
      </c>
      <c r="D872" vm="12182">
        <f>IFERROR(CUBEVALUE("BIDB",$A872,D$3,D$2,'Præsentationstabeller 1'!$C$2),0)</f>
        <v>5</v>
      </c>
      <c r="E872" vm="5014">
        <f>IFERROR(CUBEVALUE("BIDB",$A872,E$3,E$2,'Præsentationstabeller 1'!$C$2),0)</f>
        <v>8</v>
      </c>
      <c r="F872" vm="7906">
        <f>IFERROR(CUBEVALUE("BIDB",$A872,F$3,F$2,'Præsentationstabeller 1'!$C$2),0)</f>
        <v>1</v>
      </c>
      <c r="G872" vm="13777">
        <f>IFERROR(CUBEVALUE("BIDB",$A872,G$3,G$2,'Præsentationstabeller 1'!$C$2),0)</f>
        <v>9</v>
      </c>
      <c r="H872" t="str" vm="16010">
        <f>IFERROR(CUBEVALUE("BIDB",$A872,H$3,H$2,'Præsentationstabeller 1'!$C$2),0)</f>
        <v/>
      </c>
      <c r="I872" vm="5882">
        <f>IFERROR(CUBEVALUE("BIDB",$A872,I$3,I$2,'Præsentationstabeller 1'!$C$2),0)</f>
        <v>0.91999999999999993</v>
      </c>
      <c r="J872" vm="11055">
        <f>IFERROR(CUBEVALUE("BIDB",$A872,J$3,J$2,'Præsentationstabeller 1'!$C$2),0)</f>
        <v>0.72</v>
      </c>
      <c r="K872" t="str" vm="11550">
        <f>IFERROR(CUBEVALUE("BIDB",$A872,K$3,K$2,'Præsentationstabeller 1'!$C$2),0)</f>
        <v/>
      </c>
      <c r="L872" vm="10878">
        <f>IFERROR(CUBEVALUE("BIDB",$A872,L$3,L$2,'Præsentationstabeller 1'!$C$2),0)</f>
        <v>0.72</v>
      </c>
    </row>
    <row r="873" spans="1:12" x14ac:dyDescent="0.3">
      <c r="A873" s="123" t="str" vm="463">
        <f>CUBEMEMBER("BIDB","[Dimittenddato].[Dimittenddato].&amp;[2016-07-12T00:00:00]")</f>
        <v>12-07-2016</v>
      </c>
      <c r="B873" t="str" vm="5839">
        <f>IFERROR(CUBEVALUE("BIDB",$A873,B$3,'Præsentationstabeller 1'!$C$2),0)</f>
        <v/>
      </c>
      <c r="C873" vm="10835">
        <f>IFERROR(CUBEVALUE("BIDB",$A873,C$3,C$2,'Præsentationstabeller 1'!$C$2),0)</f>
        <v>1</v>
      </c>
      <c r="D873" vm="14384">
        <f>IFERROR(CUBEVALUE("BIDB",$A873,D$3,D$2,'Præsentationstabeller 1'!$C$2),0)</f>
        <v>2</v>
      </c>
      <c r="E873" vm="4832">
        <f>IFERROR(CUBEVALUE("BIDB",$A873,E$3,E$2,'Præsentationstabeller 1'!$C$2),0)</f>
        <v>8</v>
      </c>
      <c r="F873" t="str" vm="5302">
        <f>IFERROR(CUBEVALUE("BIDB",$A873,F$3,F$2,'Præsentationstabeller 1'!$C$2),0)</f>
        <v/>
      </c>
      <c r="G873" vm="13384">
        <f>IFERROR(CUBEVALUE("BIDB",$A873,G$3,G$2,'Præsentationstabeller 1'!$C$2),0)</f>
        <v>8</v>
      </c>
      <c r="H873" t="str" vm="11092">
        <f>IFERROR(CUBEVALUE("BIDB",$A873,H$3,H$2,'Præsentationstabeller 1'!$C$2),0)</f>
        <v/>
      </c>
      <c r="I873" vm="6413">
        <f>IFERROR(CUBEVALUE("BIDB",$A873,I$3,I$2,'Præsentationstabeller 1'!$C$2),0)</f>
        <v>0.6</v>
      </c>
      <c r="J873" vm="9129">
        <f>IFERROR(CUBEVALUE("BIDB",$A873,J$3,J$2,'Præsentationstabeller 1'!$C$2),0)</f>
        <v>0.6</v>
      </c>
      <c r="K873" t="str" vm="15901">
        <f>IFERROR(CUBEVALUE("BIDB",$A873,K$3,K$2,'Præsentationstabeller 1'!$C$2),0)</f>
        <v/>
      </c>
      <c r="L873" vm="10025">
        <f>IFERROR(CUBEVALUE("BIDB",$A873,L$3,L$2,'Præsentationstabeller 1'!$C$2),0)</f>
        <v>0.6</v>
      </c>
    </row>
    <row r="874" spans="1:12" x14ac:dyDescent="0.3">
      <c r="A874" s="123" t="str" vm="462">
        <f>CUBEMEMBER("BIDB","[Dimittenddato].[Dimittenddato].&amp;[2016-07-13T00:00:00]")</f>
        <v>13-07-2016</v>
      </c>
      <c r="B874" t="str" vm="5626">
        <f>IFERROR(CUBEVALUE("BIDB",$A874,B$3,'Præsentationstabeller 1'!$C$2),0)</f>
        <v/>
      </c>
      <c r="C874" vm="11874">
        <f>IFERROR(CUBEVALUE("BIDB",$A874,C$3,C$2,'Præsentationstabeller 1'!$C$2),0)</f>
        <v>1</v>
      </c>
      <c r="D874" vm="14009">
        <f>IFERROR(CUBEVALUE("BIDB",$A874,D$3,D$2,'Præsentationstabeller 1'!$C$2),0)</f>
        <v>2</v>
      </c>
      <c r="E874" vm="5837">
        <f>IFERROR(CUBEVALUE("BIDB",$A874,E$3,E$2,'Præsentationstabeller 1'!$C$2),0)</f>
        <v>1</v>
      </c>
      <c r="F874" t="str" vm="7770">
        <f>IFERROR(CUBEVALUE("BIDB",$A874,F$3,F$2,'Præsentationstabeller 1'!$C$2),0)</f>
        <v/>
      </c>
      <c r="G874" vm="14592">
        <f>IFERROR(CUBEVALUE("BIDB",$A874,G$3,G$2,'Præsentationstabeller 1'!$C$2),0)</f>
        <v>1</v>
      </c>
      <c r="H874" t="str" vm="13273">
        <f>IFERROR(CUBEVALUE("BIDB",$A874,H$3,H$2,'Præsentationstabeller 1'!$C$2),0)</f>
        <v/>
      </c>
      <c r="I874" t="str" vm="9537">
        <f>IFERROR(CUBEVALUE("BIDB",$A874,I$3,I$2,'Præsentationstabeller 1'!$C$2),0)</f>
        <v/>
      </c>
      <c r="J874" vm="5285">
        <f>IFERROR(CUBEVALUE("BIDB",$A874,J$3,J$2,'Præsentationstabeller 1'!$C$2),0)</f>
        <v>0.08</v>
      </c>
      <c r="K874" t="str" vm="12738">
        <f>IFERROR(CUBEVALUE("BIDB",$A874,K$3,K$2,'Præsentationstabeller 1'!$C$2),0)</f>
        <v/>
      </c>
      <c r="L874" vm="11970">
        <f>IFERROR(CUBEVALUE("BIDB",$A874,L$3,L$2,'Præsentationstabeller 1'!$C$2),0)</f>
        <v>0.08</v>
      </c>
    </row>
    <row r="875" spans="1:12" x14ac:dyDescent="0.3">
      <c r="A875" s="123" t="str" vm="461">
        <f>CUBEMEMBER("BIDB","[Dimittenddato].[Dimittenddato].&amp;[2016-07-14T00:00:00]")</f>
        <v>14-07-2016</v>
      </c>
      <c r="B875" t="str" vm="7734">
        <f>IFERROR(CUBEVALUE("BIDB",$A875,B$3,'Præsentationstabeller 1'!$C$2),0)</f>
        <v/>
      </c>
      <c r="C875" t="str" vm="14223">
        <f>IFERROR(CUBEVALUE("BIDB",$A875,C$3,C$2,'Præsentationstabeller 1'!$C$2),0)</f>
        <v/>
      </c>
      <c r="D875" vm="14728">
        <f>IFERROR(CUBEVALUE("BIDB",$A875,D$3,D$2,'Præsentationstabeller 1'!$C$2),0)</f>
        <v>3</v>
      </c>
      <c r="E875" vm="12813">
        <f>IFERROR(CUBEVALUE("BIDB",$A875,E$3,E$2,'Præsentationstabeller 1'!$C$2),0)</f>
        <v>9</v>
      </c>
      <c r="F875" t="str" vm="5044">
        <f>IFERROR(CUBEVALUE("BIDB",$A875,F$3,F$2,'Præsentationstabeller 1'!$C$2),0)</f>
        <v/>
      </c>
      <c r="G875" vm="16166">
        <f>IFERROR(CUBEVALUE("BIDB",$A875,G$3,G$2,'Præsentationstabeller 1'!$C$2),0)</f>
        <v>9</v>
      </c>
      <c r="H875" t="str" vm="15542">
        <f>IFERROR(CUBEVALUE("BIDB",$A875,H$3,H$2,'Præsentationstabeller 1'!$C$2),0)</f>
        <v/>
      </c>
      <c r="I875" t="str" vm="8000">
        <f>IFERROR(CUBEVALUE("BIDB",$A875,I$3,I$2,'Præsentationstabeller 1'!$C$2),0)</f>
        <v/>
      </c>
      <c r="J875" vm="5404">
        <f>IFERROR(CUBEVALUE("BIDB",$A875,J$3,J$2,'Præsentationstabeller 1'!$C$2),0)</f>
        <v>0.24</v>
      </c>
      <c r="K875" t="str" vm="14006">
        <f>IFERROR(CUBEVALUE("BIDB",$A875,K$3,K$2,'Præsentationstabeller 1'!$C$2),0)</f>
        <v/>
      </c>
      <c r="L875" vm="13211">
        <f>IFERROR(CUBEVALUE("BIDB",$A875,L$3,L$2,'Præsentationstabeller 1'!$C$2),0)</f>
        <v>0.24</v>
      </c>
    </row>
    <row r="876" spans="1:12" x14ac:dyDescent="0.3">
      <c r="A876" s="123" t="str" vm="460">
        <f>CUBEMEMBER("BIDB","[Dimittenddato].[Dimittenddato].&amp;[2016-07-15T00:00:00]")</f>
        <v>15-07-2016</v>
      </c>
      <c r="B876" t="str" vm="6916">
        <f>IFERROR(CUBEVALUE("BIDB",$A876,B$3,'Præsentationstabeller 1'!$C$2),0)</f>
        <v/>
      </c>
      <c r="C876" t="str" vm="14268">
        <f>IFERROR(CUBEVALUE("BIDB",$A876,C$3,C$2,'Præsentationstabeller 1'!$C$2),0)</f>
        <v/>
      </c>
      <c r="D876" vm="11699">
        <f>IFERROR(CUBEVALUE("BIDB",$A876,D$3,D$2,'Præsentationstabeller 1'!$C$2),0)</f>
        <v>2</v>
      </c>
      <c r="E876" vm="7552">
        <f>IFERROR(CUBEVALUE("BIDB",$A876,E$3,E$2,'Præsentationstabeller 1'!$C$2),0)</f>
        <v>6</v>
      </c>
      <c r="F876" t="str" vm="14885">
        <f>IFERROR(CUBEVALUE("BIDB",$A876,F$3,F$2,'Præsentationstabeller 1'!$C$2),0)</f>
        <v/>
      </c>
      <c r="G876" vm="13364">
        <f>IFERROR(CUBEVALUE("BIDB",$A876,G$3,G$2,'Præsentationstabeller 1'!$C$2),0)</f>
        <v>6</v>
      </c>
      <c r="H876" t="str" vm="15502">
        <f>IFERROR(CUBEVALUE("BIDB",$A876,H$3,H$2,'Præsentationstabeller 1'!$C$2),0)</f>
        <v/>
      </c>
      <c r="I876" vm="5606">
        <f>IFERROR(CUBEVALUE("BIDB",$A876,I$3,I$2,'Præsentationstabeller 1'!$C$2),0)</f>
        <v>0.4</v>
      </c>
      <c r="J876" vm="6994">
        <f>IFERROR(CUBEVALUE("BIDB",$A876,J$3,J$2,'Præsentationstabeller 1'!$C$2),0)</f>
        <v>0.31891891891891894</v>
      </c>
      <c r="K876" t="str" vm="12583">
        <f>IFERROR(CUBEVALUE("BIDB",$A876,K$3,K$2,'Præsentationstabeller 1'!$C$2),0)</f>
        <v/>
      </c>
      <c r="L876" vm="13492">
        <f>IFERROR(CUBEVALUE("BIDB",$A876,L$3,L$2,'Præsentationstabeller 1'!$C$2),0)</f>
        <v>0.31891891891891894</v>
      </c>
    </row>
    <row r="877" spans="1:12" x14ac:dyDescent="0.3">
      <c r="A877" s="123" t="str" vm="459">
        <f>CUBEMEMBER("BIDB","[Dimittenddato].[Dimittenddato].&amp;[2016-07-16T00:00:00]")</f>
        <v>16-07-2016</v>
      </c>
      <c r="B877" t="str" vm="5429">
        <f>IFERROR(CUBEVALUE("BIDB",$A877,B$3,'Præsentationstabeller 1'!$C$2),0)</f>
        <v/>
      </c>
      <c r="C877" t="str" vm="14059">
        <f>IFERROR(CUBEVALUE("BIDB",$A877,C$3,C$2,'Præsentationstabeller 1'!$C$2),0)</f>
        <v/>
      </c>
      <c r="D877" t="str" vm="14296">
        <f>IFERROR(CUBEVALUE("BIDB",$A877,D$3,D$2,'Præsentationstabeller 1'!$C$2),0)</f>
        <v/>
      </c>
      <c r="E877" t="str" vm="4159">
        <f>IFERROR(CUBEVALUE("BIDB",$A877,E$3,E$2,'Præsentationstabeller 1'!$C$2),0)</f>
        <v/>
      </c>
      <c r="F877" t="str" vm="7066">
        <f>IFERROR(CUBEVALUE("BIDB",$A877,F$3,F$2,'Præsentationstabeller 1'!$C$2),0)</f>
        <v/>
      </c>
      <c r="G877" t="str" vm="12669">
        <f>IFERROR(CUBEVALUE("BIDB",$A877,G$3,G$2,'Præsentationstabeller 1'!$C$2),0)</f>
        <v/>
      </c>
      <c r="H877" t="str" vm="11934">
        <f>IFERROR(CUBEVALUE("BIDB",$A877,H$3,H$2,'Præsentationstabeller 1'!$C$2),0)</f>
        <v/>
      </c>
      <c r="I877" t="str" vm="6624">
        <f>IFERROR(CUBEVALUE("BIDB",$A877,I$3,I$2,'Præsentationstabeller 1'!$C$2),0)</f>
        <v/>
      </c>
      <c r="J877" t="str" vm="8977">
        <f>IFERROR(CUBEVALUE("BIDB",$A877,J$3,J$2,'Præsentationstabeller 1'!$C$2),0)</f>
        <v/>
      </c>
      <c r="K877" t="str" vm="10679">
        <f>IFERROR(CUBEVALUE("BIDB",$A877,K$3,K$2,'Præsentationstabeller 1'!$C$2),0)</f>
        <v/>
      </c>
      <c r="L877" t="str" vm="10844">
        <f>IFERROR(CUBEVALUE("BIDB",$A877,L$3,L$2,'Præsentationstabeller 1'!$C$2),0)</f>
        <v/>
      </c>
    </row>
    <row r="878" spans="1:12" x14ac:dyDescent="0.3">
      <c r="A878" s="123" t="str" vm="458">
        <f>CUBEMEMBER("BIDB","[Dimittenddato].[Dimittenddato].&amp;[2016-07-17T00:00:00]")</f>
        <v>17-07-2016</v>
      </c>
      <c r="B878" t="str" vm="4830">
        <f>IFERROR(CUBEVALUE("BIDB",$A878,B$3,'Præsentationstabeller 1'!$C$2),0)</f>
        <v/>
      </c>
      <c r="C878" t="str" vm="14940">
        <f>IFERROR(CUBEVALUE("BIDB",$A878,C$3,C$2,'Præsentationstabeller 1'!$C$2),0)</f>
        <v/>
      </c>
      <c r="D878" t="str" vm="11562">
        <f>IFERROR(CUBEVALUE("BIDB",$A878,D$3,D$2,'Præsentationstabeller 1'!$C$2),0)</f>
        <v/>
      </c>
      <c r="E878" t="str" vm="8287">
        <f>IFERROR(CUBEVALUE("BIDB",$A878,E$3,E$2,'Præsentationstabeller 1'!$C$2),0)</f>
        <v/>
      </c>
      <c r="F878" t="str" vm="7217">
        <f>IFERROR(CUBEVALUE("BIDB",$A878,F$3,F$2,'Præsentationstabeller 1'!$C$2),0)</f>
        <v/>
      </c>
      <c r="G878" t="str" vm="14756">
        <f>IFERROR(CUBEVALUE("BIDB",$A878,G$3,G$2,'Præsentationstabeller 1'!$C$2),0)</f>
        <v/>
      </c>
      <c r="H878" t="str" vm="12107">
        <f>IFERROR(CUBEVALUE("BIDB",$A878,H$3,H$2,'Præsentationstabeller 1'!$C$2),0)</f>
        <v/>
      </c>
      <c r="I878" t="str" vm="5270">
        <f>IFERROR(CUBEVALUE("BIDB",$A878,I$3,I$2,'Præsentationstabeller 1'!$C$2),0)</f>
        <v/>
      </c>
      <c r="J878" t="str" vm="5598">
        <f>IFERROR(CUBEVALUE("BIDB",$A878,J$3,J$2,'Præsentationstabeller 1'!$C$2),0)</f>
        <v/>
      </c>
      <c r="K878" t="str" vm="13294">
        <f>IFERROR(CUBEVALUE("BIDB",$A878,K$3,K$2,'Præsentationstabeller 1'!$C$2),0)</f>
        <v/>
      </c>
      <c r="L878" t="str" vm="9718">
        <f>IFERROR(CUBEVALUE("BIDB",$A878,L$3,L$2,'Præsentationstabeller 1'!$C$2),0)</f>
        <v/>
      </c>
    </row>
    <row r="879" spans="1:12" x14ac:dyDescent="0.3">
      <c r="A879" s="123" t="str" vm="457">
        <f>CUBEMEMBER("BIDB","[Dimittenddato].[Dimittenddato].&amp;[2016-07-18T00:00:00]")</f>
        <v>18-07-2016</v>
      </c>
      <c r="B879" t="str" vm="8463">
        <f>IFERROR(CUBEVALUE("BIDB",$A879,B$3,'Præsentationstabeller 1'!$C$2),0)</f>
        <v/>
      </c>
      <c r="C879" t="str" vm="16485">
        <f>IFERROR(CUBEVALUE("BIDB",$A879,C$3,C$2,'Præsentationstabeller 1'!$C$2),0)</f>
        <v/>
      </c>
      <c r="D879" vm="13362">
        <f>IFERROR(CUBEVALUE("BIDB",$A879,D$3,D$2,'Præsentationstabeller 1'!$C$2),0)</f>
        <v>3</v>
      </c>
      <c r="E879" vm="6017">
        <f>IFERROR(CUBEVALUE("BIDB",$A879,E$3,E$2,'Præsentationstabeller 1'!$C$2),0)</f>
        <v>2</v>
      </c>
      <c r="F879" vm="4899">
        <f>IFERROR(CUBEVALUE("BIDB",$A879,F$3,F$2,'Præsentationstabeller 1'!$C$2),0)</f>
        <v>1</v>
      </c>
      <c r="G879" vm="15424">
        <f>IFERROR(CUBEVALUE("BIDB",$A879,G$3,G$2,'Præsentationstabeller 1'!$C$2),0)</f>
        <v>3</v>
      </c>
      <c r="H879" t="str" vm="16463">
        <f>IFERROR(CUBEVALUE("BIDB",$A879,H$3,H$2,'Præsentationstabeller 1'!$C$2),0)</f>
        <v/>
      </c>
      <c r="I879" vm="7702">
        <f>IFERROR(CUBEVALUE("BIDB",$A879,I$3,I$2,'Præsentationstabeller 1'!$C$2),0)</f>
        <v>0.16</v>
      </c>
      <c r="J879" vm="4151">
        <f>IFERROR(CUBEVALUE("BIDB",$A879,J$3,J$2,'Præsentationstabeller 1'!$C$2),0)</f>
        <v>0.16</v>
      </c>
      <c r="K879" t="str" vm="10635">
        <f>IFERROR(CUBEVALUE("BIDB",$A879,K$3,K$2,'Præsentationstabeller 1'!$C$2),0)</f>
        <v/>
      </c>
      <c r="L879" vm="8481">
        <f>IFERROR(CUBEVALUE("BIDB",$A879,L$3,L$2,'Præsentationstabeller 1'!$C$2),0)</f>
        <v>0.16</v>
      </c>
    </row>
    <row r="880" spans="1:12" x14ac:dyDescent="0.3">
      <c r="A880" s="123" t="str" vm="456">
        <f>CUBEMEMBER("BIDB","[Dimittenddato].[Dimittenddato].&amp;[2016-07-19T00:00:00]")</f>
        <v>19-07-2016</v>
      </c>
      <c r="B880" t="str" vm="12833">
        <f>IFERROR(CUBEVALUE("BIDB",$A880,B$3,'Præsentationstabeller 1'!$C$2),0)</f>
        <v/>
      </c>
      <c r="C880" t="str" vm="16217">
        <f>IFERROR(CUBEVALUE("BIDB",$A880,C$3,C$2,'Præsentationstabeller 1'!$C$2),0)</f>
        <v/>
      </c>
      <c r="D880" vm="11877">
        <f>IFERROR(CUBEVALUE("BIDB",$A880,D$3,D$2,'Præsentationstabeller 1'!$C$2),0)</f>
        <v>3</v>
      </c>
      <c r="E880" t="str" vm="5752">
        <f>IFERROR(CUBEVALUE("BIDB",$A880,E$3,E$2,'Præsentationstabeller 1'!$C$2),0)</f>
        <v/>
      </c>
      <c r="F880" t="str" vm="7308">
        <f>IFERROR(CUBEVALUE("BIDB",$A880,F$3,F$2,'Præsentationstabeller 1'!$C$2),0)</f>
        <v/>
      </c>
      <c r="G880" t="str" vm="16439">
        <f>IFERROR(CUBEVALUE("BIDB",$A880,G$3,G$2,'Præsentationstabeller 1'!$C$2),0)</f>
        <v/>
      </c>
      <c r="H880" t="str" vm="14771">
        <f>IFERROR(CUBEVALUE("BIDB",$A880,H$3,H$2,'Præsentationstabeller 1'!$C$2),0)</f>
        <v/>
      </c>
      <c r="I880" vm="7043">
        <f>IFERROR(CUBEVALUE("BIDB",$A880,I$3,I$2,'Præsentationstabeller 1'!$C$2),0)</f>
        <v>0.12</v>
      </c>
      <c r="J880" t="str" vm="6784">
        <f>IFERROR(CUBEVALUE("BIDB",$A880,J$3,J$2,'Præsentationstabeller 1'!$C$2),0)</f>
        <v/>
      </c>
      <c r="K880" t="str" vm="17073">
        <f>IFERROR(CUBEVALUE("BIDB",$A880,K$3,K$2,'Præsentationstabeller 1'!$C$2),0)</f>
        <v/>
      </c>
      <c r="L880" t="str" vm="13910">
        <f>IFERROR(CUBEVALUE("BIDB",$A880,L$3,L$2,'Præsentationstabeller 1'!$C$2),0)</f>
        <v/>
      </c>
    </row>
    <row r="881" spans="1:12" x14ac:dyDescent="0.3">
      <c r="A881" s="123" t="str" vm="455">
        <f>CUBEMEMBER("BIDB","[Dimittenddato].[Dimittenddato].&amp;[2016-07-20T00:00:00]")</f>
        <v>20-07-2016</v>
      </c>
      <c r="B881" t="str" vm="8229">
        <f>IFERROR(CUBEVALUE("BIDB",$A881,B$3,'Præsentationstabeller 1'!$C$2),0)</f>
        <v/>
      </c>
      <c r="C881" t="str" vm="15192">
        <f>IFERROR(CUBEVALUE("BIDB",$A881,C$3,C$2,'Præsentationstabeller 1'!$C$2),0)</f>
        <v/>
      </c>
      <c r="D881" vm="15541">
        <f>IFERROR(CUBEVALUE("BIDB",$A881,D$3,D$2,'Præsentationstabeller 1'!$C$2),0)</f>
        <v>3</v>
      </c>
      <c r="E881" vm="6451">
        <f>IFERROR(CUBEVALUE("BIDB",$A881,E$3,E$2,'Præsentationstabeller 1'!$C$2),0)</f>
        <v>1</v>
      </c>
      <c r="F881" vm="6009">
        <f>IFERROR(CUBEVALUE("BIDB",$A881,F$3,F$2,'Præsentationstabeller 1'!$C$2),0)</f>
        <v>1</v>
      </c>
      <c r="G881" vm="12007">
        <f>IFERROR(CUBEVALUE("BIDB",$A881,G$3,G$2,'Præsentationstabeller 1'!$C$2),0)</f>
        <v>2</v>
      </c>
      <c r="H881" t="str" vm="14378">
        <f>IFERROR(CUBEVALUE("BIDB",$A881,H$3,H$2,'Præsentationstabeller 1'!$C$2),0)</f>
        <v/>
      </c>
      <c r="I881" t="str" vm="5596">
        <f>IFERROR(CUBEVALUE("BIDB",$A881,I$3,I$2,'Præsentationstabeller 1'!$C$2),0)</f>
        <v/>
      </c>
      <c r="J881" vm="6619">
        <f>IFERROR(CUBEVALUE("BIDB",$A881,J$3,J$2,'Præsentationstabeller 1'!$C$2),0)</f>
        <v>0.04</v>
      </c>
      <c r="K881" t="str" vm="11039">
        <f>IFERROR(CUBEVALUE("BIDB",$A881,K$3,K$2,'Præsentationstabeller 1'!$C$2),0)</f>
        <v/>
      </c>
      <c r="L881" vm="10960">
        <f>IFERROR(CUBEVALUE("BIDB",$A881,L$3,L$2,'Præsentationstabeller 1'!$C$2),0)</f>
        <v>0.04</v>
      </c>
    </row>
    <row r="882" spans="1:12" x14ac:dyDescent="0.3">
      <c r="A882" s="123" t="str" vm="454">
        <f>CUBEMEMBER("BIDB","[Dimittenddato].[Dimittenddato].&amp;[2016-07-21T00:00:00]")</f>
        <v>21-07-2016</v>
      </c>
      <c r="B882" t="str" vm="3276">
        <f>IFERROR(CUBEVALUE("BIDB",$A882,B$3,'Præsentationstabeller 1'!$C$2),0)</f>
        <v/>
      </c>
      <c r="C882" t="str" vm="14063">
        <f>IFERROR(CUBEVALUE("BIDB",$A882,C$3,C$2,'Præsentationstabeller 1'!$C$2),0)</f>
        <v/>
      </c>
      <c r="D882" vm="9779">
        <f>IFERROR(CUBEVALUE("BIDB",$A882,D$3,D$2,'Præsentationstabeller 1'!$C$2),0)</f>
        <v>1</v>
      </c>
      <c r="E882" vm="5397">
        <f>IFERROR(CUBEVALUE("BIDB",$A882,E$3,E$2,'Præsentationstabeller 1'!$C$2),0)</f>
        <v>1</v>
      </c>
      <c r="F882" t="str" vm="6617">
        <f>IFERROR(CUBEVALUE("BIDB",$A882,F$3,F$2,'Præsentationstabeller 1'!$C$2),0)</f>
        <v/>
      </c>
      <c r="G882" vm="16177">
        <f>IFERROR(CUBEVALUE("BIDB",$A882,G$3,G$2,'Præsentationstabeller 1'!$C$2),0)</f>
        <v>1</v>
      </c>
      <c r="H882" t="str" vm="9310">
        <f>IFERROR(CUBEVALUE("BIDB",$A882,H$3,H$2,'Præsentationstabeller 1'!$C$2),0)</f>
        <v/>
      </c>
      <c r="I882" t="str" vm="7058">
        <f>IFERROR(CUBEVALUE("BIDB",$A882,I$3,I$2,'Præsentationstabeller 1'!$C$2),0)</f>
        <v/>
      </c>
      <c r="J882" t="str" vm="3538">
        <f>IFERROR(CUBEVALUE("BIDB",$A882,J$3,J$2,'Præsentationstabeller 1'!$C$2),0)</f>
        <v/>
      </c>
      <c r="K882" t="str" vm="14819">
        <f>IFERROR(CUBEVALUE("BIDB",$A882,K$3,K$2,'Præsentationstabeller 1'!$C$2),0)</f>
        <v/>
      </c>
      <c r="L882" t="str" vm="10828">
        <f>IFERROR(CUBEVALUE("BIDB",$A882,L$3,L$2,'Præsentationstabeller 1'!$C$2),0)</f>
        <v/>
      </c>
    </row>
    <row r="883" spans="1:12" x14ac:dyDescent="0.3">
      <c r="A883" s="123" t="str" vm="453">
        <f>CUBEMEMBER("BIDB","[Dimittenddato].[Dimittenddato].&amp;[2016-07-22T00:00:00]")</f>
        <v>22-07-2016</v>
      </c>
      <c r="B883" t="str" vm="3530">
        <f>IFERROR(CUBEVALUE("BIDB",$A883,B$3,'Præsentationstabeller 1'!$C$2),0)</f>
        <v/>
      </c>
      <c r="C883" t="str" vm="14518">
        <f>IFERROR(CUBEVALUE("BIDB",$A883,C$3,C$2,'Præsentationstabeller 1'!$C$2),0)</f>
        <v/>
      </c>
      <c r="D883" vm="16128">
        <f>IFERROR(CUBEVALUE("BIDB",$A883,D$3,D$2,'Præsentationstabeller 1'!$C$2),0)</f>
        <v>2</v>
      </c>
      <c r="E883" vm="7588">
        <f>IFERROR(CUBEVALUE("BIDB",$A883,E$3,E$2,'Præsentationstabeller 1'!$C$2),0)</f>
        <v>1</v>
      </c>
      <c r="F883" t="str" vm="6059">
        <f>IFERROR(CUBEVALUE("BIDB",$A883,F$3,F$2,'Præsentationstabeller 1'!$C$2),0)</f>
        <v/>
      </c>
      <c r="G883" vm="14396">
        <f>IFERROR(CUBEVALUE("BIDB",$A883,G$3,G$2,'Præsentationstabeller 1'!$C$2),0)</f>
        <v>1</v>
      </c>
      <c r="H883" t="str" vm="13532">
        <f>IFERROR(CUBEVALUE("BIDB",$A883,H$3,H$2,'Præsentationstabeller 1'!$C$2),0)</f>
        <v/>
      </c>
      <c r="I883" t="str" vm="8786">
        <f>IFERROR(CUBEVALUE("BIDB",$A883,I$3,I$2,'Præsentationstabeller 1'!$C$2),0)</f>
        <v/>
      </c>
      <c r="J883" t="str" vm="6510">
        <f>IFERROR(CUBEVALUE("BIDB",$A883,J$3,J$2,'Præsentationstabeller 1'!$C$2),0)</f>
        <v/>
      </c>
      <c r="K883" t="str" vm="15903">
        <f>IFERROR(CUBEVALUE("BIDB",$A883,K$3,K$2,'Præsentationstabeller 1'!$C$2),0)</f>
        <v/>
      </c>
      <c r="L883" t="str" vm="11824">
        <f>IFERROR(CUBEVALUE("BIDB",$A883,L$3,L$2,'Præsentationstabeller 1'!$C$2),0)</f>
        <v/>
      </c>
    </row>
    <row r="884" spans="1:12" x14ac:dyDescent="0.3">
      <c r="A884" s="123" t="str" vm="452">
        <f>CUBEMEMBER("BIDB","[Dimittenddato].[Dimittenddato].&amp;[2016-07-23T00:00:00]")</f>
        <v>23-07-2016</v>
      </c>
      <c r="B884" t="str" vm="7018">
        <f>IFERROR(CUBEVALUE("BIDB",$A884,B$3,'Præsentationstabeller 1'!$C$2),0)</f>
        <v/>
      </c>
      <c r="C884" t="str" vm="16331">
        <f>IFERROR(CUBEVALUE("BIDB",$A884,C$3,C$2,'Præsentationstabeller 1'!$C$2),0)</f>
        <v/>
      </c>
      <c r="D884" vm="16493">
        <f>IFERROR(CUBEVALUE("BIDB",$A884,D$3,D$2,'Præsentationstabeller 1'!$C$2),0)</f>
        <v>1</v>
      </c>
      <c r="E884" t="str" vm="7125">
        <f>IFERROR(CUBEVALUE("BIDB",$A884,E$3,E$2,'Præsentationstabeller 1'!$C$2),0)</f>
        <v/>
      </c>
      <c r="F884" t="str" vm="4870">
        <f>IFERROR(CUBEVALUE("BIDB",$A884,F$3,F$2,'Præsentationstabeller 1'!$C$2),0)</f>
        <v/>
      </c>
      <c r="G884" t="str" vm="13263">
        <f>IFERROR(CUBEVALUE("BIDB",$A884,G$3,G$2,'Præsentationstabeller 1'!$C$2),0)</f>
        <v/>
      </c>
      <c r="H884" t="str" vm="14409">
        <f>IFERROR(CUBEVALUE("BIDB",$A884,H$3,H$2,'Præsentationstabeller 1'!$C$2),0)</f>
        <v/>
      </c>
      <c r="I884" t="str" vm="8348">
        <f>IFERROR(CUBEVALUE("BIDB",$A884,I$3,I$2,'Præsentationstabeller 1'!$C$2),0)</f>
        <v/>
      </c>
      <c r="J884" t="str" vm="4611">
        <f>IFERROR(CUBEVALUE("BIDB",$A884,J$3,J$2,'Præsentationstabeller 1'!$C$2),0)</f>
        <v/>
      </c>
      <c r="K884" t="str" vm="12409">
        <f>IFERROR(CUBEVALUE("BIDB",$A884,K$3,K$2,'Præsentationstabeller 1'!$C$2),0)</f>
        <v/>
      </c>
      <c r="L884" t="str" vm="12266">
        <f>IFERROR(CUBEVALUE("BIDB",$A884,L$3,L$2,'Præsentationstabeller 1'!$C$2),0)</f>
        <v/>
      </c>
    </row>
    <row r="885" spans="1:12" x14ac:dyDescent="0.3">
      <c r="A885" s="123" t="str" vm="451">
        <f>CUBEMEMBER("BIDB","[Dimittenddato].[Dimittenddato].&amp;[2016-07-24T00:00:00]")</f>
        <v>24-07-2016</v>
      </c>
      <c r="B885" t="str" vm="4862">
        <f>IFERROR(CUBEVALUE("BIDB",$A885,B$3,'Præsentationstabeller 1'!$C$2),0)</f>
        <v/>
      </c>
      <c r="C885" t="str" vm="9982">
        <f>IFERROR(CUBEVALUE("BIDB",$A885,C$3,C$2,'Præsentationstabeller 1'!$C$2),0)</f>
        <v/>
      </c>
      <c r="D885" vm="15985">
        <f>IFERROR(CUBEVALUE("BIDB",$A885,D$3,D$2,'Præsentationstabeller 1'!$C$2),0)</f>
        <v>1</v>
      </c>
      <c r="E885" t="str" vm="8197">
        <f>IFERROR(CUBEVALUE("BIDB",$A885,E$3,E$2,'Præsentationstabeller 1'!$C$2),0)</f>
        <v/>
      </c>
      <c r="F885" t="str" vm="5732">
        <f>IFERROR(CUBEVALUE("BIDB",$A885,F$3,F$2,'Præsentationstabeller 1'!$C$2),0)</f>
        <v/>
      </c>
      <c r="G885" t="str" vm="11542">
        <f>IFERROR(CUBEVALUE("BIDB",$A885,G$3,G$2,'Præsentationstabeller 1'!$C$2),0)</f>
        <v/>
      </c>
      <c r="H885" t="str" vm="14806">
        <f>IFERROR(CUBEVALUE("BIDB",$A885,H$3,H$2,'Præsentationstabeller 1'!$C$2),0)</f>
        <v/>
      </c>
      <c r="I885" t="str" vm="4761">
        <f>IFERROR(CUBEVALUE("BIDB",$A885,I$3,I$2,'Præsentationstabeller 1'!$C$2),0)</f>
        <v/>
      </c>
      <c r="J885" t="str" vm="8779">
        <f>IFERROR(CUBEVALUE("BIDB",$A885,J$3,J$2,'Præsentationstabeller 1'!$C$2),0)</f>
        <v/>
      </c>
      <c r="K885" t="str" vm="12346">
        <f>IFERROR(CUBEVALUE("BIDB",$A885,K$3,K$2,'Præsentationstabeller 1'!$C$2),0)</f>
        <v/>
      </c>
      <c r="L885" t="str" vm="7993">
        <f>IFERROR(CUBEVALUE("BIDB",$A885,L$3,L$2,'Præsentationstabeller 1'!$C$2),0)</f>
        <v/>
      </c>
    </row>
    <row r="886" spans="1:12" x14ac:dyDescent="0.3">
      <c r="A886" s="123" t="str" vm="450">
        <f>CUBEMEMBER("BIDB","[Dimittenddato].[Dimittenddato].&amp;[2016-07-25T00:00:00]")</f>
        <v>25-07-2016</v>
      </c>
      <c r="B886" t="str" vm="10432">
        <f>IFERROR(CUBEVALUE("BIDB",$A886,B$3,'Præsentationstabeller 1'!$C$2),0)</f>
        <v/>
      </c>
      <c r="C886" t="str" vm="14371">
        <f>IFERROR(CUBEVALUE("BIDB",$A886,C$3,C$2,'Præsentationstabeller 1'!$C$2),0)</f>
        <v/>
      </c>
      <c r="D886" vm="14958">
        <f>IFERROR(CUBEVALUE("BIDB",$A886,D$3,D$2,'Præsentationstabeller 1'!$C$2),0)</f>
        <v>2</v>
      </c>
      <c r="E886" vm="6466">
        <f>IFERROR(CUBEVALUE("BIDB",$A886,E$3,E$2,'Præsentationstabeller 1'!$C$2),0)</f>
        <v>2</v>
      </c>
      <c r="F886" vm="5024">
        <f>IFERROR(CUBEVALUE("BIDB",$A886,F$3,F$2,'Præsentationstabeller 1'!$C$2),0)</f>
        <v>1</v>
      </c>
      <c r="G886" vm="12663">
        <f>IFERROR(CUBEVALUE("BIDB",$A886,G$3,G$2,'Præsentationstabeller 1'!$C$2),0)</f>
        <v>3</v>
      </c>
      <c r="H886" t="str" vm="10901">
        <f>IFERROR(CUBEVALUE("BIDB",$A886,H$3,H$2,'Præsentationstabeller 1'!$C$2),0)</f>
        <v/>
      </c>
      <c r="I886" t="str" vm="5724">
        <f>IFERROR(CUBEVALUE("BIDB",$A886,I$3,I$2,'Præsentationstabeller 1'!$C$2),0)</f>
        <v/>
      </c>
      <c r="J886" t="str" vm="8003">
        <f>IFERROR(CUBEVALUE("BIDB",$A886,J$3,J$2,'Præsentationstabeller 1'!$C$2),0)</f>
        <v/>
      </c>
      <c r="K886" t="str" vm="13254">
        <f>IFERROR(CUBEVALUE("BIDB",$A886,K$3,K$2,'Præsentationstabeller 1'!$C$2),0)</f>
        <v/>
      </c>
      <c r="L886" t="str" vm="8630">
        <f>IFERROR(CUBEVALUE("BIDB",$A886,L$3,L$2,'Præsentationstabeller 1'!$C$2),0)</f>
        <v/>
      </c>
    </row>
    <row r="887" spans="1:12" x14ac:dyDescent="0.3">
      <c r="A887" s="123" t="str" vm="449">
        <f>CUBEMEMBER("BIDB","[Dimittenddato].[Dimittenddato].&amp;[2016-07-26T00:00:00]")</f>
        <v>26-07-2016</v>
      </c>
      <c r="B887" t="str" vm="6923">
        <f>IFERROR(CUBEVALUE("BIDB",$A887,B$3,'Præsentationstabeller 1'!$C$2),0)</f>
        <v/>
      </c>
      <c r="C887" t="str" vm="14072">
        <f>IFERROR(CUBEVALUE("BIDB",$A887,C$3,C$2,'Præsentationstabeller 1'!$C$2),0)</f>
        <v/>
      </c>
      <c r="D887" t="str" vm="9613">
        <f>IFERROR(CUBEVALUE("BIDB",$A887,D$3,D$2,'Præsentationstabeller 1'!$C$2),0)</f>
        <v/>
      </c>
      <c r="E887" t="str" vm="8107">
        <f>IFERROR(CUBEVALUE("BIDB",$A887,E$3,E$2,'Præsentationstabeller 1'!$C$2),0)</f>
        <v/>
      </c>
      <c r="F887" t="str" vm="5371">
        <f>IFERROR(CUBEVALUE("BIDB",$A887,F$3,F$2,'Præsentationstabeller 1'!$C$2),0)</f>
        <v/>
      </c>
      <c r="G887" t="str" vm="17075">
        <f>IFERROR(CUBEVALUE("BIDB",$A887,G$3,G$2,'Præsentationstabeller 1'!$C$2),0)</f>
        <v/>
      </c>
      <c r="H887" t="str" vm="13858">
        <f>IFERROR(CUBEVALUE("BIDB",$A887,H$3,H$2,'Præsentationstabeller 1'!$C$2),0)</f>
        <v/>
      </c>
      <c r="I887" t="str" vm="5016">
        <f>IFERROR(CUBEVALUE("BIDB",$A887,I$3,I$2,'Præsentationstabeller 1'!$C$2),0)</f>
        <v/>
      </c>
      <c r="J887" t="str" vm="6419">
        <f>IFERROR(CUBEVALUE("BIDB",$A887,J$3,J$2,'Præsentationstabeller 1'!$C$2),0)</f>
        <v/>
      </c>
      <c r="K887" t="str" vm="14632">
        <f>IFERROR(CUBEVALUE("BIDB",$A887,K$3,K$2,'Præsentationstabeller 1'!$C$2),0)</f>
        <v/>
      </c>
      <c r="L887" t="str" vm="15138">
        <f>IFERROR(CUBEVALUE("BIDB",$A887,L$3,L$2,'Præsentationstabeller 1'!$C$2),0)</f>
        <v/>
      </c>
    </row>
    <row r="888" spans="1:12" x14ac:dyDescent="0.3">
      <c r="A888" s="123" t="str" vm="448">
        <f>CUBEMEMBER("BIDB","[Dimittenddato].[Dimittenddato].&amp;[2016-07-27T00:00:00]")</f>
        <v>27-07-2016</v>
      </c>
      <c r="B888" t="str" vm="5636">
        <f>IFERROR(CUBEVALUE("BIDB",$A888,B$3,'Præsentationstabeller 1'!$C$2),0)</f>
        <v/>
      </c>
      <c r="C888" t="str" vm="13733">
        <f>IFERROR(CUBEVALUE("BIDB",$A888,C$3,C$2,'Præsentationstabeller 1'!$C$2),0)</f>
        <v/>
      </c>
      <c r="D888" vm="12657">
        <f>IFERROR(CUBEVALUE("BIDB",$A888,D$3,D$2,'Præsentationstabeller 1'!$C$2),0)</f>
        <v>1</v>
      </c>
      <c r="E888" vm="5455">
        <f>IFERROR(CUBEVALUE("BIDB",$A888,E$3,E$2,'Præsentationstabeller 1'!$C$2),0)</f>
        <v>2</v>
      </c>
      <c r="F888" t="str" vm="8531">
        <f>IFERROR(CUBEVALUE("BIDB",$A888,F$3,F$2,'Præsentationstabeller 1'!$C$2),0)</f>
        <v/>
      </c>
      <c r="G888" vm="14992">
        <f>IFERROR(CUBEVALUE("BIDB",$A888,G$3,G$2,'Præsentationstabeller 1'!$C$2),0)</f>
        <v>2</v>
      </c>
      <c r="H888" t="str" vm="11436">
        <f>IFERROR(CUBEVALUE("BIDB",$A888,H$3,H$2,'Præsentationstabeller 1'!$C$2),0)</f>
        <v/>
      </c>
      <c r="I888" t="str" vm="6921">
        <f>IFERROR(CUBEVALUE("BIDB",$A888,I$3,I$2,'Præsentationstabeller 1'!$C$2),0)</f>
        <v/>
      </c>
      <c r="J888" t="str" vm="4791">
        <f>IFERROR(CUBEVALUE("BIDB",$A888,J$3,J$2,'Præsentationstabeller 1'!$C$2),0)</f>
        <v/>
      </c>
      <c r="K888" t="str" vm="14848">
        <f>IFERROR(CUBEVALUE("BIDB",$A888,K$3,K$2,'Præsentationstabeller 1'!$C$2),0)</f>
        <v/>
      </c>
      <c r="L888" t="str" vm="14444">
        <f>IFERROR(CUBEVALUE("BIDB",$A888,L$3,L$2,'Præsentationstabeller 1'!$C$2),0)</f>
        <v/>
      </c>
    </row>
    <row r="889" spans="1:12" x14ac:dyDescent="0.3">
      <c r="A889" s="123" t="str" vm="447">
        <f>CUBEMEMBER("BIDB","[Dimittenddato].[Dimittenddato].&amp;[2016-07-28T00:00:00]")</f>
        <v>28-07-2016</v>
      </c>
      <c r="B889" t="str" vm="4591">
        <f>IFERROR(CUBEVALUE("BIDB",$A889,B$3,'Præsentationstabeller 1'!$C$2),0)</f>
        <v/>
      </c>
      <c r="C889" t="str" vm="10038">
        <f>IFERROR(CUBEVALUE("BIDB",$A889,C$3,C$2,'Præsentationstabeller 1'!$C$2),0)</f>
        <v/>
      </c>
      <c r="D889" t="str" vm="17125">
        <f>IFERROR(CUBEVALUE("BIDB",$A889,D$3,D$2,'Præsentationstabeller 1'!$C$2),0)</f>
        <v/>
      </c>
      <c r="E889" vm="5628">
        <f>IFERROR(CUBEVALUE("BIDB",$A889,E$3,E$2,'Præsentationstabeller 1'!$C$2),0)</f>
        <v>3</v>
      </c>
      <c r="F889" vm="11674">
        <f>IFERROR(CUBEVALUE("BIDB",$A889,F$3,F$2,'Præsentationstabeller 1'!$C$2),0)</f>
        <v>1</v>
      </c>
      <c r="G889" vm="13690">
        <f>IFERROR(CUBEVALUE("BIDB",$A889,G$3,G$2,'Præsentationstabeller 1'!$C$2),0)</f>
        <v>4</v>
      </c>
      <c r="H889" t="str" vm="16086">
        <f>IFERROR(CUBEVALUE("BIDB",$A889,H$3,H$2,'Præsentationstabeller 1'!$C$2),0)</f>
        <v/>
      </c>
      <c r="I889" t="str" vm="7102">
        <f>IFERROR(CUBEVALUE("BIDB",$A889,I$3,I$2,'Præsentationstabeller 1'!$C$2),0)</f>
        <v/>
      </c>
      <c r="J889" t="str" vm="9236">
        <f>IFERROR(CUBEVALUE("BIDB",$A889,J$3,J$2,'Præsentationstabeller 1'!$C$2),0)</f>
        <v/>
      </c>
      <c r="K889" t="str" vm="13344">
        <f>IFERROR(CUBEVALUE("BIDB",$A889,K$3,K$2,'Præsentationstabeller 1'!$C$2),0)</f>
        <v/>
      </c>
      <c r="L889" t="str" vm="11313">
        <f>IFERROR(CUBEVALUE("BIDB",$A889,L$3,L$2,'Præsentationstabeller 1'!$C$2),0)</f>
        <v/>
      </c>
    </row>
    <row r="890" spans="1:12" x14ac:dyDescent="0.3">
      <c r="A890" s="123" t="str" vm="446">
        <f>CUBEMEMBER("BIDB","[Dimittenddato].[Dimittenddato].&amp;[2016-07-29T00:00:00]")</f>
        <v>29-07-2016</v>
      </c>
      <c r="B890" t="str" vm="6751">
        <f>IFERROR(CUBEVALUE("BIDB",$A890,B$3,'Præsentationstabeller 1'!$C$2),0)</f>
        <v/>
      </c>
      <c r="C890" t="str" vm="16844">
        <f>IFERROR(CUBEVALUE("BIDB",$A890,C$3,C$2,'Præsentationstabeller 1'!$C$2),0)</f>
        <v/>
      </c>
      <c r="D890" vm="13261">
        <f>IFERROR(CUBEVALUE("BIDB",$A890,D$3,D$2,'Præsentationstabeller 1'!$C$2),0)</f>
        <v>5</v>
      </c>
      <c r="E890" vm="4583">
        <f>IFERROR(CUBEVALUE("BIDB",$A890,E$3,E$2,'Præsentationstabeller 1'!$C$2),0)</f>
        <v>2</v>
      </c>
      <c r="F890" t="str" vm="6065">
        <f>IFERROR(CUBEVALUE("BIDB",$A890,F$3,F$2,'Præsentationstabeller 1'!$C$2),0)</f>
        <v/>
      </c>
      <c r="G890" vm="12687">
        <f>IFERROR(CUBEVALUE("BIDB",$A890,G$3,G$2,'Præsentationstabeller 1'!$C$2),0)</f>
        <v>2</v>
      </c>
      <c r="H890" t="str" vm="17057">
        <f>IFERROR(CUBEVALUE("BIDB",$A890,H$3,H$2,'Præsentationstabeller 1'!$C$2),0)</f>
        <v/>
      </c>
      <c r="I890" vm="7611">
        <f>IFERROR(CUBEVALUE("BIDB",$A890,I$3,I$2,'Præsentationstabeller 1'!$C$2),0)</f>
        <v>0.4</v>
      </c>
      <c r="J890" t="str" vm="9689">
        <f>IFERROR(CUBEVALUE("BIDB",$A890,J$3,J$2,'Præsentationstabeller 1'!$C$2),0)</f>
        <v/>
      </c>
      <c r="K890" t="str" vm="12362">
        <f>IFERROR(CUBEVALUE("BIDB",$A890,K$3,K$2,'Præsentationstabeller 1'!$C$2),0)</f>
        <v/>
      </c>
      <c r="L890" t="str" vm="13697">
        <f>IFERROR(CUBEVALUE("BIDB",$A890,L$3,L$2,'Præsentationstabeller 1'!$C$2),0)</f>
        <v/>
      </c>
    </row>
    <row r="891" spans="1:12" x14ac:dyDescent="0.3">
      <c r="A891" s="123" t="str" vm="445">
        <f>CUBEMEMBER("BIDB","[Dimittenddato].[Dimittenddato].&amp;[2016-07-30T00:00:00]")</f>
        <v>30-07-2016</v>
      </c>
      <c r="B891" t="str" vm="8001">
        <f>IFERROR(CUBEVALUE("BIDB",$A891,B$3,'Præsentationstabeller 1'!$C$2),0)</f>
        <v/>
      </c>
      <c r="C891" t="str" vm="12099">
        <f>IFERROR(CUBEVALUE("BIDB",$A891,C$3,C$2,'Præsentationstabeller 1'!$C$2),0)</f>
        <v/>
      </c>
      <c r="D891" t="str" vm="16323">
        <f>IFERROR(CUBEVALUE("BIDB",$A891,D$3,D$2,'Præsentationstabeller 1'!$C$2),0)</f>
        <v/>
      </c>
      <c r="E891" vm="7405">
        <f>IFERROR(CUBEVALUE("BIDB",$A891,E$3,E$2,'Præsentationstabeller 1'!$C$2),0)</f>
        <v>0</v>
      </c>
      <c r="F891" t="str" vm="5722">
        <f>IFERROR(CUBEVALUE("BIDB",$A891,F$3,F$2,'Præsentationstabeller 1'!$C$2),0)</f>
        <v/>
      </c>
      <c r="G891" vm="13086">
        <f>IFERROR(CUBEVALUE("BIDB",$A891,G$3,G$2,'Præsentationstabeller 1'!$C$2),0)</f>
        <v>0</v>
      </c>
      <c r="H891" t="str" vm="16445">
        <f>IFERROR(CUBEVALUE("BIDB",$A891,H$3,H$2,'Præsentationstabeller 1'!$C$2),0)</f>
        <v/>
      </c>
      <c r="I891" t="str" vm="9743">
        <f>IFERROR(CUBEVALUE("BIDB",$A891,I$3,I$2,'Præsentationstabeller 1'!$C$2),0)</f>
        <v/>
      </c>
      <c r="J891" t="str" vm="5412">
        <f>IFERROR(CUBEVALUE("BIDB",$A891,J$3,J$2,'Præsentationstabeller 1'!$C$2),0)</f>
        <v/>
      </c>
      <c r="K891" t="str" vm="12112">
        <f>IFERROR(CUBEVALUE("BIDB",$A891,K$3,K$2,'Præsentationstabeller 1'!$C$2),0)</f>
        <v/>
      </c>
      <c r="L891" t="str" vm="12820">
        <f>IFERROR(CUBEVALUE("BIDB",$A891,L$3,L$2,'Præsentationstabeller 1'!$C$2),0)</f>
        <v/>
      </c>
    </row>
    <row r="892" spans="1:12" x14ac:dyDescent="0.3">
      <c r="A892" s="123" t="str" vm="444">
        <f>CUBEMEMBER("BIDB","[Dimittenddato].[Dimittenddato].&amp;[2016-07-31T00:00:00]")</f>
        <v>31-07-2016</v>
      </c>
      <c r="B892" t="str" vm="6595">
        <f>IFERROR(CUBEVALUE("BIDB",$A892,B$3,'Præsentationstabeller 1'!$C$2),0)</f>
        <v/>
      </c>
      <c r="C892" t="str" vm="16211">
        <f>IFERROR(CUBEVALUE("BIDB",$A892,C$3,C$2,'Præsentationstabeller 1'!$C$2),0)</f>
        <v/>
      </c>
      <c r="D892" t="str" vm="9380">
        <f>IFERROR(CUBEVALUE("BIDB",$A892,D$3,D$2,'Præsentationstabeller 1'!$C$2),0)</f>
        <v/>
      </c>
      <c r="E892" vm="6221">
        <f>IFERROR(CUBEVALUE("BIDB",$A892,E$3,E$2,'Præsentationstabeller 1'!$C$2),0)</f>
        <v>0</v>
      </c>
      <c r="F892" t="str" vm="6426">
        <f>IFERROR(CUBEVALUE("BIDB",$A892,F$3,F$2,'Præsentationstabeller 1'!$C$2),0)</f>
        <v/>
      </c>
      <c r="G892" vm="16102">
        <f>IFERROR(CUBEVALUE("BIDB",$A892,G$3,G$2,'Præsentationstabeller 1'!$C$2),0)</f>
        <v>0</v>
      </c>
      <c r="H892" t="str" vm="11512">
        <f>IFERROR(CUBEVALUE("BIDB",$A892,H$3,H$2,'Præsentationstabeller 1'!$C$2),0)</f>
        <v/>
      </c>
      <c r="I892" t="str" vm="7135">
        <f>IFERROR(CUBEVALUE("BIDB",$A892,I$3,I$2,'Præsentationstabeller 1'!$C$2),0)</f>
        <v/>
      </c>
      <c r="J892" t="str" vm="4646">
        <f>IFERROR(CUBEVALUE("BIDB",$A892,J$3,J$2,'Præsentationstabeller 1'!$C$2),0)</f>
        <v/>
      </c>
      <c r="K892" t="str" vm="17090">
        <f>IFERROR(CUBEVALUE("BIDB",$A892,K$3,K$2,'Præsentationstabeller 1'!$C$2),0)</f>
        <v/>
      </c>
      <c r="L892" t="str" vm="16918">
        <f>IFERROR(CUBEVALUE("BIDB",$A892,L$3,L$2,'Præsentationstabeller 1'!$C$2),0)</f>
        <v/>
      </c>
    </row>
    <row r="893" spans="1:12" x14ac:dyDescent="0.3">
      <c r="A893" s="123" t="str" vm="443">
        <f>CUBEMEMBER("BIDB","[Dimittenddato].[Dimittenddato].&amp;[2016-08-01T00:00:00]")</f>
        <v>01-08-2016</v>
      </c>
      <c r="B893" t="str" vm="6662">
        <f>IFERROR(CUBEVALUE("BIDB",$A893,B$3,'Præsentationstabeller 1'!$C$2),0)</f>
        <v/>
      </c>
      <c r="C893" vm="11326">
        <f>IFERROR(CUBEVALUE("BIDB",$A893,C$3,C$2,'Præsentationstabeller 1'!$C$2),0)</f>
        <v>1</v>
      </c>
      <c r="D893" vm="16573">
        <f>IFERROR(CUBEVALUE("BIDB",$A893,D$3,D$2,'Præsentationstabeller 1'!$C$2),0)</f>
        <v>0</v>
      </c>
      <c r="E893" vm="5351">
        <f>IFERROR(CUBEVALUE("BIDB",$A893,E$3,E$2,'Præsentationstabeller 1'!$C$2),0)</f>
        <v>0</v>
      </c>
      <c r="F893" vm="12809">
        <f>IFERROR(CUBEVALUE("BIDB",$A893,F$3,F$2,'Præsentationstabeller 1'!$C$2),0)</f>
        <v>0</v>
      </c>
      <c r="G893" vm="12075">
        <f>IFERROR(CUBEVALUE("BIDB",$A893,G$3,G$2,'Præsentationstabeller 1'!$C$2),0)</f>
        <v>0</v>
      </c>
      <c r="H893" t="str" vm="11108">
        <f>IFERROR(CUBEVALUE("BIDB",$A893,H$3,H$2,'Præsentationstabeller 1'!$C$2),0)</f>
        <v/>
      </c>
      <c r="I893" t="str" vm="5498">
        <f>IFERROR(CUBEVALUE("BIDB",$A893,I$3,I$2,'Præsentationstabeller 1'!$C$2),0)</f>
        <v/>
      </c>
      <c r="J893" t="str" vm="11676">
        <f>IFERROR(CUBEVALUE("BIDB",$A893,J$3,J$2,'Præsentationstabeller 1'!$C$2),0)</f>
        <v/>
      </c>
      <c r="K893" t="str" vm="9263">
        <f>IFERROR(CUBEVALUE("BIDB",$A893,K$3,K$2,'Præsentationstabeller 1'!$C$2),0)</f>
        <v/>
      </c>
      <c r="L893" t="str" vm="15619">
        <f>IFERROR(CUBEVALUE("BIDB",$A893,L$3,L$2,'Præsentationstabeller 1'!$C$2),0)</f>
        <v/>
      </c>
    </row>
    <row r="894" spans="1:12" x14ac:dyDescent="0.3">
      <c r="A894" s="123" t="str" vm="442">
        <f>CUBEMEMBER("BIDB","[Dimittenddato].[Dimittenddato].&amp;[2016-08-02T00:00:00]")</f>
        <v>02-08-2016</v>
      </c>
      <c r="B894" t="str" vm="4581">
        <f>IFERROR(CUBEVALUE("BIDB",$A894,B$3,'Præsentationstabeller 1'!$C$2),0)</f>
        <v/>
      </c>
      <c r="C894" t="str" vm="9413">
        <f>IFERROR(CUBEVALUE("BIDB",$A894,C$3,C$2,'Præsentationstabeller 1'!$C$2),0)</f>
        <v/>
      </c>
      <c r="D894" t="str" vm="14929">
        <f>IFERROR(CUBEVALUE("BIDB",$A894,D$3,D$2,'Præsentationstabeller 1'!$C$2),0)</f>
        <v/>
      </c>
      <c r="E894" t="str" vm="4909">
        <f>IFERROR(CUBEVALUE("BIDB",$A894,E$3,E$2,'Præsentationstabeller 1'!$C$2),0)</f>
        <v/>
      </c>
      <c r="F894" t="str" vm="8802">
        <f>IFERROR(CUBEVALUE("BIDB",$A894,F$3,F$2,'Præsentationstabeller 1'!$C$2),0)</f>
        <v/>
      </c>
      <c r="G894" t="str" vm="15598">
        <f>IFERROR(CUBEVALUE("BIDB",$A894,G$3,G$2,'Præsentationstabeller 1'!$C$2),0)</f>
        <v/>
      </c>
      <c r="H894" t="str" vm="15116">
        <f>IFERROR(CUBEVALUE("BIDB",$A894,H$3,H$2,'Præsentationstabeller 1'!$C$2),0)</f>
        <v/>
      </c>
      <c r="I894" t="str" vm="5174">
        <f>IFERROR(CUBEVALUE("BIDB",$A894,I$3,I$2,'Præsentationstabeller 1'!$C$2),0)</f>
        <v/>
      </c>
      <c r="J894" t="str" vm="7133">
        <f>IFERROR(CUBEVALUE("BIDB",$A894,J$3,J$2,'Præsentationstabeller 1'!$C$2),0)</f>
        <v/>
      </c>
      <c r="K894" t="str" vm="13154">
        <f>IFERROR(CUBEVALUE("BIDB",$A894,K$3,K$2,'Præsentationstabeller 1'!$C$2),0)</f>
        <v/>
      </c>
      <c r="L894" t="str" vm="10822">
        <f>IFERROR(CUBEVALUE("BIDB",$A894,L$3,L$2,'Præsentationstabeller 1'!$C$2),0)</f>
        <v/>
      </c>
    </row>
    <row r="895" spans="1:12" x14ac:dyDescent="0.3">
      <c r="A895" s="123" t="str" vm="441">
        <f>CUBEMEMBER("BIDB","[Dimittenddato].[Dimittenddato].&amp;[2016-08-03T00:00:00]")</f>
        <v>03-08-2016</v>
      </c>
      <c r="B895" t="str" vm="5971">
        <f>IFERROR(CUBEVALUE("BIDB",$A895,B$3,'Præsentationstabeller 1'!$C$2),0)</f>
        <v/>
      </c>
      <c r="C895" t="str" vm="13612">
        <f>IFERROR(CUBEVALUE("BIDB",$A895,C$3,C$2,'Præsentationstabeller 1'!$C$2),0)</f>
        <v/>
      </c>
      <c r="D895" t="str" vm="16595">
        <f>IFERROR(CUBEVALUE("BIDB",$A895,D$3,D$2,'Præsentationstabeller 1'!$C$2),0)</f>
        <v/>
      </c>
      <c r="E895" t="str" vm="7486">
        <f>IFERROR(CUBEVALUE("BIDB",$A895,E$3,E$2,'Præsentationstabeller 1'!$C$2),0)</f>
        <v/>
      </c>
      <c r="F895" t="str" vm="4033">
        <f>IFERROR(CUBEVALUE("BIDB",$A895,F$3,F$2,'Præsentationstabeller 1'!$C$2),0)</f>
        <v/>
      </c>
      <c r="G895" t="str" vm="11901">
        <f>IFERROR(CUBEVALUE("BIDB",$A895,G$3,G$2,'Præsentationstabeller 1'!$C$2),0)</f>
        <v/>
      </c>
      <c r="H895" t="str" vm="15249">
        <f>IFERROR(CUBEVALUE("BIDB",$A895,H$3,H$2,'Præsentationstabeller 1'!$C$2),0)</f>
        <v/>
      </c>
      <c r="I895" t="str" vm="3222">
        <f>IFERROR(CUBEVALUE("BIDB",$A895,I$3,I$2,'Præsentationstabeller 1'!$C$2),0)</f>
        <v/>
      </c>
      <c r="J895" t="str" vm="5343">
        <f>IFERROR(CUBEVALUE("BIDB",$A895,J$3,J$2,'Præsentationstabeller 1'!$C$2),0)</f>
        <v/>
      </c>
      <c r="K895" t="str" vm="12236">
        <f>IFERROR(CUBEVALUE("BIDB",$A895,K$3,K$2,'Præsentationstabeller 1'!$C$2),0)</f>
        <v/>
      </c>
      <c r="L895" t="str" vm="16309">
        <f>IFERROR(CUBEVALUE("BIDB",$A895,L$3,L$2,'Præsentationstabeller 1'!$C$2),0)</f>
        <v/>
      </c>
    </row>
    <row r="896" spans="1:12" x14ac:dyDescent="0.3">
      <c r="A896" s="123" t="str" vm="440">
        <f>CUBEMEMBER("BIDB","[Dimittenddato].[Dimittenddato].&amp;[2016-08-04T00:00:00]")</f>
        <v>04-08-2016</v>
      </c>
      <c r="B896" t="str" vm="4634">
        <f>IFERROR(CUBEVALUE("BIDB",$A896,B$3,'Præsentationstabeller 1'!$C$2),0)</f>
        <v/>
      </c>
      <c r="C896" t="str" vm="13506">
        <f>IFERROR(CUBEVALUE("BIDB",$A896,C$3,C$2,'Præsentationstabeller 1'!$C$2),0)</f>
        <v/>
      </c>
      <c r="D896" t="str" vm="13920">
        <f>IFERROR(CUBEVALUE("BIDB",$A896,D$3,D$2,'Præsentationstabeller 1'!$C$2),0)</f>
        <v/>
      </c>
      <c r="E896" t="str" vm="4358">
        <f>IFERROR(CUBEVALUE("BIDB",$A896,E$3,E$2,'Præsentationstabeller 1'!$C$2),0)</f>
        <v/>
      </c>
      <c r="F896" t="str" vm="5006">
        <f>IFERROR(CUBEVALUE("BIDB",$A896,F$3,F$2,'Præsentationstabeller 1'!$C$2),0)</f>
        <v/>
      </c>
      <c r="G896" t="str" vm="14266">
        <f>IFERROR(CUBEVALUE("BIDB",$A896,G$3,G$2,'Præsentationstabeller 1'!$C$2),0)</f>
        <v/>
      </c>
      <c r="H896" t="str" vm="11143">
        <f>IFERROR(CUBEVALUE("BIDB",$A896,H$3,H$2,'Præsentationstabeller 1'!$C$2),0)</f>
        <v/>
      </c>
      <c r="I896" t="str" vm="6033">
        <f>IFERROR(CUBEVALUE("BIDB",$A896,I$3,I$2,'Præsentationstabeller 1'!$C$2),0)</f>
        <v/>
      </c>
      <c r="J896" t="str" vm="5168">
        <f>IFERROR(CUBEVALUE("BIDB",$A896,J$3,J$2,'Præsentationstabeller 1'!$C$2),0)</f>
        <v/>
      </c>
      <c r="K896" t="str" vm="17027">
        <f>IFERROR(CUBEVALUE("BIDB",$A896,K$3,K$2,'Præsentationstabeller 1'!$C$2),0)</f>
        <v/>
      </c>
      <c r="L896" t="str" vm="7099">
        <f>IFERROR(CUBEVALUE("BIDB",$A896,L$3,L$2,'Præsentationstabeller 1'!$C$2),0)</f>
        <v/>
      </c>
    </row>
    <row r="897" spans="1:12" x14ac:dyDescent="0.3">
      <c r="A897" s="123" t="str" vm="439">
        <f>CUBEMEMBER("BIDB","[Dimittenddato].[Dimittenddato].&amp;[2016-08-05T00:00:00]")</f>
        <v>05-08-2016</v>
      </c>
      <c r="B897" t="str" vm="8111">
        <f>IFERROR(CUBEVALUE("BIDB",$A897,B$3,'Præsentationstabeller 1'!$C$2),0)</f>
        <v/>
      </c>
      <c r="C897" t="str" vm="11419">
        <f>IFERROR(CUBEVALUE("BIDB",$A897,C$3,C$2,'Præsentationstabeller 1'!$C$2),0)</f>
        <v/>
      </c>
      <c r="D897" t="str" vm="11734">
        <f>IFERROR(CUBEVALUE("BIDB",$A897,D$3,D$2,'Præsentationstabeller 1'!$C$2),0)</f>
        <v/>
      </c>
      <c r="E897" t="str" vm="5618">
        <f>IFERROR(CUBEVALUE("BIDB",$A897,E$3,E$2,'Præsentationstabeller 1'!$C$2),0)</f>
        <v/>
      </c>
      <c r="F897" t="str" vm="3254">
        <f>IFERROR(CUBEVALUE("BIDB",$A897,F$3,F$2,'Præsentationstabeller 1'!$C$2),0)</f>
        <v/>
      </c>
      <c r="G897" t="str" vm="15593">
        <f>IFERROR(CUBEVALUE("BIDB",$A897,G$3,G$2,'Præsentationstabeller 1'!$C$2),0)</f>
        <v/>
      </c>
      <c r="H897" t="str" vm="13938">
        <f>IFERROR(CUBEVALUE("BIDB",$A897,H$3,H$2,'Præsentationstabeller 1'!$C$2),0)</f>
        <v/>
      </c>
      <c r="I897" t="str" vm="5341">
        <f>IFERROR(CUBEVALUE("BIDB",$A897,I$3,I$2,'Præsentationstabeller 1'!$C$2),0)</f>
        <v/>
      </c>
      <c r="J897" t="str" vm="6411">
        <f>IFERROR(CUBEVALUE("BIDB",$A897,J$3,J$2,'Præsentationstabeller 1'!$C$2),0)</f>
        <v/>
      </c>
      <c r="K897" t="str" vm="16401">
        <f>IFERROR(CUBEVALUE("BIDB",$A897,K$3,K$2,'Præsentationstabeller 1'!$C$2),0)</f>
        <v/>
      </c>
      <c r="L897" t="str" vm="14560">
        <f>IFERROR(CUBEVALUE("BIDB",$A897,L$3,L$2,'Præsentationstabeller 1'!$C$2),0)</f>
        <v/>
      </c>
    </row>
    <row r="898" spans="1:12" x14ac:dyDescent="0.3">
      <c r="A898" s="123" t="str" vm="438">
        <f>CUBEMEMBER("BIDB","[Dimittenddato].[Dimittenddato].&amp;[2016-08-06T00:00:00]")</f>
        <v>06-08-2016</v>
      </c>
      <c r="B898" t="str" vm="4512">
        <f>IFERROR(CUBEVALUE("BIDB",$A898,B$3,'Præsentationstabeller 1'!$C$2),0)</f>
        <v/>
      </c>
      <c r="C898" t="str" vm="11342">
        <f>IFERROR(CUBEVALUE("BIDB",$A898,C$3,C$2,'Præsentationstabeller 1'!$C$2),0)</f>
        <v/>
      </c>
      <c r="D898" vm="11045">
        <f>IFERROR(CUBEVALUE("BIDB",$A898,D$3,D$2,'Præsentationstabeller 1'!$C$2),0)</f>
        <v>0</v>
      </c>
      <c r="E898" t="str" vm="4707">
        <f>IFERROR(CUBEVALUE("BIDB",$A898,E$3,E$2,'Præsentationstabeller 1'!$C$2),0)</f>
        <v/>
      </c>
      <c r="F898" t="str" vm="4901">
        <f>IFERROR(CUBEVALUE("BIDB",$A898,F$3,F$2,'Præsentationstabeller 1'!$C$2),0)</f>
        <v/>
      </c>
      <c r="G898" t="str" vm="13948">
        <f>IFERROR(CUBEVALUE("BIDB",$A898,G$3,G$2,'Præsentationstabeller 1'!$C$2),0)</f>
        <v/>
      </c>
      <c r="H898" t="str" vm="11974">
        <f>IFERROR(CUBEVALUE("BIDB",$A898,H$3,H$2,'Præsentationstabeller 1'!$C$2),0)</f>
        <v/>
      </c>
      <c r="I898" t="str" vm="5036">
        <f>IFERROR(CUBEVALUE("BIDB",$A898,I$3,I$2,'Præsentationstabeller 1'!$C$2),0)</f>
        <v/>
      </c>
      <c r="J898" t="str" vm="3353">
        <f>IFERROR(CUBEVALUE("BIDB",$A898,J$3,J$2,'Præsentationstabeller 1'!$C$2),0)</f>
        <v/>
      </c>
      <c r="K898" t="str" vm="16051">
        <f>IFERROR(CUBEVALUE("BIDB",$A898,K$3,K$2,'Præsentationstabeller 1'!$C$2),0)</f>
        <v/>
      </c>
      <c r="L898" t="str" vm="11227">
        <f>IFERROR(CUBEVALUE("BIDB",$A898,L$3,L$2,'Præsentationstabeller 1'!$C$2),0)</f>
        <v/>
      </c>
    </row>
    <row r="899" spans="1:12" x14ac:dyDescent="0.3">
      <c r="A899" s="123" t="str" vm="437">
        <f>CUBEMEMBER("BIDB","[Dimittenddato].[Dimittenddato].&amp;[2016-08-07T00:00:00]")</f>
        <v>07-08-2016</v>
      </c>
      <c r="B899" t="str" vm="6485">
        <f>IFERROR(CUBEVALUE("BIDB",$A899,B$3,'Præsentationstabeller 1'!$C$2),0)</f>
        <v/>
      </c>
      <c r="C899" t="str" vm="15334">
        <f>IFERROR(CUBEVALUE("BIDB",$A899,C$3,C$2,'Præsentationstabeller 1'!$C$2),0)</f>
        <v/>
      </c>
      <c r="D899" t="str" vm="13417">
        <f>IFERROR(CUBEVALUE("BIDB",$A899,D$3,D$2,'Præsentationstabeller 1'!$C$2),0)</f>
        <v/>
      </c>
      <c r="E899" t="str" vm="6563">
        <f>IFERROR(CUBEVALUE("BIDB",$A899,E$3,E$2,'Præsentationstabeller 1'!$C$2),0)</f>
        <v/>
      </c>
      <c r="F899" t="str" vm="6027">
        <f>IFERROR(CUBEVALUE("BIDB",$A899,F$3,F$2,'Præsentationstabeller 1'!$C$2),0)</f>
        <v/>
      </c>
      <c r="G899" t="str" vm="14965">
        <f>IFERROR(CUBEVALUE("BIDB",$A899,G$3,G$2,'Præsentationstabeller 1'!$C$2),0)</f>
        <v/>
      </c>
      <c r="H899" t="str" vm="10375">
        <f>IFERROR(CUBEVALUE("BIDB",$A899,H$3,H$2,'Præsentationstabeller 1'!$C$2),0)</f>
        <v/>
      </c>
      <c r="I899" t="str" vm="6218">
        <f>IFERROR(CUBEVALUE("BIDB",$A899,I$3,I$2,'Præsentationstabeller 1'!$C$2),0)</f>
        <v/>
      </c>
      <c r="J899" t="str" vm="8044">
        <f>IFERROR(CUBEVALUE("BIDB",$A899,J$3,J$2,'Præsentationstabeller 1'!$C$2),0)</f>
        <v/>
      </c>
      <c r="K899" t="str" vm="13161">
        <f>IFERROR(CUBEVALUE("BIDB",$A899,K$3,K$2,'Præsentationstabeller 1'!$C$2),0)</f>
        <v/>
      </c>
      <c r="L899" t="str" vm="14101">
        <f>IFERROR(CUBEVALUE("BIDB",$A899,L$3,L$2,'Præsentationstabeller 1'!$C$2),0)</f>
        <v/>
      </c>
    </row>
    <row r="900" spans="1:12" x14ac:dyDescent="0.3">
      <c r="A900" s="123" t="str" vm="436">
        <f>CUBEMEMBER("BIDB","[Dimittenddato].[Dimittenddato].&amp;[2016-08-08T00:00:00]")</f>
        <v>08-08-2016</v>
      </c>
      <c r="B900" t="str" vm="4739">
        <f>IFERROR(CUBEVALUE("BIDB",$A900,B$3,'Præsentationstabeller 1'!$C$2),0)</f>
        <v/>
      </c>
      <c r="C900" t="str" vm="16140">
        <f>IFERROR(CUBEVALUE("BIDB",$A900,C$3,C$2,'Præsentationstabeller 1'!$C$2),0)</f>
        <v/>
      </c>
      <c r="D900" vm="11533">
        <f>IFERROR(CUBEVALUE("BIDB",$A900,D$3,D$2,'Præsentationstabeller 1'!$C$2),0)</f>
        <v>1</v>
      </c>
      <c r="E900" t="str" vm="4542">
        <f>IFERROR(CUBEVALUE("BIDB",$A900,E$3,E$2,'Præsentationstabeller 1'!$C$2),0)</f>
        <v/>
      </c>
      <c r="F900" t="str" vm="7892">
        <f>IFERROR(CUBEVALUE("BIDB",$A900,F$3,F$2,'Præsentationstabeller 1'!$C$2),0)</f>
        <v/>
      </c>
      <c r="G900" t="str" vm="15778">
        <f>IFERROR(CUBEVALUE("BIDB",$A900,G$3,G$2,'Præsentationstabeller 1'!$C$2),0)</f>
        <v/>
      </c>
      <c r="H900" t="str" vm="16822">
        <f>IFERROR(CUBEVALUE("BIDB",$A900,H$3,H$2,'Præsentationstabeller 1'!$C$2),0)</f>
        <v/>
      </c>
      <c r="I900" t="str" vm="5762">
        <f>IFERROR(CUBEVALUE("BIDB",$A900,I$3,I$2,'Præsentationstabeller 1'!$C$2),0)</f>
        <v/>
      </c>
      <c r="J900" t="str" vm="6134">
        <f>IFERROR(CUBEVALUE("BIDB",$A900,J$3,J$2,'Præsentationstabeller 1'!$C$2),0)</f>
        <v/>
      </c>
      <c r="K900" t="str" vm="15312">
        <f>IFERROR(CUBEVALUE("BIDB",$A900,K$3,K$2,'Præsentationstabeller 1'!$C$2),0)</f>
        <v/>
      </c>
      <c r="L900" t="str" vm="10560">
        <f>IFERROR(CUBEVALUE("BIDB",$A900,L$3,L$2,'Præsentationstabeller 1'!$C$2),0)</f>
        <v/>
      </c>
    </row>
    <row r="901" spans="1:12" x14ac:dyDescent="0.3">
      <c r="A901" s="123" t="str" vm="435">
        <f>CUBEMEMBER("BIDB","[Dimittenddato].[Dimittenddato].&amp;[2016-08-09T00:00:00]")</f>
        <v>09-08-2016</v>
      </c>
      <c r="B901" t="str" vm="7416">
        <f>IFERROR(CUBEVALUE("BIDB",$A901,B$3,'Præsentationstabeller 1'!$C$2),0)</f>
        <v/>
      </c>
      <c r="C901" t="str" vm="11437">
        <f>IFERROR(CUBEVALUE("BIDB",$A901,C$3,C$2,'Præsentationstabeller 1'!$C$2),0)</f>
        <v/>
      </c>
      <c r="D901" t="str" vm="13745">
        <f>IFERROR(CUBEVALUE("BIDB",$A901,D$3,D$2,'Præsentationstabeller 1'!$C$2),0)</f>
        <v/>
      </c>
      <c r="E901" t="str" vm="4824">
        <f>IFERROR(CUBEVALUE("BIDB",$A901,E$3,E$2,'Præsentationstabeller 1'!$C$2),0)</f>
        <v/>
      </c>
      <c r="F901" t="str" vm="3238">
        <f>IFERROR(CUBEVALUE("BIDB",$A901,F$3,F$2,'Præsentationstabeller 1'!$C$2),0)</f>
        <v/>
      </c>
      <c r="G901" t="str" vm="17069">
        <f>IFERROR(CUBEVALUE("BIDB",$A901,G$3,G$2,'Præsentationstabeller 1'!$C$2),0)</f>
        <v/>
      </c>
      <c r="H901" t="str" vm="13787">
        <f>IFERROR(CUBEVALUE("BIDB",$A901,H$3,H$2,'Præsentationstabeller 1'!$C$2),0)</f>
        <v/>
      </c>
      <c r="I901" t="str" vm="4315">
        <f>IFERROR(CUBEVALUE("BIDB",$A901,I$3,I$2,'Præsentationstabeller 1'!$C$2),0)</f>
        <v/>
      </c>
      <c r="J901" t="str" vm="6622">
        <f>IFERROR(CUBEVALUE("BIDB",$A901,J$3,J$2,'Præsentationstabeller 1'!$C$2),0)</f>
        <v/>
      </c>
      <c r="K901" t="str" vm="9885">
        <f>IFERROR(CUBEVALUE("BIDB",$A901,K$3,K$2,'Præsentationstabeller 1'!$C$2),0)</f>
        <v/>
      </c>
      <c r="L901" t="str" vm="12714">
        <f>IFERROR(CUBEVALUE("BIDB",$A901,L$3,L$2,'Præsentationstabeller 1'!$C$2),0)</f>
        <v/>
      </c>
    </row>
    <row r="902" spans="1:12" x14ac:dyDescent="0.3">
      <c r="A902" s="123" t="str" vm="434">
        <f>CUBEMEMBER("BIDB","[Dimittenddato].[Dimittenddato].&amp;[2016-08-10T00:00:00]")</f>
        <v>10-08-2016</v>
      </c>
      <c r="B902" t="str" vm="7070">
        <f>IFERROR(CUBEVALUE("BIDB",$A902,B$3,'Præsentationstabeller 1'!$C$2),0)</f>
        <v/>
      </c>
      <c r="C902" t="str" vm="13704">
        <f>IFERROR(CUBEVALUE("BIDB",$A902,C$3,C$2,'Præsentationstabeller 1'!$C$2),0)</f>
        <v/>
      </c>
      <c r="D902" t="str" vm="11722">
        <f>IFERROR(CUBEVALUE("BIDB",$A902,D$3,D$2,'Præsentationstabeller 1'!$C$2),0)</f>
        <v/>
      </c>
      <c r="E902" t="str" vm="5486">
        <f>IFERROR(CUBEVALUE("BIDB",$A902,E$3,E$2,'Præsentationstabeller 1'!$C$2),0)</f>
        <v/>
      </c>
      <c r="F902" t="str" vm="9501">
        <f>IFERROR(CUBEVALUE("BIDB",$A902,F$3,F$2,'Præsentationstabeller 1'!$C$2),0)</f>
        <v/>
      </c>
      <c r="G902" t="str" vm="11400">
        <f>IFERROR(CUBEVALUE("BIDB",$A902,G$3,G$2,'Præsentationstabeller 1'!$C$2),0)</f>
        <v/>
      </c>
      <c r="H902" t="str" vm="9673">
        <f>IFERROR(CUBEVALUE("BIDB",$A902,H$3,H$2,'Præsentationstabeller 1'!$C$2),0)</f>
        <v/>
      </c>
      <c r="I902" t="str" vm="4891">
        <f>IFERROR(CUBEVALUE("BIDB",$A902,I$3,I$2,'Præsentationstabeller 1'!$C$2),0)</f>
        <v/>
      </c>
      <c r="J902" t="str" vm="5950">
        <f>IFERROR(CUBEVALUE("BIDB",$A902,J$3,J$2,'Præsentationstabeller 1'!$C$2),0)</f>
        <v/>
      </c>
      <c r="K902" t="str" vm="16660">
        <f>IFERROR(CUBEVALUE("BIDB",$A902,K$3,K$2,'Præsentationstabeller 1'!$C$2),0)</f>
        <v/>
      </c>
      <c r="L902" t="str" vm="9150">
        <f>IFERROR(CUBEVALUE("BIDB",$A902,L$3,L$2,'Præsentationstabeller 1'!$C$2),0)</f>
        <v/>
      </c>
    </row>
    <row r="903" spans="1:12" x14ac:dyDescent="0.3">
      <c r="A903" s="123" t="str" vm="433">
        <f>CUBEMEMBER("BIDB","[Dimittenddato].[Dimittenddato].&amp;[2016-08-11T00:00:00]")</f>
        <v>11-08-2016</v>
      </c>
      <c r="B903" t="str" vm="6273">
        <f>IFERROR(CUBEVALUE("BIDB",$A903,B$3,'Præsentationstabeller 1'!$C$2),0)</f>
        <v/>
      </c>
      <c r="C903" t="str" vm="11478">
        <f>IFERROR(CUBEVALUE("BIDB",$A903,C$3,C$2,'Præsentationstabeller 1'!$C$2),0)</f>
        <v/>
      </c>
      <c r="D903" t="str" vm="11195">
        <f>IFERROR(CUBEVALUE("BIDB",$A903,D$3,D$2,'Præsentationstabeller 1'!$C$2),0)</f>
        <v/>
      </c>
      <c r="E903" t="str" vm="6746">
        <f>IFERROR(CUBEVALUE("BIDB",$A903,E$3,E$2,'Præsentationstabeller 1'!$C$2),0)</f>
        <v/>
      </c>
      <c r="F903" vm="8252">
        <f>IFERROR(CUBEVALUE("BIDB",$A903,F$3,F$2,'Præsentationstabeller 1'!$C$2),0)</f>
        <v>1</v>
      </c>
      <c r="G903" vm="13985">
        <f>IFERROR(CUBEVALUE("BIDB",$A903,G$3,G$2,'Præsentationstabeller 1'!$C$2),0)</f>
        <v>1</v>
      </c>
      <c r="H903" t="str" vm="16354">
        <f>IFERROR(CUBEVALUE("BIDB",$A903,H$3,H$2,'Præsentationstabeller 1'!$C$2),0)</f>
        <v/>
      </c>
      <c r="I903" t="str" vm="5958">
        <f>IFERROR(CUBEVALUE("BIDB",$A903,I$3,I$2,'Præsentationstabeller 1'!$C$2),0)</f>
        <v/>
      </c>
      <c r="J903" t="str" vm="6789">
        <f>IFERROR(CUBEVALUE("BIDB",$A903,J$3,J$2,'Præsentationstabeller 1'!$C$2),0)</f>
        <v/>
      </c>
      <c r="K903" t="str" vm="12039">
        <f>IFERROR(CUBEVALUE("BIDB",$A903,K$3,K$2,'Præsentationstabeller 1'!$C$2),0)</f>
        <v/>
      </c>
      <c r="L903" t="str" vm="16598">
        <f>IFERROR(CUBEVALUE("BIDB",$A903,L$3,L$2,'Præsentationstabeller 1'!$C$2),0)</f>
        <v/>
      </c>
    </row>
    <row r="904" spans="1:12" x14ac:dyDescent="0.3">
      <c r="A904" s="123" t="str" vm="432">
        <f>CUBEMEMBER("BIDB","[Dimittenddato].[Dimittenddato].&amp;[2016-08-12T00:00:00]")</f>
        <v>12-08-2016</v>
      </c>
      <c r="B904" t="str" vm="4723">
        <f>IFERROR(CUBEVALUE("BIDB",$A904,B$3,'Præsentationstabeller 1'!$C$2),0)</f>
        <v/>
      </c>
      <c r="C904" t="str" vm="12002">
        <f>IFERROR(CUBEVALUE("BIDB",$A904,C$3,C$2,'Præsentationstabeller 1'!$C$2),0)</f>
        <v/>
      </c>
      <c r="D904" t="str" vm="13333">
        <f>IFERROR(CUBEVALUE("BIDB",$A904,D$3,D$2,'Præsentationstabeller 1'!$C$2),0)</f>
        <v/>
      </c>
      <c r="E904" t="str" vm="4397">
        <f>IFERROR(CUBEVALUE("BIDB",$A904,E$3,E$2,'Præsentationstabeller 1'!$C$2),0)</f>
        <v/>
      </c>
      <c r="F904" t="str" vm="5744">
        <f>IFERROR(CUBEVALUE("BIDB",$A904,F$3,F$2,'Præsentationstabeller 1'!$C$2),0)</f>
        <v/>
      </c>
      <c r="G904" t="str" vm="15438">
        <f>IFERROR(CUBEVALUE("BIDB",$A904,G$3,G$2,'Præsentationstabeller 1'!$C$2),0)</f>
        <v/>
      </c>
      <c r="H904" t="str" vm="9522">
        <f>IFERROR(CUBEVALUE("BIDB",$A904,H$3,H$2,'Præsentationstabeller 1'!$C$2),0)</f>
        <v/>
      </c>
      <c r="I904" t="str" vm="5754">
        <f>IFERROR(CUBEVALUE("BIDB",$A904,I$3,I$2,'Præsentationstabeller 1'!$C$2),0)</f>
        <v/>
      </c>
      <c r="J904" t="str" vm="6234">
        <f>IFERROR(CUBEVALUE("BIDB",$A904,J$3,J$2,'Præsentationstabeller 1'!$C$2),0)</f>
        <v/>
      </c>
      <c r="K904" t="str" vm="11909">
        <f>IFERROR(CUBEVALUE("BIDB",$A904,K$3,K$2,'Præsentationstabeller 1'!$C$2),0)</f>
        <v/>
      </c>
      <c r="L904" t="str" vm="11182">
        <f>IFERROR(CUBEVALUE("BIDB",$A904,L$3,L$2,'Præsentationstabeller 1'!$C$2),0)</f>
        <v/>
      </c>
    </row>
    <row r="905" spans="1:12" x14ac:dyDescent="0.3">
      <c r="A905" s="123" t="str" vm="431">
        <f>CUBEMEMBER("BIDB","[Dimittenddato].[Dimittenddato].&amp;[2016-08-13T00:00:00]")</f>
        <v>13-08-2016</v>
      </c>
      <c r="B905" t="str" vm="9026">
        <f>IFERROR(CUBEVALUE("BIDB",$A905,B$3,'Præsentationstabeller 1'!$C$2),0)</f>
        <v/>
      </c>
      <c r="C905" t="str" vm="11451">
        <f>IFERROR(CUBEVALUE("BIDB",$A905,C$3,C$2,'Præsentationstabeller 1'!$C$2),0)</f>
        <v/>
      </c>
      <c r="D905" t="str" vm="14074">
        <f>IFERROR(CUBEVALUE("BIDB",$A905,D$3,D$2,'Præsentationstabeller 1'!$C$2),0)</f>
        <v/>
      </c>
      <c r="E905" t="str" vm="3268">
        <f>IFERROR(CUBEVALUE("BIDB",$A905,E$3,E$2,'Præsentationstabeller 1'!$C$2),0)</f>
        <v/>
      </c>
      <c r="F905" t="str" vm="4093">
        <f>IFERROR(CUBEVALUE("BIDB",$A905,F$3,F$2,'Præsentationstabeller 1'!$C$2),0)</f>
        <v/>
      </c>
      <c r="G905" t="str" vm="13581">
        <f>IFERROR(CUBEVALUE("BIDB",$A905,G$3,G$2,'Præsentationstabeller 1'!$C$2),0)</f>
        <v/>
      </c>
      <c r="H905" t="str" vm="9215">
        <f>IFERROR(CUBEVALUE("BIDB",$A905,H$3,H$2,'Præsentationstabeller 1'!$C$2),0)</f>
        <v/>
      </c>
      <c r="I905" t="str" vm="8285">
        <f>IFERROR(CUBEVALUE("BIDB",$A905,I$3,I$2,'Præsentationstabeller 1'!$C$2),0)</f>
        <v/>
      </c>
      <c r="J905" t="str" vm="5590">
        <f>IFERROR(CUBEVALUE("BIDB",$A905,J$3,J$2,'Præsentationstabeller 1'!$C$2),0)</f>
        <v/>
      </c>
      <c r="K905" t="str" vm="15211">
        <f>IFERROR(CUBEVALUE("BIDB",$A905,K$3,K$2,'Præsentationstabeller 1'!$C$2),0)</f>
        <v/>
      </c>
      <c r="L905" t="str" vm="12949">
        <f>IFERROR(CUBEVALUE("BIDB",$A905,L$3,L$2,'Præsentationstabeller 1'!$C$2),0)</f>
        <v/>
      </c>
    </row>
    <row r="906" spans="1:12" x14ac:dyDescent="0.3">
      <c r="A906" s="123" t="str" vm="430">
        <f>CUBEMEMBER("BIDB","[Dimittenddato].[Dimittenddato].&amp;[2016-08-14T00:00:00]")</f>
        <v>14-08-2016</v>
      </c>
      <c r="B906" t="str" vm="5243">
        <f>IFERROR(CUBEVALUE("BIDB",$A906,B$3,'Præsentationstabeller 1'!$C$2),0)</f>
        <v/>
      </c>
      <c r="C906" t="str" vm="15394">
        <f>IFERROR(CUBEVALUE("BIDB",$A906,C$3,C$2,'Præsentationstabeller 1'!$C$2),0)</f>
        <v/>
      </c>
      <c r="D906" t="str" vm="15747">
        <f>IFERROR(CUBEVALUE("BIDB",$A906,D$3,D$2,'Præsentationstabeller 1'!$C$2),0)</f>
        <v/>
      </c>
      <c r="E906" t="str" vm="4125">
        <f>IFERROR(CUBEVALUE("BIDB",$A906,E$3,E$2,'Præsentationstabeller 1'!$C$2),0)</f>
        <v/>
      </c>
      <c r="F906" t="str" vm="6195">
        <f>IFERROR(CUBEVALUE("BIDB",$A906,F$3,F$2,'Præsentationstabeller 1'!$C$2),0)</f>
        <v/>
      </c>
      <c r="G906" t="str" vm="14902">
        <f>IFERROR(CUBEVALUE("BIDB",$A906,G$3,G$2,'Præsentationstabeller 1'!$C$2),0)</f>
        <v/>
      </c>
      <c r="H906" t="str" vm="9615">
        <f>IFERROR(CUBEVALUE("BIDB",$A906,H$3,H$2,'Præsentationstabeller 1'!$C$2),0)</f>
        <v/>
      </c>
      <c r="I906" t="str" vm="6057">
        <f>IFERROR(CUBEVALUE("BIDB",$A906,I$3,I$2,'Præsentationstabeller 1'!$C$2),0)</f>
        <v/>
      </c>
      <c r="J906" t="str" vm="4664">
        <f>IFERROR(CUBEVALUE("BIDB",$A906,J$3,J$2,'Præsentationstabeller 1'!$C$2),0)</f>
        <v/>
      </c>
      <c r="K906" t="str" vm="9901">
        <f>IFERROR(CUBEVALUE("BIDB",$A906,K$3,K$2,'Præsentationstabeller 1'!$C$2),0)</f>
        <v/>
      </c>
      <c r="L906" t="str" vm="11944">
        <f>IFERROR(CUBEVALUE("BIDB",$A906,L$3,L$2,'Præsentationstabeller 1'!$C$2),0)</f>
        <v/>
      </c>
    </row>
    <row r="907" spans="1:12" x14ac:dyDescent="0.3">
      <c r="A907" s="123" t="str" vm="429">
        <f>CUBEMEMBER("BIDB","[Dimittenddato].[Dimittenddato].&amp;[2016-08-15T00:00:00]")</f>
        <v>15-08-2016</v>
      </c>
      <c r="B907" t="str" vm="4603">
        <f>IFERROR(CUBEVALUE("BIDB",$A907,B$3,'Præsentationstabeller 1'!$C$2),0)</f>
        <v/>
      </c>
      <c r="C907" t="str" vm="11629">
        <f>IFERROR(CUBEVALUE("BIDB",$A907,C$3,C$2,'Præsentationstabeller 1'!$C$2),0)</f>
        <v/>
      </c>
      <c r="D907" t="str" vm="15023">
        <f>IFERROR(CUBEVALUE("BIDB",$A907,D$3,D$2,'Præsentationstabeller 1'!$C$2),0)</f>
        <v/>
      </c>
      <c r="E907" t="str" vm="6744">
        <f>IFERROR(CUBEVALUE("BIDB",$A907,E$3,E$2,'Præsentationstabeller 1'!$C$2),0)</f>
        <v/>
      </c>
      <c r="F907" t="str" vm="5468">
        <f>IFERROR(CUBEVALUE("BIDB",$A907,F$3,F$2,'Præsentationstabeller 1'!$C$2),0)</f>
        <v/>
      </c>
      <c r="G907" t="str" vm="12611">
        <f>IFERROR(CUBEVALUE("BIDB",$A907,G$3,G$2,'Præsentationstabeller 1'!$C$2),0)</f>
        <v/>
      </c>
      <c r="H907" t="str" vm="12547">
        <f>IFERROR(CUBEVALUE("BIDB",$A907,H$3,H$2,'Præsentationstabeller 1'!$C$2),0)</f>
        <v/>
      </c>
      <c r="I907" t="str" vm="5954">
        <f>IFERROR(CUBEVALUE("BIDB",$A907,I$3,I$2,'Præsentationstabeller 1'!$C$2),0)</f>
        <v/>
      </c>
      <c r="J907" t="str" vm="3286">
        <f>IFERROR(CUBEVALUE("BIDB",$A907,J$3,J$2,'Præsentationstabeller 1'!$C$2),0)</f>
        <v/>
      </c>
      <c r="K907" t="str" vm="16873">
        <f>IFERROR(CUBEVALUE("BIDB",$A907,K$3,K$2,'Præsentationstabeller 1'!$C$2),0)</f>
        <v/>
      </c>
      <c r="L907" t="str" vm="7368">
        <f>IFERROR(CUBEVALUE("BIDB",$A907,L$3,L$2,'Præsentationstabeller 1'!$C$2),0)</f>
        <v/>
      </c>
    </row>
    <row r="908" spans="1:12" x14ac:dyDescent="0.3">
      <c r="A908" s="123" t="str" vm="428">
        <f>CUBEMEMBER("BIDB","[Dimittenddato].[Dimittenddato].&amp;[2016-08-16T00:00:00]")</f>
        <v>16-08-2016</v>
      </c>
      <c r="B908" t="str" vm="3979">
        <f>IFERROR(CUBEVALUE("BIDB",$A908,B$3,'Præsentationstabeller 1'!$C$2),0)</f>
        <v/>
      </c>
      <c r="C908" t="str" vm="15370">
        <f>IFERROR(CUBEVALUE("BIDB",$A908,C$3,C$2,'Præsentationstabeller 1'!$C$2),0)</f>
        <v/>
      </c>
      <c r="D908" t="str" vm="13485">
        <f>IFERROR(CUBEVALUE("BIDB",$A908,D$3,D$2,'Præsentationstabeller 1'!$C$2),0)</f>
        <v/>
      </c>
      <c r="E908" t="str" vm="6189">
        <f>IFERROR(CUBEVALUE("BIDB",$A908,E$3,E$2,'Præsentationstabeller 1'!$C$2),0)</f>
        <v/>
      </c>
      <c r="F908" t="str" vm="6615">
        <f>IFERROR(CUBEVALUE("BIDB",$A908,F$3,F$2,'Præsentationstabeller 1'!$C$2),0)</f>
        <v/>
      </c>
      <c r="G908" t="str" vm="14130">
        <f>IFERROR(CUBEVALUE("BIDB",$A908,G$3,G$2,'Præsentationstabeller 1'!$C$2),0)</f>
        <v/>
      </c>
      <c r="H908" t="str" vm="13998">
        <f>IFERROR(CUBEVALUE("BIDB",$A908,H$3,H$2,'Præsentationstabeller 1'!$C$2),0)</f>
        <v/>
      </c>
      <c r="I908" t="str" vm="8794">
        <f>IFERROR(CUBEVALUE("BIDB",$A908,I$3,I$2,'Præsentationstabeller 1'!$C$2),0)</f>
        <v/>
      </c>
      <c r="J908" t="str" vm="3780">
        <f>IFERROR(CUBEVALUE("BIDB",$A908,J$3,J$2,'Præsentationstabeller 1'!$C$2),0)</f>
        <v/>
      </c>
      <c r="K908" t="str" vm="12667">
        <f>IFERROR(CUBEVALUE("BIDB",$A908,K$3,K$2,'Præsentationstabeller 1'!$C$2),0)</f>
        <v/>
      </c>
      <c r="L908" t="str" vm="9466">
        <f>IFERROR(CUBEVALUE("BIDB",$A908,L$3,L$2,'Præsentationstabeller 1'!$C$2),0)</f>
        <v/>
      </c>
    </row>
    <row r="909" spans="1:12" x14ac:dyDescent="0.3">
      <c r="A909" s="123" t="str" vm="427">
        <f>CUBEMEMBER("BIDB","[Dimittenddato].[Dimittenddato].&amp;[2016-08-17T00:00:00]")</f>
        <v>17-08-2016</v>
      </c>
      <c r="B909" t="str" vm="5142">
        <f>IFERROR(CUBEVALUE("BIDB",$A909,B$3,'Præsentationstabeller 1'!$C$2),0)</f>
        <v/>
      </c>
      <c r="C909" t="str" vm="10891">
        <f>IFERROR(CUBEVALUE("BIDB",$A909,C$3,C$2,'Præsentationstabeller 1'!$C$2),0)</f>
        <v/>
      </c>
      <c r="D909" t="str" vm="13373">
        <f>IFERROR(CUBEVALUE("BIDB",$A909,D$3,D$2,'Præsentationstabeller 1'!$C$2),0)</f>
        <v/>
      </c>
      <c r="E909" t="str" vm="8978">
        <f>IFERROR(CUBEVALUE("BIDB",$A909,E$3,E$2,'Præsentationstabeller 1'!$C$2),0)</f>
        <v/>
      </c>
      <c r="F909" t="str" vm="4021">
        <f>IFERROR(CUBEVALUE("BIDB",$A909,F$3,F$2,'Præsentationstabeller 1'!$C$2),0)</f>
        <v/>
      </c>
      <c r="G909" t="str" vm="15302">
        <f>IFERROR(CUBEVALUE("BIDB",$A909,G$3,G$2,'Præsentationstabeller 1'!$C$2),0)</f>
        <v/>
      </c>
      <c r="H909" t="str" vm="15572">
        <f>IFERROR(CUBEVALUE("BIDB",$A909,H$3,H$2,'Præsentationstabeller 1'!$C$2),0)</f>
        <v/>
      </c>
      <c r="I909" t="str" vm="5112">
        <f>IFERROR(CUBEVALUE("BIDB",$A909,I$3,I$2,'Præsentationstabeller 1'!$C$2),0)</f>
        <v/>
      </c>
      <c r="J909" t="str" vm="4753">
        <f>IFERROR(CUBEVALUE("BIDB",$A909,J$3,J$2,'Præsentationstabeller 1'!$C$2),0)</f>
        <v/>
      </c>
      <c r="K909" t="str" vm="10473">
        <f>IFERROR(CUBEVALUE("BIDB",$A909,K$3,K$2,'Præsentationstabeller 1'!$C$2),0)</f>
        <v/>
      </c>
      <c r="L909" t="str" vm="16538">
        <f>IFERROR(CUBEVALUE("BIDB",$A909,L$3,L$2,'Præsentationstabeller 1'!$C$2),0)</f>
        <v/>
      </c>
    </row>
    <row r="910" spans="1:12" x14ac:dyDescent="0.3">
      <c r="A910" s="123" t="str" vm="426">
        <f>CUBEMEMBER("BIDB","[Dimittenddato].[Dimittenddato].&amp;[2016-08-18T00:00:00]")</f>
        <v>18-08-2016</v>
      </c>
      <c r="B910" t="str" vm="4328">
        <f>IFERROR(CUBEVALUE("BIDB",$A910,B$3,'Præsentationstabeller 1'!$C$2),0)</f>
        <v/>
      </c>
      <c r="C910" t="str" vm="14000">
        <f>IFERROR(CUBEVALUE("BIDB",$A910,C$3,C$2,'Præsentationstabeller 1'!$C$2),0)</f>
        <v/>
      </c>
      <c r="D910" vm="11388">
        <f>IFERROR(CUBEVALUE("BIDB",$A910,D$3,D$2,'Præsentationstabeller 1'!$C$2),0)</f>
        <v>0</v>
      </c>
      <c r="E910" t="str" vm="4109">
        <f>IFERROR(CUBEVALUE("BIDB",$A910,E$3,E$2,'Præsentationstabeller 1'!$C$2),0)</f>
        <v/>
      </c>
      <c r="F910" t="str" vm="5553">
        <f>IFERROR(CUBEVALUE("BIDB",$A910,F$3,F$2,'Præsentationstabeller 1'!$C$2),0)</f>
        <v/>
      </c>
      <c r="G910" t="str" vm="16992">
        <f>IFERROR(CUBEVALUE("BIDB",$A910,G$3,G$2,'Præsentationstabeller 1'!$C$2),0)</f>
        <v/>
      </c>
      <c r="H910" t="str" vm="11371">
        <f>IFERROR(CUBEVALUE("BIDB",$A910,H$3,H$2,'Præsentationstabeller 1'!$C$2),0)</f>
        <v/>
      </c>
      <c r="I910" t="str" vm="5363">
        <f>IFERROR(CUBEVALUE("BIDB",$A910,I$3,I$2,'Præsentationstabeller 1'!$C$2),0)</f>
        <v/>
      </c>
      <c r="J910" t="str" vm="4011">
        <f>IFERROR(CUBEVALUE("BIDB",$A910,J$3,J$2,'Præsentationstabeller 1'!$C$2),0)</f>
        <v/>
      </c>
      <c r="K910" t="str" vm="12383">
        <f>IFERROR(CUBEVALUE("BIDB",$A910,K$3,K$2,'Præsentationstabeller 1'!$C$2),0)</f>
        <v/>
      </c>
      <c r="L910" t="str" vm="13544">
        <f>IFERROR(CUBEVALUE("BIDB",$A910,L$3,L$2,'Præsentationstabeller 1'!$C$2),0)</f>
        <v/>
      </c>
    </row>
    <row r="911" spans="1:12" x14ac:dyDescent="0.3">
      <c r="A911" s="123" t="str" vm="425">
        <f>CUBEMEMBER("BIDB","[Dimittenddato].[Dimittenddato].&amp;[2016-08-19T00:00:00]")</f>
        <v>19-08-2016</v>
      </c>
      <c r="B911" t="str" vm="4783">
        <f>IFERROR(CUBEVALUE("BIDB",$A911,B$3,'Præsentationstabeller 1'!$C$2),0)</f>
        <v/>
      </c>
      <c r="C911" t="str" vm="13063">
        <f>IFERROR(CUBEVALUE("BIDB",$A911,C$3,C$2,'Præsentationstabeller 1'!$C$2),0)</f>
        <v/>
      </c>
      <c r="D911" t="str" vm="12503">
        <f>IFERROR(CUBEVALUE("BIDB",$A911,D$3,D$2,'Præsentationstabeller 1'!$C$2),0)</f>
        <v/>
      </c>
      <c r="E911" t="str" vm="9431">
        <f>IFERROR(CUBEVALUE("BIDB",$A911,E$3,E$2,'Præsentationstabeller 1'!$C$2),0)</f>
        <v/>
      </c>
      <c r="F911" t="str" vm="4260">
        <f>IFERROR(CUBEVALUE("BIDB",$A911,F$3,F$2,'Præsentationstabeller 1'!$C$2),0)</f>
        <v/>
      </c>
      <c r="G911" t="str" vm="16119">
        <f>IFERROR(CUBEVALUE("BIDB",$A911,G$3,G$2,'Præsentationstabeller 1'!$C$2),0)</f>
        <v/>
      </c>
      <c r="H911" t="str" vm="13575">
        <f>IFERROR(CUBEVALUE("BIDB",$A911,H$3,H$2,'Præsentationstabeller 1'!$C$2),0)</f>
        <v/>
      </c>
      <c r="I911" t="str" vm="4458">
        <f>IFERROR(CUBEVALUE("BIDB",$A911,I$3,I$2,'Præsentationstabeller 1'!$C$2),0)</f>
        <v/>
      </c>
      <c r="J911" t="str" vm="3278">
        <f>IFERROR(CUBEVALUE("BIDB",$A911,J$3,J$2,'Præsentationstabeller 1'!$C$2),0)</f>
        <v/>
      </c>
      <c r="K911" t="str" vm="12397">
        <f>IFERROR(CUBEVALUE("BIDB",$A911,K$3,K$2,'Præsentationstabeller 1'!$C$2),0)</f>
        <v/>
      </c>
      <c r="L911" t="str" vm="9860">
        <f>IFERROR(CUBEVALUE("BIDB",$A911,L$3,L$2,'Præsentationstabeller 1'!$C$2),0)</f>
        <v/>
      </c>
    </row>
    <row r="912" spans="1:12" x14ac:dyDescent="0.3">
      <c r="A912" s="123" t="str" vm="424">
        <f>CUBEMEMBER("BIDB","[Dimittenddato].[Dimittenddato].&amp;[2016-08-20T00:00:00]")</f>
        <v>20-08-2016</v>
      </c>
      <c r="B912" t="str" vm="5165">
        <f>IFERROR(CUBEVALUE("BIDB",$A912,B$3,'Præsentationstabeller 1'!$C$2),0)</f>
        <v/>
      </c>
      <c r="C912" t="str" vm="13576">
        <f>IFERROR(CUBEVALUE("BIDB",$A912,C$3,C$2,'Præsentationstabeller 1'!$C$2),0)</f>
        <v/>
      </c>
      <c r="D912" t="str" vm="14884">
        <f>IFERROR(CUBEVALUE("BIDB",$A912,D$3,D$2,'Præsentationstabeller 1'!$C$2),0)</f>
        <v/>
      </c>
      <c r="E912" t="str" vm="5879">
        <f>IFERROR(CUBEVALUE("BIDB",$A912,E$3,E$2,'Præsentationstabeller 1'!$C$2),0)</f>
        <v/>
      </c>
      <c r="F912" t="str" vm="5453">
        <f>IFERROR(CUBEVALUE("BIDB",$A912,F$3,F$2,'Præsentationstabeller 1'!$C$2),0)</f>
        <v/>
      </c>
      <c r="G912" t="str" vm="15760">
        <f>IFERROR(CUBEVALUE("BIDB",$A912,G$3,G$2,'Præsentationstabeller 1'!$C$2),0)</f>
        <v/>
      </c>
      <c r="H912" t="str" vm="13118">
        <f>IFERROR(CUBEVALUE("BIDB",$A912,H$3,H$2,'Præsentationstabeller 1'!$C$2),0)</f>
        <v/>
      </c>
      <c r="I912" t="str" vm="14442">
        <f>IFERROR(CUBEVALUE("BIDB",$A912,I$3,I$2,'Præsentationstabeller 1'!$C$2),0)</f>
        <v/>
      </c>
      <c r="J912" t="str" vm="5136">
        <f>IFERROR(CUBEVALUE("BIDB",$A912,J$3,J$2,'Præsentationstabeller 1'!$C$2),0)</f>
        <v/>
      </c>
      <c r="K912" t="str" vm="15773">
        <f>IFERROR(CUBEVALUE("BIDB",$A912,K$3,K$2,'Præsentationstabeller 1'!$C$2),0)</f>
        <v/>
      </c>
      <c r="L912" t="str" vm="8913">
        <f>IFERROR(CUBEVALUE("BIDB",$A912,L$3,L$2,'Præsentationstabeller 1'!$C$2),0)</f>
        <v/>
      </c>
    </row>
    <row r="913" spans="1:12" x14ac:dyDescent="0.3">
      <c r="A913" s="123" t="str" vm="423">
        <f>CUBEMEMBER("BIDB","[Dimittenddato].[Dimittenddato].&amp;[2016-08-21T00:00:00]")</f>
        <v>21-08-2016</v>
      </c>
      <c r="B913" t="str" vm="4621">
        <f>IFERROR(CUBEVALUE("BIDB",$A913,B$3,'Præsentationstabeller 1'!$C$2),0)</f>
        <v/>
      </c>
      <c r="C913" t="str" vm="16473">
        <f>IFERROR(CUBEVALUE("BIDB",$A913,C$3,C$2,'Præsentationstabeller 1'!$C$2),0)</f>
        <v/>
      </c>
      <c r="D913" t="str" vm="10327">
        <f>IFERROR(CUBEVALUE("BIDB",$A913,D$3,D$2,'Præsentationstabeller 1'!$C$2),0)</f>
        <v/>
      </c>
      <c r="E913" t="str" vm="6749">
        <f>IFERROR(CUBEVALUE("BIDB",$A913,E$3,E$2,'Præsentationstabeller 1'!$C$2),0)</f>
        <v/>
      </c>
      <c r="F913" t="str" vm="4490">
        <f>IFERROR(CUBEVALUE("BIDB",$A913,F$3,F$2,'Præsentationstabeller 1'!$C$2),0)</f>
        <v/>
      </c>
      <c r="G913" t="str" vm="14402">
        <f>IFERROR(CUBEVALUE("BIDB",$A913,G$3,G$2,'Præsentationstabeller 1'!$C$2),0)</f>
        <v/>
      </c>
      <c r="H913" t="str" vm="9933">
        <f>IFERROR(CUBEVALUE("BIDB",$A913,H$3,H$2,'Præsentationstabeller 1'!$C$2),0)</f>
        <v/>
      </c>
      <c r="I913" t="str" vm="4290">
        <f>IFERROR(CUBEVALUE("BIDB",$A913,I$3,I$2,'Præsentationstabeller 1'!$C$2),0)</f>
        <v/>
      </c>
      <c r="J913" t="str" vm="6593">
        <f>IFERROR(CUBEVALUE("BIDB",$A913,J$3,J$2,'Præsentationstabeller 1'!$C$2),0)</f>
        <v/>
      </c>
      <c r="K913" t="str" vm="12801">
        <f>IFERROR(CUBEVALUE("BIDB",$A913,K$3,K$2,'Præsentationstabeller 1'!$C$2),0)</f>
        <v/>
      </c>
      <c r="L913" t="str" vm="8835">
        <f>IFERROR(CUBEVALUE("BIDB",$A913,L$3,L$2,'Præsentationstabeller 1'!$C$2),0)</f>
        <v/>
      </c>
    </row>
    <row r="914" spans="1:12" x14ac:dyDescent="0.3">
      <c r="A914" s="123" t="str" vm="422">
        <f>CUBEMEMBER("BIDB","[Dimittenddato].[Dimittenddato].&amp;[2016-08-22T00:00:00]")</f>
        <v>22-08-2016</v>
      </c>
      <c r="B914" t="str" vm="6091">
        <f>IFERROR(CUBEVALUE("BIDB",$A914,B$3,'Præsentationstabeller 1'!$C$2),0)</f>
        <v/>
      </c>
      <c r="C914" t="str" vm="10907">
        <f>IFERROR(CUBEVALUE("BIDB",$A914,C$3,C$2,'Præsentationstabeller 1'!$C$2),0)</f>
        <v/>
      </c>
      <c r="D914" t="str" vm="12352">
        <f>IFERROR(CUBEVALUE("BIDB",$A914,D$3,D$2,'Præsentationstabeller 1'!$C$2),0)</f>
        <v/>
      </c>
      <c r="E914" t="str" vm="4803">
        <f>IFERROR(CUBEVALUE("BIDB",$A914,E$3,E$2,'Præsentationstabeller 1'!$C$2),0)</f>
        <v/>
      </c>
      <c r="F914" t="str" vm="5551">
        <f>IFERROR(CUBEVALUE("BIDB",$A914,F$3,F$2,'Præsentationstabeller 1'!$C$2),0)</f>
        <v/>
      </c>
      <c r="G914" t="str" vm="13390">
        <f>IFERROR(CUBEVALUE("BIDB",$A914,G$3,G$2,'Præsentationstabeller 1'!$C$2),0)</f>
        <v/>
      </c>
      <c r="H914" t="str" vm="13699">
        <f>IFERROR(CUBEVALUE("BIDB",$A914,H$3,H$2,'Præsentationstabeller 1'!$C$2),0)</f>
        <v/>
      </c>
      <c r="I914" t="str" vm="5716">
        <f>IFERROR(CUBEVALUE("BIDB",$A914,I$3,I$2,'Præsentationstabeller 1'!$C$2),0)</f>
        <v/>
      </c>
      <c r="J914" t="str" vm="3995">
        <f>IFERROR(CUBEVALUE("BIDB",$A914,J$3,J$2,'Præsentationstabeller 1'!$C$2),0)</f>
        <v/>
      </c>
      <c r="K914" t="str" vm="14684">
        <f>IFERROR(CUBEVALUE("BIDB",$A914,K$3,K$2,'Præsentationstabeller 1'!$C$2),0)</f>
        <v/>
      </c>
      <c r="L914" t="str" vm="15241">
        <f>IFERROR(CUBEVALUE("BIDB",$A914,L$3,L$2,'Præsentationstabeller 1'!$C$2),0)</f>
        <v/>
      </c>
    </row>
    <row r="915" spans="1:12" x14ac:dyDescent="0.3">
      <c r="A915" s="123" t="str" vm="421">
        <f>CUBEMEMBER("BIDB","[Dimittenddato].[Dimittenddato].&amp;[2016-08-23T00:00:00]")</f>
        <v>23-08-2016</v>
      </c>
      <c r="B915" t="str" vm="4638">
        <f>IFERROR(CUBEVALUE("BIDB",$A915,B$3,'Præsentationstabeller 1'!$C$2),0)</f>
        <v/>
      </c>
      <c r="C915" t="str" vm="16568">
        <f>IFERROR(CUBEVALUE("BIDB",$A915,C$3,C$2,'Præsentationstabeller 1'!$C$2),0)</f>
        <v/>
      </c>
      <c r="D915" t="str" vm="15605">
        <f>IFERROR(CUBEVALUE("BIDB",$A915,D$3,D$2,'Præsentationstabeller 1'!$C$2),0)</f>
        <v/>
      </c>
      <c r="E915" t="str" vm="8290">
        <f>IFERROR(CUBEVALUE("BIDB",$A915,E$3,E$2,'Præsentationstabeller 1'!$C$2),0)</f>
        <v/>
      </c>
      <c r="F915" t="str" vm="12124">
        <f>IFERROR(CUBEVALUE("BIDB",$A915,F$3,F$2,'Præsentationstabeller 1'!$C$2),0)</f>
        <v/>
      </c>
      <c r="G915" t="str" vm="13842">
        <f>IFERROR(CUBEVALUE("BIDB",$A915,G$3,G$2,'Præsentationstabeller 1'!$C$2),0)</f>
        <v/>
      </c>
      <c r="H915" t="str" vm="11657">
        <f>IFERROR(CUBEVALUE("BIDB",$A915,H$3,H$2,'Præsentationstabeller 1'!$C$2),0)</f>
        <v/>
      </c>
      <c r="I915" t="str" vm="4346">
        <f>IFERROR(CUBEVALUE("BIDB",$A915,I$3,I$2,'Præsentationstabeller 1'!$C$2),0)</f>
        <v/>
      </c>
      <c r="J915" t="str" vm="10548">
        <f>IFERROR(CUBEVALUE("BIDB",$A915,J$3,J$2,'Præsentationstabeller 1'!$C$2),0)</f>
        <v/>
      </c>
      <c r="K915" t="str" vm="14691">
        <f>IFERROR(CUBEVALUE("BIDB",$A915,K$3,K$2,'Præsentationstabeller 1'!$C$2),0)</f>
        <v/>
      </c>
      <c r="L915" t="str" vm="9461">
        <f>IFERROR(CUBEVALUE("BIDB",$A915,L$3,L$2,'Præsentationstabeller 1'!$C$2),0)</f>
        <v/>
      </c>
    </row>
    <row r="916" spans="1:12" x14ac:dyDescent="0.3">
      <c r="A916" s="123" t="str" vm="420">
        <f>CUBEMEMBER("BIDB","[Dimittenddato].[Dimittenddato].&amp;[2016-08-24T00:00:00]")</f>
        <v>24-08-2016</v>
      </c>
      <c r="B916" t="str" vm="4811">
        <f>IFERROR(CUBEVALUE("BIDB",$A916,B$3,'Præsentationstabeller 1'!$C$2),0)</f>
        <v/>
      </c>
      <c r="C916" t="str" vm="14950">
        <f>IFERROR(CUBEVALUE("BIDB",$A916,C$3,C$2,'Præsentationstabeller 1'!$C$2),0)</f>
        <v/>
      </c>
      <c r="D916" t="str" vm="13820">
        <f>IFERROR(CUBEVALUE("BIDB",$A916,D$3,D$2,'Præsentationstabeller 1'!$C$2),0)</f>
        <v/>
      </c>
      <c r="E916" t="str" vm="6104">
        <f>IFERROR(CUBEVALUE("BIDB",$A916,E$3,E$2,'Præsentationstabeller 1'!$C$2),0)</f>
        <v/>
      </c>
      <c r="F916" t="str" vm="6219">
        <f>IFERROR(CUBEVALUE("BIDB",$A916,F$3,F$2,'Præsentationstabeller 1'!$C$2),0)</f>
        <v/>
      </c>
      <c r="G916" t="str" vm="13565">
        <f>IFERROR(CUBEVALUE("BIDB",$A916,G$3,G$2,'Præsentationstabeller 1'!$C$2),0)</f>
        <v/>
      </c>
      <c r="H916" t="str" vm="15616">
        <f>IFERROR(CUBEVALUE("BIDB",$A916,H$3,H$2,'Præsentationstabeller 1'!$C$2),0)</f>
        <v/>
      </c>
      <c r="I916" t="str" vm="5478">
        <f>IFERROR(CUBEVALUE("BIDB",$A916,I$3,I$2,'Præsentationstabeller 1'!$C$2),0)</f>
        <v/>
      </c>
      <c r="J916" t="str" vm="8591">
        <f>IFERROR(CUBEVALUE("BIDB",$A916,J$3,J$2,'Præsentationstabeller 1'!$C$2),0)</f>
        <v/>
      </c>
      <c r="K916" t="str" vm="14900">
        <f>IFERROR(CUBEVALUE("BIDB",$A916,K$3,K$2,'Præsentationstabeller 1'!$C$2),0)</f>
        <v/>
      </c>
      <c r="L916" t="str" vm="10609">
        <f>IFERROR(CUBEVALUE("BIDB",$A916,L$3,L$2,'Præsentationstabeller 1'!$C$2),0)</f>
        <v/>
      </c>
    </row>
    <row r="917" spans="1:12" x14ac:dyDescent="0.3">
      <c r="A917" s="123" t="str" vm="419">
        <f>CUBEMEMBER("BIDB","[Dimittenddato].[Dimittenddato].&amp;[2016-08-25T00:00:00]")</f>
        <v>25-08-2016</v>
      </c>
      <c r="B917" t="str" vm="4613">
        <f>IFERROR(CUBEVALUE("BIDB",$A917,B$3,'Præsentationstabeller 1'!$C$2),0)</f>
        <v/>
      </c>
      <c r="C917" t="str" vm="10681">
        <f>IFERROR(CUBEVALUE("BIDB",$A917,C$3,C$2,'Præsentationstabeller 1'!$C$2),0)</f>
        <v/>
      </c>
      <c r="D917" t="str" vm="11136">
        <f>IFERROR(CUBEVALUE("BIDB",$A917,D$3,D$2,'Præsentationstabeller 1'!$C$2),0)</f>
        <v/>
      </c>
      <c r="E917" t="str" vm="4575">
        <f>IFERROR(CUBEVALUE("BIDB",$A917,E$3,E$2,'Præsentationstabeller 1'!$C$2),0)</f>
        <v/>
      </c>
      <c r="F917" t="str" vm="4474">
        <f>IFERROR(CUBEVALUE("BIDB",$A917,F$3,F$2,'Præsentationstabeller 1'!$C$2),0)</f>
        <v/>
      </c>
      <c r="G917" t="str" vm="11999">
        <f>IFERROR(CUBEVALUE("BIDB",$A917,G$3,G$2,'Præsentationstabeller 1'!$C$2),0)</f>
        <v/>
      </c>
      <c r="H917" t="str" vm="14755">
        <f>IFERROR(CUBEVALUE("BIDB",$A917,H$3,H$2,'Præsentationstabeller 1'!$C$2),0)</f>
        <v/>
      </c>
      <c r="I917" t="str" vm="4148">
        <f>IFERROR(CUBEVALUE("BIDB",$A917,I$3,I$2,'Præsentationstabeller 1'!$C$2),0)</f>
        <v/>
      </c>
      <c r="J917" t="str" vm="5490">
        <f>IFERROR(CUBEVALUE("BIDB",$A917,J$3,J$2,'Præsentationstabeller 1'!$C$2),0)</f>
        <v/>
      </c>
      <c r="K917" t="str" vm="11095">
        <f>IFERROR(CUBEVALUE("BIDB",$A917,K$3,K$2,'Præsentationstabeller 1'!$C$2),0)</f>
        <v/>
      </c>
      <c r="L917" t="str" vm="9350">
        <f>IFERROR(CUBEVALUE("BIDB",$A917,L$3,L$2,'Præsentationstabeller 1'!$C$2),0)</f>
        <v/>
      </c>
    </row>
    <row r="918" spans="1:12" x14ac:dyDescent="0.3">
      <c r="A918" s="123" t="str" vm="418">
        <f>CUBEMEMBER("BIDB","[Dimittenddato].[Dimittenddato].&amp;[2016-08-26T00:00:00]")</f>
        <v>26-08-2016</v>
      </c>
      <c r="B918" t="str" vm="9088">
        <f>IFERROR(CUBEVALUE("BIDB",$A918,B$3,'Præsentationstabeller 1'!$C$2),0)</f>
        <v/>
      </c>
      <c r="C918" t="str" vm="10623">
        <f>IFERROR(CUBEVALUE("BIDB",$A918,C$3,C$2,'Præsentationstabeller 1'!$C$2),0)</f>
        <v/>
      </c>
      <c r="D918" t="str" vm="12135">
        <f>IFERROR(CUBEVALUE("BIDB",$A918,D$3,D$2,'Præsentationstabeller 1'!$C$2),0)</f>
        <v/>
      </c>
      <c r="E918" t="str" vm="4051">
        <f>IFERROR(CUBEVALUE("BIDB",$A918,E$3,E$2,'Præsentationstabeller 1'!$C$2),0)</f>
        <v/>
      </c>
      <c r="F918" t="str" vm="6856">
        <f>IFERROR(CUBEVALUE("BIDB",$A918,F$3,F$2,'Præsentationstabeller 1'!$C$2),0)</f>
        <v/>
      </c>
      <c r="G918" t="str" vm="13945">
        <f>IFERROR(CUBEVALUE("BIDB",$A918,G$3,G$2,'Præsentationstabeller 1'!$C$2),0)</f>
        <v/>
      </c>
      <c r="H918" t="str" vm="14284">
        <f>IFERROR(CUBEVALUE("BIDB",$A918,H$3,H$2,'Præsentationstabeller 1'!$C$2),0)</f>
        <v/>
      </c>
      <c r="I918" t="str" vm="4025">
        <f>IFERROR(CUBEVALUE("BIDB",$A918,I$3,I$2,'Præsentationstabeller 1'!$C$2),0)</f>
        <v/>
      </c>
      <c r="J918" t="str" vm="3840">
        <f>IFERROR(CUBEVALUE("BIDB",$A918,J$3,J$2,'Præsentationstabeller 1'!$C$2),0)</f>
        <v/>
      </c>
      <c r="K918" t="str" vm="12447">
        <f>IFERROR(CUBEVALUE("BIDB",$A918,K$3,K$2,'Præsentationstabeller 1'!$C$2),0)</f>
        <v/>
      </c>
      <c r="L918" t="str" vm="10796">
        <f>IFERROR(CUBEVALUE("BIDB",$A918,L$3,L$2,'Præsentationstabeller 1'!$C$2),0)</f>
        <v/>
      </c>
    </row>
    <row r="919" spans="1:12" x14ac:dyDescent="0.3">
      <c r="A919" s="123" t="str" vm="417">
        <f>CUBEMEMBER("BIDB","[Dimittenddato].[Dimittenddato].&amp;[2016-08-27T00:00:00]")</f>
        <v>27-08-2016</v>
      </c>
      <c r="B919" t="str" vm="5166">
        <f>IFERROR(CUBEVALUE("BIDB",$A919,B$3,'Præsentationstabeller 1'!$C$2),0)</f>
        <v/>
      </c>
      <c r="C919" t="str" vm="11377">
        <f>IFERROR(CUBEVALUE("BIDB",$A919,C$3,C$2,'Præsentationstabeller 1'!$C$2),0)</f>
        <v/>
      </c>
      <c r="D919" t="str" vm="9835">
        <f>IFERROR(CUBEVALUE("BIDB",$A919,D$3,D$2,'Præsentationstabeller 1'!$C$2),0)</f>
        <v/>
      </c>
      <c r="E919" t="str" vm="4771">
        <f>IFERROR(CUBEVALUE("BIDB",$A919,E$3,E$2,'Præsentationstabeller 1'!$C$2),0)</f>
        <v/>
      </c>
      <c r="F919" t="str" vm="6006">
        <f>IFERROR(CUBEVALUE("BIDB",$A919,F$3,F$2,'Præsentationstabeller 1'!$C$2),0)</f>
        <v/>
      </c>
      <c r="G919" t="str" vm="13673">
        <f>IFERROR(CUBEVALUE("BIDB",$A919,G$3,G$2,'Præsentationstabeller 1'!$C$2),0)</f>
        <v/>
      </c>
      <c r="H919" t="str" vm="10391">
        <f>IFERROR(CUBEVALUE("BIDB",$A919,H$3,H$2,'Præsentationstabeller 1'!$C$2),0)</f>
        <v/>
      </c>
      <c r="I919" t="str" vm="4624">
        <f>IFERROR(CUBEVALUE("BIDB",$A919,I$3,I$2,'Præsentationstabeller 1'!$C$2),0)</f>
        <v/>
      </c>
      <c r="J919" t="str" vm="7147">
        <f>IFERROR(CUBEVALUE("BIDB",$A919,J$3,J$2,'Præsentationstabeller 1'!$C$2),0)</f>
        <v/>
      </c>
      <c r="K919" t="str" vm="14891">
        <f>IFERROR(CUBEVALUE("BIDB",$A919,K$3,K$2,'Præsentationstabeller 1'!$C$2),0)</f>
        <v/>
      </c>
      <c r="L919" t="str" vm="14613">
        <f>IFERROR(CUBEVALUE("BIDB",$A919,L$3,L$2,'Præsentationstabeller 1'!$C$2),0)</f>
        <v/>
      </c>
    </row>
    <row r="920" spans="1:12" x14ac:dyDescent="0.3">
      <c r="A920" s="123" t="str" vm="416">
        <f>CUBEMEMBER("BIDB","[Dimittenddato].[Dimittenddato].&amp;[2016-08-28T00:00:00]")</f>
        <v>28-08-2016</v>
      </c>
      <c r="B920" t="str" vm="4807">
        <f>IFERROR(CUBEVALUE("BIDB",$A920,B$3,'Præsentationstabeller 1'!$C$2),0)</f>
        <v/>
      </c>
      <c r="C920" t="str" vm="15706">
        <f>IFERROR(CUBEVALUE("BIDB",$A920,C$3,C$2,'Præsentationstabeller 1'!$C$2),0)</f>
        <v/>
      </c>
      <c r="D920" t="str" vm="15301">
        <f>IFERROR(CUBEVALUE("BIDB",$A920,D$3,D$2,'Præsentationstabeller 1'!$C$2),0)</f>
        <v/>
      </c>
      <c r="E920" t="str" vm="3527">
        <f>IFERROR(CUBEVALUE("BIDB",$A920,E$3,E$2,'Præsentationstabeller 1'!$C$2),0)</f>
        <v/>
      </c>
      <c r="F920" t="str" vm="4350">
        <f>IFERROR(CUBEVALUE("BIDB",$A920,F$3,F$2,'Præsentationstabeller 1'!$C$2),0)</f>
        <v/>
      </c>
      <c r="G920" t="str" vm="16834">
        <f>IFERROR(CUBEVALUE("BIDB",$A920,G$3,G$2,'Præsentationstabeller 1'!$C$2),0)</f>
        <v/>
      </c>
      <c r="H920" t="str" vm="12854">
        <f>IFERROR(CUBEVALUE("BIDB",$A920,H$3,H$2,'Præsentationstabeller 1'!$C$2),0)</f>
        <v/>
      </c>
      <c r="I920" t="str" vm="5470">
        <f>IFERROR(CUBEVALUE("BIDB",$A920,I$3,I$2,'Præsentationstabeller 1'!$C$2),0)</f>
        <v/>
      </c>
      <c r="J920" t="str" vm="7267">
        <f>IFERROR(CUBEVALUE("BIDB",$A920,J$3,J$2,'Præsentationstabeller 1'!$C$2),0)</f>
        <v/>
      </c>
      <c r="K920" t="str" vm="15635">
        <f>IFERROR(CUBEVALUE("BIDB",$A920,K$3,K$2,'Præsentationstabeller 1'!$C$2),0)</f>
        <v/>
      </c>
      <c r="L920" t="str" vm="11769">
        <f>IFERROR(CUBEVALUE("BIDB",$A920,L$3,L$2,'Præsentationstabeller 1'!$C$2),0)</f>
        <v/>
      </c>
    </row>
    <row r="921" spans="1:12" x14ac:dyDescent="0.3">
      <c r="A921" s="123" t="str" vm="415">
        <f>CUBEMEMBER("BIDB","[Dimittenddato].[Dimittenddato].&amp;[2016-08-29T00:00:00]")</f>
        <v>29-08-2016</v>
      </c>
      <c r="B921" t="str" vm="9086">
        <f>IFERROR(CUBEVALUE("BIDB",$A921,B$3,'Præsentationstabeller 1'!$C$2),0)</f>
        <v/>
      </c>
      <c r="C921" t="str" vm="11782">
        <f>IFERROR(CUBEVALUE("BIDB",$A921,C$3,C$2,'Præsentationstabeller 1'!$C$2),0)</f>
        <v/>
      </c>
      <c r="D921" t="str" vm="13457">
        <f>IFERROR(CUBEVALUE("BIDB",$A921,D$3,D$2,'Præsentationstabeller 1'!$C$2),0)</f>
        <v/>
      </c>
      <c r="E921" t="str" vm="4504">
        <f>IFERROR(CUBEVALUE("BIDB",$A921,E$3,E$2,'Præsentationstabeller 1'!$C$2),0)</f>
        <v/>
      </c>
      <c r="F921" t="str" vm="3726">
        <f>IFERROR(CUBEVALUE("BIDB",$A921,F$3,F$2,'Præsentationstabeller 1'!$C$2),0)</f>
        <v/>
      </c>
      <c r="G921" t="str" vm="14492">
        <f>IFERROR(CUBEVALUE("BIDB",$A921,G$3,G$2,'Præsentationstabeller 1'!$C$2),0)</f>
        <v/>
      </c>
      <c r="H921" t="str" vm="10319">
        <f>IFERROR(CUBEVALUE("BIDB",$A921,H$3,H$2,'Præsentationstabeller 1'!$C$2),0)</f>
        <v/>
      </c>
      <c r="I921" t="str" vm="6637">
        <f>IFERROR(CUBEVALUE("BIDB",$A921,I$3,I$2,'Præsentationstabeller 1'!$C$2),0)</f>
        <v/>
      </c>
      <c r="J921" t="str" vm="5335">
        <f>IFERROR(CUBEVALUE("BIDB",$A921,J$3,J$2,'Præsentationstabeller 1'!$C$2),0)</f>
        <v/>
      </c>
      <c r="K921" t="str" vm="12231">
        <f>IFERROR(CUBEVALUE("BIDB",$A921,K$3,K$2,'Præsentationstabeller 1'!$C$2),0)</f>
        <v/>
      </c>
      <c r="L921" t="str" vm="13215">
        <f>IFERROR(CUBEVALUE("BIDB",$A921,L$3,L$2,'Præsentationstabeller 1'!$C$2),0)</f>
        <v/>
      </c>
    </row>
    <row r="922" spans="1:12" x14ac:dyDescent="0.3">
      <c r="A922" s="123" t="str" vm="414">
        <f>CUBEMEMBER("BIDB","[Dimittenddato].[Dimittenddato].&amp;[2016-08-30T00:00:00]")</f>
        <v>30-08-2016</v>
      </c>
      <c r="B922" t="str" vm="4859">
        <f>IFERROR(CUBEVALUE("BIDB",$A922,B$3,'Præsentationstabeller 1'!$C$2),0)</f>
        <v/>
      </c>
      <c r="C922" t="str" vm="15469">
        <f>IFERROR(CUBEVALUE("BIDB",$A922,C$3,C$2,'Præsentationstabeller 1'!$C$2),0)</f>
        <v/>
      </c>
      <c r="D922" t="str" vm="14638">
        <f>IFERROR(CUBEVALUE("BIDB",$A922,D$3,D$2,'Præsentationstabeller 1'!$C$2),0)</f>
        <v/>
      </c>
      <c r="E922" t="str" vm="3758">
        <f>IFERROR(CUBEVALUE("BIDB",$A922,E$3,E$2,'Præsentationstabeller 1'!$C$2),0)</f>
        <v/>
      </c>
      <c r="F922" t="str" vm="6163">
        <f>IFERROR(CUBEVALUE("BIDB",$A922,F$3,F$2,'Præsentationstabeller 1'!$C$2),0)</f>
        <v/>
      </c>
      <c r="G922" t="str" vm="14740">
        <f>IFERROR(CUBEVALUE("BIDB",$A922,G$3,G$2,'Præsentationstabeller 1'!$C$2),0)</f>
        <v/>
      </c>
      <c r="H922" t="str" vm="11776">
        <f>IFERROR(CUBEVALUE("BIDB",$A922,H$3,H$2,'Præsentationstabeller 1'!$C$2),0)</f>
        <v/>
      </c>
      <c r="I922" t="str" vm="6025">
        <f>IFERROR(CUBEVALUE("BIDB",$A922,I$3,I$2,'Præsentationstabeller 1'!$C$2),0)</f>
        <v/>
      </c>
      <c r="J922" t="str" vm="4500">
        <f>IFERROR(CUBEVALUE("BIDB",$A922,J$3,J$2,'Præsentationstabeller 1'!$C$2),0)</f>
        <v/>
      </c>
      <c r="K922" t="str" vm="11111">
        <f>IFERROR(CUBEVALUE("BIDB",$A922,K$3,K$2,'Præsentationstabeller 1'!$C$2),0)</f>
        <v/>
      </c>
      <c r="L922" t="str" vm="10504">
        <f>IFERROR(CUBEVALUE("BIDB",$A922,L$3,L$2,'Præsentationstabeller 1'!$C$2),0)</f>
        <v/>
      </c>
    </row>
    <row r="923" spans="1:12" x14ac:dyDescent="0.3">
      <c r="A923" s="123" t="str" vm="413">
        <f>CUBEMEMBER("BIDB","[Dimittenddato].[Dimittenddato].&amp;[2016-08-31T00:00:00]")</f>
        <v>31-08-2016</v>
      </c>
      <c r="B923" t="str" vm="6126">
        <f>IFERROR(CUBEVALUE("BIDB",$A923,B$3,'Præsentationstabeller 1'!$C$2),0)</f>
        <v/>
      </c>
      <c r="C923" vm="16386">
        <f>IFERROR(CUBEVALUE("BIDB",$A923,C$3,C$2,'Præsentationstabeller 1'!$C$2),0)</f>
        <v>0</v>
      </c>
      <c r="D923" vm="10626">
        <f>IFERROR(CUBEVALUE("BIDB",$A923,D$3,D$2,'Præsentationstabeller 1'!$C$2),0)</f>
        <v>2</v>
      </c>
      <c r="E923" vm="4763">
        <f>IFERROR(CUBEVALUE("BIDB",$A923,E$3,E$2,'Præsentationstabeller 1'!$C$2),0)</f>
        <v>0</v>
      </c>
      <c r="F923" t="str" vm="5213">
        <f>IFERROR(CUBEVALUE("BIDB",$A923,F$3,F$2,'Præsentationstabeller 1'!$C$2),0)</f>
        <v/>
      </c>
      <c r="G923" vm="14867">
        <f>IFERROR(CUBEVALUE("BIDB",$A923,G$3,G$2,'Præsentationstabeller 1'!$C$2),0)</f>
        <v>0</v>
      </c>
      <c r="H923" t="str" vm="14840">
        <f>IFERROR(CUBEVALUE("BIDB",$A923,H$3,H$2,'Præsentationstabeller 1'!$C$2),0)</f>
        <v/>
      </c>
      <c r="I923" t="str" vm="3856">
        <f>IFERROR(CUBEVALUE("BIDB",$A923,I$3,I$2,'Præsentationstabeller 1'!$C$2),0)</f>
        <v/>
      </c>
      <c r="J923" t="str" vm="6502">
        <f>IFERROR(CUBEVALUE("BIDB",$A923,J$3,J$2,'Præsentationstabeller 1'!$C$2),0)</f>
        <v/>
      </c>
      <c r="K923" t="str" vm="15959">
        <f>IFERROR(CUBEVALUE("BIDB",$A923,K$3,K$2,'Præsentationstabeller 1'!$C$2),0)</f>
        <v/>
      </c>
      <c r="L923" t="str" vm="7400">
        <f>IFERROR(CUBEVALUE("BIDB",$A923,L$3,L$2,'Præsentationstabeller 1'!$C$2),0)</f>
        <v/>
      </c>
    </row>
    <row r="924" spans="1:12" x14ac:dyDescent="0.3">
      <c r="A924" s="123" t="str" vm="412">
        <f>CUBEMEMBER("BIDB","[Dimittenddato].[Dimittenddato].&amp;[2017-06-01T00:00:00]")</f>
        <v>01-06-2017</v>
      </c>
      <c r="B924" t="str" vm="4208">
        <f>IFERROR(CUBEVALUE("BIDB",$A924,B$3,'Præsentationstabeller 1'!$C$2),0)</f>
        <v/>
      </c>
      <c r="C924" vm="14134">
        <f>IFERROR(CUBEVALUE("BIDB",$A924,C$3,C$2,'Præsentationstabeller 1'!$C$2),0)</f>
        <v>0</v>
      </c>
      <c r="D924" t="str" vm="11685">
        <f>IFERROR(CUBEVALUE("BIDB",$A924,D$3,D$2,'Præsentationstabeller 1'!$C$2),0)</f>
        <v/>
      </c>
      <c r="E924" vm="6157">
        <f>IFERROR(CUBEVALUE("BIDB",$A924,E$3,E$2,'Præsentationstabeller 1'!$C$2),0)</f>
        <v>0</v>
      </c>
      <c r="F924" vm="4534">
        <f>IFERROR(CUBEVALUE("BIDB",$A924,F$3,F$2,'Præsentationstabeller 1'!$C$2),0)</f>
        <v>0</v>
      </c>
      <c r="G924" vm="11536">
        <f>IFERROR(CUBEVALUE("BIDB",$A924,G$3,G$2,'Præsentationstabeller 1'!$C$2),0)</f>
        <v>0</v>
      </c>
      <c r="H924" t="str" vm="10619">
        <f>IFERROR(CUBEVALUE("BIDB",$A924,H$3,H$2,'Præsentationstabeller 1'!$C$2),0)</f>
        <v/>
      </c>
      <c r="I924" t="str" vm="6388">
        <f>IFERROR(CUBEVALUE("BIDB",$A924,I$3,I$2,'Præsentationstabeller 1'!$C$2),0)</f>
        <v/>
      </c>
      <c r="J924" t="str" vm="5013">
        <f>IFERROR(CUBEVALUE("BIDB",$A924,J$3,J$2,'Præsentationstabeller 1'!$C$2),0)</f>
        <v/>
      </c>
      <c r="K924" t="str" vm="16609">
        <f>IFERROR(CUBEVALUE("BIDB",$A924,K$3,K$2,'Præsentationstabeller 1'!$C$2),0)</f>
        <v/>
      </c>
      <c r="L924" t="str" vm="13916">
        <f>IFERROR(CUBEVALUE("BIDB",$A924,L$3,L$2,'Præsentationstabeller 1'!$C$2),0)</f>
        <v/>
      </c>
    </row>
    <row r="925" spans="1:12" x14ac:dyDescent="0.3">
      <c r="A925" s="123" t="str" vm="411">
        <f>CUBEMEMBER("BIDB","[Dimittenddato].[Dimittenddato].&amp;[2017-06-02T00:00:00]")</f>
        <v>02-06-2017</v>
      </c>
      <c r="B925" t="str" vm="8428">
        <f>IFERROR(CUBEVALUE("BIDB",$A925,B$3,'Præsentationstabeller 1'!$C$2),0)</f>
        <v/>
      </c>
      <c r="C925" t="str" vm="10094">
        <f>IFERROR(CUBEVALUE("BIDB",$A925,C$3,C$2,'Præsentationstabeller 1'!$C$2),0)</f>
        <v/>
      </c>
      <c r="D925" t="str" vm="12626">
        <f>IFERROR(CUBEVALUE("BIDB",$A925,D$3,D$2,'Præsentationstabeller 1'!$C$2),0)</f>
        <v/>
      </c>
      <c r="E925" t="str" vm="6561">
        <f>IFERROR(CUBEVALUE("BIDB",$A925,E$3,E$2,'Præsentationstabeller 1'!$C$2),0)</f>
        <v/>
      </c>
      <c r="F925" vm="6024">
        <f>IFERROR(CUBEVALUE("BIDB",$A925,F$3,F$2,'Præsentationstabeller 1'!$C$2),0)</f>
        <v>0</v>
      </c>
      <c r="G925" vm="17119">
        <f>IFERROR(CUBEVALUE("BIDB",$A925,G$3,G$2,'Præsentationstabeller 1'!$C$2),0)</f>
        <v>0</v>
      </c>
      <c r="H925" t="str" vm="9409">
        <f>IFERROR(CUBEVALUE("BIDB",$A925,H$3,H$2,'Præsentationstabeller 1'!$C$2),0)</f>
        <v/>
      </c>
      <c r="I925" t="str" vm="5625">
        <f>IFERROR(CUBEVALUE("BIDB",$A925,I$3,I$2,'Præsentationstabeller 1'!$C$2),0)</f>
        <v/>
      </c>
      <c r="J925" t="str" vm="4313">
        <f>IFERROR(CUBEVALUE("BIDB",$A925,J$3,J$2,'Præsentationstabeller 1'!$C$2),0)</f>
        <v/>
      </c>
      <c r="K925" t="str" vm="9218">
        <f>IFERROR(CUBEVALUE("BIDB",$A925,K$3,K$2,'Præsentationstabeller 1'!$C$2),0)</f>
        <v/>
      </c>
      <c r="L925" t="str" vm="13914">
        <f>IFERROR(CUBEVALUE("BIDB",$A925,L$3,L$2,'Præsentationstabeller 1'!$C$2),0)</f>
        <v/>
      </c>
    </row>
    <row r="926" spans="1:12" x14ac:dyDescent="0.3">
      <c r="A926" s="123" t="str" vm="410">
        <f>CUBEMEMBER("BIDB","[Dimittenddato].[Dimittenddato].&amp;[2017-06-03T00:00:00]")</f>
        <v>03-06-2017</v>
      </c>
      <c r="B926" t="str" vm="5043">
        <f>IFERROR(CUBEVALUE("BIDB",$A926,B$3,'Præsentationstabeller 1'!$C$2),0)</f>
        <v/>
      </c>
      <c r="C926" t="str" vm="14620">
        <f>IFERROR(CUBEVALUE("BIDB",$A926,C$3,C$2,'Præsentationstabeller 1'!$C$2),0)</f>
        <v/>
      </c>
      <c r="D926" t="str" vm="13826">
        <f>IFERROR(CUBEVALUE("BIDB",$A926,D$3,D$2,'Præsentationstabeller 1'!$C$2),0)</f>
        <v/>
      </c>
      <c r="E926" t="str" vm="3742">
        <f>IFERROR(CUBEVALUE("BIDB",$A926,E$3,E$2,'Præsentationstabeller 1'!$C$2),0)</f>
        <v/>
      </c>
      <c r="F926" t="str" vm="5381">
        <f>IFERROR(CUBEVALUE("BIDB",$A926,F$3,F$2,'Præsentationstabeller 1'!$C$2),0)</f>
        <v/>
      </c>
      <c r="G926" t="str" vm="12592">
        <f>IFERROR(CUBEVALUE("BIDB",$A926,G$3,G$2,'Præsentationstabeller 1'!$C$2),0)</f>
        <v/>
      </c>
      <c r="H926" t="str" vm="17035">
        <f>IFERROR(CUBEVALUE("BIDB",$A926,H$3,H$2,'Præsentationstabeller 1'!$C$2),0)</f>
        <v/>
      </c>
      <c r="I926" t="str" vm="8250">
        <f>IFERROR(CUBEVALUE("BIDB",$A926,I$3,I$2,'Præsentationstabeller 1'!$C$2),0)</f>
        <v/>
      </c>
      <c r="J926" t="str" vm="4238">
        <f>IFERROR(CUBEVALUE("BIDB",$A926,J$3,J$2,'Præsentationstabeller 1'!$C$2),0)</f>
        <v/>
      </c>
      <c r="K926" t="str" vm="16550">
        <f>IFERROR(CUBEVALUE("BIDB",$A926,K$3,K$2,'Præsentationstabeller 1'!$C$2),0)</f>
        <v/>
      </c>
      <c r="L926" t="str" vm="14424">
        <f>IFERROR(CUBEVALUE("BIDB",$A926,L$3,L$2,'Præsentationstabeller 1'!$C$2),0)</f>
        <v/>
      </c>
    </row>
    <row r="927" spans="1:12" x14ac:dyDescent="0.3">
      <c r="A927" s="123" t="str" vm="409">
        <f>CUBEMEMBER("BIDB","[Dimittenddato].[Dimittenddato].&amp;[2017-06-04T00:00:00]")</f>
        <v>04-06-2017</v>
      </c>
      <c r="B927" t="str" vm="6742">
        <f>IFERROR(CUBEVALUE("BIDB",$A927,B$3,'Præsentationstabeller 1'!$C$2),0)</f>
        <v/>
      </c>
      <c r="C927" t="str" vm="14382">
        <f>IFERROR(CUBEVALUE("BIDB",$A927,C$3,C$2,'Præsentationstabeller 1'!$C$2),0)</f>
        <v/>
      </c>
      <c r="D927" t="str" vm="13713">
        <f>IFERROR(CUBEVALUE("BIDB",$A927,D$3,D$2,'Præsentationstabeller 1'!$C$2),0)</f>
        <v/>
      </c>
      <c r="E927" t="str" vm="8903">
        <f>IFERROR(CUBEVALUE("BIDB",$A927,E$3,E$2,'Præsentationstabeller 1'!$C$2),0)</f>
        <v/>
      </c>
      <c r="F927" t="str" vm="8730">
        <f>IFERROR(CUBEVALUE("BIDB",$A927,F$3,F$2,'Præsentationstabeller 1'!$C$2),0)</f>
        <v/>
      </c>
      <c r="G927" t="str" vm="15462">
        <f>IFERROR(CUBEVALUE("BIDB",$A927,G$3,G$2,'Præsentationstabeller 1'!$C$2),0)</f>
        <v/>
      </c>
      <c r="H927" t="str" vm="13281">
        <f>IFERROR(CUBEVALUE("BIDB",$A927,H$3,H$2,'Præsentationstabeller 1'!$C$2),0)</f>
        <v/>
      </c>
      <c r="I927" t="str" vm="5569">
        <f>IFERROR(CUBEVALUE("BIDB",$A927,I$3,I$2,'Præsentationstabeller 1'!$C$2),0)</f>
        <v/>
      </c>
      <c r="J927" t="str" vm="7010">
        <f>IFERROR(CUBEVALUE("BIDB",$A927,J$3,J$2,'Præsentationstabeller 1'!$C$2),0)</f>
        <v/>
      </c>
      <c r="K927" t="str" vm="9936">
        <f>IFERROR(CUBEVALUE("BIDB",$A927,K$3,K$2,'Præsentationstabeller 1'!$C$2),0)</f>
        <v/>
      </c>
      <c r="L927" t="str" vm="16188">
        <f>IFERROR(CUBEVALUE("BIDB",$A927,L$3,L$2,'Præsentationstabeller 1'!$C$2),0)</f>
        <v/>
      </c>
    </row>
    <row r="928" spans="1:12" x14ac:dyDescent="0.3">
      <c r="A928" s="123" t="str" vm="408">
        <f>CUBEMEMBER("BIDB","[Dimittenddato].[Dimittenddato].&amp;[2017-06-05T00:00:00]")</f>
        <v>05-06-2017</v>
      </c>
      <c r="B928" t="str" vm="6122">
        <f>IFERROR(CUBEVALUE("BIDB",$A928,B$3,'Præsentationstabeller 1'!$C$2),0)</f>
        <v/>
      </c>
      <c r="C928" t="str" vm="13784">
        <f>IFERROR(CUBEVALUE("BIDB",$A928,C$3,C$2,'Præsentationstabeller 1'!$C$2),0)</f>
        <v/>
      </c>
      <c r="D928" t="str" vm="15331">
        <f>IFERROR(CUBEVALUE("BIDB",$A928,D$3,D$2,'Præsentationstabeller 1'!$C$2),0)</f>
        <v/>
      </c>
      <c r="E928" vm="6369">
        <f>IFERROR(CUBEVALUE("BIDB",$A928,E$3,E$2,'Præsentationstabeller 1'!$C$2),0)</f>
        <v>0</v>
      </c>
      <c r="F928" t="str" vm="4389">
        <f>IFERROR(CUBEVALUE("BIDB",$A928,F$3,F$2,'Præsentationstabeller 1'!$C$2),0)</f>
        <v/>
      </c>
      <c r="G928" vm="13821">
        <f>IFERROR(CUBEVALUE("BIDB",$A928,G$3,G$2,'Præsentationstabeller 1'!$C$2),0)</f>
        <v>0</v>
      </c>
      <c r="H928" t="str" vm="15140">
        <f>IFERROR(CUBEVALUE("BIDB",$A928,H$3,H$2,'Præsentationstabeller 1'!$C$2),0)</f>
        <v/>
      </c>
      <c r="I928" t="str" vm="7623">
        <f>IFERROR(CUBEVALUE("BIDB",$A928,I$3,I$2,'Præsentationstabeller 1'!$C$2),0)</f>
        <v/>
      </c>
      <c r="J928" t="str" vm="7449">
        <f>IFERROR(CUBEVALUE("BIDB",$A928,J$3,J$2,'Præsentationstabeller 1'!$C$2),0)</f>
        <v/>
      </c>
      <c r="K928" t="str" vm="14271">
        <f>IFERROR(CUBEVALUE("BIDB",$A928,K$3,K$2,'Præsentationstabeller 1'!$C$2),0)</f>
        <v/>
      </c>
      <c r="L928" t="str" vm="7581">
        <f>IFERROR(CUBEVALUE("BIDB",$A928,L$3,L$2,'Præsentationstabeller 1'!$C$2),0)</f>
        <v/>
      </c>
    </row>
    <row r="929" spans="1:12" x14ac:dyDescent="0.3">
      <c r="A929" s="123" t="str" vm="407">
        <f>CUBEMEMBER("BIDB","[Dimittenddato].[Dimittenddato].&amp;[2017-06-06T00:00:00]")</f>
        <v>06-06-2017</v>
      </c>
      <c r="B929" t="str" vm="4338">
        <f>IFERROR(CUBEVALUE("BIDB",$A929,B$3,'Præsentationstabeller 1'!$C$2),0)</f>
        <v/>
      </c>
      <c r="C929" t="str" vm="10920">
        <f>IFERROR(CUBEVALUE("BIDB",$A929,C$3,C$2,'Præsentationstabeller 1'!$C$2),0)</f>
        <v/>
      </c>
      <c r="D929" t="str" vm="16480">
        <f>IFERROR(CUBEVALUE("BIDB",$A929,D$3,D$2,'Præsentationstabeller 1'!$C$2),0)</f>
        <v/>
      </c>
      <c r="E929" t="str" vm="5235">
        <f>IFERROR(CUBEVALUE("BIDB",$A929,E$3,E$2,'Præsentationstabeller 1'!$C$2),0)</f>
        <v/>
      </c>
      <c r="F929" t="str" vm="5577">
        <f>IFERROR(CUBEVALUE("BIDB",$A929,F$3,F$2,'Præsentationstabeller 1'!$C$2),0)</f>
        <v/>
      </c>
      <c r="G929" t="str" vm="13979">
        <f>IFERROR(CUBEVALUE("BIDB",$A929,G$3,G$2,'Præsentationstabeller 1'!$C$2),0)</f>
        <v/>
      </c>
      <c r="H929" t="str" vm="13453">
        <f>IFERROR(CUBEVALUE("BIDB",$A929,H$3,H$2,'Præsentationstabeller 1'!$C$2),0)</f>
        <v/>
      </c>
      <c r="I929" t="str" vm="5082">
        <f>IFERROR(CUBEVALUE("BIDB",$A929,I$3,I$2,'Præsentationstabeller 1'!$C$2),0)</f>
        <v/>
      </c>
      <c r="J929" t="str" vm="7306">
        <f>IFERROR(CUBEVALUE("BIDB",$A929,J$3,J$2,'Præsentationstabeller 1'!$C$2),0)</f>
        <v/>
      </c>
      <c r="K929" t="str" vm="10322">
        <f>IFERROR(CUBEVALUE("BIDB",$A929,K$3,K$2,'Præsentationstabeller 1'!$C$2),0)</f>
        <v/>
      </c>
      <c r="L929" t="str" vm="8867">
        <f>IFERROR(CUBEVALUE("BIDB",$A929,L$3,L$2,'Præsentationstabeller 1'!$C$2),0)</f>
        <v/>
      </c>
    </row>
    <row r="930" spans="1:12" x14ac:dyDescent="0.3">
      <c r="A930" s="123" t="str" vm="406">
        <f>CUBEMEMBER("BIDB","[Dimittenddato].[Dimittenddato].&amp;[2017-06-07T00:00:00]")</f>
        <v>07-06-2017</v>
      </c>
      <c r="B930" t="str" vm="4898">
        <f>IFERROR(CUBEVALUE("BIDB",$A930,B$3,'Præsentationstabeller 1'!$C$2),0)</f>
        <v/>
      </c>
      <c r="C930" t="str" vm="10110">
        <f>IFERROR(CUBEVALUE("BIDB",$A930,C$3,C$2,'Præsentationstabeller 1'!$C$2),0)</f>
        <v/>
      </c>
      <c r="D930" t="str" vm="14615">
        <f>IFERROR(CUBEVALUE("BIDB",$A930,D$3,D$2,'Præsentationstabeller 1'!$C$2),0)</f>
        <v/>
      </c>
      <c r="E930" t="str" vm="3588">
        <f>IFERROR(CUBEVALUE("BIDB",$A930,E$3,E$2,'Præsentationstabeller 1'!$C$2),0)</f>
        <v/>
      </c>
      <c r="F930" t="str" vm="5373">
        <f>IFERROR(CUBEVALUE("BIDB",$A930,F$3,F$2,'Præsentationstabeller 1'!$C$2),0)</f>
        <v/>
      </c>
      <c r="G930" t="str" vm="16984">
        <f>IFERROR(CUBEVALUE("BIDB",$A930,G$3,G$2,'Præsentationstabeller 1'!$C$2),0)</f>
        <v/>
      </c>
      <c r="H930" t="str" vm="10771">
        <f>IFERROR(CUBEVALUE("BIDB",$A930,H$3,H$2,'Præsentationstabeller 1'!$C$2),0)</f>
        <v/>
      </c>
      <c r="I930" t="str" vm="5462">
        <f>IFERROR(CUBEVALUE("BIDB",$A930,I$3,I$2,'Præsentationstabeller 1'!$C$2),0)</f>
        <v/>
      </c>
      <c r="J930" t="str" vm="4223">
        <f>IFERROR(CUBEVALUE("BIDB",$A930,J$3,J$2,'Præsentationstabeller 1'!$C$2),0)</f>
        <v/>
      </c>
      <c r="K930" t="str" vm="9922">
        <f>IFERROR(CUBEVALUE("BIDB",$A930,K$3,K$2,'Præsentationstabeller 1'!$C$2),0)</f>
        <v/>
      </c>
      <c r="L930" t="str" vm="15033">
        <f>IFERROR(CUBEVALUE("BIDB",$A930,L$3,L$2,'Præsentationstabeller 1'!$C$2),0)</f>
        <v/>
      </c>
    </row>
    <row r="931" spans="1:12" x14ac:dyDescent="0.3">
      <c r="A931" s="123" t="str" vm="405">
        <f>CUBEMEMBER("BIDB","[Dimittenddato].[Dimittenddato].&amp;[2017-06-08T00:00:00]")</f>
        <v>08-06-2017</v>
      </c>
      <c r="B931" t="str" vm="3772">
        <f>IFERROR(CUBEVALUE("BIDB",$A931,B$3,'Præsentationstabeller 1'!$C$2),0)</f>
        <v/>
      </c>
      <c r="C931" t="str" vm="16551">
        <f>IFERROR(CUBEVALUE("BIDB",$A931,C$3,C$2,'Præsentationstabeller 1'!$C$2),0)</f>
        <v/>
      </c>
      <c r="D931" t="str" vm="16457">
        <f>IFERROR(CUBEVALUE("BIDB",$A931,D$3,D$2,'Præsentationstabeller 1'!$C$2),0)</f>
        <v/>
      </c>
      <c r="E931" t="str" vm="5810">
        <f>IFERROR(CUBEVALUE("BIDB",$A931,E$3,E$2,'Præsentationstabeller 1'!$C$2),0)</f>
        <v/>
      </c>
      <c r="F931" t="str" vm="6402">
        <f>IFERROR(CUBEVALUE("BIDB",$A931,F$3,F$2,'Præsentationstabeller 1'!$C$2),0)</f>
        <v/>
      </c>
      <c r="G931" t="str" vm="13976">
        <f>IFERROR(CUBEVALUE("BIDB",$A931,G$3,G$2,'Præsentationstabeller 1'!$C$2),0)</f>
        <v/>
      </c>
      <c r="H931" t="str" vm="9261">
        <f>IFERROR(CUBEVALUE("BIDB",$A931,H$3,H$2,'Præsentationstabeller 1'!$C$2),0)</f>
        <v/>
      </c>
      <c r="I931" t="str" vm="4530">
        <f>IFERROR(CUBEVALUE("BIDB",$A931,I$3,I$2,'Præsentationstabeller 1'!$C$2),0)</f>
        <v/>
      </c>
      <c r="J931" t="str" vm="6824">
        <f>IFERROR(CUBEVALUE("BIDB",$A931,J$3,J$2,'Præsentationstabeller 1'!$C$2),0)</f>
        <v/>
      </c>
      <c r="K931" t="str" vm="14477">
        <f>IFERROR(CUBEVALUE("BIDB",$A931,K$3,K$2,'Præsentationstabeller 1'!$C$2),0)</f>
        <v/>
      </c>
      <c r="L931" t="str" vm="13228">
        <f>IFERROR(CUBEVALUE("BIDB",$A931,L$3,L$2,'Præsentationstabeller 1'!$C$2),0)</f>
        <v/>
      </c>
    </row>
    <row r="932" spans="1:12" x14ac:dyDescent="0.3">
      <c r="A932" s="123" t="str" vm="404">
        <f>CUBEMEMBER("BIDB","[Dimittenddato].[Dimittenddato].&amp;[2017-06-09T00:00:00]")</f>
        <v>09-06-2017</v>
      </c>
      <c r="B932" t="str" vm="4375">
        <f>IFERROR(CUBEVALUE("BIDB",$A932,B$3,'Præsentationstabeller 1'!$C$2),0)</f>
        <v/>
      </c>
      <c r="C932" t="str" vm="15641">
        <f>IFERROR(CUBEVALUE("BIDB",$A932,C$3,C$2,'Præsentationstabeller 1'!$C$2),0)</f>
        <v/>
      </c>
      <c r="D932" t="str" vm="11892">
        <f>IFERROR(CUBEVALUE("BIDB",$A932,D$3,D$2,'Præsentationstabeller 1'!$C$2),0)</f>
        <v/>
      </c>
      <c r="E932" t="str" vm="5849">
        <f>IFERROR(CUBEVALUE("BIDB",$A932,E$3,E$2,'Præsentationstabeller 1'!$C$2),0)</f>
        <v/>
      </c>
      <c r="F932" t="str" vm="6187">
        <f>IFERROR(CUBEVALUE("BIDB",$A932,F$3,F$2,'Præsentationstabeller 1'!$C$2),0)</f>
        <v/>
      </c>
      <c r="G932" t="str" vm="11895">
        <f>IFERROR(CUBEVALUE("BIDB",$A932,G$3,G$2,'Præsentationstabeller 1'!$C$2),0)</f>
        <v/>
      </c>
      <c r="H932" t="str" vm="15930">
        <f>IFERROR(CUBEVALUE("BIDB",$A932,H$3,H$2,'Præsentationstabeller 1'!$C$2),0)</f>
        <v/>
      </c>
      <c r="I932" t="str" vm="5966">
        <f>IFERROR(CUBEVALUE("BIDB",$A932,I$3,I$2,'Præsentationstabeller 1'!$C$2),0)</f>
        <v/>
      </c>
      <c r="J932" t="str" vm="5751">
        <f>IFERROR(CUBEVALUE("BIDB",$A932,J$3,J$2,'Præsentationstabeller 1'!$C$2),0)</f>
        <v/>
      </c>
      <c r="K932" t="str" vm="17086">
        <f>IFERROR(CUBEVALUE("BIDB",$A932,K$3,K$2,'Præsentationstabeller 1'!$C$2),0)</f>
        <v/>
      </c>
      <c r="L932" t="str" vm="10708">
        <f>IFERROR(CUBEVALUE("BIDB",$A932,L$3,L$2,'Præsentationstabeller 1'!$C$2),0)</f>
        <v/>
      </c>
    </row>
    <row r="933" spans="1:12" x14ac:dyDescent="0.3">
      <c r="A933" s="123" t="str" vm="403">
        <f>CUBEMEMBER("BIDB","[Dimittenddato].[Dimittenddato].&amp;[2017-06-10T00:00:00]")</f>
        <v>10-06-2017</v>
      </c>
      <c r="B933" t="str" vm="4330">
        <f>IFERROR(CUBEVALUE("BIDB",$A933,B$3,'Præsentationstabeller 1'!$C$2),0)</f>
        <v/>
      </c>
      <c r="C933" t="str" vm="10224">
        <f>IFERROR(CUBEVALUE("BIDB",$A933,C$3,C$2,'Præsentationstabeller 1'!$C$2),0)</f>
        <v/>
      </c>
      <c r="D933" t="str" vm="12093">
        <f>IFERROR(CUBEVALUE("BIDB",$A933,D$3,D$2,'Præsentationstabeller 1'!$C$2),0)</f>
        <v/>
      </c>
      <c r="E933" t="str" vm="4322">
        <f>IFERROR(CUBEVALUE("BIDB",$A933,E$3,E$2,'Præsentationstabeller 1'!$C$2),0)</f>
        <v/>
      </c>
      <c r="F933" t="str" vm="5573">
        <f>IFERROR(CUBEVALUE("BIDB",$A933,F$3,F$2,'Præsentationstabeller 1'!$C$2),0)</f>
        <v/>
      </c>
      <c r="G933" t="str" vm="15035">
        <f>IFERROR(CUBEVALUE("BIDB",$A933,G$3,G$2,'Præsentationstabeller 1'!$C$2),0)</f>
        <v/>
      </c>
      <c r="H933" t="str" vm="14963">
        <f>IFERROR(CUBEVALUE("BIDB",$A933,H$3,H$2,'Præsentationstabeller 1'!$C$2),0)</f>
        <v/>
      </c>
      <c r="I933" t="str" vm="3275">
        <f>IFERROR(CUBEVALUE("BIDB",$A933,I$3,I$2,'Præsentationstabeller 1'!$C$2),0)</f>
        <v/>
      </c>
      <c r="J933" t="str" vm="5104">
        <f>IFERROR(CUBEVALUE("BIDB",$A933,J$3,J$2,'Præsentationstabeller 1'!$C$2),0)</f>
        <v/>
      </c>
      <c r="K933" t="str" vm="15539">
        <f>IFERROR(CUBEVALUE("BIDB",$A933,K$3,K$2,'Præsentationstabeller 1'!$C$2),0)</f>
        <v/>
      </c>
      <c r="L933" t="str" vm="13993">
        <f>IFERROR(CUBEVALUE("BIDB",$A933,L$3,L$2,'Præsentationstabeller 1'!$C$2),0)</f>
        <v/>
      </c>
    </row>
    <row r="934" spans="1:12" x14ac:dyDescent="0.3">
      <c r="A934" s="123" t="str" vm="402">
        <f>CUBEMEMBER("BIDB","[Dimittenddato].[Dimittenddato].&amp;[2017-06-11T00:00:00]")</f>
        <v>11-06-2017</v>
      </c>
      <c r="B934" t="str" vm="5804">
        <f>IFERROR(CUBEVALUE("BIDB",$A934,B$3,'Præsentationstabeller 1'!$C$2),0)</f>
        <v/>
      </c>
      <c r="C934" t="str" vm="13797">
        <f>IFERROR(CUBEVALUE("BIDB",$A934,C$3,C$2,'Præsentationstabeller 1'!$C$2),0)</f>
        <v/>
      </c>
      <c r="D934" t="str" vm="12030">
        <f>IFERROR(CUBEVALUE("BIDB",$A934,D$3,D$2,'Præsentationstabeller 1'!$C$2),0)</f>
        <v/>
      </c>
      <c r="E934" t="str" vm="4312">
        <f>IFERROR(CUBEVALUE("BIDB",$A934,E$3,E$2,'Præsentationstabeller 1'!$C$2),0)</f>
        <v/>
      </c>
      <c r="F934" t="str" vm="6434">
        <f>IFERROR(CUBEVALUE("BIDB",$A934,F$3,F$2,'Præsentationstabeller 1'!$C$2),0)</f>
        <v/>
      </c>
      <c r="G934" t="str" vm="16539">
        <f>IFERROR(CUBEVALUE("BIDB",$A934,G$3,G$2,'Præsentationstabeller 1'!$C$2),0)</f>
        <v/>
      </c>
      <c r="H934" t="str" vm="15200">
        <f>IFERROR(CUBEVALUE("BIDB",$A934,H$3,H$2,'Præsentationstabeller 1'!$C$2),0)</f>
        <v/>
      </c>
      <c r="I934" t="str" vm="4252">
        <f>IFERROR(CUBEVALUE("BIDB",$A934,I$3,I$2,'Præsentationstabeller 1'!$C$2),0)</f>
        <v/>
      </c>
      <c r="J934" t="str" vm="3473">
        <f>IFERROR(CUBEVALUE("BIDB",$A934,J$3,J$2,'Præsentationstabeller 1'!$C$2),0)</f>
        <v/>
      </c>
      <c r="K934" t="str" vm="14470">
        <f>IFERROR(CUBEVALUE("BIDB",$A934,K$3,K$2,'Præsentationstabeller 1'!$C$2),0)</f>
        <v/>
      </c>
      <c r="L934" t="str" vm="13510">
        <f>IFERROR(CUBEVALUE("BIDB",$A934,L$3,L$2,'Præsentationstabeller 1'!$C$2),0)</f>
        <v/>
      </c>
    </row>
    <row r="935" spans="1:12" x14ac:dyDescent="0.3">
      <c r="A935" s="123" t="str" vm="401">
        <f>CUBEMEMBER("BIDB","[Dimittenddato].[Dimittenddato].&amp;[2017-06-12T00:00:00]")</f>
        <v>12-06-2017</v>
      </c>
      <c r="B935" t="str" vm="5389">
        <f>IFERROR(CUBEVALUE("BIDB",$A935,B$3,'Præsentationstabeller 1'!$C$2),0)</f>
        <v/>
      </c>
      <c r="C935" t="str" vm="12237">
        <f>IFERROR(CUBEVALUE("BIDB",$A935,C$3,C$2,'Præsentationstabeller 1'!$C$2),0)</f>
        <v/>
      </c>
      <c r="D935" t="str" vm="11713">
        <f>IFERROR(CUBEVALUE("BIDB",$A935,D$3,D$2,'Præsentationstabeller 1'!$C$2),0)</f>
        <v/>
      </c>
      <c r="E935" t="str" vm="7638">
        <f>IFERROR(CUBEVALUE("BIDB",$A935,E$3,E$2,'Præsentationstabeller 1'!$C$2),0)</f>
        <v/>
      </c>
      <c r="F935" t="str" vm="4610">
        <f>IFERROR(CUBEVALUE("BIDB",$A935,F$3,F$2,'Præsentationstabeller 1'!$C$2),0)</f>
        <v/>
      </c>
      <c r="G935" t="str" vm="16919">
        <f>IFERROR(CUBEVALUE("BIDB",$A935,G$3,G$2,'Præsentationstabeller 1'!$C$2),0)</f>
        <v/>
      </c>
      <c r="H935" t="str" vm="12232">
        <f>IFERROR(CUBEVALUE("BIDB",$A935,H$3,H$2,'Præsentationstabeller 1'!$C$2),0)</f>
        <v/>
      </c>
      <c r="I935" t="str" vm="3505">
        <f>IFERROR(CUBEVALUE("BIDB",$A935,I$3,I$2,'Præsentationstabeller 1'!$C$2),0)</f>
        <v/>
      </c>
      <c r="J935" t="str" vm="7139">
        <f>IFERROR(CUBEVALUE("BIDB",$A935,J$3,J$2,'Præsentationstabeller 1'!$C$2),0)</f>
        <v/>
      </c>
      <c r="K935" t="str" vm="16910">
        <f>IFERROR(CUBEVALUE("BIDB",$A935,K$3,K$2,'Præsentationstabeller 1'!$C$2),0)</f>
        <v/>
      </c>
      <c r="L935" t="str" vm="12868">
        <f>IFERROR(CUBEVALUE("BIDB",$A935,L$3,L$2,'Præsentationstabeller 1'!$C$2),0)</f>
        <v/>
      </c>
    </row>
    <row r="936" spans="1:12" x14ac:dyDescent="0.3">
      <c r="A936" s="123" t="str" vm="400">
        <f>CUBEMEMBER("BIDB","[Dimittenddato].[Dimittenddato].&amp;[2017-06-13T00:00:00]")</f>
        <v>13-06-2017</v>
      </c>
      <c r="B936" t="str" vm="3604">
        <f>IFERROR(CUBEVALUE("BIDB",$A936,B$3,'Præsentationstabeller 1'!$C$2),0)</f>
        <v/>
      </c>
      <c r="C936" t="str" vm="16953">
        <f>IFERROR(CUBEVALUE("BIDB",$A936,C$3,C$2,'Præsentationstabeller 1'!$C$2),0)</f>
        <v/>
      </c>
      <c r="D936" t="str" vm="16425">
        <f>IFERROR(CUBEVALUE("BIDB",$A936,D$3,D$2,'Præsentationstabeller 1'!$C$2),0)</f>
        <v/>
      </c>
      <c r="E936" t="str" vm="4760">
        <f>IFERROR(CUBEVALUE("BIDB",$A936,E$3,E$2,'Præsentationstabeller 1'!$C$2),0)</f>
        <v/>
      </c>
      <c r="F936" t="str" vm="5871">
        <f>IFERROR(CUBEVALUE("BIDB",$A936,F$3,F$2,'Præsentationstabeller 1'!$C$2),0)</f>
        <v/>
      </c>
      <c r="G936" t="str" vm="16145">
        <f>IFERROR(CUBEVALUE("BIDB",$A936,G$3,G$2,'Præsentationstabeller 1'!$C$2),0)</f>
        <v/>
      </c>
      <c r="H936" t="str" vm="13289">
        <f>IFERROR(CUBEVALUE("BIDB",$A936,H$3,H$2,'Præsentationstabeller 1'!$C$2),0)</f>
        <v/>
      </c>
      <c r="I936" t="str" vm="5964">
        <f>IFERROR(CUBEVALUE("BIDB",$A936,I$3,I$2,'Præsentationstabeller 1'!$C$2),0)</f>
        <v/>
      </c>
      <c r="J936" t="str" vm="8872">
        <f>IFERROR(CUBEVALUE("BIDB",$A936,J$3,J$2,'Præsentationstabeller 1'!$C$2),0)</f>
        <v/>
      </c>
      <c r="K936" t="str" vm="14910">
        <f>IFERROR(CUBEVALUE("BIDB",$A936,K$3,K$2,'Præsentationstabeller 1'!$C$2),0)</f>
        <v/>
      </c>
      <c r="L936" t="str" vm="10081">
        <f>IFERROR(CUBEVALUE("BIDB",$A936,L$3,L$2,'Præsentationstabeller 1'!$C$2),0)</f>
        <v/>
      </c>
    </row>
    <row r="937" spans="1:12" x14ac:dyDescent="0.3">
      <c r="A937" s="123" t="str" vm="399">
        <f>CUBEMEMBER("BIDB","[Dimittenddato].[Dimittenddato].&amp;[2017-06-14T00:00:00]")</f>
        <v>14-06-2017</v>
      </c>
      <c r="B937" t="str" vm="8876">
        <f>IFERROR(CUBEVALUE("BIDB",$A937,B$3,'Præsentationstabeller 1'!$C$2),0)</f>
        <v/>
      </c>
      <c r="C937" t="str" vm="9321">
        <f>IFERROR(CUBEVALUE("BIDB",$A937,C$3,C$2,'Præsentationstabeller 1'!$C$2),0)</f>
        <v/>
      </c>
      <c r="D937" t="str" vm="15556">
        <f>IFERROR(CUBEVALUE("BIDB",$A937,D$3,D$2,'Præsentationstabeller 1'!$C$2),0)</f>
        <v/>
      </c>
      <c r="E937" t="str" vm="6089">
        <f>IFERROR(CUBEVALUE("BIDB",$A937,E$3,E$2,'Præsentationstabeller 1'!$C$2),0)</f>
        <v/>
      </c>
      <c r="F937" t="str" vm="4959">
        <f>IFERROR(CUBEVALUE("BIDB",$A937,F$3,F$2,'Præsentationstabeller 1'!$C$2),0)</f>
        <v/>
      </c>
      <c r="G937" t="str" vm="15995">
        <f>IFERROR(CUBEVALUE("BIDB",$A937,G$3,G$2,'Præsentationstabeller 1'!$C$2),0)</f>
        <v/>
      </c>
      <c r="H937" t="str" vm="16209">
        <f>IFERROR(CUBEVALUE("BIDB",$A937,H$3,H$2,'Præsentationstabeller 1'!$C$2),0)</f>
        <v/>
      </c>
      <c r="I937" t="str" vm="6629">
        <f>IFERROR(CUBEVALUE("BIDB",$A937,I$3,I$2,'Præsentationstabeller 1'!$C$2),0)</f>
        <v/>
      </c>
      <c r="J937" t="str" vm="4282">
        <f>IFERROR(CUBEVALUE("BIDB",$A937,J$3,J$2,'Præsentationstabeller 1'!$C$2),0)</f>
        <v/>
      </c>
      <c r="K937" t="str" vm="13151">
        <f>IFERROR(CUBEVALUE("BIDB",$A937,K$3,K$2,'Præsentationstabeller 1'!$C$2),0)</f>
        <v/>
      </c>
      <c r="L937" t="str" vm="12981">
        <f>IFERROR(CUBEVALUE("BIDB",$A937,L$3,L$2,'Præsentationstabeller 1'!$C$2),0)</f>
        <v/>
      </c>
    </row>
    <row r="938" spans="1:12" x14ac:dyDescent="0.3">
      <c r="A938" s="123" t="str" vm="398">
        <f>CUBEMEMBER("BIDB","[Dimittenddato].[Dimittenddato].&amp;[2017-06-15T00:00:00]")</f>
        <v>15-06-2017</v>
      </c>
      <c r="B938" t="str" vm="5370">
        <f>IFERROR(CUBEVALUE("BIDB",$A938,B$3,'Præsentationstabeller 1'!$C$2),0)</f>
        <v/>
      </c>
      <c r="C938" t="str" vm="12233">
        <f>IFERROR(CUBEVALUE("BIDB",$A938,C$3,C$2,'Præsentationstabeller 1'!$C$2),0)</f>
        <v/>
      </c>
      <c r="D938" vm="13135">
        <f>IFERROR(CUBEVALUE("BIDB",$A938,D$3,D$2,'Præsentationstabeller 1'!$C$2),0)</f>
        <v>0</v>
      </c>
      <c r="E938" vm="4991">
        <f>IFERROR(CUBEVALUE("BIDB",$A938,E$3,E$2,'Præsentationstabeller 1'!$C$2),0)</f>
        <v>0</v>
      </c>
      <c r="F938" t="str" vm="7862">
        <f>IFERROR(CUBEVALUE("BIDB",$A938,F$3,F$2,'Præsentationstabeller 1'!$C$2),0)</f>
        <v/>
      </c>
      <c r="G938" vm="14861">
        <f>IFERROR(CUBEVALUE("BIDB",$A938,G$3,G$2,'Præsentationstabeller 1'!$C$2),0)</f>
        <v>0</v>
      </c>
      <c r="H938" t="str" vm="15154">
        <f>IFERROR(CUBEVALUE("BIDB",$A938,H$3,H$2,'Præsentationstabeller 1'!$C$2),0)</f>
        <v/>
      </c>
      <c r="I938" t="str" vm="16359">
        <f>IFERROR(CUBEVALUE("BIDB",$A938,I$3,I$2,'Præsentationstabeller 1'!$C$2),0)</f>
        <v/>
      </c>
      <c r="J938" t="str" vm="6306">
        <f>IFERROR(CUBEVALUE("BIDB",$A938,J$3,J$2,'Præsentationstabeller 1'!$C$2),0)</f>
        <v/>
      </c>
      <c r="K938" t="str" vm="15540">
        <f>IFERROR(CUBEVALUE("BIDB",$A938,K$3,K$2,'Præsentationstabeller 1'!$C$2),0)</f>
        <v/>
      </c>
      <c r="L938" t="str" vm="11811">
        <f>IFERROR(CUBEVALUE("BIDB",$A938,L$3,L$2,'Præsentationstabeller 1'!$C$2),0)</f>
        <v/>
      </c>
    </row>
    <row r="939" spans="1:12" x14ac:dyDescent="0.3">
      <c r="A939" s="123" t="str" vm="397">
        <f>CUBEMEMBER("BIDB","[Dimittenddato].[Dimittenddato].&amp;[2017-06-16T00:00:00]")</f>
        <v>16-06-2017</v>
      </c>
      <c r="B939" t="str" vm="7613">
        <f>IFERROR(CUBEVALUE("BIDB",$A939,B$3,'Præsentationstabeller 1'!$C$2),0)</f>
        <v/>
      </c>
      <c r="C939" t="str" vm="14989">
        <f>IFERROR(CUBEVALUE("BIDB",$A939,C$3,C$2,'Præsentationstabeller 1'!$C$2),0)</f>
        <v/>
      </c>
      <c r="D939" t="str" vm="15511">
        <f>IFERROR(CUBEVALUE("BIDB",$A939,D$3,D$2,'Præsentationstabeller 1'!$C$2),0)</f>
        <v/>
      </c>
      <c r="E939" t="str" vm="7432">
        <f>IFERROR(CUBEVALUE("BIDB",$A939,E$3,E$2,'Præsentationstabeller 1'!$C$2),0)</f>
        <v/>
      </c>
      <c r="F939" t="str" vm="4790">
        <f>IFERROR(CUBEVALUE("BIDB",$A939,F$3,F$2,'Præsentationstabeller 1'!$C$2),0)</f>
        <v/>
      </c>
      <c r="G939" t="str" vm="15296">
        <f>IFERROR(CUBEVALUE("BIDB",$A939,G$3,G$2,'Præsentationstabeller 1'!$C$2),0)</f>
        <v/>
      </c>
      <c r="H939" t="str" vm="12905">
        <f>IFERROR(CUBEVALUE("BIDB",$A939,H$3,H$2,'Præsentationstabeller 1'!$C$2),0)</f>
        <v/>
      </c>
      <c r="I939" t="str" vm="3489">
        <f>IFERROR(CUBEVALUE("BIDB",$A939,I$3,I$2,'Præsentationstabeller 1'!$C$2),0)</f>
        <v/>
      </c>
      <c r="J939" t="str" vm="6244">
        <f>IFERROR(CUBEVALUE("BIDB",$A939,J$3,J$2,'Præsentationstabeller 1'!$C$2),0)</f>
        <v/>
      </c>
      <c r="K939" t="str" vm="13750">
        <f>IFERROR(CUBEVALUE("BIDB",$A939,K$3,K$2,'Præsentationstabeller 1'!$C$2),0)</f>
        <v/>
      </c>
      <c r="L939" t="str" vm="7966">
        <f>IFERROR(CUBEVALUE("BIDB",$A939,L$3,L$2,'Præsentationstabeller 1'!$C$2),0)</f>
        <v/>
      </c>
    </row>
    <row r="940" spans="1:12" x14ac:dyDescent="0.3">
      <c r="A940" s="123" t="str" vm="396">
        <f>CUBEMEMBER("BIDB","[Dimittenddato].[Dimittenddato].&amp;[2017-06-17T00:00:00]")</f>
        <v>17-06-2017</v>
      </c>
      <c r="B940" t="str" vm="6355">
        <f>IFERROR(CUBEVALUE("BIDB",$A940,B$3,'Præsentationstabeller 1'!$C$2),0)</f>
        <v/>
      </c>
      <c r="C940" t="str" vm="16929">
        <f>IFERROR(CUBEVALUE("BIDB",$A940,C$3,C$2,'Præsentationstabeller 1'!$C$2),0)</f>
        <v/>
      </c>
      <c r="D940" t="str" vm="12296">
        <f>IFERROR(CUBEVALUE("BIDB",$A940,D$3,D$2,'Præsentationstabeller 1'!$C$2),0)</f>
        <v/>
      </c>
      <c r="E940" t="str" vm="8838">
        <f>IFERROR(CUBEVALUE("BIDB",$A940,E$3,E$2,'Præsentationstabeller 1'!$C$2),0)</f>
        <v/>
      </c>
      <c r="F940" t="str" vm="6098">
        <f>IFERROR(CUBEVALUE("BIDB",$A940,F$3,F$2,'Præsentationstabeller 1'!$C$2),0)</f>
        <v/>
      </c>
      <c r="G940" t="str" vm="13876">
        <f>IFERROR(CUBEVALUE("BIDB",$A940,G$3,G$2,'Præsentationstabeller 1'!$C$2),0)</f>
        <v/>
      </c>
      <c r="H940" t="str" vm="12870">
        <f>IFERROR(CUBEVALUE("BIDB",$A940,H$3,H$2,'Præsentationstabeller 1'!$C$2),0)</f>
        <v/>
      </c>
      <c r="I940" t="str" vm="11087">
        <f>IFERROR(CUBEVALUE("BIDB",$A940,I$3,I$2,'Præsentationstabeller 1'!$C$2),0)</f>
        <v/>
      </c>
      <c r="J940" t="str" vm="5200">
        <f>IFERROR(CUBEVALUE("BIDB",$A940,J$3,J$2,'Præsentationstabeller 1'!$C$2),0)</f>
        <v/>
      </c>
      <c r="K940" t="str" vm="13899">
        <f>IFERROR(CUBEVALUE("BIDB",$A940,K$3,K$2,'Præsentationstabeller 1'!$C$2),0)</f>
        <v/>
      </c>
      <c r="L940" t="str" vm="9627">
        <f>IFERROR(CUBEVALUE("BIDB",$A940,L$3,L$2,'Præsentationstabeller 1'!$C$2),0)</f>
        <v/>
      </c>
    </row>
    <row r="941" spans="1:12" x14ac:dyDescent="0.3">
      <c r="A941" s="123" t="str" vm="395">
        <f>CUBEMEMBER("BIDB","[Dimittenddato].[Dimittenddato].&amp;[2017-06-18T00:00:00]")</f>
        <v>18-06-2017</v>
      </c>
      <c r="B941" t="str" vm="6407">
        <f>IFERROR(CUBEVALUE("BIDB",$A941,B$3,'Præsentationstabeller 1'!$C$2),0)</f>
        <v/>
      </c>
      <c r="C941" t="str" vm="11465">
        <f>IFERROR(CUBEVALUE("BIDB",$A941,C$3,C$2,'Præsentationstabeller 1'!$C$2),0)</f>
        <v/>
      </c>
      <c r="D941" t="str" vm="13378">
        <f>IFERROR(CUBEVALUE("BIDB",$A941,D$3,D$2,'Præsentationstabeller 1'!$C$2),0)</f>
        <v/>
      </c>
      <c r="E941" t="str" vm="8393">
        <f>IFERROR(CUBEVALUE("BIDB",$A941,E$3,E$2,'Præsentationstabeller 1'!$C$2),0)</f>
        <v/>
      </c>
      <c r="F941" t="str" vm="8249">
        <f>IFERROR(CUBEVALUE("BIDB",$A941,F$3,F$2,'Præsentationstabeller 1'!$C$2),0)</f>
        <v/>
      </c>
      <c r="G941" t="str" vm="13202">
        <f>IFERROR(CUBEVALUE("BIDB",$A941,G$3,G$2,'Præsentationstabeller 1'!$C$2),0)</f>
        <v/>
      </c>
      <c r="H941" t="str" vm="13702">
        <f>IFERROR(CUBEVALUE("BIDB",$A941,H$3,H$2,'Præsentationstabeller 1'!$C$2),0)</f>
        <v/>
      </c>
      <c r="I941" t="str" vm="6496">
        <f>IFERROR(CUBEVALUE("BIDB",$A941,I$3,I$2,'Præsentationstabeller 1'!$C$2),0)</f>
        <v/>
      </c>
      <c r="J941" t="str" vm="4140">
        <f>IFERROR(CUBEVALUE("BIDB",$A941,J$3,J$2,'Præsentationstabeller 1'!$C$2),0)</f>
        <v/>
      </c>
      <c r="K941" t="str" vm="13217">
        <f>IFERROR(CUBEVALUE("BIDB",$A941,K$3,K$2,'Præsentationstabeller 1'!$C$2),0)</f>
        <v/>
      </c>
      <c r="L941" t="str" vm="14572">
        <f>IFERROR(CUBEVALUE("BIDB",$A941,L$3,L$2,'Præsentationstabeller 1'!$C$2),0)</f>
        <v/>
      </c>
    </row>
    <row r="942" spans="1:12" x14ac:dyDescent="0.3">
      <c r="A942" s="123" t="str" vm="394">
        <f>CUBEMEMBER("BIDB","[Dimittenddato].[Dimittenddato].&amp;[2017-06-19T00:00:00]")</f>
        <v>19-06-2017</v>
      </c>
      <c r="B942" t="str" vm="5976">
        <f>IFERROR(CUBEVALUE("BIDB",$A942,B$3,'Præsentationstabeller 1'!$C$2),0)</f>
        <v/>
      </c>
      <c r="C942" t="str" vm="13155">
        <f>IFERROR(CUBEVALUE("BIDB",$A942,C$3,C$2,'Præsentationstabeller 1'!$C$2),0)</f>
        <v/>
      </c>
      <c r="D942" t="str" vm="14969">
        <f>IFERROR(CUBEVALUE("BIDB",$A942,D$3,D$2,'Præsentationstabeller 1'!$C$2),0)</f>
        <v/>
      </c>
      <c r="E942" t="str" vm="4975">
        <f>IFERROR(CUBEVALUE("BIDB",$A942,E$3,E$2,'Præsentationstabeller 1'!$C$2),0)</f>
        <v/>
      </c>
      <c r="F942" t="str" vm="6114">
        <f>IFERROR(CUBEVALUE("BIDB",$A942,F$3,F$2,'Præsentationstabeller 1'!$C$2),0)</f>
        <v/>
      </c>
      <c r="G942" t="str" vm="15672">
        <f>IFERROR(CUBEVALUE("BIDB",$A942,G$3,G$2,'Præsentationstabeller 1'!$C$2),0)</f>
        <v/>
      </c>
      <c r="H942" t="str" vm="10088">
        <f>IFERROR(CUBEVALUE("BIDB",$A942,H$3,H$2,'Præsentationstabeller 1'!$C$2),0)</f>
        <v/>
      </c>
      <c r="I942" t="str" vm="5998">
        <f>IFERROR(CUBEVALUE("BIDB",$A942,I$3,I$2,'Præsentationstabeller 1'!$C$2),0)</f>
        <v/>
      </c>
      <c r="J942" t="str" vm="6357">
        <f>IFERROR(CUBEVALUE("BIDB",$A942,J$3,J$2,'Præsentationstabeller 1'!$C$2),0)</f>
        <v/>
      </c>
      <c r="K942" t="str" vm="13596">
        <f>IFERROR(CUBEVALUE("BIDB",$A942,K$3,K$2,'Præsentationstabeller 1'!$C$2),0)</f>
        <v/>
      </c>
      <c r="L942" t="str" vm="10465">
        <f>IFERROR(CUBEVALUE("BIDB",$A942,L$3,L$2,'Præsentationstabeller 1'!$C$2),0)</f>
        <v/>
      </c>
    </row>
    <row r="943" spans="1:12" x14ac:dyDescent="0.3">
      <c r="A943" s="123" t="str" vm="393">
        <f>CUBEMEMBER("BIDB","[Dimittenddato].[Dimittenddato].&amp;[2017-06-20T00:00:00]")</f>
        <v>20-06-2017</v>
      </c>
      <c r="B943" t="str" vm="8243">
        <f>IFERROR(CUBEVALUE("BIDB",$A943,B$3,'Præsentationstabeller 1'!$C$2),0)</f>
        <v/>
      </c>
      <c r="C943" t="str" vm="17023">
        <f>IFERROR(CUBEVALUE("BIDB",$A943,C$3,C$2,'Præsentationstabeller 1'!$C$2),0)</f>
        <v/>
      </c>
      <c r="D943" t="str" vm="15893">
        <f>IFERROR(CUBEVALUE("BIDB",$A943,D$3,D$2,'Præsentationstabeller 1'!$C$2),0)</f>
        <v/>
      </c>
      <c r="E943" t="str" vm="9432">
        <f>IFERROR(CUBEVALUE("BIDB",$A943,E$3,E$2,'Præsentationstabeller 1'!$C$2),0)</f>
        <v/>
      </c>
      <c r="F943" t="str" vm="4645">
        <f>IFERROR(CUBEVALUE("BIDB",$A943,F$3,F$2,'Præsentationstabeller 1'!$C$2),0)</f>
        <v/>
      </c>
      <c r="G943" t="str" vm="16614">
        <f>IFERROR(CUBEVALUE("BIDB",$A943,G$3,G$2,'Præsentationstabeller 1'!$C$2),0)</f>
        <v/>
      </c>
      <c r="H943" t="str" vm="14952">
        <f>IFERROR(CUBEVALUE("BIDB",$A943,H$3,H$2,'Præsentationstabeller 1'!$C$2),0)</f>
        <v/>
      </c>
      <c r="I943" t="str" vm="3336">
        <f>IFERROR(CUBEVALUE("BIDB",$A943,I$3,I$2,'Præsentationstabeller 1'!$C$2),0)</f>
        <v/>
      </c>
      <c r="J943" t="str" vm="6242">
        <f>IFERROR(CUBEVALUE("BIDB",$A943,J$3,J$2,'Præsentationstabeller 1'!$C$2),0)</f>
        <v/>
      </c>
      <c r="K943" t="str" vm="11146">
        <f>IFERROR(CUBEVALUE("BIDB",$A943,K$3,K$2,'Præsentationstabeller 1'!$C$2),0)</f>
        <v/>
      </c>
      <c r="L943" t="str" vm="8584">
        <f>IFERROR(CUBEVALUE("BIDB",$A943,L$3,L$2,'Præsentationstabeller 1'!$C$2),0)</f>
        <v/>
      </c>
    </row>
    <row r="944" spans="1:12" x14ac:dyDescent="0.3">
      <c r="A944" s="123" t="str" vm="392">
        <f>CUBEMEMBER("BIDB","[Dimittenddato].[Dimittenddato].&amp;[2017-06-21T00:00:00]")</f>
        <v>21-06-2017</v>
      </c>
      <c r="B944" t="str" vm="4821">
        <f>IFERROR(CUBEVALUE("BIDB",$A944,B$3,'Præsentationstabeller 1'!$C$2),0)</f>
        <v/>
      </c>
      <c r="C944" t="str" vm="13633">
        <f>IFERROR(CUBEVALUE("BIDB",$A944,C$3,C$2,'Præsentationstabeller 1'!$C$2),0)</f>
        <v/>
      </c>
      <c r="D944" t="str" vm="9416">
        <f>IFERROR(CUBEVALUE("BIDB",$A944,D$3,D$2,'Præsentationstabeller 1'!$C$2),0)</f>
        <v/>
      </c>
      <c r="E944" t="str" vm="5497">
        <f>IFERROR(CUBEVALUE("BIDB",$A944,E$3,E$2,'Præsentationstabeller 1'!$C$2),0)</f>
        <v/>
      </c>
      <c r="F944" t="str" vm="3519">
        <f>IFERROR(CUBEVALUE("BIDB",$A944,F$3,F$2,'Præsentationstabeller 1'!$C$2),0)</f>
        <v/>
      </c>
      <c r="G944" t="str" vm="15218">
        <f>IFERROR(CUBEVALUE("BIDB",$A944,G$3,G$2,'Præsentationstabeller 1'!$C$2),0)</f>
        <v/>
      </c>
      <c r="H944" t="str" vm="16202">
        <f>IFERROR(CUBEVALUE("BIDB",$A944,H$3,H$2,'Præsentationstabeller 1'!$C$2),0)</f>
        <v/>
      </c>
      <c r="I944" t="str" vm="5937">
        <f>IFERROR(CUBEVALUE("BIDB",$A944,I$3,I$2,'Præsentationstabeller 1'!$C$2),0)</f>
        <v/>
      </c>
      <c r="J944" t="str" vm="6984">
        <f>IFERROR(CUBEVALUE("BIDB",$A944,J$3,J$2,'Præsentationstabeller 1'!$C$2),0)</f>
        <v/>
      </c>
      <c r="K944" t="str" vm="15172">
        <f>IFERROR(CUBEVALUE("BIDB",$A944,K$3,K$2,'Præsentationstabeller 1'!$C$2),0)</f>
        <v/>
      </c>
      <c r="L944" t="str" vm="9960">
        <f>IFERROR(CUBEVALUE("BIDB",$A944,L$3,L$2,'Præsentationstabeller 1'!$C$2),0)</f>
        <v/>
      </c>
    </row>
    <row r="945" spans="1:12" x14ac:dyDescent="0.3">
      <c r="A945" s="123" t="str" vm="391">
        <f>CUBEMEMBER("BIDB","[Dimittenddato].[Dimittenddato].&amp;[2017-06-22T00:00:00]")</f>
        <v>22-06-2017</v>
      </c>
      <c r="B945" t="str" vm="4656">
        <f>IFERROR(CUBEVALUE("BIDB",$A945,B$3,'Præsentationstabeller 1'!$C$2),0)</f>
        <v/>
      </c>
      <c r="C945" t="str" vm="14978">
        <f>IFERROR(CUBEVALUE("BIDB",$A945,C$3,C$2,'Præsentationstabeller 1'!$C$2),0)</f>
        <v/>
      </c>
      <c r="D945" t="str" vm="16443">
        <f>IFERROR(CUBEVALUE("BIDB",$A945,D$3,D$2,'Præsentationstabeller 1'!$C$2),0)</f>
        <v/>
      </c>
      <c r="E945" t="str" vm="4851">
        <f>IFERROR(CUBEVALUE("BIDB",$A945,E$3,E$2,'Præsentationstabeller 1'!$C$2),0)</f>
        <v/>
      </c>
      <c r="F945" t="str" vm="4126">
        <f>IFERROR(CUBEVALUE("BIDB",$A945,F$3,F$2,'Præsentationstabeller 1'!$C$2),0)</f>
        <v/>
      </c>
      <c r="G945" t="str" vm="16902">
        <f>IFERROR(CUBEVALUE("BIDB",$A945,G$3,G$2,'Præsentationstabeller 1'!$C$2),0)</f>
        <v/>
      </c>
      <c r="H945" t="str" vm="15554">
        <f>IFERROR(CUBEVALUE("BIDB",$A945,H$3,H$2,'Præsentationstabeller 1'!$C$2),0)</f>
        <v/>
      </c>
      <c r="I945" t="str" vm="4829">
        <f>IFERROR(CUBEVALUE("BIDB",$A945,I$3,I$2,'Præsentationstabeller 1'!$C$2),0)</f>
        <v/>
      </c>
      <c r="J945" t="str" vm="7145">
        <f>IFERROR(CUBEVALUE("BIDB",$A945,J$3,J$2,'Præsentationstabeller 1'!$C$2),0)</f>
        <v/>
      </c>
      <c r="K945" t="str" vm="9525">
        <f>IFERROR(CUBEVALUE("BIDB",$A945,K$3,K$2,'Præsentationstabeller 1'!$C$2),0)</f>
        <v/>
      </c>
      <c r="L945" t="str" vm="7478">
        <f>IFERROR(CUBEVALUE("BIDB",$A945,L$3,L$2,'Præsentationstabeller 1'!$C$2),0)</f>
        <v/>
      </c>
    </row>
    <row r="946" spans="1:12" x14ac:dyDescent="0.3">
      <c r="A946" s="123" t="str" vm="390">
        <f>CUBEMEMBER("BIDB","[Dimittenddato].[Dimittenddato].&amp;[2017-06-23T00:00:00]")</f>
        <v>23-06-2017</v>
      </c>
      <c r="B946" t="str" vm="4032">
        <f>IFERROR(CUBEVALUE("BIDB",$A946,B$3,'Præsentationstabeller 1'!$C$2),0)</f>
        <v/>
      </c>
      <c r="C946" t="str" vm="11469">
        <f>IFERROR(CUBEVALUE("BIDB",$A946,C$3,C$2,'Præsentationstabeller 1'!$C$2),0)</f>
        <v/>
      </c>
      <c r="D946" t="str" vm="10989">
        <f>IFERROR(CUBEVALUE("BIDB",$A946,D$3,D$2,'Præsentationstabeller 1'!$C$2),0)</f>
        <v/>
      </c>
      <c r="E946" t="str" vm="3221">
        <f>IFERROR(CUBEVALUE("BIDB",$A946,E$3,E$2,'Præsentationstabeller 1'!$C$2),0)</f>
        <v/>
      </c>
      <c r="F946" t="str" vm="6106">
        <f>IFERROR(CUBEVALUE("BIDB",$A946,F$3,F$2,'Præsentationstabeller 1'!$C$2),0)</f>
        <v/>
      </c>
      <c r="G946" t="str" vm="17108">
        <f>IFERROR(CUBEVALUE("BIDB",$A946,G$3,G$2,'Præsentationstabeller 1'!$C$2),0)</f>
        <v/>
      </c>
      <c r="H946" t="str" vm="10520">
        <f>IFERROR(CUBEVALUE("BIDB",$A946,H$3,H$2,'Præsentationstabeller 1'!$C$2),0)</f>
        <v/>
      </c>
      <c r="I946" t="str" vm="5207">
        <f>IFERROR(CUBEVALUE("BIDB",$A946,I$3,I$2,'Præsentationstabeller 1'!$C$2),0)</f>
        <v/>
      </c>
      <c r="J946" t="str" vm="6356">
        <f>IFERROR(CUBEVALUE("BIDB",$A946,J$3,J$2,'Præsentationstabeller 1'!$C$2),0)</f>
        <v/>
      </c>
      <c r="K946" t="str" vm="13743">
        <f>IFERROR(CUBEVALUE("BIDB",$A946,K$3,K$2,'Præsentationstabeller 1'!$C$2),0)</f>
        <v/>
      </c>
      <c r="L946" t="str" vm="14568">
        <f>IFERROR(CUBEVALUE("BIDB",$A946,L$3,L$2,'Præsentationstabeller 1'!$C$2),0)</f>
        <v/>
      </c>
    </row>
    <row r="947" spans="1:12" x14ac:dyDescent="0.3">
      <c r="A947" s="123" t="str" vm="389">
        <f>CUBEMEMBER("BIDB","[Dimittenddato].[Dimittenddato].&amp;[2017-06-24T00:00:00]")</f>
        <v>24-06-2017</v>
      </c>
      <c r="B947" t="str" vm="5005">
        <f>IFERROR(CUBEVALUE("BIDB",$A947,B$3,'Præsentationstabeller 1'!$C$2),0)</f>
        <v/>
      </c>
      <c r="C947" t="str" vm="14263">
        <f>IFERROR(CUBEVALUE("BIDB",$A947,C$3,C$2,'Præsentationstabeller 1'!$C$2),0)</f>
        <v/>
      </c>
      <c r="D947" t="str" vm="12574">
        <f>IFERROR(CUBEVALUE("BIDB",$A947,D$3,D$2,'Præsentationstabeller 1'!$C$2),0)</f>
        <v/>
      </c>
      <c r="E947" t="str" vm="5778">
        <f>IFERROR(CUBEVALUE("BIDB",$A947,E$3,E$2,'Præsentationstabeller 1'!$C$2),0)</f>
        <v/>
      </c>
      <c r="F947" t="str" vm="5931">
        <f>IFERROR(CUBEVALUE("BIDB",$A947,F$3,F$2,'Præsentationstabeller 1'!$C$2),0)</f>
        <v/>
      </c>
      <c r="G947" t="str" vm="14461">
        <f>IFERROR(CUBEVALUE("BIDB",$A947,G$3,G$2,'Præsentationstabeller 1'!$C$2),0)</f>
        <v/>
      </c>
      <c r="H947" t="str" vm="11265">
        <f>IFERROR(CUBEVALUE("BIDB",$A947,H$3,H$2,'Præsentationstabeller 1'!$C$2),0)</f>
        <v/>
      </c>
      <c r="I947" t="str" vm="4385">
        <f>IFERROR(CUBEVALUE("BIDB",$A947,I$3,I$2,'Præsentationstabeller 1'!$C$2),0)</f>
        <v/>
      </c>
      <c r="J947" t="str" vm="8046">
        <f>IFERROR(CUBEVALUE("BIDB",$A947,J$3,J$2,'Præsentationstabeller 1'!$C$2),0)</f>
        <v/>
      </c>
      <c r="K947" t="str" vm="15367">
        <f>IFERROR(CUBEVALUE("BIDB",$A947,K$3,K$2,'Præsentationstabeller 1'!$C$2),0)</f>
        <v/>
      </c>
      <c r="L947" t="str" vm="9363">
        <f>IFERROR(CUBEVALUE("BIDB",$A947,L$3,L$2,'Præsentationstabeller 1'!$C$2),0)</f>
        <v/>
      </c>
    </row>
    <row r="948" spans="1:12" x14ac:dyDescent="0.3">
      <c r="A948" s="123" t="str" vm="388">
        <f>CUBEMEMBER("BIDB","[Dimittenddato].[Dimittenddato].&amp;[2017-06-25T00:00:00]")</f>
        <v>25-06-2017</v>
      </c>
      <c r="B948" t="str" vm="3253">
        <f>IFERROR(CUBEVALUE("BIDB",$A948,B$3,'Præsentationstabeller 1'!$C$2),0)</f>
        <v/>
      </c>
      <c r="C948" t="str" vm="14666">
        <f>IFERROR(CUBEVALUE("BIDB",$A948,C$3,C$2,'Præsentationstabeller 1'!$C$2),0)</f>
        <v/>
      </c>
      <c r="D948" t="str" vm="16577">
        <f>IFERROR(CUBEVALUE("BIDB",$A948,D$3,D$2,'Præsentationstabeller 1'!$C$2),0)</f>
        <v/>
      </c>
      <c r="E948" t="str" vm="5595">
        <f>IFERROR(CUBEVALUE("BIDB",$A948,E$3,E$2,'Præsentationstabeller 1'!$C$2),0)</f>
        <v/>
      </c>
      <c r="F948" t="str" vm="4382">
        <f>IFERROR(CUBEVALUE("BIDB",$A948,F$3,F$2,'Præsentationstabeller 1'!$C$2),0)</f>
        <v/>
      </c>
      <c r="G948" t="str" vm="13016">
        <f>IFERROR(CUBEVALUE("BIDB",$A948,G$3,G$2,'Præsentationstabeller 1'!$C$2),0)</f>
        <v/>
      </c>
      <c r="H948" t="str" vm="15498">
        <f>IFERROR(CUBEVALUE("BIDB",$A948,H$3,H$2,'Præsentationstabeller 1'!$C$2),0)</f>
        <v/>
      </c>
      <c r="I948" t="str" vm="6733">
        <f>IFERROR(CUBEVALUE("BIDB",$A948,I$3,I$2,'Præsentationstabeller 1'!$C$2),0)</f>
        <v/>
      </c>
      <c r="J948" t="str" vm="4357">
        <f>IFERROR(CUBEVALUE("BIDB",$A948,J$3,J$2,'Præsentationstabeller 1'!$C$2),0)</f>
        <v/>
      </c>
      <c r="K948" t="str" vm="14590">
        <f>IFERROR(CUBEVALUE("BIDB",$A948,K$3,K$2,'Præsentationstabeller 1'!$C$2),0)</f>
        <v/>
      </c>
      <c r="L948" t="str" vm="9805">
        <f>IFERROR(CUBEVALUE("BIDB",$A948,L$3,L$2,'Præsentationstabeller 1'!$C$2),0)</f>
        <v/>
      </c>
    </row>
    <row r="949" spans="1:12" x14ac:dyDescent="0.3">
      <c r="A949" s="123" t="str" vm="387">
        <f>CUBEMEMBER("BIDB","[Dimittenddato].[Dimittenddato].&amp;[2017-06-26T00:00:00]")</f>
        <v>26-06-2017</v>
      </c>
      <c r="B949" t="str" vm="4648">
        <f>IFERROR(CUBEVALUE("BIDB",$A949,B$3,'Præsentationstabeller 1'!$C$2),0)</f>
        <v/>
      </c>
      <c r="C949" t="str" vm="9265">
        <f>IFERROR(CUBEVALUE("BIDB",$A949,C$3,C$2,'Præsentationstabeller 1'!$C$2),0)</f>
        <v/>
      </c>
      <c r="D949" t="str" vm="15133">
        <f>IFERROR(CUBEVALUE("BIDB",$A949,D$3,D$2,'Præsentationstabeller 1'!$C$2),0)</f>
        <v/>
      </c>
      <c r="E949" t="str" vm="5617">
        <f>IFERROR(CUBEVALUE("BIDB",$A949,E$3,E$2,'Præsentationstabeller 1'!$C$2),0)</f>
        <v/>
      </c>
      <c r="F949" t="str" vm="3352">
        <f>IFERROR(CUBEVALUE("BIDB",$A949,F$3,F$2,'Præsentationstabeller 1'!$C$2),0)</f>
        <v/>
      </c>
      <c r="G949" t="str" vm="14647">
        <f>IFERROR(CUBEVALUE("BIDB",$A949,G$3,G$2,'Præsentationstabeller 1'!$C$2),0)</f>
        <v/>
      </c>
      <c r="H949" t="str" vm="13376">
        <f>IFERROR(CUBEVALUE("BIDB",$A949,H$3,H$2,'Præsentationstabeller 1'!$C$2),0)</f>
        <v/>
      </c>
      <c r="I949" t="str" vm="4511">
        <f>IFERROR(CUBEVALUE("BIDB",$A949,I$3,I$2,'Præsentationstabeller 1'!$C$2),0)</f>
        <v/>
      </c>
      <c r="J949" t="str" vm="6155">
        <f>IFERROR(CUBEVALUE("BIDB",$A949,J$3,J$2,'Præsentationstabeller 1'!$C$2),0)</f>
        <v/>
      </c>
      <c r="K949" t="str" vm="12857">
        <f>IFERROR(CUBEVALUE("BIDB",$A949,K$3,K$2,'Præsentationstabeller 1'!$C$2),0)</f>
        <v/>
      </c>
      <c r="L949" t="str" vm="8096">
        <f>IFERROR(CUBEVALUE("BIDB",$A949,L$3,L$2,'Præsentationstabeller 1'!$C$2),0)</f>
        <v/>
      </c>
    </row>
    <row r="950" spans="1:12" x14ac:dyDescent="0.3">
      <c r="A950" s="123" t="str" vm="386">
        <f>CUBEMEMBER("BIDB","[Dimittenddato].[Dimittenddato].&amp;[2017-06-27T00:00:00]")</f>
        <v>27-06-2017</v>
      </c>
      <c r="B950" t="str" vm="5772">
        <f>IFERROR(CUBEVALUE("BIDB",$A950,B$3,'Præsentationstabeller 1'!$C$2),0)</f>
        <v/>
      </c>
      <c r="C950" t="str" vm="12027">
        <f>IFERROR(CUBEVALUE("BIDB",$A950,C$3,C$2,'Præsentationstabeller 1'!$C$2),0)</f>
        <v/>
      </c>
      <c r="D950" t="str" vm="15916">
        <f>IFERROR(CUBEVALUE("BIDB",$A950,D$3,D$2,'Præsentationstabeller 1'!$C$2),0)</f>
        <v/>
      </c>
      <c r="E950" t="str" vm="7794">
        <f>IFERROR(CUBEVALUE("BIDB",$A950,E$3,E$2,'Præsentationstabeller 1'!$C$2),0)</f>
        <v/>
      </c>
      <c r="F950" t="str" vm="6342">
        <f>IFERROR(CUBEVALUE("BIDB",$A950,F$3,F$2,'Præsentationstabeller 1'!$C$2),0)</f>
        <v/>
      </c>
      <c r="G950" t="str" vm="15318">
        <f>IFERROR(CUBEVALUE("BIDB",$A950,G$3,G$2,'Præsentationstabeller 1'!$C$2),0)</f>
        <v/>
      </c>
      <c r="H950" t="str" vm="13594">
        <f>IFERROR(CUBEVALUE("BIDB",$A950,H$3,H$2,'Præsentationstabeller 1'!$C$2),0)</f>
        <v/>
      </c>
      <c r="I950" t="str" vm="5035">
        <f>IFERROR(CUBEVALUE("BIDB",$A950,I$3,I$2,'Præsentationstabeller 1'!$C$2),0)</f>
        <v/>
      </c>
      <c r="J950" t="str" vm="4706">
        <f>IFERROR(CUBEVALUE("BIDB",$A950,J$3,J$2,'Præsentationstabeller 1'!$C$2),0)</f>
        <v/>
      </c>
      <c r="K950" t="str" vm="11132">
        <f>IFERROR(CUBEVALUE("BIDB",$A950,K$3,K$2,'Præsentationstabeller 1'!$C$2),0)</f>
        <v/>
      </c>
      <c r="L950" t="str" vm="10235">
        <f>IFERROR(CUBEVALUE("BIDB",$A950,L$3,L$2,'Præsentationstabeller 1'!$C$2),0)</f>
        <v/>
      </c>
    </row>
    <row r="951" spans="1:12" x14ac:dyDescent="0.3">
      <c r="A951" s="123" t="str" vm="385">
        <f>CUBEMEMBER("BIDB","[Dimittenddato].[Dimittenddato].&amp;[2017-06-28T00:00:00]")</f>
        <v>28-06-2017</v>
      </c>
      <c r="B951" t="str" vm="3765">
        <f>IFERROR(CUBEVALUE("BIDB",$A951,B$3,'Præsentationstabeller 1'!$C$2),0)</f>
        <v/>
      </c>
      <c r="C951" t="str" vm="15450">
        <f>IFERROR(CUBEVALUE("BIDB",$A951,C$3,C$2,'Præsentationstabeller 1'!$C$2),0)</f>
        <v/>
      </c>
      <c r="D951" t="str" vm="16545">
        <f>IFERROR(CUBEVALUE("BIDB",$A951,D$3,D$2,'Præsentationstabeller 1'!$C$2),0)</f>
        <v/>
      </c>
      <c r="E951" t="str" vm="5508">
        <f>IFERROR(CUBEVALUE("BIDB",$A951,E$3,E$2,'Præsentationstabeller 1'!$C$2),0)</f>
        <v/>
      </c>
      <c r="F951" t="str" vm="6133">
        <f>IFERROR(CUBEVALUE("BIDB",$A951,F$3,F$2,'Præsentationstabeller 1'!$C$2),0)</f>
        <v/>
      </c>
      <c r="G951" t="str" vm="17145">
        <f>IFERROR(CUBEVALUE("BIDB",$A951,G$3,G$2,'Præsentationstabeller 1'!$C$2),0)</f>
        <v/>
      </c>
      <c r="H951" t="str" vm="13153">
        <f>IFERROR(CUBEVALUE("BIDB",$A951,H$3,H$2,'Præsentationstabeller 1'!$C$2),0)</f>
        <v/>
      </c>
      <c r="I951" t="str" vm="4738">
        <f>IFERROR(CUBEVALUE("BIDB",$A951,I$3,I$2,'Præsentationstabeller 1'!$C$2),0)</f>
        <v/>
      </c>
      <c r="J951" t="str" vm="7830">
        <f>IFERROR(CUBEVALUE("BIDB",$A951,J$3,J$2,'Præsentationstabeller 1'!$C$2),0)</f>
        <v/>
      </c>
      <c r="K951" t="str" vm="15143">
        <f>IFERROR(CUBEVALUE("BIDB",$A951,K$3,K$2,'Præsentationstabeller 1'!$C$2),0)</f>
        <v/>
      </c>
      <c r="L951" t="str" vm="16593">
        <f>IFERROR(CUBEVALUE("BIDB",$A951,L$3,L$2,'Præsentationstabeller 1'!$C$2),0)</f>
        <v/>
      </c>
    </row>
    <row r="952" spans="1:12" x14ac:dyDescent="0.3">
      <c r="A952" s="123" t="str" vm="384">
        <f>CUBEMEMBER("BIDB","[Dimittenddato].[Dimittenddato].&amp;[2017-06-29T00:00:00]")</f>
        <v>29-06-2017</v>
      </c>
      <c r="B952" t="str" vm="3237">
        <f>IFERROR(CUBEVALUE("BIDB",$A952,B$3,'Præsentationstabeller 1'!$C$2),0)</f>
        <v/>
      </c>
      <c r="C952" t="str" vm="14742">
        <f>IFERROR(CUBEVALUE("BIDB",$A952,C$3,C$2,'Præsentationstabeller 1'!$C$2),0)</f>
        <v/>
      </c>
      <c r="D952" t="str" vm="13074">
        <f>IFERROR(CUBEVALUE("BIDB",$A952,D$3,D$2,'Præsentationstabeller 1'!$C$2),0)</f>
        <v/>
      </c>
      <c r="E952" t="str" vm="5069">
        <f>IFERROR(CUBEVALUE("BIDB",$A952,E$3,E$2,'Præsentationstabeller 1'!$C$2),0)</f>
        <v/>
      </c>
      <c r="F952" t="str" vm="7752">
        <f>IFERROR(CUBEVALUE("BIDB",$A952,F$3,F$2,'Præsentationstabeller 1'!$C$2),0)</f>
        <v/>
      </c>
      <c r="G952" t="str" vm="14737">
        <f>IFERROR(CUBEVALUE("BIDB",$A952,G$3,G$2,'Præsentationstabeller 1'!$C$2),0)</f>
        <v/>
      </c>
      <c r="H952" t="str" vm="10677">
        <f>IFERROR(CUBEVALUE("BIDB",$A952,H$3,H$2,'Præsentationstabeller 1'!$C$2),0)</f>
        <v/>
      </c>
      <c r="I952" t="str" vm="6731">
        <f>IFERROR(CUBEVALUE("BIDB",$A952,I$3,I$2,'Præsentationstabeller 1'!$C$2),0)</f>
        <v/>
      </c>
      <c r="J952" t="str" vm="4541">
        <f>IFERROR(CUBEVALUE("BIDB",$A952,J$3,J$2,'Præsentationstabeller 1'!$C$2),0)</f>
        <v/>
      </c>
      <c r="K952" t="str" vm="17088">
        <f>IFERROR(CUBEVALUE("BIDB",$A952,K$3,K$2,'Præsentationstabeller 1'!$C$2),0)</f>
        <v/>
      </c>
      <c r="L952" t="str" vm="10406">
        <f>IFERROR(CUBEVALUE("BIDB",$A952,L$3,L$2,'Præsentationstabeller 1'!$C$2),0)</f>
        <v/>
      </c>
    </row>
    <row r="953" spans="1:12" x14ac:dyDescent="0.3">
      <c r="A953" s="123" t="str" vm="383">
        <f>CUBEMEMBER("BIDB","[Dimittenddato].[Dimittenddato].&amp;[2017-06-30T00:00:00]")</f>
        <v>30-06-2017</v>
      </c>
      <c r="B953" t="str" vm="8247">
        <f>IFERROR(CUBEVALUE("BIDB",$A953,B$3,'Præsentationstabeller 1'!$C$2),0)</f>
        <v/>
      </c>
      <c r="C953" vm="5703">
        <f>IFERROR(CUBEVALUE("BIDB",$A953,C$3,C$2,'Præsentationstabeller 1'!$C$2),0)</f>
        <v>1</v>
      </c>
      <c r="D953" vm="6534">
        <f>IFERROR(CUBEVALUE("BIDB",$A953,D$3,D$2,'Præsentationstabeller 1'!$C$2),0)</f>
        <v>0</v>
      </c>
      <c r="E953" vm="8806">
        <f>IFERROR(CUBEVALUE("BIDB",$A953,E$3,E$2,'Præsentationstabeller 1'!$C$2),0)</f>
        <v>-1</v>
      </c>
      <c r="F953" vm="5695">
        <f>IFERROR(CUBEVALUE("BIDB",$A953,F$3,F$2,'Præsentationstabeller 1'!$C$2),0)</f>
        <v>0</v>
      </c>
      <c r="G953" vm="4245">
        <f>IFERROR(CUBEVALUE("BIDB",$A953,G$3,G$2,'Præsentationstabeller 1'!$C$2),0)</f>
        <v>-1</v>
      </c>
      <c r="H953" t="str" vm="5231">
        <f>IFERROR(CUBEVALUE("BIDB",$A953,H$3,H$2,'Præsentationstabeller 1'!$C$2),0)</f>
        <v/>
      </c>
      <c r="I953" t="str" vm="9246">
        <f>IFERROR(CUBEVALUE("BIDB",$A953,I$3,I$2,'Præsentationstabeller 1'!$C$2),0)</f>
        <v/>
      </c>
      <c r="J953" t="str" vm="8529">
        <f>IFERROR(CUBEVALUE("BIDB",$A953,J$3,J$2,'Præsentationstabeller 1'!$C$2),0)</f>
        <v/>
      </c>
      <c r="K953" t="str" vm="7763">
        <f>IFERROR(CUBEVALUE("BIDB",$A953,K$3,K$2,'Præsentationstabeller 1'!$C$2),0)</f>
        <v/>
      </c>
      <c r="L953" t="str" vm="6367">
        <f>IFERROR(CUBEVALUE("BIDB",$A953,L$3,L$2,'Præsentationstabeller 1'!$C$2),0)</f>
        <v/>
      </c>
    </row>
    <row r="954" spans="1:12" x14ac:dyDescent="0.3">
      <c r="A954" s="123" t="str" vm="382">
        <f>CUBEMEMBER("BIDB","[Dimittenddato].[Dimittenddato].&amp;[2017-07-01T00:00:00]")</f>
        <v>01-07-2017</v>
      </c>
      <c r="B954" t="str" vm="4722">
        <f>IFERROR(CUBEVALUE("BIDB",$A954,B$3,'Præsentationstabeller 1'!$C$2),0)</f>
        <v/>
      </c>
      <c r="C954" vm="10531">
        <f>IFERROR(CUBEVALUE("BIDB",$A954,C$3,C$2,'Præsentationstabeller 1'!$C$2),0)</f>
        <v>0</v>
      </c>
      <c r="D954" vm="14782">
        <f>IFERROR(CUBEVALUE("BIDB",$A954,D$3,D$2,'Præsentationstabeller 1'!$C$2),0)</f>
        <v>1</v>
      </c>
      <c r="E954" vm="4396">
        <f>IFERROR(CUBEVALUE("BIDB",$A954,E$3,E$2,'Præsentationstabeller 1'!$C$2),0)</f>
        <v>2</v>
      </c>
      <c r="F954" vm="5076">
        <f>IFERROR(CUBEVALUE("BIDB",$A954,F$3,F$2,'Præsentationstabeller 1'!$C$2),0)</f>
        <v>2</v>
      </c>
      <c r="G954" vm="13765">
        <f>IFERROR(CUBEVALUE("BIDB",$A954,G$3,G$2,'Præsentationstabeller 1'!$C$2),0)</f>
        <v>4</v>
      </c>
      <c r="H954" t="str" vm="16053">
        <f>IFERROR(CUBEVALUE("BIDB",$A954,H$3,H$2,'Præsentationstabeller 1'!$C$2),0)</f>
        <v/>
      </c>
      <c r="I954" t="str" vm="5500">
        <f>IFERROR(CUBEVALUE("BIDB",$A954,I$3,I$2,'Præsentationstabeller 1'!$C$2),0)</f>
        <v/>
      </c>
      <c r="J954" t="str" vm="6870">
        <f>IFERROR(CUBEVALUE("BIDB",$A954,J$3,J$2,'Præsentationstabeller 1'!$C$2),0)</f>
        <v/>
      </c>
      <c r="K954" t="str" vm="16811">
        <f>IFERROR(CUBEVALUE("BIDB",$A954,K$3,K$2,'Præsentationstabeller 1'!$C$2),0)</f>
        <v/>
      </c>
      <c r="L954" t="str" vm="16182">
        <f>IFERROR(CUBEVALUE("BIDB",$A954,L$3,L$2,'Præsentationstabeller 1'!$C$2),0)</f>
        <v/>
      </c>
    </row>
    <row r="955" spans="1:12" x14ac:dyDescent="0.3">
      <c r="A955" s="123" t="str" vm="381">
        <f>CUBEMEMBER("BIDB","[Dimittenddato].[Dimittenddato].&amp;[2017-07-02T00:00:00]")</f>
        <v>02-07-2017</v>
      </c>
      <c r="B955" t="str" vm="15085">
        <f>IFERROR(CUBEVALUE("BIDB",$A955,B$3,'Præsentationstabeller 1'!$C$2),0)</f>
        <v/>
      </c>
      <c r="C955" t="str" vm="15950">
        <f>IFERROR(CUBEVALUE("BIDB",$A955,C$3,C$2,'Præsentationstabeller 1'!$C$2),0)</f>
        <v/>
      </c>
      <c r="D955" t="str" vm="16081">
        <f>IFERROR(CUBEVALUE("BIDB",$A955,D$3,D$2,'Præsentationstabeller 1'!$C$2),0)</f>
        <v/>
      </c>
      <c r="E955" t="str" vm="6909">
        <f>IFERROR(CUBEVALUE("BIDB",$A955,E$3,E$2,'Præsentationstabeller 1'!$C$2),0)</f>
        <v/>
      </c>
      <c r="F955" t="str" vm="4092">
        <f>IFERROR(CUBEVALUE("BIDB",$A955,F$3,F$2,'Præsentationstabeller 1'!$C$2),0)</f>
        <v/>
      </c>
      <c r="G955" t="str" vm="17116">
        <f>IFERROR(CUBEVALUE("BIDB",$A955,G$3,G$2,'Præsentationstabeller 1'!$C$2),0)</f>
        <v/>
      </c>
      <c r="H955" t="str" vm="9578">
        <f>IFERROR(CUBEVALUE("BIDB",$A955,H$3,H$2,'Præsentationstabeller 1'!$C$2),0)</f>
        <v/>
      </c>
      <c r="I955" t="str" vm="6529">
        <f>IFERROR(CUBEVALUE("BIDB",$A955,I$3,I$2,'Præsentationstabeller 1'!$C$2),0)</f>
        <v/>
      </c>
      <c r="J955" t="str" vm="4890">
        <f>IFERROR(CUBEVALUE("BIDB",$A955,J$3,J$2,'Præsentationstabeller 1'!$C$2),0)</f>
        <v/>
      </c>
      <c r="K955" t="str" vm="12873">
        <f>IFERROR(CUBEVALUE("BIDB",$A955,K$3,K$2,'Præsentationstabeller 1'!$C$2),0)</f>
        <v/>
      </c>
      <c r="L955" t="str" vm="8707">
        <f>IFERROR(CUBEVALUE("BIDB",$A955,L$3,L$2,'Præsentationstabeller 1'!$C$2),0)</f>
        <v/>
      </c>
    </row>
    <row r="956" spans="1:12" x14ac:dyDescent="0.3">
      <c r="A956" s="123" t="str" vm="380">
        <f>CUBEMEMBER("BIDB","[Dimittenddato].[Dimittenddato].&amp;[2017-07-03T00:00:00]")</f>
        <v>03-07-2017</v>
      </c>
      <c r="B956" t="str" vm="5242">
        <f>IFERROR(CUBEVALUE("BIDB",$A956,B$3,'Præsentationstabeller 1'!$C$2),0)</f>
        <v/>
      </c>
      <c r="C956" t="str" vm="13414">
        <f>IFERROR(CUBEVALUE("BIDB",$A956,C$3,C$2,'Præsentationstabeller 1'!$C$2),0)</f>
        <v/>
      </c>
      <c r="D956" vm="12388">
        <f>IFERROR(CUBEVALUE("BIDB",$A956,D$3,D$2,'Præsentationstabeller 1'!$C$2),0)</f>
        <v>0</v>
      </c>
      <c r="E956" t="str" vm="4124">
        <f>IFERROR(CUBEVALUE("BIDB",$A956,E$3,E$2,'Præsentationstabeller 1'!$C$2),0)</f>
        <v/>
      </c>
      <c r="F956" t="str" vm="6958">
        <f>IFERROR(CUBEVALUE("BIDB",$A956,F$3,F$2,'Præsentationstabeller 1'!$C$2),0)</f>
        <v/>
      </c>
      <c r="G956" t="str" vm="14147">
        <f>IFERROR(CUBEVALUE("BIDB",$A956,G$3,G$2,'Præsentationstabeller 1'!$C$2),0)</f>
        <v/>
      </c>
      <c r="H956" t="str" vm="15889">
        <f>IFERROR(CUBEVALUE("BIDB",$A956,H$3,H$2,'Præsentationstabeller 1'!$C$2),0)</f>
        <v/>
      </c>
      <c r="I956" t="str" vm="5324">
        <f>IFERROR(CUBEVALUE("BIDB",$A956,I$3,I$2,'Præsentationstabeller 1'!$C$2),0)</f>
        <v/>
      </c>
      <c r="J956" t="str" vm="4415">
        <f>IFERROR(CUBEVALUE("BIDB",$A956,J$3,J$2,'Præsentationstabeller 1'!$C$2),0)</f>
        <v/>
      </c>
      <c r="K956" t="str" vm="13427">
        <f>IFERROR(CUBEVALUE("BIDB",$A956,K$3,K$2,'Præsentationstabeller 1'!$C$2),0)</f>
        <v/>
      </c>
      <c r="L956" t="str" vm="12728">
        <f>IFERROR(CUBEVALUE("BIDB",$A956,L$3,L$2,'Præsentationstabeller 1'!$C$2),0)</f>
        <v/>
      </c>
    </row>
    <row r="957" spans="1:12" x14ac:dyDescent="0.3">
      <c r="A957" s="123" t="str" vm="379">
        <f>CUBEMEMBER("BIDB","[Dimittenddato].[Dimittenddato].&amp;[2017-07-04T00:00:00]")</f>
        <v>04-07-2017</v>
      </c>
      <c r="B957" t="str" vm="5743">
        <f>IFERROR(CUBEVALUE("BIDB",$A957,B$3,'Præsentationstabeller 1'!$C$2),0)</f>
        <v/>
      </c>
      <c r="C957" t="str" vm="13568">
        <f>IFERROR(CUBEVALUE("BIDB",$A957,C$3,C$2,'Præsentationstabeller 1'!$C$2),0)</f>
        <v/>
      </c>
      <c r="D957" t="str" vm="13164">
        <f>IFERROR(CUBEVALUE("BIDB",$A957,D$3,D$2,'Præsentationstabeller 1'!$C$2),0)</f>
        <v/>
      </c>
      <c r="E957" t="str" vm="8245">
        <f>IFERROR(CUBEVALUE("BIDB",$A957,E$3,E$2,'Præsentationstabeller 1'!$C$2),0)</f>
        <v/>
      </c>
      <c r="F957" t="str" vm="5721">
        <f>IFERROR(CUBEVALUE("BIDB",$A957,F$3,F$2,'Præsentationstabeller 1'!$C$2),0)</f>
        <v/>
      </c>
      <c r="G957" t="str" vm="16816">
        <f>IFERROR(CUBEVALUE("BIDB",$A957,G$3,G$2,'Præsentationstabeller 1'!$C$2),0)</f>
        <v/>
      </c>
      <c r="H957" t="str" vm="13305">
        <f>IFERROR(CUBEVALUE("BIDB",$A957,H$3,H$2,'Præsentationstabeller 1'!$C$2),0)</f>
        <v/>
      </c>
      <c r="I957" t="str" vm="5699">
        <f>IFERROR(CUBEVALUE("BIDB",$A957,I$3,I$2,'Præsentationstabeller 1'!$C$2),0)</f>
        <v/>
      </c>
      <c r="J957" t="str" vm="4043">
        <f>IFERROR(CUBEVALUE("BIDB",$A957,J$3,J$2,'Præsentationstabeller 1'!$C$2),0)</f>
        <v/>
      </c>
      <c r="K957" t="str" vm="15752">
        <f>IFERROR(CUBEVALUE("BIDB",$A957,K$3,K$2,'Præsentationstabeller 1'!$C$2),0)</f>
        <v/>
      </c>
      <c r="L957" t="str" vm="10211">
        <f>IFERROR(CUBEVALUE("BIDB",$A957,L$3,L$2,'Præsentationstabeller 1'!$C$2),0)</f>
        <v/>
      </c>
    </row>
    <row r="958" spans="1:12" x14ac:dyDescent="0.3">
      <c r="A958" s="123" t="str" vm="378">
        <f>CUBEMEMBER("BIDB","[Dimittenddato].[Dimittenddato].&amp;[2017-07-05T00:00:00]")</f>
        <v>05-07-2017</v>
      </c>
      <c r="B958" t="str" vm="3978">
        <f>IFERROR(CUBEVALUE("BIDB",$A958,B$3,'Præsentationstabeller 1'!$C$2),0)</f>
        <v/>
      </c>
      <c r="C958" t="str" vm="11838">
        <f>IFERROR(CUBEVALUE("BIDB",$A958,C$3,C$2,'Præsentationstabeller 1'!$C$2),0)</f>
        <v/>
      </c>
      <c r="D958" t="str" vm="14802">
        <f>IFERROR(CUBEVALUE("BIDB",$A958,D$3,D$2,'Præsentationstabeller 1'!$C$2),0)</f>
        <v/>
      </c>
      <c r="E958" t="str" vm="6952">
        <f>IFERROR(CUBEVALUE("BIDB",$A958,E$3,E$2,'Præsentationstabeller 1'!$C$2),0)</f>
        <v/>
      </c>
      <c r="F958" t="str" vm="5843">
        <f>IFERROR(CUBEVALUE("BIDB",$A958,F$3,F$2,'Præsentationstabeller 1'!$C$2),0)</f>
        <v/>
      </c>
      <c r="G958" t="str" vm="15179">
        <f>IFERROR(CUBEVALUE("BIDB",$A958,G$3,G$2,'Præsentationstabeller 1'!$C$2),0)</f>
        <v/>
      </c>
      <c r="H958" t="str" vm="14488">
        <f>IFERROR(CUBEVALUE("BIDB",$A958,H$3,H$2,'Præsentationstabeller 1'!$C$2),0)</f>
        <v/>
      </c>
      <c r="I958" t="str" vm="10435">
        <f>IFERROR(CUBEVALUE("BIDB",$A958,I$3,I$2,'Præsentationstabeller 1'!$C$2),0)</f>
        <v/>
      </c>
      <c r="J958" t="str" vm="3779">
        <f>IFERROR(CUBEVALUE("BIDB",$A958,J$3,J$2,'Præsentationstabeller 1'!$C$2),0)</f>
        <v/>
      </c>
      <c r="K958" t="str" vm="11190">
        <f>IFERROR(CUBEVALUE("BIDB",$A958,K$3,K$2,'Præsentationstabeller 1'!$C$2),0)</f>
        <v/>
      </c>
      <c r="L958" t="str" vm="10031">
        <f>IFERROR(CUBEVALUE("BIDB",$A958,L$3,L$2,'Præsentationstabeller 1'!$C$2),0)</f>
        <v/>
      </c>
    </row>
    <row r="959" spans="1:12" x14ac:dyDescent="0.3">
      <c r="A959" s="123" t="str" vm="377">
        <f>CUBEMEMBER("BIDB","[Dimittenddato].[Dimittenddato].&amp;[2017-07-06T00:00:00]")</f>
        <v>06-07-2017</v>
      </c>
      <c r="B959" t="str" vm="5905">
        <f>IFERROR(CUBEVALUE("BIDB",$A959,B$3,'Præsentationstabeller 1'!$C$2),0)</f>
        <v/>
      </c>
      <c r="C959" t="str" vm="12385">
        <f>IFERROR(CUBEVALUE("BIDB",$A959,C$3,C$2,'Præsentationstabeller 1'!$C$2),0)</f>
        <v/>
      </c>
      <c r="D959" t="str" vm="9891">
        <f>IFERROR(CUBEVALUE("BIDB",$A959,D$3,D$2,'Præsentationstabeller 1'!$C$2),0)</f>
        <v/>
      </c>
      <c r="E959" t="str" vm="4133">
        <f>IFERROR(CUBEVALUE("BIDB",$A959,E$3,E$2,'Præsentationstabeller 1'!$C$2),0)</f>
        <v/>
      </c>
      <c r="F959" t="str" vm="3768">
        <f>IFERROR(CUBEVALUE("BIDB",$A959,F$3,F$2,'Præsentationstabeller 1'!$C$2),0)</f>
        <v/>
      </c>
      <c r="G959" t="str" vm="15293">
        <f>IFERROR(CUBEVALUE("BIDB",$A959,G$3,G$2,'Præsentationstabeller 1'!$C$2),0)</f>
        <v/>
      </c>
      <c r="H959" t="str" vm="12887">
        <f>IFERROR(CUBEVALUE("BIDB",$A959,H$3,H$2,'Præsentationstabeller 1'!$C$2),0)</f>
        <v/>
      </c>
      <c r="I959" t="str" vm="5111">
        <f>IFERROR(CUBEVALUE("BIDB",$A959,I$3,I$2,'Præsentationstabeller 1'!$C$2),0)</f>
        <v/>
      </c>
      <c r="J959" t="str" vm="3267">
        <f>IFERROR(CUBEVALUE("BIDB",$A959,J$3,J$2,'Præsentationstabeller 1'!$C$2),0)</f>
        <v/>
      </c>
      <c r="K959" t="str" vm="12091">
        <f>IFERROR(CUBEVALUE("BIDB",$A959,K$3,K$2,'Præsentationstabeller 1'!$C$2),0)</f>
        <v/>
      </c>
      <c r="L959" t="str" vm="9016">
        <f>IFERROR(CUBEVALUE("BIDB",$A959,L$3,L$2,'Præsentationstabeller 1'!$C$2),0)</f>
        <v/>
      </c>
    </row>
    <row r="960" spans="1:12" x14ac:dyDescent="0.3">
      <c r="A960" s="123" t="str" vm="376">
        <f>CUBEMEMBER("BIDB","[Dimittenddato].[Dimittenddato].&amp;[2017-07-07T00:00:00]")</f>
        <v>07-07-2017</v>
      </c>
      <c r="B960" t="str" vm="4580">
        <f>IFERROR(CUBEVALUE("BIDB",$A960,B$3,'Præsentationstabeller 1'!$C$2),0)</f>
        <v/>
      </c>
      <c r="C960" t="str" vm="14124">
        <f>IFERROR(CUBEVALUE("BIDB",$A960,C$3,C$2,'Præsentationstabeller 1'!$C$2),0)</f>
        <v/>
      </c>
      <c r="D960" t="str" vm="13664">
        <f>IFERROR(CUBEVALUE("BIDB",$A960,D$3,D$2,'Præsentationstabeller 1'!$C$2),0)</f>
        <v/>
      </c>
      <c r="E960" t="str" vm="4108">
        <f>IFERROR(CUBEVALUE("BIDB",$A960,E$3,E$2,'Præsentationstabeller 1'!$C$2),0)</f>
        <v/>
      </c>
      <c r="F960" t="str" vm="5679">
        <f>IFERROR(CUBEVALUE("BIDB",$A960,F$3,F$2,'Præsentationstabeller 1'!$C$2),0)</f>
        <v/>
      </c>
      <c r="G960" t="str" vm="16900">
        <f>IFERROR(CUBEVALUE("BIDB",$A960,G$3,G$2,'Præsentationstabeller 1'!$C$2),0)</f>
        <v/>
      </c>
      <c r="H960" t="str" vm="9594">
        <f>IFERROR(CUBEVALUE("BIDB",$A960,H$3,H$2,'Præsentationstabeller 1'!$C$2),0)</f>
        <v/>
      </c>
      <c r="I960" t="str" vm="5802">
        <f>IFERROR(CUBEVALUE("BIDB",$A960,I$3,I$2,'Præsentationstabeller 1'!$C$2),0)</f>
        <v/>
      </c>
      <c r="J960" t="str" vm="4010">
        <f>IFERROR(CUBEVALUE("BIDB",$A960,J$3,J$2,'Præsentationstabeller 1'!$C$2),0)</f>
        <v/>
      </c>
      <c r="K960" t="str" vm="16805">
        <f>IFERROR(CUBEVALUE("BIDB",$A960,K$3,K$2,'Præsentationstabeller 1'!$C$2),0)</f>
        <v/>
      </c>
      <c r="L960" t="str" vm="16823">
        <f>IFERROR(CUBEVALUE("BIDB",$A960,L$3,L$2,'Præsentationstabeller 1'!$C$2),0)</f>
        <v/>
      </c>
    </row>
    <row r="961" spans="1:12" x14ac:dyDescent="0.3">
      <c r="A961" s="123" t="str" vm="375">
        <f>CUBEMEMBER("BIDB","[Dimittenddato].[Dimittenddato].&amp;[2017-07-08T00:00:00]")</f>
        <v>08-07-2017</v>
      </c>
      <c r="B961" t="str" vm="4602">
        <f>IFERROR(CUBEVALUE("BIDB",$A961,B$3,'Præsentationstabeller 1'!$C$2),0)</f>
        <v/>
      </c>
      <c r="C961" t="str" vm="16204">
        <f>IFERROR(CUBEVALUE("BIDB",$A961,C$3,C$2,'Præsentationstabeller 1'!$C$2),0)</f>
        <v/>
      </c>
      <c r="D961" t="str" vm="12045">
        <f>IFERROR(CUBEVALUE("BIDB",$A961,D$3,D$2,'Præsentationstabeller 1'!$C$2),0)</f>
        <v/>
      </c>
      <c r="E961" t="str" vm="8172">
        <f>IFERROR(CUBEVALUE("BIDB",$A961,E$3,E$2,'Præsentationstabeller 1'!$C$2),0)</f>
        <v/>
      </c>
      <c r="F961" t="str" vm="4259">
        <f>IFERROR(CUBEVALUE("BIDB",$A961,F$3,F$2,'Præsentationstabeller 1'!$C$2),0)</f>
        <v/>
      </c>
      <c r="G961" t="str" vm="15032">
        <f>IFERROR(CUBEVALUE("BIDB",$A961,G$3,G$2,'Præsentationstabeller 1'!$C$2),0)</f>
        <v/>
      </c>
      <c r="H961" t="str" vm="17144">
        <f>IFERROR(CUBEVALUE("BIDB",$A961,H$3,H$2,'Præsentationstabeller 1'!$C$2),0)</f>
        <v/>
      </c>
      <c r="I961" t="str" vm="4457">
        <f>IFERROR(CUBEVALUE("BIDB",$A961,I$3,I$2,'Præsentationstabeller 1'!$C$2),0)</f>
        <v/>
      </c>
      <c r="J961" t="str" vm="4035">
        <f>IFERROR(CUBEVALUE("BIDB",$A961,J$3,J$2,'Præsentationstabeller 1'!$C$2),0)</f>
        <v/>
      </c>
      <c r="K961" t="str" vm="13989">
        <f>IFERROR(CUBEVALUE("BIDB",$A961,K$3,K$2,'Præsentationstabeller 1'!$C$2),0)</f>
        <v/>
      </c>
      <c r="L961" t="str" vm="9308">
        <f>IFERROR(CUBEVALUE("BIDB",$A961,L$3,L$2,'Præsentationstabeller 1'!$C$2),0)</f>
        <v/>
      </c>
    </row>
    <row r="962" spans="1:12" x14ac:dyDescent="0.3">
      <c r="A962" s="123" t="str" vm="374">
        <f>CUBEMEMBER("BIDB","[Dimittenddato].[Dimittenddato].&amp;[2017-07-09T00:00:00]")</f>
        <v>09-07-2017</v>
      </c>
      <c r="B962" t="str" vm="6186">
        <f>IFERROR(CUBEVALUE("BIDB",$A962,B$3,'Præsentationstabeller 1'!$C$2),0)</f>
        <v/>
      </c>
      <c r="C962" t="str" vm="13290">
        <f>IFERROR(CUBEVALUE("BIDB",$A962,C$3,C$2,'Præsentationstabeller 1'!$C$2),0)</f>
        <v/>
      </c>
      <c r="D962" t="str" vm="12932">
        <f>IFERROR(CUBEVALUE("BIDB",$A962,D$3,D$2,'Præsentationstabeller 1'!$C$2),0)</f>
        <v/>
      </c>
      <c r="E962" t="str" vm="5878">
        <f>IFERROR(CUBEVALUE("BIDB",$A962,E$3,E$2,'Præsentationstabeller 1'!$C$2),0)</f>
        <v/>
      </c>
      <c r="F962" t="str" vm="8100">
        <f>IFERROR(CUBEVALUE("BIDB",$A962,F$3,F$2,'Præsentationstabeller 1'!$C$2),0)</f>
        <v/>
      </c>
      <c r="G962" t="str" vm="16195">
        <f>IFERROR(CUBEVALUE("BIDB",$A962,G$3,G$2,'Præsentationstabeller 1'!$C$2),0)</f>
        <v/>
      </c>
      <c r="H962" t="str" vm="15004">
        <f>IFERROR(CUBEVALUE("BIDB",$A962,H$3,H$2,'Præsentationstabeller 1'!$C$2),0)</f>
        <v/>
      </c>
      <c r="I962" t="str" vm="10845">
        <f>IFERROR(CUBEVALUE("BIDB",$A962,I$3,I$2,'Præsentationstabeller 1'!$C$2),0)</f>
        <v/>
      </c>
      <c r="J962" t="str" vm="5899">
        <f>IFERROR(CUBEVALUE("BIDB",$A962,J$3,J$2,'Præsentationstabeller 1'!$C$2),0)</f>
        <v/>
      </c>
      <c r="K962" t="str" vm="15066">
        <f>IFERROR(CUBEVALUE("BIDB",$A962,K$3,K$2,'Præsentationstabeller 1'!$C$2),0)</f>
        <v/>
      </c>
      <c r="L962" t="str" vm="10788">
        <f>IFERROR(CUBEVALUE("BIDB",$A962,L$3,L$2,'Præsentationstabeller 1'!$C$2),0)</f>
        <v/>
      </c>
    </row>
    <row r="963" spans="1:12" x14ac:dyDescent="0.3">
      <c r="A963" s="123" t="str" vm="373">
        <f>CUBEMEMBER("BIDB","[Dimittenddato].[Dimittenddato].&amp;[2017-07-10T00:00:00]")</f>
        <v>10-07-2017</v>
      </c>
      <c r="B963" t="str" vm="4368">
        <f>IFERROR(CUBEVALUE("BIDB",$A963,B$3,'Præsentationstabeller 1'!$C$2),0)</f>
        <v/>
      </c>
      <c r="C963" t="str" vm="11854">
        <f>IFERROR(CUBEVALUE("BIDB",$A963,C$3,C$2,'Præsentationstabeller 1'!$C$2),0)</f>
        <v/>
      </c>
      <c r="D963" t="str" vm="14445">
        <f>IFERROR(CUBEVALUE("BIDB",$A963,D$3,D$2,'Præsentationstabeller 1'!$C$2),0)</f>
        <v/>
      </c>
      <c r="E963" t="str" vm="4752">
        <f>IFERROR(CUBEVALUE("BIDB",$A963,E$3,E$2,'Præsentationstabeller 1'!$C$2),0)</f>
        <v/>
      </c>
      <c r="F963" t="str" vm="4489">
        <f>IFERROR(CUBEVALUE("BIDB",$A963,F$3,F$2,'Præsentationstabeller 1'!$C$2),0)</f>
        <v/>
      </c>
      <c r="G963" t="str" vm="13729">
        <f>IFERROR(CUBEVALUE("BIDB",$A963,G$3,G$2,'Præsentationstabeller 1'!$C$2),0)</f>
        <v/>
      </c>
      <c r="H963" t="str" vm="9726">
        <f>IFERROR(CUBEVALUE("BIDB",$A963,H$3,H$2,'Præsentationstabeller 1'!$C$2),0)</f>
        <v/>
      </c>
      <c r="I963" t="str" vm="4289">
        <f>IFERROR(CUBEVALUE("BIDB",$A963,I$3,I$2,'Præsentationstabeller 1'!$C$2),0)</f>
        <v/>
      </c>
      <c r="J963" t="str" vm="3512">
        <f>IFERROR(CUBEVALUE("BIDB",$A963,J$3,J$2,'Præsentationstabeller 1'!$C$2),0)</f>
        <v/>
      </c>
      <c r="K963" t="str" vm="13047">
        <f>IFERROR(CUBEVALUE("BIDB",$A963,K$3,K$2,'Præsentationstabeller 1'!$C$2),0)</f>
        <v/>
      </c>
      <c r="L963" t="str" vm="10686">
        <f>IFERROR(CUBEVALUE("BIDB",$A963,L$3,L$2,'Præsentationstabeller 1'!$C$2),0)</f>
        <v/>
      </c>
    </row>
    <row r="964" spans="1:12" x14ac:dyDescent="0.3">
      <c r="A964" s="123" t="str" vm="372">
        <f>CUBEMEMBER("BIDB","[Dimittenddato].[Dimittenddato].&amp;[2017-07-11T00:00:00]")</f>
        <v>11-07-2017</v>
      </c>
      <c r="B964" t="str" vm="5836">
        <f>IFERROR(CUBEVALUE("BIDB",$A964,B$3,'Præsentationstabeller 1'!$C$2),0)</f>
        <v/>
      </c>
      <c r="C964" t="str" vm="16670">
        <f>IFERROR(CUBEVALUE("BIDB",$A964,C$3,C$2,'Præsentationstabeller 1'!$C$2),0)</f>
        <v/>
      </c>
      <c r="D964" t="str" vm="13351">
        <f>IFERROR(CUBEVALUE("BIDB",$A964,D$3,D$2,'Præsentationstabeller 1'!$C$2),0)</f>
        <v/>
      </c>
      <c r="E964" t="str" vm="4554">
        <f>IFERROR(CUBEVALUE("BIDB",$A964,E$3,E$2,'Præsentationstabeller 1'!$C$2),0)</f>
        <v/>
      </c>
      <c r="F964" t="str" vm="5677">
        <f>IFERROR(CUBEVALUE("BIDB",$A964,F$3,F$2,'Præsentationstabeller 1'!$C$2),0)</f>
        <v/>
      </c>
      <c r="G964" t="str" vm="12163">
        <f>IFERROR(CUBEVALUE("BIDB",$A964,G$3,G$2,'Præsentationstabeller 1'!$C$2),0)</f>
        <v/>
      </c>
      <c r="H964" t="str" vm="16985">
        <f>IFERROR(CUBEVALUE("BIDB",$A964,H$3,H$2,'Præsentationstabeller 1'!$C$2),0)</f>
        <v/>
      </c>
      <c r="I964" t="str" vm="7137">
        <f>IFERROR(CUBEVALUE("BIDB",$A964,I$3,I$2,'Præsentationstabeller 1'!$C$2),0)</f>
        <v/>
      </c>
      <c r="J964" t="str" vm="3994">
        <f>IFERROR(CUBEVALUE("BIDB",$A964,J$3,J$2,'Præsentationstabeller 1'!$C$2),0)</f>
        <v/>
      </c>
      <c r="K964" t="str" vm="16125">
        <f>IFERROR(CUBEVALUE("BIDB",$A964,K$3,K$2,'Præsentationstabeller 1'!$C$2),0)</f>
        <v/>
      </c>
      <c r="L964" t="str" vm="10662">
        <f>IFERROR(CUBEVALUE("BIDB",$A964,L$3,L$2,'Præsentationstabeller 1'!$C$2),0)</f>
        <v/>
      </c>
    </row>
    <row r="965" spans="1:12" x14ac:dyDescent="0.3">
      <c r="A965" s="123" t="str" vm="371">
        <f>CUBEMEMBER("BIDB","[Dimittenddato].[Dimittenddato].&amp;[2017-07-12T00:00:00]")</f>
        <v>12-07-2017</v>
      </c>
      <c r="B965" t="str" vm="5362">
        <f>IFERROR(CUBEVALUE("BIDB",$A965,B$3,'Præsentationstabeller 1'!$C$2),0)</f>
        <v/>
      </c>
      <c r="C965" t="str" vm="11645">
        <f>IFERROR(CUBEVALUE("BIDB",$A965,C$3,C$2,'Præsentationstabeller 1'!$C$2),0)</f>
        <v/>
      </c>
      <c r="D965" t="str" vm="15518">
        <f>IFERROR(CUBEVALUE("BIDB",$A965,D$3,D$2,'Præsentationstabeller 1'!$C$2),0)</f>
        <v/>
      </c>
      <c r="E965" t="str" vm="7801">
        <f>IFERROR(CUBEVALUE("BIDB",$A965,E$3,E$2,'Præsentationstabeller 1'!$C$2),0)</f>
        <v/>
      </c>
      <c r="F965" t="str" vm="15969">
        <f>IFERROR(CUBEVALUE("BIDB",$A965,F$3,F$2,'Præsentationstabeller 1'!$C$2),0)</f>
        <v/>
      </c>
      <c r="G965" t="str" vm="13836">
        <f>IFERROR(CUBEVALUE("BIDB",$A965,G$3,G$2,'Præsentationstabeller 1'!$C$2),0)</f>
        <v/>
      </c>
      <c r="H965" t="str" vm="10426">
        <f>IFERROR(CUBEVALUE("BIDB",$A965,H$3,H$2,'Præsentationstabeller 1'!$C$2),0)</f>
        <v/>
      </c>
      <c r="I965" t="str" vm="5100">
        <f>IFERROR(CUBEVALUE("BIDB",$A965,I$3,I$2,'Præsentationstabeller 1'!$C$2),0)</f>
        <v/>
      </c>
      <c r="J965" t="str" vm="10754">
        <f>IFERROR(CUBEVALUE("BIDB",$A965,J$3,J$2,'Præsentationstabeller 1'!$C$2),0)</f>
        <v/>
      </c>
      <c r="K965" t="str" vm="14483">
        <f>IFERROR(CUBEVALUE("BIDB",$A965,K$3,K$2,'Præsentationstabeller 1'!$C$2),0)</f>
        <v/>
      </c>
      <c r="L965" t="str" vm="12995">
        <f>IFERROR(CUBEVALUE("BIDB",$A965,L$3,L$2,'Præsentationstabeller 1'!$C$2),0)</f>
        <v/>
      </c>
    </row>
    <row r="966" spans="1:12" x14ac:dyDescent="0.3">
      <c r="A966" s="123" t="str" vm="370">
        <f>CUBEMEMBER("BIDB","[Dimittenddato].[Dimittenddato].&amp;[2017-07-13T00:00:00]")</f>
        <v>13-07-2017</v>
      </c>
      <c r="B966" t="str" vm="4562">
        <f>IFERROR(CUBEVALUE("BIDB",$A966,B$3,'Præsentationstabeller 1'!$C$2),0)</f>
        <v/>
      </c>
      <c r="C966" t="str" vm="10475">
        <f>IFERROR(CUBEVALUE("BIDB",$A966,C$3,C$2,'Præsentationstabeller 1'!$C$2),0)</f>
        <v/>
      </c>
      <c r="D966" t="str" vm="15793">
        <f>IFERROR(CUBEVALUE("BIDB",$A966,D$3,D$2,'Præsentationstabeller 1'!$C$2),0)</f>
        <v/>
      </c>
      <c r="E966" t="str" vm="5340">
        <f>IFERROR(CUBEVALUE("BIDB",$A966,E$3,E$2,'Præsentationstabeller 1'!$C$2),0)</f>
        <v/>
      </c>
      <c r="F966" t="str" vm="4998">
        <f>IFERROR(CUBEVALUE("BIDB",$A966,F$3,F$2,'Præsentationstabeller 1'!$C$2),0)</f>
        <v/>
      </c>
      <c r="G966" t="str" vm="12147">
        <f>IFERROR(CUBEVALUE("BIDB",$A966,G$3,G$2,'Præsentationstabeller 1'!$C$2),0)</f>
        <v/>
      </c>
      <c r="H966" t="str" vm="13438">
        <f>IFERROR(CUBEVALUE("BIDB",$A966,H$3,H$2,'Præsentationstabeller 1'!$C$2),0)</f>
        <v/>
      </c>
      <c r="I966" t="str" vm="5223">
        <f>IFERROR(CUBEVALUE("BIDB",$A966,I$3,I$2,'Præsentationstabeller 1'!$C$2),0)</f>
        <v/>
      </c>
      <c r="J966" t="str" vm="8488">
        <f>IFERROR(CUBEVALUE("BIDB",$A966,J$3,J$2,'Præsentationstabeller 1'!$C$2),0)</f>
        <v/>
      </c>
      <c r="K966" t="str" vm="10378">
        <f>IFERROR(CUBEVALUE("BIDB",$A966,K$3,K$2,'Præsentationstabeller 1'!$C$2),0)</f>
        <v/>
      </c>
      <c r="L966" t="str" vm="16114">
        <f>IFERROR(CUBEVALUE("BIDB",$A966,L$3,L$2,'Præsentationstabeller 1'!$C$2),0)</f>
        <v/>
      </c>
    </row>
    <row r="967" spans="1:12" x14ac:dyDescent="0.3">
      <c r="A967" s="123" t="str" vm="369">
        <f>CUBEMEMBER("BIDB","[Dimittenddato].[Dimittenddato].&amp;[2017-07-14T00:00:00]")</f>
        <v>14-07-2017</v>
      </c>
      <c r="B967" t="str" vm="4360">
        <f>IFERROR(CUBEVALUE("BIDB",$A967,B$3,'Præsentationstabeller 1'!$C$2),0)</f>
        <v/>
      </c>
      <c r="C967" t="str" vm="14685">
        <f>IFERROR(CUBEVALUE("BIDB",$A967,C$3,C$2,'Præsentationstabeller 1'!$C$2),0)</f>
        <v/>
      </c>
      <c r="D967" t="str" vm="17000">
        <f>IFERROR(CUBEVALUE("BIDB",$A967,D$3,D$2,'Præsentationstabeller 1'!$C$2),0)</f>
        <v/>
      </c>
      <c r="E967" t="str" vm="5198">
        <f>IFERROR(CUBEVALUE("BIDB",$A967,E$3,E$2,'Præsentationstabeller 1'!$C$2),0)</f>
        <v/>
      </c>
      <c r="F967" t="str" vm="4473">
        <f>IFERROR(CUBEVALUE("BIDB",$A967,F$3,F$2,'Præsentationstabeller 1'!$C$2),0)</f>
        <v/>
      </c>
      <c r="G967" t="str" vm="15111">
        <f>IFERROR(CUBEVALUE("BIDB",$A967,G$3,G$2,'Præsentationstabeller 1'!$C$2),0)</f>
        <v/>
      </c>
      <c r="H967" t="str" vm="10830">
        <f>IFERROR(CUBEVALUE("BIDB",$A967,H$3,H$2,'Præsentationstabeller 1'!$C$2),0)</f>
        <v/>
      </c>
      <c r="I967" t="str" vm="4147">
        <f>IFERROR(CUBEVALUE("BIDB",$A967,I$3,I$2,'Præsentationstabeller 1'!$C$2),0)</f>
        <v/>
      </c>
      <c r="J967" t="str" vm="4782">
        <f>IFERROR(CUBEVALUE("BIDB",$A967,J$3,J$2,'Præsentationstabeller 1'!$C$2),0)</f>
        <v/>
      </c>
      <c r="K967" t="str" vm="17081">
        <f>IFERROR(CUBEVALUE("BIDB",$A967,K$3,K$2,'Præsentationstabeller 1'!$C$2),0)</f>
        <v/>
      </c>
      <c r="L967" t="str" vm="9999">
        <f>IFERROR(CUBEVALUE("BIDB",$A967,L$3,L$2,'Præsentationstabeller 1'!$C$2),0)</f>
        <v/>
      </c>
    </row>
    <row r="968" spans="1:12" x14ac:dyDescent="0.3">
      <c r="A968" s="123" t="str" vm="368">
        <f>CUBEMEMBER("BIDB","[Dimittenddato].[Dimittenddato].&amp;[2017-07-15T00:00:00]")</f>
        <v>15-07-2017</v>
      </c>
      <c r="B968" t="str" vm="7796">
        <f>IFERROR(CUBEVALUE("BIDB",$A968,B$3,'Præsentationstabeller 1'!$C$2),0)</f>
        <v/>
      </c>
      <c r="C968" t="str" vm="14583">
        <f>IFERROR(CUBEVALUE("BIDB",$A968,C$3,C$2,'Præsentationstabeller 1'!$C$2),0)</f>
        <v/>
      </c>
      <c r="D968" t="str" vm="17159">
        <f>IFERROR(CUBEVALUE("BIDB",$A968,D$3,D$2,'Præsentationstabeller 1'!$C$2),0)</f>
        <v/>
      </c>
      <c r="E968" t="str" vm="3798">
        <f>IFERROR(CUBEVALUE("BIDB",$A968,E$3,E$2,'Præsentationstabeller 1'!$C$2),0)</f>
        <v/>
      </c>
      <c r="F968" t="str" vm="8923">
        <f>IFERROR(CUBEVALUE("BIDB",$A968,F$3,F$2,'Præsentationstabeller 1'!$C$2),0)</f>
        <v/>
      </c>
      <c r="G968" t="str" vm="16951">
        <f>IFERROR(CUBEVALUE("BIDB",$A968,G$3,G$2,'Præsentationstabeller 1'!$C$2),0)</f>
        <v/>
      </c>
      <c r="H968" t="str" vm="12381">
        <f>IFERROR(CUBEVALUE("BIDB",$A968,H$3,H$2,'Præsentationstabeller 1'!$C$2),0)</f>
        <v/>
      </c>
      <c r="I968" t="str" vm="7860">
        <f>IFERROR(CUBEVALUE("BIDB",$A968,I$3,I$2,'Præsentationstabeller 1'!$C$2),0)</f>
        <v/>
      </c>
      <c r="J968" t="str" vm="3839">
        <f>IFERROR(CUBEVALUE("BIDB",$A968,J$3,J$2,'Præsentationstabeller 1'!$C$2),0)</f>
        <v/>
      </c>
      <c r="K968" t="str" vm="12550">
        <f>IFERROR(CUBEVALUE("BIDB",$A968,K$3,K$2,'Præsentationstabeller 1'!$C$2),0)</f>
        <v/>
      </c>
      <c r="L968" t="str" vm="11015">
        <f>IFERROR(CUBEVALUE("BIDB",$A968,L$3,L$2,'Præsentationstabeller 1'!$C$2),0)</f>
        <v/>
      </c>
    </row>
    <row r="969" spans="1:12" x14ac:dyDescent="0.3">
      <c r="A969" s="123" t="str" vm="367">
        <f>CUBEMEMBER("BIDB","[Dimittenddato].[Dimittenddato].&amp;[2017-07-16T00:00:00]")</f>
        <v>16-07-2017</v>
      </c>
      <c r="B969" t="str" vm="6993">
        <f>IFERROR(CUBEVALUE("BIDB",$A969,B$3,'Præsentationstabeller 1'!$C$2),0)</f>
        <v/>
      </c>
      <c r="C969" t="str" vm="14603">
        <f>IFERROR(CUBEVALUE("BIDB",$A969,C$3,C$2,'Præsentationstabeller 1'!$C$2),0)</f>
        <v/>
      </c>
      <c r="D969" t="str" vm="12403">
        <f>IFERROR(CUBEVALUE("BIDB",$A969,D$3,D$2,'Præsentationstabeller 1'!$C$2),0)</f>
        <v/>
      </c>
      <c r="E969" t="str" vm="4522">
        <f>IFERROR(CUBEVALUE("BIDB",$A969,E$3,E$2,'Præsentationstabeller 1'!$C$2),0)</f>
        <v/>
      </c>
      <c r="F969" t="str" vm="6005">
        <f>IFERROR(CUBEVALUE("BIDB",$A969,F$3,F$2,'Præsentationstabeller 1'!$C$2),0)</f>
        <v/>
      </c>
      <c r="G969" t="str" vm="16613">
        <f>IFERROR(CUBEVALUE("BIDB",$A969,G$3,G$2,'Præsentationstabeller 1'!$C$2),0)</f>
        <v/>
      </c>
      <c r="H969" t="str" vm="15242">
        <f>IFERROR(CUBEVALUE("BIDB",$A969,H$3,H$2,'Præsentationstabeller 1'!$C$2),0)</f>
        <v/>
      </c>
      <c r="I969" t="str" vm="3871">
        <f>IFERROR(CUBEVALUE("BIDB",$A969,I$3,I$2,'Præsentationstabeller 1'!$C$2),0)</f>
        <v/>
      </c>
      <c r="J969" t="str" vm="6256">
        <f>IFERROR(CUBEVALUE("BIDB",$A969,J$3,J$2,'Præsentationstabeller 1'!$C$2),0)</f>
        <v/>
      </c>
      <c r="K969" t="str" vm="12005">
        <f>IFERROR(CUBEVALUE("BIDB",$A969,K$3,K$2,'Præsentationstabeller 1'!$C$2),0)</f>
        <v/>
      </c>
      <c r="L969" t="str" vm="15232">
        <f>IFERROR(CUBEVALUE("BIDB",$A969,L$3,L$2,'Præsentationstabeller 1'!$C$2),0)</f>
        <v/>
      </c>
    </row>
    <row r="970" spans="1:12" x14ac:dyDescent="0.3">
      <c r="A970" s="123" t="str" vm="366">
        <f>CUBEMEMBER("BIDB","[Dimittenddato].[Dimittenddato].&amp;[2017-07-17T00:00:00]")</f>
        <v>17-07-2017</v>
      </c>
      <c r="B970" t="str" vm="4558">
        <f>IFERROR(CUBEVALUE("BIDB",$A970,B$3,'Præsentationstabeller 1'!$C$2),0)</f>
        <v/>
      </c>
      <c r="C970" t="str" vm="12210">
        <f>IFERROR(CUBEVALUE("BIDB",$A970,C$3,C$2,'Præsentationstabeller 1'!$C$2),0)</f>
        <v/>
      </c>
      <c r="D970" t="str" vm="14151">
        <f>IFERROR(CUBEVALUE("BIDB",$A970,D$3,D$2,'Præsentationstabeller 1'!$C$2),0)</f>
        <v/>
      </c>
      <c r="E970" t="str" vm="3526">
        <f>IFERROR(CUBEVALUE("BIDB",$A970,E$3,E$2,'Præsentationstabeller 1'!$C$2),0)</f>
        <v/>
      </c>
      <c r="F970" t="str" vm="6494">
        <f>IFERROR(CUBEVALUE("BIDB",$A970,F$3,F$2,'Præsentationstabeller 1'!$C$2),0)</f>
        <v/>
      </c>
      <c r="G970" t="str" vm="13032">
        <f>IFERROR(CUBEVALUE("BIDB",$A970,G$3,G$2,'Præsentationstabeller 1'!$C$2),0)</f>
        <v/>
      </c>
      <c r="H970" t="str" vm="13500">
        <f>IFERROR(CUBEVALUE("BIDB",$A970,H$3,H$2,'Præsentationstabeller 1'!$C$2),0)</f>
        <v/>
      </c>
      <c r="I970" t="str" vm="5215">
        <f>IFERROR(CUBEVALUE("BIDB",$A970,I$3,I$2,'Præsentationstabeller 1'!$C$2),0)</f>
        <v/>
      </c>
      <c r="J970" t="str" vm="6997">
        <f>IFERROR(CUBEVALUE("BIDB",$A970,J$3,J$2,'Præsentationstabeller 1'!$C$2),0)</f>
        <v/>
      </c>
      <c r="K970" t="str" vm="15517">
        <f>IFERROR(CUBEVALUE("BIDB",$A970,K$3,K$2,'Præsentationstabeller 1'!$C$2),0)</f>
        <v/>
      </c>
      <c r="L970" t="str" vm="14348">
        <f>IFERROR(CUBEVALUE("BIDB",$A970,L$3,L$2,'Præsentationstabeller 1'!$C$2),0)</f>
        <v/>
      </c>
    </row>
    <row r="971" spans="1:12" x14ac:dyDescent="0.3">
      <c r="A971" s="123" t="str" vm="365">
        <f>CUBEMEMBER("BIDB","[Dimittenddato].[Dimittenddato].&amp;[2017-07-18T00:00:00]")</f>
        <v>18-07-2017</v>
      </c>
      <c r="B971" t="str" vm="6394">
        <f>IFERROR(CUBEVALUE("BIDB",$A971,B$3,'Præsentationstabeller 1'!$C$2),0)</f>
        <v/>
      </c>
      <c r="C971" t="str" vm="14882">
        <f>IFERROR(CUBEVALUE("BIDB",$A971,C$3,C$2,'Præsentationstabeller 1'!$C$2),0)</f>
        <v/>
      </c>
      <c r="D971" t="str" vm="12807">
        <f>IFERROR(CUBEVALUE("BIDB",$A971,D$3,D$2,'Præsentationstabeller 1'!$C$2),0)</f>
        <v/>
      </c>
      <c r="E971" t="str" vm="4637">
        <f>IFERROR(CUBEVALUE("BIDB",$A971,E$3,E$2,'Præsentationstabeller 1'!$C$2),0)</f>
        <v/>
      </c>
      <c r="F971" t="str" vm="3725">
        <f>IFERROR(CUBEVALUE("BIDB",$A971,F$3,F$2,'Præsentationstabeller 1'!$C$2),0)</f>
        <v/>
      </c>
      <c r="G971" t="str" vm="12054">
        <f>IFERROR(CUBEVALUE("BIDB",$A971,G$3,G$2,'Præsentationstabeller 1'!$C$2),0)</f>
        <v/>
      </c>
      <c r="H971" t="str" vm="13546">
        <f>IFERROR(CUBEVALUE("BIDB",$A971,H$3,H$2,'Præsentationstabeller 1'!$C$2),0)</f>
        <v/>
      </c>
      <c r="I971" t="str" vm="6764">
        <f>IFERROR(CUBEVALUE("BIDB",$A971,I$3,I$2,'Præsentationstabeller 1'!$C$2),0)</f>
        <v/>
      </c>
      <c r="J971" t="str" vm="5970">
        <f>IFERROR(CUBEVALUE("BIDB",$A971,J$3,J$2,'Præsentationstabeller 1'!$C$2),0)</f>
        <v/>
      </c>
      <c r="K971" t="str" vm="10394">
        <f>IFERROR(CUBEVALUE("BIDB",$A971,K$3,K$2,'Præsentationstabeller 1'!$C$2),0)</f>
        <v/>
      </c>
      <c r="L971" t="str" vm="7920">
        <f>IFERROR(CUBEVALUE("BIDB",$A971,L$3,L$2,'Præsentationstabeller 1'!$C$2),0)</f>
        <v/>
      </c>
    </row>
    <row r="972" spans="1:12" x14ac:dyDescent="0.3">
      <c r="A972" s="123" t="str" vm="364">
        <f>CUBEMEMBER("BIDB","[Dimittenddato].[Dimittenddato].&amp;[2017-07-19T00:00:00]")</f>
        <v>19-07-2017</v>
      </c>
      <c r="B972" t="str" vm="4858">
        <f>IFERROR(CUBEVALUE("BIDB",$A972,B$3,'Præsentationstabeller 1'!$C$2),0)</f>
        <v/>
      </c>
      <c r="C972" t="str" vm="15911">
        <f>IFERROR(CUBEVALUE("BIDB",$A972,C$3,C$2,'Præsentationstabeller 1'!$C$2),0)</f>
        <v/>
      </c>
      <c r="D972" t="str" vm="9927">
        <f>IFERROR(CUBEVALUE("BIDB",$A972,D$3,D$2,'Præsentationstabeller 1'!$C$2),0)</f>
        <v/>
      </c>
      <c r="E972" t="str" vm="3757">
        <f>IFERROR(CUBEVALUE("BIDB",$A972,E$3,E$2,'Præsentationstabeller 1'!$C$2),0)</f>
        <v/>
      </c>
      <c r="F972" t="str" vm="6926">
        <f>IFERROR(CUBEVALUE("BIDB",$A972,F$3,F$2,'Præsentationstabeller 1'!$C$2),0)</f>
        <v/>
      </c>
      <c r="G972" t="str" vm="16658">
        <f>IFERROR(CUBEVALUE("BIDB",$A972,G$3,G$2,'Præsentationstabeller 1'!$C$2),0)</f>
        <v/>
      </c>
      <c r="H972" t="str" vm="14683">
        <f>IFERROR(CUBEVALUE("BIDB",$A972,H$3,H$2,'Præsentationstabeller 1'!$C$2),0)</f>
        <v/>
      </c>
      <c r="I972" t="str" vm="4883">
        <f>IFERROR(CUBEVALUE("BIDB",$A972,I$3,I$2,'Præsentationstabeller 1'!$C$2),0)</f>
        <v/>
      </c>
      <c r="J972" t="str" vm="4248">
        <f>IFERROR(CUBEVALUE("BIDB",$A972,J$3,J$2,'Præsentationstabeller 1'!$C$2),0)</f>
        <v/>
      </c>
      <c r="K972" t="str" vm="14841">
        <f>IFERROR(CUBEVALUE("BIDB",$A972,K$3,K$2,'Præsentationstabeller 1'!$C$2),0)</f>
        <v/>
      </c>
      <c r="L972" t="str" vm="12322">
        <f>IFERROR(CUBEVALUE("BIDB",$A972,L$3,L$2,'Præsentationstabeller 1'!$C$2),0)</f>
        <v/>
      </c>
    </row>
    <row r="973" spans="1:12" x14ac:dyDescent="0.3">
      <c r="A973" s="123" t="str" vm="363">
        <f>CUBEMEMBER("BIDB","[Dimittenddato].[Dimittenddato].&amp;[2017-07-20T00:00:00]")</f>
        <v>20-07-2017</v>
      </c>
      <c r="B973" t="str" vm="6982">
        <f>IFERROR(CUBEVALUE("BIDB",$A973,B$3,'Præsentationstabeller 1'!$C$2),0)</f>
        <v/>
      </c>
      <c r="C973" t="str" vm="15912">
        <f>IFERROR(CUBEVALUE("BIDB",$A973,C$3,C$2,'Præsentationstabeller 1'!$C$2),0)</f>
        <v/>
      </c>
      <c r="D973" t="str" vm="15309">
        <f>IFERROR(CUBEVALUE("BIDB",$A973,D$3,D$2,'Præsentationstabeller 1'!$C$2),0)</f>
        <v/>
      </c>
      <c r="E973" t="str" vm="4514">
        <f>IFERROR(CUBEVALUE("BIDB",$A973,E$3,E$2,'Præsentationstabeller 1'!$C$2),0)</f>
        <v/>
      </c>
      <c r="F973" t="str" vm="5467">
        <f>IFERROR(CUBEVALUE("BIDB",$A973,F$3,F$2,'Præsentationstabeller 1'!$C$2),0)</f>
        <v/>
      </c>
      <c r="G973" t="str" vm="14641">
        <f>IFERROR(CUBEVALUE("BIDB",$A973,G$3,G$2,'Præsentationstabeller 1'!$C$2),0)</f>
        <v/>
      </c>
      <c r="H973" t="str" vm="16372">
        <f>IFERROR(CUBEVALUE("BIDB",$A973,H$3,H$2,'Præsentationstabeller 1'!$C$2),0)</f>
        <v/>
      </c>
      <c r="I973" t="str" vm="3855">
        <f>IFERROR(CUBEVALUE("BIDB",$A973,I$3,I$2,'Præsentationstabeller 1'!$C$2),0)</f>
        <v/>
      </c>
      <c r="J973" t="str" vm="5521">
        <f>IFERROR(CUBEVALUE("BIDB",$A973,J$3,J$2,'Præsentationstabeller 1'!$C$2),0)</f>
        <v/>
      </c>
      <c r="K973" t="str" vm="13947">
        <f>IFERROR(CUBEVALUE("BIDB",$A973,K$3,K$2,'Præsentationstabeller 1'!$C$2),0)</f>
        <v/>
      </c>
      <c r="L973" t="str" vm="9766">
        <f>IFERROR(CUBEVALUE("BIDB",$A973,L$3,L$2,'Præsentationstabeller 1'!$C$2),0)</f>
        <v/>
      </c>
    </row>
    <row r="974" spans="1:12" x14ac:dyDescent="0.3">
      <c r="A974" s="123" t="str" vm="362">
        <f>CUBEMEMBER("BIDB","[Dimittenddato].[Dimittenddato].&amp;[2017-07-21T00:00:00]")</f>
        <v>21-07-2017</v>
      </c>
      <c r="B974" t="str" vm="4207">
        <f>IFERROR(CUBEVALUE("BIDB",$A974,B$3,'Præsentationstabeller 1'!$C$2),0)</f>
        <v/>
      </c>
      <c r="C974" t="str" vm="9377">
        <f>IFERROR(CUBEVALUE("BIDB",$A974,C$3,C$2,'Præsentationstabeller 1'!$C$2),0)</f>
        <v/>
      </c>
      <c r="D974" t="str" vm="14901">
        <f>IFERROR(CUBEVALUE("BIDB",$A974,D$3,D$2,'Præsentationstabeller 1'!$C$2),0)</f>
        <v/>
      </c>
      <c r="E974" t="str" vm="6920">
        <f>IFERROR(CUBEVALUE("BIDB",$A974,E$3,E$2,'Præsentationstabeller 1'!$C$2),0)</f>
        <v/>
      </c>
      <c r="F974" t="str" vm="5489">
        <f>IFERROR(CUBEVALUE("BIDB",$A974,F$3,F$2,'Præsentationstabeller 1'!$C$2),0)</f>
        <v/>
      </c>
      <c r="G974" t="str" vm="15766">
        <f>IFERROR(CUBEVALUE("BIDB",$A974,G$3,G$2,'Præsentationstabeller 1'!$C$2),0)</f>
        <v/>
      </c>
      <c r="H974" t="str" vm="15993">
        <f>IFERROR(CUBEVALUE("BIDB",$A974,H$3,H$2,'Præsentationstabeller 1'!$C$2),0)</f>
        <v/>
      </c>
      <c r="I974" t="str" vm="6515">
        <f>IFERROR(CUBEVALUE("BIDB",$A974,I$3,I$2,'Præsentationstabeller 1'!$C$2),0)</f>
        <v/>
      </c>
      <c r="J974" t="str" vm="5012">
        <f>IFERROR(CUBEVALUE("BIDB",$A974,J$3,J$2,'Præsentationstabeller 1'!$C$2),0)</f>
        <v/>
      </c>
      <c r="K974" t="str" vm="9774">
        <f>IFERROR(CUBEVALUE("BIDB",$A974,K$3,K$2,'Præsentationstabeller 1'!$C$2),0)</f>
        <v/>
      </c>
      <c r="L974" t="str" vm="11319">
        <f>IFERROR(CUBEVALUE("BIDB",$A974,L$3,L$2,'Præsentationstabeller 1'!$C$2),0)</f>
        <v/>
      </c>
    </row>
    <row r="975" spans="1:12" x14ac:dyDescent="0.3">
      <c r="A975" s="123" t="str" vm="361">
        <f>CUBEMEMBER("BIDB","[Dimittenddato].[Dimittenddato].&amp;[2017-07-22T00:00:00]")</f>
        <v>22-07-2017</v>
      </c>
      <c r="B975" t="str" vm="9645">
        <f>IFERROR(CUBEVALUE("BIDB",$A975,B$3,'Præsentationstabeller 1'!$C$2),0)</f>
        <v/>
      </c>
      <c r="C975" t="str" vm="16005">
        <f>IFERROR(CUBEVALUE("BIDB",$A975,C$3,C$2,'Præsentationstabeller 1'!$C$2),0)</f>
        <v/>
      </c>
      <c r="D975" t="str" vm="11101">
        <f>IFERROR(CUBEVALUE("BIDB",$A975,D$3,D$2,'Præsentationstabeller 1'!$C$2),0)</f>
        <v/>
      </c>
      <c r="E975" t="str" vm="3260">
        <f>IFERROR(CUBEVALUE("BIDB",$A975,E$3,E$2,'Præsentationstabeller 1'!$C$2),0)</f>
        <v/>
      </c>
      <c r="F975" t="str" vm="5642">
        <f>IFERROR(CUBEVALUE("BIDB",$A975,F$3,F$2,'Præsentationstabeller 1'!$C$2),0)</f>
        <v/>
      </c>
      <c r="G975" t="str" vm="15658">
        <f>IFERROR(CUBEVALUE("BIDB",$A975,G$3,G$2,'Præsentationstabeller 1'!$C$2),0)</f>
        <v/>
      </c>
      <c r="H975" t="str" vm="14425">
        <f>IFERROR(CUBEVALUE("BIDB",$A975,H$3,H$2,'Præsentationstabeller 1'!$C$2),0)</f>
        <v/>
      </c>
      <c r="I975" t="str" vm="5624">
        <f>IFERROR(CUBEVALUE("BIDB",$A975,I$3,I$2,'Præsentationstabeller 1'!$C$2),0)</f>
        <v/>
      </c>
      <c r="J975" t="str" vm="4823">
        <f>IFERROR(CUBEVALUE("BIDB",$A975,J$3,J$2,'Præsentationstabeller 1'!$C$2),0)</f>
        <v/>
      </c>
      <c r="K975" t="str" vm="16368">
        <f>IFERROR(CUBEVALUE("BIDB",$A975,K$3,K$2,'Præsentationstabeller 1'!$C$2),0)</f>
        <v/>
      </c>
      <c r="L975" t="str" vm="9119">
        <f>IFERROR(CUBEVALUE("BIDB",$A975,L$3,L$2,'Præsentationstabeller 1'!$C$2),0)</f>
        <v/>
      </c>
    </row>
    <row r="976" spans="1:12" x14ac:dyDescent="0.3">
      <c r="A976" s="123" t="str" vm="360">
        <f>CUBEMEMBER("BIDB","[Dimittenddato].[Dimittenddato].&amp;[2017-07-23T00:00:00]")</f>
        <v>23-07-2017</v>
      </c>
      <c r="B976" t="str" vm="5042">
        <f>IFERROR(CUBEVALUE("BIDB",$A976,B$3,'Præsentationstabeller 1'!$C$2),0)</f>
        <v/>
      </c>
      <c r="C976" t="str" vm="11530">
        <f>IFERROR(CUBEVALUE("BIDB",$A976,C$3,C$2,'Præsentationstabeller 1'!$C$2),0)</f>
        <v/>
      </c>
      <c r="D976" t="str" vm="13450">
        <f>IFERROR(CUBEVALUE("BIDB",$A976,D$3,D$2,'Præsentationstabeller 1'!$C$2),0)</f>
        <v/>
      </c>
      <c r="E976" t="str" vm="3741">
        <f>IFERROR(CUBEVALUE("BIDB",$A976,E$3,E$2,'Præsentationstabeller 1'!$C$2),0)</f>
        <v/>
      </c>
      <c r="F976" t="str" vm="6144">
        <f>IFERROR(CUBEVALUE("BIDB",$A976,F$3,F$2,'Præsentationstabeller 1'!$C$2),0)</f>
        <v/>
      </c>
      <c r="G976" t="str" vm="16607">
        <f>IFERROR(CUBEVALUE("BIDB",$A976,G$3,G$2,'Præsentationstabeller 1'!$C$2),0)</f>
        <v/>
      </c>
      <c r="H976" t="str" vm="13550">
        <f>IFERROR(CUBEVALUE("BIDB",$A976,H$3,H$2,'Præsentationstabeller 1'!$C$2),0)</f>
        <v/>
      </c>
      <c r="I976" t="str" vm="4024">
        <f>IFERROR(CUBEVALUE("BIDB",$A976,I$3,I$2,'Præsentationstabeller 1'!$C$2),0)</f>
        <v/>
      </c>
      <c r="J976" t="str" vm="4237">
        <f>IFERROR(CUBEVALUE("BIDB",$A976,J$3,J$2,'Præsentationstabeller 1'!$C$2),0)</f>
        <v/>
      </c>
      <c r="K976" t="str" vm="12908">
        <f>IFERROR(CUBEVALUE("BIDB",$A976,K$3,K$2,'Præsentationstabeller 1'!$C$2),0)</f>
        <v/>
      </c>
      <c r="L976" t="str" vm="13285">
        <f>IFERROR(CUBEVALUE("BIDB",$A976,L$3,L$2,'Præsentationstabeller 1'!$C$2),0)</f>
        <v/>
      </c>
    </row>
    <row r="977" spans="1:12" x14ac:dyDescent="0.3">
      <c r="A977" s="123" t="str" vm="359">
        <f>CUBEMEMBER("BIDB","[Dimittenddato].[Dimittenddato].&amp;[2017-07-24T00:00:00]")</f>
        <v>24-07-2017</v>
      </c>
      <c r="B977" t="str" vm="5929">
        <f>IFERROR(CUBEVALUE("BIDB",$A977,B$3,'Præsentationstabeller 1'!$C$2),0)</f>
        <v/>
      </c>
      <c r="C977" t="str" vm="13027">
        <f>IFERROR(CUBEVALUE("BIDB",$A977,C$3,C$2,'Præsentationstabeller 1'!$C$2),0)</f>
        <v/>
      </c>
      <c r="D977" t="str" vm="13874">
        <f>IFERROR(CUBEVALUE("BIDB",$A977,D$3,D$2,'Præsentationstabeller 1'!$C$2),0)</f>
        <v/>
      </c>
      <c r="E977" t="str" vm="9100">
        <f>IFERROR(CUBEVALUE("BIDB",$A977,E$3,E$2,'Præsentationstabeller 1'!$C$2),0)</f>
        <v/>
      </c>
      <c r="F977" t="str" vm="10431">
        <f>IFERROR(CUBEVALUE("BIDB",$A977,F$3,F$2,'Præsentationstabeller 1'!$C$2),0)</f>
        <v/>
      </c>
      <c r="G977" t="str" vm="16964">
        <f>IFERROR(CUBEVALUE("BIDB",$A977,G$3,G$2,'Præsentationstabeller 1'!$C$2),0)</f>
        <v/>
      </c>
      <c r="H977" t="str" vm="13493">
        <f>IFERROR(CUBEVALUE("BIDB",$A977,H$3,H$2,'Præsentationstabeller 1'!$C$2),0)</f>
        <v/>
      </c>
      <c r="I977" t="str" vm="5314">
        <f>IFERROR(CUBEVALUE("BIDB",$A977,I$3,I$2,'Præsentationstabeller 1'!$C$2),0)</f>
        <v/>
      </c>
      <c r="J977" t="str" vm="5519">
        <f>IFERROR(CUBEVALUE("BIDB",$A977,J$3,J$2,'Præsentationstabeller 1'!$C$2),0)</f>
        <v/>
      </c>
      <c r="K977" t="str" vm="15885">
        <f>IFERROR(CUBEVALUE("BIDB",$A977,K$3,K$2,'Præsentationstabeller 1'!$C$2),0)</f>
        <v/>
      </c>
      <c r="L977" t="str" vm="10518">
        <f>IFERROR(CUBEVALUE("BIDB",$A977,L$3,L$2,'Præsentationstabeller 1'!$C$2),0)</f>
        <v/>
      </c>
    </row>
    <row r="978" spans="1:12" x14ac:dyDescent="0.3">
      <c r="A978" s="123" t="str" vm="358">
        <f>CUBEMEMBER("BIDB","[Dimittenddato].[Dimittenddato].&amp;[2017-07-25T00:00:00]")</f>
        <v>25-07-2017</v>
      </c>
      <c r="B978" t="str" vm="5867">
        <f>IFERROR(CUBEVALUE("BIDB",$A978,B$3,'Præsentationstabeller 1'!$C$2),0)</f>
        <v/>
      </c>
      <c r="C978" t="str" vm="14252">
        <f>IFERROR(CUBEVALUE("BIDB",$A978,C$3,C$2,'Præsentationstabeller 1'!$C$2),0)</f>
        <v/>
      </c>
      <c r="D978" t="str" vm="16842">
        <f>IFERROR(CUBEVALUE("BIDB",$A978,D$3,D$2,'Præsentationstabeller 1'!$C$2),0)</f>
        <v/>
      </c>
      <c r="E978" t="str" vm="7132">
        <f>IFERROR(CUBEVALUE("BIDB",$A978,E$3,E$2,'Præsentationstabeller 1'!$C$2),0)</f>
        <v/>
      </c>
      <c r="F978" t="str" vm="4349">
        <f>IFERROR(CUBEVALUE("BIDB",$A978,F$3,F$2,'Præsentationstabeller 1'!$C$2),0)</f>
        <v/>
      </c>
      <c r="G978" t="str" vm="11553">
        <f>IFERROR(CUBEVALUE("BIDB",$A978,G$3,G$2,'Præsentationstabeller 1'!$C$2),0)</f>
        <v/>
      </c>
      <c r="H978" t="str" vm="16108">
        <f>IFERROR(CUBEVALUE("BIDB",$A978,H$3,H$2,'Præsentationstabeller 1'!$C$2),0)</f>
        <v/>
      </c>
      <c r="I978" t="str" vm="7520">
        <f>IFERROR(CUBEVALUE("BIDB",$A978,I$3,I$2,'Præsentationstabeller 1'!$C$2),0)</f>
        <v/>
      </c>
      <c r="J978" t="str" vm="10442">
        <f>IFERROR(CUBEVALUE("BIDB",$A978,J$3,J$2,'Præsentationstabeller 1'!$C$2),0)</f>
        <v/>
      </c>
      <c r="K978" t="str" vm="11268">
        <f>IFERROR(CUBEVALUE("BIDB",$A978,K$3,K$2,'Præsentationstabeller 1'!$C$2),0)</f>
        <v/>
      </c>
      <c r="L978" t="str" vm="10047">
        <f>IFERROR(CUBEVALUE("BIDB",$A978,L$3,L$2,'Præsentationstabeller 1'!$C$2),0)</f>
        <v/>
      </c>
    </row>
    <row r="979" spans="1:12" x14ac:dyDescent="0.3">
      <c r="A979" s="123" t="str" vm="357">
        <f>CUBEMEMBER("BIDB","[Dimittenddato].[Dimittenddato].&amp;[2017-07-26T00:00:00]")</f>
        <v>26-07-2017</v>
      </c>
      <c r="B979" t="str" vm="5092">
        <f>IFERROR(CUBEVALUE("BIDB",$A979,B$3,'Præsentationstabeller 1'!$C$2),0)</f>
        <v/>
      </c>
      <c r="C979" t="str" vm="9393">
        <f>IFERROR(CUBEVALUE("BIDB",$A979,C$3,C$2,'Præsentationstabeller 1'!$C$2),0)</f>
        <v/>
      </c>
      <c r="D979" t="str" vm="15088">
        <f>IFERROR(CUBEVALUE("BIDB",$A979,D$3,D$2,'Præsentationstabeller 1'!$C$2),0)</f>
        <v/>
      </c>
      <c r="E979" t="str" vm="5589">
        <f>IFERROR(CUBEVALUE("BIDB",$A979,E$3,E$2,'Præsentationstabeller 1'!$C$2),0)</f>
        <v/>
      </c>
      <c r="F979" t="str" vm="5322">
        <f>IFERROR(CUBEVALUE("BIDB",$A979,F$3,F$2,'Præsentationstabeller 1'!$C$2),0)</f>
        <v/>
      </c>
      <c r="G979" t="str" vm="12586">
        <f>IFERROR(CUBEVALUE("BIDB",$A979,G$3,G$2,'Præsentationstabeller 1'!$C$2),0)</f>
        <v/>
      </c>
      <c r="H979" t="str" vm="10471">
        <f>IFERROR(CUBEVALUE("BIDB",$A979,H$3,H$2,'Præsentationstabeller 1'!$C$2),0)</f>
        <v/>
      </c>
      <c r="I979" t="str" vm="4327">
        <f>IFERROR(CUBEVALUE("BIDB",$A979,I$3,I$2,'Præsentationstabeller 1'!$C$2),0)</f>
        <v/>
      </c>
      <c r="J979" t="str" vm="4745">
        <f>IFERROR(CUBEVALUE("BIDB",$A979,J$3,J$2,'Præsentationstabeller 1'!$C$2),0)</f>
        <v/>
      </c>
      <c r="K979" t="str" vm="16556">
        <f>IFERROR(CUBEVALUE("BIDB",$A979,K$3,K$2,'Præsentationstabeller 1'!$C$2),0)</f>
        <v/>
      </c>
      <c r="L979" t="str" vm="15611">
        <f>IFERROR(CUBEVALUE("BIDB",$A979,L$3,L$2,'Præsentationstabeller 1'!$C$2),0)</f>
        <v/>
      </c>
    </row>
    <row r="980" spans="1:12" x14ac:dyDescent="0.3">
      <c r="A980" s="123" t="str" vm="356">
        <f>CUBEMEMBER("BIDB","[Dimittenddato].[Dimittenddato].&amp;[2017-07-27T00:00:00]")</f>
        <v>27-07-2017</v>
      </c>
      <c r="B980" t="str" vm="4897">
        <f>IFERROR(CUBEVALUE("BIDB",$A980,B$3,'Præsentationstabeller 1'!$C$2),0)</f>
        <v/>
      </c>
      <c r="C980" t="str" vm="14331">
        <f>IFERROR(CUBEVALUE("BIDB",$A980,C$3,C$2,'Præsentationstabeller 1'!$C$2),0)</f>
        <v/>
      </c>
      <c r="D980" t="str" vm="16418">
        <f>IFERROR(CUBEVALUE("BIDB",$A980,D$3,D$2,'Præsentationstabeller 1'!$C$2),0)</f>
        <v/>
      </c>
      <c r="E980" t="str" vm="3587">
        <f>IFERROR(CUBEVALUE("BIDB",$A980,E$3,E$2,'Præsentationstabeller 1'!$C$2),0)</f>
        <v/>
      </c>
      <c r="F980" t="str" vm="6136">
        <f>IFERROR(CUBEVALUE("BIDB",$A980,F$3,F$2,'Præsentationstabeller 1'!$C$2),0)</f>
        <v/>
      </c>
      <c r="G980" t="str" vm="15798">
        <f>IFERROR(CUBEVALUE("BIDB",$A980,G$3,G$2,'Præsentationstabeller 1'!$C$2),0)</f>
        <v/>
      </c>
      <c r="H980" t="str" vm="12445">
        <f>IFERROR(CUBEVALUE("BIDB",$A980,H$3,H$2,'Præsentationstabeller 1'!$C$2),0)</f>
        <v/>
      </c>
      <c r="I980" t="str" vm="4503">
        <f>IFERROR(CUBEVALUE("BIDB",$A980,I$3,I$2,'Præsentationstabeller 1'!$C$2),0)</f>
        <v/>
      </c>
      <c r="J980" t="str" vm="4222">
        <f>IFERROR(CUBEVALUE("BIDB",$A980,J$3,J$2,'Præsentationstabeller 1'!$C$2),0)</f>
        <v/>
      </c>
      <c r="K980" t="str" vm="12098">
        <f>IFERROR(CUBEVALUE("BIDB",$A980,K$3,K$2,'Præsentationstabeller 1'!$C$2),0)</f>
        <v/>
      </c>
      <c r="L980" t="str" vm="8482">
        <f>IFERROR(CUBEVALUE("BIDB",$A980,L$3,L$2,'Præsentationstabeller 1'!$C$2),0)</f>
        <v/>
      </c>
    </row>
    <row r="981" spans="1:12" x14ac:dyDescent="0.3">
      <c r="A981" s="123" t="str" vm="355">
        <f>CUBEMEMBER("BIDB","[Dimittenddato].[Dimittenddato].&amp;[2017-07-28T00:00:00]")</f>
        <v>28-07-2017</v>
      </c>
      <c r="B981" t="str" vm="5770">
        <f>IFERROR(CUBEVALUE("BIDB",$A981,B$3,'Præsentationstabeller 1'!$C$2),0)</f>
        <v/>
      </c>
      <c r="C981" t="str" vm="17099">
        <f>IFERROR(CUBEVALUE("BIDB",$A981,C$3,C$2,'Præsentationstabeller 1'!$C$2),0)</f>
        <v/>
      </c>
      <c r="D981" vm="16625">
        <f>IFERROR(CUBEVALUE("BIDB",$A981,D$3,D$2,'Præsentationstabeller 1'!$C$2),0)</f>
        <v>0</v>
      </c>
      <c r="E981" vm="5556">
        <f>IFERROR(CUBEVALUE("BIDB",$A981,E$3,E$2,'Præsentationstabeller 1'!$C$2),0)</f>
        <v>0</v>
      </c>
      <c r="F981" t="str" vm="8985">
        <f>IFERROR(CUBEVALUE("BIDB",$A981,F$3,F$2,'Præsentationstabeller 1'!$C$2),0)</f>
        <v/>
      </c>
      <c r="G981" vm="15656">
        <f>IFERROR(CUBEVALUE("BIDB",$A981,G$3,G$2,'Præsentationstabeller 1'!$C$2),0)</f>
        <v>0</v>
      </c>
      <c r="H981" t="str" vm="9629">
        <f>IFERROR(CUBEVALUE("BIDB",$A981,H$3,H$2,'Præsentationstabeller 1'!$C$2),0)</f>
        <v/>
      </c>
      <c r="I981" t="str" vm="4278">
        <f>IFERROR(CUBEVALUE("BIDB",$A981,I$3,I$2,'Præsentationstabeller 1'!$C$2),0)</f>
        <v/>
      </c>
      <c r="J981" t="str" vm="8357">
        <f>IFERROR(CUBEVALUE("BIDB",$A981,J$3,J$2,'Præsentationstabeller 1'!$C$2),0)</f>
        <v/>
      </c>
      <c r="K981" t="str" vm="16913">
        <f>IFERROR(CUBEVALUE("BIDB",$A981,K$3,K$2,'Præsentationstabeller 1'!$C$2),0)</f>
        <v/>
      </c>
      <c r="L981" t="str" vm="11825">
        <f>IFERROR(CUBEVALUE("BIDB",$A981,L$3,L$2,'Præsentationstabeller 1'!$C$2),0)</f>
        <v/>
      </c>
    </row>
    <row r="982" spans="1:12" x14ac:dyDescent="0.3">
      <c r="A982" s="123" t="str" vm="354">
        <f>CUBEMEMBER("BIDB","[Dimittenddato].[Dimittenddato].&amp;[2017-07-29T00:00:00]")</f>
        <v>29-07-2017</v>
      </c>
      <c r="B982" t="str" vm="3619">
        <f>IFERROR(CUBEVALUE("BIDB",$A982,B$3,'Præsentationstabeller 1'!$C$2),0)</f>
        <v/>
      </c>
      <c r="C982" t="str" vm="12196">
        <f>IFERROR(CUBEVALUE("BIDB",$A982,C$3,C$2,'Præsentationstabeller 1'!$C$2),0)</f>
        <v/>
      </c>
      <c r="D982" t="str" vm="14852">
        <f>IFERROR(CUBEVALUE("BIDB",$A982,D$3,D$2,'Præsentationstabeller 1'!$C$2),0)</f>
        <v/>
      </c>
      <c r="E982" t="str" vm="6103">
        <f>IFERROR(CUBEVALUE("BIDB",$A982,E$3,E$2,'Præsentationstabeller 1'!$C$2),0)</f>
        <v/>
      </c>
      <c r="F982" t="str" vm="5451">
        <f>IFERROR(CUBEVALUE("BIDB",$A982,F$3,F$2,'Præsentationstabeller 1'!$C$2),0)</f>
        <v/>
      </c>
      <c r="G982" t="str" vm="12412">
        <f>IFERROR(CUBEVALUE("BIDB",$A982,G$3,G$2,'Præsentationstabeller 1'!$C$2),0)</f>
        <v/>
      </c>
      <c r="H982" t="str" vm="14673">
        <f>IFERROR(CUBEVALUE("BIDB",$A982,H$3,H$2,'Præsentationstabeller 1'!$C$2),0)</f>
        <v/>
      </c>
      <c r="I982" t="str" vm="4819">
        <f>IFERROR(CUBEVALUE("BIDB",$A982,I$3,I$2,'Præsentationstabeller 1'!$C$2),0)</f>
        <v/>
      </c>
      <c r="J982" t="str" vm="5750">
        <f>IFERROR(CUBEVALUE("BIDB",$A982,J$3,J$2,'Præsentationstabeller 1'!$C$2),0)</f>
        <v/>
      </c>
      <c r="K982" t="str" vm="9581">
        <f>IFERROR(CUBEVALUE("BIDB",$A982,K$3,K$2,'Præsentationstabeller 1'!$C$2),0)</f>
        <v/>
      </c>
      <c r="L982" t="str" vm="13605">
        <f>IFERROR(CUBEVALUE("BIDB",$A982,L$3,L$2,'Præsentationstabeller 1'!$C$2),0)</f>
        <v/>
      </c>
    </row>
    <row r="983" spans="1:12" x14ac:dyDescent="0.3">
      <c r="A983" s="123" t="str" vm="353">
        <f>CUBEMEMBER("BIDB","[Dimittenddato].[Dimittenddato].&amp;[2017-07-30T00:00:00]")</f>
        <v>30-07-2017</v>
      </c>
      <c r="B983" t="str" vm="5084">
        <f>IFERROR(CUBEVALUE("BIDB",$A983,B$3,'Præsentationstabeller 1'!$C$2),0)</f>
        <v/>
      </c>
      <c r="C983" t="str" vm="9924">
        <f>IFERROR(CUBEVALUE("BIDB",$A983,C$3,C$2,'Præsentationstabeller 1'!$C$2),0)</f>
        <v/>
      </c>
      <c r="D983" t="str" vm="11223">
        <f>IFERROR(CUBEVALUE("BIDB",$A983,D$3,D$2,'Præsentationstabeller 1'!$C$2),0)</f>
        <v/>
      </c>
      <c r="E983" t="str" vm="4533">
        <f>IFERROR(CUBEVALUE("BIDB",$A983,E$3,E$2,'Præsentationstabeller 1'!$C$2),0)</f>
        <v/>
      </c>
      <c r="F983" t="str" vm="5318">
        <f>IFERROR(CUBEVALUE("BIDB",$A983,F$3,F$2,'Præsentationstabeller 1'!$C$2),0)</f>
        <v/>
      </c>
      <c r="G983" t="str" vm="12689">
        <f>IFERROR(CUBEVALUE("BIDB",$A983,G$3,G$2,'Præsentationstabeller 1'!$C$2),0)</f>
        <v/>
      </c>
      <c r="H983" t="str" vm="10033">
        <f>IFERROR(CUBEVALUE("BIDB",$A983,H$3,H$2,'Præsentationstabeller 1'!$C$2),0)</f>
        <v/>
      </c>
      <c r="I983" t="str" vm="3274">
        <f>IFERROR(CUBEVALUE("BIDB",$A983,I$3,I$2,'Præsentationstabeller 1'!$C$2),0)</f>
        <v/>
      </c>
      <c r="J983" t="str" vm="6125">
        <f>IFERROR(CUBEVALUE("BIDB",$A983,J$3,J$2,'Præsentationstabeller 1'!$C$2),0)</f>
        <v/>
      </c>
      <c r="K983" t="str" vm="14370">
        <f>IFERROR(CUBEVALUE("BIDB",$A983,K$3,K$2,'Præsentationstabeller 1'!$C$2),0)</f>
        <v/>
      </c>
      <c r="L983" t="str" vm="11287">
        <f>IFERROR(CUBEVALUE("BIDB",$A983,L$3,L$2,'Præsentationstabeller 1'!$C$2),0)</f>
        <v/>
      </c>
    </row>
    <row r="984" spans="1:12" x14ac:dyDescent="0.3">
      <c r="A984" s="123" t="str" vm="352">
        <f>CUBEMEMBER("BIDB","[Dimittenddato].[Dimittenddato].&amp;[2017-07-31T00:00:00]")</f>
        <v>31-07-2017</v>
      </c>
      <c r="B984" t="str" vm="5550">
        <f>IFERROR(CUBEVALUE("BIDB",$A984,B$3,'Præsentationstabeller 1'!$C$2),0)</f>
        <v/>
      </c>
      <c r="C984" t="str" vm="11889">
        <f>IFERROR(CUBEVALUE("BIDB",$A984,C$3,C$2,'Præsentationstabeller 1'!$C$2),0)</f>
        <v/>
      </c>
      <c r="D984" vm="14768">
        <f>IFERROR(CUBEVALUE("BIDB",$A984,D$3,D$2,'Præsentationstabeller 1'!$C$2),0)</f>
        <v>0</v>
      </c>
      <c r="E984" vm="6088">
        <f>IFERROR(CUBEVALUE("BIDB",$A984,E$3,E$2,'Præsentationstabeller 1'!$C$2),0)</f>
        <v>0</v>
      </c>
      <c r="F984" t="str" vm="7899">
        <f>IFERROR(CUBEVALUE("BIDB",$A984,F$3,F$2,'Præsentationstabeller 1'!$C$2),0)</f>
        <v/>
      </c>
      <c r="G984" vm="15610">
        <f>IFERROR(CUBEVALUE("BIDB",$A984,G$3,G$2,'Præsentationstabeller 1'!$C$2),0)</f>
        <v>0</v>
      </c>
      <c r="H984" t="str" vm="15212">
        <f>IFERROR(CUBEVALUE("BIDB",$A984,H$3,H$2,'Præsentationstabeller 1'!$C$2),0)</f>
        <v/>
      </c>
      <c r="I984" t="str" vm="5067">
        <f>IFERROR(CUBEVALUE("BIDB",$A984,I$3,I$2,'Præsentationstabeller 1'!$C$2),0)</f>
        <v/>
      </c>
      <c r="J984" t="str" vm="3472">
        <f>IFERROR(CUBEVALUE("BIDB",$A984,J$3,J$2,'Præsentationstabeller 1'!$C$2),0)</f>
        <v/>
      </c>
      <c r="K984" t="str" vm="13308">
        <f>IFERROR(CUBEVALUE("BIDB",$A984,K$3,K$2,'Præsentationstabeller 1'!$C$2),0)</f>
        <v/>
      </c>
      <c r="L984" t="str" vm="15534">
        <f>IFERROR(CUBEVALUE("BIDB",$A984,L$3,L$2,'Præsentationstabeller 1'!$C$2),0)</f>
        <v/>
      </c>
    </row>
    <row r="985" spans="1:12" x14ac:dyDescent="0.3">
      <c r="A985" s="123" t="str" vm="351">
        <f>CUBEMEMBER("BIDB","[Dimittenddato].[Dimittenddato].&amp;[2017-08-01T00:00:00]")</f>
        <v>01-08-2017</v>
      </c>
      <c r="B985" t="str" vm="4630">
        <f>IFERROR(CUBEVALUE("BIDB",$A985,B$3,'Præsentationstabeller 1'!$C$2),0)</f>
        <v/>
      </c>
      <c r="C985" t="str" vm="14418">
        <f>IFERROR(CUBEVALUE("BIDB",$A985,C$3,C$2,'Præsentationstabeller 1'!$C$2),0)</f>
        <v/>
      </c>
      <c r="D985" vm="13563">
        <f>IFERROR(CUBEVALUE("BIDB",$A985,D$3,D$2,'Præsentationstabeller 1'!$C$2),0)</f>
        <v>0</v>
      </c>
      <c r="E985" t="str" vm="7630">
        <f>IFERROR(CUBEVALUE("BIDB",$A985,E$3,E$2,'Præsentationstabeller 1'!$C$2),0)</f>
        <v/>
      </c>
      <c r="F985" t="str" vm="4609">
        <f>IFERROR(CUBEVALUE("BIDB",$A985,F$3,F$2,'Præsentationstabeller 1'!$C$2),0)</f>
        <v/>
      </c>
      <c r="G985" t="str" vm="12144">
        <f>IFERROR(CUBEVALUE("BIDB",$A985,G$3,G$2,'Præsentationstabeller 1'!$C$2),0)</f>
        <v/>
      </c>
      <c r="H985" t="str" vm="16547">
        <f>IFERROR(CUBEVALUE("BIDB",$A985,H$3,H$2,'Præsentationstabeller 1'!$C$2),0)</f>
        <v/>
      </c>
      <c r="I985" t="str" vm="3504">
        <f>IFERROR(CUBEVALUE("BIDB",$A985,I$3,I$2,'Præsentationstabeller 1'!$C$2),0)</f>
        <v/>
      </c>
      <c r="J985" t="str" vm="6248">
        <f>IFERROR(CUBEVALUE("BIDB",$A985,J$3,J$2,'Præsentationstabeller 1'!$C$2),0)</f>
        <v/>
      </c>
      <c r="K985" t="str" vm="14744">
        <f>IFERROR(CUBEVALUE("BIDB",$A985,K$3,K$2,'Præsentationstabeller 1'!$C$2),0)</f>
        <v/>
      </c>
      <c r="L985" t="str" vm="15392">
        <f>IFERROR(CUBEVALUE("BIDB",$A985,L$3,L$2,'Præsentationstabeller 1'!$C$2),0)</f>
        <v/>
      </c>
    </row>
    <row r="986" spans="1:12" x14ac:dyDescent="0.3">
      <c r="A986" s="123" t="str" vm="350">
        <f>CUBEMEMBER("BIDB","[Dimittenddato].[Dimittenddato].&amp;[2017-08-02T00:00:00]")</f>
        <v>02-08-2017</v>
      </c>
      <c r="B986" t="str" vm="3603">
        <f>IFERROR(CUBEVALUE("BIDB",$A986,B$3,'Præsentationstabeller 1'!$C$2),0)</f>
        <v/>
      </c>
      <c r="C986" t="str" vm="12293">
        <f>IFERROR(CUBEVALUE("BIDB",$A986,C$3,C$2,'Præsentationstabeller 1'!$C$2),0)</f>
        <v/>
      </c>
      <c r="D986" t="str" vm="14303">
        <f>IFERROR(CUBEVALUE("BIDB",$A986,D$3,D$2,'Præsentationstabeller 1'!$C$2),0)</f>
        <v/>
      </c>
      <c r="E986" t="str" vm="4759">
        <f>IFERROR(CUBEVALUE("BIDB",$A986,E$3,E$2,'Præsentationstabeller 1'!$C$2),0)</f>
        <v/>
      </c>
      <c r="F986" t="str" vm="7828">
        <f>IFERROR(CUBEVALUE("BIDB",$A986,F$3,F$2,'Præsentationstabeller 1'!$C$2),0)</f>
        <v/>
      </c>
      <c r="G986" t="str" vm="13416">
        <f>IFERROR(CUBEVALUE("BIDB",$A986,G$3,G$2,'Præsentationstabeller 1'!$C$2),0)</f>
        <v/>
      </c>
      <c r="H986" t="str" vm="13567">
        <f>IFERROR(CUBEVALUE("BIDB",$A986,H$3,H$2,'Præsentationstabeller 1'!$C$2),0)</f>
        <v/>
      </c>
      <c r="I986" t="str" vm="4817">
        <f>IFERROR(CUBEVALUE("BIDB",$A986,I$3,I$2,'Præsentationstabeller 1'!$C$2),0)</f>
        <v/>
      </c>
      <c r="J986" t="str" vm="8733">
        <f>IFERROR(CUBEVALUE("BIDB",$A986,J$3,J$2,'Præsentationstabeller 1'!$C$2),0)</f>
        <v/>
      </c>
      <c r="K986" t="str" vm="12377">
        <f>IFERROR(CUBEVALUE("BIDB",$A986,K$3,K$2,'Præsentationstabeller 1'!$C$2),0)</f>
        <v/>
      </c>
      <c r="L986" t="str" vm="15294">
        <f>IFERROR(CUBEVALUE("BIDB",$A986,L$3,L$2,'Præsentationstabeller 1'!$C$2),0)</f>
        <v/>
      </c>
    </row>
    <row r="987" spans="1:12" x14ac:dyDescent="0.3">
      <c r="A987" s="123" t="str" vm="349">
        <f>CUBEMEMBER("BIDB","[Dimittenddato].[Dimittenddato].&amp;[2017-08-03T00:00:00]")</f>
        <v>03-08-2017</v>
      </c>
      <c r="B987" t="str" vm="6040">
        <f>IFERROR(CUBEVALUE("BIDB",$A987,B$3,'Præsentationstabeller 1'!$C$2),0)</f>
        <v/>
      </c>
      <c r="C987" t="str" vm="14471">
        <f>IFERROR(CUBEVALUE("BIDB",$A987,C$3,C$2,'Præsentationstabeller 1'!$C$2),0)</f>
        <v/>
      </c>
      <c r="D987" t="str" vm="10328">
        <f>IFERROR(CUBEVALUE("BIDB",$A987,D$3,D$2,'Præsentationstabeller 1'!$C$2),0)</f>
        <v/>
      </c>
      <c r="E987" t="str" vm="6360">
        <f>IFERROR(CUBEVALUE("BIDB",$A987,E$3,E$2,'Præsentationstabeller 1'!$C$2),0)</f>
        <v/>
      </c>
      <c r="F987" t="str" vm="4958">
        <f>IFERROR(CUBEVALUE("BIDB",$A987,F$3,F$2,'Præsentationstabeller 1'!$C$2),0)</f>
        <v/>
      </c>
      <c r="G987" t="str" vm="14292">
        <f>IFERROR(CUBEVALUE("BIDB",$A987,G$3,G$2,'Præsentationstabeller 1'!$C$2),0)</f>
        <v/>
      </c>
      <c r="H987" t="str" vm="11321">
        <f>IFERROR(CUBEVALUE("BIDB",$A987,H$3,H$2,'Præsentationstabeller 1'!$C$2),0)</f>
        <v/>
      </c>
      <c r="I987" t="str" vm="6756">
        <f>IFERROR(CUBEVALUE("BIDB",$A987,I$3,I$2,'Præsentationstabeller 1'!$C$2),0)</f>
        <v/>
      </c>
      <c r="J987" t="str" vm="7761">
        <f>IFERROR(CUBEVALUE("BIDB",$A987,J$3,J$2,'Præsentationstabeller 1'!$C$2),0)</f>
        <v/>
      </c>
      <c r="K987" t="str" vm="9597">
        <f>IFERROR(CUBEVALUE("BIDB",$A987,K$3,K$2,'Præsentationstabeller 1'!$C$2),0)</f>
        <v/>
      </c>
      <c r="L987" t="str" vm="7369">
        <f>IFERROR(CUBEVALUE("BIDB",$A987,L$3,L$2,'Præsentationstabeller 1'!$C$2),0)</f>
        <v/>
      </c>
    </row>
    <row r="988" spans="1:12" x14ac:dyDescent="0.3">
      <c r="A988" s="123" t="str" vm="348">
        <f>CUBEMEMBER("BIDB","[Dimittenddato].[Dimittenddato].&amp;[2017-08-04T00:00:00]")</f>
        <v>04-08-2017</v>
      </c>
      <c r="B988" t="str" vm="5369">
        <f>IFERROR(CUBEVALUE("BIDB",$A988,B$3,'Præsentationstabeller 1'!$C$2),0)</f>
        <v/>
      </c>
      <c r="C988" t="str" vm="14797">
        <f>IFERROR(CUBEVALUE("BIDB",$A988,C$3,C$2,'Præsentationstabeller 1'!$C$2),0)</f>
        <v/>
      </c>
      <c r="D988" t="str" vm="11137">
        <f>IFERROR(CUBEVALUE("BIDB",$A988,D$3,D$2,'Præsentationstabeller 1'!$C$2),0)</f>
        <v/>
      </c>
      <c r="E988" t="str" vm="4990">
        <f>IFERROR(CUBEVALUE("BIDB",$A988,E$3,E$2,'Præsentationstabeller 1'!$C$2),0)</f>
        <v/>
      </c>
      <c r="F988" t="str" vm="8024">
        <f>IFERROR(CUBEVALUE("BIDB",$A988,F$3,F$2,'Præsentationstabeller 1'!$C$2),0)</f>
        <v/>
      </c>
      <c r="G988" t="str" vm="11912">
        <f>IFERROR(CUBEVALUE("BIDB",$A988,G$3,G$2,'Præsentationstabeller 1'!$C$2),0)</f>
        <v/>
      </c>
      <c r="H988" t="str" vm="9920">
        <f>IFERROR(CUBEVALUE("BIDB",$A988,H$3,H$2,'Præsentationstabeller 1'!$C$2),0)</f>
        <v/>
      </c>
      <c r="I988" t="str" vm="4017">
        <f>IFERROR(CUBEVALUE("BIDB",$A988,I$3,I$2,'Præsentationstabeller 1'!$C$2),0)</f>
        <v/>
      </c>
      <c r="J988" t="str" vm="14871">
        <f>IFERROR(CUBEVALUE("BIDB",$A988,J$3,J$2,'Præsentationstabeller 1'!$C$2),0)</f>
        <v/>
      </c>
      <c r="K988" t="str" vm="16594">
        <f>IFERROR(CUBEVALUE("BIDB",$A988,K$3,K$2,'Præsentationstabeller 1'!$C$2),0)</f>
        <v/>
      </c>
      <c r="L988" t="str" vm="9861">
        <f>IFERROR(CUBEVALUE("BIDB",$A988,L$3,L$2,'Præsentationstabeller 1'!$C$2),0)</f>
        <v/>
      </c>
    </row>
    <row r="989" spans="1:12" x14ac:dyDescent="0.3">
      <c r="A989" s="123" t="str" vm="347">
        <f>CUBEMEMBER("BIDB","[Dimittenddato].[Dimittenddato].&amp;[2017-08-05T00:00:00]")</f>
        <v>05-08-2017</v>
      </c>
      <c r="B989" t="str" vm="4388">
        <f>IFERROR(CUBEVALUE("BIDB",$A989,B$3,'Præsentationstabeller 1'!$C$2),0)</f>
        <v/>
      </c>
      <c r="C989" t="str" vm="11540">
        <f>IFERROR(CUBEVALUE("BIDB",$A989,C$3,C$2,'Præsentationstabeller 1'!$C$2),0)</f>
        <v/>
      </c>
      <c r="D989" t="str" vm="14480">
        <f>IFERROR(CUBEVALUE("BIDB",$A989,D$3,D$2,'Præsentationstabeller 1'!$C$2),0)</f>
        <v/>
      </c>
      <c r="E989" t="str" vm="7424">
        <f>IFERROR(CUBEVALUE("BIDB",$A989,E$3,E$2,'Præsentationstabeller 1'!$C$2),0)</f>
        <v/>
      </c>
      <c r="F989" t="str" vm="4789">
        <f>IFERROR(CUBEVALUE("BIDB",$A989,F$3,F$2,'Præsentationstabeller 1'!$C$2),0)</f>
        <v/>
      </c>
      <c r="G989" t="str" vm="12048">
        <f>IFERROR(CUBEVALUE("BIDB",$A989,G$3,G$2,'Præsentationstabeller 1'!$C$2),0)</f>
        <v/>
      </c>
      <c r="H989" t="str" vm="13607">
        <f>IFERROR(CUBEVALUE("BIDB",$A989,H$3,H$2,'Præsentationstabeller 1'!$C$2),0)</f>
        <v/>
      </c>
      <c r="I989" t="str" vm="3488">
        <f>IFERROR(CUBEVALUE("BIDB",$A989,I$3,I$2,'Præsentationstabeller 1'!$C$2),0)</f>
        <v/>
      </c>
      <c r="J989" t="str" vm="7277">
        <f>IFERROR(CUBEVALUE("BIDB",$A989,J$3,J$2,'Præsentationstabeller 1'!$C$2),0)</f>
        <v/>
      </c>
      <c r="K989" t="str" vm="13983">
        <f>IFERROR(CUBEVALUE("BIDB",$A989,K$3,K$2,'Præsentationstabeller 1'!$C$2),0)</f>
        <v/>
      </c>
      <c r="L989" t="str" vm="10976">
        <f>IFERROR(CUBEVALUE("BIDB",$A989,L$3,L$2,'Præsentationstabeller 1'!$C$2),0)</f>
        <v/>
      </c>
    </row>
    <row r="990" spans="1:12" x14ac:dyDescent="0.3">
      <c r="A990" s="123" t="str" vm="346">
        <f>CUBEMEMBER("BIDB","[Dimittenddato].[Dimittenddato].&amp;[2017-08-06T00:00:00]")</f>
        <v>06-08-2017</v>
      </c>
      <c r="B990" t="str" vm="6482">
        <f>IFERROR(CUBEVALUE("BIDB",$A990,B$3,'Præsentationstabeller 1'!$C$2),0)</f>
        <v/>
      </c>
      <c r="C990" t="str" vm="10587">
        <f>IFERROR(CUBEVALUE("BIDB",$A990,C$3,C$2,'Præsentationstabeller 1'!$C$2),0)</f>
        <v/>
      </c>
      <c r="D990" t="str" vm="13942">
        <f>IFERROR(CUBEVALUE("BIDB",$A990,D$3,D$2,'Præsentationstabeller 1'!$C$2),0)</f>
        <v/>
      </c>
      <c r="E990" t="str" vm="9945">
        <f>IFERROR(CUBEVALUE("BIDB",$A990,E$3,E$2,'Præsentationstabeller 1'!$C$2),0)</f>
        <v/>
      </c>
      <c r="F990" t="str" vm="7036">
        <f>IFERROR(CUBEVALUE("BIDB",$A990,F$3,F$2,'Præsentationstabeller 1'!$C$2),0)</f>
        <v/>
      </c>
      <c r="G990" t="str" vm="13180">
        <f>IFERROR(CUBEVALUE("BIDB",$A990,G$3,G$2,'Præsentationstabeller 1'!$C$2),0)</f>
        <v/>
      </c>
      <c r="H990" t="str" vm="13761">
        <f>IFERROR(CUBEVALUE("BIDB",$A990,H$3,H$2,'Præsentationstabeller 1'!$C$2),0)</f>
        <v/>
      </c>
      <c r="I990" t="str" vm="13877">
        <f>IFERROR(CUBEVALUE("BIDB",$A990,I$3,I$2,'Præsentationstabeller 1'!$C$2),0)</f>
        <v/>
      </c>
      <c r="J990" t="str" vm="5963">
        <f>IFERROR(CUBEVALUE("BIDB",$A990,J$3,J$2,'Præsentationstabeller 1'!$C$2),0)</f>
        <v/>
      </c>
      <c r="K990" t="str" vm="9729">
        <f>IFERROR(CUBEVALUE("BIDB",$A990,K$3,K$2,'Præsentationstabeller 1'!$C$2),0)</f>
        <v/>
      </c>
      <c r="L990" t="str" vm="11929">
        <f>IFERROR(CUBEVALUE("BIDB",$A990,L$3,L$2,'Præsentationstabeller 1'!$C$2),0)</f>
        <v/>
      </c>
    </row>
    <row r="991" spans="1:12" x14ac:dyDescent="0.3">
      <c r="A991" s="123" t="str" vm="345">
        <f>CUBEMEMBER("BIDB","[Dimittenddato].[Dimittenddato].&amp;[2017-08-07T00:00:00]")</f>
        <v>07-08-2017</v>
      </c>
      <c r="B991" t="str" vm="7170">
        <f>IFERROR(CUBEVALUE("BIDB",$A991,B$3,'Præsentationstabeller 1'!$C$2),0)</f>
        <v/>
      </c>
      <c r="C991" t="str" vm="16907">
        <f>IFERROR(CUBEVALUE("BIDB",$A991,C$3,C$2,'Præsentationstabeller 1'!$C$2),0)</f>
        <v/>
      </c>
      <c r="D991" t="str" vm="17007">
        <f>IFERROR(CUBEVALUE("BIDB",$A991,D$3,D$2,'Præsentationstabeller 1'!$C$2),0)</f>
        <v/>
      </c>
      <c r="E991" t="str" vm="4496">
        <f>IFERROR(CUBEVALUE("BIDB",$A991,E$3,E$2,'Præsentationstabeller 1'!$C$2),0)</f>
        <v/>
      </c>
      <c r="F991" t="str" vm="9079">
        <f>IFERROR(CUBEVALUE("BIDB",$A991,F$3,F$2,'Præsentationstabeller 1'!$C$2),0)</f>
        <v/>
      </c>
      <c r="G991" t="str" vm="16990">
        <f>IFERROR(CUBEVALUE("BIDB",$A991,G$3,G$2,'Præsentationstabeller 1'!$C$2),0)</f>
        <v/>
      </c>
      <c r="H991" t="str" vm="12951">
        <f>IFERROR(CUBEVALUE("BIDB",$A991,H$3,H$2,'Præsentationstabeller 1'!$C$2),0)</f>
        <v/>
      </c>
      <c r="I991" t="str" vm="6241">
        <f>IFERROR(CUBEVALUE("BIDB",$A991,I$3,I$2,'Præsentationstabeller 1'!$C$2),0)</f>
        <v/>
      </c>
      <c r="J991" t="str" vm="5234">
        <f>IFERROR(CUBEVALUE("BIDB",$A991,J$3,J$2,'Præsentationstabeller 1'!$C$2),0)</f>
        <v/>
      </c>
      <c r="K991" t="str" vm="13814">
        <f>IFERROR(CUBEVALUE("BIDB",$A991,K$3,K$2,'Præsentationstabeller 1'!$C$2),0)</f>
        <v/>
      </c>
      <c r="L991" t="str" vm="7401">
        <f>IFERROR(CUBEVALUE("BIDB",$A991,L$3,L$2,'Præsentationstabeller 1'!$C$2),0)</f>
        <v/>
      </c>
    </row>
    <row r="992" spans="1:12" x14ac:dyDescent="0.3">
      <c r="A992" s="123" t="str" vm="344">
        <f>CUBEMEMBER("BIDB","[Dimittenddato].[Dimittenddato].&amp;[2017-08-08T00:00:00]")</f>
        <v>08-08-2017</v>
      </c>
      <c r="B992" t="str" vm="5212">
        <f>IFERROR(CUBEVALUE("BIDB",$A992,B$3,'Præsentationstabeller 1'!$C$2),0)</f>
        <v/>
      </c>
      <c r="C992" t="str" vm="14893">
        <f>IFERROR(CUBEVALUE("BIDB",$A992,C$3,C$2,'Præsentationstabeller 1'!$C$2),0)</f>
        <v/>
      </c>
      <c r="D992" t="str" vm="13115">
        <f>IFERROR(CUBEVALUE("BIDB",$A992,D$3,D$2,'Præsentationstabeller 1'!$C$2),0)</f>
        <v/>
      </c>
      <c r="E992" t="str" vm="4974">
        <f>IFERROR(CUBEVALUE("BIDB",$A992,E$3,E$2,'Præsentationstabeller 1'!$C$2),0)</f>
        <v/>
      </c>
      <c r="F992" t="str" vm="5859">
        <f>IFERROR(CUBEVALUE("BIDB",$A992,F$3,F$2,'Præsentationstabeller 1'!$C$2),0)</f>
        <v/>
      </c>
      <c r="G992" t="str" vm="13369">
        <f>IFERROR(CUBEVALUE("BIDB",$A992,G$3,G$2,'Præsentationstabeller 1'!$C$2),0)</f>
        <v/>
      </c>
      <c r="H992" t="str" vm="11337">
        <f>IFERROR(CUBEVALUE("BIDB",$A992,H$3,H$2,'Præsentationstabeller 1'!$C$2),0)</f>
        <v/>
      </c>
      <c r="I992" t="str" vm="5715">
        <f>IFERROR(CUBEVALUE("BIDB",$A992,I$3,I$2,'Præsentationstabeller 1'!$C$2),0)</f>
        <v/>
      </c>
      <c r="J992" t="str" vm="6484">
        <f>IFERROR(CUBEVALUE("BIDB",$A992,J$3,J$2,'Præsentationstabeller 1'!$C$2),0)</f>
        <v/>
      </c>
      <c r="K992" t="str" vm="10429">
        <f>IFERROR(CUBEVALUE("BIDB",$A992,K$3,K$2,'Præsentationstabeller 1'!$C$2),0)</f>
        <v/>
      </c>
      <c r="L992" t="str" vm="16040">
        <f>IFERROR(CUBEVALUE("BIDB",$A992,L$3,L$2,'Præsentationstabeller 1'!$C$2),0)</f>
        <v/>
      </c>
    </row>
    <row r="993" spans="1:12" x14ac:dyDescent="0.3">
      <c r="A993" s="123" t="str" vm="343">
        <f>CUBEMEMBER("BIDB","[Dimittenddato].[Dimittenddato].&amp;[2017-08-09T00:00:00]")</f>
        <v>09-08-2017</v>
      </c>
      <c r="B993" t="str" vm="3771">
        <f>IFERROR(CUBEVALUE("BIDB",$A993,B$3,'Præsentationstabeller 1'!$C$2),0)</f>
        <v/>
      </c>
      <c r="C993" t="str" vm="12662">
        <f>IFERROR(CUBEVALUE("BIDB",$A993,C$3,C$2,'Præsentationstabeller 1'!$C$2),0)</f>
        <v/>
      </c>
      <c r="D993" t="str" vm="15989">
        <f>IFERROR(CUBEVALUE("BIDB",$A993,D$3,D$2,'Præsentationstabeller 1'!$C$2),0)</f>
        <v/>
      </c>
      <c r="E993" t="str" vm="8185">
        <f>IFERROR(CUBEVALUE("BIDB",$A993,E$3,E$2,'Præsentationstabeller 1'!$C$2),0)</f>
        <v/>
      </c>
      <c r="F993" t="str" vm="4644">
        <f>IFERROR(CUBEVALUE("BIDB",$A993,F$3,F$2,'Præsentationstabeller 1'!$C$2),0)</f>
        <v/>
      </c>
      <c r="G993" t="str" vm="15430">
        <f>IFERROR(CUBEVALUE("BIDB",$A993,G$3,G$2,'Præsentationstabeller 1'!$C$2),0)</f>
        <v/>
      </c>
      <c r="H993" t="str" vm="16994">
        <f>IFERROR(CUBEVALUE("BIDB",$A993,H$3,H$2,'Præsentationstabeller 1'!$C$2),0)</f>
        <v/>
      </c>
      <c r="I993" t="str" vm="3335">
        <f>IFERROR(CUBEVALUE("BIDB",$A993,I$3,I$2,'Præsentationstabeller 1'!$C$2),0)</f>
        <v/>
      </c>
      <c r="J993" t="str" vm="7275">
        <f>IFERROR(CUBEVALUE("BIDB",$A993,J$3,J$2,'Præsentationstabeller 1'!$C$2),0)</f>
        <v/>
      </c>
      <c r="K993" t="str" vm="12630">
        <f>IFERROR(CUBEVALUE("BIDB",$A993,K$3,K$2,'Præsentationstabeller 1'!$C$2),0)</f>
        <v/>
      </c>
      <c r="L993" t="str" vm="11695">
        <f>IFERROR(CUBEVALUE("BIDB",$A993,L$3,L$2,'Præsentationstabeller 1'!$C$2),0)</f>
        <v/>
      </c>
    </row>
    <row r="994" spans="1:12" x14ac:dyDescent="0.3">
      <c r="A994" s="123" t="str" vm="342">
        <f>CUBEMEMBER("BIDB","[Dimittenddato].[Dimittenddato].&amp;[2017-08-10T00:00:00]")</f>
        <v>10-08-2017</v>
      </c>
      <c r="B994" t="str" vm="5587">
        <f>IFERROR(CUBEVALUE("BIDB",$A994,B$3,'Præsentationstabeller 1'!$C$2),0)</f>
        <v/>
      </c>
      <c r="C994" t="str" vm="10123">
        <f>IFERROR(CUBEVALUE("BIDB",$A994,C$3,C$2,'Præsentationstabeller 1'!$C$2),0)</f>
        <v/>
      </c>
      <c r="D994" t="str" vm="13890">
        <f>IFERROR(CUBEVALUE("BIDB",$A994,D$3,D$2,'Præsentationstabeller 1'!$C$2),0)</f>
        <v/>
      </c>
      <c r="E994" t="str" vm="5496">
        <f>IFERROR(CUBEVALUE("BIDB",$A994,E$3,E$2,'Præsentationstabeller 1'!$C$2),0)</f>
        <v/>
      </c>
      <c r="F994" t="str" vm="6950">
        <f>IFERROR(CUBEVALUE("BIDB",$A994,F$3,F$2,'Præsentationstabeller 1'!$C$2),0)</f>
        <v/>
      </c>
      <c r="G994" t="str" vm="13927">
        <f>IFERROR(CUBEVALUE("BIDB",$A994,G$3,G$2,'Præsentationstabeller 1'!$C$2),0)</f>
        <v/>
      </c>
      <c r="H994" t="str" vm="14278">
        <f>IFERROR(CUBEVALUE("BIDB",$A994,H$3,H$2,'Præsentationstabeller 1'!$C$2),0)</f>
        <v/>
      </c>
      <c r="I994" t="str" vm="5682">
        <f>IFERROR(CUBEVALUE("BIDB",$A994,I$3,I$2,'Præsentationstabeller 1'!$C$2),0)</f>
        <v/>
      </c>
      <c r="J994" t="str" vm="6730">
        <f>IFERROR(CUBEVALUE("BIDB",$A994,J$3,J$2,'Præsentationstabeller 1'!$C$2),0)</f>
        <v/>
      </c>
      <c r="K994" t="str" vm="10833">
        <f>IFERROR(CUBEVALUE("BIDB",$A994,K$3,K$2,'Præsentationstabeller 1'!$C$2),0)</f>
        <v/>
      </c>
      <c r="L994" t="str" vm="11335">
        <f>IFERROR(CUBEVALUE("BIDB",$A994,L$3,L$2,'Præsentationstabeller 1'!$C$2),0)</f>
        <v/>
      </c>
    </row>
    <row r="995" spans="1:12" x14ac:dyDescent="0.3">
      <c r="A995" s="123" t="str" vm="341">
        <f>CUBEMEMBER("BIDB","[Dimittenddato].[Dimittenddato].&amp;[2017-08-11T00:00:00]")</f>
        <v>11-08-2017</v>
      </c>
      <c r="B995" t="str" vm="4407">
        <f>IFERROR(CUBEVALUE("BIDB",$A995,B$3,'Præsentationstabeller 1'!$C$2),0)</f>
        <v/>
      </c>
      <c r="C995" t="str" vm="10603">
        <f>IFERROR(CUBEVALUE("BIDB",$A995,C$3,C$2,'Præsentationstabeller 1'!$C$2),0)</f>
        <v/>
      </c>
      <c r="D995" t="str" vm="12641">
        <f>IFERROR(CUBEVALUE("BIDB",$A995,D$3,D$2,'Præsentationstabeller 1'!$C$2),0)</f>
        <v/>
      </c>
      <c r="E995" t="str" vm="5103">
        <f>IFERROR(CUBEVALUE("BIDB",$A995,E$3,E$2,'Præsentationstabeller 1'!$C$2),0)</f>
        <v/>
      </c>
      <c r="F995" t="str" vm="3367">
        <f>IFERROR(CUBEVALUE("BIDB",$A995,F$3,F$2,'Præsentationstabeller 1'!$C$2),0)</f>
        <v/>
      </c>
      <c r="G995" t="str" vm="16230">
        <f>IFERROR(CUBEVALUE("BIDB",$A995,G$3,G$2,'Præsentationstabeller 1'!$C$2),0)</f>
        <v/>
      </c>
      <c r="H995" t="str" vm="12195">
        <f>IFERROR(CUBEVALUE("BIDB",$A995,H$3,H$2,'Præsentationstabeller 1'!$C$2),0)</f>
        <v/>
      </c>
      <c r="I995" t="str" vm="5081">
        <f>IFERROR(CUBEVALUE("BIDB",$A995,I$3,I$2,'Præsentationstabeller 1'!$C$2),0)</f>
        <v/>
      </c>
      <c r="J995" t="str" vm="4311">
        <f>IFERROR(CUBEVALUE("BIDB",$A995,J$3,J$2,'Præsentationstabeller 1'!$C$2),0)</f>
        <v/>
      </c>
      <c r="K995" t="str" vm="12894">
        <f>IFERROR(CUBEVALUE("BIDB",$A995,K$3,K$2,'Præsentationstabeller 1'!$C$2),0)</f>
        <v/>
      </c>
      <c r="L995" t="str" vm="7967">
        <f>IFERROR(CUBEVALUE("BIDB",$A995,L$3,L$2,'Præsentationstabeller 1'!$C$2),0)</f>
        <v/>
      </c>
    </row>
    <row r="996" spans="1:12" x14ac:dyDescent="0.3">
      <c r="A996" s="123" t="str" vm="340">
        <f>CUBEMEMBER("BIDB","[Dimittenddato].[Dimittenddato].&amp;[2017-08-12T00:00:00]")</f>
        <v>12-08-2017</v>
      </c>
      <c r="B996" t="str" vm="4031">
        <f>IFERROR(CUBEVALUE("BIDB",$A996,B$3,'Præsentationstabeller 1'!$C$2),0)</f>
        <v/>
      </c>
      <c r="C996" t="str" vm="14195">
        <f>IFERROR(CUBEVALUE("BIDB",$A996,C$3,C$2,'Præsentationstabeller 1'!$C$2),0)</f>
        <v/>
      </c>
      <c r="D996" t="str" vm="15134">
        <f>IFERROR(CUBEVALUE("BIDB",$A996,D$3,D$2,'Præsentationstabeller 1'!$C$2),0)</f>
        <v/>
      </c>
      <c r="E996" t="str" vm="3220">
        <f>IFERROR(CUBEVALUE("BIDB",$A996,E$3,E$2,'Præsentationstabeller 1'!$C$2),0)</f>
        <v/>
      </c>
      <c r="F996" t="str" vm="5851">
        <f>IFERROR(CUBEVALUE("BIDB",$A996,F$3,F$2,'Præsentationstabeller 1'!$C$2),0)</f>
        <v/>
      </c>
      <c r="G996" t="str" vm="13908">
        <f>IFERROR(CUBEVALUE("BIDB",$A996,G$3,G$2,'Præsentationstabeller 1'!$C$2),0)</f>
        <v/>
      </c>
      <c r="H996" t="str" vm="14469">
        <f>IFERROR(CUBEVALUE("BIDB",$A996,H$3,H$2,'Præsentationstabeller 1'!$C$2),0)</f>
        <v/>
      </c>
      <c r="I996" t="str" vm="4574">
        <f>IFERROR(CUBEVALUE("BIDB",$A996,I$3,I$2,'Præsentationstabeller 1'!$C$2),0)</f>
        <v/>
      </c>
      <c r="J996" t="str" vm="6483">
        <f>IFERROR(CUBEVALUE("BIDB",$A996,J$3,J$2,'Præsentationstabeller 1'!$C$2),0)</f>
        <v/>
      </c>
      <c r="K996" t="str" vm="14222">
        <f>IFERROR(CUBEVALUE("BIDB",$A996,K$3,K$2,'Præsentationstabeller 1'!$C$2),0)</f>
        <v/>
      </c>
      <c r="L996" t="str" vm="8585">
        <f>IFERROR(CUBEVALUE("BIDB",$A996,L$3,L$2,'Præsentationstabeller 1'!$C$2),0)</f>
        <v/>
      </c>
    </row>
    <row r="997" spans="1:12" x14ac:dyDescent="0.3">
      <c r="A997" s="123" t="str" vm="339">
        <f>CUBEMEMBER("BIDB","[Dimittenddato].[Dimittenddato].&amp;[2017-08-13T00:00:00]")</f>
        <v>13-08-2017</v>
      </c>
      <c r="B997" t="str" vm="4251">
        <f>IFERROR(CUBEVALUE("BIDB",$A997,B$3,'Præsentationstabeller 1'!$C$2),0)</f>
        <v/>
      </c>
      <c r="C997" t="str" vm="16185">
        <f>IFERROR(CUBEVALUE("BIDB",$A997,C$3,C$2,'Præsentationstabeller 1'!$C$2),0)</f>
        <v/>
      </c>
      <c r="D997" t="str" vm="13753">
        <f>IFERROR(CUBEVALUE("BIDB",$A997,D$3,D$2,'Præsentationstabeller 1'!$C$2),0)</f>
        <v/>
      </c>
      <c r="E997" t="str" vm="5524">
        <f>IFERROR(CUBEVALUE("BIDB",$A997,E$3,E$2,'Præsentationstabeller 1'!$C$2),0)</f>
        <v/>
      </c>
      <c r="F997" t="str" vm="5676">
        <f>IFERROR(CUBEVALUE("BIDB",$A997,F$3,F$2,'Præsentationstabeller 1'!$C$2),0)</f>
        <v/>
      </c>
      <c r="G997" t="str" vm="12406">
        <f>IFERROR(CUBEVALUE("BIDB",$A997,G$3,G$2,'Præsentationstabeller 1'!$C$2),0)</f>
        <v/>
      </c>
      <c r="H997" t="str" vm="15092">
        <f>IFERROR(CUBEVALUE("BIDB",$A997,H$3,H$2,'Præsentationstabeller 1'!$C$2),0)</f>
        <v/>
      </c>
      <c r="I997" t="str" vm="4136">
        <f>IFERROR(CUBEVALUE("BIDB",$A997,I$3,I$2,'Præsentationstabeller 1'!$C$2),0)</f>
        <v/>
      </c>
      <c r="J997" t="str" vm="6344">
        <f>IFERROR(CUBEVALUE("BIDB",$A997,J$3,J$2,'Præsentationstabeller 1'!$C$2),0)</f>
        <v/>
      </c>
      <c r="K997" t="str" vm="13756">
        <f>IFERROR(CUBEVALUE("BIDB",$A997,K$3,K$2,'Præsentationstabeller 1'!$C$2),0)</f>
        <v/>
      </c>
      <c r="L997" t="str" vm="9364">
        <f>IFERROR(CUBEVALUE("BIDB",$A997,L$3,L$2,'Præsentationstabeller 1'!$C$2),0)</f>
        <v/>
      </c>
    </row>
    <row r="998" spans="1:12" x14ac:dyDescent="0.3">
      <c r="A998" s="123" t="str" vm="338">
        <f>CUBEMEMBER("BIDB","[Dimittenddato].[Dimittenddato].&amp;[2017-08-14T00:00:00]")</f>
        <v>14-08-2017</v>
      </c>
      <c r="B998" t="str" vm="3252">
        <f>IFERROR(CUBEVALUE("BIDB",$A998,B$3,'Præsentationstabeller 1'!$C$2),0)</f>
        <v/>
      </c>
      <c r="C998" t="str" vm="11192">
        <f>IFERROR(CUBEVALUE("BIDB",$A998,C$3,C$2,'Præsentationstabeller 1'!$C$2),0)</f>
        <v/>
      </c>
      <c r="D998" t="str" vm="14922">
        <f>IFERROR(CUBEVALUE("BIDB",$A998,D$3,D$2,'Præsentationstabeller 1'!$C$2),0)</f>
        <v/>
      </c>
      <c r="E998" t="str" vm="5848">
        <f>IFERROR(CUBEVALUE("BIDB",$A998,E$3,E$2,'Præsentationstabeller 1'!$C$2),0)</f>
        <v/>
      </c>
      <c r="F998" t="str" vm="4381">
        <f>IFERROR(CUBEVALUE("BIDB",$A998,F$3,F$2,'Præsentationstabeller 1'!$C$2),0)</f>
        <v/>
      </c>
      <c r="G998" t="str" vm="14198">
        <f>IFERROR(CUBEVALUE("BIDB",$A998,G$3,G$2,'Præsentationstabeller 1'!$C$2),0)</f>
        <v/>
      </c>
      <c r="H998" t="str" vm="12162">
        <f>IFERROR(CUBEVALUE("BIDB",$A998,H$3,H$2,'Præsentationstabeller 1'!$C$2),0)</f>
        <v/>
      </c>
      <c r="I998" t="str" vm="6404">
        <f>IFERROR(CUBEVALUE("BIDB",$A998,I$3,I$2,'Præsentationstabeller 1'!$C$2),0)</f>
        <v/>
      </c>
      <c r="J998" t="str" vm="4356">
        <f>IFERROR(CUBEVALUE("BIDB",$A998,J$3,J$2,'Præsentationstabeller 1'!$C$2),0)</f>
        <v/>
      </c>
      <c r="K998" t="str" vm="15080">
        <f>IFERROR(CUBEVALUE("BIDB",$A998,K$3,K$2,'Præsentationstabeller 1'!$C$2),0)</f>
        <v/>
      </c>
      <c r="L998" t="str" vm="16191">
        <f>IFERROR(CUBEVALUE("BIDB",$A998,L$3,L$2,'Præsentationstabeller 1'!$C$2),0)</f>
        <v/>
      </c>
    </row>
    <row r="999" spans="1:12" x14ac:dyDescent="0.3">
      <c r="A999" s="123" t="str" vm="337">
        <f>CUBEMEMBER("BIDB","[Dimittenddato].[Dimittenddato].&amp;[2017-08-15T00:00:00]")</f>
        <v>15-08-2017</v>
      </c>
      <c r="B999" t="str" vm="4399">
        <f>IFERROR(CUBEVALUE("BIDB",$A999,B$3,'Præsentationstabeller 1'!$C$2),0)</f>
        <v/>
      </c>
      <c r="C999" t="str" vm="13744">
        <f>IFERROR(CUBEVALUE("BIDB",$A999,C$3,C$2,'Præsentationstabeller 1'!$C$2),0)</f>
        <v/>
      </c>
      <c r="D999" t="str" vm="10272">
        <f>IFERROR(CUBEVALUE("BIDB",$A999,D$3,D$2,'Præsentationstabeller 1'!$C$2),0)</f>
        <v/>
      </c>
      <c r="E999" t="str" vm="5870">
        <f>IFERROR(CUBEVALUE("BIDB",$A999,E$3,E$2,'Præsentationstabeller 1'!$C$2),0)</f>
        <v/>
      </c>
      <c r="F999" t="str" vm="3351">
        <f>IFERROR(CUBEVALUE("BIDB",$A999,F$3,F$2,'Præsentationstabeller 1'!$C$2),0)</f>
        <v/>
      </c>
      <c r="G999" t="str" vm="14913">
        <f>IFERROR(CUBEVALUE("BIDB",$A999,G$3,G$2,'Præsentationstabeller 1'!$C$2),0)</f>
        <v/>
      </c>
      <c r="H999" t="str" vm="12983">
        <f>IFERROR(CUBEVALUE("BIDB",$A999,H$3,H$2,'Præsentationstabeller 1'!$C$2),0)</f>
        <v/>
      </c>
      <c r="I999" t="str" vm="4510">
        <f>IFERROR(CUBEVALUE("BIDB",$A999,I$3,I$2,'Præsentationstabeller 1'!$C$2),0)</f>
        <v/>
      </c>
      <c r="J999" t="str" vm="5134">
        <f>IFERROR(CUBEVALUE("BIDB",$A999,J$3,J$2,'Præsentationstabeller 1'!$C$2),0)</f>
        <v/>
      </c>
      <c r="K999" t="str" vm="13406">
        <f>IFERROR(CUBEVALUE("BIDB",$A999,K$3,K$2,'Præsentationstabeller 1'!$C$2),0)</f>
        <v/>
      </c>
      <c r="L999" t="str" vm="11921">
        <f>IFERROR(CUBEVALUE("BIDB",$A999,L$3,L$2,'Præsentationstabeller 1'!$C$2),0)</f>
        <v/>
      </c>
    </row>
    <row r="1000" spans="1:12" x14ac:dyDescent="0.3">
      <c r="A1000" s="123" t="str" vm="336">
        <f>CUBEMEMBER("BIDB","[Dimittenddato].[Dimittenddato].&amp;[2017-08-16T00:00:00]")</f>
        <v>16-08-2017</v>
      </c>
      <c r="B1000" t="str" vm="5518">
        <f>IFERROR(CUBEVALUE("BIDB",$A1000,B$3,'Præsentationstabeller 1'!$C$2),0)</f>
        <v/>
      </c>
      <c r="C1000" t="str" vm="11990">
        <f>IFERROR(CUBEVALUE("BIDB",$A1000,C$3,C$2,'Præsentationstabeller 1'!$C$2),0)</f>
        <v/>
      </c>
      <c r="D1000" t="str" vm="16338">
        <f>IFERROR(CUBEVALUE("BIDB",$A1000,D$3,D$2,'Præsentationstabeller 1'!$C$2),0)</f>
        <v/>
      </c>
      <c r="E1000" t="str" vm="8007">
        <f>IFERROR(CUBEVALUE("BIDB",$A1000,E$3,E$2,'Præsentationstabeller 1'!$C$2),0)</f>
        <v/>
      </c>
      <c r="F1000" t="str" vm="6310">
        <f>IFERROR(CUBEVALUE("BIDB",$A1000,F$3,F$2,'Præsentationstabeller 1'!$C$2),0)</f>
        <v/>
      </c>
      <c r="G1000" t="str" vm="13902">
        <f>IFERROR(CUBEVALUE("BIDB",$A1000,G$3,G$2,'Præsentationstabeller 1'!$C$2),0)</f>
        <v/>
      </c>
      <c r="H1000" t="str" vm="14617">
        <f>IFERROR(CUBEVALUE("BIDB",$A1000,H$3,H$2,'Præsentationstabeller 1'!$C$2),0)</f>
        <v/>
      </c>
      <c r="I1000" t="str" vm="4281">
        <f>IFERROR(CUBEVALUE("BIDB",$A1000,I$3,I$2,'Præsentationstabeller 1'!$C$2),0)</f>
        <v/>
      </c>
      <c r="J1000" t="str" vm="4705">
        <f>IFERROR(CUBEVALUE("BIDB",$A1000,J$3,J$2,'Præsentationstabeller 1'!$C$2),0)</f>
        <v/>
      </c>
      <c r="K1000" t="str" vm="16862">
        <f>IFERROR(CUBEVALUE("BIDB",$A1000,K$3,K$2,'Præsentationstabeller 1'!$C$2),0)</f>
        <v/>
      </c>
      <c r="L1000" t="str" vm="12777">
        <f>IFERROR(CUBEVALUE("BIDB",$A1000,L$3,L$2,'Præsentationstabeller 1'!$C$2),0)</f>
        <v/>
      </c>
    </row>
    <row r="1001" spans="1:12" x14ac:dyDescent="0.3">
      <c r="A1001" s="123" t="str" vm="335">
        <f>CUBEMEMBER("BIDB","[Dimittenddato].[Dimittenddato].&amp;[2017-08-17T00:00:00]")</f>
        <v>17-08-2017</v>
      </c>
      <c r="B1001" t="str" vm="3764">
        <f>IFERROR(CUBEVALUE("BIDB",$A1001,B$3,'Præsentationstabeller 1'!$C$2),0)</f>
        <v/>
      </c>
      <c r="C1001" t="str" vm="16818">
        <f>IFERROR(CUBEVALUE("BIDB",$A1001,C$3,C$2,'Præsentationstabeller 1'!$C$2),0)</f>
        <v/>
      </c>
      <c r="D1001" t="str" vm="13014">
        <f>IFERROR(CUBEVALUE("BIDB",$A1001,D$3,D$2,'Præsentationstabeller 1'!$C$2),0)</f>
        <v/>
      </c>
      <c r="E1001" t="str" vm="5253">
        <f>IFERROR(CUBEVALUE("BIDB",$A1001,E$3,E$2,'Præsentationstabeller 1'!$C$2),0)</f>
        <v/>
      </c>
      <c r="F1001" t="str" vm="6132">
        <f>IFERROR(CUBEVALUE("BIDB",$A1001,F$3,F$2,'Præsentationstabeller 1'!$C$2),0)</f>
        <v/>
      </c>
      <c r="G1001" t="str" vm="14289">
        <f>IFERROR(CUBEVALUE("BIDB",$A1001,G$3,G$2,'Præsentationstabeller 1'!$C$2),0)</f>
        <v/>
      </c>
      <c r="H1001" t="str" vm="12649">
        <f>IFERROR(CUBEVALUE("BIDB",$A1001,H$3,H$2,'Præsentationstabeller 1'!$C$2),0)</f>
        <v/>
      </c>
      <c r="I1001" t="str" vm="4737">
        <f>IFERROR(CUBEVALUE("BIDB",$A1001,I$3,I$2,'Præsentationstabeller 1'!$C$2),0)</f>
        <v/>
      </c>
      <c r="J1001" t="str" vm="8016">
        <f>IFERROR(CUBEVALUE("BIDB",$A1001,J$3,J$2,'Præsentationstabeller 1'!$C$2),0)</f>
        <v/>
      </c>
      <c r="K1001" t="str" vm="16329">
        <f>IFERROR(CUBEVALUE("BIDB",$A1001,K$3,K$2,'Præsentationstabeller 1'!$C$2),0)</f>
        <v/>
      </c>
      <c r="L1001" t="str" vm="13483">
        <f>IFERROR(CUBEVALUE("BIDB",$A1001,L$3,L$2,'Præsentationstabeller 1'!$C$2),0)</f>
        <v/>
      </c>
    </row>
    <row r="1002" spans="1:12" x14ac:dyDescent="0.3">
      <c r="A1002" s="123" t="str" vm="334">
        <f>CUBEMEMBER("BIDB","[Dimittenddato].[Dimittenddato].&amp;[2017-08-18T00:00:00]")</f>
        <v>18-08-2017</v>
      </c>
      <c r="B1002" t="str" vm="3236">
        <f>IFERROR(CUBEVALUE("BIDB",$A1002,B$3,'Præsentationstabeller 1'!$C$2),0)</f>
        <v/>
      </c>
      <c r="C1002" t="str" vm="9832">
        <f>IFERROR(CUBEVALUE("BIDB",$A1002,C$3,C$2,'Præsentationstabeller 1'!$C$2),0)</f>
        <v/>
      </c>
      <c r="D1002" t="str" vm="12513">
        <f>IFERROR(CUBEVALUE("BIDB",$A1002,D$3,D$2,'Præsentationstabeller 1'!$C$2),0)</f>
        <v/>
      </c>
      <c r="E1002" t="str" vm="4816">
        <f>IFERROR(CUBEVALUE("BIDB",$A1002,E$3,E$2,'Præsentationstabeller 1'!$C$2),0)</f>
        <v/>
      </c>
      <c r="F1002" t="str" vm="5834">
        <f>IFERROR(CUBEVALUE("BIDB",$A1002,F$3,F$2,'Præsentationstabeller 1'!$C$2),0)</f>
        <v/>
      </c>
      <c r="G1002" t="str" vm="15173">
        <f>IFERROR(CUBEVALUE("BIDB",$A1002,G$3,G$2,'Præsentationstabeller 1'!$C$2),0)</f>
        <v/>
      </c>
      <c r="H1002" t="str" vm="15634">
        <f>IFERROR(CUBEVALUE("BIDB",$A1002,H$3,H$2,'Præsentationstabeller 1'!$C$2),0)</f>
        <v/>
      </c>
      <c r="I1002" t="str" vm="6911">
        <f>IFERROR(CUBEVALUE("BIDB",$A1002,I$3,I$2,'Præsentationstabeller 1'!$C$2),0)</f>
        <v/>
      </c>
      <c r="J1002" t="str" vm="4540">
        <f>IFERROR(CUBEVALUE("BIDB",$A1002,J$3,J$2,'Præsentationstabeller 1'!$C$2),0)</f>
        <v/>
      </c>
      <c r="K1002" t="str" vm="14681">
        <f>IFERROR(CUBEVALUE("BIDB",$A1002,K$3,K$2,'Præsentationstabeller 1'!$C$2),0)</f>
        <v/>
      </c>
      <c r="L1002" t="str" vm="13766">
        <f>IFERROR(CUBEVALUE("BIDB",$A1002,L$3,L$2,'Præsentationstabeller 1'!$C$2),0)</f>
        <v/>
      </c>
    </row>
    <row r="1003" spans="1:12" x14ac:dyDescent="0.3">
      <c r="A1003" s="123" t="str" vm="333">
        <f>CUBEMEMBER("BIDB","[Dimittenddato].[Dimittenddato].&amp;[2017-08-19T00:00:00]")</f>
        <v>19-08-2017</v>
      </c>
      <c r="B1003" t="str" vm="13148">
        <f>IFERROR(CUBEVALUE("BIDB",$A1003,B$3,'Præsentationstabeller 1'!$C$2),0)</f>
        <v/>
      </c>
      <c r="C1003" t="str" vm="11134">
        <f>IFERROR(CUBEVALUE("BIDB",$A1003,C$3,C$2,'Præsentationstabeller 1'!$C$2),0)</f>
        <v/>
      </c>
      <c r="D1003" t="str" vm="9531">
        <f>IFERROR(CUBEVALUE("BIDB",$A1003,D$3,D$2,'Præsentationstabeller 1'!$C$2),0)</f>
        <v/>
      </c>
      <c r="E1003" t="str" vm="7510">
        <f>IFERROR(CUBEVALUE("BIDB",$A1003,E$3,E$2,'Præsentationstabeller 1'!$C$2),0)</f>
        <v/>
      </c>
      <c r="F1003" t="str" vm="5441">
        <f>IFERROR(CUBEVALUE("BIDB",$A1003,F$3,F$2,'Præsentationstabeller 1'!$C$2),0)</f>
        <v/>
      </c>
      <c r="G1003" t="str" vm="15103">
        <f>IFERROR(CUBEVALUE("BIDB",$A1003,G$3,G$2,'Præsentationstabeller 1'!$C$2),0)</f>
        <v/>
      </c>
      <c r="H1003" t="str" vm="10886">
        <f>IFERROR(CUBEVALUE("BIDB",$A1003,H$3,H$2,'Præsentationstabeller 1'!$C$2),0)</f>
        <v/>
      </c>
      <c r="I1003" t="str" vm="9943">
        <f>IFERROR(CUBEVALUE("BIDB",$A1003,I$3,I$2,'Præsentationstabeller 1'!$C$2),0)</f>
        <v/>
      </c>
      <c r="J1003" t="str" vm="9841">
        <f>IFERROR(CUBEVALUE("BIDB",$A1003,J$3,J$2,'Præsentationstabeller 1'!$C$2),0)</f>
        <v/>
      </c>
      <c r="K1003" t="str" vm="15084">
        <f>IFERROR(CUBEVALUE("BIDB",$A1003,K$3,K$2,'Præsentationstabeller 1'!$C$2),0)</f>
        <v/>
      </c>
      <c r="L1003" t="str" vm="6336">
        <f>IFERROR(CUBEVALUE("BIDB",$A1003,L$3,L$2,'Præsentationstabeller 1'!$C$2),0)</f>
        <v/>
      </c>
    </row>
    <row r="1004" spans="1:12" x14ac:dyDescent="0.3">
      <c r="A1004" s="123" t="str" vm="332">
        <f>CUBEMEMBER("BIDB","[Dimittenddato].[Dimittenddato].&amp;[2017-08-20T00:00:00]")</f>
        <v>20-08-2017</v>
      </c>
      <c r="B1004" t="str" vm="7274">
        <f>IFERROR(CUBEVALUE("BIDB",$A1004,B$3,'Præsentationstabeller 1'!$C$2),0)</f>
        <v/>
      </c>
      <c r="C1004" t="str" vm="14734">
        <f>IFERROR(CUBEVALUE("BIDB",$A1004,C$3,C$2,'Præsentationstabeller 1'!$C$2),0)</f>
        <v/>
      </c>
      <c r="D1004" t="str" vm="15654">
        <f>IFERROR(CUBEVALUE("BIDB",$A1004,D$3,D$2,'Præsentationstabeller 1'!$C$2),0)</f>
        <v/>
      </c>
      <c r="E1004" t="str" vm="5449">
        <f>IFERROR(CUBEVALUE("BIDB",$A1004,E$3,E$2,'Præsentationstabeller 1'!$C$2),0)</f>
        <v/>
      </c>
      <c r="F1004" t="str" vm="6279">
        <f>IFERROR(CUBEVALUE("BIDB",$A1004,F$3,F$2,'Præsentationstabeller 1'!$C$2),0)</f>
        <v/>
      </c>
      <c r="G1004" t="str" vm="16655">
        <f>IFERROR(CUBEVALUE("BIDB",$A1004,G$3,G$2,'Præsentationstabeller 1'!$C$2),0)</f>
        <v/>
      </c>
      <c r="H1004" t="str" vm="13742">
        <f>IFERROR(CUBEVALUE("BIDB",$A1004,H$3,H$2,'Præsentationstabeller 1'!$C$2),0)</f>
        <v/>
      </c>
      <c r="I1004" t="str" vm="4244">
        <f>IFERROR(CUBEVALUE("BIDB",$A1004,I$3,I$2,'Præsentationstabeller 1'!$C$2),0)</f>
        <v/>
      </c>
      <c r="J1004" t="str" vm="5994">
        <f>IFERROR(CUBEVALUE("BIDB",$A1004,J$3,J$2,'Præsentationstabeller 1'!$C$2),0)</f>
        <v/>
      </c>
      <c r="K1004" t="str" vm="14517">
        <f>IFERROR(CUBEVALUE("BIDB",$A1004,K$3,K$2,'Præsentationstabeller 1'!$C$2),0)</f>
        <v/>
      </c>
      <c r="L1004" t="str" vm="13518">
        <f>IFERROR(CUBEVALUE("BIDB",$A1004,L$3,L$2,'Præsentationstabeller 1'!$C$2),0)</f>
        <v/>
      </c>
    </row>
    <row r="1005" spans="1:12" x14ac:dyDescent="0.3">
      <c r="A1005" s="123" t="str" vm="331">
        <f>CUBEMEMBER("BIDB","[Dimittenddato].[Dimittenddato].&amp;[2017-08-21T00:00:00]")</f>
        <v>21-08-2017</v>
      </c>
      <c r="B1005" t="str" vm="5334">
        <f>IFERROR(CUBEVALUE("BIDB",$A1005,B$3,'Præsentationstabeller 1'!$C$2),0)</f>
        <v/>
      </c>
      <c r="C1005" t="str" vm="14334">
        <f>IFERROR(CUBEVALUE("BIDB",$A1005,C$3,C$2,'Præsentationstabeller 1'!$C$2),0)</f>
        <v/>
      </c>
      <c r="D1005" t="str" vm="15368">
        <f>IFERROR(CUBEVALUE("BIDB",$A1005,D$3,D$2,'Præsentationstabeller 1'!$C$2),0)</f>
        <v/>
      </c>
      <c r="E1005" vm="5245">
        <f>IFERROR(CUBEVALUE("BIDB",$A1005,E$3,E$2,'Præsentationstabeller 1'!$C$2),0)</f>
        <v>0</v>
      </c>
      <c r="F1005" t="str" vm="9732">
        <f>IFERROR(CUBEVALUE("BIDB",$A1005,F$3,F$2,'Præsentationstabeller 1'!$C$2),0)</f>
        <v/>
      </c>
      <c r="G1005" vm="14387">
        <f>IFERROR(CUBEVALUE("BIDB",$A1005,G$3,G$2,'Præsentationstabeller 1'!$C$2),0)</f>
        <v>0</v>
      </c>
      <c r="H1005" t="str" vm="13058">
        <f>IFERROR(CUBEVALUE("BIDB",$A1005,H$3,H$2,'Præsentationstabeller 1'!$C$2),0)</f>
        <v/>
      </c>
      <c r="I1005" t="str" vm="4721">
        <f>IFERROR(CUBEVALUE("BIDB",$A1005,I$3,I$2,'Præsentationstabeller 1'!$C$2),0)</f>
        <v/>
      </c>
      <c r="J1005" t="str" vm="8101">
        <f>IFERROR(CUBEVALUE("BIDB",$A1005,J$3,J$2,'Præsentationstabeller 1'!$C$2),0)</f>
        <v/>
      </c>
      <c r="K1005" t="str" vm="15622">
        <f>IFERROR(CUBEVALUE("BIDB",$A1005,K$3,K$2,'Præsentationstabeller 1'!$C$2),0)</f>
        <v/>
      </c>
      <c r="L1005" t="str" vm="15612">
        <f>IFERROR(CUBEVALUE("BIDB",$A1005,L$3,L$2,'Præsentationstabeller 1'!$C$2),0)</f>
        <v/>
      </c>
    </row>
    <row r="1006" spans="1:12" x14ac:dyDescent="0.3">
      <c r="A1006" s="123" t="str" vm="330">
        <f>CUBEMEMBER("BIDB","[Dimittenddato].[Dimittenddato].&amp;[2017-08-22T00:00:00]")</f>
        <v>22-08-2017</v>
      </c>
      <c r="B1006" t="str" vm="4091">
        <f>IFERROR(CUBEVALUE("BIDB",$A1006,B$3,'Præsentationstabeller 1'!$C$2),0)</f>
        <v/>
      </c>
      <c r="C1006" t="str" vm="12224">
        <f>IFERROR(CUBEVALUE("BIDB",$A1006,C$3,C$2,'Præsentationstabeller 1'!$C$2),0)</f>
        <v/>
      </c>
      <c r="D1006" t="str" vm="13327">
        <f>IFERROR(CUBEVALUE("BIDB",$A1006,D$3,D$2,'Præsentationstabeller 1'!$C$2),0)</f>
        <v/>
      </c>
      <c r="E1006" t="str" vm="7165">
        <f>IFERROR(CUBEVALUE("BIDB",$A1006,E$3,E$2,'Præsentationstabeller 1'!$C$2),0)</f>
        <v/>
      </c>
      <c r="F1006" t="str" vm="4139">
        <f>IFERROR(CUBEVALUE("BIDB",$A1006,F$3,F$2,'Præsentationstabeller 1'!$C$2),0)</f>
        <v/>
      </c>
      <c r="G1006" t="str" vm="13124">
        <f>IFERROR(CUBEVALUE("BIDB",$A1006,G$3,G$2,'Præsentationstabeller 1'!$C$2),0)</f>
        <v/>
      </c>
      <c r="H1006" t="str" vm="13026">
        <f>IFERROR(CUBEVALUE("BIDB",$A1006,H$3,H$2,'Præsentationstabeller 1'!$C$2),0)</f>
        <v/>
      </c>
      <c r="I1006" t="str" vm="8325">
        <f>IFERROR(CUBEVALUE("BIDB",$A1006,I$3,I$2,'Præsentationstabeller 1'!$C$2),0)</f>
        <v/>
      </c>
      <c r="J1006" t="str" vm="4395">
        <f>IFERROR(CUBEVALUE("BIDB",$A1006,J$3,J$2,'Præsentationstabeller 1'!$C$2),0)</f>
        <v/>
      </c>
      <c r="K1006" t="str" vm="10984">
        <f>IFERROR(CUBEVALUE("BIDB",$A1006,K$3,K$2,'Præsentationstabeller 1'!$C$2),0)</f>
        <v/>
      </c>
      <c r="L1006" t="str" vm="11933">
        <f>IFERROR(CUBEVALUE("BIDB",$A1006,L$3,L$2,'Præsentationstabeller 1'!$C$2),0)</f>
        <v/>
      </c>
    </row>
    <row r="1007" spans="1:12" x14ac:dyDescent="0.3">
      <c r="A1007" s="123" t="str" vm="329">
        <f>CUBEMEMBER("BIDB","[Dimittenddato].[Dimittenddato].&amp;[2017-08-23T00:00:00]")</f>
        <v>23-08-2017</v>
      </c>
      <c r="B1007" t="str" vm="6704">
        <f>IFERROR(CUBEVALUE("BIDB",$A1007,B$3,'Præsentationstabeller 1'!$C$2),0)</f>
        <v/>
      </c>
      <c r="C1007" t="str" vm="12092">
        <f>IFERROR(CUBEVALUE("BIDB",$A1007,C$3,C$2,'Præsentationstabeller 1'!$C$2),0)</f>
        <v/>
      </c>
      <c r="D1007" t="str" vm="12863">
        <f>IFERROR(CUBEVALUE("BIDB",$A1007,D$3,D$2,'Præsentationstabeller 1'!$C$2),0)</f>
        <v/>
      </c>
      <c r="E1007" t="str" vm="6087">
        <f>IFERROR(CUBEVALUE("BIDB",$A1007,E$3,E$2,'Præsentationstabeller 1'!$C$2),0)</f>
        <v/>
      </c>
      <c r="F1007" t="str" vm="4166">
        <f>IFERROR(CUBEVALUE("BIDB",$A1007,F$3,F$2,'Præsentationstabeller 1'!$C$2),0)</f>
        <v/>
      </c>
      <c r="G1007" t="str" vm="14141">
        <f>IFERROR(CUBEVALUE("BIDB",$A1007,G$3,G$2,'Præsentationstabeller 1'!$C$2),0)</f>
        <v/>
      </c>
      <c r="H1007" t="str" vm="13422">
        <f>IFERROR(CUBEVALUE("BIDB",$A1007,H$3,H$2,'Præsentationstabeller 1'!$C$2),0)</f>
        <v/>
      </c>
      <c r="I1007" t="str" vm="5241">
        <f>IFERROR(CUBEVALUE("BIDB",$A1007,I$3,I$2,'Præsentationstabeller 1'!$C$2),0)</f>
        <v/>
      </c>
      <c r="J1007" t="str" vm="8772">
        <f>IFERROR(CUBEVALUE("BIDB",$A1007,J$3,J$2,'Præsentationstabeller 1'!$C$2),0)</f>
        <v/>
      </c>
      <c r="K1007" t="str" vm="12958">
        <f>IFERROR(CUBEVALUE("BIDB",$A1007,K$3,K$2,'Præsentationstabeller 1'!$C$2),0)</f>
        <v/>
      </c>
      <c r="L1007" t="str" vm="9438">
        <f>IFERROR(CUBEVALUE("BIDB",$A1007,L$3,L$2,'Præsentationstabeller 1'!$C$2),0)</f>
        <v/>
      </c>
    </row>
    <row r="1008" spans="1:12" x14ac:dyDescent="0.3">
      <c r="A1008" s="123" t="str" vm="328">
        <f>CUBEMEMBER("BIDB","[Dimittenddato].[Dimittenddato].&amp;[2017-08-24T00:00:00]")</f>
        <v>24-08-2017</v>
      </c>
      <c r="B1008" t="str" vm="5975">
        <f>IFERROR(CUBEVALUE("BIDB",$A1008,B$3,'Præsentationstabeller 1'!$C$2),0)</f>
        <v/>
      </c>
      <c r="C1008" t="str" vm="16815">
        <f>IFERROR(CUBEVALUE("BIDB",$A1008,C$3,C$2,'Præsentationstabeller 1'!$C$2),0)</f>
        <v/>
      </c>
      <c r="D1008" t="str" vm="16934">
        <f>IFERROR(CUBEVALUE("BIDB",$A1008,D$3,D$2,'Præsentationstabeller 1'!$C$2),0)</f>
        <v/>
      </c>
      <c r="E1008" t="str" vm="5445">
        <f>IFERROR(CUBEVALUE("BIDB",$A1008,E$3,E$2,'Præsentationstabeller 1'!$C$2),0)</f>
        <v/>
      </c>
      <c r="F1008" t="str" vm="3790">
        <f>IFERROR(CUBEVALUE("BIDB",$A1008,F$3,F$2,'Præsentationstabeller 1'!$C$2),0)</f>
        <v/>
      </c>
      <c r="G1008" t="str" vm="13462">
        <f>IFERROR(CUBEVALUE("BIDB",$A1008,G$3,G$2,'Præsentationstabeller 1'!$C$2),0)</f>
        <v/>
      </c>
      <c r="H1008" t="str" vm="10902">
        <f>IFERROR(CUBEVALUE("BIDB",$A1008,H$3,H$2,'Præsentationstabeller 1'!$C$2),0)</f>
        <v/>
      </c>
      <c r="I1008" t="str" vm="5997">
        <f>IFERROR(CUBEVALUE("BIDB",$A1008,I$3,I$2,'Præsentationstabeller 1'!$C$2),0)</f>
        <v/>
      </c>
      <c r="J1008" t="str" vm="4123">
        <f>IFERROR(CUBEVALUE("BIDB",$A1008,J$3,J$2,'Præsentationstabeller 1'!$C$2),0)</f>
        <v/>
      </c>
      <c r="K1008" t="str" vm="9632">
        <f>IFERROR(CUBEVALUE("BIDB",$A1008,K$3,K$2,'Præsentationstabeller 1'!$C$2),0)</f>
        <v/>
      </c>
      <c r="L1008" t="str" vm="14070">
        <f>IFERROR(CUBEVALUE("BIDB",$A1008,L$3,L$2,'Præsentationstabeller 1'!$C$2),0)</f>
        <v/>
      </c>
    </row>
    <row r="1009" spans="1:12" x14ac:dyDescent="0.3">
      <c r="A1009" s="123" t="str" vm="327">
        <f>CUBEMEMBER("BIDB","[Dimittenddato].[Dimittenddato].&amp;[2017-08-25T00:00:00]")</f>
        <v>25-08-2017</v>
      </c>
      <c r="B1009" t="str" vm="6487">
        <f>IFERROR(CUBEVALUE("BIDB",$A1009,B$3,'Præsentationstabeller 1'!$C$2),0)</f>
        <v/>
      </c>
      <c r="C1009" t="str" vm="13084">
        <f>IFERROR(CUBEVALUE("BIDB",$A1009,C$3,C$2,'Præsentationstabeller 1'!$C$2),0)</f>
        <v/>
      </c>
      <c r="D1009" t="str" vm="15149">
        <f>IFERROR(CUBEVALUE("BIDB",$A1009,D$3,D$2,'Præsentationstabeller 1'!$C$2),0)</f>
        <v/>
      </c>
      <c r="E1009" t="str" vm="8178">
        <f>IFERROR(CUBEVALUE("BIDB",$A1009,E$3,E$2,'Præsentationstabeller 1'!$C$2),0)</f>
        <v/>
      </c>
      <c r="F1009" t="str" vm="3778">
        <f>IFERROR(CUBEVALUE("BIDB",$A1009,F$3,F$2,'Præsentationstabeller 1'!$C$2),0)</f>
        <v/>
      </c>
      <c r="G1009" t="str" vm="12625">
        <f>IFERROR(CUBEVALUE("BIDB",$A1009,G$3,G$2,'Præsentationstabeller 1'!$C$2),0)</f>
        <v/>
      </c>
      <c r="H1009" t="str" vm="16455">
        <f>IFERROR(CUBEVALUE("BIDB",$A1009,H$3,H$2,'Præsentationstabeller 1'!$C$2),0)</f>
        <v/>
      </c>
      <c r="I1009" t="str" vm="3977">
        <f>IFERROR(CUBEVALUE("BIDB",$A1009,I$3,I$2,'Præsentationstabeller 1'!$C$2),0)</f>
        <v/>
      </c>
      <c r="J1009" t="str" vm="9078">
        <f>IFERROR(CUBEVALUE("BIDB",$A1009,J$3,J$2,'Præsentationstabeller 1'!$C$2),0)</f>
        <v/>
      </c>
      <c r="K1009" t="str" vm="13782">
        <f>IFERROR(CUBEVALUE("BIDB",$A1009,K$3,K$2,'Præsentationstabeller 1'!$C$2),0)</f>
        <v/>
      </c>
      <c r="L1009" t="str" vm="12280">
        <f>IFERROR(CUBEVALUE("BIDB",$A1009,L$3,L$2,'Præsentationstabeller 1'!$C$2),0)</f>
        <v/>
      </c>
    </row>
    <row r="1010" spans="1:12" x14ac:dyDescent="0.3">
      <c r="A1010" s="123" t="str" vm="326">
        <f>CUBEMEMBER("BIDB","[Dimittenddato].[Dimittenddato].&amp;[2017-08-26T00:00:00]")</f>
        <v>26-08-2017</v>
      </c>
      <c r="B1010" t="str" vm="3515">
        <f>IFERROR(CUBEVALUE("BIDB",$A1010,B$3,'Præsentationstabeller 1'!$C$2),0)</f>
        <v/>
      </c>
      <c r="C1010" t="str" vm="12599">
        <f>IFERROR(CUBEVALUE("BIDB",$A1010,C$3,C$2,'Præsentationstabeller 1'!$C$2),0)</f>
        <v/>
      </c>
      <c r="D1010" t="str" vm="12118">
        <f>IFERROR(CUBEVALUE("BIDB",$A1010,D$3,D$2,'Præsentationstabeller 1'!$C$2),0)</f>
        <v/>
      </c>
      <c r="E1010" t="str" vm="5110">
        <f>IFERROR(CUBEVALUE("BIDB",$A1010,E$3,E$2,'Præsentationstabeller 1'!$C$2),0)</f>
        <v/>
      </c>
      <c r="F1010" t="str" vm="3518">
        <f>IFERROR(CUBEVALUE("BIDB",$A1010,F$3,F$2,'Præsentationstabeller 1'!$C$2),0)</f>
        <v/>
      </c>
      <c r="G1010" t="str" vm="12518">
        <f>IFERROR(CUBEVALUE("BIDB",$A1010,G$3,G$2,'Præsentationstabeller 1'!$C$2),0)</f>
        <v/>
      </c>
      <c r="H1010" t="str" vm="16050">
        <f>IFERROR(CUBEVALUE("BIDB",$A1010,H$3,H$2,'Præsentationstabeller 1'!$C$2),0)</f>
        <v/>
      </c>
      <c r="I1010" t="str" vm="5650">
        <f>IFERROR(CUBEVALUE("BIDB",$A1010,I$3,I$2,'Præsentationstabeller 1'!$C$2),0)</f>
        <v/>
      </c>
      <c r="J1010" t="str" vm="6698">
        <f>IFERROR(CUBEVALUE("BIDB",$A1010,J$3,J$2,'Præsentationstabeller 1'!$C$2),0)</f>
        <v/>
      </c>
      <c r="K1010" t="str" vm="10036">
        <f>IFERROR(CUBEVALUE("BIDB",$A1010,K$3,K$2,'Præsentationstabeller 1'!$C$2),0)</f>
        <v/>
      </c>
      <c r="L1010" t="str" vm="17053">
        <f>IFERROR(CUBEVALUE("BIDB",$A1010,L$3,L$2,'Præsentationstabeller 1'!$C$2),0)</f>
        <v/>
      </c>
    </row>
    <row r="1011" spans="1:12" x14ac:dyDescent="0.3">
      <c r="A1011" s="123" t="str" vm="325">
        <f>CUBEMEMBER("BIDB","[Dimittenddato].[Dimittenddato].&amp;[2017-08-27T00:00:00]")</f>
        <v>27-08-2017</v>
      </c>
      <c r="B1011" t="str" vm="6701">
        <f>IFERROR(CUBEVALUE("BIDB",$A1011,B$3,'Præsentationstabeller 1'!$C$2),0)</f>
        <v/>
      </c>
      <c r="C1011" t="str" vm="12228">
        <f>IFERROR(CUBEVALUE("BIDB",$A1011,C$3,C$2,'Præsentationstabeller 1'!$C$2),0)</f>
        <v/>
      </c>
      <c r="D1011" t="str" vm="12022">
        <f>IFERROR(CUBEVALUE("BIDB",$A1011,D$3,D$2,'Præsentationstabeller 1'!$C$2),0)</f>
        <v/>
      </c>
      <c r="E1011" t="str" vm="6254">
        <f>IFERROR(CUBEVALUE("BIDB",$A1011,E$3,E$2,'Præsentationstabeller 1'!$C$2),0)</f>
        <v/>
      </c>
      <c r="F1011" t="str" vm="4009">
        <f>IFERROR(CUBEVALUE("BIDB",$A1011,F$3,F$2,'Præsentationstabeller 1'!$C$2),0)</f>
        <v/>
      </c>
      <c r="G1011" t="str" vm="13692">
        <f>IFERROR(CUBEVALUE("BIDB",$A1011,G$3,G$2,'Præsentationstabeller 1'!$C$2),0)</f>
        <v/>
      </c>
      <c r="H1011" t="str" vm="11188">
        <f>IFERROR(CUBEVALUE("BIDB",$A1011,H$3,H$2,'Præsentationstabeller 1'!$C$2),0)</f>
        <v/>
      </c>
      <c r="I1011" t="str" vm="4828">
        <f>IFERROR(CUBEVALUE("BIDB",$A1011,I$3,I$2,'Præsentationstabeller 1'!$C$2),0)</f>
        <v/>
      </c>
      <c r="J1011" t="str" vm="4132">
        <f>IFERROR(CUBEVALUE("BIDB",$A1011,J$3,J$2,'Præsentationstabeller 1'!$C$2),0)</f>
        <v/>
      </c>
      <c r="K1011" t="str" vm="14191">
        <f>IFERROR(CUBEVALUE("BIDB",$A1011,K$3,K$2,'Præsentationstabeller 1'!$C$2),0)</f>
        <v/>
      </c>
      <c r="L1011" t="str" vm="8070">
        <f>IFERROR(CUBEVALUE("BIDB",$A1011,L$3,L$2,'Præsentationstabeller 1'!$C$2),0)</f>
        <v/>
      </c>
    </row>
    <row r="1012" spans="1:12" x14ac:dyDescent="0.3">
      <c r="A1012" s="123" t="str" vm="324">
        <f>CUBEMEMBER("BIDB","[Dimittenddato].[Dimittenddato].&amp;[2017-08-28T00:00:00]")</f>
        <v>28-08-2017</v>
      </c>
      <c r="B1012" t="str" vm="4258">
        <f>IFERROR(CUBEVALUE("BIDB",$A1012,B$3,'Præsentationstabeller 1'!$C$2),0)</f>
        <v/>
      </c>
      <c r="C1012" t="str" vm="15029">
        <f>IFERROR(CUBEVALUE("BIDB",$A1012,C$3,C$2,'Præsentationstabeller 1'!$C$2),0)</f>
        <v/>
      </c>
      <c r="D1012" vm="12541">
        <f>IFERROR(CUBEVALUE("BIDB",$A1012,D$3,D$2,'Præsentationstabeller 1'!$C$2),0)</f>
        <v>0</v>
      </c>
      <c r="E1012" t="str" vm="4456">
        <f>IFERROR(CUBEVALUE("BIDB",$A1012,E$3,E$2,'Præsentationstabeller 1'!$C$2),0)</f>
        <v/>
      </c>
      <c r="F1012" t="str" vm="3782">
        <f>IFERROR(CUBEVALUE("BIDB",$A1012,F$3,F$2,'Præsentationstabeller 1'!$C$2),0)</f>
        <v/>
      </c>
      <c r="G1012" t="str" vm="12615">
        <f>IFERROR(CUBEVALUE("BIDB",$A1012,G$3,G$2,'Præsentationstabeller 1'!$C$2),0)</f>
        <v/>
      </c>
      <c r="H1012" t="str" vm="11130">
        <f>IFERROR(CUBEVALUE("BIDB",$A1012,H$3,H$2,'Præsentationstabeller 1'!$C$2),0)</f>
        <v/>
      </c>
      <c r="I1012" t="str" vm="4850">
        <f>IFERROR(CUBEVALUE("BIDB",$A1012,I$3,I$2,'Præsentationstabeller 1'!$C$2),0)</f>
        <v/>
      </c>
      <c r="J1012" t="str" vm="4107">
        <f>IFERROR(CUBEVALUE("BIDB",$A1012,J$3,J$2,'Præsentationstabeller 1'!$C$2),0)</f>
        <v/>
      </c>
      <c r="K1012" t="str" vm="13413">
        <f>IFERROR(CUBEVALUE("BIDB",$A1012,K$3,K$2,'Præsentationstabeller 1'!$C$2),0)</f>
        <v/>
      </c>
      <c r="L1012" t="str" vm="11961">
        <f>IFERROR(CUBEVALUE("BIDB",$A1012,L$3,L$2,'Præsentationstabeller 1'!$C$2),0)</f>
        <v/>
      </c>
    </row>
    <row r="1013" spans="1:12" x14ac:dyDescent="0.3">
      <c r="A1013" s="123" t="str" vm="323">
        <f>CUBEMEMBER("BIDB","[Dimittenddato].[Dimittenddato].&amp;[2017-08-29T00:00:00]")</f>
        <v>29-08-2017</v>
      </c>
      <c r="B1013" t="str" vm="5461">
        <f>IFERROR(CUBEVALUE("BIDB",$A1013,B$3,'Præsentationstabeller 1'!$C$2),0)</f>
        <v/>
      </c>
      <c r="C1013" t="str" vm="12073">
        <f>IFERROR(CUBEVALUE("BIDB",$A1013,C$3,C$2,'Præsentationstabeller 1'!$C$2),0)</f>
        <v/>
      </c>
      <c r="D1013" t="str" vm="14451">
        <f>IFERROR(CUBEVALUE("BIDB",$A1013,D$3,D$2,'Præsentationstabeller 1'!$C$2),0)</f>
        <v/>
      </c>
      <c r="E1013" t="str" vm="12462">
        <f>IFERROR(CUBEVALUE("BIDB",$A1013,E$3,E$2,'Præsentationstabeller 1'!$C$2),0)</f>
        <v/>
      </c>
      <c r="F1013" t="str" vm="5644">
        <f>IFERROR(CUBEVALUE("BIDB",$A1013,F$3,F$2,'Præsentationstabeller 1'!$C$2),0)</f>
        <v/>
      </c>
      <c r="G1013" t="str" vm="14077">
        <f>IFERROR(CUBEVALUE("BIDB",$A1013,G$3,G$2,'Præsentationstabeller 1'!$C$2),0)</f>
        <v/>
      </c>
      <c r="H1013" t="str" vm="11372">
        <f>IFERROR(CUBEVALUE("BIDB",$A1013,H$3,H$2,'Præsentationstabeller 1'!$C$2),0)</f>
        <v/>
      </c>
      <c r="I1013" t="str" vm="6890">
        <f>IFERROR(CUBEVALUE("BIDB",$A1013,I$3,I$2,'Præsentationstabeller 1'!$C$2),0)</f>
        <v/>
      </c>
      <c r="J1013" t="str" vm="6796">
        <f>IFERROR(CUBEVALUE("BIDB",$A1013,J$3,J$2,'Præsentationstabeller 1'!$C$2),0)</f>
        <v/>
      </c>
      <c r="K1013" t="str" vm="11997">
        <f>IFERROR(CUBEVALUE("BIDB",$A1013,K$3,K$2,'Præsentationstabeller 1'!$C$2),0)</f>
        <v/>
      </c>
      <c r="L1013" t="str" vm="10574">
        <f>IFERROR(CUBEVALUE("BIDB",$A1013,L$3,L$2,'Præsentationstabeller 1'!$C$2),0)</f>
        <v/>
      </c>
    </row>
    <row r="1014" spans="1:12" x14ac:dyDescent="0.3">
      <c r="A1014" s="123" t="str" vm="322">
        <f>CUBEMEMBER("BIDB","[Dimittenddato].[Dimittenddato].&amp;[2017-08-30T00:00:00]")</f>
        <v>30-08-2017</v>
      </c>
      <c r="B1014" t="str" vm="4488">
        <f>IFERROR(CUBEVALUE("BIDB",$A1014,B$3,'Præsentationstabeller 1'!$C$2),0)</f>
        <v/>
      </c>
      <c r="C1014" t="str" vm="9776">
        <f>IFERROR(CUBEVALUE("BIDB",$A1014,C$3,C$2,'Præsentationstabeller 1'!$C$2),0)</f>
        <v/>
      </c>
      <c r="D1014" t="str" vm="13788">
        <f>IFERROR(CUBEVALUE("BIDB",$A1014,D$3,D$2,'Præsentationstabeller 1'!$C$2),0)</f>
        <v/>
      </c>
      <c r="E1014" t="str" vm="4288">
        <f>IFERROR(CUBEVALUE("BIDB",$A1014,E$3,E$2,'Præsentationstabeller 1'!$C$2),0)</f>
        <v/>
      </c>
      <c r="F1014" t="str" vm="3511">
        <f>IFERROR(CUBEVALUE("BIDB",$A1014,F$3,F$2,'Præsentationstabeller 1'!$C$2),0)</f>
        <v/>
      </c>
      <c r="G1014" t="str" vm="16424">
        <f>IFERROR(CUBEVALUE("BIDB",$A1014,G$3,G$2,'Præsentationstabeller 1'!$C$2),0)</f>
        <v/>
      </c>
      <c r="H1014" t="str" vm="15633">
        <f>IFERROR(CUBEVALUE("BIDB",$A1014,H$3,H$2,'Præsentationstabeller 1'!$C$2),0)</f>
        <v/>
      </c>
      <c r="I1014" t="str" vm="5122">
        <f>IFERROR(CUBEVALUE("BIDB",$A1014,I$3,I$2,'Præsentationstabeller 1'!$C$2),0)</f>
        <v/>
      </c>
      <c r="J1014" t="str" vm="5877">
        <f>IFERROR(CUBEVALUE("BIDB",$A1014,J$3,J$2,'Præsentationstabeller 1'!$C$2),0)</f>
        <v/>
      </c>
      <c r="K1014" t="str" vm="11324">
        <f>IFERROR(CUBEVALUE("BIDB",$A1014,K$3,K$2,'Præsentationstabeller 1'!$C$2),0)</f>
        <v/>
      </c>
      <c r="L1014" t="str" vm="9991">
        <f>IFERROR(CUBEVALUE("BIDB",$A1014,L$3,L$2,'Præsentationstabeller 1'!$C$2),0)</f>
        <v/>
      </c>
    </row>
    <row r="1015" spans="1:12" x14ac:dyDescent="0.3">
      <c r="A1015" s="123" t="str" vm="321">
        <f>CUBEMEMBER("BIDB","[Dimittenddato].[Dimittenddato].&amp;[2017-08-31T00:00:00]")</f>
        <v>31-08-2017</v>
      </c>
      <c r="B1015" t="str" vm="6699">
        <f>IFERROR(CUBEVALUE("BIDB",$A1015,B$3,'Præsentationstabeller 1'!$C$2),0)</f>
        <v/>
      </c>
      <c r="C1015" t="str" vm="15131">
        <f>IFERROR(CUBEVALUE("BIDB",$A1015,C$3,C$2,'Præsentationstabeller 1'!$C$2),0)</f>
        <v/>
      </c>
      <c r="D1015" vm="9475">
        <f>IFERROR(CUBEVALUE("BIDB",$A1015,D$3,D$2,'Præsentationstabeller 1'!$C$2),0)</f>
        <v>0</v>
      </c>
      <c r="E1015" t="str" vm="6918">
        <f>IFERROR(CUBEVALUE("BIDB",$A1015,E$3,E$2,'Præsentationstabeller 1'!$C$2),0)</f>
        <v/>
      </c>
      <c r="F1015" t="str" vm="3993">
        <f>IFERROR(CUBEVALUE("BIDB",$A1015,F$3,F$2,'Præsentationstabeller 1'!$C$2),0)</f>
        <v/>
      </c>
      <c r="G1015" t="str" vm="13723">
        <f>IFERROR(CUBEVALUE("BIDB",$A1015,G$3,G$2,'Præsentationstabeller 1'!$C$2),0)</f>
        <v/>
      </c>
      <c r="H1015" t="str" vm="11777">
        <f>IFERROR(CUBEVALUE("BIDB",$A1015,H$3,H$2,'Præsentationstabeller 1'!$C$2),0)</f>
        <v/>
      </c>
      <c r="I1015" t="str" vm="5582">
        <f>IFERROR(CUBEVALUE("BIDB",$A1015,I$3,I$2,'Præsentationstabeller 1'!$C$2),0)</f>
        <v/>
      </c>
      <c r="J1015" t="str" vm="5004">
        <f>IFERROR(CUBEVALUE("BIDB",$A1015,J$3,J$2,'Præsentationstabeller 1'!$C$2),0)</f>
        <v/>
      </c>
      <c r="K1015" t="str" vm="10415">
        <f>IFERROR(CUBEVALUE("BIDB",$A1015,K$3,K$2,'Præsentationstabeller 1'!$C$2),0)</f>
        <v/>
      </c>
      <c r="L1015" t="str" vm="7492">
        <f>IFERROR(CUBEVALUE("BIDB",$A1015,L$3,L$2,'Præsentationstabeller 1'!$C$2),0)</f>
        <v/>
      </c>
    </row>
    <row r="1016" spans="1:12" x14ac:dyDescent="0.3">
      <c r="A1016" s="123" t="str" vm="320">
        <f>CUBEMEMBER("BIDB","[Dimittenddato].[Dimittenddato].&amp;[2018-06-01T00:00:00]")</f>
        <v>01-06-2018</v>
      </c>
      <c r="B1016" t="str" vm="10278">
        <f>IFERROR(CUBEVALUE("BIDB",$A1016,B$3,'Præsentationstabeller 1'!$C$2),0)</f>
        <v/>
      </c>
      <c r="C1016" t="str" vm="12748">
        <f>IFERROR(CUBEVALUE("BIDB",$A1016,C$3,C$2,'Præsentationstabeller 1'!$C$2),0)</f>
        <v/>
      </c>
      <c r="D1016" t="str" vm="14838">
        <f>IFERROR(CUBEVALUE("BIDB",$A1016,D$3,D$2,'Præsentationstabeller 1'!$C$2),0)</f>
        <v/>
      </c>
      <c r="E1016" t="str" vm="4847">
        <f>IFERROR(CUBEVALUE("BIDB",$A1016,E$3,E$2,'Præsentationstabeller 1'!$C$2),0)</f>
        <v/>
      </c>
      <c r="F1016" t="str" vm="7448">
        <f>IFERROR(CUBEVALUE("BIDB",$A1016,F$3,F$2,'Præsentationstabeller 1'!$C$2),0)</f>
        <v/>
      </c>
      <c r="G1016" t="str" vm="14496">
        <f>IFERROR(CUBEVALUE("BIDB",$A1016,G$3,G$2,'Præsentationstabeller 1'!$C$2),0)</f>
        <v/>
      </c>
      <c r="H1016" t="str" vm="12090">
        <f>IFERROR(CUBEVALUE("BIDB",$A1016,H$3,H$2,'Præsentationstabeller 1'!$C$2),0)</f>
        <v/>
      </c>
      <c r="I1016" t="str" vm="5616">
        <f>IFERROR(CUBEVALUE("BIDB",$A1016,I$3,I$2,'Præsentationstabeller 1'!$C$2),0)</f>
        <v/>
      </c>
      <c r="J1016" t="str" vm="4301">
        <f>IFERROR(CUBEVALUE("BIDB",$A1016,J$3,J$2,'Præsentationstabeller 1'!$C$2),0)</f>
        <v/>
      </c>
      <c r="K1016" t="str" vm="13610">
        <f>IFERROR(CUBEVALUE("BIDB",$A1016,K$3,K$2,'Præsentationstabeller 1'!$C$2),0)</f>
        <v/>
      </c>
      <c r="L1016" t="str" vm="12648">
        <f>IFERROR(CUBEVALUE("BIDB",$A1016,L$3,L$2,'Præsentationstabeller 1'!$C$2),0)</f>
        <v/>
      </c>
    </row>
    <row r="1017" spans="1:12" x14ac:dyDescent="0.3">
      <c r="A1017" s="123" t="str" vm="319">
        <f>CUBEMEMBER("BIDB","[Dimittenddato].[Dimittenddato].&amp;[2018-06-02T00:00:00]")</f>
        <v>02-06-2018</v>
      </c>
      <c r="B1017" t="str" vm="4997">
        <f>IFERROR(CUBEVALUE("BIDB",$A1017,B$3,'Præsentationstabeller 1'!$C$2),0)</f>
        <v/>
      </c>
      <c r="C1017" t="str" vm="14694">
        <f>IFERROR(CUBEVALUE("BIDB",$A1017,C$3,C$2,'Præsentationstabeller 1'!$C$2),0)</f>
        <v/>
      </c>
      <c r="D1017" t="str" vm="11728">
        <f>IFERROR(CUBEVALUE("BIDB",$A1017,D$3,D$2,'Præsentationstabeller 1'!$C$2),0)</f>
        <v/>
      </c>
      <c r="E1017" t="str" vm="5986">
        <f>IFERROR(CUBEVALUE("BIDB",$A1017,E$3,E$2,'Præsentationstabeller 1'!$C$2),0)</f>
        <v/>
      </c>
      <c r="F1017" t="str" vm="8385">
        <f>IFERROR(CUBEVALUE("BIDB",$A1017,F$3,F$2,'Præsentationstabeller 1'!$C$2),0)</f>
        <v/>
      </c>
      <c r="G1017" t="str" vm="13459">
        <f>IFERROR(CUBEVALUE("BIDB",$A1017,G$3,G$2,'Præsentationstabeller 1'!$C$2),0)</f>
        <v/>
      </c>
      <c r="H1017" t="str" vm="14179">
        <f>IFERROR(CUBEVALUE("BIDB",$A1017,H$3,H$2,'Præsentationstabeller 1'!$C$2),0)</f>
        <v/>
      </c>
      <c r="I1017" t="str" vm="4309">
        <f>IFERROR(CUBEVALUE("BIDB",$A1017,I$3,I$2,'Præsentationstabeller 1'!$C$2),0)</f>
        <v/>
      </c>
      <c r="J1017" t="str" vm="7312">
        <f>IFERROR(CUBEVALUE("BIDB",$A1017,J$3,J$2,'Præsentationstabeller 1'!$C$2),0)</f>
        <v/>
      </c>
      <c r="K1017" t="str" vm="15039">
        <f>IFERROR(CUBEVALUE("BIDB",$A1017,K$3,K$2,'Præsentationstabeller 1'!$C$2),0)</f>
        <v/>
      </c>
      <c r="L1017" t="str" vm="9609">
        <f>IFERROR(CUBEVALUE("BIDB",$A1017,L$3,L$2,'Præsentationstabeller 1'!$C$2),0)</f>
        <v/>
      </c>
    </row>
    <row r="1018" spans="1:12" x14ac:dyDescent="0.3">
      <c r="A1018" s="123" t="str" vm="318">
        <f>CUBEMEMBER("BIDB","[Dimittenddato].[Dimittenddato].&amp;[2018-06-03T00:00:00]")</f>
        <v>03-06-2018</v>
      </c>
      <c r="B1018" t="str" vm="4472">
        <f>IFERROR(CUBEVALUE("BIDB",$A1018,B$3,'Præsentationstabeller 1'!$C$2),0)</f>
        <v/>
      </c>
      <c r="C1018" t="str" vm="11042">
        <f>IFERROR(CUBEVALUE("BIDB",$A1018,C$3,C$2,'Præsentationstabeller 1'!$C$2),0)</f>
        <v/>
      </c>
      <c r="D1018" t="str" vm="15513">
        <f>IFERROR(CUBEVALUE("BIDB",$A1018,D$3,D$2,'Præsentationstabeller 1'!$C$2),0)</f>
        <v/>
      </c>
      <c r="E1018" t="str" vm="4146">
        <f>IFERROR(CUBEVALUE("BIDB",$A1018,E$3,E$2,'Præsentationstabeller 1'!$C$2),0)</f>
        <v/>
      </c>
      <c r="F1018" t="str" vm="5034">
        <f>IFERROR(CUBEVALUE("BIDB",$A1018,F$3,F$2,'Præsentationstabeller 1'!$C$2),0)</f>
        <v/>
      </c>
      <c r="G1018" t="str" vm="15341">
        <f>IFERROR(CUBEVALUE("BIDB",$A1018,G$3,G$2,'Præsentationstabeller 1'!$C$2),0)</f>
        <v/>
      </c>
      <c r="H1018" t="str" vm="13621">
        <f>IFERROR(CUBEVALUE("BIDB",$A1018,H$3,H$2,'Præsentationstabeller 1'!$C$2),0)</f>
        <v/>
      </c>
      <c r="I1018" t="str" vm="5114">
        <f>IFERROR(CUBEVALUE("BIDB",$A1018,I$3,I$2,'Præsentationstabeller 1'!$C$2),0)</f>
        <v/>
      </c>
      <c r="J1018" t="str" vm="5594">
        <f>IFERROR(CUBEVALUE("BIDB",$A1018,J$3,J$2,'Præsentationstabeller 1'!$C$2),0)</f>
        <v/>
      </c>
      <c r="K1018" t="str" vm="12441">
        <f>IFERROR(CUBEVALUE("BIDB",$A1018,K$3,K$2,'Præsentationstabeller 1'!$C$2),0)</f>
        <v/>
      </c>
      <c r="L1018" t="str" vm="17103">
        <f>IFERROR(CUBEVALUE("BIDB",$A1018,L$3,L$2,'Præsentationstabeller 1'!$C$2),0)</f>
        <v/>
      </c>
    </row>
    <row r="1019" spans="1:12" x14ac:dyDescent="0.3">
      <c r="A1019" s="123" t="str" vm="317">
        <f>CUBEMEMBER("BIDB","[Dimittenddato].[Dimittenddato].&amp;[2018-06-04T00:00:00]")</f>
        <v>04-06-2018</v>
      </c>
      <c r="B1019" t="str" vm="11053">
        <f>IFERROR(CUBEVALUE("BIDB",$A1019,B$3,'Præsentationstabeller 1'!$C$2),0)</f>
        <v/>
      </c>
      <c r="C1019" t="str" vm="16634">
        <f>IFERROR(CUBEVALUE("BIDB",$A1019,C$3,C$2,'Præsentationstabeller 1'!$C$2),0)</f>
        <v/>
      </c>
      <c r="D1019" t="str" vm="14046">
        <f>IFERROR(CUBEVALUE("BIDB",$A1019,D$3,D$2,'Præsentationstabeller 1'!$C$2),0)</f>
        <v/>
      </c>
      <c r="E1019" t="str" vm="8426">
        <f>IFERROR(CUBEVALUE("BIDB",$A1019,E$3,E$2,'Præsentationstabeller 1'!$C$2),0)</f>
        <v/>
      </c>
      <c r="F1019" t="str" vm="3838">
        <f>IFERROR(CUBEVALUE("BIDB",$A1019,F$3,F$2,'Præsentationstabeller 1'!$C$2),0)</f>
        <v/>
      </c>
      <c r="G1019" t="str" vm="14780">
        <f>IFERROR(CUBEVALUE("BIDB",$A1019,G$3,G$2,'Præsentationstabeller 1'!$C$2),0)</f>
        <v/>
      </c>
      <c r="H1019" t="str" vm="10089">
        <f>IFERROR(CUBEVALUE("BIDB",$A1019,H$3,H$2,'Præsentationstabeller 1'!$C$2),0)</f>
        <v/>
      </c>
      <c r="I1019" t="str" vm="6274">
        <f>IFERROR(CUBEVALUE("BIDB",$A1019,I$3,I$2,'Præsentationstabeller 1'!$C$2),0)</f>
        <v/>
      </c>
      <c r="J1019" t="str" vm="8974">
        <f>IFERROR(CUBEVALUE("BIDB",$A1019,J$3,J$2,'Præsentationstabeller 1'!$C$2),0)</f>
        <v/>
      </c>
      <c r="K1019" t="str" vm="11340">
        <f>IFERROR(CUBEVALUE("BIDB",$A1019,K$3,K$2,'Præsentationstabeller 1'!$C$2),0)</f>
        <v/>
      </c>
      <c r="L1019" t="str" vm="7241">
        <f>IFERROR(CUBEVALUE("BIDB",$A1019,L$3,L$2,'Præsentationstabeller 1'!$C$2),0)</f>
        <v/>
      </c>
    </row>
    <row r="1020" spans="1:12" x14ac:dyDescent="0.3">
      <c r="A1020" s="123" t="str" vm="316">
        <f>CUBEMEMBER("BIDB","[Dimittenddato].[Dimittenddato].&amp;[2018-06-05T00:00:00]")</f>
        <v>05-06-2018</v>
      </c>
      <c r="B1020" t="str" vm="6004">
        <f>IFERROR(CUBEVALUE("BIDB",$A1020,B$3,'Præsentationstabeller 1'!$C$2),0)</f>
        <v/>
      </c>
      <c r="C1020" t="str" vm="13204">
        <f>IFERROR(CUBEVALUE("BIDB",$A1020,C$3,C$2,'Præsentationstabeller 1'!$C$2),0)</f>
        <v/>
      </c>
      <c r="D1020" t="str" vm="12899">
        <f>IFERROR(CUBEVALUE("BIDB",$A1020,D$3,D$2,'Præsentationstabeller 1'!$C$2),0)</f>
        <v/>
      </c>
      <c r="E1020" t="str" vm="3870">
        <f>IFERROR(CUBEVALUE("BIDB",$A1020,E$3,E$2,'Præsentationstabeller 1'!$C$2),0)</f>
        <v/>
      </c>
      <c r="F1020" t="str" vm="7289">
        <f>IFERROR(CUBEVALUE("BIDB",$A1020,F$3,F$2,'Præsentationstabeller 1'!$C$2),0)</f>
        <v/>
      </c>
      <c r="G1020" t="str" vm="15464">
        <f>IFERROR(CUBEVALUE("BIDB",$A1020,G$3,G$2,'Præsentationstabeller 1'!$C$2),0)</f>
        <v/>
      </c>
      <c r="H1020" t="str" vm="12024">
        <f>IFERROR(CUBEVALUE("BIDB",$A1020,H$3,H$2,'Præsentationstabeller 1'!$C$2),0)</f>
        <v/>
      </c>
      <c r="I1020" t="str" vm="8729">
        <f>IFERROR(CUBEVALUE("BIDB",$A1020,I$3,I$2,'Præsentationstabeller 1'!$C$2),0)</f>
        <v/>
      </c>
      <c r="J1020" t="str" vm="3545">
        <f>IFERROR(CUBEVALUE("BIDB",$A1020,J$3,J$2,'Præsentationstabeller 1'!$C$2),0)</f>
        <v/>
      </c>
      <c r="K1020" t="str" vm="15573">
        <f>IFERROR(CUBEVALUE("BIDB",$A1020,K$3,K$2,'Præsentationstabeller 1'!$C$2),0)</f>
        <v/>
      </c>
      <c r="L1020" t="str" vm="10884">
        <f>IFERROR(CUBEVALUE("BIDB",$A1020,L$3,L$2,'Præsentationstabeller 1'!$C$2),0)</f>
        <v/>
      </c>
    </row>
    <row r="1021" spans="1:12" x14ac:dyDescent="0.3">
      <c r="A1021" s="123" t="str" vm="315">
        <f>CUBEMEMBER("BIDB","[Dimittenddato].[Dimittenddato].&amp;[2018-06-06T00:00:00]")</f>
        <v>06-06-2018</v>
      </c>
      <c r="B1021" t="str" vm="7130">
        <f>IFERROR(CUBEVALUE("BIDB",$A1021,B$3,'Præsentationstabeller 1'!$C$2),0)</f>
        <v/>
      </c>
      <c r="C1021" t="str" vm="11899">
        <f>IFERROR(CUBEVALUE("BIDB",$A1021,C$3,C$2,'Præsentationstabeller 1'!$C$2),0)</f>
        <v/>
      </c>
      <c r="D1021" t="str" vm="15693">
        <f>IFERROR(CUBEVALUE("BIDB",$A1021,D$3,D$2,'Præsentationstabeller 1'!$C$2),0)</f>
        <v/>
      </c>
      <c r="E1021" t="str" vm="5978">
        <f>IFERROR(CUBEVALUE("BIDB",$A1021,E$3,E$2,'Præsentationstabeller 1'!$C$2),0)</f>
        <v/>
      </c>
      <c r="F1021" t="str" vm="6616">
        <f>IFERROR(CUBEVALUE("BIDB",$A1021,F$3,F$2,'Præsentationstabeller 1'!$C$2),0)</f>
        <v/>
      </c>
      <c r="G1021" t="str" vm="15557">
        <f>IFERROR(CUBEVALUE("BIDB",$A1021,G$3,G$2,'Præsentationstabeller 1'!$C$2),0)</f>
        <v/>
      </c>
      <c r="H1021" t="str" vm="14889">
        <f>IFERROR(CUBEVALUE("BIDB",$A1021,H$3,H$2,'Præsentationstabeller 1'!$C$2),0)</f>
        <v/>
      </c>
      <c r="I1021" t="str" vm="4305">
        <f>IFERROR(CUBEVALUE("BIDB",$A1021,I$3,I$2,'Præsentationstabeller 1'!$C$2),0)</f>
        <v/>
      </c>
      <c r="J1021" t="str" vm="4270">
        <f>IFERROR(CUBEVALUE("BIDB",$A1021,J$3,J$2,'Præsentationstabeller 1'!$C$2),0)</f>
        <v/>
      </c>
      <c r="K1021" t="str" vm="15300">
        <f>IFERROR(CUBEVALUE("BIDB",$A1021,K$3,K$2,'Præsentationstabeller 1'!$C$2),0)</f>
        <v/>
      </c>
      <c r="L1021" t="str" vm="10722">
        <f>IFERROR(CUBEVALUE("BIDB",$A1021,L$3,L$2,'Præsentationstabeller 1'!$C$2),0)</f>
        <v/>
      </c>
    </row>
    <row r="1022" spans="1:12" x14ac:dyDescent="0.3">
      <c r="A1022" s="123" t="str" vm="314">
        <f>CUBEMEMBER("BIDB","[Dimittenddato].[Dimittenddato].&amp;[2018-06-07T00:00:00]")</f>
        <v>07-06-2018</v>
      </c>
      <c r="B1022" t="str" vm="3724">
        <f>IFERROR(CUBEVALUE("BIDB",$A1022,B$3,'Præsentationstabeller 1'!$C$2),0)</f>
        <v/>
      </c>
      <c r="C1022" t="str" vm="12349">
        <f>IFERROR(CUBEVALUE("BIDB",$A1022,C$3,C$2,'Præsentationstabeller 1'!$C$2),0)</f>
        <v/>
      </c>
      <c r="D1022" t="str" vm="13973">
        <f>IFERROR(CUBEVALUE("BIDB",$A1022,D$3,D$2,'Præsentationstabeller 1'!$C$2),0)</f>
        <v/>
      </c>
      <c r="E1022" t="str" vm="8265">
        <f>IFERROR(CUBEVALUE("BIDB",$A1022,E$3,E$2,'Præsentationstabeller 1'!$C$2),0)</f>
        <v/>
      </c>
      <c r="F1022" t="str" vm="4321">
        <f>IFERROR(CUBEVALUE("BIDB",$A1022,F$3,F$2,'Præsentationstabeller 1'!$C$2),0)</f>
        <v/>
      </c>
      <c r="G1022" t="str" vm="16055">
        <f>IFERROR(CUBEVALUE("BIDB",$A1022,G$3,G$2,'Præsentationstabeller 1'!$C$2),0)</f>
        <v/>
      </c>
      <c r="H1022" t="str" vm="15716">
        <f>IFERROR(CUBEVALUE("BIDB",$A1022,H$3,H$2,'Præsentationstabeller 1'!$C$2),0)</f>
        <v/>
      </c>
      <c r="I1022" t="str" vm="6521">
        <f>IFERROR(CUBEVALUE("BIDB",$A1022,I$3,I$2,'Præsentationstabeller 1'!$C$2),0)</f>
        <v/>
      </c>
      <c r="J1022" t="str" vm="3525">
        <f>IFERROR(CUBEVALUE("BIDB",$A1022,J$3,J$2,'Præsentationstabeller 1'!$C$2),0)</f>
        <v/>
      </c>
      <c r="K1022" t="str" vm="16365">
        <f>IFERROR(CUBEVALUE("BIDB",$A1022,K$3,K$2,'Præsentationstabeller 1'!$C$2),0)</f>
        <v/>
      </c>
      <c r="L1022" t="str" vm="11965">
        <f>IFERROR(CUBEVALUE("BIDB",$A1022,L$3,L$2,'Præsentationstabeller 1'!$C$2),0)</f>
        <v/>
      </c>
    </row>
    <row r="1023" spans="1:12" x14ac:dyDescent="0.3">
      <c r="A1023" s="123" t="str" vm="313">
        <f>CUBEMEMBER("BIDB","[Dimittenddato].[Dimittenddato].&amp;[2018-06-08T00:00:00]")</f>
        <v>08-06-2018</v>
      </c>
      <c r="B1023" t="str" vm="6672">
        <f>IFERROR(CUBEVALUE("BIDB",$A1023,B$3,'Præsentationstabeller 1'!$C$2),0)</f>
        <v/>
      </c>
      <c r="C1023" t="str" vm="15882">
        <f>IFERROR(CUBEVALUE("BIDB",$A1023,C$3,C$2,'Præsentationstabeller 1'!$C$2),0)</f>
        <v/>
      </c>
      <c r="D1023" t="str" vm="10384">
        <f>IFERROR(CUBEVALUE("BIDB",$A1023,D$3,D$2,'Præsentationstabeller 1'!$C$2),0)</f>
        <v/>
      </c>
      <c r="E1023" t="str" vm="4882">
        <f>IFERROR(CUBEVALUE("BIDB",$A1023,E$3,E$2,'Præsentationstabeller 1'!$C$2),0)</f>
        <v/>
      </c>
      <c r="F1023" t="str" vm="5001">
        <f>IFERROR(CUBEVALUE("BIDB",$A1023,F$3,F$2,'Præsentationstabeller 1'!$C$2),0)</f>
        <v/>
      </c>
      <c r="G1023" t="str" vm="16393">
        <f>IFERROR(CUBEVALUE("BIDB",$A1023,G$3,G$2,'Præsentationstabeller 1'!$C$2),0)</f>
        <v/>
      </c>
      <c r="H1023" t="str" vm="10408">
        <f>IFERROR(CUBEVALUE("BIDB",$A1023,H$3,H$2,'Præsentationstabeller 1'!$C$2),0)</f>
        <v/>
      </c>
      <c r="I1023" t="str" vm="4857">
        <f>IFERROR(CUBEVALUE("BIDB",$A1023,I$3,I$2,'Præsentationstabeller 1'!$C$2),0)</f>
        <v/>
      </c>
      <c r="J1023" t="str" vm="4889">
        <f>IFERROR(CUBEVALUE("BIDB",$A1023,J$3,J$2,'Præsentationstabeller 1'!$C$2),0)</f>
        <v/>
      </c>
      <c r="K1023" t="str" vm="14215">
        <f>IFERROR(CUBEVALUE("BIDB",$A1023,K$3,K$2,'Præsentationstabeller 1'!$C$2),0)</f>
        <v/>
      </c>
      <c r="L1023" t="str" vm="7447">
        <f>IFERROR(CUBEVALUE("BIDB",$A1023,L$3,L$2,'Præsentationstabeller 1'!$C$2),0)</f>
        <v/>
      </c>
    </row>
    <row r="1024" spans="1:12" x14ac:dyDescent="0.3">
      <c r="A1024" s="123" t="str" vm="312">
        <f>CUBEMEMBER("BIDB","[Dimittenddato].[Dimittenddato].&amp;[2018-06-09T00:00:00]")</f>
        <v>09-06-2018</v>
      </c>
      <c r="B1024" t="str" vm="5720">
        <f>IFERROR(CUBEVALUE("BIDB",$A1024,B$3,'Præsentationstabeller 1'!$C$2),0)</f>
        <v/>
      </c>
      <c r="C1024" t="str" vm="14635">
        <f>IFERROR(CUBEVALUE("BIDB",$A1024,C$3,C$2,'Præsentationstabeller 1'!$C$2),0)</f>
        <v/>
      </c>
      <c r="D1024" t="str" vm="14431">
        <f>IFERROR(CUBEVALUE("BIDB",$A1024,D$3,D$2,'Præsentationstabeller 1'!$C$2),0)</f>
        <v/>
      </c>
      <c r="E1024" t="str" vm="3854">
        <f>IFERROR(CUBEVALUE("BIDB",$A1024,E$3,E$2,'Præsentationstabeller 1'!$C$2),0)</f>
        <v/>
      </c>
      <c r="F1024" t="str" vm="5647">
        <f>IFERROR(CUBEVALUE("BIDB",$A1024,F$3,F$2,'Præsentationstabeller 1'!$C$2),0)</f>
        <v/>
      </c>
      <c r="G1024" t="str" vm="12510">
        <f>IFERROR(CUBEVALUE("BIDB",$A1024,G$3,G$2,'Præsentationstabeller 1'!$C$2),0)</f>
        <v/>
      </c>
      <c r="H1024" t="str" vm="10105">
        <f>IFERROR(CUBEVALUE("BIDB",$A1024,H$3,H$2,'Præsentationstabeller 1'!$C$2),0)</f>
        <v/>
      </c>
      <c r="I1024" t="str" vm="10147">
        <f>IFERROR(CUBEVALUE("BIDB",$A1024,I$3,I$2,'Præsentationstabeller 1'!$C$2),0)</f>
        <v/>
      </c>
      <c r="J1024" t="str" vm="3756">
        <f>IFERROR(CUBEVALUE("BIDB",$A1024,J$3,J$2,'Præsentationstabeller 1'!$C$2),0)</f>
        <v/>
      </c>
      <c r="K1024" t="str" vm="14582">
        <f>IFERROR(CUBEVALUE("BIDB",$A1024,K$3,K$2,'Præsentationstabeller 1'!$C$2),0)</f>
        <v/>
      </c>
      <c r="L1024" t="str" vm="13056">
        <f>IFERROR(CUBEVALUE("BIDB",$A1024,L$3,L$2,'Præsentationstabeller 1'!$C$2),0)</f>
        <v/>
      </c>
    </row>
    <row r="1025" spans="1:12" x14ac:dyDescent="0.3">
      <c r="A1025" s="123" t="str" vm="311">
        <f>CUBEMEMBER("BIDB","[Dimittenddato].[Dimittenddato].&amp;[2018-06-10T00:00:00]")</f>
        <v>10-06-2018</v>
      </c>
      <c r="B1025" t="str" vm="5742">
        <f>IFERROR(CUBEVALUE("BIDB",$A1025,B$3,'Præsentationstabeller 1'!$C$2),0)</f>
        <v/>
      </c>
      <c r="C1025" t="str" vm="16948">
        <f>IFERROR(CUBEVALUE("BIDB",$A1025,C$3,C$2,'Præsentationstabeller 1'!$C$2),0)</f>
        <v/>
      </c>
      <c r="D1025" t="str" vm="12556">
        <f>IFERROR(CUBEVALUE("BIDB",$A1025,D$3,D$2,'Præsentationstabeller 1'!$C$2),0)</f>
        <v/>
      </c>
      <c r="E1025" t="str" vm="6202">
        <f>IFERROR(CUBEVALUE("BIDB",$A1025,E$3,E$2,'Præsentationstabeller 1'!$C$2),0)</f>
        <v/>
      </c>
      <c r="F1025" t="str" vm="5011">
        <f>IFERROR(CUBEVALUE("BIDB",$A1025,F$3,F$2,'Præsentationstabeller 1'!$C$2),0)</f>
        <v/>
      </c>
      <c r="G1025" t="str" vm="14777">
        <f>IFERROR(CUBEVALUE("BIDB",$A1025,G$3,G$2,'Præsentationstabeller 1'!$C$2),0)</f>
        <v/>
      </c>
      <c r="H1025" t="str" vm="14822">
        <f>IFERROR(CUBEVALUE("BIDB",$A1025,H$3,H$2,'Præsentationstabeller 1'!$C$2),0)</f>
        <v/>
      </c>
      <c r="I1025" t="str" vm="4206">
        <f>IFERROR(CUBEVALUE("BIDB",$A1025,I$3,I$2,'Præsentationstabeller 1'!$C$2),0)</f>
        <v/>
      </c>
      <c r="J1025" t="str" vm="4262">
        <f>IFERROR(CUBEVALUE("BIDB",$A1025,J$3,J$2,'Præsentationstabeller 1'!$C$2),0)</f>
        <v/>
      </c>
      <c r="K1025" t="str" vm="15510">
        <f>IFERROR(CUBEVALUE("BIDB",$A1025,K$3,K$2,'Præsentationstabeller 1'!$C$2),0)</f>
        <v/>
      </c>
      <c r="L1025" t="str" vm="9819">
        <f>IFERROR(CUBEVALUE("BIDB",$A1025,L$3,L$2,'Præsentationstabeller 1'!$C$2),0)</f>
        <v/>
      </c>
    </row>
    <row r="1026" spans="1:12" x14ac:dyDescent="0.3">
      <c r="A1026" s="123" t="str" vm="310">
        <f>CUBEMEMBER("BIDB","[Dimittenddato].[Dimittenddato].&amp;[2018-06-11T00:00:00]")</f>
        <v>11-06-2018</v>
      </c>
      <c r="B1026" t="str" vm="6410">
        <f>IFERROR(CUBEVALUE("BIDB",$A1026,B$3,'Præsentationstabeller 1'!$C$2),0)</f>
        <v/>
      </c>
      <c r="C1026" t="str" vm="16646">
        <f>IFERROR(CUBEVALUE("BIDB",$A1026,C$3,C$2,'Præsentationstabeller 1'!$C$2),0)</f>
        <v/>
      </c>
      <c r="D1026" t="str" vm="16412">
        <f>IFERROR(CUBEVALUE("BIDB",$A1026,D$3,D$2,'Præsentationstabeller 1'!$C$2),0)</f>
        <v/>
      </c>
      <c r="E1026" t="str" vm="5623">
        <f>IFERROR(CUBEVALUE("BIDB",$A1026,E$3,E$2,'Præsentationstabeller 1'!$C$2),0)</f>
        <v/>
      </c>
      <c r="F1026" t="str" vm="6097">
        <f>IFERROR(CUBEVALUE("BIDB",$A1026,F$3,F$2,'Præsentationstabeller 1'!$C$2),0)</f>
        <v/>
      </c>
      <c r="G1026" t="str" vm="14019">
        <f>IFERROR(CUBEVALUE("BIDB",$A1026,G$3,G$2,'Præsentationstabeller 1'!$C$2),0)</f>
        <v/>
      </c>
      <c r="H1026" t="str" vm="13123">
        <f>IFERROR(CUBEVALUE("BIDB",$A1026,H$3,H$2,'Præsentationstabeller 1'!$C$2),0)</f>
        <v/>
      </c>
      <c r="I1026" t="str" vm="8145">
        <f>IFERROR(CUBEVALUE("BIDB",$A1026,I$3,I$2,'Præsentationstabeller 1'!$C$2),0)</f>
        <v/>
      </c>
      <c r="J1026" t="str" vm="6666">
        <f>IFERROR(CUBEVALUE("BIDB",$A1026,J$3,J$2,'Præsentationstabeller 1'!$C$2),0)</f>
        <v/>
      </c>
      <c r="K1026" t="str" vm="12473">
        <f>IFERROR(CUBEVALUE("BIDB",$A1026,K$3,K$2,'Præsentationstabeller 1'!$C$2),0)</f>
        <v/>
      </c>
      <c r="L1026" t="str" vm="15546">
        <f>IFERROR(CUBEVALUE("BIDB",$A1026,L$3,L$2,'Præsentationstabeller 1'!$C$2),0)</f>
        <v/>
      </c>
    </row>
    <row r="1027" spans="1:12" x14ac:dyDescent="0.3">
      <c r="A1027" s="123" t="str" vm="309">
        <f>CUBEMEMBER("BIDB","[Dimittenddato].[Dimittenddato].&amp;[2018-06-12T00:00:00]")</f>
        <v>12-06-2018</v>
      </c>
      <c r="B1027" t="str" vm="5889">
        <f>IFERROR(CUBEVALUE("BIDB",$A1027,B$3,'Præsentationstabeller 1'!$C$2),0)</f>
        <v/>
      </c>
      <c r="C1027" t="str" vm="12365">
        <f>IFERROR(CUBEVALUE("BIDB",$A1027,C$3,C$2,'Præsentationstabeller 1'!$C$2),0)</f>
        <v/>
      </c>
      <c r="D1027" t="str" vm="16453">
        <f>IFERROR(CUBEVALUE("BIDB",$A1027,D$3,D$2,'Præsentationstabeller 1'!$C$2),0)</f>
        <v/>
      </c>
      <c r="E1027" t="str" vm="3266">
        <f>IFERROR(CUBEVALUE("BIDB",$A1027,E$3,E$2,'Præsentationstabeller 1'!$C$2),0)</f>
        <v/>
      </c>
      <c r="F1027" t="str" vm="4236">
        <f>IFERROR(CUBEVALUE("BIDB",$A1027,F$3,F$2,'Præsentationstabeller 1'!$C$2),0)</f>
        <v/>
      </c>
      <c r="G1027" t="str" vm="13769">
        <f>IFERROR(CUBEVALUE("BIDB",$A1027,G$3,G$2,'Præsentationstabeller 1'!$C$2),0)</f>
        <v/>
      </c>
      <c r="H1027" t="str" vm="10219">
        <f>IFERROR(CUBEVALUE("BIDB",$A1027,H$3,H$2,'Præsentationstabeller 1'!$C$2),0)</f>
        <v/>
      </c>
      <c r="I1027" t="str" vm="5041">
        <f>IFERROR(CUBEVALUE("BIDB",$A1027,I$3,I$2,'Præsentationstabeller 1'!$C$2),0)</f>
        <v/>
      </c>
      <c r="J1027" t="str" vm="3259">
        <f>IFERROR(CUBEVALUE("BIDB",$A1027,J$3,J$2,'Præsentationstabeller 1'!$C$2),0)</f>
        <v/>
      </c>
      <c r="K1027" t="str" vm="17019">
        <f>IFERROR(CUBEVALUE("BIDB",$A1027,K$3,K$2,'Præsentationstabeller 1'!$C$2),0)</f>
        <v/>
      </c>
      <c r="L1027" t="str" vm="9172">
        <f>IFERROR(CUBEVALUE("BIDB",$A1027,L$3,L$2,'Præsentationstabeller 1'!$C$2),0)</f>
        <v/>
      </c>
    </row>
    <row r="1028" spans="1:12" x14ac:dyDescent="0.3">
      <c r="A1028" s="123" t="str" vm="308">
        <f>CUBEMEMBER("BIDB","[Dimittenddato].[Dimittenddato].&amp;[2018-06-13T00:00:00]")</f>
        <v>13-06-2018</v>
      </c>
      <c r="B1028" t="str" vm="6613">
        <f>IFERROR(CUBEVALUE("BIDB",$A1028,B$3,'Præsentationstabeller 1'!$C$2),0)</f>
        <v/>
      </c>
      <c r="C1028" t="str" vm="15729">
        <f>IFERROR(CUBEVALUE("BIDB",$A1028,C$3,C$2,'Præsentationstabeller 1'!$C$2),0)</f>
        <v/>
      </c>
      <c r="D1028" t="str" vm="13299">
        <f>IFERROR(CUBEVALUE("BIDB",$A1028,D$3,D$2,'Præsentationstabeller 1'!$C$2),0)</f>
        <v/>
      </c>
      <c r="E1028" t="str" vm="6077">
        <f>IFERROR(CUBEVALUE("BIDB",$A1028,E$3,E$2,'Præsentationstabeller 1'!$C$2),0)</f>
        <v/>
      </c>
      <c r="F1028" t="str" vm="5645">
        <f>IFERROR(CUBEVALUE("BIDB",$A1028,F$3,F$2,'Præsentationstabeller 1'!$C$2),0)</f>
        <v/>
      </c>
      <c r="G1028" t="str" vm="15499">
        <f>IFERROR(CUBEVALUE("BIDB",$A1028,G$3,G$2,'Præsentationstabeller 1'!$C$2),0)</f>
        <v/>
      </c>
      <c r="H1028" t="str" vm="13796">
        <f>IFERROR(CUBEVALUE("BIDB",$A1028,H$3,H$2,'Præsentationstabeller 1'!$C$2),0)</f>
        <v/>
      </c>
      <c r="I1028" t="str" vm="5548">
        <f>IFERROR(CUBEVALUE("BIDB",$A1028,I$3,I$2,'Præsentationstabeller 1'!$C$2),0)</f>
        <v/>
      </c>
      <c r="J1028" t="str" vm="3740">
        <f>IFERROR(CUBEVALUE("BIDB",$A1028,J$3,J$2,'Præsentationstabeller 1'!$C$2),0)</f>
        <v/>
      </c>
      <c r="K1028" t="str" vm="11628">
        <f>IFERROR(CUBEVALUE("BIDB",$A1028,K$3,K$2,'Præsentationstabeller 1'!$C$2),0)</f>
        <v/>
      </c>
      <c r="L1028" t="str" vm="14700">
        <f>IFERROR(CUBEVALUE("BIDB",$A1028,L$3,L$2,'Præsentationstabeller 1'!$C$2),0)</f>
        <v/>
      </c>
    </row>
    <row r="1029" spans="1:12" x14ac:dyDescent="0.3">
      <c r="A1029" s="123" t="str" vm="307">
        <f>CUBEMEMBER("BIDB","[Dimittenddato].[Dimittenddato].&amp;[2018-06-14T00:00:00]")</f>
        <v>14-06-2018</v>
      </c>
      <c r="B1029" t="str" vm="4601">
        <f>IFERROR(CUBEVALUE("BIDB",$A1029,B$3,'Præsentationstabeller 1'!$C$2),0)</f>
        <v/>
      </c>
      <c r="C1029" t="str" vm="15735">
        <f>IFERROR(CUBEVALUE("BIDB",$A1029,C$3,C$2,'Præsentationstabeller 1'!$C$2),0)</f>
        <v/>
      </c>
      <c r="D1029" t="str" vm="11663">
        <f>IFERROR(CUBEVALUE("BIDB",$A1029,D$3,D$2,'Præsentationstabeller 1'!$C$2),0)</f>
        <v/>
      </c>
      <c r="E1029" t="str" vm="7417">
        <f>IFERROR(CUBEVALUE("BIDB",$A1029,E$3,E$2,'Præsentationstabeller 1'!$C$2),0)</f>
        <v/>
      </c>
      <c r="F1029" t="str" vm="9121">
        <f>IFERROR(CUBEVALUE("BIDB",$A1029,F$3,F$2,'Præsentationstabeller 1'!$C$2),0)</f>
        <v/>
      </c>
      <c r="G1029" t="str" vm="11483">
        <f>IFERROR(CUBEVALUE("BIDB",$A1029,G$3,G$2,'Præsentationstabeller 1'!$C$2),0)</f>
        <v/>
      </c>
      <c r="H1029" t="str" vm="10937">
        <f>IFERROR(CUBEVALUE("BIDB",$A1029,H$3,H$2,'Præsentationstabeller 1'!$C$2),0)</f>
        <v/>
      </c>
      <c r="I1029" t="str" vm="5613">
        <f>IFERROR(CUBEVALUE("BIDB",$A1029,I$3,I$2,'Præsentationstabeller 1'!$C$2),0)</f>
        <v/>
      </c>
      <c r="J1029" t="str" vm="12253">
        <f>IFERROR(CUBEVALUE("BIDB",$A1029,J$3,J$2,'Præsentationstabeller 1'!$C$2),0)</f>
        <v/>
      </c>
      <c r="K1029" t="str" vm="12184">
        <f>IFERROR(CUBEVALUE("BIDB",$A1029,K$3,K$2,'Præsentationstabeller 1'!$C$2),0)</f>
        <v/>
      </c>
      <c r="L1029" t="str" vm="11709">
        <f>IFERROR(CUBEVALUE("BIDB",$A1029,L$3,L$2,'Præsentationstabeller 1'!$C$2),0)</f>
        <v/>
      </c>
    </row>
    <row r="1030" spans="1:12" x14ac:dyDescent="0.3">
      <c r="A1030" s="123" t="str" vm="306">
        <f>CUBEMEMBER("BIDB","[Dimittenddato].[Dimittenddato].&amp;[2018-06-15T00:00:00]")</f>
        <v>15-06-2018</v>
      </c>
      <c r="B1030" t="str" vm="6085">
        <f>IFERROR(CUBEVALUE("BIDB",$A1030,B$3,'Præsentationstabeller 1'!$C$2),0)</f>
        <v/>
      </c>
      <c r="C1030" t="str" vm="10986">
        <f>IFERROR(CUBEVALUE("BIDB",$A1030,C$3,C$2,'Præsentationstabeller 1'!$C$2),0)</f>
        <v/>
      </c>
      <c r="D1030" t="str" vm="16168">
        <f>IFERROR(CUBEVALUE("BIDB",$A1030,D$3,D$2,'Præsentationstabeller 1'!$C$2),0)</f>
        <v/>
      </c>
      <c r="E1030" t="str" vm="4579">
        <f>IFERROR(CUBEVALUE("BIDB",$A1030,E$3,E$2,'Præsentationstabeller 1'!$C$2),0)</f>
        <v/>
      </c>
      <c r="F1030" t="str" vm="4744">
        <f>IFERROR(CUBEVALUE("BIDB",$A1030,F$3,F$2,'Præsentationstabeller 1'!$C$2),0)</f>
        <v/>
      </c>
      <c r="G1030" t="str" vm="13206">
        <f>IFERROR(CUBEVALUE("BIDB",$A1030,G$3,G$2,'Præsentationstabeller 1'!$C$2),0)</f>
        <v/>
      </c>
      <c r="H1030" t="str" vm="16587">
        <f>IFERROR(CUBEVALUE("BIDB",$A1030,H$3,H$2,'Præsentationstabeller 1'!$C$2),0)</f>
        <v/>
      </c>
      <c r="I1030" t="str" vm="4839">
        <f>IFERROR(CUBEVALUE("BIDB",$A1030,I$3,I$2,'Præsentationstabeller 1'!$C$2),0)</f>
        <v/>
      </c>
      <c r="J1030" t="str" vm="6877">
        <f>IFERROR(CUBEVALUE("BIDB",$A1030,J$3,J$2,'Præsentationstabeller 1'!$C$2),0)</f>
        <v/>
      </c>
      <c r="K1030" t="str" vm="10889">
        <f>IFERROR(CUBEVALUE("BIDB",$A1030,K$3,K$2,'Præsentationstabeller 1'!$C$2),0)</f>
        <v/>
      </c>
      <c r="L1030" t="str" vm="10900">
        <f>IFERROR(CUBEVALUE("BIDB",$A1030,L$3,L$2,'Præsentationstabeller 1'!$C$2),0)</f>
        <v/>
      </c>
    </row>
    <row r="1031" spans="1:12" x14ac:dyDescent="0.3">
      <c r="A1031" s="123" t="str" vm="305">
        <f>CUBEMEMBER("BIDB","[Dimittenddato].[Dimittenddato].&amp;[2018-06-16T00:00:00]")</f>
        <v>16-06-2018</v>
      </c>
      <c r="B1031" t="str" vm="5881">
        <f>IFERROR(CUBEVALUE("BIDB",$A1031,B$3,'Præsentationstabeller 1'!$C$2),0)</f>
        <v/>
      </c>
      <c r="C1031" t="str" vm="17046">
        <f>IFERROR(CUBEVALUE("BIDB",$A1031,C$3,C$2,'Præsentationstabeller 1'!$C$2),0)</f>
        <v/>
      </c>
      <c r="D1031" t="str" vm="14032">
        <f>IFERROR(CUBEVALUE("BIDB",$A1031,D$3,D$2,'Præsentationstabeller 1'!$C$2),0)</f>
        <v/>
      </c>
      <c r="E1031" t="str" vm="4751">
        <f>IFERROR(CUBEVALUE("BIDB",$A1031,E$3,E$2,'Præsentationstabeller 1'!$C$2),0)</f>
        <v/>
      </c>
      <c r="F1031" t="str" vm="4221">
        <f>IFERROR(CUBEVALUE("BIDB",$A1031,F$3,F$2,'Præsentationstabeller 1'!$C$2),0)</f>
        <v/>
      </c>
      <c r="G1031" t="str" vm="13276">
        <f>IFERROR(CUBEVALUE("BIDB",$A1031,G$3,G$2,'Præsentationstabeller 1'!$C$2),0)</f>
        <v/>
      </c>
      <c r="H1031" t="str" vm="9316">
        <f>IFERROR(CUBEVALUE("BIDB",$A1031,H$3,H$2,'Præsentationstabeller 1'!$C$2),0)</f>
        <v/>
      </c>
      <c r="I1031" t="str" vm="4896">
        <f>IFERROR(CUBEVALUE("BIDB",$A1031,I$3,I$2,'Præsentationstabeller 1'!$C$2),0)</f>
        <v/>
      </c>
      <c r="J1031" t="str" vm="7754">
        <f>IFERROR(CUBEVALUE("BIDB",$A1031,J$3,J$2,'Præsentationstabeller 1'!$C$2),0)</f>
        <v/>
      </c>
      <c r="K1031" t="str" vm="14510">
        <f>IFERROR(CUBEVALUE("BIDB",$A1031,K$3,K$2,'Præsentationstabeller 1'!$C$2),0)</f>
        <v/>
      </c>
      <c r="L1031" t="str" vm="11953">
        <f>IFERROR(CUBEVALUE("BIDB",$A1031,L$3,L$2,'Præsentationstabeller 1'!$C$2),0)</f>
        <v/>
      </c>
    </row>
    <row r="1032" spans="1:12" x14ac:dyDescent="0.3">
      <c r="A1032" s="123" t="str" vm="304">
        <f>CUBEMEMBER("BIDB","[Dimittenddato].[Dimittenddato].&amp;[2018-06-17T00:00:00]")</f>
        <v>17-06-2018</v>
      </c>
      <c r="B1032" t="str" vm="7307">
        <f>IFERROR(CUBEVALUE("BIDB",$A1032,B$3,'Præsentationstabeller 1'!$C$2),0)</f>
        <v/>
      </c>
      <c r="C1032" t="str" vm="16408">
        <f>IFERROR(CUBEVALUE("BIDB",$A1032,C$3,C$2,'Præsentationstabeller 1'!$C$2),0)</f>
        <v/>
      </c>
      <c r="D1032" t="str" vm="17082">
        <f>IFERROR(CUBEVALUE("BIDB",$A1032,D$3,D$2,'Præsentationstabeller 1'!$C$2),0)</f>
        <v/>
      </c>
      <c r="E1032" t="str" vm="5031">
        <f>IFERROR(CUBEVALUE("BIDB",$A1032,E$3,E$2,'Præsentationstabeller 1'!$C$2),0)</f>
        <v/>
      </c>
      <c r="F1032" t="str" vm="9234">
        <f>IFERROR(CUBEVALUE("BIDB",$A1032,F$3,F$2,'Præsentationstabeller 1'!$C$2),0)</f>
        <v/>
      </c>
      <c r="G1032" t="str" vm="15322">
        <f>IFERROR(CUBEVALUE("BIDB",$A1032,G$3,G$2,'Præsentationstabeller 1'!$C$2),0)</f>
        <v/>
      </c>
      <c r="H1032" t="str" vm="15449">
        <f>IFERROR(CUBEVALUE("BIDB",$A1032,H$3,H$2,'Præsentationstabeller 1'!$C$2),0)</f>
        <v/>
      </c>
      <c r="I1032" t="str" vm="6246">
        <f>IFERROR(CUBEVALUE("BIDB",$A1032,I$3,I$2,'Præsentationstabeller 1'!$C$2),0)</f>
        <v/>
      </c>
      <c r="J1032" t="str" vm="3586">
        <f>IFERROR(CUBEVALUE("BIDB",$A1032,J$3,J$2,'Præsentationstabeller 1'!$C$2),0)</f>
        <v/>
      </c>
      <c r="K1032" t="str" vm="13061">
        <f>IFERROR(CUBEVALUE("BIDB",$A1032,K$3,K$2,'Præsentationstabeller 1'!$C$2),0)</f>
        <v/>
      </c>
      <c r="L1032" t="str" vm="16022">
        <f>IFERROR(CUBEVALUE("BIDB",$A1032,L$3,L$2,'Præsentationstabeller 1'!$C$2),0)</f>
        <v/>
      </c>
    </row>
    <row r="1033" spans="1:12" x14ac:dyDescent="0.3">
      <c r="A1033" s="123" t="str" vm="303">
        <f>CUBEMEMBER("BIDB","[Dimittenddato].[Dimittenddato].&amp;[2018-06-18T00:00:00]")</f>
        <v>18-06-2018</v>
      </c>
      <c r="B1033" t="str" vm="5196">
        <f>IFERROR(CUBEVALUE("BIDB",$A1033,B$3,'Præsentationstabeller 1'!$C$2),0)</f>
        <v/>
      </c>
      <c r="C1033" t="str" vm="15037">
        <f>IFERROR(CUBEVALUE("BIDB",$A1033,C$3,C$2,'Præsentationstabeller 1'!$C$2),0)</f>
        <v/>
      </c>
      <c r="D1033" t="str" vm="12914">
        <f>IFERROR(CUBEVALUE("BIDB",$A1033,D$3,D$2,'Præsentationstabeller 1'!$C$2),0)</f>
        <v/>
      </c>
      <c r="E1033" t="str" vm="5585">
        <f>IFERROR(CUBEVALUE("BIDB",$A1033,E$3,E$2,'Præsentationstabeller 1'!$C$2),0)</f>
        <v/>
      </c>
      <c r="F1033" t="str" vm="5749">
        <f>IFERROR(CUBEVALUE("BIDB",$A1033,F$3,F$2,'Præsentationstabeller 1'!$C$2),0)</f>
        <v/>
      </c>
      <c r="G1033" t="str" vm="15369">
        <f>IFERROR(CUBEVALUE("BIDB",$A1033,G$3,G$2,'Præsentationstabeller 1'!$C$2),0)</f>
        <v/>
      </c>
      <c r="H1033" t="str" vm="13965">
        <f>IFERROR(CUBEVALUE("BIDB",$A1033,H$3,H$2,'Præsentationstabeller 1'!$C$2),0)</f>
        <v/>
      </c>
      <c r="I1033" t="str" vm="3618">
        <f>IFERROR(CUBEVALUE("BIDB",$A1033,I$3,I$2,'Præsentationstabeller 1'!$C$2),0)</f>
        <v/>
      </c>
      <c r="J1033" t="str" vm="5301">
        <f>IFERROR(CUBEVALUE("BIDB",$A1033,J$3,J$2,'Præsentationstabeller 1'!$C$2),0)</f>
        <v/>
      </c>
      <c r="K1033" t="str" vm="13844">
        <f>IFERROR(CUBEVALUE("BIDB",$A1033,K$3,K$2,'Præsentationstabeller 1'!$C$2),0)</f>
        <v/>
      </c>
      <c r="L1033" t="str" vm="15679">
        <f>IFERROR(CUBEVALUE("BIDB",$A1033,L$3,L$2,'Præsentationstabeller 1'!$C$2),0)</f>
        <v/>
      </c>
    </row>
    <row r="1034" spans="1:12" x14ac:dyDescent="0.3">
      <c r="A1034" s="123" t="str" vm="302">
        <f>CUBEMEMBER("BIDB","[Dimittenddato].[Dimittenddato].&amp;[2018-06-19T00:00:00]")</f>
        <v>19-06-2018</v>
      </c>
      <c r="B1034" t="str" vm="6081">
        <f>IFERROR(CUBEVALUE("BIDB",$A1034,B$3,'Præsentationstabeller 1'!$C$2),0)</f>
        <v/>
      </c>
      <c r="C1034" t="str" vm="15378">
        <f>IFERROR(CUBEVALUE("BIDB",$A1034,C$3,C$2,'Præsentationstabeller 1'!$C$2),0)</f>
        <v/>
      </c>
      <c r="D1034" t="str" vm="16170">
        <f>IFERROR(CUBEVALUE("BIDB",$A1034,D$3,D$2,'Præsentationstabeller 1'!$C$2),0)</f>
        <v/>
      </c>
      <c r="E1034" t="str" vm="3273">
        <f>IFERROR(CUBEVALUE("BIDB",$A1034,E$3,E$2,'Præsentationstabeller 1'!$C$2),0)</f>
        <v/>
      </c>
      <c r="F1034" t="str" vm="5361">
        <f>IFERROR(CUBEVALUE("BIDB",$A1034,F$3,F$2,'Præsentationstabeller 1'!$C$2),0)</f>
        <v/>
      </c>
      <c r="G1034" t="str" vm="13848">
        <f>IFERROR(CUBEVALUE("BIDB",$A1034,G$3,G$2,'Præsentationstabeller 1'!$C$2),0)</f>
        <v/>
      </c>
      <c r="H1034" t="str" vm="13803">
        <f>IFERROR(CUBEVALUE("BIDB",$A1034,H$3,H$2,'Præsentationstabeller 1'!$C$2),0)</f>
        <v/>
      </c>
      <c r="I1034" t="str" vm="4831">
        <f>IFERROR(CUBEVALUE("BIDB",$A1034,I$3,I$2,'Præsentationstabeller 1'!$C$2),0)</f>
        <v/>
      </c>
      <c r="J1034" t="str" vm="5339">
        <f>IFERROR(CUBEVALUE("BIDB",$A1034,J$3,J$2,'Præsentationstabeller 1'!$C$2),0)</f>
        <v/>
      </c>
      <c r="K1034" t="str" vm="15436">
        <f>IFERROR(CUBEVALUE("BIDB",$A1034,K$3,K$2,'Præsentationstabeller 1'!$C$2),0)</f>
        <v/>
      </c>
      <c r="L1034" t="str" vm="12012">
        <f>IFERROR(CUBEVALUE("BIDB",$A1034,L$3,L$2,'Præsentationstabeller 1'!$C$2),0)</f>
        <v/>
      </c>
    </row>
    <row r="1035" spans="1:12" x14ac:dyDescent="0.3">
      <c r="A1035" s="123" t="str" vm="301">
        <f>CUBEMEMBER("BIDB","[Dimittenddato].[Dimittenddato].&amp;[2018-06-20T00:00:00]")</f>
        <v>20-06-2018</v>
      </c>
      <c r="B1035" t="str" vm="6048">
        <f>IFERROR(CUBEVALUE("BIDB",$A1035,B$3,'Præsentationstabeller 1'!$C$2),0)</f>
        <v/>
      </c>
      <c r="C1035" t="str" vm="12538">
        <f>IFERROR(CUBEVALUE("BIDB",$A1035,C$3,C$2,'Præsentationstabeller 1'!$C$2),0)</f>
        <v/>
      </c>
      <c r="D1035" t="str" vm="11274">
        <f>IFERROR(CUBEVALUE("BIDB",$A1035,D$3,D$2,'Præsentationstabeller 1'!$C$2),0)</f>
        <v/>
      </c>
      <c r="E1035" t="str" vm="5961">
        <f>IFERROR(CUBEVALUE("BIDB",$A1035,E$3,E$2,'Præsentationstabeller 1'!$C$2),0)</f>
        <v/>
      </c>
      <c r="F1035" t="str" vm="3471">
        <f>IFERROR(CUBEVALUE("BIDB",$A1035,F$3,F$2,'Præsentationstabeller 1'!$C$2),0)</f>
        <v/>
      </c>
      <c r="G1035" t="str" vm="15158">
        <f>IFERROR(CUBEVALUE("BIDB",$A1035,G$3,G$2,'Præsentationstabeller 1'!$C$2),0)</f>
        <v/>
      </c>
      <c r="H1035" t="str" vm="12997">
        <f>IFERROR(CUBEVALUE("BIDB",$A1035,H$3,H$2,'Præsentationstabeller 1'!$C$2),0)</f>
        <v/>
      </c>
      <c r="I1035" t="str" vm="5295">
        <f>IFERROR(CUBEVALUE("BIDB",$A1035,I$3,I$2,'Præsentationstabeller 1'!$C$2),0)</f>
        <v/>
      </c>
      <c r="J1035" t="str" vm="4781">
        <f>IFERROR(CUBEVALUE("BIDB",$A1035,J$3,J$2,'Præsentationstabeller 1'!$C$2),0)</f>
        <v/>
      </c>
      <c r="K1035" t="str" vm="10905">
        <f>IFERROR(CUBEVALUE("BIDB",$A1035,K$3,K$2,'Præsentationstabeller 1'!$C$2),0)</f>
        <v/>
      </c>
      <c r="L1035" t="str" vm="8023">
        <f>IFERROR(CUBEVALUE("BIDB",$A1035,L$3,L$2,'Præsentationstabeller 1'!$C$2),0)</f>
        <v/>
      </c>
    </row>
    <row r="1036" spans="1:12" x14ac:dyDescent="0.3">
      <c r="A1036" s="123" t="str" vm="300">
        <f>CUBEMEMBER("BIDB","[Dimittenddato].[Dimittenddato].&amp;[2018-06-21T00:00:00]")</f>
        <v>21-06-2018</v>
      </c>
      <c r="B1036" t="str" vm="16542">
        <f>IFERROR(CUBEVALUE("BIDB",$A1036,B$3,'Præsentationstabeller 1'!$C$2),0)</f>
        <v/>
      </c>
      <c r="C1036" t="str" vm="12042">
        <f>IFERROR(CUBEVALUE("BIDB",$A1036,C$3,C$2,'Præsentationstabeller 1'!$C$2),0)</f>
        <v/>
      </c>
      <c r="D1036" t="str" vm="15503">
        <f>IFERROR(CUBEVALUE("BIDB",$A1036,D$3,D$2,'Præsentationstabeller 1'!$C$2),0)</f>
        <v/>
      </c>
      <c r="E1036" t="str" vm="7281">
        <f>IFERROR(CUBEVALUE("BIDB",$A1036,E$3,E$2,'Præsentationstabeller 1'!$C$2),0)</f>
        <v/>
      </c>
      <c r="F1036" t="str" vm="11543">
        <f>IFERROR(CUBEVALUE("BIDB",$A1036,F$3,F$2,'Præsentationstabeller 1'!$C$2),0)</f>
        <v/>
      </c>
      <c r="G1036" t="str" vm="15152">
        <f>IFERROR(CUBEVALUE("BIDB",$A1036,G$3,G$2,'Præsentationstabeller 1'!$C$2),0)</f>
        <v/>
      </c>
      <c r="H1036" t="str" vm="16123">
        <f>IFERROR(CUBEVALUE("BIDB",$A1036,H$3,H$2,'Præsentationstabeller 1'!$C$2),0)</f>
        <v/>
      </c>
      <c r="I1036" t="str" vm="7263">
        <f>IFERROR(CUBEVALUE("BIDB",$A1036,I$3,I$2,'Præsentationstabeller 1'!$C$2),0)</f>
        <v/>
      </c>
      <c r="J1036" t="str" vm="16107">
        <f>IFERROR(CUBEVALUE("BIDB",$A1036,J$3,J$2,'Præsentationstabeller 1'!$C$2),0)</f>
        <v/>
      </c>
      <c r="K1036" t="str" vm="14184">
        <f>IFERROR(CUBEVALUE("BIDB",$A1036,K$3,K$2,'Præsentationstabeller 1'!$C$2),0)</f>
        <v/>
      </c>
      <c r="L1036" t="str" vm="12753">
        <f>IFERROR(CUBEVALUE("BIDB",$A1036,L$3,L$2,'Præsentationstabeller 1'!$C$2),0)</f>
        <v/>
      </c>
    </row>
    <row r="1037" spans="1:12" x14ac:dyDescent="0.3">
      <c r="A1037" s="123" t="str" vm="299">
        <f>CUBEMEMBER("BIDB","[Dimittenddato].[Dimittenddato].&amp;[2018-06-22T00:00:00]")</f>
        <v>22-06-2018</v>
      </c>
      <c r="B1037" t="str" vm="17030">
        <f>IFERROR(CUBEVALUE("BIDB",$A1037,B$3,'Præsentationstabeller 1'!$C$2),0)</f>
        <v/>
      </c>
      <c r="C1037" t="str" vm="12141">
        <f>IFERROR(CUBEVALUE("BIDB",$A1037,C$3,C$2,'Præsentationstabeller 1'!$C$2),0)</f>
        <v/>
      </c>
      <c r="D1037" t="str" vm="10420">
        <f>IFERROR(CUBEVALUE("BIDB",$A1037,D$3,D$2,'Præsentationstabeller 1'!$C$2),0)</f>
        <v/>
      </c>
      <c r="E1037" t="str" vm="4629">
        <f>IFERROR(CUBEVALUE("BIDB",$A1037,E$3,E$2,'Præsentationstabeller 1'!$C$2),0)</f>
        <v/>
      </c>
      <c r="F1037" vm="11641">
        <f>IFERROR(CUBEVALUE("BIDB",$A1037,F$3,F$2,'Præsentationstabeller 1'!$C$2),0)</f>
        <v>0</v>
      </c>
      <c r="G1037" vm="14085">
        <f>IFERROR(CUBEVALUE("BIDB",$A1037,G$3,G$2,'Præsentationstabeller 1'!$C$2),0)</f>
        <v>0</v>
      </c>
      <c r="H1037" t="str" vm="14434">
        <f>IFERROR(CUBEVALUE("BIDB",$A1037,H$3,H$2,'Præsentationstabeller 1'!$C$2),0)</f>
        <v/>
      </c>
      <c r="I1037" t="str" vm="4608">
        <f>IFERROR(CUBEVALUE("BIDB",$A1037,I$3,I$2,'Præsentationstabeller 1'!$C$2),0)</f>
        <v/>
      </c>
      <c r="J1037" t="str" vm="16430">
        <f>IFERROR(CUBEVALUE("BIDB",$A1037,J$3,J$2,'Præsentationstabeller 1'!$C$2),0)</f>
        <v/>
      </c>
      <c r="K1037" t="str" vm="9676">
        <f>IFERROR(CUBEVALUE("BIDB",$A1037,K$3,K$2,'Præsentationstabeller 1'!$C$2),0)</f>
        <v/>
      </c>
      <c r="L1037" t="str" vm="10217">
        <f>IFERROR(CUBEVALUE("BIDB",$A1037,L$3,L$2,'Præsentationstabeller 1'!$C$2),0)</f>
        <v/>
      </c>
    </row>
    <row r="1038" spans="1:12" x14ac:dyDescent="0.3">
      <c r="A1038" s="123" t="str" vm="298">
        <f>CUBEMEMBER("BIDB","[Dimittenddato].[Dimittenddato].&amp;[2018-06-23T00:00:00]")</f>
        <v>23-06-2018</v>
      </c>
      <c r="B1038" t="str" vm="15104">
        <f>IFERROR(CUBEVALUE("BIDB",$A1038,B$3,'Præsentationstabeller 1'!$C$2),0)</f>
        <v/>
      </c>
      <c r="C1038" t="str" vm="12682">
        <f>IFERROR(CUBEVALUE("BIDB",$A1038,C$3,C$2,'Præsentationstabeller 1'!$C$2),0)</f>
        <v/>
      </c>
      <c r="D1038" t="str" vm="16410">
        <f>IFERROR(CUBEVALUE("BIDB",$A1038,D$3,D$2,'Præsentationstabeller 1'!$C$2),0)</f>
        <v/>
      </c>
      <c r="E1038" t="str" vm="12761">
        <f>IFERROR(CUBEVALUE("BIDB",$A1038,E$3,E$2,'Præsentationstabeller 1'!$C$2),0)</f>
        <v/>
      </c>
      <c r="F1038" t="str" vm="14642">
        <f>IFERROR(CUBEVALUE("BIDB",$A1038,F$3,F$2,'Præsentationstabeller 1'!$C$2),0)</f>
        <v/>
      </c>
      <c r="G1038" t="str" vm="13804">
        <f>IFERROR(CUBEVALUE("BIDB",$A1038,G$3,G$2,'Præsentationstabeller 1'!$C$2),0)</f>
        <v/>
      </c>
      <c r="H1038" t="str" vm="11525">
        <f>IFERROR(CUBEVALUE("BIDB",$A1038,H$3,H$2,'Præsentationstabeller 1'!$C$2),0)</f>
        <v/>
      </c>
      <c r="I1038" t="str" vm="3503">
        <f>IFERROR(CUBEVALUE("BIDB",$A1038,I$3,I$2,'Præsentationstabeller 1'!$C$2),0)</f>
        <v/>
      </c>
      <c r="J1038" t="str" vm="12593">
        <f>IFERROR(CUBEVALUE("BIDB",$A1038,J$3,J$2,'Præsentationstabeller 1'!$C$2),0)</f>
        <v/>
      </c>
      <c r="K1038" t="str" vm="16135">
        <f>IFERROR(CUBEVALUE("BIDB",$A1038,K$3,K$2,'Præsentationstabeller 1'!$C$2),0)</f>
        <v/>
      </c>
      <c r="L1038" t="str" vm="9462">
        <f>IFERROR(CUBEVALUE("BIDB",$A1038,L$3,L$2,'Præsentationstabeller 1'!$C$2),0)</f>
        <v/>
      </c>
    </row>
    <row r="1039" spans="1:12" x14ac:dyDescent="0.3">
      <c r="A1039" s="123" t="str" vm="297">
        <f>CUBEMEMBER("BIDB","[Dimittenddato].[Dimittenddato].&amp;[2018-06-24T00:00:00]")</f>
        <v>24-06-2018</v>
      </c>
      <c r="B1039" t="str" vm="14786">
        <f>IFERROR(CUBEVALUE("BIDB",$A1039,B$3,'Præsentationstabeller 1'!$C$2),0)</f>
        <v/>
      </c>
      <c r="C1039" t="str" vm="9888">
        <f>IFERROR(CUBEVALUE("BIDB",$A1039,C$3,C$2,'Præsentationstabeller 1'!$C$2),0)</f>
        <v/>
      </c>
      <c r="D1039" t="str" vm="11330">
        <f>IFERROR(CUBEVALUE("BIDB",$A1039,D$3,D$2,'Præsentationstabeller 1'!$C$2),0)</f>
        <v/>
      </c>
      <c r="E1039" t="str" vm="9001">
        <f>IFERROR(CUBEVALUE("BIDB",$A1039,E$3,E$2,'Præsentationstabeller 1'!$C$2),0)</f>
        <v/>
      </c>
      <c r="F1039" t="str" vm="14185">
        <f>IFERROR(CUBEVALUE("BIDB",$A1039,F$3,F$2,'Præsentationstabeller 1'!$C$2),0)</f>
        <v/>
      </c>
      <c r="G1039" t="str" vm="15343">
        <f>IFERROR(CUBEVALUE("BIDB",$A1039,G$3,G$2,'Præsentationstabeller 1'!$C$2),0)</f>
        <v/>
      </c>
      <c r="H1039" t="str" vm="14865">
        <f>IFERROR(CUBEVALUE("BIDB",$A1039,H$3,H$2,'Præsentationstabeller 1'!$C$2),0)</f>
        <v/>
      </c>
      <c r="I1039" t="str" vm="6743">
        <f>IFERROR(CUBEVALUE("BIDB",$A1039,I$3,I$2,'Præsentationstabeller 1'!$C$2),0)</f>
        <v/>
      </c>
      <c r="J1039" t="str" vm="13270">
        <f>IFERROR(CUBEVALUE("BIDB",$A1039,J$3,J$2,'Præsentationstabeller 1'!$C$2),0)</f>
        <v/>
      </c>
      <c r="K1039" t="str" vm="11375">
        <f>IFERROR(CUBEVALUE("BIDB",$A1039,K$3,K$2,'Præsentationstabeller 1'!$C$2),0)</f>
        <v/>
      </c>
      <c r="L1039" t="str" vm="9408">
        <f>IFERROR(CUBEVALUE("BIDB",$A1039,L$3,L$2,'Præsentationstabeller 1'!$C$2),0)</f>
        <v/>
      </c>
    </row>
    <row r="1040" spans="1:12" x14ac:dyDescent="0.3">
      <c r="A1040" s="123" t="str" vm="296">
        <f>CUBEMEMBER("BIDB","[Dimittenddato].[Dimittenddato].&amp;[2018-06-25T00:00:00]")</f>
        <v>25-06-2018</v>
      </c>
      <c r="B1040" t="str" vm="16498">
        <f>IFERROR(CUBEVALUE("BIDB",$A1040,B$3,'Præsentationstabeller 1'!$C$2),0)</f>
        <v/>
      </c>
      <c r="C1040" t="str" vm="16146">
        <f>IFERROR(CUBEVALUE("BIDB",$A1040,C$3,C$2,'Præsentationstabeller 1'!$C$2),0)</f>
        <v/>
      </c>
      <c r="D1040" t="str" vm="12646">
        <f>IFERROR(CUBEVALUE("BIDB",$A1040,D$3,D$2,'Præsentationstabeller 1'!$C$2),0)</f>
        <v/>
      </c>
      <c r="E1040" t="str" vm="5583">
        <f>IFERROR(CUBEVALUE("BIDB",$A1040,E$3,E$2,'Præsentationstabeller 1'!$C$2),0)</f>
        <v/>
      </c>
      <c r="F1040" t="str" vm="16617">
        <f>IFERROR(CUBEVALUE("BIDB",$A1040,F$3,F$2,'Præsentationstabeller 1'!$C$2),0)</f>
        <v/>
      </c>
      <c r="G1040" t="str" vm="16388">
        <f>IFERROR(CUBEVALUE("BIDB",$A1040,G$3,G$2,'Præsentationstabeller 1'!$C$2),0)</f>
        <v/>
      </c>
      <c r="H1040" t="str" vm="13484">
        <f>IFERROR(CUBEVALUE("BIDB",$A1040,H$3,H$2,'Præsentationstabeller 1'!$C$2),0)</f>
        <v/>
      </c>
      <c r="I1040" t="str" vm="3602">
        <f>IFERROR(CUBEVALUE("BIDB",$A1040,I$3,I$2,'Præsentationstabeller 1'!$C$2),0)</f>
        <v/>
      </c>
      <c r="J1040" t="str" vm="14276">
        <f>IFERROR(CUBEVALUE("BIDB",$A1040,J$3,J$2,'Præsentationstabeller 1'!$C$2),0)</f>
        <v/>
      </c>
      <c r="K1040" t="str" vm="9618">
        <f>IFERROR(CUBEVALUE("BIDB",$A1040,K$3,K$2,'Præsentationstabeller 1'!$C$2),0)</f>
        <v/>
      </c>
      <c r="L1040" t="str" vm="7653">
        <f>IFERROR(CUBEVALUE("BIDB",$A1040,L$3,L$2,'Præsentationstabeller 1'!$C$2),0)</f>
        <v/>
      </c>
    </row>
    <row r="1041" spans="1:12" x14ac:dyDescent="0.3">
      <c r="A1041" s="123" t="str" vm="295">
        <f>CUBEMEMBER("BIDB","[Dimittenddato].[Dimittenddato].&amp;[2018-06-26T00:00:00]")</f>
        <v>26-06-2018</v>
      </c>
      <c r="B1041" t="str" vm="16915">
        <f>IFERROR(CUBEVALUE("BIDB",$A1041,B$3,'Præsentationstabeller 1'!$C$2),0)</f>
        <v/>
      </c>
      <c r="C1041" t="str" vm="11398">
        <f>IFERROR(CUBEVALUE("BIDB",$A1041,C$3,C$2,'Præsentationstabeller 1'!$C$2),0)</f>
        <v/>
      </c>
      <c r="D1041" t="str" vm="13616">
        <f>IFERROR(CUBEVALUE("BIDB",$A1041,D$3,D$2,'Præsentationstabeller 1'!$C$2),0)</f>
        <v/>
      </c>
      <c r="E1041" t="str" vm="6239">
        <f>IFERROR(CUBEVALUE("BIDB",$A1041,E$3,E$2,'Præsentationstabeller 1'!$C$2),0)</f>
        <v/>
      </c>
      <c r="F1041" t="str" vm="14335">
        <f>IFERROR(CUBEVALUE("BIDB",$A1041,F$3,F$2,'Præsentationstabeller 1'!$C$2),0)</f>
        <v/>
      </c>
      <c r="G1041" t="str" vm="14347">
        <f>IFERROR(CUBEVALUE("BIDB",$A1041,G$3,G$2,'Præsentationstabeller 1'!$C$2),0)</f>
        <v/>
      </c>
      <c r="H1041" t="str" vm="9388">
        <f>IFERROR(CUBEVALUE("BIDB",$A1041,H$3,H$2,'Præsentationstabeller 1'!$C$2),0)</f>
        <v/>
      </c>
      <c r="I1041" t="str" vm="4758">
        <f>IFERROR(CUBEVALUE("BIDB",$A1041,I$3,I$2,'Præsentationstabeller 1'!$C$2),0)</f>
        <v/>
      </c>
      <c r="J1041" t="str" vm="14854">
        <f>IFERROR(CUBEVALUE("BIDB",$A1041,J$3,J$2,'Præsentationstabeller 1'!$C$2),0)</f>
        <v/>
      </c>
      <c r="K1041" t="str" vm="16435">
        <f>IFERROR(CUBEVALUE("BIDB",$A1041,K$3,K$2,'Præsentationstabeller 1'!$C$2),0)</f>
        <v/>
      </c>
      <c r="L1041" t="str" vm="10935">
        <f>IFERROR(CUBEVALUE("BIDB",$A1041,L$3,L$2,'Præsentationstabeller 1'!$C$2),0)</f>
        <v/>
      </c>
    </row>
    <row r="1042" spans="1:12" x14ac:dyDescent="0.3">
      <c r="A1042" s="123" t="str" vm="294">
        <f>CUBEMEMBER("BIDB","[Dimittenddato].[Dimittenddato].&amp;[2018-06-27T00:00:00]")</f>
        <v>27-06-2018</v>
      </c>
      <c r="B1042" t="str" vm="16957">
        <f>IFERROR(CUBEVALUE("BIDB",$A1042,B$3,'Præsentationstabeller 1'!$C$2),0)</f>
        <v/>
      </c>
      <c r="C1042" t="str" vm="15875">
        <f>IFERROR(CUBEVALUE("BIDB",$A1042,C$3,C$2,'Præsentationstabeller 1'!$C$2),0)</f>
        <v/>
      </c>
      <c r="D1042" t="str" vm="14529">
        <f>IFERROR(CUBEVALUE("BIDB",$A1042,D$3,D$2,'Præsentationstabeller 1'!$C$2),0)</f>
        <v/>
      </c>
      <c r="E1042" t="str" vm="5149">
        <f>IFERROR(CUBEVALUE("BIDB",$A1042,E$3,E$2,'Præsentationstabeller 1'!$C$2),0)</f>
        <v/>
      </c>
      <c r="F1042" t="str" vm="15490">
        <f>IFERROR(CUBEVALUE("BIDB",$A1042,F$3,F$2,'Præsentationstabeller 1'!$C$2),0)</f>
        <v/>
      </c>
      <c r="G1042" t="str" vm="13268">
        <f>IFERROR(CUBEVALUE("BIDB",$A1042,G$3,G$2,'Præsentationstabeller 1'!$C$2),0)</f>
        <v/>
      </c>
      <c r="H1042" t="str" vm="12173">
        <f>IFERROR(CUBEVALUE("BIDB",$A1042,H$3,H$2,'Præsentationstabeller 1'!$C$2),0)</f>
        <v/>
      </c>
      <c r="I1042" t="str" vm="4957">
        <f>IFERROR(CUBEVALUE("BIDB",$A1042,I$3,I$2,'Præsentationstabeller 1'!$C$2),0)</f>
        <v/>
      </c>
      <c r="J1042" t="str" vm="16105">
        <f>IFERROR(CUBEVALUE("BIDB",$A1042,J$3,J$2,'Præsentationstabeller 1'!$C$2),0)</f>
        <v/>
      </c>
      <c r="K1042" t="str" vm="15155">
        <f>IFERROR(CUBEVALUE("BIDB",$A1042,K$3,K$2,'Præsentationstabeller 1'!$C$2),0)</f>
        <v/>
      </c>
      <c r="L1042" t="str" vm="12791">
        <f>IFERROR(CUBEVALUE("BIDB",$A1042,L$3,L$2,'Præsentationstabeller 1'!$C$2),0)</f>
        <v/>
      </c>
    </row>
    <row r="1043" spans="1:12" x14ac:dyDescent="0.3">
      <c r="A1043" s="123" t="str" vm="293">
        <f>CUBEMEMBER("BIDB","[Dimittenddato].[Dimittenddato].&amp;[2018-06-28T00:00:00]")</f>
        <v>28-06-2018</v>
      </c>
      <c r="B1043" t="str" vm="12519">
        <f>IFERROR(CUBEVALUE("BIDB",$A1043,B$3,'Præsentationstabeller 1'!$C$2),0)</f>
        <v/>
      </c>
      <c r="C1043" t="str" vm="12896">
        <f>IFERROR(CUBEVALUE("BIDB",$A1043,C$3,C$2,'Præsentationstabeller 1'!$C$2),0)</f>
        <v/>
      </c>
      <c r="D1043" t="str" vm="11420">
        <f>IFERROR(CUBEVALUE("BIDB",$A1043,D$3,D$2,'Præsentationstabeller 1'!$C$2),0)</f>
        <v/>
      </c>
      <c r="E1043" t="str" vm="5206">
        <f>IFERROR(CUBEVALUE("BIDB",$A1043,E$3,E$2,'Præsentationstabeller 1'!$C$2),0)</f>
        <v/>
      </c>
      <c r="F1043" t="str" vm="13087">
        <f>IFERROR(CUBEVALUE("BIDB",$A1043,F$3,F$2,'Præsentationstabeller 1'!$C$2),0)</f>
        <v/>
      </c>
      <c r="G1043" t="str" vm="16475">
        <f>IFERROR(CUBEVALUE("BIDB",$A1043,G$3,G$2,'Præsentationstabeller 1'!$C$2),0)</f>
        <v/>
      </c>
      <c r="H1043" t="str" vm="13583">
        <f>IFERROR(CUBEVALUE("BIDB",$A1043,H$3,H$2,'Præsentationstabeller 1'!$C$2),0)</f>
        <v/>
      </c>
      <c r="I1043" t="str" vm="8257">
        <f>IFERROR(CUBEVALUE("BIDB",$A1043,I$3,I$2,'Præsentationstabeller 1'!$C$2),0)</f>
        <v/>
      </c>
      <c r="J1043" t="str" vm="15749">
        <f>IFERROR(CUBEVALUE("BIDB",$A1043,J$3,J$2,'Præsentationstabeller 1'!$C$2),0)</f>
        <v/>
      </c>
      <c r="K1043" t="str" vm="10092">
        <f>IFERROR(CUBEVALUE("BIDB",$A1043,K$3,K$2,'Præsentationstabeller 1'!$C$2),0)</f>
        <v/>
      </c>
      <c r="L1043" t="str" vm="14186">
        <f>IFERROR(CUBEVALUE("BIDB",$A1043,L$3,L$2,'Præsentationstabeller 1'!$C$2),0)</f>
        <v/>
      </c>
    </row>
    <row r="1044" spans="1:12" x14ac:dyDescent="0.3">
      <c r="A1044" s="123" t="str" vm="292">
        <f>CUBEMEMBER("BIDB","[Dimittenddato].[Dimittenddato].&amp;[2018-06-29T00:00:00]")</f>
        <v>29-06-2018</v>
      </c>
      <c r="B1044" t="str" vm="15413">
        <f>IFERROR(CUBEVALUE("BIDB",$A1044,B$3,'Præsentationstabeller 1'!$C$2),0)</f>
        <v/>
      </c>
      <c r="C1044" t="str" vm="12400">
        <f>IFERROR(CUBEVALUE("BIDB",$A1044,C$3,C$2,'Præsentationstabeller 1'!$C$2),0)</f>
        <v/>
      </c>
      <c r="D1044" t="str" vm="13052">
        <f>IFERROR(CUBEVALUE("BIDB",$A1044,D$3,D$2,'Præsentationstabeller 1'!$C$2),0)</f>
        <v/>
      </c>
      <c r="E1044" t="str" vm="7245">
        <f>IFERROR(CUBEVALUE("BIDB",$A1044,E$3,E$2,'Præsentationstabeller 1'!$C$2),0)</f>
        <v/>
      </c>
      <c r="F1044" t="str" vm="12076">
        <f>IFERROR(CUBEVALUE("BIDB",$A1044,F$3,F$2,'Præsentationstabeller 1'!$C$2),0)</f>
        <v/>
      </c>
      <c r="G1044" t="str" vm="15697">
        <f>IFERROR(CUBEVALUE("BIDB",$A1044,G$3,G$2,'Præsentationstabeller 1'!$C$2),0)</f>
        <v/>
      </c>
      <c r="H1044" t="str" vm="15442">
        <f>IFERROR(CUBEVALUE("BIDB",$A1044,H$3,H$2,'Præsentationstabeller 1'!$C$2),0)</f>
        <v/>
      </c>
      <c r="I1044" t="str" vm="8143">
        <f>IFERROR(CUBEVALUE("BIDB",$A1044,I$3,I$2,'Præsentationstabeller 1'!$C$2),0)</f>
        <v/>
      </c>
      <c r="J1044" t="str" vm="15617">
        <f>IFERROR(CUBEVALUE("BIDB",$A1044,J$3,J$2,'Præsentationstabeller 1'!$C$2),0)</f>
        <v/>
      </c>
      <c r="K1044" t="str" vm="14108">
        <f>IFERROR(CUBEVALUE("BIDB",$A1044,K$3,K$2,'Præsentationstabeller 1'!$C$2),0)</f>
        <v/>
      </c>
      <c r="L1044" t="str" vm="8559">
        <f>IFERROR(CUBEVALUE("BIDB",$A1044,L$3,L$2,'Præsentationstabeller 1'!$C$2),0)</f>
        <v/>
      </c>
    </row>
    <row r="1045" spans="1:12" x14ac:dyDescent="0.3">
      <c r="A1045" s="123" t="str" vm="291">
        <f>CUBEMEMBER("BIDB","[Dimittenddato].[Dimittenddato].&amp;[2018-06-30T00:00:00]")</f>
        <v>30-06-2018</v>
      </c>
      <c r="B1045" t="str" vm="14324">
        <f>IFERROR(CUBEVALUE("BIDB",$A1045,B$3,'Præsentationstabeller 1'!$C$2),0)</f>
        <v/>
      </c>
      <c r="C1045" t="str" vm="15524">
        <f>IFERROR(CUBEVALUE("BIDB",$A1045,C$3,C$2,'Præsentationstabeller 1'!$C$2),0)</f>
        <v/>
      </c>
      <c r="D1045" vm="17041">
        <f>IFERROR(CUBEVALUE("BIDB",$A1045,D$3,D$2,'Præsentationstabeller 1'!$C$2),0)</f>
        <v>1</v>
      </c>
      <c r="E1045" vm="4016">
        <f>IFERROR(CUBEVALUE("BIDB",$A1045,E$3,E$2,'Præsentationstabeller 1'!$C$2),0)</f>
        <v>1</v>
      </c>
      <c r="F1045" vm="14353">
        <f>IFERROR(CUBEVALUE("BIDB",$A1045,F$3,F$2,'Præsentationstabeller 1'!$C$2),0)</f>
        <v>0</v>
      </c>
      <c r="G1045" vm="15581">
        <f>IFERROR(CUBEVALUE("BIDB",$A1045,G$3,G$2,'Præsentationstabeller 1'!$C$2),0)</f>
        <v>1</v>
      </c>
      <c r="H1045" t="str" vm="10413">
        <f>IFERROR(CUBEVALUE("BIDB",$A1045,H$3,H$2,'Præsentationstabeller 1'!$C$2),0)</f>
        <v/>
      </c>
      <c r="I1045" t="str" vm="5368">
        <f>IFERROR(CUBEVALUE("BIDB",$A1045,I$3,I$2,'Præsentationstabeller 1'!$C$2),0)</f>
        <v/>
      </c>
      <c r="J1045" t="str" vm="13930">
        <f>IFERROR(CUBEVALUE("BIDB",$A1045,J$3,J$2,'Præsentationstabeller 1'!$C$2),0)</f>
        <v/>
      </c>
      <c r="K1045" t="str" vm="13358">
        <f>IFERROR(CUBEVALUE("BIDB",$A1045,K$3,K$2,'Præsentationstabeller 1'!$C$2),0)</f>
        <v/>
      </c>
      <c r="L1045" t="str" vm="9314">
        <f>IFERROR(CUBEVALUE("BIDB",$A1045,L$3,L$2,'Præsentationstabeller 1'!$C$2),0)</f>
        <v/>
      </c>
    </row>
    <row r="1046" spans="1:12" x14ac:dyDescent="0.3">
      <c r="A1046" s="123" t="str" vm="290">
        <f>CUBEMEMBER("BIDB","[Dimittenddato].[Dimittenddato].&amp;[2018-07-01T00:00:00]")</f>
        <v>01-07-2018</v>
      </c>
      <c r="B1046" t="str" vm="13626">
        <f>IFERROR(CUBEVALUE("BIDB",$A1046,B$3,'Præsentationstabeller 1'!$C$2),0)</f>
        <v/>
      </c>
      <c r="C1046" vm="12804">
        <f>IFERROR(CUBEVALUE("BIDB",$A1046,C$3,C$2,'Præsentationstabeller 1'!$C$2),0)</f>
        <v>0</v>
      </c>
      <c r="D1046" vm="16028">
        <f>IFERROR(CUBEVALUE("BIDB",$A1046,D$3,D$2,'Præsentationstabeller 1'!$C$2),0)</f>
        <v>0</v>
      </c>
      <c r="E1046" vm="7897">
        <f>IFERROR(CUBEVALUE("BIDB",$A1046,E$3,E$2,'Præsentationstabeller 1'!$C$2),0)</f>
        <v>0</v>
      </c>
      <c r="F1046" t="str" vm="15936">
        <f>IFERROR(CUBEVALUE("BIDB",$A1046,F$3,F$2,'Præsentationstabeller 1'!$C$2),0)</f>
        <v/>
      </c>
      <c r="G1046" vm="15696">
        <f>IFERROR(CUBEVALUE("BIDB",$A1046,G$3,G$2,'Præsentationstabeller 1'!$C$2),0)</f>
        <v>0</v>
      </c>
      <c r="H1046" t="str" vm="11884">
        <f>IFERROR(CUBEVALUE("BIDB",$A1046,H$3,H$2,'Præsentationstabeller 1'!$C$2),0)</f>
        <v/>
      </c>
      <c r="I1046" t="str" vm="4989">
        <f>IFERROR(CUBEVALUE("BIDB",$A1046,I$3,I$2,'Præsentationstabeller 1'!$C$2),0)</f>
        <v/>
      </c>
      <c r="J1046" t="str" vm="14788">
        <f>IFERROR(CUBEVALUE("BIDB",$A1046,J$3,J$2,'Præsentationstabeller 1'!$C$2),0)</f>
        <v/>
      </c>
      <c r="K1046" t="str" vm="14948">
        <f>IFERROR(CUBEVALUE("BIDB",$A1046,K$3,K$2,'Præsentationstabeller 1'!$C$2),0)</f>
        <v/>
      </c>
      <c r="L1046" t="str" vm="11085">
        <f>IFERROR(CUBEVALUE("BIDB",$A1046,L$3,L$2,'Præsentationstabeller 1'!$C$2),0)</f>
        <v/>
      </c>
    </row>
    <row r="1047" spans="1:12" x14ac:dyDescent="0.3">
      <c r="A1047" s="123" t="str" vm="289">
        <f>CUBEMEMBER("BIDB","[Dimittenddato].[Dimittenddato].&amp;[2018-07-02T00:00:00]")</f>
        <v>02-07-2018</v>
      </c>
      <c r="B1047" t="str" vm="14297">
        <f>IFERROR(CUBEVALUE("BIDB",$A1047,B$3,'Præsentationstabeller 1'!$C$2),0)</f>
        <v/>
      </c>
      <c r="C1047" t="str" vm="13407">
        <f>IFERROR(CUBEVALUE("BIDB",$A1047,C$3,C$2,'Præsentationstabeller 1'!$C$2),0)</f>
        <v/>
      </c>
      <c r="D1047" t="str" vm="9986">
        <f>IFERROR(CUBEVALUE("BIDB",$A1047,D$3,D$2,'Præsentationstabeller 1'!$C$2),0)</f>
        <v/>
      </c>
      <c r="E1047" t="str" vm="4636">
        <f>IFERROR(CUBEVALUE("BIDB",$A1047,E$3,E$2,'Præsentationstabeller 1'!$C$2),0)</f>
        <v/>
      </c>
      <c r="F1047" t="str" vm="11902">
        <f>IFERROR(CUBEVALUE("BIDB",$A1047,F$3,F$2,'Præsentationstabeller 1'!$C$2),0)</f>
        <v/>
      </c>
      <c r="G1047" t="str" vm="16937">
        <f>IFERROR(CUBEVALUE("BIDB",$A1047,G$3,G$2,'Præsentationstabeller 1'!$C$2),0)</f>
        <v/>
      </c>
      <c r="H1047" t="str" vm="13477">
        <f>IFERROR(CUBEVALUE("BIDB",$A1047,H$3,H$2,'Præsentationstabeller 1'!$C$2),0)</f>
        <v/>
      </c>
      <c r="I1047" t="str" vm="4788">
        <f>IFERROR(CUBEVALUE("BIDB",$A1047,I$3,I$2,'Præsentationstabeller 1'!$C$2),0)</f>
        <v/>
      </c>
      <c r="J1047" t="str" vm="14650">
        <f>IFERROR(CUBEVALUE("BIDB",$A1047,J$3,J$2,'Præsentationstabeller 1'!$C$2),0)</f>
        <v/>
      </c>
      <c r="K1047" t="str" vm="9916">
        <f>IFERROR(CUBEVALUE("BIDB",$A1047,K$3,K$2,'Præsentationstabeller 1'!$C$2),0)</f>
        <v/>
      </c>
      <c r="L1047" t="str" vm="11739">
        <f>IFERROR(CUBEVALUE("BIDB",$A1047,L$3,L$2,'Præsentationstabeller 1'!$C$2),0)</f>
        <v/>
      </c>
    </row>
    <row r="1048" spans="1:12" x14ac:dyDescent="0.3">
      <c r="A1048" s="123" t="str" vm="288">
        <f>CUBEMEMBER("BIDB","[Dimittenddato].[Dimittenddato].&amp;[2018-07-03T00:00:00]")</f>
        <v>03-07-2018</v>
      </c>
      <c r="B1048" t="str" vm="14322">
        <f>IFERROR(CUBEVALUE("BIDB",$A1048,B$3,'Præsentationstabeller 1'!$C$2),0)</f>
        <v/>
      </c>
      <c r="C1048" t="str" vm="16925">
        <f>IFERROR(CUBEVALUE("BIDB",$A1048,C$3,C$2,'Præsentationstabeller 1'!$C$2),0)</f>
        <v/>
      </c>
      <c r="D1048" t="str" vm="16944">
        <f>IFERROR(CUBEVALUE("BIDB",$A1048,D$3,D$2,'Præsentationstabeller 1'!$C$2),0)</f>
        <v/>
      </c>
      <c r="E1048" t="str" vm="9481">
        <f>IFERROR(CUBEVALUE("BIDB",$A1048,E$3,E$2,'Præsentationstabeller 1'!$C$2),0)</f>
        <v/>
      </c>
      <c r="F1048" t="str" vm="16571">
        <f>IFERROR(CUBEVALUE("BIDB",$A1048,F$3,F$2,'Præsentationstabeller 1'!$C$2),0)</f>
        <v/>
      </c>
      <c r="G1048" t="str" vm="16212">
        <f>IFERROR(CUBEVALUE("BIDB",$A1048,G$3,G$2,'Præsentationstabeller 1'!$C$2),0)</f>
        <v/>
      </c>
      <c r="H1048" t="str" vm="12288">
        <f>IFERROR(CUBEVALUE("BIDB",$A1048,H$3,H$2,'Præsentationstabeller 1'!$C$2),0)</f>
        <v/>
      </c>
      <c r="I1048" t="str" vm="3487">
        <f>IFERROR(CUBEVALUE("BIDB",$A1048,I$3,I$2,'Præsentationstabeller 1'!$C$2),0)</f>
        <v/>
      </c>
      <c r="J1048" t="str" vm="14949">
        <f>IFERROR(CUBEVALUE("BIDB",$A1048,J$3,J$2,'Præsentationstabeller 1'!$C$2),0)</f>
        <v/>
      </c>
      <c r="K1048" t="str" vm="10108">
        <f>IFERROR(CUBEVALUE("BIDB",$A1048,K$3,K$2,'Præsentationstabeller 1'!$C$2),0)</f>
        <v/>
      </c>
      <c r="L1048" t="str" vm="7595">
        <f>IFERROR(CUBEVALUE("BIDB",$A1048,L$3,L$2,'Præsentationstabeller 1'!$C$2),0)</f>
        <v/>
      </c>
    </row>
    <row r="1049" spans="1:12" x14ac:dyDescent="0.3">
      <c r="A1049" s="123" t="str" vm="287">
        <f>CUBEMEMBER("BIDB","[Dimittenddato].[Dimittenddato].&amp;[2018-07-04T00:00:00]")</f>
        <v>04-07-2018</v>
      </c>
      <c r="B1049" t="str" vm="14277">
        <f>IFERROR(CUBEVALUE("BIDB",$A1049,B$3,'Præsentationstabeller 1'!$C$2),0)</f>
        <v/>
      </c>
      <c r="C1049" t="str" vm="13879">
        <f>IFERROR(CUBEVALUE("BIDB",$A1049,C$3,C$2,'Præsentationstabeller 1'!$C$2),0)</f>
        <v/>
      </c>
      <c r="D1049" t="str" vm="11481">
        <f>IFERROR(CUBEVALUE("BIDB",$A1049,D$3,D$2,'Præsentationstabeller 1'!$C$2),0)</f>
        <v/>
      </c>
      <c r="E1049" t="str" vm="6728">
        <f>IFERROR(CUBEVALUE("BIDB",$A1049,E$3,E$2,'Præsentationstabeller 1'!$C$2),0)</f>
        <v/>
      </c>
      <c r="F1049" t="str" vm="13810">
        <f>IFERROR(CUBEVALUE("BIDB",$A1049,F$3,F$2,'Præsentationstabeller 1'!$C$2),0)</f>
        <v/>
      </c>
      <c r="G1049" t="str" vm="12559">
        <f>IFERROR(CUBEVALUE("BIDB",$A1049,G$3,G$2,'Præsentationstabeller 1'!$C$2),0)</f>
        <v/>
      </c>
      <c r="H1049" t="str" vm="14214">
        <f>IFERROR(CUBEVALUE("BIDB",$A1049,H$3,H$2,'Præsentationstabeller 1'!$C$2),0)</f>
        <v/>
      </c>
      <c r="I1049" t="str" vm="5708">
        <f>IFERROR(CUBEVALUE("BIDB",$A1049,I$3,I$2,'Præsentationstabeller 1'!$C$2),0)</f>
        <v/>
      </c>
      <c r="J1049" t="str" vm="13693">
        <f>IFERROR(CUBEVALUE("BIDB",$A1049,J$3,J$2,'Præsentationstabeller 1'!$C$2),0)</f>
        <v/>
      </c>
      <c r="K1049" t="str" vm="14312">
        <f>IFERROR(CUBEVALUE("BIDB",$A1049,K$3,K$2,'Præsentationstabeller 1'!$C$2),0)</f>
        <v/>
      </c>
      <c r="L1049" t="str" vm="13964">
        <f>IFERROR(CUBEVALUE("BIDB",$A1049,L$3,L$2,'Præsentationstabeller 1'!$C$2),0)</f>
        <v/>
      </c>
    </row>
    <row r="1050" spans="1:12" x14ac:dyDescent="0.3">
      <c r="A1050" s="123" t="str" vm="286">
        <f>CUBEMEMBER("BIDB","[Dimittenddato].[Dimittenddato].&amp;[2018-07-05T00:00:00]")</f>
        <v>05-07-2018</v>
      </c>
      <c r="B1050" t="str" vm="15761">
        <f>IFERROR(CUBEVALUE("BIDB",$A1050,B$3,'Præsentationstabeller 1'!$C$2),0)</f>
        <v/>
      </c>
      <c r="C1050" t="str" vm="11098">
        <f>IFERROR(CUBEVALUE("BIDB",$A1050,C$3,C$2,'Præsentationstabeller 1'!$C$2),0)</f>
        <v/>
      </c>
      <c r="D1050" t="str" vm="14245">
        <f>IFERROR(CUBEVALUE("BIDB",$A1050,D$3,D$2,'Præsentationstabeller 1'!$C$2),0)</f>
        <v/>
      </c>
      <c r="E1050" t="str" vm="14687">
        <f>IFERROR(CUBEVALUE("BIDB",$A1050,E$3,E$2,'Præsentationstabeller 1'!$C$2),0)</f>
        <v/>
      </c>
      <c r="F1050" t="str" vm="13166">
        <f>IFERROR(CUBEVALUE("BIDB",$A1050,F$3,F$2,'Præsentationstabeller 1'!$C$2),0)</f>
        <v/>
      </c>
      <c r="G1050" t="str" vm="14342">
        <f>IFERROR(CUBEVALUE("BIDB",$A1050,G$3,G$2,'Præsentationstabeller 1'!$C$2),0)</f>
        <v/>
      </c>
      <c r="H1050" t="str" vm="14945">
        <f>IFERROR(CUBEVALUE("BIDB",$A1050,H$3,H$2,'Præsentationstabeller 1'!$C$2),0)</f>
        <v/>
      </c>
      <c r="I1050" t="str" vm="7749">
        <f>IFERROR(CUBEVALUE("BIDB",$A1050,I$3,I$2,'Præsentationstabeller 1'!$C$2),0)</f>
        <v/>
      </c>
      <c r="J1050" t="str" vm="14272">
        <f>IFERROR(CUBEVALUE("BIDB",$A1050,J$3,J$2,'Præsentationstabeller 1'!$C$2),0)</f>
        <v/>
      </c>
      <c r="K1050" t="str" vm="16196">
        <f>IFERROR(CUBEVALUE("BIDB",$A1050,K$3,K$2,'Præsentationstabeller 1'!$C$2),0)</f>
        <v/>
      </c>
      <c r="L1050" t="str" vm="15087">
        <f>IFERROR(CUBEVALUE("BIDB",$A1050,L$3,L$2,'Præsentationstabeller 1'!$C$2),0)</f>
        <v/>
      </c>
    </row>
    <row r="1051" spans="1:12" x14ac:dyDescent="0.3">
      <c r="A1051" s="123" t="str" vm="285">
        <f>CUBEMEMBER("BIDB","[Dimittenddato].[Dimittenddato].&amp;[2018-07-06T00:00:00]")</f>
        <v>06-07-2018</v>
      </c>
      <c r="B1051" t="str" vm="15170">
        <f>IFERROR(CUBEVALUE("BIDB",$A1051,B$3,'Præsentationstabeller 1'!$C$2),0)</f>
        <v/>
      </c>
      <c r="C1051" t="str" vm="13296">
        <f>IFERROR(CUBEVALUE("BIDB",$A1051,C$3,C$2,'Præsentationstabeller 1'!$C$2),0)</f>
        <v/>
      </c>
      <c r="D1051" t="str" vm="11452">
        <f>IFERROR(CUBEVALUE("BIDB",$A1051,D$3,D$2,'Præsentationstabeller 1'!$C$2),0)</f>
        <v/>
      </c>
      <c r="E1051" t="str" vm="5488">
        <f>IFERROR(CUBEVALUE("BIDB",$A1051,E$3,E$2,'Præsentationstabeller 1'!$C$2),0)</f>
        <v/>
      </c>
      <c r="F1051" t="str" vm="16576">
        <f>IFERROR(CUBEVALUE("BIDB",$A1051,F$3,F$2,'Præsentationstabeller 1'!$C$2),0)</f>
        <v/>
      </c>
      <c r="G1051" t="str" vm="16225">
        <f>IFERROR(CUBEVALUE("BIDB",$A1051,G$3,G$2,'Præsentationstabeller 1'!$C$2),0)</f>
        <v/>
      </c>
      <c r="H1051" t="str" vm="13072">
        <f>IFERROR(CUBEVALUE("BIDB",$A1051,H$3,H$2,'Præsentationstabeller 1'!$C$2),0)</f>
        <v/>
      </c>
      <c r="I1051" t="str" vm="8221">
        <f>IFERROR(CUBEVALUE("BIDB",$A1051,I$3,I$2,'Præsentationstabeller 1'!$C$2),0)</f>
        <v/>
      </c>
      <c r="J1051" t="str" vm="15497">
        <f>IFERROR(CUBEVALUE("BIDB",$A1051,J$3,J$2,'Præsentationstabeller 1'!$C$2),0)</f>
        <v/>
      </c>
      <c r="K1051" t="str" vm="10222">
        <f>IFERROR(CUBEVALUE("BIDB",$A1051,K$3,K$2,'Præsentationstabeller 1'!$C$2),0)</f>
        <v/>
      </c>
      <c r="L1051" t="str" vm="16596">
        <f>IFERROR(CUBEVALUE("BIDB",$A1051,L$3,L$2,'Præsentationstabeller 1'!$C$2),0)</f>
        <v/>
      </c>
    </row>
    <row r="1052" spans="1:12" x14ac:dyDescent="0.3">
      <c r="A1052" s="123" t="str" vm="284">
        <f>CUBEMEMBER("BIDB","[Dimittenddato].[Dimittenddato].&amp;[2018-07-07T00:00:00]")</f>
        <v>07-07-2018</v>
      </c>
      <c r="B1052" t="str" vm="14159">
        <f>IFERROR(CUBEVALUE("BIDB",$A1052,B$3,'Præsentationstabeller 1'!$C$2),0)</f>
        <v/>
      </c>
      <c r="C1052" t="str" vm="13360">
        <f>IFERROR(CUBEVALUE("BIDB",$A1052,C$3,C$2,'Præsentationstabeller 1'!$C$2),0)</f>
        <v/>
      </c>
      <c r="D1052" t="str" vm="11366">
        <f>IFERROR(CUBEVALUE("BIDB",$A1052,D$3,D$2,'Præsentationstabeller 1'!$C$2),0)</f>
        <v/>
      </c>
      <c r="E1052" t="str" vm="6915">
        <f>IFERROR(CUBEVALUE("BIDB",$A1052,E$3,E$2,'Præsentationstabeller 1'!$C$2),0)</f>
        <v/>
      </c>
      <c r="F1052" t="str" vm="15371">
        <f>IFERROR(CUBEVALUE("BIDB",$A1052,F$3,F$2,'Præsentationstabeller 1'!$C$2),0)</f>
        <v/>
      </c>
      <c r="G1052" t="str" vm="12565">
        <f>IFERROR(CUBEVALUE("BIDB",$A1052,G$3,G$2,'Præsentationstabeller 1'!$C$2),0)</f>
        <v/>
      </c>
      <c r="H1052" t="str" vm="10582">
        <f>IFERROR(CUBEVALUE("BIDB",$A1052,H$3,H$2,'Præsentationstabeller 1'!$C$2),0)</f>
        <v/>
      </c>
      <c r="I1052" t="str" vm="6366">
        <f>IFERROR(CUBEVALUE("BIDB",$A1052,I$3,I$2,'Præsentationstabeller 1'!$C$2),0)</f>
        <v/>
      </c>
      <c r="J1052" t="str" vm="14150">
        <f>IFERROR(CUBEVALUE("BIDB",$A1052,J$3,J$2,'Præsentationstabeller 1'!$C$2),0)</f>
        <v/>
      </c>
      <c r="K1052" t="str" vm="11597">
        <f>IFERROR(CUBEVALUE("BIDB",$A1052,K$3,K$2,'Præsentationstabeller 1'!$C$2),0)</f>
        <v/>
      </c>
      <c r="L1052" t="str" vm="7730">
        <f>IFERROR(CUBEVALUE("BIDB",$A1052,L$3,L$2,'Præsentationstabeller 1'!$C$2),0)</f>
        <v/>
      </c>
    </row>
    <row r="1053" spans="1:12" x14ac:dyDescent="0.3">
      <c r="A1053" s="123" t="str" vm="283">
        <f>CUBEMEMBER("BIDB","[Dimittenddato].[Dimittenddato].&amp;[2018-07-08T00:00:00]")</f>
        <v>08-07-2018</v>
      </c>
      <c r="B1053" t="str" vm="13760">
        <f>IFERROR(CUBEVALUE("BIDB",$A1053,B$3,'Præsentationstabeller 1'!$C$2),0)</f>
        <v/>
      </c>
      <c r="C1053" t="str" vm="15604">
        <f>IFERROR(CUBEVALUE("BIDB",$A1053,C$3,C$2,'Præsentationstabeller 1'!$C$2),0)</f>
        <v/>
      </c>
      <c r="D1053" t="str" vm="11631">
        <f>IFERROR(CUBEVALUE("BIDB",$A1053,D$3,D$2,'Præsentationstabeller 1'!$C$2),0)</f>
        <v/>
      </c>
      <c r="E1053" t="str" vm="4495">
        <f>IFERROR(CUBEVALUE("BIDB",$A1053,E$3,E$2,'Præsentationstabeller 1'!$C$2),0)</f>
        <v/>
      </c>
      <c r="F1053" t="str" vm="11401">
        <f>IFERROR(CUBEVALUE("BIDB",$A1053,F$3,F$2,'Præsentationstabeller 1'!$C$2),0)</f>
        <v/>
      </c>
      <c r="G1053" t="str" vm="12686">
        <f>IFERROR(CUBEVALUE("BIDB",$A1053,G$3,G$2,'Præsentationstabeller 1'!$C$2),0)</f>
        <v/>
      </c>
      <c r="H1053" t="str" vm="15551">
        <f>IFERROR(CUBEVALUE("BIDB",$A1053,H$3,H$2,'Præsentationstabeller 1'!$C$2),0)</f>
        <v/>
      </c>
      <c r="I1053" t="str" vm="7004">
        <f>IFERROR(CUBEVALUE("BIDB",$A1053,I$3,I$2,'Præsentationstabeller 1'!$C$2),0)</f>
        <v/>
      </c>
      <c r="J1053" t="str" vm="15182">
        <f>IFERROR(CUBEVALUE("BIDB",$A1053,J$3,J$2,'Præsentationstabeller 1'!$C$2),0)</f>
        <v/>
      </c>
      <c r="K1053" t="str" vm="10940">
        <f>IFERROR(CUBEVALUE("BIDB",$A1053,K$3,K$2,'Præsentationstabeller 1'!$C$2),0)</f>
        <v/>
      </c>
      <c r="L1053" t="str" vm="11975">
        <f>IFERROR(CUBEVALUE("BIDB",$A1053,L$3,L$2,'Præsentationstabeller 1'!$C$2),0)</f>
        <v/>
      </c>
    </row>
    <row r="1054" spans="1:12" x14ac:dyDescent="0.3">
      <c r="A1054" s="123" t="str" vm="282">
        <f>CUBEMEMBER("BIDB","[Dimittenddato].[Dimittenddato].&amp;[2018-07-09T00:00:00]")</f>
        <v>09-07-2018</v>
      </c>
      <c r="B1054" t="str" vm="12511">
        <f>IFERROR(CUBEVALUE("BIDB",$A1054,B$3,'Præsentationstabeller 1'!$C$2),0)</f>
        <v/>
      </c>
      <c r="C1054" t="str" vm="11984">
        <f>IFERROR(CUBEVALUE("BIDB",$A1054,C$3,C$2,'Præsentationstabeller 1'!$C$2),0)</f>
        <v/>
      </c>
      <c r="D1054" t="str" vm="12695">
        <f>IFERROR(CUBEVALUE("BIDB",$A1054,D$3,D$2,'Præsentationstabeller 1'!$C$2),0)</f>
        <v/>
      </c>
      <c r="E1054" t="str" vm="5605">
        <f>IFERROR(CUBEVALUE("BIDB",$A1054,E$3,E$2,'Præsentationstabeller 1'!$C$2),0)</f>
        <v/>
      </c>
      <c r="F1054" t="str" vm="12049">
        <f>IFERROR(CUBEVALUE("BIDB",$A1054,F$3,F$2,'Præsentationstabeller 1'!$C$2),0)</f>
        <v/>
      </c>
      <c r="G1054" t="str" vm="13174">
        <f>IFERROR(CUBEVALUE("BIDB",$A1054,G$3,G$2,'Præsentationstabeller 1'!$C$2),0)</f>
        <v/>
      </c>
      <c r="H1054" t="str" vm="13356">
        <f>IFERROR(CUBEVALUE("BIDB",$A1054,H$3,H$2,'Præsentationstabeller 1'!$C$2),0)</f>
        <v/>
      </c>
      <c r="I1054" t="str" vm="7751">
        <f>IFERROR(CUBEVALUE("BIDB",$A1054,I$3,I$2,'Præsentationstabeller 1'!$C$2),0)</f>
        <v/>
      </c>
      <c r="J1054" t="str" vm="16673">
        <f>IFERROR(CUBEVALUE("BIDB",$A1054,J$3,J$2,'Præsentationstabeller 1'!$C$2),0)</f>
        <v/>
      </c>
      <c r="K1054" t="str" vm="14140">
        <f>IFERROR(CUBEVALUE("BIDB",$A1054,K$3,K$2,'Præsentationstabeller 1'!$C$2),0)</f>
        <v/>
      </c>
      <c r="L1054" t="str" vm="9208">
        <f>IFERROR(CUBEVALUE("BIDB",$A1054,L$3,L$2,'Præsentationstabeller 1'!$C$2),0)</f>
        <v/>
      </c>
    </row>
    <row r="1055" spans="1:12" x14ac:dyDescent="0.3">
      <c r="A1055" s="123" t="str" vm="281">
        <f>CUBEMEMBER("BIDB","[Dimittenddato].[Dimittenddato].&amp;[2018-07-10T00:00:00]")</f>
        <v>10-07-2018</v>
      </c>
      <c r="B1055" t="str" vm="11607">
        <f>IFERROR(CUBEVALUE("BIDB",$A1055,B$3,'Præsentationstabeller 1'!$C$2),0)</f>
        <v/>
      </c>
      <c r="C1055" t="str" vm="11114">
        <f>IFERROR(CUBEVALUE("BIDB",$A1055,C$3,C$2,'Præsentationstabeller 1'!$C$2),0)</f>
        <v/>
      </c>
      <c r="D1055" t="str" vm="10895">
        <f>IFERROR(CUBEVALUE("BIDB",$A1055,D$3,D$2,'Præsentationstabeller 1'!$C$2),0)</f>
        <v/>
      </c>
      <c r="E1055" t="str" vm="5075">
        <f>IFERROR(CUBEVALUE("BIDB",$A1055,E$3,E$2,'Præsentationstabeller 1'!$C$2),0)</f>
        <v/>
      </c>
      <c r="F1055" t="str" vm="13474">
        <f>IFERROR(CUBEVALUE("BIDB",$A1055,F$3,F$2,'Præsentationstabeller 1'!$C$2),0)</f>
        <v/>
      </c>
      <c r="G1055" t="str" vm="16667">
        <f>IFERROR(CUBEVALUE("BIDB",$A1055,G$3,G$2,'Præsentationstabeller 1'!$C$2),0)</f>
        <v/>
      </c>
      <c r="H1055" t="str" vm="15695">
        <f>IFERROR(CUBEVALUE("BIDB",$A1055,H$3,H$2,'Præsentationstabeller 1'!$C$2),0)</f>
        <v/>
      </c>
      <c r="I1055" t="str" vm="5466">
        <f>IFERROR(CUBEVALUE("BIDB",$A1055,I$3,I$2,'Præsentationstabeller 1'!$C$2),0)</f>
        <v/>
      </c>
      <c r="J1055" t="str" vm="16859">
        <f>IFERROR(CUBEVALUE("BIDB",$A1055,J$3,J$2,'Præsentationstabeller 1'!$C$2),0)</f>
        <v/>
      </c>
      <c r="K1055" t="str" vm="9319">
        <f>IFERROR(CUBEVALUE("BIDB",$A1055,K$3,K$2,'Præsentationstabeller 1'!$C$2),0)</f>
        <v/>
      </c>
      <c r="L1055" t="str" vm="9330">
        <f>IFERROR(CUBEVALUE("BIDB",$A1055,L$3,L$2,'Præsentationstabeller 1'!$C$2),0)</f>
        <v/>
      </c>
    </row>
    <row r="1056" spans="1:12" x14ac:dyDescent="0.3">
      <c r="A1056" s="123" t="str" vm="280">
        <f>CUBEMEMBER("BIDB","[Dimittenddato].[Dimittenddato].&amp;[2018-07-11T00:00:00]")</f>
        <v>11-07-2018</v>
      </c>
      <c r="B1056" t="str" vm="14497">
        <f>IFERROR(CUBEVALUE("BIDB",$A1056,B$3,'Præsentationstabeller 1'!$C$2),0)</f>
        <v/>
      </c>
      <c r="C1056" t="str" vm="11601">
        <f>IFERROR(CUBEVALUE("BIDB",$A1056,C$3,C$2,'Præsentationstabeller 1'!$C$2),0)</f>
        <v/>
      </c>
      <c r="D1056" t="str" vm="14176">
        <f>IFERROR(CUBEVALUE("BIDB",$A1056,D$3,D$2,'Præsentationstabeller 1'!$C$2),0)</f>
        <v/>
      </c>
      <c r="E1056" t="str" vm="8874">
        <f>IFERROR(CUBEVALUE("BIDB",$A1056,E$3,E$2,'Præsentationstabeller 1'!$C$2),0)</f>
        <v/>
      </c>
      <c r="F1056" t="str" vm="13640">
        <f>IFERROR(CUBEVALUE("BIDB",$A1056,F$3,F$2,'Præsentationstabeller 1'!$C$2),0)</f>
        <v/>
      </c>
      <c r="G1056" t="str" vm="16978">
        <f>IFERROR(CUBEVALUE("BIDB",$A1056,G$3,G$2,'Præsentationstabeller 1'!$C$2),0)</f>
        <v/>
      </c>
      <c r="H1056" t="str" vm="9611">
        <f>IFERROR(CUBEVALUE("BIDB",$A1056,H$3,H$2,'Præsentationstabeller 1'!$C$2),0)</f>
        <v/>
      </c>
      <c r="I1056" t="str" vm="4973">
        <f>IFERROR(CUBEVALUE("BIDB",$A1056,I$3,I$2,'Præsentationstabeller 1'!$C$2),0)</f>
        <v/>
      </c>
      <c r="J1056" t="str" vm="16930">
        <f>IFERROR(CUBEVALUE("BIDB",$A1056,J$3,J$2,'Præsentationstabeller 1'!$C$2),0)</f>
        <v/>
      </c>
      <c r="K1056" t="str" vm="13556">
        <f>IFERROR(CUBEVALUE("BIDB",$A1056,K$3,K$2,'Præsentationstabeller 1'!$C$2),0)</f>
        <v/>
      </c>
      <c r="L1056" t="str" vm="13511">
        <f>IFERROR(CUBEVALUE("BIDB",$A1056,L$3,L$2,'Præsentationstabeller 1'!$C$2),0)</f>
        <v/>
      </c>
    </row>
    <row r="1057" spans="1:12" x14ac:dyDescent="0.3">
      <c r="A1057" s="123" t="str" vm="279">
        <f>CUBEMEMBER("BIDB","[Dimittenddato].[Dimittenddato].&amp;[2018-07-12T00:00:00]")</f>
        <v>12-07-2018</v>
      </c>
      <c r="B1057" t="str" vm="16382">
        <f>IFERROR(CUBEVALUE("BIDB",$A1057,B$3,'Præsentationstabeller 1'!$C$2),0)</f>
        <v/>
      </c>
      <c r="C1057" t="str" vm="14279">
        <f>IFERROR(CUBEVALUE("BIDB",$A1057,C$3,C$2,'Præsentationstabeller 1'!$C$2),0)</f>
        <v/>
      </c>
      <c r="D1057" t="str" vm="13067">
        <f>IFERROR(CUBEVALUE("BIDB",$A1057,D$3,D$2,'Præsentationstabeller 1'!$C$2),0)</f>
        <v/>
      </c>
      <c r="E1057" t="str" vm="4023">
        <f>IFERROR(CUBEVALUE("BIDB",$A1057,E$3,E$2,'Præsentationstabeller 1'!$C$2),0)</f>
        <v/>
      </c>
      <c r="F1057" t="str" vm="14903">
        <f>IFERROR(CUBEVALUE("BIDB",$A1057,F$3,F$2,'Præsentationstabeller 1'!$C$2),0)</f>
        <v/>
      </c>
      <c r="G1057" t="str" vm="12917">
        <f>IFERROR(CUBEVALUE("BIDB",$A1057,G$3,G$2,'Præsentationstabeller 1'!$C$2),0)</f>
        <v/>
      </c>
      <c r="H1057" t="str" vm="10598">
        <f>IFERROR(CUBEVALUE("BIDB",$A1057,H$3,H$2,'Præsentationstabeller 1'!$C$2),0)</f>
        <v/>
      </c>
      <c r="I1057" t="str" vm="4643">
        <f>IFERROR(CUBEVALUE("BIDB",$A1057,I$3,I$2,'Præsentationstabeller 1'!$C$2),0)</f>
        <v/>
      </c>
      <c r="J1057" t="str" vm="14243">
        <f>IFERROR(CUBEVALUE("BIDB",$A1057,J$3,J$2,'Præsentationstabeller 1'!$C$2),0)</f>
        <v/>
      </c>
      <c r="K1057" t="str" vm="14988">
        <f>IFERROR(CUBEVALUE("BIDB",$A1057,K$3,K$2,'Præsentationstabeller 1'!$C$2),0)</f>
        <v/>
      </c>
      <c r="L1057" t="str" vm="15666">
        <f>IFERROR(CUBEVALUE("BIDB",$A1057,L$3,L$2,'Præsentationstabeller 1'!$C$2),0)</f>
        <v/>
      </c>
    </row>
    <row r="1058" spans="1:12" x14ac:dyDescent="0.3">
      <c r="A1058" s="123" t="str" vm="278">
        <f>CUBEMEMBER("BIDB","[Dimittenddato].[Dimittenddato].&amp;[2018-07-13T00:00:00]")</f>
        <v>13-07-2018</v>
      </c>
      <c r="B1058" t="str" vm="11636">
        <f>IFERROR(CUBEVALUE("BIDB",$A1058,B$3,'Præsentationstabeller 1'!$C$2),0)</f>
        <v/>
      </c>
      <c r="C1058" t="str" vm="9678">
        <f>IFERROR(CUBEVALUE("BIDB",$A1058,C$3,C$2,'Præsentationstabeller 1'!$C$2),0)</f>
        <v/>
      </c>
      <c r="D1058" t="str" vm="15110">
        <f>IFERROR(CUBEVALUE("BIDB",$A1058,D$3,D$2,'Præsentationstabeller 1'!$C$2),0)</f>
        <v/>
      </c>
      <c r="E1058" t="str" vm="6476">
        <f>IFERROR(CUBEVALUE("BIDB",$A1058,E$3,E$2,'Præsentationstabeller 1'!$C$2),0)</f>
        <v/>
      </c>
      <c r="F1058" t="str" vm="6868">
        <f>IFERROR(CUBEVALUE("BIDB",$A1058,F$3,F$2,'Præsentationstabeller 1'!$C$2),0)</f>
        <v/>
      </c>
      <c r="G1058" t="str" vm="16505">
        <f>IFERROR(CUBEVALUE("BIDB",$A1058,G$3,G$2,'Præsentationstabeller 1'!$C$2),0)</f>
        <v/>
      </c>
      <c r="H1058" t="str" vm="12892">
        <f>IFERROR(CUBEVALUE("BIDB",$A1058,H$3,H$2,'Præsentationstabeller 1'!$C$2),0)</f>
        <v/>
      </c>
      <c r="I1058" t="str" vm="6812">
        <f>IFERROR(CUBEVALUE("BIDB",$A1058,I$3,I$2,'Præsentationstabeller 1'!$C$2),0)</f>
        <v/>
      </c>
      <c r="J1058" t="str" vm="12522">
        <f>IFERROR(CUBEVALUE("BIDB",$A1058,J$3,J$2,'Præsentationstabeller 1'!$C$2),0)</f>
        <v/>
      </c>
      <c r="K1058" t="str" vm="3334">
        <f>IFERROR(CUBEVALUE("BIDB",$A1058,K$3,K$2,'Præsentationstabeller 1'!$C$2),0)</f>
        <v/>
      </c>
      <c r="L1058" t="str" vm="5674">
        <f>IFERROR(CUBEVALUE("BIDB",$A1058,L$3,L$2,'Præsentationstabeller 1'!$C$2),0)</f>
        <v/>
      </c>
    </row>
    <row r="1059" spans="1:12" x14ac:dyDescent="0.3">
      <c r="A1059" s="123" t="str" vm="277">
        <f>CUBEMEMBER("BIDB","[Dimittenddato].[Dimittenddato].&amp;[2018-07-14T00:00:00]")</f>
        <v>14-07-2018</v>
      </c>
      <c r="B1059" t="str" vm="13277">
        <f>IFERROR(CUBEVALUE("BIDB",$A1059,B$3,'Præsentationstabeller 1'!$C$2),0)</f>
        <v/>
      </c>
      <c r="C1059" t="str" vm="5065">
        <f>IFERROR(CUBEVALUE("BIDB",$A1059,C$3,C$2,'Præsentationstabeller 1'!$C$2),0)</f>
        <v/>
      </c>
      <c r="D1059" t="str" vm="14225">
        <f>IFERROR(CUBEVALUE("BIDB",$A1059,D$3,D$2,'Præsentationstabeller 1'!$C$2),0)</f>
        <v/>
      </c>
      <c r="E1059" t="str" vm="4326">
        <f>IFERROR(CUBEVALUE("BIDB",$A1059,E$3,E$2,'Præsentationstabeller 1'!$C$2),0)</f>
        <v/>
      </c>
      <c r="F1059" t="str" vm="16661">
        <f>IFERROR(CUBEVALUE("BIDB",$A1059,F$3,F$2,'Præsentationstabeller 1'!$C$2),0)</f>
        <v/>
      </c>
      <c r="G1059" t="str" vm="5495">
        <f>IFERROR(CUBEVALUE("BIDB",$A1059,G$3,G$2,'Præsentationstabeller 1'!$C$2),0)</f>
        <v/>
      </c>
      <c r="H1059" t="str" vm="14005">
        <f>IFERROR(CUBEVALUE("BIDB",$A1059,H$3,H$2,'Præsentationstabeller 1'!$C$2),0)</f>
        <v/>
      </c>
      <c r="I1059" t="str" vm="4158">
        <f>IFERROR(CUBEVALUE("BIDB",$A1059,I$3,I$2,'Præsentationstabeller 1'!$C$2),0)</f>
        <v/>
      </c>
      <c r="J1059" t="str" vm="3366">
        <f>IFERROR(CUBEVALUE("BIDB",$A1059,J$3,J$2,'Præsentationstabeller 1'!$C$2),0)</f>
        <v/>
      </c>
      <c r="K1059" t="str" vm="5428">
        <f>IFERROR(CUBEVALUE("BIDB",$A1059,K$3,K$2,'Præsentationstabeller 1'!$C$2),0)</f>
        <v/>
      </c>
      <c r="L1059" t="str" vm="9668">
        <f>IFERROR(CUBEVALUE("BIDB",$A1059,L$3,L$2,'Præsentationstabeller 1'!$C$2),0)</f>
        <v/>
      </c>
    </row>
    <row r="1060" spans="1:12" x14ac:dyDescent="0.3">
      <c r="A1060" s="123" t="str" vm="276">
        <f>CUBEMEMBER("BIDB","[Dimittenddato].[Dimittenddato].&amp;[2018-07-15T00:00:00]")</f>
        <v>15-07-2018</v>
      </c>
      <c r="B1060" t="str" vm="3219">
        <f>IFERROR(CUBEVALUE("BIDB",$A1060,B$3,'Præsentationstabeller 1'!$C$2),0)</f>
        <v/>
      </c>
      <c r="C1060" t="str" vm="5597">
        <f>IFERROR(CUBEVALUE("BIDB",$A1060,C$3,C$2,'Præsentationstabeller 1'!$C$2),0)</f>
        <v/>
      </c>
      <c r="D1060" t="str" vm="15290">
        <f>IFERROR(CUBEVALUE("BIDB",$A1060,D$3,D$2,'Præsentationstabeller 1'!$C$2),0)</f>
        <v/>
      </c>
      <c r="E1060" t="str" vm="5422">
        <f>IFERROR(CUBEVALUE("BIDB",$A1060,E$3,E$2,'Præsentationstabeller 1'!$C$2),0)</f>
        <v/>
      </c>
      <c r="F1060" t="str" vm="5842">
        <f>IFERROR(CUBEVALUE("BIDB",$A1060,F$3,F$2,'Præsentationstabeller 1'!$C$2),0)</f>
        <v/>
      </c>
      <c r="G1060" t="str" vm="7750">
        <f>IFERROR(CUBEVALUE("BIDB",$A1060,G$3,G$2,'Præsentationstabeller 1'!$C$2),0)</f>
        <v/>
      </c>
      <c r="H1060" t="str" vm="15728">
        <f>IFERROR(CUBEVALUE("BIDB",$A1060,H$3,H$2,'Præsentationstabeller 1'!$C$2),0)</f>
        <v/>
      </c>
      <c r="I1060" t="str" vm="6312">
        <f>IFERROR(CUBEVALUE("BIDB",$A1060,I$3,I$2,'Præsentationstabeller 1'!$C$2),0)</f>
        <v/>
      </c>
      <c r="J1060" t="str" vm="4030">
        <f>IFERROR(CUBEVALUE("BIDB",$A1060,J$3,J$2,'Præsentationstabeller 1'!$C$2),0)</f>
        <v/>
      </c>
      <c r="K1060" t="str" vm="4348">
        <f>IFERROR(CUBEVALUE("BIDB",$A1060,K$3,K$2,'Præsentationstabeller 1'!$C$2),0)</f>
        <v/>
      </c>
      <c r="L1060" t="str" vm="9515">
        <f>IFERROR(CUBEVALUE("BIDB",$A1060,L$3,L$2,'Præsentationstabeller 1'!$C$2),0)</f>
        <v/>
      </c>
    </row>
    <row r="1061" spans="1:12" x14ac:dyDescent="0.3">
      <c r="A1061" s="123" t="str" vm="275">
        <f>CUBEMEMBER("BIDB","[Dimittenddato].[Dimittenddato].&amp;[2018-07-16T00:00:00]")</f>
        <v>16-07-2018</v>
      </c>
      <c r="B1061" t="str" vm="3251">
        <f>IFERROR(CUBEVALUE("BIDB",$A1061,B$3,'Præsentationstabeller 1'!$C$2),0)</f>
        <v/>
      </c>
      <c r="C1061" t="str" vm="5269">
        <f>IFERROR(CUBEVALUE("BIDB",$A1061,C$3,C$2,'Præsentationstabeller 1'!$C$2),0)</f>
        <v/>
      </c>
      <c r="D1061" t="str" vm="16032">
        <f>IFERROR(CUBEVALUE("BIDB",$A1061,D$3,D$2,'Præsentationstabeller 1'!$C$2),0)</f>
        <v/>
      </c>
      <c r="E1061" t="str" vm="6102">
        <f>IFERROR(CUBEVALUE("BIDB",$A1061,E$3,E$2,'Præsentationstabeller 1'!$C$2),0)</f>
        <v/>
      </c>
      <c r="F1061" t="str" vm="4380">
        <f>IFERROR(CUBEVALUE("BIDB",$A1061,F$3,F$2,'Præsentationstabeller 1'!$C$2),0)</f>
        <v/>
      </c>
      <c r="G1061" t="str" vm="4886">
        <f>IFERROR(CUBEVALUE("BIDB",$A1061,G$3,G$2,'Præsentationstabeller 1'!$C$2),0)</f>
        <v/>
      </c>
      <c r="H1061" t="str" vm="14119">
        <f>IFERROR(CUBEVALUE("BIDB",$A1061,H$3,H$2,'Præsentationstabeller 1'!$C$2),0)</f>
        <v/>
      </c>
      <c r="I1061" t="str" vm="6531">
        <f>IFERROR(CUBEVALUE("BIDB",$A1061,I$3,I$2,'Præsentationstabeller 1'!$C$2),0)</f>
        <v/>
      </c>
      <c r="J1061" t="str" vm="4355">
        <f>IFERROR(CUBEVALUE("BIDB",$A1061,J$3,J$2,'Præsentationstabeller 1'!$C$2),0)</f>
        <v/>
      </c>
      <c r="K1061" t="str" vm="4502">
        <f>IFERROR(CUBEVALUE("BIDB",$A1061,K$3,K$2,'Præsentationstabeller 1'!$C$2),0)</f>
        <v/>
      </c>
      <c r="L1061" t="str" vm="10312">
        <f>IFERROR(CUBEVALUE("BIDB",$A1061,L$3,L$2,'Præsentationstabeller 1'!$C$2),0)</f>
        <v/>
      </c>
    </row>
    <row r="1062" spans="1:12" x14ac:dyDescent="0.3">
      <c r="A1062" s="123" t="str" vm="274">
        <f>CUBEMEMBER("BIDB","[Dimittenddato].[Dimittenddato].&amp;[2018-07-17T00:00:00]")</f>
        <v>17-07-2018</v>
      </c>
      <c r="B1062" t="str" vm="4704">
        <f>IFERROR(CUBEVALUE("BIDB",$A1062,B$3,'Præsentationstabeller 1'!$C$2),0)</f>
        <v/>
      </c>
      <c r="C1062" t="str" vm="4150">
        <f>IFERROR(CUBEVALUE("BIDB",$A1062,C$3,C$2,'Præsentationstabeller 1'!$C$2),0)</f>
        <v/>
      </c>
      <c r="D1062" t="str" vm="16037">
        <f>IFERROR(CUBEVALUE("BIDB",$A1062,D$3,D$2,'Præsentationstabeller 1'!$C$2),0)</f>
        <v/>
      </c>
      <c r="E1062" t="str" vm="5263">
        <f>IFERROR(CUBEVALUE("BIDB",$A1062,E$3,E$2,'Præsentationstabeller 1'!$C$2),0)</f>
        <v/>
      </c>
      <c r="F1062" t="str" vm="6124">
        <f>IFERROR(CUBEVALUE("BIDB",$A1062,F$3,F$2,'Præsentationstabeller 1'!$C$2),0)</f>
        <v/>
      </c>
      <c r="G1062" t="str" vm="3350">
        <f>IFERROR(CUBEVALUE("BIDB",$A1062,G$3,G$2,'Præsentationstabeller 1'!$C$2),0)</f>
        <v/>
      </c>
      <c r="H1062" t="str" vm="16532">
        <f>IFERROR(CUBEVALUE("BIDB",$A1062,H$3,H$2,'Præsentationstabeller 1'!$C$2),0)</f>
        <v/>
      </c>
      <c r="I1062" t="str" vm="11501">
        <f>IFERROR(CUBEVALUE("BIDB",$A1062,I$3,I$2,'Præsentationstabeller 1'!$C$2),0)</f>
        <v/>
      </c>
      <c r="J1062" t="str" vm="4509">
        <f>IFERROR(CUBEVALUE("BIDB",$A1062,J$3,J$2,'Præsentationstabeller 1'!$C$2),0)</f>
        <v/>
      </c>
      <c r="K1062" t="str" vm="5516">
        <f>IFERROR(CUBEVALUE("BIDB",$A1062,K$3,K$2,'Præsentationstabeller 1'!$C$2),0)</f>
        <v/>
      </c>
      <c r="L1062" t="str" vm="10259">
        <f>IFERROR(CUBEVALUE("BIDB",$A1062,L$3,L$2,'Præsentationstabeller 1'!$C$2),0)</f>
        <v/>
      </c>
    </row>
    <row r="1063" spans="1:12" x14ac:dyDescent="0.3">
      <c r="A1063" s="123" t="str" vm="273">
        <f>CUBEMEMBER("BIDB","[Dimittenddato].[Dimittenddato].&amp;[2018-07-18T00:00:00]")</f>
        <v>18-07-2018</v>
      </c>
      <c r="B1063" t="str" vm="4736">
        <f>IFERROR(CUBEVALUE("BIDB",$A1063,B$3,'Præsentationstabeller 1'!$C$2),0)</f>
        <v/>
      </c>
      <c r="C1063" t="str" vm="7213">
        <f>IFERROR(CUBEVALUE("BIDB",$A1063,C$3,C$2,'Præsentationstabeller 1'!$C$2),0)</f>
        <v/>
      </c>
      <c r="D1063" t="str" vm="16189">
        <f>IFERROR(CUBEVALUE("BIDB",$A1063,D$3,D$2,'Præsentationstabeller 1'!$C$2),0)</f>
        <v/>
      </c>
      <c r="E1063" t="str" vm="4539">
        <f>IFERROR(CUBEVALUE("BIDB",$A1063,E$3,E$2,'Præsentationstabeller 1'!$C$2),0)</f>
        <v/>
      </c>
      <c r="F1063" t="str" vm="3763">
        <f>IFERROR(CUBEVALUE("BIDB",$A1063,F$3,F$2,'Præsentationstabeller 1'!$C$2),0)</f>
        <v/>
      </c>
      <c r="G1063" t="str" vm="7163">
        <f>IFERROR(CUBEVALUE("BIDB",$A1063,G$3,G$2,'Præsentationstabeller 1'!$C$2),0)</f>
        <v/>
      </c>
      <c r="H1063" t="str" vm="11560">
        <f>IFERROR(CUBEVALUE("BIDB",$A1063,H$3,H$2,'Præsentationstabeller 1'!$C$2),0)</f>
        <v/>
      </c>
      <c r="I1063" t="str" vm="6016">
        <f>IFERROR(CUBEVALUE("BIDB",$A1063,I$3,I$2,'Præsentationstabeller 1'!$C$2),0)</f>
        <v/>
      </c>
      <c r="J1063" t="str" vm="6131">
        <f>IFERROR(CUBEVALUE("BIDB",$A1063,J$3,J$2,'Præsentationstabeller 1'!$C$2),0)</f>
        <v/>
      </c>
      <c r="K1063" t="str" vm="4532">
        <f>IFERROR(CUBEVALUE("BIDB",$A1063,K$3,K$2,'Præsentationstabeller 1'!$C$2),0)</f>
        <v/>
      </c>
      <c r="L1063" t="str" vm="16622">
        <f>IFERROR(CUBEVALUE("BIDB",$A1063,L$3,L$2,'Præsentationstabeller 1'!$C$2),0)</f>
        <v/>
      </c>
    </row>
    <row r="1064" spans="1:12" x14ac:dyDescent="0.3">
      <c r="A1064" s="123" t="str" vm="272">
        <f>CUBEMEMBER("BIDB","[Dimittenddato].[Dimittenddato].&amp;[2018-07-19T00:00:00]")</f>
        <v>19-07-2018</v>
      </c>
      <c r="B1064" t="str" vm="5186">
        <f>IFERROR(CUBEVALUE("BIDB",$A1064,B$3,'Præsentationstabeller 1'!$C$2),0)</f>
        <v/>
      </c>
      <c r="C1064" t="str" vm="7038">
        <f>IFERROR(CUBEVALUE("BIDB",$A1064,C$3,C$2,'Præsentationstabeller 1'!$C$2),0)</f>
        <v/>
      </c>
      <c r="D1064" t="str" vm="14060">
        <f>IFERROR(CUBEVALUE("BIDB",$A1064,D$3,D$2,'Præsentationstabeller 1'!$C$2),0)</f>
        <v/>
      </c>
      <c r="E1064" t="str" vm="8189">
        <f>IFERROR(CUBEVALUE("BIDB",$A1064,E$3,E$2,'Præsentationstabeller 1'!$C$2),0)</f>
        <v/>
      </c>
      <c r="F1064" t="str" vm="8993">
        <f>IFERROR(CUBEVALUE("BIDB",$A1064,F$3,F$2,'Præsentationstabeller 1'!$C$2),0)</f>
        <v/>
      </c>
      <c r="G1064" t="str" vm="3235">
        <f>IFERROR(CUBEVALUE("BIDB",$A1064,G$3,G$2,'Præsentationstabeller 1'!$C$2),0)</f>
        <v/>
      </c>
      <c r="H1064" t="str" vm="15426">
        <f>IFERROR(CUBEVALUE("BIDB",$A1064,H$3,H$2,'Præsentationstabeller 1'!$C$2),0)</f>
        <v/>
      </c>
      <c r="I1064" t="str" vm="16403">
        <f>IFERROR(CUBEVALUE("BIDB",$A1064,I$3,I$2,'Præsentationstabeller 1'!$C$2),0)</f>
        <v/>
      </c>
      <c r="J1064" t="str" vm="4567">
        <f>IFERROR(CUBEVALUE("BIDB",$A1064,J$3,J$2,'Præsentationstabeller 1'!$C$2),0)</f>
        <v/>
      </c>
      <c r="K1064" t="str" vm="4814">
        <f>IFERROR(CUBEVALUE("BIDB",$A1064,K$3,K$2,'Præsentationstabeller 1'!$C$2),0)</f>
        <v/>
      </c>
      <c r="L1064" t="str" vm="13101">
        <f>IFERROR(CUBEVALUE("BIDB",$A1064,L$3,L$2,'Præsentationstabeller 1'!$C$2),0)</f>
        <v/>
      </c>
    </row>
    <row r="1065" spans="1:12" x14ac:dyDescent="0.3">
      <c r="A1065" s="123" t="str" vm="271">
        <f>CUBEMEMBER("BIDB","[Dimittenddato].[Dimittenddato].&amp;[2018-07-20T00:00:00]")</f>
        <v>20-07-2018</v>
      </c>
      <c r="B1065" t="str" vm="5194">
        <f>IFERROR(CUBEVALUE("BIDB",$A1065,B$3,'Præsentationstabeller 1'!$C$2),0)</f>
        <v/>
      </c>
      <c r="C1065" t="str" vm="7042">
        <f>IFERROR(CUBEVALUE("BIDB",$A1065,C$3,C$2,'Præsentationstabeller 1'!$C$2),0)</f>
        <v/>
      </c>
      <c r="D1065" t="str" vm="16536">
        <f>IFERROR(CUBEVALUE("BIDB",$A1065,D$3,D$2,'Præsentationstabeller 1'!$C$2),0)</f>
        <v/>
      </c>
      <c r="E1065" t="str" vm="8244">
        <f>IFERROR(CUBEVALUE("BIDB",$A1065,E$3,E$2,'Præsentationstabeller 1'!$C$2),0)</f>
        <v/>
      </c>
      <c r="F1065" t="str" vm="4243">
        <f>IFERROR(CUBEVALUE("BIDB",$A1065,F$3,F$2,'Præsentationstabeller 1'!$C$2),0)</f>
        <v/>
      </c>
      <c r="G1065" t="str" vm="5739">
        <f>IFERROR(CUBEVALUE("BIDB",$A1065,G$3,G$2,'Præsentationstabeller 1'!$C$2),0)</f>
        <v/>
      </c>
      <c r="H1065" t="str" vm="13139">
        <f>IFERROR(CUBEVALUE("BIDB",$A1065,H$3,H$2,'Præsentationstabeller 1'!$C$2),0)</f>
        <v/>
      </c>
      <c r="I1065" t="str" vm="6364">
        <f>IFERROR(CUBEVALUE("BIDB",$A1065,I$3,I$2,'Præsentationstabeller 1'!$C$2),0)</f>
        <v/>
      </c>
      <c r="J1065" t="str" vm="8740">
        <f>IFERROR(CUBEVALUE("BIDB",$A1065,J$3,J$2,'Præsentationstabeller 1'!$C$2),0)</f>
        <v/>
      </c>
      <c r="K1065" t="str" vm="7272">
        <f>IFERROR(CUBEVALUE("BIDB",$A1065,K$3,K$2,'Præsentationstabeller 1'!$C$2),0)</f>
        <v/>
      </c>
      <c r="L1065" t="str" vm="14143">
        <f>IFERROR(CUBEVALUE("BIDB",$A1065,L$3,L$2,'Præsentationstabeller 1'!$C$2),0)</f>
        <v/>
      </c>
    </row>
    <row r="1066" spans="1:12" x14ac:dyDescent="0.3">
      <c r="A1066" s="123" t="str" vm="270">
        <f>CUBEMEMBER("BIDB","[Dimittenddato].[Dimittenddato].&amp;[2018-07-21T00:00:00]")</f>
        <v>21-07-2018</v>
      </c>
      <c r="B1066" t="str" vm="4090">
        <f>IFERROR(CUBEVALUE("BIDB",$A1066,B$3,'Præsentationstabeller 1'!$C$2),0)</f>
        <v/>
      </c>
      <c r="C1066" t="str" vm="6008">
        <f>IFERROR(CUBEVALUE("BIDB",$A1066,C$3,C$2,'Præsentationstabeller 1'!$C$2),0)</f>
        <v/>
      </c>
      <c r="D1066" t="str" vm="10921">
        <f>IFERROR(CUBEVALUE("BIDB",$A1066,D$3,D$2,'Præsentationstabeller 1'!$C$2),0)</f>
        <v/>
      </c>
      <c r="E1066" t="str" vm="8882">
        <f>IFERROR(CUBEVALUE("BIDB",$A1066,E$3,E$2,'Præsentationstabeller 1'!$C$2),0)</f>
        <v/>
      </c>
      <c r="F1066" t="str" vm="4387">
        <f>IFERROR(CUBEVALUE("BIDB",$A1066,F$3,F$2,'Præsentationstabeller 1'!$C$2),0)</f>
        <v/>
      </c>
      <c r="G1066" t="str" vm="4720">
        <f>IFERROR(CUBEVALUE("BIDB",$A1066,G$3,G$2,'Præsentationstabeller 1'!$C$2),0)</f>
        <v/>
      </c>
      <c r="H1066" t="str" vm="15165">
        <f>IFERROR(CUBEVALUE("BIDB",$A1066,H$3,H$2,'Præsentationstabeller 1'!$C$2),0)</f>
        <v/>
      </c>
      <c r="I1066" t="str" vm="9106">
        <f>IFERROR(CUBEVALUE("BIDB",$A1066,I$3,I$2,'Præsentationstabeller 1'!$C$2),0)</f>
        <v/>
      </c>
      <c r="J1066" t="str" vm="4394">
        <f>IFERROR(CUBEVALUE("BIDB",$A1066,J$3,J$2,'Præsentationstabeller 1'!$C$2),0)</f>
        <v/>
      </c>
      <c r="K1066" t="str" vm="7997">
        <f>IFERROR(CUBEVALUE("BIDB",$A1066,K$3,K$2,'Præsentationstabeller 1'!$C$2),0)</f>
        <v/>
      </c>
      <c r="L1066" t="str" vm="11791">
        <f>IFERROR(CUBEVALUE("BIDB",$A1066,L$3,L$2,'Præsentationstabeller 1'!$C$2),0)</f>
        <v/>
      </c>
    </row>
    <row r="1067" spans="1:12" x14ac:dyDescent="0.3">
      <c r="A1067" s="123" t="str" vm="269">
        <f>CUBEMEMBER("BIDB","[Dimittenddato].[Dimittenddato].&amp;[2018-07-22T00:00:00]")</f>
        <v>22-07-2018</v>
      </c>
      <c r="B1067" t="str" vm="4122">
        <f>IFERROR(CUBEVALUE("BIDB",$A1067,B$3,'Præsentationstabeller 1'!$C$2),0)</f>
        <v/>
      </c>
      <c r="C1067" t="str" vm="6450">
        <f>IFERROR(CUBEVALUE("BIDB",$A1067,C$3,C$2,'Præsentationstabeller 1'!$C$2),0)</f>
        <v/>
      </c>
      <c r="D1067" t="str" vm="13863">
        <f>IFERROR(CUBEVALUE("BIDB",$A1067,D$3,D$2,'Præsentationstabeller 1'!$C$2),0)</f>
        <v/>
      </c>
      <c r="E1067" t="str" vm="5211">
        <f>IFERROR(CUBEVALUE("BIDB",$A1067,E$3,E$2,'Præsentationstabeller 1'!$C$2),0)</f>
        <v/>
      </c>
      <c r="F1067" t="str" vm="5832">
        <f>IFERROR(CUBEVALUE("BIDB",$A1067,F$3,F$2,'Præsentationstabeller 1'!$C$2),0)</f>
        <v/>
      </c>
      <c r="G1067" t="str" vm="4916">
        <f>IFERROR(CUBEVALUE("BIDB",$A1067,G$3,G$2,'Præsentationstabeller 1'!$C$2),0)</f>
        <v/>
      </c>
      <c r="H1067" t="str" vm="9674">
        <f>IFERROR(CUBEVALUE("BIDB",$A1067,H$3,H$2,'Præsentationstabeller 1'!$C$2),0)</f>
        <v/>
      </c>
      <c r="I1067" t="str" vm="3537">
        <f>IFERROR(CUBEVALUE("BIDB",$A1067,I$3,I$2,'Præsentationstabeller 1'!$C$2),0)</f>
        <v/>
      </c>
      <c r="J1067" t="str" vm="5240">
        <f>IFERROR(CUBEVALUE("BIDB",$A1067,J$3,J$2,'Præsentationstabeller 1'!$C$2),0)</f>
        <v/>
      </c>
      <c r="K1067" t="str" vm="6655">
        <f>IFERROR(CUBEVALUE("BIDB",$A1067,K$3,K$2,'Præsentationstabeller 1'!$C$2),0)</f>
        <v/>
      </c>
      <c r="L1067" t="str" vm="7550">
        <f>IFERROR(CUBEVALUE("BIDB",$A1067,L$3,L$2,'Præsentationstabeller 1'!$C$2),0)</f>
        <v/>
      </c>
    </row>
    <row r="1068" spans="1:12" x14ac:dyDescent="0.3">
      <c r="A1068" s="123" t="str" vm="268">
        <f>CUBEMEMBER("BIDB","[Dimittenddato].[Dimittenddato].&amp;[2018-07-23T00:00:00]")</f>
        <v>23-07-2018</v>
      </c>
      <c r="B1068" t="str" vm="3976">
        <f>IFERROR(CUBEVALUE("BIDB",$A1068,B$3,'Præsentationstabeller 1'!$C$2),0)</f>
        <v/>
      </c>
      <c r="C1068" t="str" vm="6362">
        <f>IFERROR(CUBEVALUE("BIDB",$A1068,C$3,C$2,'Præsentationstabeller 1'!$C$2),0)</f>
        <v/>
      </c>
      <c r="D1068" t="str" vm="17036">
        <f>IFERROR(CUBEVALUE("BIDB",$A1068,D$3,D$2,'Præsentationstabeller 1'!$C$2),0)</f>
        <v/>
      </c>
      <c r="E1068" t="str" vm="6444">
        <f>IFERROR(CUBEVALUE("BIDB",$A1068,E$3,E$2,'Præsentationstabeller 1'!$C$2),0)</f>
        <v/>
      </c>
      <c r="F1068" t="str" vm="5969">
        <f>IFERROR(CUBEVALUE("BIDB",$A1068,F$3,F$2,'Præsentationstabeller 1'!$C$2),0)</f>
        <v/>
      </c>
      <c r="G1068" t="str" vm="5190">
        <f>IFERROR(CUBEVALUE("BIDB",$A1068,G$3,G$2,'Præsentationstabeller 1'!$C$2),0)</f>
        <v/>
      </c>
      <c r="H1068" t="str" vm="10730">
        <f>IFERROR(CUBEVALUE("BIDB",$A1068,H$3,H$2,'Præsentationstabeller 1'!$C$2),0)</f>
        <v/>
      </c>
      <c r="I1068" t="str" vm="6804">
        <f>IFERROR(CUBEVALUE("BIDB",$A1068,I$3,I$2,'Præsentationstabeller 1'!$C$2),0)</f>
        <v/>
      </c>
      <c r="J1068" t="str" vm="3777">
        <f>IFERROR(CUBEVALUE("BIDB",$A1068,J$3,J$2,'Præsentationstabeller 1'!$C$2),0)</f>
        <v/>
      </c>
      <c r="K1068" t="str" vm="5233">
        <f>IFERROR(CUBEVALUE("BIDB",$A1068,K$3,K$2,'Præsentationstabeller 1'!$C$2),0)</f>
        <v/>
      </c>
      <c r="L1068" t="str" vm="10243">
        <f>IFERROR(CUBEVALUE("BIDB",$A1068,L$3,L$2,'Præsentationstabeller 1'!$C$2),0)</f>
        <v/>
      </c>
    </row>
    <row r="1069" spans="1:12" x14ac:dyDescent="0.3">
      <c r="A1069" s="123" t="str" vm="267">
        <f>CUBEMEMBER("BIDB","[Dimittenddato].[Dimittenddato].&amp;[2018-07-24T00:00:00]")</f>
        <v>24-07-2018</v>
      </c>
      <c r="B1069" t="str" vm="4008">
        <f>IFERROR(CUBEVALUE("BIDB",$A1069,B$3,'Præsentationstabeller 1'!$C$2),0)</f>
        <v/>
      </c>
      <c r="C1069" t="str" vm="5396">
        <f>IFERROR(CUBEVALUE("BIDB",$A1069,C$3,C$2,'Præsentationstabeller 1'!$C$2),0)</f>
        <v/>
      </c>
      <c r="D1069" t="str" vm="9587">
        <f>IFERROR(CUBEVALUE("BIDB",$A1069,D$3,D$2,'Præsentationstabeller 1'!$C$2),0)</f>
        <v/>
      </c>
      <c r="E1069" t="str" vm="5080">
        <f>IFERROR(CUBEVALUE("BIDB",$A1069,E$3,E$2,'Præsentationstabeller 1'!$C$2),0)</f>
        <v/>
      </c>
      <c r="F1069" t="str" vm="4131">
        <f>IFERROR(CUBEVALUE("BIDB",$A1069,F$3,F$2,'Præsentationstabeller 1'!$C$2),0)</f>
        <v/>
      </c>
      <c r="G1069" t="str" vm="3263">
        <f>IFERROR(CUBEVALUE("BIDB",$A1069,G$3,G$2,'Præsentationstabeller 1'!$C$2),0)</f>
        <v/>
      </c>
      <c r="H1069" t="str" vm="15938">
        <f>IFERROR(CUBEVALUE("BIDB",$A1069,H$3,H$2,'Præsentationstabeller 1'!$C$2),0)</f>
        <v/>
      </c>
      <c r="I1069" t="str" vm="7777">
        <f>IFERROR(CUBEVALUE("BIDB",$A1069,I$3,I$2,'Præsentationstabeller 1'!$C$2),0)</f>
        <v/>
      </c>
      <c r="J1069" t="str" vm="5109">
        <f>IFERROR(CUBEVALUE("BIDB",$A1069,J$3,J$2,'Præsentationstabeller 1'!$C$2),0)</f>
        <v/>
      </c>
      <c r="K1069" t="str" vm="3770">
        <f>IFERROR(CUBEVALUE("BIDB",$A1069,K$3,K$2,'Præsentationstabeller 1'!$C$2),0)</f>
        <v/>
      </c>
      <c r="L1069" t="str" vm="9683">
        <f>IFERROR(CUBEVALUE("BIDB",$A1069,L$3,L$2,'Præsentationstabeller 1'!$C$2),0)</f>
        <v/>
      </c>
    </row>
    <row r="1070" spans="1:12" x14ac:dyDescent="0.3">
      <c r="A1070" s="123" t="str" vm="266">
        <f>CUBEMEMBER("BIDB","[Dimittenddato].[Dimittenddato].&amp;[2018-07-25T00:00:00]")</f>
        <v>25-07-2018</v>
      </c>
      <c r="B1070" t="str" vm="4455">
        <f>IFERROR(CUBEVALUE("BIDB",$A1070,B$3,'Præsentationstabeller 1'!$C$2),0)</f>
        <v/>
      </c>
      <c r="C1070" t="str" vm="3529">
        <f>IFERROR(CUBEVALUE("BIDB",$A1070,C$3,C$2,'Præsentationstabeller 1'!$C$2),0)</f>
        <v/>
      </c>
      <c r="D1070" t="str" vm="15665">
        <f>IFERROR(CUBEVALUE("BIDB",$A1070,D$3,D$2,'Præsentationstabeller 1'!$C$2),0)</f>
        <v/>
      </c>
      <c r="E1070" t="str" vm="5390">
        <f>IFERROR(CUBEVALUE("BIDB",$A1070,E$3,E$2,'Præsentationstabeller 1'!$C$2),0)</f>
        <v/>
      </c>
      <c r="F1070" t="str" vm="5102">
        <f>IFERROR(CUBEVALUE("BIDB",$A1070,F$3,F$2,'Præsentationstabeller 1'!$C$2),0)</f>
        <v/>
      </c>
      <c r="G1070" t="str" vm="4106">
        <f>IFERROR(CUBEVALUE("BIDB",$A1070,G$3,G$2,'Præsentationstabeller 1'!$C$2),0)</f>
        <v/>
      </c>
      <c r="H1070" t="str" vm="15233">
        <f>IFERROR(CUBEVALUE("BIDB",$A1070,H$3,H$2,'Præsentationstabeller 1'!$C$2),0)</f>
        <v/>
      </c>
      <c r="I1070" t="str" vm="8297">
        <f>IFERROR(CUBEVALUE("BIDB",$A1070,I$3,I$2,'Præsentationstabeller 1'!$C$2),0)</f>
        <v/>
      </c>
      <c r="J1070" t="str" vm="4257">
        <f>IFERROR(CUBEVALUE("BIDB",$A1070,J$3,J$2,'Præsentationstabeller 1'!$C$2),0)</f>
        <v/>
      </c>
      <c r="K1070" t="str" vm="6696">
        <f>IFERROR(CUBEVALUE("BIDB",$A1070,K$3,K$2,'Præsentationstabeller 1'!$C$2),0)</f>
        <v/>
      </c>
      <c r="L1070" t="str" vm="7890">
        <f>IFERROR(CUBEVALUE("BIDB",$A1070,L$3,L$2,'Præsentationstabeller 1'!$C$2),0)</f>
        <v/>
      </c>
    </row>
    <row r="1071" spans="1:12" x14ac:dyDescent="0.3">
      <c r="A1071" s="123" t="str" vm="265">
        <f>CUBEMEMBER("BIDB","[Dimittenddato].[Dimittenddato].&amp;[2018-07-26T00:00:00]")</f>
        <v>26-07-2018</v>
      </c>
      <c r="B1071" t="str" vm="4487">
        <f>IFERROR(CUBEVALUE("BIDB",$A1071,B$3,'Præsentationstabeller 1'!$C$2),0)</f>
        <v/>
      </c>
      <c r="C1071" t="str" vm="7485">
        <f>IFERROR(CUBEVALUE("BIDB",$A1071,C$3,C$2,'Præsentationstabeller 1'!$C$2),0)</f>
        <v/>
      </c>
      <c r="D1071" t="str" vm="15703">
        <f>IFERROR(CUBEVALUE("BIDB",$A1071,D$3,D$2,'Præsentationstabeller 1'!$C$2),0)</f>
        <v/>
      </c>
      <c r="E1071" t="str" vm="4287">
        <f>IFERROR(CUBEVALUE("BIDB",$A1071,E$3,E$2,'Præsentationstabeller 1'!$C$2),0)</f>
        <v/>
      </c>
      <c r="F1071" t="str" vm="3510">
        <f>IFERROR(CUBEVALUE("BIDB",$A1071,F$3,F$2,'Præsentationstabeller 1'!$C$2),0)</f>
        <v/>
      </c>
      <c r="G1071" t="str" vm="5801">
        <f>IFERROR(CUBEVALUE("BIDB",$A1071,G$3,G$2,'Præsentationstabeller 1'!$C$2),0)</f>
        <v/>
      </c>
      <c r="H1071" t="str" vm="15128">
        <f>IFERROR(CUBEVALUE("BIDB",$A1071,H$3,H$2,'Præsentationstabeller 1'!$C$2),0)</f>
        <v/>
      </c>
      <c r="I1071" t="str" vm="4869">
        <f>IFERROR(CUBEVALUE("BIDB",$A1071,I$3,I$2,'Præsentationstabeller 1'!$C$2),0)</f>
        <v/>
      </c>
      <c r="J1071" t="str" vm="5876">
        <f>IFERROR(CUBEVALUE("BIDB",$A1071,J$3,J$2,'Præsentationstabeller 1'!$C$2),0)</f>
        <v/>
      </c>
      <c r="K1071" t="str" vm="4822">
        <f>IFERROR(CUBEVALUE("BIDB",$A1071,K$3,K$2,'Præsentationstabeller 1'!$C$2),0)</f>
        <v/>
      </c>
      <c r="L1071" t="str" vm="11370">
        <f>IFERROR(CUBEVALUE("BIDB",$A1071,L$3,L$2,'Præsentationstabeller 1'!$C$2),0)</f>
        <v/>
      </c>
    </row>
    <row r="1072" spans="1:12" x14ac:dyDescent="0.3">
      <c r="A1072" s="123" t="str" vm="264">
        <f>CUBEMEMBER("BIDB","[Dimittenddato].[Dimittenddato].&amp;[2018-07-27T00:00:00]")</f>
        <v>27-07-2018</v>
      </c>
      <c r="B1072" t="str" vm="5055">
        <f>IFERROR(CUBEVALUE("BIDB",$A1072,B$3,'Præsentationstabeller 1'!$C$2),0)</f>
        <v/>
      </c>
      <c r="C1072" t="str" vm="8754">
        <f>IFERROR(CUBEVALUE("BIDB",$A1072,C$3,C$2,'Præsentationstabeller 1'!$C$2),0)</f>
        <v/>
      </c>
      <c r="D1072" t="str" vm="17138">
        <f>IFERROR(CUBEVALUE("BIDB",$A1072,D$3,D$2,'Præsentationstabeller 1'!$C$2),0)</f>
        <v/>
      </c>
      <c r="E1072" t="str" vm="10691">
        <f>IFERROR(CUBEVALUE("BIDB",$A1072,E$3,E$2,'Præsentationstabeller 1'!$C$2),0)</f>
        <v/>
      </c>
      <c r="F1072" t="str" vm="5897">
        <f>IFERROR(CUBEVALUE("BIDB",$A1072,F$3,F$2,'Præsentationstabeller 1'!$C$2),0)</f>
        <v/>
      </c>
      <c r="G1072" t="str" vm="3992">
        <f>IFERROR(CUBEVALUE("BIDB",$A1072,G$3,G$2,'Præsentationstabeller 1'!$C$2),0)</f>
        <v/>
      </c>
      <c r="H1072" t="str" vm="14509">
        <f>IFERROR(CUBEVALUE("BIDB",$A1072,H$3,H$2,'Præsentationstabeller 1'!$C$2),0)</f>
        <v/>
      </c>
      <c r="I1072" t="str" vm="8615">
        <f>IFERROR(CUBEVALUE("BIDB",$A1072,I$3,I$2,'Præsentationstabeller 1'!$C$2),0)</f>
        <v/>
      </c>
      <c r="J1072" t="str" vm="5327">
        <f>IFERROR(CUBEVALUE("BIDB",$A1072,J$3,J$2,'Præsentationstabeller 1'!$C$2),0)</f>
        <v/>
      </c>
      <c r="K1072" t="str" vm="4250">
        <f>IFERROR(CUBEVALUE("BIDB",$A1072,K$3,K$2,'Præsentationstabeller 1'!$C$2),0)</f>
        <v/>
      </c>
      <c r="L1072" t="str" vm="10524">
        <f>IFERROR(CUBEVALUE("BIDB",$A1072,L$3,L$2,'Præsentationstabeller 1'!$C$2),0)</f>
        <v/>
      </c>
    </row>
    <row r="1073" spans="1:12" x14ac:dyDescent="0.3">
      <c r="A1073" s="123" t="str" vm="263">
        <f>CUBEMEMBER("BIDB","[Dimittenddato].[Dimittenddato].&amp;[2018-07-28T00:00:00]")</f>
        <v>28-07-2018</v>
      </c>
      <c r="B1073" t="str" vm="5063">
        <f>IFERROR(CUBEVALUE("BIDB",$A1073,B$3,'Præsentationstabeller 1'!$C$2),0)</f>
        <v/>
      </c>
      <c r="C1073" t="str" vm="8778">
        <f>IFERROR(CUBEVALUE("BIDB",$A1073,C$3,C$2,'Præsentationstabeller 1'!$C$2),0)</f>
        <v/>
      </c>
      <c r="D1073" t="str" vm="15239">
        <f>IFERROR(CUBEVALUE("BIDB",$A1073,D$3,D$2,'Præsentationstabeller 1'!$C$2),0)</f>
        <v/>
      </c>
      <c r="E1073" t="str" vm="5847">
        <f>IFERROR(CUBEVALUE("BIDB",$A1073,E$3,E$2,'Præsentationstabeller 1'!$C$2),0)</f>
        <v/>
      </c>
      <c r="F1073" t="str" vm="4996">
        <f>IFERROR(CUBEVALUE("BIDB",$A1073,F$3,F$2,'Præsentationstabeller 1'!$C$2),0)</f>
        <v/>
      </c>
      <c r="G1073" t="str" vm="4598">
        <f>IFERROR(CUBEVALUE("BIDB",$A1073,G$3,G$2,'Præsentationstabeller 1'!$C$2),0)</f>
        <v/>
      </c>
      <c r="H1073" t="str" vm="11849">
        <f>IFERROR(CUBEVALUE("BIDB",$A1073,H$3,H$2,'Præsentationstabeller 1'!$C$2),0)</f>
        <v/>
      </c>
      <c r="I1073" t="str" vm="5731">
        <f>IFERROR(CUBEVALUE("BIDB",$A1073,I$3,I$2,'Præsentationstabeller 1'!$C$2),0)</f>
        <v/>
      </c>
      <c r="J1073" t="str" vm="10145">
        <f>IFERROR(CUBEVALUE("BIDB",$A1073,J$3,J$2,'Præsentationstabeller 1'!$C$2),0)</f>
        <v/>
      </c>
      <c r="K1073" t="str" vm="5869">
        <f>IFERROR(CUBEVALUE("BIDB",$A1073,K$3,K$2,'Præsentationstabeller 1'!$C$2),0)</f>
        <v/>
      </c>
      <c r="L1073" t="str" vm="14722">
        <f>IFERROR(CUBEVALUE("BIDB",$A1073,L$3,L$2,'Præsentationstabeller 1'!$C$2),0)</f>
        <v/>
      </c>
    </row>
    <row r="1074" spans="1:12" x14ac:dyDescent="0.3">
      <c r="A1074" s="123" t="str" vm="262">
        <f>CUBEMEMBER("BIDB","[Dimittenddato].[Dimittenddato].&amp;[2018-07-29T00:00:00]")</f>
        <v>29-07-2018</v>
      </c>
      <c r="B1074" t="str" vm="3837">
        <f>IFERROR(CUBEVALUE("BIDB",$A1074,B$3,'Præsentationstabeller 1'!$C$2),0)</f>
        <v/>
      </c>
      <c r="C1074" t="str" vm="4861">
        <f>IFERROR(CUBEVALUE("BIDB",$A1074,C$3,C$2,'Præsentationstabeller 1'!$C$2),0)</f>
        <v/>
      </c>
      <c r="D1074" t="str" vm="15335">
        <f>IFERROR(CUBEVALUE("BIDB",$A1074,D$3,D$2,'Præsentationstabeller 1'!$C$2),0)</f>
        <v/>
      </c>
      <c r="E1074" t="str" vm="6910">
        <f>IFERROR(CUBEVALUE("BIDB",$A1074,E$3,E$2,'Præsentationstabeller 1'!$C$2),0)</f>
        <v/>
      </c>
      <c r="F1074" t="str" vm="5580">
        <f>IFERROR(CUBEVALUE("BIDB",$A1074,F$3,F$2,'Præsentationstabeller 1'!$C$2),0)</f>
        <v/>
      </c>
      <c r="G1074" t="str" vm="4471">
        <f>IFERROR(CUBEVALUE("BIDB",$A1074,G$3,G$2,'Præsentationstabeller 1'!$C$2),0)</f>
        <v/>
      </c>
      <c r="H1074" t="str" vm="13001">
        <f>IFERROR(CUBEVALUE("BIDB",$A1074,H$3,H$2,'Præsentationstabeller 1'!$C$2),0)</f>
        <v/>
      </c>
      <c r="I1074" t="str" vm="9098">
        <f>IFERROR(CUBEVALUE("BIDB",$A1074,I$3,I$2,'Præsentationstabeller 1'!$C$2),0)</f>
        <v/>
      </c>
      <c r="J1074" t="str" vm="4145">
        <f>IFERROR(CUBEVALUE("BIDB",$A1074,J$3,J$2,'Præsentationstabeller 1'!$C$2),0)</f>
        <v/>
      </c>
      <c r="K1074" t="str" vm="4280">
        <f>IFERROR(CUBEVALUE("BIDB",$A1074,K$3,K$2,'Præsentationstabeller 1'!$C$2),0)</f>
        <v/>
      </c>
      <c r="L1074" t="str" vm="13866">
        <f>IFERROR(CUBEVALUE("BIDB",$A1074,L$3,L$2,'Præsentationstabeller 1'!$C$2),0)</f>
        <v/>
      </c>
    </row>
    <row r="1075" spans="1:12" x14ac:dyDescent="0.3">
      <c r="A1075" s="123" t="str" vm="261">
        <f>CUBEMEMBER("BIDB","[Dimittenddato].[Dimittenddato].&amp;[2018-07-30T00:00:00]")</f>
        <v>30-07-2018</v>
      </c>
      <c r="B1075" t="str" vm="3869">
        <f>IFERROR(CUBEVALUE("BIDB",$A1075,B$3,'Præsentationstabeller 1'!$C$2),0)</f>
        <v/>
      </c>
      <c r="C1075" t="str" vm="7900">
        <f>IFERROR(CUBEVALUE("BIDB",$A1075,C$3,C$2,'Præsentationstabeller 1'!$C$2),0)</f>
        <v/>
      </c>
      <c r="D1075" t="str" vm="17121">
        <f>IFERROR(CUBEVALUE("BIDB",$A1075,D$3,D$2,'Præsentationstabeller 1'!$C$2),0)</f>
        <v/>
      </c>
      <c r="E1075" t="str" vm="8589">
        <f>IFERROR(CUBEVALUE("BIDB",$A1075,E$3,E$2,'Præsentationstabeller 1'!$C$2),0)</f>
        <v/>
      </c>
      <c r="F1075" t="str" vm="9221">
        <f>IFERROR(CUBEVALUE("BIDB",$A1075,F$3,F$2,'Præsentationstabeller 1'!$C$2),0)</f>
        <v/>
      </c>
      <c r="G1075" t="str" vm="3293">
        <f>IFERROR(CUBEVALUE("BIDB",$A1075,G$3,G$2,'Præsentationstabeller 1'!$C$2),0)</f>
        <v/>
      </c>
      <c r="H1075" t="str" vm="10633">
        <f>IFERROR(CUBEVALUE("BIDB",$A1075,H$3,H$2,'Præsentationstabeller 1'!$C$2),0)</f>
        <v/>
      </c>
      <c r="I1075" t="str" vm="5023">
        <f>IFERROR(CUBEVALUE("BIDB",$A1075,I$3,I$2,'Præsentationstabeller 1'!$C$2),0)</f>
        <v/>
      </c>
      <c r="J1075" t="str" vm="6003">
        <f>IFERROR(CUBEVALUE("BIDB",$A1075,J$3,J$2,'Præsentationstabeller 1'!$C$2),0)</f>
        <v/>
      </c>
      <c r="K1075" t="str" vm="16888">
        <f>IFERROR(CUBEVALUE("BIDB",$A1075,K$3,K$2,'Præsentationstabeller 1'!$C$2),0)</f>
        <v/>
      </c>
      <c r="L1075" t="str" vm="11029">
        <f>IFERROR(CUBEVALUE("BIDB",$A1075,L$3,L$2,'Præsentationstabeller 1'!$C$2),0)</f>
        <v/>
      </c>
    </row>
    <row r="1076" spans="1:12" x14ac:dyDescent="0.3">
      <c r="A1076" s="123" t="str" vm="260">
        <f>CUBEMEMBER("BIDB","[Dimittenddato].[Dimittenddato].&amp;[2018-07-31T00:00:00]")</f>
        <v>31-07-2018</v>
      </c>
      <c r="B1076" t="str" vm="3723">
        <f>IFERROR(CUBEVALUE("BIDB",$A1076,B$3,'Præsentationstabeller 1'!$C$2),0)</f>
        <v/>
      </c>
      <c r="C1076" t="str" vm="5723">
        <f>IFERROR(CUBEVALUE("BIDB",$A1076,C$3,C$2,'Præsentationstabeller 1'!$C$2),0)</f>
        <v/>
      </c>
      <c r="D1076" t="str" vm="16054">
        <f>IFERROR(CUBEVALUE("BIDB",$A1076,D$3,D$2,'Præsentationstabeller 1'!$C$2),0)</f>
        <v/>
      </c>
      <c r="E1076" t="str" vm="9083">
        <f>IFERROR(CUBEVALUE("BIDB",$A1076,E$3,E$2,'Præsentationstabeller 1'!$C$2),0)</f>
        <v/>
      </c>
      <c r="F1076" t="str" vm="5588">
        <f>IFERROR(CUBEVALUE("BIDB",$A1076,F$3,F$2,'Præsentationstabeller 1'!$C$2),0)</f>
        <v/>
      </c>
      <c r="G1076" t="str" vm="5059">
        <f>IFERROR(CUBEVALUE("BIDB",$A1076,G$3,G$2,'Præsentationstabeller 1'!$C$2),0)</f>
        <v/>
      </c>
      <c r="H1076" t="str" vm="9423">
        <f>IFERROR(CUBEVALUE("BIDB",$A1076,H$3,H$2,'Præsentationstabeller 1'!$C$2),0)</f>
        <v/>
      </c>
      <c r="I1076" t="str" vm="6210">
        <f>IFERROR(CUBEVALUE("BIDB",$A1076,I$3,I$2,'Præsentationstabeller 1'!$C$2),0)</f>
        <v/>
      </c>
      <c r="J1076" t="str" vm="3524">
        <f>IFERROR(CUBEVALUE("BIDB",$A1076,J$3,J$2,'Præsentationstabeller 1'!$C$2),0)</f>
        <v/>
      </c>
      <c r="K1076" t="str" vm="7407">
        <f>IFERROR(CUBEVALUE("BIDB",$A1076,K$3,K$2,'Præsentationstabeller 1'!$C$2),0)</f>
        <v/>
      </c>
      <c r="L1076" t="str" vm="12847">
        <f>IFERROR(CUBEVALUE("BIDB",$A1076,L$3,L$2,'Præsentationstabeller 1'!$C$2),0)</f>
        <v/>
      </c>
    </row>
    <row r="1077" spans="1:12" x14ac:dyDescent="0.3">
      <c r="A1077" s="123" t="str" vm="259">
        <f>CUBEMEMBER("BIDB","[Dimittenddato].[Dimittenddato].&amp;[2018-08-01T00:00:00]")</f>
        <v>01-08-2018</v>
      </c>
      <c r="B1077" t="str" vm="3755">
        <f>IFERROR(CUBEVALUE("BIDB",$A1077,B$3,'Præsentationstabeller 1'!$C$2),0)</f>
        <v/>
      </c>
      <c r="C1077" t="str" vm="6418">
        <f>IFERROR(CUBEVALUE("BIDB",$A1077,C$3,C$2,'Præsentationstabeller 1'!$C$2),0)</f>
        <v/>
      </c>
      <c r="D1077" t="str" vm="13314">
        <f>IFERROR(CUBEVALUE("BIDB",$A1077,D$3,D$2,'Præsentationstabeller 1'!$C$2),0)</f>
        <v/>
      </c>
      <c r="E1077" t="str" vm="5974">
        <f>IFERROR(CUBEVALUE("BIDB",$A1077,E$3,E$2,'Præsentationstabeller 1'!$C$2),0)</f>
        <v/>
      </c>
      <c r="F1077" t="str" vm="4881">
        <f>IFERROR(CUBEVALUE("BIDB",$A1077,F$3,F$2,'Præsentationstabeller 1'!$C$2),0)</f>
        <v/>
      </c>
      <c r="G1077" t="str" vm="4748">
        <f>IFERROR(CUBEVALUE("BIDB",$A1077,G$3,G$2,'Præsentationstabeller 1'!$C$2),0)</f>
        <v/>
      </c>
      <c r="H1077" t="str" vm="13682">
        <f>IFERROR(CUBEVALUE("BIDB",$A1077,H$3,H$2,'Præsentationstabeller 1'!$C$2),0)</f>
        <v/>
      </c>
      <c r="I1077" t="str" vm="6669">
        <f>IFERROR(CUBEVALUE("BIDB",$A1077,I$3,I$2,'Præsentationstabeller 1'!$C$2),0)</f>
        <v/>
      </c>
      <c r="J1077" t="str" vm="4856">
        <f>IFERROR(CUBEVALUE("BIDB",$A1077,J$3,J$2,'Præsentationstabeller 1'!$C$2),0)</f>
        <v/>
      </c>
      <c r="K1077" t="str" vm="4138">
        <f>IFERROR(CUBEVALUE("BIDB",$A1077,K$3,K$2,'Præsentationstabeller 1'!$C$2),0)</f>
        <v/>
      </c>
      <c r="L1077" t="str" vm="17006">
        <f>IFERROR(CUBEVALUE("BIDB",$A1077,L$3,L$2,'Præsentationstabeller 1'!$C$2),0)</f>
        <v/>
      </c>
    </row>
    <row r="1078" spans="1:12" x14ac:dyDescent="0.3">
      <c r="A1078" s="123" t="str" vm="258">
        <f>CUBEMEMBER("BIDB","[Dimittenddato].[Dimittenddato].&amp;[2018-08-02T00:00:00]")</f>
        <v>02-08-2018</v>
      </c>
      <c r="B1078" t="str" vm="4205">
        <f>IFERROR(CUBEVALUE("BIDB",$A1078,B$3,'Præsentationstabeller 1'!$C$2),0)</f>
        <v/>
      </c>
      <c r="C1078" t="str" vm="5015">
        <f>IFERROR(CUBEVALUE("BIDB",$A1078,C$3,C$2,'Præsentationstabeller 1'!$C$2),0)</f>
        <v/>
      </c>
      <c r="D1078" t="str" vm="16340">
        <f>IFERROR(CUBEVALUE("BIDB",$A1078,D$3,D$2,'Præsentationstabeller 1'!$C$2),0)</f>
        <v/>
      </c>
      <c r="E1078" t="str" vm="6412">
        <f>IFERROR(CUBEVALUE("BIDB",$A1078,E$3,E$2,'Præsentationstabeller 1'!$C$2),0)</f>
        <v/>
      </c>
      <c r="F1078" t="str" vm="5996">
        <f>IFERROR(CUBEVALUE("BIDB",$A1078,F$3,F$2,'Præsentationstabeller 1'!$C$2),0)</f>
        <v/>
      </c>
      <c r="G1078" t="str" vm="3853">
        <f>IFERROR(CUBEVALUE("BIDB",$A1078,G$3,G$2,'Præsentationstabeller 1'!$C$2),0)</f>
        <v/>
      </c>
      <c r="H1078" t="str" vm="15282">
        <f>IFERROR(CUBEVALUE("BIDB",$A1078,H$3,H$2,'Præsentationstabeller 1'!$C$2),0)</f>
        <v/>
      </c>
      <c r="I1078" t="str" vm="7782">
        <f>IFERROR(CUBEVALUE("BIDB",$A1078,I$3,I$2,'Præsentationstabeller 1'!$C$2),0)</f>
        <v/>
      </c>
      <c r="J1078" t="str" vm="5010">
        <f>IFERROR(CUBEVALUE("BIDB",$A1078,J$3,J$2,'Præsentationstabeller 1'!$C$2),0)</f>
        <v/>
      </c>
      <c r="K1078" t="str" vm="6782">
        <f>IFERROR(CUBEVALUE("BIDB",$A1078,K$3,K$2,'Præsentationstabeller 1'!$C$2),0)</f>
        <v/>
      </c>
      <c r="L1078" t="str" vm="16080">
        <f>IFERROR(CUBEVALUE("BIDB",$A1078,L$3,L$2,'Præsentationstabeller 1'!$C$2),0)</f>
        <v/>
      </c>
    </row>
    <row r="1079" spans="1:12" x14ac:dyDescent="0.3">
      <c r="A1079" s="123" t="str" vm="257">
        <f>CUBEMEMBER("BIDB","[Dimittenddato].[Dimittenddato].&amp;[2018-08-03T00:00:00]")</f>
        <v>03-08-2018</v>
      </c>
      <c r="B1079" t="str" vm="4235">
        <f>IFERROR(CUBEVALUE("BIDB",$A1079,B$3,'Præsentationstabeller 1'!$C$2),0)</f>
        <v/>
      </c>
      <c r="C1079" t="str" vm="8042">
        <f>IFERROR(CUBEVALUE("BIDB",$A1079,C$3,C$2,'Præsentationstabeller 1'!$C$2),0)</f>
        <v/>
      </c>
      <c r="D1079" t="str" vm="11438">
        <f>IFERROR(CUBEVALUE("BIDB",$A1079,D$3,D$2,'Præsentationstabeller 1'!$C$2),0)</f>
        <v/>
      </c>
      <c r="E1079" t="str" vm="5040">
        <f>IFERROR(CUBEVALUE("BIDB",$A1079,E$3,E$2,'Præsentationstabeller 1'!$C$2),0)</f>
        <v/>
      </c>
      <c r="F1079" t="str" vm="3258">
        <f>IFERROR(CUBEVALUE("BIDB",$A1079,F$3,F$2,'Præsentationstabeller 1'!$C$2),0)</f>
        <v/>
      </c>
      <c r="G1079" t="str" vm="6882">
        <f>IFERROR(CUBEVALUE("BIDB",$A1079,G$3,G$2,'Præsentationstabeller 1'!$C$2),0)</f>
        <v/>
      </c>
      <c r="H1079" t="str" vm="13395">
        <f>IFERROR(CUBEVALUE("BIDB",$A1079,H$3,H$2,'Præsentationstabeller 1'!$C$2),0)</f>
        <v/>
      </c>
      <c r="I1079" t="str" vm="5635">
        <f>IFERROR(CUBEVALUE("BIDB",$A1079,I$3,I$2,'Præsentationstabeller 1'!$C$2),0)</f>
        <v/>
      </c>
      <c r="J1079" t="str" vm="5622">
        <f>IFERROR(CUBEVALUE("BIDB",$A1079,J$3,J$2,'Præsentationstabeller 1'!$C$2),0)</f>
        <v/>
      </c>
      <c r="K1079" t="str" vm="7123">
        <f>IFERROR(CUBEVALUE("BIDB",$A1079,K$3,K$2,'Præsentationstabeller 1'!$C$2),0)</f>
        <v/>
      </c>
      <c r="L1079" t="str" vm="14344">
        <f>IFERROR(CUBEVALUE("BIDB",$A1079,L$3,L$2,'Præsentationstabeller 1'!$C$2),0)</f>
        <v/>
      </c>
    </row>
    <row r="1080" spans="1:12" x14ac:dyDescent="0.3">
      <c r="A1080" s="123" t="str" vm="256">
        <f>CUBEMEMBER("BIDB","[Dimittenddato].[Dimittenddato].&amp;[2018-08-04T00:00:00]")</f>
        <v>04-08-2018</v>
      </c>
      <c r="B1080" t="str" vm="5822">
        <f>IFERROR(CUBEVALUE("BIDB",$A1080,B$3,'Præsentationstabeller 1'!$C$2),0)</f>
        <v/>
      </c>
      <c r="C1080" t="str" vm="6667">
        <f>IFERROR(CUBEVALUE("BIDB",$A1080,C$3,C$2,'Præsentationstabeller 1'!$C$2),0)</f>
        <v/>
      </c>
      <c r="D1080" t="str" vm="14171">
        <f>IFERROR(CUBEVALUE("BIDB",$A1080,D$3,D$2,'Præsentationstabeller 1'!$C$2),0)</f>
        <v/>
      </c>
      <c r="E1080" t="str" vm="9018">
        <f>IFERROR(CUBEVALUE("BIDB",$A1080,E$3,E$2,'Præsentationstabeller 1'!$C$2),0)</f>
        <v/>
      </c>
      <c r="F1080" t="str" vm="7287">
        <f>IFERROR(CUBEVALUE("BIDB",$A1080,F$3,F$2,'Præsentationstabeller 1'!$C$2),0)</f>
        <v/>
      </c>
      <c r="G1080" t="str" vm="3739">
        <f>IFERROR(CUBEVALUE("BIDB",$A1080,G$3,G$2,'Præsentationstabeller 1'!$C$2),0)</f>
        <v/>
      </c>
      <c r="H1080" t="str" vm="14795">
        <f>IFERROR(CUBEVALUE("BIDB",$A1080,H$3,H$2,'Præsentationstabeller 1'!$C$2),0)</f>
        <v/>
      </c>
      <c r="I1080" t="str" vm="8648">
        <f>IFERROR(CUBEVALUE("BIDB",$A1080,I$3,I$2,'Præsentationstabeller 1'!$C$2),0)</f>
        <v/>
      </c>
      <c r="J1080" t="str" vm="6740">
        <f>IFERROR(CUBEVALUE("BIDB",$A1080,J$3,J$2,'Præsentationstabeller 1'!$C$2),0)</f>
        <v/>
      </c>
      <c r="K1080" t="str" vm="3517">
        <f>IFERROR(CUBEVALUE("BIDB",$A1080,K$3,K$2,'Præsentationstabeller 1'!$C$2),0)</f>
        <v/>
      </c>
      <c r="L1080" t="str" vm="9274">
        <f>IFERROR(CUBEVALUE("BIDB",$A1080,L$3,L$2,'Præsentationstabeller 1'!$C$2),0)</f>
        <v/>
      </c>
    </row>
    <row r="1081" spans="1:12" x14ac:dyDescent="0.3">
      <c r="A1081" s="123" t="str" vm="255">
        <f>CUBEMEMBER("BIDB","[Dimittenddato].[Dimittenddato].&amp;[2018-08-05T00:00:00]")</f>
        <v>05-08-2018</v>
      </c>
      <c r="B1081" t="str" vm="5830">
        <f>IFERROR(CUBEVALUE("BIDB",$A1081,B$3,'Præsentationstabeller 1'!$C$2),0)</f>
        <v/>
      </c>
      <c r="C1081" t="str" vm="10434">
        <f>IFERROR(CUBEVALUE("BIDB",$A1081,C$3,C$2,'Præsentationstabeller 1'!$C$2),0)</f>
        <v/>
      </c>
      <c r="D1081" t="str" vm="14234">
        <f>IFERROR(CUBEVALUE("BIDB",$A1081,D$3,D$2,'Præsentationstabeller 1'!$C$2),0)</f>
        <v/>
      </c>
      <c r="E1081" t="str" vm="4827">
        <f>IFERROR(CUBEVALUE("BIDB",$A1081,E$3,E$2,'Præsentationstabeller 1'!$C$2),0)</f>
        <v/>
      </c>
      <c r="F1081" t="str" vm="4743">
        <f>IFERROR(CUBEVALUE("BIDB",$A1081,F$3,F$2,'Præsentationstabeller 1'!$C$2),0)</f>
        <v/>
      </c>
      <c r="G1081" t="str" vm="5358">
        <f>IFERROR(CUBEVALUE("BIDB",$A1081,G$3,G$2,'Præsentationstabeller 1'!$C$2),0)</f>
        <v/>
      </c>
      <c r="H1081" t="str" vm="13435">
        <f>IFERROR(CUBEVALUE("BIDB",$A1081,H$3,H$2,'Præsentationstabeller 1'!$C$2),0)</f>
        <v/>
      </c>
      <c r="I1081" t="str" vm="4590">
        <f>IFERROR(CUBEVALUE("BIDB",$A1081,I$3,I$2,'Præsentationstabeller 1'!$C$2),0)</f>
        <v/>
      </c>
      <c r="J1081" t="str" vm="6623">
        <f>IFERROR(CUBEVALUE("BIDB",$A1081,J$3,J$2,'Præsentationstabeller 1'!$C$2),0)</f>
        <v/>
      </c>
      <c r="K1081" t="str" vm="4849">
        <f>IFERROR(CUBEVALUE("BIDB",$A1081,K$3,K$2,'Præsentationstabeller 1'!$C$2),0)</f>
        <v/>
      </c>
      <c r="L1081" t="str" vm="11979">
        <f>IFERROR(CUBEVALUE("BIDB",$A1081,L$3,L$2,'Præsentationstabeller 1'!$C$2),0)</f>
        <v/>
      </c>
    </row>
    <row r="1082" spans="1:12" x14ac:dyDescent="0.3">
      <c r="A1082" s="123" t="str" vm="254">
        <f>CUBEMEMBER("BIDB","[Dimittenddato].[Dimittenddato].&amp;[2018-08-06T00:00:00]")</f>
        <v>06-08-2018</v>
      </c>
      <c r="B1082" t="str" vm="3585">
        <f>IFERROR(CUBEVALUE("BIDB",$A1082,B$3,'Præsentationstabeller 1'!$C$2),0)</f>
        <v/>
      </c>
      <c r="C1082" t="str" vm="5627">
        <f>IFERROR(CUBEVALUE("BIDB",$A1082,C$3,C$2,'Præsentationstabeller 1'!$C$2),0)</f>
        <v/>
      </c>
      <c r="D1082" t="str" vm="12246">
        <f>IFERROR(CUBEVALUE("BIDB",$A1082,D$3,D$2,'Præsentationstabeller 1'!$C$2),0)</f>
        <v/>
      </c>
      <c r="E1082" t="str" vm="7037">
        <f>IFERROR(CUBEVALUE("BIDB",$A1082,E$3,E$2,'Præsentationstabeller 1'!$C$2),0)</f>
        <v/>
      </c>
      <c r="F1082" t="str" vm="5003">
        <f>IFERROR(CUBEVALUE("BIDB",$A1082,F$3,F$2,'Præsentationstabeller 1'!$C$2),0)</f>
        <v/>
      </c>
      <c r="G1082" t="str" vm="4220">
        <f>IFERROR(CUBEVALUE("BIDB",$A1082,G$3,G$2,'Præsentationstabeller 1'!$C$2),0)</f>
        <v/>
      </c>
      <c r="H1082" t="str" vm="14154">
        <f>IFERROR(CUBEVALUE("BIDB",$A1082,H$3,H$2,'Præsentationstabeller 1'!$C$2),0)</f>
        <v/>
      </c>
      <c r="I1082" t="str" vm="11229">
        <f>IFERROR(CUBEVALUE("BIDB",$A1082,I$3,I$2,'Præsentationstabeller 1'!$C$2),0)</f>
        <v/>
      </c>
      <c r="J1082" t="str" vm="4895">
        <f>IFERROR(CUBEVALUE("BIDB",$A1082,J$3,J$2,'Præsentationstabeller 1'!$C$2),0)</f>
        <v/>
      </c>
      <c r="K1082" t="str" vm="5714">
        <f>IFERROR(CUBEVALUE("BIDB",$A1082,K$3,K$2,'Præsentationstabeller 1'!$C$2),0)</f>
        <v/>
      </c>
      <c r="L1082" t="str" vm="16469">
        <f>IFERROR(CUBEVALUE("BIDB",$A1082,L$3,L$2,'Præsentationstabeller 1'!$C$2),0)</f>
        <v/>
      </c>
    </row>
    <row r="1083" spans="1:12" x14ac:dyDescent="0.3">
      <c r="A1083" s="123" t="str" vm="253">
        <f>CUBEMEMBER("BIDB","[Dimittenddato].[Dimittenddato].&amp;[2018-08-07T00:00:00]")</f>
        <v>07-08-2018</v>
      </c>
      <c r="B1083" t="str" vm="3617">
        <f>IFERROR(CUBEVALUE("BIDB",$A1083,B$3,'Præsentationstabeller 1'!$C$2),0)</f>
        <v/>
      </c>
      <c r="C1083" t="str" vm="5129">
        <f>IFERROR(CUBEVALUE("BIDB",$A1083,C$3,C$2,'Præsentationstabeller 1'!$C$2),0)</f>
        <v/>
      </c>
      <c r="D1083" t="str" vm="17113">
        <f>IFERROR(CUBEVALUE("BIDB",$A1083,D$3,D$2,'Præsentationstabeller 1'!$C$2),0)</f>
        <v/>
      </c>
      <c r="E1083" t="str" vm="5593">
        <f>IFERROR(CUBEVALUE("BIDB",$A1083,E$3,E$2,'Præsentationstabeller 1'!$C$2),0)</f>
        <v/>
      </c>
      <c r="F1083" t="str" vm="5959">
        <f>IFERROR(CUBEVALUE("BIDB",$A1083,F$3,F$2,'Præsentationstabeller 1'!$C$2),0)</f>
        <v/>
      </c>
      <c r="G1083" t="str" vm="4778">
        <f>IFERROR(CUBEVALUE("BIDB",$A1083,G$3,G$2,'Præsentationstabeller 1'!$C$2),0)</f>
        <v/>
      </c>
      <c r="H1083" t="str" vm="11037">
        <f>IFERROR(CUBEVALUE("BIDB",$A1083,H$3,H$2,'Præsentationstabeller 1'!$C$2),0)</f>
        <v/>
      </c>
      <c r="I1083" t="str" vm="6359">
        <f>IFERROR(CUBEVALUE("BIDB",$A1083,I$3,I$2,'Præsentationstabeller 1'!$C$2),0)</f>
        <v/>
      </c>
      <c r="J1083" t="str" vm="5748">
        <f>IFERROR(CUBEVALUE("BIDB",$A1083,J$3,J$2,'Præsentationstabeller 1'!$C$2),0)</f>
        <v/>
      </c>
      <c r="K1083" t="str" vm="6152">
        <f>IFERROR(CUBEVALUE("BIDB",$A1083,K$3,K$2,'Præsentationstabeller 1'!$C$2),0)</f>
        <v/>
      </c>
      <c r="L1083" t="str" vm="9652">
        <f>IFERROR(CUBEVALUE("BIDB",$A1083,L$3,L$2,'Præsentationstabeller 1'!$C$2),0)</f>
        <v/>
      </c>
    </row>
    <row r="1084" spans="1:12" x14ac:dyDescent="0.3">
      <c r="A1084" s="123" t="str" vm="252">
        <f>CUBEMEMBER("BIDB","[Dimittenddato].[Dimittenddato].&amp;[2018-08-08T00:00:00]")</f>
        <v>08-08-2018</v>
      </c>
      <c r="B1084" t="str" vm="3470">
        <f>IFERROR(CUBEVALUE("BIDB",$A1084,B$3,'Præsentationstabeller 1'!$C$2),0)</f>
        <v/>
      </c>
      <c r="C1084" t="str" vm="5045">
        <f>IFERROR(CUBEVALUE("BIDB",$A1084,C$3,C$2,'Præsentationstabeller 1'!$C$2),0)</f>
        <v/>
      </c>
      <c r="D1084" t="str" vm="13601">
        <f>IFERROR(CUBEVALUE("BIDB",$A1084,D$3,D$2,'Præsentationstabeller 1'!$C$2),0)</f>
        <v/>
      </c>
      <c r="E1084" t="str" vm="6058">
        <f>IFERROR(CUBEVALUE("BIDB",$A1084,E$3,E$2,'Præsentationstabeller 1'!$C$2),0)</f>
        <v/>
      </c>
      <c r="F1084" t="str" vm="5033">
        <f>IFERROR(CUBEVALUE("BIDB",$A1084,F$3,F$2,'Præsentationstabeller 1'!$C$2),0)</f>
        <v/>
      </c>
      <c r="G1084" t="str" vm="5826">
        <f>IFERROR(CUBEVALUE("BIDB",$A1084,G$3,G$2,'Præsentationstabeller 1'!$C$2),0)</f>
        <v/>
      </c>
      <c r="H1084" t="str" vm="9827">
        <f>IFERROR(CUBEVALUE("BIDB",$A1084,H$3,H$2,'Præsentationstabeller 1'!$C$2),0)</f>
        <v/>
      </c>
      <c r="I1084" t="str" vm="5157">
        <f>IFERROR(CUBEVALUE("BIDB",$A1084,I$3,I$2,'Præsentationstabeller 1'!$C$2),0)</f>
        <v/>
      </c>
      <c r="J1084" t="str" vm="3272">
        <f>IFERROR(CUBEVALUE("BIDB",$A1084,J$3,J$2,'Præsentationstabeller 1'!$C$2),0)</f>
        <v/>
      </c>
      <c r="K1084" t="str" vm="5615">
        <f>IFERROR(CUBEVALUE("BIDB",$A1084,K$3,K$2,'Præsentationstabeller 1'!$C$2),0)</f>
        <v/>
      </c>
      <c r="L1084" t="str" vm="10055">
        <f>IFERROR(CUBEVALUE("BIDB",$A1084,L$3,L$2,'Præsentationstabeller 1'!$C$2),0)</f>
        <v/>
      </c>
    </row>
    <row r="1085" spans="1:12" x14ac:dyDescent="0.3">
      <c r="A1085" s="123" t="str" vm="251">
        <f>CUBEMEMBER("BIDB","[Dimittenddato].[Dimittenddato].&amp;[2018-08-09T00:00:00]")</f>
        <v>09-08-2018</v>
      </c>
      <c r="B1085" t="str" vm="3502">
        <f>IFERROR(CUBEVALUE("BIDB",$A1085,B$3,'Præsentationstabeller 1'!$C$2),0)</f>
        <v/>
      </c>
      <c r="C1085" t="str" vm="6064">
        <f>IFERROR(CUBEVALUE("BIDB",$A1085,C$3,C$2,'Præsentationstabeller 1'!$C$2),0)</f>
        <v/>
      </c>
      <c r="D1085" t="str" vm="11356">
        <f>IFERROR(CUBEVALUE("BIDB",$A1085,D$3,D$2,'Præsentationstabeller 1'!$C$2),0)</f>
        <v/>
      </c>
      <c r="E1085" t="str" vm="6361">
        <f>IFERROR(CUBEVALUE("BIDB",$A1085,E$3,E$2,'Præsentationstabeller 1'!$C$2),0)</f>
        <v/>
      </c>
      <c r="F1085" t="str" vm="4628">
        <f>IFERROR(CUBEVALUE("BIDB",$A1085,F$3,F$2,'Præsentationstabeller 1'!$C$2),0)</f>
        <v/>
      </c>
      <c r="G1085" t="str" vm="5197">
        <f>IFERROR(CUBEVALUE("BIDB",$A1085,G$3,G$2,'Præsentationstabeller 1'!$C$2),0)</f>
        <v/>
      </c>
      <c r="H1085" t="str" vm="10982">
        <f>IFERROR(CUBEVALUE("BIDB",$A1085,H$3,H$2,'Præsentationstabeller 1'!$C$2),0)</f>
        <v/>
      </c>
      <c r="I1085" t="str" vm="8633">
        <f>IFERROR(CUBEVALUE("BIDB",$A1085,I$3,I$2,'Præsentationstabeller 1'!$C$2),0)</f>
        <v/>
      </c>
      <c r="J1085" t="str" vm="4607">
        <f>IFERROR(CUBEVALUE("BIDB",$A1085,J$3,J$2,'Præsentationstabeller 1'!$C$2),0)</f>
        <v/>
      </c>
      <c r="K1085" t="str" vm="7121">
        <f>IFERROR(CUBEVALUE("BIDB",$A1085,K$3,K$2,'Præsentationstabeller 1'!$C$2),0)</f>
        <v/>
      </c>
      <c r="L1085" t="str" vm="11745">
        <f>IFERROR(CUBEVALUE("BIDB",$A1085,L$3,L$2,'Præsentationstabeller 1'!$C$2),0)</f>
        <v/>
      </c>
    </row>
    <row r="1086" spans="1:12" x14ac:dyDescent="0.3">
      <c r="A1086" s="123" t="str" vm="250">
        <f>CUBEMEMBER("BIDB","[Dimittenddato].[Dimittenddato].&amp;[2018-08-10T00:00:00]")</f>
        <v>10-08-2018</v>
      </c>
      <c r="B1086" t="str" vm="4956">
        <f>IFERROR(CUBEVALUE("BIDB",$A1086,B$3,'Præsentationstabeller 1'!$C$2),0)</f>
        <v/>
      </c>
      <c r="C1086" t="str" vm="6867">
        <f>IFERROR(CUBEVALUE("BIDB",$A1086,C$3,C$2,'Præsentationstabeller 1'!$C$2),0)</f>
        <v/>
      </c>
      <c r="D1086" t="str" vm="15279">
        <f>IFERROR(CUBEVALUE("BIDB",$A1086,D$3,D$2,'Præsentationstabeller 1'!$C$2),0)</f>
        <v/>
      </c>
      <c r="E1086" t="str" vm="9081">
        <f>IFERROR(CUBEVALUE("BIDB",$A1086,E$3,E$2,'Præsentationstabeller 1'!$C$2),0)</f>
        <v/>
      </c>
      <c r="F1086" t="str" vm="6875">
        <f>IFERROR(CUBEVALUE("BIDB",$A1086,F$3,F$2,'Præsentationstabeller 1'!$C$2),0)</f>
        <v/>
      </c>
      <c r="G1086" t="str" vm="3601">
        <f>IFERROR(CUBEVALUE("BIDB",$A1086,G$3,G$2,'Præsentationstabeller 1'!$C$2),0)</f>
        <v/>
      </c>
      <c r="H1086" t="str" vm="9772">
        <f>IFERROR(CUBEVALUE("BIDB",$A1086,H$3,H$2,'Præsentationstabeller 1'!$C$2),0)</f>
        <v/>
      </c>
      <c r="I1086" t="str" vm="6170">
        <f>IFERROR(CUBEVALUE("BIDB",$A1086,I$3,I$2,'Præsentationstabeller 1'!$C$2),0)</f>
        <v/>
      </c>
      <c r="J1086" t="str" vm="4757">
        <f>IFERROR(CUBEVALUE("BIDB",$A1086,J$3,J$2,'Præsentationstabeller 1'!$C$2),0)</f>
        <v/>
      </c>
      <c r="K1086" t="str" vm="10648">
        <f>IFERROR(CUBEVALUE("BIDB",$A1086,K$3,K$2,'Præsentationstabeller 1'!$C$2),0)</f>
        <v/>
      </c>
      <c r="L1086" t="str" vm="8456">
        <f>IFERROR(CUBEVALUE("BIDB",$A1086,L$3,L$2,'Præsentationstabeller 1'!$C$2),0)</f>
        <v/>
      </c>
    </row>
    <row r="1087" spans="1:12" x14ac:dyDescent="0.3">
      <c r="A1087" s="123" t="str" vm="249">
        <f>CUBEMEMBER("BIDB","[Dimittenddato].[Dimittenddato].&amp;[2018-08-11T00:00:00]")</f>
        <v>11-08-2018</v>
      </c>
      <c r="B1087" t="str" vm="4988">
        <f>IFERROR(CUBEVALUE("BIDB",$A1087,B$3,'Præsentationstabeller 1'!$C$2),0)</f>
        <v/>
      </c>
      <c r="C1087" t="str" vm="7898">
        <f>IFERROR(CUBEVALUE("BIDB",$A1087,C$3,C$2,'Præsentationstabeller 1'!$C$2),0)</f>
        <v/>
      </c>
      <c r="D1087" t="str" vm="11381">
        <f>IFERROR(CUBEVALUE("BIDB",$A1087,D$3,D$2,'Præsentationstabeller 1'!$C$2),0)</f>
        <v/>
      </c>
      <c r="E1087" t="str" vm="4787">
        <f>IFERROR(CUBEVALUE("BIDB",$A1087,E$3,E$2,'Præsentationstabeller 1'!$C$2),0)</f>
        <v/>
      </c>
      <c r="F1087" t="str" vm="4015">
        <f>IFERROR(CUBEVALUE("BIDB",$A1087,F$3,F$2,'Præsentationstabeller 1'!$C$2),0)</f>
        <v/>
      </c>
      <c r="G1087" t="str" vm="7371">
        <f>IFERROR(CUBEVALUE("BIDB",$A1087,G$3,G$2,'Præsentationstabeller 1'!$C$2),0)</f>
        <v/>
      </c>
      <c r="H1087" t="str" vm="16201">
        <f>IFERROR(CUBEVALUE("BIDB",$A1087,H$3,H$2,'Præsentationstabeller 1'!$C$2),0)</f>
        <v/>
      </c>
      <c r="I1087" t="str" vm="6880">
        <f>IFERROR(CUBEVALUE("BIDB",$A1087,I$3,I$2,'Præsentationstabeller 1'!$C$2),0)</f>
        <v/>
      </c>
      <c r="J1087" t="str" vm="5367">
        <f>IFERROR(CUBEVALUE("BIDB",$A1087,J$3,J$2,'Præsentationstabeller 1'!$C$2),0)</f>
        <v/>
      </c>
      <c r="K1087" t="str" vm="4573">
        <f>IFERROR(CUBEVALUE("BIDB",$A1087,K$3,K$2,'Præsentationstabeller 1'!$C$2),0)</f>
        <v/>
      </c>
      <c r="L1087" t="str" vm="11775">
        <f>IFERROR(CUBEVALUE("BIDB",$A1087,L$3,L$2,'Præsentationstabeller 1'!$C$2),0)</f>
        <v/>
      </c>
    </row>
    <row r="1088" spans="1:12" x14ac:dyDescent="0.3">
      <c r="A1088" s="123" t="str" vm="248">
        <f>CUBEMEMBER("BIDB","[Dimittenddato].[Dimittenddato].&amp;[2018-08-12T00:00:00]")</f>
        <v>12-08-2018</v>
      </c>
      <c r="B1088" t="str" vm="7507">
        <f>IFERROR(CUBEVALUE("BIDB",$A1088,B$3,'Præsentationstabeller 1'!$C$2),0)</f>
        <v/>
      </c>
      <c r="C1088" t="str" vm="7655">
        <f>IFERROR(CUBEVALUE("BIDB",$A1088,C$3,C$2,'Præsentationstabeller 1'!$C$2),0)</f>
        <v/>
      </c>
      <c r="D1088" t="str" vm="14520">
        <f>IFERROR(CUBEVALUE("BIDB",$A1088,D$3,D$2,'Præsentationstabeller 1'!$C$2),0)</f>
        <v/>
      </c>
      <c r="E1088" t="str" vm="6848">
        <f>IFERROR(CUBEVALUE("BIDB",$A1088,E$3,E$2,'Præsentationstabeller 1'!$C$2),0)</f>
        <v/>
      </c>
      <c r="F1088" t="str" vm="8283">
        <f>IFERROR(CUBEVALUE("BIDB",$A1088,F$3,F$2,'Præsentationstabeller 1'!$C$2),0)</f>
        <v/>
      </c>
      <c r="G1088" t="str" vm="3486">
        <f>IFERROR(CUBEVALUE("BIDB",$A1088,G$3,G$2,'Præsentationstabeller 1'!$C$2),0)</f>
        <v/>
      </c>
      <c r="H1088" t="str" vm="9616">
        <f>IFERROR(CUBEVALUE("BIDB",$A1088,H$3,H$2,'Præsentationstabeller 1'!$C$2),0)</f>
        <v/>
      </c>
      <c r="I1088" t="str" vm="16398">
        <f>IFERROR(CUBEVALUE("BIDB",$A1088,I$3,I$2,'Præsentationstabeller 1'!$C$2),0)</f>
        <v/>
      </c>
      <c r="J1088" t="str" vm="5454">
        <f>IFERROR(CUBEVALUE("BIDB",$A1088,J$3,J$2,'Præsentationstabeller 1'!$C$2),0)</f>
        <v/>
      </c>
      <c r="K1088" t="str" vm="4888">
        <f>IFERROR(CUBEVALUE("BIDB",$A1088,K$3,K$2,'Præsentationstabeller 1'!$C$2),0)</f>
        <v/>
      </c>
      <c r="L1088" t="str" vm="11584">
        <f>IFERROR(CUBEVALUE("BIDB",$A1088,L$3,L$2,'Præsentationstabeller 1'!$C$2),0)</f>
        <v/>
      </c>
    </row>
    <row r="1089" spans="1:12" x14ac:dyDescent="0.3">
      <c r="A1089" s="123" t="str" vm="247">
        <f>CUBEMEMBER("BIDB","[Dimittenddato].[Dimittenddato].&amp;[2018-08-13T00:00:00]")</f>
        <v>13-08-2018</v>
      </c>
      <c r="B1089" t="str" vm="8485">
        <f>IFERROR(CUBEVALUE("BIDB",$A1089,B$3,'Præsentationstabeller 1'!$C$2),0)</f>
        <v/>
      </c>
      <c r="C1089" t="str" vm="6340">
        <f>IFERROR(CUBEVALUE("BIDB",$A1089,C$3,C$2,'Præsentationstabeller 1'!$C$2),0)</f>
        <v/>
      </c>
      <c r="D1089" t="str" vm="15506">
        <f>IFERROR(CUBEVALUE("BIDB",$A1089,D$3,D$2,'Præsentationstabeller 1'!$C$2),0)</f>
        <v/>
      </c>
      <c r="E1089" t="str" vm="5719">
        <f>IFERROR(CUBEVALUE("BIDB",$A1089,E$3,E$2,'Præsentationstabeller 1'!$C$2),0)</f>
        <v/>
      </c>
      <c r="F1089" t="str" vm="4494">
        <f>IFERROR(CUBEVALUE("BIDB",$A1089,F$3,F$2,'Præsentationstabeller 1'!$C$2),0)</f>
        <v/>
      </c>
      <c r="G1089" t="str" vm="6493">
        <f>IFERROR(CUBEVALUE("BIDB",$A1089,G$3,G$2,'Præsentationstabeller 1'!$C$2),0)</f>
        <v/>
      </c>
      <c r="H1089" t="str" vm="13405">
        <f>IFERROR(CUBEVALUE("BIDB",$A1089,H$3,H$2,'Præsentationstabeller 1'!$C$2),0)</f>
        <v/>
      </c>
      <c r="I1089" t="str" vm="5350">
        <f>IFERROR(CUBEVALUE("BIDB",$A1089,I$3,I$2,'Præsentationstabeller 1'!$C$2),0)</f>
        <v/>
      </c>
      <c r="J1089" t="str" vm="6750">
        <f>IFERROR(CUBEVALUE("BIDB",$A1089,J$3,J$2,'Præsentationstabeller 1'!$C$2),0)</f>
        <v/>
      </c>
      <c r="K1089" t="str" vm="5741">
        <f>IFERROR(CUBEVALUE("BIDB",$A1089,K$3,K$2,'Præsentationstabeller 1'!$C$2),0)</f>
        <v/>
      </c>
      <c r="L1089" t="str" vm="15281">
        <f>IFERROR(CUBEVALUE("BIDB",$A1089,L$3,L$2,'Præsentationstabeller 1'!$C$2),0)</f>
        <v/>
      </c>
    </row>
    <row r="1090" spans="1:12" x14ac:dyDescent="0.3">
      <c r="A1090" s="123" t="str" vm="246">
        <f>CUBEMEMBER("BIDB","[Dimittenddato].[Dimittenddato].&amp;[2018-08-14T00:00:00]")</f>
        <v>14-08-2018</v>
      </c>
      <c r="B1090" t="str" vm="3333">
        <f>IFERROR(CUBEVALUE("BIDB",$A1090,B$3,'Præsentationstabeller 1'!$C$2),0)</f>
        <v/>
      </c>
      <c r="C1090" t="str" vm="6878">
        <f>IFERROR(CUBEVALUE("BIDB",$A1090,C$3,C$2,'Præsentationstabeller 1'!$C$2),0)</f>
        <v/>
      </c>
      <c r="D1090" t="str" vm="13323">
        <f>IFERROR(CUBEVALUE("BIDB",$A1090,D$3,D$2,'Præsentationstabeller 1'!$C$2),0)</f>
        <v/>
      </c>
      <c r="E1090" t="str" vm="6220">
        <f>IFERROR(CUBEVALUE("BIDB",$A1090,E$3,E$2,'Præsentationstabeller 1'!$C$2),0)</f>
        <v/>
      </c>
      <c r="F1090" t="str" vm="3265">
        <f>IFERROR(CUBEVALUE("BIDB",$A1090,F$3,F$2,'Præsentationstabeller 1'!$C$2),0)</f>
        <v/>
      </c>
      <c r="G1090" t="str" vm="4972">
        <f>IFERROR(CUBEVALUE("BIDB",$A1090,G$3,G$2,'Præsentationstabeller 1'!$C$2),0)</f>
        <v/>
      </c>
      <c r="H1090" t="str" vm="14369">
        <f>IFERROR(CUBEVALUE("BIDB",$A1090,H$3,H$2,'Præsentationstabeller 1'!$C$2),0)</f>
        <v/>
      </c>
      <c r="I1090" t="str" vm="8313">
        <f>IFERROR(CUBEVALUE("BIDB",$A1090,I$3,I$2,'Præsentationstabeller 1'!$C$2),0)</f>
        <v/>
      </c>
      <c r="J1090" t="str" vm="4642">
        <f>IFERROR(CUBEVALUE("BIDB",$A1090,J$3,J$2,'Præsentationstabeller 1'!$C$2),0)</f>
        <v/>
      </c>
      <c r="K1090" t="str" vm="5333">
        <f>IFERROR(CUBEVALUE("BIDB",$A1090,K$3,K$2,'Præsentationstabeller 1'!$C$2),0)</f>
        <v/>
      </c>
      <c r="L1090" t="str" vm="9404">
        <f>IFERROR(CUBEVALUE("BIDB",$A1090,L$3,L$2,'Præsentationstabeller 1'!$C$2),0)</f>
        <v/>
      </c>
    </row>
    <row r="1091" spans="1:12" x14ac:dyDescent="0.3">
      <c r="A1091" s="123" t="str" vm="245">
        <f>CUBEMEMBER("BIDB","[Dimittenddato].[Dimittenddato].&amp;[2018-08-15T00:00:00]")</f>
        <v>15-08-2018</v>
      </c>
      <c r="B1091" t="str" vm="3365">
        <f>IFERROR(CUBEVALUE("BIDB",$A1091,B$3,'Præsentationstabeller 1'!$C$2),0)</f>
        <v/>
      </c>
      <c r="C1091" t="str" vm="6917">
        <f>IFERROR(CUBEVALUE("BIDB",$A1091,C$3,C$2,'Præsentationstabeller 1'!$C$2),0)</f>
        <v/>
      </c>
      <c r="D1091" t="str" vm="15162">
        <f>IFERROR(CUBEVALUE("BIDB",$A1091,D$3,D$2,'Præsentationstabeller 1'!$C$2),0)</f>
        <v/>
      </c>
      <c r="E1091" t="str" vm="4578">
        <f>IFERROR(CUBEVALUE("BIDB",$A1091,E$3,E$2,'Præsentationstabeller 1'!$C$2),0)</f>
        <v/>
      </c>
      <c r="F1091" t="str" vm="4812">
        <f>IFERROR(CUBEVALUE("BIDB",$A1091,F$3,F$2,'Præsentationstabeller 1'!$C$2),0)</f>
        <v/>
      </c>
      <c r="G1091" t="str" vm="5713">
        <f>IFERROR(CUBEVALUE("BIDB",$A1091,G$3,G$2,'Præsentationstabeller 1'!$C$2),0)</f>
        <v/>
      </c>
      <c r="H1091" t="str" vm="15470">
        <f>IFERROR(CUBEVALUE("BIDB",$A1091,H$3,H$2,'Præsentationstabeller 1'!$C$2),0)</f>
        <v/>
      </c>
      <c r="I1091" t="str" vm="4908">
        <f>IFERROR(CUBEVALUE("BIDB",$A1091,I$3,I$2,'Præsentationstabeller 1'!$C$2),0)</f>
        <v/>
      </c>
      <c r="J1091" t="str" vm="5494">
        <f>IFERROR(CUBEVALUE("BIDB",$A1091,J$3,J$2,'Præsentationstabeller 1'!$C$2),0)</f>
        <v/>
      </c>
      <c r="K1091" t="str" vm="5293">
        <f>IFERROR(CUBEVALUE("BIDB",$A1091,K$3,K$2,'Præsentationstabeller 1'!$C$2),0)</f>
        <v/>
      </c>
      <c r="L1091" t="str" vm="12336">
        <f>IFERROR(CUBEVALUE("BIDB",$A1091,L$3,L$2,'Præsentationstabeller 1'!$C$2),0)</f>
        <v/>
      </c>
    </row>
    <row r="1092" spans="1:12" x14ac:dyDescent="0.3">
      <c r="A1092" s="123" t="str" vm="244">
        <f>CUBEMEMBER("BIDB","[Dimittenddato].[Dimittenddato].&amp;[2018-08-16T00:00:00]")</f>
        <v>16-08-2018</v>
      </c>
      <c r="B1092" t="str" vm="3218">
        <f>IFERROR(CUBEVALUE("BIDB",$A1092,B$3,'Præsentationstabeller 1'!$C$2),0)</f>
        <v/>
      </c>
      <c r="C1092" t="str" vm="4582">
        <f>IFERROR(CUBEVALUE("BIDB",$A1092,C$3,C$2,'Præsentationstabeller 1'!$C$2),0)</f>
        <v/>
      </c>
      <c r="D1092" t="str" vm="16821">
        <f>IFERROR(CUBEVALUE("BIDB",$A1092,D$3,D$2,'Præsentationstabeller 1'!$C$2),0)</f>
        <v/>
      </c>
      <c r="E1092" t="str" vm="5167">
        <f>IFERROR(CUBEVALUE("BIDB",$A1092,E$3,E$2,'Præsentationstabeller 1'!$C$2),0)</f>
        <v/>
      </c>
      <c r="F1092" t="str" vm="6232">
        <f>IFERROR(CUBEVALUE("BIDB",$A1092,F$3,F$2,'Præsentationstabeller 1'!$C$2),0)</f>
        <v/>
      </c>
      <c r="G1092" t="str" vm="7996">
        <f>IFERROR(CUBEVALUE("BIDB",$A1092,G$3,G$2,'Præsentationstabeller 1'!$C$2),0)</f>
        <v/>
      </c>
      <c r="H1092" t="str" vm="13709">
        <f>IFERROR(CUBEVALUE("BIDB",$A1092,H$3,H$2,'Præsentationstabeller 1'!$C$2),0)</f>
        <v/>
      </c>
      <c r="I1092" t="str" vm="12941">
        <f>IFERROR(CUBEVALUE("BIDB",$A1092,I$3,I$2,'Præsentationstabeller 1'!$C$2),0)</f>
        <v/>
      </c>
      <c r="J1092" t="str" vm="4029">
        <f>IFERROR(CUBEVALUE("BIDB",$A1092,J$3,J$2,'Præsentationstabeller 1'!$C$2),0)</f>
        <v/>
      </c>
      <c r="K1092" t="str" vm="4600">
        <f>IFERROR(CUBEVALUE("BIDB",$A1092,K$3,K$2,'Præsentationstabeller 1'!$C$2),0)</f>
        <v/>
      </c>
      <c r="L1092" t="str" vm="12019">
        <f>IFERROR(CUBEVALUE("BIDB",$A1092,L$3,L$2,'Præsentationstabeller 1'!$C$2),0)</f>
        <v/>
      </c>
    </row>
    <row r="1093" spans="1:12" x14ac:dyDescent="0.3">
      <c r="A1093" s="123" t="str" vm="243">
        <f>CUBEMEMBER("BIDB","[Dimittenddato].[Dimittenddato].&amp;[2018-08-17T00:00:00]")</f>
        <v>17-08-2018</v>
      </c>
      <c r="B1093" t="str" vm="3250">
        <f>IFERROR(CUBEVALUE("BIDB",$A1093,B$3,'Præsentationstabeller 1'!$C$2),0)</f>
        <v/>
      </c>
      <c r="C1093" t="str" vm="6661">
        <f>IFERROR(CUBEVALUE("BIDB",$A1093,C$3,C$2,'Præsentationstabeller 1'!$C$2),0)</f>
        <v/>
      </c>
      <c r="D1093" t="str" vm="15929">
        <f>IFERROR(CUBEVALUE("BIDB",$A1093,D$3,D$2,'Præsentationstabeller 1'!$C$2),0)</f>
        <v/>
      </c>
      <c r="E1093" t="str" vm="5338">
        <f>IFERROR(CUBEVALUE("BIDB",$A1093,E$3,E$2,'Præsentationstabeller 1'!$C$2),0)</f>
        <v/>
      </c>
      <c r="F1093" t="str" vm="4379">
        <f>IFERROR(CUBEVALUE("BIDB",$A1093,F$3,F$2,'Præsentationstabeller 1'!$C$2),0)</f>
        <v/>
      </c>
      <c r="G1093" t="str" vm="4633">
        <f>IFERROR(CUBEVALUE("BIDB",$A1093,G$3,G$2,'Præsentationstabeller 1'!$C$2),0)</f>
        <v/>
      </c>
      <c r="H1093" t="str" vm="12499">
        <f>IFERROR(CUBEVALUE("BIDB",$A1093,H$3,H$2,'Præsentationstabeller 1'!$C$2),0)</f>
        <v/>
      </c>
      <c r="I1093" t="str" vm="7798">
        <f>IFERROR(CUBEVALUE("BIDB",$A1093,I$3,I$2,'Præsentationstabeller 1'!$C$2),0)</f>
        <v/>
      </c>
      <c r="J1093" t="str" vm="4354">
        <f>IFERROR(CUBEVALUE("BIDB",$A1093,J$3,J$2,'Præsentationstabeller 1'!$C$2),0)</f>
        <v/>
      </c>
      <c r="K1093" t="str" vm="4750">
        <f>IFERROR(CUBEVALUE("BIDB",$A1093,K$3,K$2,'Præsentationstabeller 1'!$C$2),0)</f>
        <v/>
      </c>
      <c r="L1093" t="str" vm="12639">
        <f>IFERROR(CUBEVALUE("BIDB",$A1093,L$3,L$2,'Præsentationstabeller 1'!$C$2),0)</f>
        <v/>
      </c>
    </row>
    <row r="1094" spans="1:12" x14ac:dyDescent="0.3">
      <c r="A1094" s="123" t="str" vm="242">
        <f>CUBEMEMBER("BIDB","[Dimittenddato].[Dimittenddato].&amp;[2018-08-18T00:00:00]")</f>
        <v>18-08-2018</v>
      </c>
      <c r="B1094" t="str" vm="4703">
        <f>IFERROR(CUBEVALUE("BIDB",$A1094,B$3,'Præsentationstabeller 1'!$C$2),0)</f>
        <v/>
      </c>
      <c r="C1094" t="str" vm="4900">
        <f>IFERROR(CUBEVALUE("BIDB",$A1094,C$3,C$2,'Præsentationstabeller 1'!$C$2),0)</f>
        <v/>
      </c>
      <c r="D1094" t="str" vm="17148">
        <f>IFERROR(CUBEVALUE("BIDB",$A1094,D$3,D$2,'Præsentationstabeller 1'!$C$2),0)</f>
        <v/>
      </c>
      <c r="E1094" t="str" vm="6026">
        <f>IFERROR(CUBEVALUE("BIDB",$A1094,E$3,E$2,'Præsentationstabeller 1'!$C$2),0)</f>
        <v/>
      </c>
      <c r="F1094" t="str" vm="5360">
        <f>IFERROR(CUBEVALUE("BIDB",$A1094,F$3,F$2,'Præsentationstabeller 1'!$C$2),0)</f>
        <v/>
      </c>
      <c r="G1094" t="str" vm="3349">
        <f>IFERROR(CUBEVALUE("BIDB",$A1094,G$3,G$2,'Præsentationstabeller 1'!$C$2),0)</f>
        <v/>
      </c>
      <c r="H1094" t="str" vm="10140">
        <f>IFERROR(CUBEVALUE("BIDB",$A1094,H$3,H$2,'Præsentationstabeller 1'!$C$2),0)</f>
        <v/>
      </c>
      <c r="I1094" t="str" vm="7941">
        <f>IFERROR(CUBEVALUE("BIDB",$A1094,I$3,I$2,'Præsentationstabeller 1'!$C$2),0)</f>
        <v/>
      </c>
      <c r="J1094" t="str" vm="4508">
        <f>IFERROR(CUBEVALUE("BIDB",$A1094,J$3,J$2,'Præsentationstabeller 1'!$C$2),0)</f>
        <v/>
      </c>
      <c r="K1094" t="str" vm="7279">
        <f>IFERROR(CUBEVALUE("BIDB",$A1094,K$3,K$2,'Præsentationstabeller 1'!$C$2),0)</f>
        <v/>
      </c>
      <c r="L1094" t="str" vm="9875">
        <f>IFERROR(CUBEVALUE("BIDB",$A1094,L$3,L$2,'Præsentationstabeller 1'!$C$2),0)</f>
        <v/>
      </c>
    </row>
    <row r="1095" spans="1:12" x14ac:dyDescent="0.3">
      <c r="A1095" s="123" t="str" vm="241">
        <f>CUBEMEMBER("BIDB","[Dimittenddato].[Dimittenddato].&amp;[2018-08-19T00:00:00]")</f>
        <v>19-08-2018</v>
      </c>
      <c r="B1095" t="str" vm="4735">
        <f>IFERROR(CUBEVALUE("BIDB",$A1095,B$3,'Præsentationstabeller 1'!$C$2),0)</f>
        <v/>
      </c>
      <c r="C1095" t="str" vm="5173">
        <f>IFERROR(CUBEVALUE("BIDB",$A1095,C$3,C$2,'Præsentationstabeller 1'!$C$2),0)</f>
        <v/>
      </c>
      <c r="D1095" t="str" vm="11786">
        <f>IFERROR(CUBEVALUE("BIDB",$A1095,D$3,D$2,'Præsentationstabeller 1'!$C$2),0)</f>
        <v/>
      </c>
      <c r="E1095" t="str" vm="4538">
        <f>IFERROR(CUBEVALUE("BIDB",$A1095,E$3,E$2,'Præsentationstabeller 1'!$C$2),0)</f>
        <v/>
      </c>
      <c r="F1095" t="str" vm="3762">
        <f>IFERROR(CUBEVALUE("BIDB",$A1095,F$3,F$2,'Præsentationstabeller 1'!$C$2),0)</f>
        <v/>
      </c>
      <c r="G1095" t="str" vm="6981">
        <f>IFERROR(CUBEVALUE("BIDB",$A1095,G$3,G$2,'Præsentationstabeller 1'!$C$2),0)</f>
        <v/>
      </c>
      <c r="H1095" t="str" vm="11386">
        <f>IFERROR(CUBEVALUE("BIDB",$A1095,H$3,H$2,'Præsentationstabeller 1'!$C$2),0)</f>
        <v/>
      </c>
      <c r="I1095" t="str" vm="5761">
        <f>IFERROR(CUBEVALUE("BIDB",$A1095,I$3,I$2,'Præsentationstabeller 1'!$C$2),0)</f>
        <v/>
      </c>
      <c r="J1095" t="str" vm="6130">
        <f>IFERROR(CUBEVALUE("BIDB",$A1095,J$3,J$2,'Præsentationstabeller 1'!$C$2),0)</f>
        <v/>
      </c>
      <c r="K1095" t="str" vm="4780">
        <f>IFERROR(CUBEVALUE("BIDB",$A1095,K$3,K$2,'Præsentationstabeller 1'!$C$2),0)</f>
        <v/>
      </c>
      <c r="L1095" t="str" vm="11951">
        <f>IFERROR(CUBEVALUE("BIDB",$A1095,L$3,L$2,'Præsentationstabeller 1'!$C$2),0)</f>
        <v/>
      </c>
    </row>
    <row r="1096" spans="1:12" x14ac:dyDescent="0.3">
      <c r="A1096" s="123" t="str" vm="240">
        <f>CUBEMEMBER("BIDB","[Dimittenddato].[Dimittenddato].&amp;[2018-08-20T00:00:00]")</f>
        <v>20-08-2018</v>
      </c>
      <c r="B1096" t="str" vm="5949">
        <f>IFERROR(CUBEVALUE("BIDB",$A1096,B$3,'Præsentationstabeller 1'!$C$2),0)</f>
        <v/>
      </c>
      <c r="C1096" t="str" vm="8774">
        <f>IFERROR(CUBEVALUE("BIDB",$A1096,C$3,C$2,'Præsentationstabeller 1'!$C$2),0)</f>
        <v/>
      </c>
      <c r="D1096" t="str" vm="10783">
        <f>IFERROR(CUBEVALUE("BIDB",$A1096,D$3,D$2,'Præsentationstabeller 1'!$C$2),0)</f>
        <v/>
      </c>
      <c r="E1096" t="str" vm="6816">
        <f>IFERROR(CUBEVALUE("BIDB",$A1096,E$3,E$2,'Præsentationstabeller 1'!$C$2),0)</f>
        <v/>
      </c>
      <c r="F1096" t="str" vm="7243">
        <f>IFERROR(CUBEVALUE("BIDB",$A1096,F$3,F$2,'Præsentationstabeller 1'!$C$2),0)</f>
        <v/>
      </c>
      <c r="G1096" t="str" vm="3234">
        <f>IFERROR(CUBEVALUE("BIDB",$A1096,G$3,G$2,'Præsentationstabeller 1'!$C$2),0)</f>
        <v/>
      </c>
      <c r="H1096" t="str" vm="16024">
        <f>IFERROR(CUBEVALUE("BIDB",$A1096,H$3,H$2,'Præsentationstabeller 1'!$C$2),0)</f>
        <v/>
      </c>
      <c r="I1096" t="str" vm="10298">
        <f>IFERROR(CUBEVALUE("BIDB",$A1096,I$3,I$2,'Præsentationstabeller 1'!$C$2),0)</f>
        <v/>
      </c>
      <c r="J1096" t="str" vm="4314">
        <f>IFERROR(CUBEVALUE("BIDB",$A1096,J$3,J$2,'Præsentationstabeller 1'!$C$2),0)</f>
        <v/>
      </c>
      <c r="K1096" t="str" vm="5706">
        <f>IFERROR(CUBEVALUE("BIDB",$A1096,K$3,K$2,'Præsentationstabeller 1'!$C$2),0)</f>
        <v/>
      </c>
      <c r="L1096" t="str" vm="15544">
        <f>IFERROR(CUBEVALUE("BIDB",$A1096,L$3,L$2,'Præsentationstabeller 1'!$C$2),0)</f>
        <v/>
      </c>
    </row>
    <row r="1097" spans="1:12" x14ac:dyDescent="0.3">
      <c r="A1097" s="123" t="str" vm="239">
        <f>CUBEMEMBER("BIDB","[Dimittenddato].[Dimittenddato].&amp;[2018-08-21T00:00:00]")</f>
        <v>21-08-2018</v>
      </c>
      <c r="B1097" t="str" vm="5957">
        <f>IFERROR(CUBEVALUE("BIDB",$A1097,B$3,'Præsentationstabeller 1'!$C$2),0)</f>
        <v/>
      </c>
      <c r="C1097" t="str" vm="6032">
        <f>IFERROR(CUBEVALUE("BIDB",$A1097,C$3,C$2,'Præsentationstabeller 1'!$C$2),0)</f>
        <v/>
      </c>
      <c r="D1097" t="str" vm="13728">
        <f>IFERROR(CUBEVALUE("BIDB",$A1097,D$3,D$2,'Præsentationstabeller 1'!$C$2),0)</f>
        <v/>
      </c>
      <c r="E1097" t="str" vm="6488">
        <f>IFERROR(CUBEVALUE("BIDB",$A1097,E$3,E$2,'Præsentationstabeller 1'!$C$2),0)</f>
        <v/>
      </c>
      <c r="F1097" t="str" vm="4242">
        <f>IFERROR(CUBEVALUE("BIDB",$A1097,F$3,F$2,'Præsentationstabeller 1'!$C$2),0)</f>
        <v/>
      </c>
      <c r="G1097" t="str" vm="5485">
        <f>IFERROR(CUBEVALUE("BIDB",$A1097,G$3,G$2,'Præsentationstabeller 1'!$C$2),0)</f>
        <v/>
      </c>
      <c r="H1097" t="str" vm="15737">
        <f>IFERROR(CUBEVALUE("BIDB",$A1097,H$3,H$2,'Præsentationstabeller 1'!$C$2),0)</f>
        <v/>
      </c>
      <c r="I1097" t="str" vm="6491">
        <f>IFERROR(CUBEVALUE("BIDB",$A1097,I$3,I$2,'Præsentationstabeller 1'!$C$2),0)</f>
        <v/>
      </c>
      <c r="J1097" t="str" vm="8251">
        <f>IFERROR(CUBEVALUE("BIDB",$A1097,J$3,J$2,'Præsentationstabeller 1'!$C$2),0)</f>
        <v/>
      </c>
      <c r="K1097" t="str" vm="7002">
        <f>IFERROR(CUBEVALUE("BIDB",$A1097,K$3,K$2,'Præsentationstabeller 1'!$C$2),0)</f>
        <v/>
      </c>
      <c r="L1097" t="str" vm="15175">
        <f>IFERROR(CUBEVALUE("BIDB",$A1097,L$3,L$2,'Præsentationstabeller 1'!$C$2),0)</f>
        <v/>
      </c>
    </row>
    <row r="1098" spans="1:12" x14ac:dyDescent="0.3">
      <c r="A1098" s="123" t="str" vm="238">
        <f>CUBEMEMBER("BIDB","[Dimittenddato].[Dimittenddato].&amp;[2018-08-22T00:00:00]")</f>
        <v>22-08-2018</v>
      </c>
      <c r="B1098" t="str" vm="4089">
        <f>IFERROR(CUBEVALUE("BIDB",$A1098,B$3,'Præsentationstabeller 1'!$C$2),0)</f>
        <v/>
      </c>
      <c r="C1098" t="str" vm="5753">
        <f>IFERROR(CUBEVALUE("BIDB",$A1098,C$3,C$2,'Præsentationstabeller 1'!$C$2),0)</f>
        <v/>
      </c>
      <c r="D1098" t="str" vm="9325">
        <f>IFERROR(CUBEVALUE("BIDB",$A1098,D$3,D$2,'Præsentationstabeller 1'!$C$2),0)</f>
        <v/>
      </c>
      <c r="E1098" t="str" vm="8773">
        <f>IFERROR(CUBEVALUE("BIDB",$A1098,E$3,E$2,'Præsentationstabeller 1'!$C$2),0)</f>
        <v/>
      </c>
      <c r="F1098" t="str" vm="4635">
        <f>IFERROR(CUBEVALUE("BIDB",$A1098,F$3,F$2,'Præsentationstabeller 1'!$C$2),0)</f>
        <v/>
      </c>
      <c r="G1098" t="str" vm="4719">
        <f>IFERROR(CUBEVALUE("BIDB",$A1098,G$3,G$2,'Præsentationstabeller 1'!$C$2),0)</f>
        <v/>
      </c>
      <c r="H1098" t="str" vm="12080">
        <f>IFERROR(CUBEVALUE("BIDB",$A1098,H$3,H$2,'Præsentationstabeller 1'!$C$2),0)</f>
        <v/>
      </c>
      <c r="I1098" t="str" vm="8640">
        <f>IFERROR(CUBEVALUE("BIDB",$A1098,I$3,I$2,'Præsentationstabeller 1'!$C$2),0)</f>
        <v/>
      </c>
      <c r="J1098" t="str" vm="4393">
        <f>IFERROR(CUBEVALUE("BIDB",$A1098,J$3,J$2,'Præsentationstabeller 1'!$C$2),0)</f>
        <v/>
      </c>
      <c r="K1098" t="str" vm="5460">
        <f>IFERROR(CUBEVALUE("BIDB",$A1098,K$3,K$2,'Præsentationstabeller 1'!$C$2),0)</f>
        <v/>
      </c>
      <c r="L1098" t="str" vm="10103">
        <f>IFERROR(CUBEVALUE("BIDB",$A1098,L$3,L$2,'Præsentationstabeller 1'!$C$2),0)</f>
        <v/>
      </c>
    </row>
    <row r="1099" spans="1:12" x14ac:dyDescent="0.3">
      <c r="A1099" s="123" t="str" vm="237">
        <f>CUBEMEMBER("BIDB","[Dimittenddato].[Dimittenddato].&amp;[2018-08-23T00:00:00]")</f>
        <v>23-08-2018</v>
      </c>
      <c r="B1099" t="str" vm="4121">
        <f>IFERROR(CUBEVALUE("BIDB",$A1099,B$3,'Præsentationstabeller 1'!$C$2),0)</f>
        <v/>
      </c>
      <c r="C1099" t="str" vm="9222">
        <f>IFERROR(CUBEVALUE("BIDB",$A1099,C$3,C$2,'Præsentationstabeller 1'!$C$2),0)</f>
        <v/>
      </c>
      <c r="D1099" t="str" vm="10931">
        <f>IFERROR(CUBEVALUE("BIDB",$A1099,D$3,D$2,'Præsentationstabeller 1'!$C$2),0)</f>
        <v/>
      </c>
      <c r="E1099" t="str" vm="5465">
        <f>IFERROR(CUBEVALUE("BIDB",$A1099,E$3,E$2,'Præsentationstabeller 1'!$C$2),0)</f>
        <v/>
      </c>
      <c r="F1099" t="str" vm="5578">
        <f>IFERROR(CUBEVALUE("BIDB",$A1099,F$3,F$2,'Præsentationstabeller 1'!$C$2),0)</f>
        <v/>
      </c>
      <c r="G1099" t="str" vm="4663">
        <f>IFERROR(CUBEVALUE("BIDB",$A1099,G$3,G$2,'Præsentationstabeller 1'!$C$2),0)</f>
        <v/>
      </c>
      <c r="H1099" t="str" vm="12344">
        <f>IFERROR(CUBEVALUE("BIDB",$A1099,H$3,H$2,'Præsentationstabeller 1'!$C$2),0)</f>
        <v/>
      </c>
      <c r="I1099" t="str" vm="3285">
        <f>IFERROR(CUBEVALUE("BIDB",$A1099,I$3,I$2,'Præsentationstabeller 1'!$C$2),0)</f>
        <v/>
      </c>
      <c r="J1099" t="str" vm="5239">
        <f>IFERROR(CUBEVALUE("BIDB",$A1099,J$3,J$2,'Præsentationstabeller 1'!$C$2),0)</f>
        <v/>
      </c>
      <c r="K1099" t="str" vm="6474">
        <f>IFERROR(CUBEVALUE("BIDB",$A1099,K$3,K$2,'Præsentationstabeller 1'!$C$2),0)</f>
        <v/>
      </c>
      <c r="L1099" t="str" vm="10852">
        <f>IFERROR(CUBEVALUE("BIDB",$A1099,L$3,L$2,'Præsentationstabeller 1'!$C$2),0)</f>
        <v/>
      </c>
    </row>
    <row r="1100" spans="1:12" x14ac:dyDescent="0.3">
      <c r="A1100" s="123" t="str" vm="236">
        <f>CUBEMEMBER("BIDB","[Dimittenddato].[Dimittenddato].&amp;[2018-08-24T00:00:00]")</f>
        <v>24-08-2018</v>
      </c>
      <c r="B1100" t="str" vm="3975">
        <f>IFERROR(CUBEVALUE("BIDB",$A1100,B$3,'Præsentationstabeller 1'!$C$2),0)</f>
        <v/>
      </c>
      <c r="C1100" t="str" vm="5342">
        <f>IFERROR(CUBEVALUE("BIDB",$A1100,C$3,C$2,'Præsentationstabeller 1'!$C$2),0)</f>
        <v/>
      </c>
      <c r="D1100" t="str" vm="14703">
        <f>IFERROR(CUBEVALUE("BIDB",$A1100,D$3,D$2,'Præsentationstabeller 1'!$C$2),0)</f>
        <v/>
      </c>
      <c r="E1100" t="str" vm="6188">
        <f>IFERROR(CUBEVALUE("BIDB",$A1100,E$3,E$2,'Præsentationstabeller 1'!$C$2),0)</f>
        <v/>
      </c>
      <c r="F1100" t="str" vm="4320">
        <f>IFERROR(CUBEVALUE("BIDB",$A1100,F$3,F$2,'Præsentationstabeller 1'!$C$2),0)</f>
        <v/>
      </c>
      <c r="G1100" t="str" vm="5953">
        <f>IFERROR(CUBEVALUE("BIDB",$A1100,G$3,G$2,'Præsentationstabeller 1'!$C$2),0)</f>
        <v/>
      </c>
      <c r="H1100" t="str" vm="11711">
        <f>IFERROR(CUBEVALUE("BIDB",$A1100,H$3,H$2,'Præsentationstabeller 1'!$C$2),0)</f>
        <v/>
      </c>
      <c r="I1100" t="str" vm="8305">
        <f>IFERROR(CUBEVALUE("BIDB",$A1100,I$3,I$2,'Præsentationstabeller 1'!$C$2),0)</f>
        <v/>
      </c>
      <c r="J1100" t="str" vm="3776">
        <f>IFERROR(CUBEVALUE("BIDB",$A1100,J$3,J$2,'Præsentationstabeller 1'!$C$2),0)</f>
        <v/>
      </c>
      <c r="K1100" t="str" vm="5487">
        <f>IFERROR(CUBEVALUE("BIDB",$A1100,K$3,K$2,'Præsentationstabeller 1'!$C$2),0)</f>
        <v/>
      </c>
      <c r="L1100" t="str" vm="8347">
        <f>IFERROR(CUBEVALUE("BIDB",$A1100,L$3,L$2,'Præsentationstabeller 1'!$C$2),0)</f>
        <v/>
      </c>
    </row>
    <row r="1101" spans="1:12" x14ac:dyDescent="0.3">
      <c r="A1101" s="123" t="str" vm="235">
        <f>CUBEMEMBER("BIDB","[Dimittenddato].[Dimittenddato].&amp;[2018-08-25T00:00:00]")</f>
        <v>25-08-2018</v>
      </c>
      <c r="B1101" t="str" vm="4007">
        <f>IFERROR(CUBEVALUE("BIDB",$A1101,B$3,'Præsentationstabeller 1'!$C$2),0)</f>
        <v/>
      </c>
      <c r="C1101" t="str" vm="6308">
        <f>IFERROR(CUBEVALUE("BIDB",$A1101,C$3,C$2,'Præsentationstabeller 1'!$C$2),0)</f>
        <v/>
      </c>
      <c r="D1101" t="str" vm="11735">
        <f>IFERROR(CUBEVALUE("BIDB",$A1101,D$3,D$2,'Præsentationstabeller 1'!$C$2),0)</f>
        <v/>
      </c>
      <c r="E1101" t="str" vm="4325">
        <f>IFERROR(CUBEVALUE("BIDB",$A1101,E$3,E$2,'Præsentationstabeller 1'!$C$2),0)</f>
        <v/>
      </c>
      <c r="F1101" t="str" vm="4130">
        <f>IFERROR(CUBEVALUE("BIDB",$A1101,F$3,F$2,'Præsentationstabeller 1'!$C$2),0)</f>
        <v/>
      </c>
      <c r="G1101" t="str" vm="4020">
        <f>IFERROR(CUBEVALUE("BIDB",$A1101,G$3,G$2,'Præsentationstabeller 1'!$C$2),0)</f>
        <v/>
      </c>
      <c r="H1101" t="str" vm="11697">
        <f>IFERROR(CUBEVALUE("BIDB",$A1101,H$3,H$2,'Præsentationstabeller 1'!$C$2),0)</f>
        <v/>
      </c>
      <c r="I1101" t="str" vm="5298">
        <f>IFERROR(CUBEVALUE("BIDB",$A1101,I$3,I$2,'Præsentationstabeller 1'!$C$2),0)</f>
        <v/>
      </c>
      <c r="J1101" t="str" vm="5108">
        <f>IFERROR(CUBEVALUE("BIDB",$A1101,J$3,J$2,'Præsentationstabeller 1'!$C$2),0)</f>
        <v/>
      </c>
      <c r="K1101" t="str" vm="4022">
        <f>IFERROR(CUBEVALUE("BIDB",$A1101,K$3,K$2,'Præsentationstabeller 1'!$C$2),0)</f>
        <v/>
      </c>
      <c r="L1101" t="str" vm="8126">
        <f>IFERROR(CUBEVALUE("BIDB",$A1101,L$3,L$2,'Præsentationstabeller 1'!$C$2),0)</f>
        <v/>
      </c>
    </row>
    <row r="1102" spans="1:12" x14ac:dyDescent="0.3">
      <c r="A1102" s="123" t="str" vm="234">
        <f>CUBEMEMBER("BIDB","[Dimittenddato].[Dimittenddato].&amp;[2018-08-26T00:00:00]")</f>
        <v>26-08-2018</v>
      </c>
      <c r="B1102" t="str" vm="4454">
        <f>IFERROR(CUBEVALUE("BIDB",$A1102,B$3,'Præsentationstabeller 1'!$C$2),0)</f>
        <v/>
      </c>
      <c r="C1102" t="str" vm="3277">
        <f>IFERROR(CUBEVALUE("BIDB",$A1102,C$3,C$2,'Præsentationstabeller 1'!$C$2),0)</f>
        <v/>
      </c>
      <c r="D1102" t="str" vm="10134">
        <f>IFERROR(CUBEVALUE("BIDB",$A1102,D$3,D$2,'Præsentationstabeller 1'!$C$2),0)</f>
        <v/>
      </c>
      <c r="E1102" t="str" vm="5135">
        <f>IFERROR(CUBEVALUE("BIDB",$A1102,E$3,E$2,'Præsentationstabeller 1'!$C$2),0)</f>
        <v/>
      </c>
      <c r="F1102" t="str" vm="4347">
        <f>IFERROR(CUBEVALUE("BIDB",$A1102,F$3,F$2,'Præsentationstabeller 1'!$C$2),0)</f>
        <v/>
      </c>
      <c r="G1102" t="str" vm="4105">
        <f>IFERROR(CUBEVALUE("BIDB",$A1102,G$3,G$2,'Præsentationstabeller 1'!$C$2),0)</f>
        <v/>
      </c>
      <c r="H1102" t="str" vm="10526">
        <f>IFERROR(CUBEVALUE("BIDB",$A1102,H$3,H$2,'Præsentationstabeller 1'!$C$2),0)</f>
        <v/>
      </c>
      <c r="I1102" t="str" vm="9091">
        <f>IFERROR(CUBEVALUE("BIDB",$A1102,I$3,I$2,'Præsentationstabeller 1'!$C$2),0)</f>
        <v/>
      </c>
      <c r="J1102" t="str" vm="4256">
        <f>IFERROR(CUBEVALUE("BIDB",$A1102,J$3,J$2,'Præsentationstabeller 1'!$C$2),0)</f>
        <v/>
      </c>
      <c r="K1102" t="str" vm="5420">
        <f>IFERROR(CUBEVALUE("BIDB",$A1102,K$3,K$2,'Præsentationstabeller 1'!$C$2),0)</f>
        <v/>
      </c>
      <c r="L1102" t="str" vm="12105">
        <f>IFERROR(CUBEVALUE("BIDB",$A1102,L$3,L$2,'Præsentationstabeller 1'!$C$2),0)</f>
        <v/>
      </c>
    </row>
    <row r="1103" spans="1:12" x14ac:dyDescent="0.3">
      <c r="A1103" s="123" t="str" vm="233">
        <f>CUBEMEMBER("BIDB","[Dimittenddato].[Dimittenddato].&amp;[2018-08-27T00:00:00]")</f>
        <v>27-08-2018</v>
      </c>
      <c r="B1103" t="str" vm="4486">
        <f>IFERROR(CUBEVALUE("BIDB",$A1103,B$3,'Præsentationstabeller 1'!$C$2),0)</f>
        <v/>
      </c>
      <c r="C1103" t="str" vm="6788">
        <f>IFERROR(CUBEVALUE("BIDB",$A1103,C$3,C$2,'Præsentationstabeller 1'!$C$2),0)</f>
        <v/>
      </c>
      <c r="D1103" t="str" vm="13776">
        <f>IFERROR(CUBEVALUE("BIDB",$A1103,D$3,D$2,'Præsentationstabeller 1'!$C$2),0)</f>
        <v/>
      </c>
      <c r="E1103" t="str" vm="4286">
        <f>IFERROR(CUBEVALUE("BIDB",$A1103,E$3,E$2,'Præsentationstabeller 1'!$C$2),0)</f>
        <v/>
      </c>
      <c r="F1103" t="str" vm="3509">
        <f>IFERROR(CUBEVALUE("BIDB",$A1103,F$3,F$2,'Præsentationstabeller 1'!$C$2),0)</f>
        <v/>
      </c>
      <c r="G1103" t="str" vm="5928">
        <f>IFERROR(CUBEVALUE("BIDB",$A1103,G$3,G$2,'Præsentationstabeller 1'!$C$2),0)</f>
        <v/>
      </c>
      <c r="H1103" t="str" vm="14578">
        <f>IFERROR(CUBEVALUE("BIDB",$A1103,H$3,H$2,'Præsentationstabeller 1'!$C$2),0)</f>
        <v/>
      </c>
      <c r="I1103" t="str" vm="4620">
        <f>IFERROR(CUBEVALUE("BIDB",$A1103,I$3,I$2,'Præsentationstabeller 1'!$C$2),0)</f>
        <v/>
      </c>
      <c r="J1103" t="str" vm="5875">
        <f>IFERROR(CUBEVALUE("BIDB",$A1103,J$3,J$2,'Præsentationstabeller 1'!$C$2),0)</f>
        <v/>
      </c>
      <c r="K1103" t="str" vm="6096">
        <f>IFERROR(CUBEVALUE("BIDB",$A1103,K$3,K$2,'Præsentationstabeller 1'!$C$2),0)</f>
        <v/>
      </c>
      <c r="L1103" t="str" vm="14178">
        <f>IFERROR(CUBEVALUE("BIDB",$A1103,L$3,L$2,'Præsentationstabeller 1'!$C$2),0)</f>
        <v/>
      </c>
    </row>
    <row r="1104" spans="1:12" x14ac:dyDescent="0.3">
      <c r="A1104" s="123" t="str" vm="232">
        <f>CUBEMEMBER("BIDB","[Dimittenddato].[Dimittenddato].&amp;[2018-08-28T00:00:00]")</f>
        <v>28-08-2018</v>
      </c>
      <c r="B1104" t="str" vm="4802">
        <f>IFERROR(CUBEVALUE("BIDB",$A1104,B$3,'Præsentationstabeller 1'!$C$2),0)</f>
        <v/>
      </c>
      <c r="C1104" t="str" vm="5296">
        <f>IFERROR(CUBEVALUE("BIDB",$A1104,C$3,C$2,'Præsentationstabeller 1'!$C$2),0)</f>
        <v/>
      </c>
      <c r="D1104" t="str" vm="14075">
        <f>IFERROR(CUBEVALUE("BIDB",$A1104,D$3,D$2,'Præsentationstabeller 1'!$C$2),0)</f>
        <v/>
      </c>
      <c r="E1104" t="str" vm="12739">
        <f>IFERROR(CUBEVALUE("BIDB",$A1104,E$3,E$2,'Præsentationstabeller 1'!$C$2),0)</f>
        <v/>
      </c>
      <c r="F1104" t="str" vm="5261">
        <f>IFERROR(CUBEVALUE("BIDB",$A1104,F$3,F$2,'Præsentationstabeller 1'!$C$2),0)</f>
        <v/>
      </c>
      <c r="G1104" t="str" vm="3991">
        <f>IFERROR(CUBEVALUE("BIDB",$A1104,G$3,G$2,'Præsentationstabeller 1'!$C$2),0)</f>
        <v/>
      </c>
      <c r="H1104" t="str" vm="16433">
        <f>IFERROR(CUBEVALUE("BIDB",$A1104,H$3,H$2,'Præsentationstabeller 1'!$C$2),0)</f>
        <v/>
      </c>
      <c r="I1104" t="str" vm="11209">
        <f>IFERROR(CUBEVALUE("BIDB",$A1104,I$3,I$2,'Præsentationstabeller 1'!$C$2),0)</f>
        <v/>
      </c>
      <c r="J1104" t="str" vm="6090">
        <f>IFERROR(CUBEVALUE("BIDB",$A1104,J$3,J$2,'Præsentationstabeller 1'!$C$2),0)</f>
        <v/>
      </c>
      <c r="K1104" t="str" vm="4501">
        <f>IFERROR(CUBEVALUE("BIDB",$A1104,K$3,K$2,'Præsentationstabeller 1'!$C$2),0)</f>
        <v/>
      </c>
      <c r="L1104" t="str" vm="11831">
        <f>IFERROR(CUBEVALUE("BIDB",$A1104,L$3,L$2,'Præsentationstabeller 1'!$C$2),0)</f>
        <v/>
      </c>
    </row>
    <row r="1105" spans="1:12" x14ac:dyDescent="0.3">
      <c r="A1105" s="123" t="str" vm="231">
        <f>CUBEMEMBER("BIDB","[Dimittenddato].[Dimittenddato].&amp;[2018-08-29T00:00:00]")</f>
        <v>29-08-2018</v>
      </c>
      <c r="B1105" t="str" vm="4810">
        <f>IFERROR(CUBEVALUE("BIDB",$A1105,B$3,'Præsentationstabeller 1'!$C$2),0)</f>
        <v/>
      </c>
      <c r="C1105" t="str" vm="6194">
        <f>IFERROR(CUBEVALUE("BIDB",$A1105,C$3,C$2,'Præsentationstabeller 1'!$C$2),0)</f>
        <v/>
      </c>
      <c r="D1105" t="str" vm="13490">
        <f>IFERROR(CUBEVALUE("BIDB",$A1105,D$3,D$2,'Præsentationstabeller 1'!$C$2),0)</f>
        <v/>
      </c>
      <c r="E1105" t="str" vm="6101">
        <f>IFERROR(CUBEVALUE("BIDB",$A1105,E$3,E$2,'Præsentationstabeller 1'!$C$2),0)</f>
        <v/>
      </c>
      <c r="F1105" t="str" vm="4995">
        <f>IFERROR(CUBEVALUE("BIDB",$A1105,F$3,F$2,'Præsentationstabeller 1'!$C$2),0)</f>
        <v/>
      </c>
      <c r="G1105" t="str" vm="4345">
        <f>IFERROR(CUBEVALUE("BIDB",$A1105,G$3,G$2,'Præsentationstabeller 1'!$C$2),0)</f>
        <v/>
      </c>
      <c r="H1105" t="str" vm="12956">
        <f>IFERROR(CUBEVALUE("BIDB",$A1105,H$3,H$2,'Præsentationstabeller 1'!$C$2),0)</f>
        <v/>
      </c>
      <c r="I1105" t="str" vm="5477">
        <f>IFERROR(CUBEVALUE("BIDB",$A1105,I$3,I$2,'Præsentationstabeller 1'!$C$2),0)</f>
        <v/>
      </c>
      <c r="J1105" t="str" vm="8102">
        <f>IFERROR(CUBEVALUE("BIDB",$A1105,J$3,J$2,'Præsentationstabeller 1'!$C$2),0)</f>
        <v/>
      </c>
      <c r="K1105" t="str" vm="6123">
        <f>IFERROR(CUBEVALUE("BIDB",$A1105,K$3,K$2,'Præsentationstabeller 1'!$C$2),0)</f>
        <v/>
      </c>
      <c r="L1105" t="str" vm="10774">
        <f>IFERROR(CUBEVALUE("BIDB",$A1105,L$3,L$2,'Præsentationstabeller 1'!$C$2),0)</f>
        <v/>
      </c>
    </row>
    <row r="1106" spans="1:12" x14ac:dyDescent="0.3">
      <c r="A1106" s="123" t="str" vm="230">
        <f>CUBEMEMBER("BIDB","[Dimittenddato].[Dimittenddato].&amp;[2018-08-30T00:00:00]")</f>
        <v>30-08-2018</v>
      </c>
      <c r="B1106" t="str" vm="3836">
        <f>IFERROR(CUBEVALUE("BIDB",$A1106,B$3,'Præsentationstabeller 1'!$C$2),0)</f>
        <v/>
      </c>
      <c r="C1106" t="str" vm="4612">
        <f>IFERROR(CUBEVALUE("BIDB",$A1106,C$3,C$2,'Præsentationstabeller 1'!$C$2),0)</f>
        <v/>
      </c>
      <c r="D1106" vm="14991">
        <f>IFERROR(CUBEVALUE("BIDB",$A1106,D$3,D$2,'Præsentationstabeller 1'!$C$2),0)</f>
        <v>0</v>
      </c>
      <c r="E1106" t="str" vm="10738">
        <f>IFERROR(CUBEVALUE("BIDB",$A1106,E$3,E$2,'Præsentationstabeller 1'!$C$2),0)</f>
        <v/>
      </c>
      <c r="F1106" t="str" vm="6610">
        <f>IFERROR(CUBEVALUE("BIDB",$A1106,F$3,F$2,'Præsentationstabeller 1'!$C$2),0)</f>
        <v/>
      </c>
      <c r="G1106" t="str" vm="4470">
        <f>IFERROR(CUBEVALUE("BIDB",$A1106,G$3,G$2,'Præsentationstabeller 1'!$C$2),0)</f>
        <v/>
      </c>
      <c r="H1106" t="str" vm="13192">
        <f>IFERROR(CUBEVALUE("BIDB",$A1106,H$3,H$2,'Præsentationstabeller 1'!$C$2),0)</f>
        <v/>
      </c>
      <c r="I1106" t="str" vm="7740">
        <f>IFERROR(CUBEVALUE("BIDB",$A1106,I$3,I$2,'Præsentationstabeller 1'!$C$2),0)</f>
        <v/>
      </c>
      <c r="J1106" t="str" vm="4144">
        <f>IFERROR(CUBEVALUE("BIDB",$A1106,J$3,J$2,'Præsentationstabeller 1'!$C$2),0)</f>
        <v/>
      </c>
      <c r="K1106" t="str" vm="4531">
        <f>IFERROR(CUBEVALUE("BIDB",$A1106,K$3,K$2,'Præsentationstabeller 1'!$C$2),0)</f>
        <v/>
      </c>
      <c r="L1106" t="str" vm="14704">
        <f>IFERROR(CUBEVALUE("BIDB",$A1106,L$3,L$2,'Præsentationstabeller 1'!$C$2),0)</f>
        <v/>
      </c>
    </row>
    <row r="1107" spans="1:12" x14ac:dyDescent="0.3">
      <c r="A1107" s="123" t="str" vm="229">
        <f>CUBEMEMBER("BIDB","[Dimittenddato].[Dimittenddato].&amp;[2018-08-31T00:00:00]")</f>
        <v>31-08-2018</v>
      </c>
      <c r="B1107" t="str" vm="3868">
        <f>IFERROR(CUBEVALUE("BIDB",$A1107,B$3,'Præsentationstabeller 1'!$C$2),0)</f>
        <v/>
      </c>
      <c r="C1107" t="str" vm="6023">
        <f>IFERROR(CUBEVALUE("BIDB",$A1107,C$3,C$2,'Præsentationstabeller 1'!$C$2),0)</f>
        <v/>
      </c>
      <c r="D1107" t="str" vm="14135">
        <f>IFERROR(CUBEVALUE("BIDB",$A1107,D$3,D$2,'Præsentationstabeller 1'!$C$2),0)</f>
        <v/>
      </c>
      <c r="E1107" t="str" vm="7755">
        <f>IFERROR(CUBEVALUE("BIDB",$A1107,E$3,E$2,'Præsentationstabeller 1'!$C$2),0)</f>
        <v/>
      </c>
      <c r="F1107" t="str" vm="6612">
        <f>IFERROR(CUBEVALUE("BIDB",$A1107,F$3,F$2,'Præsentationstabeller 1'!$C$2),0)</f>
        <v/>
      </c>
      <c r="G1107" t="str" vm="4050">
        <f>IFERROR(CUBEVALUE("BIDB",$A1107,G$3,G$2,'Præsentationstabeller 1'!$C$2),0)</f>
        <v/>
      </c>
      <c r="H1107" t="str" vm="14630">
        <f>IFERROR(CUBEVALUE("BIDB",$A1107,H$3,H$2,'Præsentationstabeller 1'!$C$2),0)</f>
        <v/>
      </c>
      <c r="I1107" t="str" vm="4770">
        <f>IFERROR(CUBEVALUE("BIDB",$A1107,I$3,I$2,'Præsentationstabeller 1'!$C$2),0)</f>
        <v/>
      </c>
      <c r="J1107" t="str" vm="6002">
        <f>IFERROR(CUBEVALUE("BIDB",$A1107,J$3,J$2,'Præsentationstabeller 1'!$C$2),0)</f>
        <v/>
      </c>
      <c r="K1107" t="str" vm="4565">
        <f>IFERROR(CUBEVALUE("BIDB",$A1107,K$3,K$2,'Præsentationstabeller 1'!$C$2),0)</f>
        <v/>
      </c>
      <c r="L1107" t="str" vm="14612">
        <f>IFERROR(CUBEVALUE("BIDB",$A1107,L$3,L$2,'Præsentationstabeller 1'!$C$2),0)</f>
        <v/>
      </c>
    </row>
    <row r="1108" spans="1:12" x14ac:dyDescent="0.3">
      <c r="A1108" s="123" t="str" vm="228">
        <f>CUBEMEMBER("BIDB","[Dimittenddato].[Dimittenddato].&amp;[2019-06-01T00:00:00]")</f>
        <v>01-06-2019</v>
      </c>
      <c r="B1108" t="str" vm="3722">
        <f>IFERROR(CUBEVALUE("BIDB",$A1108,B$3,'Præsentationstabeller 1'!$C$2),0)</f>
        <v/>
      </c>
      <c r="C1108" t="str" vm="6489">
        <f>IFERROR(CUBEVALUE("BIDB",$A1108,C$3,C$2,'Præsentationstabeller 1'!$C$2),0)</f>
        <v/>
      </c>
      <c r="D1108" t="str" vm="15114">
        <f>IFERROR(CUBEVALUE("BIDB",$A1108,D$3,D$2,'Præsentationstabeller 1'!$C$2),0)</f>
        <v/>
      </c>
      <c r="E1108" t="str" vm="6382">
        <f>IFERROR(CUBEVALUE("BIDB",$A1108,E$3,E$2,'Præsentationstabeller 1'!$C$2),0)</f>
        <v/>
      </c>
      <c r="F1108" t="str" vm="3340">
        <f>IFERROR(CUBEVALUE("BIDB",$A1108,F$3,F$2,'Præsentationstabeller 1'!$C$2),0)</f>
        <v/>
      </c>
      <c r="G1108" t="str" vm="4806">
        <f>IFERROR(CUBEVALUE("BIDB",$A1108,G$3,G$2,'Præsentationstabeller 1'!$C$2),0)</f>
        <v/>
      </c>
      <c r="H1108" t="str" vm="16814">
        <f>IFERROR(CUBEVALUE("BIDB",$A1108,H$3,H$2,'Præsentationstabeller 1'!$C$2),0)</f>
        <v/>
      </c>
      <c r="I1108" t="str" vm="7788">
        <f>IFERROR(CUBEVALUE("BIDB",$A1108,I$3,I$2,'Præsentationstabeller 1'!$C$2),0)</f>
        <v/>
      </c>
      <c r="J1108" t="str" vm="3523">
        <f>IFERROR(CUBEVALUE("BIDB",$A1108,J$3,J$2,'Præsentationstabeller 1'!$C$2),0)</f>
        <v/>
      </c>
      <c r="K1108" t="str" vm="7211">
        <f>IFERROR(CUBEVALUE("BIDB",$A1108,K$3,K$2,'Præsentationstabeller 1'!$C$2),0)</f>
        <v/>
      </c>
      <c r="L1108" t="str" vm="12752">
        <f>IFERROR(CUBEVALUE("BIDB",$A1108,L$3,L$2,'Præsentationstabeller 1'!$C$2),0)</f>
        <v/>
      </c>
    </row>
    <row r="1109" spans="1:12" x14ac:dyDescent="0.3">
      <c r="A1109" s="123" t="str" vm="227">
        <f>CUBEMEMBER("BIDB","[Dimittenddato].[Dimittenddato].&amp;[2019-06-02T00:00:00]")</f>
        <v>02-06-2019</v>
      </c>
      <c r="B1109" t="str" vm="3754">
        <f>IFERROR(CUBEVALUE("BIDB",$A1109,B$3,'Præsentationstabeller 1'!$C$2),0)</f>
        <v/>
      </c>
      <c r="C1109" t="str" vm="5141">
        <f>IFERROR(CUBEVALUE("BIDB",$A1109,C$3,C$2,'Præsentationstabeller 1'!$C$2),0)</f>
        <v/>
      </c>
      <c r="D1109" t="str" vm="16521">
        <f>IFERROR(CUBEVALUE("BIDB",$A1109,D$3,D$2,'Præsentationstabeller 1'!$C$2),0)</f>
        <v/>
      </c>
      <c r="E1109" t="str" vm="5210">
        <f>IFERROR(CUBEVALUE("BIDB",$A1109,E$3,E$2,'Præsentationstabeller 1'!$C$2),0)</f>
        <v/>
      </c>
      <c r="F1109" t="str" vm="4880">
        <f>IFERROR(CUBEVALUE("BIDB",$A1109,F$3,F$2,'Præsentationstabeller 1'!$C$2),0)</f>
        <v/>
      </c>
      <c r="G1109" t="str" vm="4499">
        <f>IFERROR(CUBEVALUE("BIDB",$A1109,G$3,G$2,'Præsentationstabeller 1'!$C$2),0)</f>
        <v/>
      </c>
      <c r="H1109" t="str" vm="16380">
        <f>IFERROR(CUBEVALUE("BIDB",$A1109,H$3,H$2,'Præsentationstabeller 1'!$C$2),0)</f>
        <v/>
      </c>
      <c r="I1109" t="str" vm="7769">
        <f>IFERROR(CUBEVALUE("BIDB",$A1109,I$3,I$2,'Præsentationstabeller 1'!$C$2),0)</f>
        <v/>
      </c>
      <c r="J1109" t="str" vm="4855">
        <f>IFERROR(CUBEVALUE("BIDB",$A1109,J$3,J$2,'Præsentationstabeller 1'!$C$2),0)</f>
        <v/>
      </c>
      <c r="K1109" t="str" vm="8738">
        <f>IFERROR(CUBEVALUE("BIDB",$A1109,K$3,K$2,'Præsentationstabeller 1'!$C$2),0)</f>
        <v/>
      </c>
      <c r="L1109" t="str" vm="13517">
        <f>IFERROR(CUBEVALUE("BIDB",$A1109,L$3,L$2,'Præsentationstabeller 1'!$C$2),0)</f>
        <v/>
      </c>
    </row>
    <row r="1110" spans="1:12" x14ac:dyDescent="0.3">
      <c r="A1110" s="123" t="str" vm="226">
        <f>CUBEMEMBER("BIDB","[Dimittenddato].[Dimittenddato].&amp;[2019-06-03T00:00:00]")</f>
        <v>03-06-2019</v>
      </c>
      <c r="B1110" t="str" vm="4204">
        <f>IFERROR(CUBEVALUE("BIDB",$A1110,B$3,'Præsentationstabeller 1'!$C$2),0)</f>
        <v/>
      </c>
      <c r="C1110" t="str" vm="4762">
        <f>IFERROR(CUBEVALUE("BIDB",$A1110,C$3,C$2,'Præsentationstabeller 1'!$C$2),0)</f>
        <v/>
      </c>
      <c r="D1110" t="str" vm="15923">
        <f>IFERROR(CUBEVALUE("BIDB",$A1110,D$3,D$2,'Præsentationstabeller 1'!$C$2),0)</f>
        <v/>
      </c>
      <c r="E1110" t="str" vm="6156">
        <f>IFERROR(CUBEVALUE("BIDB",$A1110,E$3,E$2,'Præsentationstabeller 1'!$C$2),0)</f>
        <v/>
      </c>
      <c r="F1110" t="str" vm="3225">
        <f>IFERROR(CUBEVALUE("BIDB",$A1110,F$3,F$2,'Præsentationstabeller 1'!$C$2),0)</f>
        <v/>
      </c>
      <c r="G1110" t="str" vm="3852">
        <f>IFERROR(CUBEVALUE("BIDB",$A1110,G$3,G$2,'Præsentationstabeller 1'!$C$2),0)</f>
        <v/>
      </c>
      <c r="H1110" t="str" vm="11585">
        <f>IFERROR(CUBEVALUE("BIDB",$A1110,H$3,H$2,'Præsentationstabeller 1'!$C$2),0)</f>
        <v/>
      </c>
      <c r="I1110" t="str" vm="8004">
        <f>IFERROR(CUBEVALUE("BIDB",$A1110,I$3,I$2,'Præsentationstabeller 1'!$C$2),0)</f>
        <v/>
      </c>
      <c r="J1110" t="str" vm="5009">
        <f>IFERROR(CUBEVALUE("BIDB",$A1110,J$3,J$2,'Præsentationstabeller 1'!$C$2),0)</f>
        <v/>
      </c>
      <c r="K1110" t="str" vm="7265">
        <f>IFERROR(CUBEVALUE("BIDB",$A1110,K$3,K$2,'Præsentationstabeller 1'!$C$2),0)</f>
        <v/>
      </c>
      <c r="L1110" t="str" vm="14306">
        <f>IFERROR(CUBEVALUE("BIDB",$A1110,L$3,L$2,'Præsentationstabeller 1'!$C$2),0)</f>
        <v/>
      </c>
    </row>
    <row r="1111" spans="1:12" x14ac:dyDescent="0.3">
      <c r="A1111" s="123" t="str" vm="225">
        <f>CUBEMEMBER("BIDB","[Dimittenddato].[Dimittenddato].&amp;[2019-06-04T00:00:00]")</f>
        <v>04-06-2019</v>
      </c>
      <c r="B1111" t="str" vm="4234">
        <f>IFERROR(CUBEVALUE("BIDB",$A1111,B$3,'Præsentationstabeller 1'!$C$2),0)</f>
        <v/>
      </c>
      <c r="C1111" t="str" vm="12430">
        <f>IFERROR(CUBEVALUE("BIDB",$A1111,C$3,C$2,'Præsentationstabeller 1'!$C$2),0)</f>
        <v/>
      </c>
      <c r="D1111" t="str" vm="10098">
        <f>IFERROR(CUBEVALUE("BIDB",$A1111,D$3,D$2,'Præsentationstabeller 1'!$C$2),0)</f>
        <v/>
      </c>
      <c r="E1111" t="str" vm="5039">
        <f>IFERROR(CUBEVALUE("BIDB",$A1111,E$3,E$2,'Præsentationstabeller 1'!$C$2),0)</f>
        <v/>
      </c>
      <c r="F1111" t="str" vm="3257">
        <f>IFERROR(CUBEVALUE("BIDB",$A1111,F$3,F$2,'Præsentationstabeller 1'!$C$2),0)</f>
        <v/>
      </c>
      <c r="G1111" t="str" vm="5769">
        <f>IFERROR(CUBEVALUE("BIDB",$A1111,G$3,G$2,'Præsentationstabeller 1'!$C$2),0)</f>
        <v/>
      </c>
      <c r="H1111" t="str" vm="14337">
        <f>IFERROR(CUBEVALUE("BIDB",$A1111,H$3,H$2,'Præsentationstabeller 1'!$C$2),0)</f>
        <v/>
      </c>
      <c r="I1111" t="str" vm="5380">
        <f>IFERROR(CUBEVALUE("BIDB",$A1111,I$3,I$2,'Præsentationstabeller 1'!$C$2),0)</f>
        <v/>
      </c>
      <c r="J1111" t="str" vm="5621">
        <f>IFERROR(CUBEVALUE("BIDB",$A1111,J$3,J$2,'Præsentationstabeller 1'!$C$2),0)</f>
        <v/>
      </c>
      <c r="K1111" t="str" vm="4386">
        <f>IFERROR(CUBEVALUE("BIDB",$A1111,K$3,K$2,'Præsentationstabeller 1'!$C$2),0)</f>
        <v/>
      </c>
      <c r="L1111" t="str" vm="14643">
        <f>IFERROR(CUBEVALUE("BIDB",$A1111,L$3,L$2,'Præsentationstabeller 1'!$C$2),0)</f>
        <v/>
      </c>
    </row>
    <row r="1112" spans="1:12" x14ac:dyDescent="0.3">
      <c r="A1112" s="123" t="str" vm="224">
        <f>CUBEMEMBER("BIDB","[Dimittenddato].[Dimittenddato].&amp;[2019-06-05T00:00:00]")</f>
        <v>05-06-2019</v>
      </c>
      <c r="B1112" t="str" vm="5568">
        <f>IFERROR(CUBEVALUE("BIDB",$A1112,B$3,'Præsentationstabeller 1'!$C$2),0)</f>
        <v/>
      </c>
      <c r="C1112" t="str" vm="8746">
        <f>IFERROR(CUBEVALUE("BIDB",$A1112,C$3,C$2,'Præsentationstabeller 1'!$C$2),0)</f>
        <v/>
      </c>
      <c r="D1112" t="str" vm="10042">
        <f>IFERROR(CUBEVALUE("BIDB",$A1112,D$3,D$2,'Præsentationstabeller 1'!$C$2),0)</f>
        <v/>
      </c>
      <c r="E1112" t="str" vm="8915">
        <f>IFERROR(CUBEVALUE("BIDB",$A1112,E$3,E$2,'Præsentationstabeller 1'!$C$2),0)</f>
        <v/>
      </c>
      <c r="F1112" t="str" vm="4710">
        <f>IFERROR(CUBEVALUE("BIDB",$A1112,F$3,F$2,'Præsentationstabeller 1'!$C$2),0)</f>
        <v/>
      </c>
      <c r="G1112" t="str" vm="3738">
        <f>IFERROR(CUBEVALUE("BIDB",$A1112,G$3,G$2,'Præsentationstabeller 1'!$C$2),0)</f>
        <v/>
      </c>
      <c r="H1112" t="str" vm="12572">
        <f>IFERROR(CUBEVALUE("BIDB",$A1112,H$3,H$2,'Præsentationstabeller 1'!$C$2),0)</f>
        <v/>
      </c>
      <c r="I1112" t="str" vm="9229">
        <f>IFERROR(CUBEVALUE("BIDB",$A1112,I$3,I$2,'Præsentationstabeller 1'!$C$2),0)</f>
        <v/>
      </c>
      <c r="J1112" t="str" vm="8241">
        <f>IFERROR(CUBEVALUE("BIDB",$A1112,J$3,J$2,'Præsentationstabeller 1'!$C$2),0)</f>
        <v/>
      </c>
      <c r="K1112" t="str" vm="3356">
        <f>IFERROR(CUBEVALUE("BIDB",$A1112,K$3,K$2,'Præsentationstabeller 1'!$C$2),0)</f>
        <v/>
      </c>
      <c r="L1112" t="str" vm="10540">
        <f>IFERROR(CUBEVALUE("BIDB",$A1112,L$3,L$2,'Præsentationstabeller 1'!$C$2),0)</f>
        <v/>
      </c>
    </row>
    <row r="1113" spans="1:12" x14ac:dyDescent="0.3">
      <c r="A1113" s="123" t="str" vm="223">
        <f>CUBEMEMBER("BIDB","[Dimittenddato].[Dimittenddato].&amp;[2019-06-06T00:00:00]")</f>
        <v>06-06-2019</v>
      </c>
      <c r="B1113" t="str" vm="5576">
        <f>IFERROR(CUBEVALUE("BIDB",$A1113,B$3,'Præsentationstabeller 1'!$C$2),0)</f>
        <v/>
      </c>
      <c r="C1113" t="str" vm="8289">
        <f>IFERROR(CUBEVALUE("BIDB",$A1113,C$3,C$2,'Præsentationstabeller 1'!$C$2),0)</f>
        <v/>
      </c>
      <c r="D1113" t="str" vm="14294">
        <f>IFERROR(CUBEVALUE("BIDB",$A1113,D$3,D$2,'Præsentationstabeller 1'!$C$2),0)</f>
        <v/>
      </c>
      <c r="E1113" t="str" vm="5079">
        <f>IFERROR(CUBEVALUE("BIDB",$A1113,E$3,E$2,'Præsentationstabeller 1'!$C$2),0)</f>
        <v/>
      </c>
      <c r="F1113" t="str" vm="4742">
        <f>IFERROR(CUBEVALUE("BIDB",$A1113,F$3,F$2,'Præsentationstabeller 1'!$C$2),0)</f>
        <v/>
      </c>
      <c r="G1113" t="str" vm="6121">
        <f>IFERROR(CUBEVALUE("BIDB",$A1113,G$3,G$2,'Præsentationstabeller 1'!$C$2),0)</f>
        <v/>
      </c>
      <c r="H1113" t="str" vm="12656">
        <f>IFERROR(CUBEVALUE("BIDB",$A1113,H$3,H$2,'Præsentationstabeller 1'!$C$2),0)</f>
        <v/>
      </c>
      <c r="I1113" t="str" vm="4337">
        <f>IFERROR(CUBEVALUE("BIDB",$A1113,I$3,I$2,'Præsentationstabeller 1'!$C$2),0)</f>
        <v/>
      </c>
      <c r="J1113" t="str" vm="6368">
        <f>IFERROR(CUBEVALUE("BIDB",$A1113,J$3,J$2,'Præsentationstabeller 1'!$C$2),0)</f>
        <v/>
      </c>
      <c r="K1113" t="str" vm="8110">
        <f>IFERROR(CUBEVALUE("BIDB",$A1113,K$3,K$2,'Præsentationstabeller 1'!$C$2),0)</f>
        <v/>
      </c>
      <c r="L1113" t="str" vm="14724">
        <f>IFERROR(CUBEVALUE("BIDB",$A1113,L$3,L$2,'Præsentationstabeller 1'!$C$2),0)</f>
        <v/>
      </c>
    </row>
    <row r="1114" spans="1:12" x14ac:dyDescent="0.3">
      <c r="A1114" s="123" t="str" vm="222">
        <f>CUBEMEMBER("BIDB","[Dimittenddato].[Dimittenddato].&amp;[2019-06-07T00:00:00]")</f>
        <v>07-06-2019</v>
      </c>
      <c r="B1114" t="str" vm="3584">
        <f>IFERROR(CUBEVALUE("BIDB",$A1114,B$3,'Præsentationstabeller 1'!$C$2),0)</f>
        <v/>
      </c>
      <c r="C1114" t="str" vm="5372">
        <f>IFERROR(CUBEVALUE("BIDB",$A1114,C$3,C$2,'Præsentationstabeller 1'!$C$2),0)</f>
        <v/>
      </c>
      <c r="D1114" t="str" vm="11466">
        <f>IFERROR(CUBEVALUE("BIDB",$A1114,D$3,D$2,'Præsentationstabeller 1'!$C$2),0)</f>
        <v/>
      </c>
      <c r="E1114" t="str" vm="6656">
        <f>IFERROR(CUBEVALUE("BIDB",$A1114,E$3,E$2,'Præsentationstabeller 1'!$C$2),0)</f>
        <v/>
      </c>
      <c r="F1114" t="str" vm="5696">
        <f>IFERROR(CUBEVALUE("BIDB",$A1114,F$3,F$2,'Præsentationstabeller 1'!$C$2),0)</f>
        <v/>
      </c>
      <c r="G1114" t="str" vm="4219">
        <f>IFERROR(CUBEVALUE("BIDB",$A1114,G$3,G$2,'Præsentationstabeller 1'!$C$2),0)</f>
        <v/>
      </c>
      <c r="H1114" t="str" vm="13018">
        <f>IFERROR(CUBEVALUE("BIDB",$A1114,H$3,H$2,'Præsentationstabeller 1'!$C$2),0)</f>
        <v/>
      </c>
      <c r="I1114" t="str" vm="7708">
        <f>IFERROR(CUBEVALUE("BIDB",$A1114,I$3,I$2,'Præsentationstabeller 1'!$C$2),0)</f>
        <v/>
      </c>
      <c r="J1114" t="str" vm="4894">
        <f>IFERROR(CUBEVALUE("BIDB",$A1114,J$3,J$2,'Præsentationstabeller 1'!$C$2),0)</f>
        <v/>
      </c>
      <c r="K1114" t="str" vm="3241">
        <f>IFERROR(CUBEVALUE("BIDB",$A1114,K$3,K$2,'Præsentationstabeller 1'!$C$2),0)</f>
        <v/>
      </c>
      <c r="L1114" t="str" vm="16584">
        <f>IFERROR(CUBEVALUE("BIDB",$A1114,L$3,L$2,'Præsentationstabeller 1'!$C$2),0)</f>
        <v/>
      </c>
    </row>
    <row r="1115" spans="1:12" x14ac:dyDescent="0.3">
      <c r="A1115" s="123" t="str" vm="221">
        <f>CUBEMEMBER("BIDB","[Dimittenddato].[Dimittenddato].&amp;[2019-06-08T00:00:00]")</f>
        <v>08-06-2019</v>
      </c>
      <c r="B1115" t="str" vm="3616">
        <f>IFERROR(CUBEVALUE("BIDB",$A1115,B$3,'Præsentationstabeller 1'!$C$2),0)</f>
        <v/>
      </c>
      <c r="C1115" t="str" vm="4876">
        <f>IFERROR(CUBEVALUE("BIDB",$A1115,C$3,C$2,'Præsentationstabeller 1'!$C$2),0)</f>
        <v/>
      </c>
      <c r="D1115" t="str" vm="13962">
        <f>IFERROR(CUBEVALUE("BIDB",$A1115,D$3,D$2,'Præsentationstabeller 1'!$C$2),0)</f>
        <v/>
      </c>
      <c r="E1115" t="str" vm="5846">
        <f>IFERROR(CUBEVALUE("BIDB",$A1115,E$3,E$2,'Præsentationstabeller 1'!$C$2),0)</f>
        <v/>
      </c>
      <c r="F1115" t="str" vm="5704">
        <f>IFERROR(CUBEVALUE("BIDB",$A1115,F$3,F$2,'Præsentationstabeller 1'!$C$2),0)</f>
        <v/>
      </c>
      <c r="G1115" t="str" vm="4529">
        <f>IFERROR(CUBEVALUE("BIDB",$A1115,G$3,G$2,'Præsentationstabeller 1'!$C$2),0)</f>
        <v/>
      </c>
      <c r="H1115" t="str" vm="13591">
        <f>IFERROR(CUBEVALUE("BIDB",$A1115,H$3,H$2,'Præsentationstabeller 1'!$C$2),0)</f>
        <v/>
      </c>
      <c r="I1115" t="str" vm="5711">
        <f>IFERROR(CUBEVALUE("BIDB",$A1115,I$3,I$2,'Præsentationstabeller 1'!$C$2),0)</f>
        <v/>
      </c>
      <c r="J1115" t="str" vm="5747">
        <f>IFERROR(CUBEVALUE("BIDB",$A1115,J$3,J$2,'Præsentationstabeller 1'!$C$2),0)</f>
        <v/>
      </c>
      <c r="K1115" t="str" vm="5232">
        <f>IFERROR(CUBEVALUE("BIDB",$A1115,K$3,K$2,'Præsentationstabeller 1'!$C$2),0)</f>
        <v/>
      </c>
      <c r="L1115" t="str" vm="7858">
        <f>IFERROR(CUBEVALUE("BIDB",$A1115,L$3,L$2,'Præsentationstabeller 1'!$C$2),0)</f>
        <v/>
      </c>
    </row>
    <row r="1116" spans="1:12" x14ac:dyDescent="0.3">
      <c r="A1116" s="123" t="str" vm="220">
        <f>CUBEMEMBER("BIDB","[Dimittenddato].[Dimittenddato].&amp;[2019-06-09T00:00:00]")</f>
        <v>09-06-2019</v>
      </c>
      <c r="B1116" t="str" vm="3469">
        <f>IFERROR(CUBEVALUE("BIDB",$A1116,B$3,'Præsentationstabeller 1'!$C$2),0)</f>
        <v/>
      </c>
      <c r="C1116" t="str" vm="4792">
        <f>IFERROR(CUBEVALUE("BIDB",$A1116,C$3,C$2,'Præsentationstabeller 1'!$C$2),0)</f>
        <v/>
      </c>
      <c r="D1116" t="str" vm="14069">
        <f>IFERROR(CUBEVALUE("BIDB",$A1116,D$3,D$2,'Præsentationstabeller 1'!$C$2),0)</f>
        <v/>
      </c>
      <c r="E1116" t="str" vm="5803">
        <f>IFERROR(CUBEVALUE("BIDB",$A1116,E$3,E$2,'Præsentationstabeller 1'!$C$2),0)</f>
        <v/>
      </c>
      <c r="F1116" t="str" vm="4096">
        <f>IFERROR(CUBEVALUE("BIDB",$A1116,F$3,F$2,'Præsentationstabeller 1'!$C$2),0)</f>
        <v/>
      </c>
      <c r="G1116" t="str" vm="5572">
        <f>IFERROR(CUBEVALUE("BIDB",$A1116,G$3,G$2,'Præsentationstabeller 1'!$C$2),0)</f>
        <v/>
      </c>
      <c r="H1116" t="str" vm="16112">
        <f>IFERROR(CUBEVALUE("BIDB",$A1116,H$3,H$2,'Præsentationstabeller 1'!$C$2),0)</f>
        <v/>
      </c>
      <c r="I1116" t="str" vm="6178">
        <f>IFERROR(CUBEVALUE("BIDB",$A1116,I$3,I$2,'Præsentationstabeller 1'!$C$2),0)</f>
        <v/>
      </c>
      <c r="J1116" t="str" vm="3271">
        <f>IFERROR(CUBEVALUE("BIDB",$A1116,J$3,J$2,'Præsentationstabeller 1'!$C$2),0)</f>
        <v/>
      </c>
      <c r="K1116" t="str" vm="4726">
        <f>IFERROR(CUBEVALUE("BIDB",$A1116,K$3,K$2,'Præsentationstabeller 1'!$C$2),0)</f>
        <v/>
      </c>
      <c r="L1116" t="str" vm="8379">
        <f>IFERROR(CUBEVALUE("BIDB",$A1116,L$3,L$2,'Præsentationstabeller 1'!$C$2),0)</f>
        <v/>
      </c>
    </row>
    <row r="1117" spans="1:12" x14ac:dyDescent="0.3">
      <c r="A1117" s="123" t="str" vm="219">
        <f>CUBEMEMBER("BIDB","[Dimittenddato].[Dimittenddato].&amp;[2019-06-10T00:00:00]")</f>
        <v>10-06-2019</v>
      </c>
      <c r="B1117" t="str" vm="3501">
        <f>IFERROR(CUBEVALUE("BIDB",$A1117,B$3,'Præsentationstabeller 1'!$C$2),0)</f>
        <v/>
      </c>
      <c r="C1117" t="str" vm="6892">
        <f>IFERROR(CUBEVALUE("BIDB",$A1117,C$3,C$2,'Præsentationstabeller 1'!$C$2),0)</f>
        <v/>
      </c>
      <c r="D1117" t="str" vm="10839">
        <f>IFERROR(CUBEVALUE("BIDB",$A1117,D$3,D$2,'Præsentationstabeller 1'!$C$2),0)</f>
        <v/>
      </c>
      <c r="E1117" t="str" vm="8486">
        <f>IFERROR(CUBEVALUE("BIDB",$A1117,E$3,E$2,'Præsentationstabeller 1'!$C$2),0)</f>
        <v/>
      </c>
      <c r="F1117" t="str" vm="4627">
        <f>IFERROR(CUBEVALUE("BIDB",$A1117,F$3,F$2,'Præsentationstabeller 1'!$C$2),0)</f>
        <v/>
      </c>
      <c r="G1117" t="str" vm="5066">
        <f>IFERROR(CUBEVALUE("BIDB",$A1117,G$3,G$2,'Præsentationstabeller 1'!$C$2),0)</f>
        <v/>
      </c>
      <c r="H1117" t="str" vm="9372">
        <f>IFERROR(CUBEVALUE("BIDB",$A1117,H$3,H$2,'Præsentationstabeller 1'!$C$2),0)</f>
        <v/>
      </c>
      <c r="I1117" t="str" vm="7733">
        <f>IFERROR(CUBEVALUE("BIDB",$A1117,I$3,I$2,'Præsentationstabeller 1'!$C$2),0)</f>
        <v/>
      </c>
      <c r="J1117" t="str" vm="4606">
        <f>IFERROR(CUBEVALUE("BIDB",$A1117,J$3,J$2,'Præsentationstabeller 1'!$C$2),0)</f>
        <v/>
      </c>
      <c r="K1117" t="str" vm="5205">
        <f>IFERROR(CUBEVALUE("BIDB",$A1117,K$3,K$2,'Præsentationstabeller 1'!$C$2),0)</f>
        <v/>
      </c>
      <c r="L1117" t="str" vm="7936">
        <f>IFERROR(CUBEVALUE("BIDB",$A1117,L$3,L$2,'Præsentationstabeller 1'!$C$2),0)</f>
        <v/>
      </c>
    </row>
    <row r="1118" spans="1:12" x14ac:dyDescent="0.3">
      <c r="A1118" s="123" t="str" vm="218">
        <f>CUBEMEMBER("BIDB","[Dimittenddato].[Dimittenddato].&amp;[2019-06-11T00:00:00]")</f>
        <v>11-06-2019</v>
      </c>
      <c r="B1118" t="str" vm="4955">
        <f>IFERROR(CUBEVALUE("BIDB",$A1118,B$3,'Præsentationstabeller 1'!$C$2),0)</f>
        <v/>
      </c>
      <c r="C1118" t="str" vm="5709">
        <f>IFERROR(CUBEVALUE("BIDB",$A1118,C$3,C$2,'Præsentationstabeller 1'!$C$2),0)</f>
        <v/>
      </c>
      <c r="D1118" t="str" vm="11582">
        <f>IFERROR(CUBEVALUE("BIDB",$A1118,D$3,D$2,'Præsentationstabeller 1'!$C$2),0)</f>
        <v/>
      </c>
      <c r="E1118" t="str" vm="6374">
        <f>IFERROR(CUBEVALUE("BIDB",$A1118,E$3,E$2,'Præsentationstabeller 1'!$C$2),0)</f>
        <v/>
      </c>
      <c r="F1118" t="str" vm="3982">
        <f>IFERROR(CUBEVALUE("BIDB",$A1118,F$3,F$2,'Præsentationstabeller 1'!$C$2),0)</f>
        <v/>
      </c>
      <c r="G1118" t="str" vm="3600">
        <f>IFERROR(CUBEVALUE("BIDB",$A1118,G$3,G$2,'Præsentationstabeller 1'!$C$2),0)</f>
        <v/>
      </c>
      <c r="H1118" t="str" vm="11833">
        <f>IFERROR(CUBEVALUE("BIDB",$A1118,H$3,H$2,'Præsentationstabeller 1'!$C$2),0)</f>
        <v/>
      </c>
      <c r="I1118" t="str" vm="6886">
        <f>IFERROR(CUBEVALUE("BIDB",$A1118,I$3,I$2,'Præsentationstabeller 1'!$C$2),0)</f>
        <v/>
      </c>
      <c r="J1118" t="str" vm="4756">
        <f>IFERROR(CUBEVALUE("BIDB",$A1118,J$3,J$2,'Præsentationstabeller 1'!$C$2),0)</f>
        <v/>
      </c>
      <c r="K1118" t="str" vm="5700">
        <f>IFERROR(CUBEVALUE("BIDB",$A1118,K$3,K$2,'Præsentationstabeller 1'!$C$2),0)</f>
        <v/>
      </c>
      <c r="L1118" t="str" vm="6591">
        <f>IFERROR(CUBEVALUE("BIDB",$A1118,L$3,L$2,'Præsentationstabeller 1'!$C$2),0)</f>
        <v/>
      </c>
    </row>
    <row r="1119" spans="1:12" x14ac:dyDescent="0.3">
      <c r="A1119" s="123" t="str" vm="217">
        <f>CUBEMEMBER("BIDB","[Dimittenddato].[Dimittenddato].&amp;[2019-06-12T00:00:00]")</f>
        <v>12-06-2019</v>
      </c>
      <c r="B1119" t="str" vm="4987">
        <f>IFERROR(CUBEVALUE("BIDB",$A1119,B$3,'Præsentationstabeller 1'!$C$2),0)</f>
        <v/>
      </c>
      <c r="C1119" t="str" vm="6162">
        <f>IFERROR(CUBEVALUE("BIDB",$A1119,C$3,C$2,'Præsentationstabeller 1'!$C$2),0)</f>
        <v/>
      </c>
      <c r="D1119" t="str" vm="14385">
        <f>IFERROR(CUBEVALUE("BIDB",$A1119,D$3,D$2,'Præsentationstabeller 1'!$C$2),0)</f>
        <v/>
      </c>
      <c r="E1119" t="str" vm="4786">
        <f>IFERROR(CUBEVALUE("BIDB",$A1119,E$3,E$2,'Præsentationstabeller 1'!$C$2),0)</f>
        <v/>
      </c>
      <c r="F1119" t="str" vm="4014">
        <f>IFERROR(CUBEVALUE("BIDB",$A1119,F$3,F$2,'Præsentationstabeller 1'!$C$2),0)</f>
        <v/>
      </c>
      <c r="G1119" t="str" vm="7339">
        <f>IFERROR(CUBEVALUE("BIDB",$A1119,G$3,G$2,'Præsentationstabeller 1'!$C$2),0)</f>
        <v/>
      </c>
      <c r="H1119" t="str" vm="12360">
        <f>IFERROR(CUBEVALUE("BIDB",$A1119,H$3,H$2,'Præsentationstabeller 1'!$C$2),0)</f>
        <v/>
      </c>
      <c r="I1119" t="str" vm="7007">
        <f>IFERROR(CUBEVALUE("BIDB",$A1119,I$3,I$2,'Præsentationstabeller 1'!$C$2),0)</f>
        <v/>
      </c>
      <c r="J1119" t="str" vm="5366">
        <f>IFERROR(CUBEVALUE("BIDB",$A1119,J$3,J$2,'Præsentationstabeller 1'!$C$2),0)</f>
        <v/>
      </c>
      <c r="K1119" t="str" vm="3769">
        <f>IFERROR(CUBEVALUE("BIDB",$A1119,K$3,K$2,'Præsentationstabeller 1'!$C$2),0)</f>
        <v/>
      </c>
      <c r="L1119" t="str" vm="10087">
        <f>IFERROR(CUBEVALUE("BIDB",$A1119,L$3,L$2,'Præsentationstabeller 1'!$C$2),0)</f>
        <v/>
      </c>
    </row>
    <row r="1120" spans="1:12" x14ac:dyDescent="0.3">
      <c r="A1120" s="123" t="str" vm="216">
        <f>CUBEMEMBER("BIDB","[Dimittenddato].[Dimittenddato].&amp;[2019-06-13T00:00:00]")</f>
        <v>13-06-2019</v>
      </c>
      <c r="B1120" t="str" vm="7118">
        <f>IFERROR(CUBEVALUE("BIDB",$A1120,B$3,'Præsentationstabeller 1'!$C$2),0)</f>
        <v/>
      </c>
      <c r="C1120" t="str" vm="8710">
        <f>IFERROR(CUBEVALUE("BIDB",$A1120,C$3,C$2,'Præsentationstabeller 1'!$C$2),0)</f>
        <v/>
      </c>
      <c r="D1120" t="str" vm="16876">
        <f>IFERROR(CUBEVALUE("BIDB",$A1120,D$3,D$2,'Præsentationstabeller 1'!$C$2),0)</f>
        <v/>
      </c>
      <c r="E1120" t="str" vm="8349">
        <f>IFERROR(CUBEVALUE("BIDB",$A1120,E$3,E$2,'Præsentationstabeller 1'!$C$2),0)</f>
        <v/>
      </c>
      <c r="F1120" t="str" vm="4461">
        <f>IFERROR(CUBEVALUE("BIDB",$A1120,F$3,F$2,'Præsentationstabeller 1'!$C$2),0)</f>
        <v/>
      </c>
      <c r="G1120" t="str" vm="3485">
        <f>IFERROR(CUBEVALUE("BIDB",$A1120,G$3,G$2,'Præsentationstabeller 1'!$C$2),0)</f>
        <v/>
      </c>
      <c r="H1120" t="str" vm="11715">
        <f>IFERROR(CUBEVALUE("BIDB",$A1120,H$3,H$2,'Præsentationstabeller 1'!$C$2),0)</f>
        <v/>
      </c>
      <c r="I1120" t="str" vm="12793">
        <f>IFERROR(CUBEVALUE("BIDB",$A1120,I$3,I$2,'Præsentationstabeller 1'!$C$2),0)</f>
        <v/>
      </c>
      <c r="J1120" t="str" vm="5199">
        <f>IFERROR(CUBEVALUE("BIDB",$A1120,J$3,J$2,'Præsentationstabeller 1'!$C$2),0)</f>
        <v/>
      </c>
      <c r="K1120" t="str" vm="4112">
        <f>IFERROR(CUBEVALUE("BIDB",$A1120,K$3,K$2,'Præsentationstabeller 1'!$C$2),0)</f>
        <v/>
      </c>
      <c r="L1120" t="str" vm="14117">
        <f>IFERROR(CUBEVALUE("BIDB",$A1120,L$3,L$2,'Præsentationstabeller 1'!$C$2),0)</f>
        <v/>
      </c>
    </row>
    <row r="1121" spans="1:12" x14ac:dyDescent="0.3">
      <c r="A1121" s="123" t="str" vm="215">
        <f>CUBEMEMBER("BIDB","[Dimittenddato].[Dimittenddato].&amp;[2019-06-14T00:00:00]")</f>
        <v>14-06-2019</v>
      </c>
      <c r="B1121" t="str" vm="7120">
        <f>IFERROR(CUBEVALUE("BIDB",$A1121,B$3,'Præsentationstabeller 1'!$C$2),0)</f>
        <v/>
      </c>
      <c r="C1121" t="str" vm="7939">
        <f>IFERROR(CUBEVALUE("BIDB",$A1121,C$3,C$2,'Præsentationstabeller 1'!$C$2),0)</f>
        <v/>
      </c>
      <c r="D1121" t="str" vm="9623">
        <f>IFERROR(CUBEVALUE("BIDB",$A1121,D$3,D$2,'Præsentationstabeller 1'!$C$2),0)</f>
        <v/>
      </c>
      <c r="E1121" t="str" vm="5973">
        <f>IFERROR(CUBEVALUE("BIDB",$A1121,E$3,E$2,'Præsentationstabeller 1'!$C$2),0)</f>
        <v/>
      </c>
      <c r="F1121" t="str" vm="4493">
        <f>IFERROR(CUBEVALUE("BIDB",$A1121,F$3,F$2,'Præsentationstabeller 1'!$C$2),0)</f>
        <v/>
      </c>
      <c r="G1121" t="str" vm="7760">
        <f>IFERROR(CUBEVALUE("BIDB",$A1121,G$3,G$2,'Præsentationstabeller 1'!$C$2),0)</f>
        <v/>
      </c>
      <c r="H1121" t="str" vm="12619">
        <f>IFERROR(CUBEVALUE("BIDB",$A1121,H$3,H$2,'Præsentationstabeller 1'!$C$2),0)</f>
        <v/>
      </c>
      <c r="I1121" t="str" vm="6113">
        <f>IFERROR(CUBEVALUE("BIDB",$A1121,I$3,I$2,'Præsentationstabeller 1'!$C$2),0)</f>
        <v/>
      </c>
      <c r="J1121" t="str" vm="6495">
        <f>IFERROR(CUBEVALUE("BIDB",$A1121,J$3,J$2,'Præsentationstabeller 1'!$C$2),0)</f>
        <v/>
      </c>
      <c r="K1121" t="str" vm="6442">
        <f>IFERROR(CUBEVALUE("BIDB",$A1121,K$3,K$2,'Præsentationstabeller 1'!$C$2),0)</f>
        <v/>
      </c>
      <c r="L1121" t="str" vm="10138">
        <f>IFERROR(CUBEVALUE("BIDB",$A1121,L$3,L$2,'Præsentationstabeller 1'!$C$2),0)</f>
        <v/>
      </c>
    </row>
    <row r="1122" spans="1:12" x14ac:dyDescent="0.3">
      <c r="A1122" s="123" t="str" vm="214">
        <f>CUBEMEMBER("BIDB","[Dimittenddato].[Dimittenddato].&amp;[2019-06-15T00:00:00]")</f>
        <v>15-06-2019</v>
      </c>
      <c r="B1122" t="str" vm="13770">
        <f>IFERROR(CUBEVALUE("BIDB",$A1122,B$3,'Præsentationstabeller 1'!$C$2),0)</f>
        <v/>
      </c>
      <c r="C1122" t="str" vm="14966">
        <f>IFERROR(CUBEVALUE("BIDB",$A1122,C$3,C$2,'Præsentationstabeller 1'!$C$2),0)</f>
        <v/>
      </c>
      <c r="D1122" t="str" vm="11842">
        <f>IFERROR(CUBEVALUE("BIDB",$A1122,D$3,D$2,'Præsentationstabeller 1'!$C$2),0)</f>
        <v/>
      </c>
      <c r="E1122" t="str" vm="4641">
        <f>IFERROR(CUBEVALUE("BIDB",$A1122,E$3,E$2,'Præsentationstabeller 1'!$C$2),0)</f>
        <v/>
      </c>
      <c r="F1122" t="str" vm="4971">
        <f>IFERROR(CUBEVALUE("BIDB",$A1122,F$3,F$2,'Præsentationstabeller 1'!$C$2),0)</f>
        <v/>
      </c>
      <c r="G1122" t="str" vm="11906">
        <f>IFERROR(CUBEVALUE("BIDB",$A1122,G$3,G$2,'Præsentationstabeller 1'!$C$2),0)</f>
        <v/>
      </c>
      <c r="H1122" t="str" vm="15328">
        <f>IFERROR(CUBEVALUE("BIDB",$A1122,H$3,H$2,'Præsentationstabeller 1'!$C$2),0)</f>
        <v/>
      </c>
      <c r="I1122" t="str" vm="7005">
        <f>IFERROR(CUBEVALUE("BIDB",$A1122,I$3,I$2,'Præsentationstabeller 1'!$C$2),0)</f>
        <v/>
      </c>
      <c r="J1122" t="str" vm="3998">
        <f>IFERROR(CUBEVALUE("BIDB",$A1122,J$3,J$2,'Præsentationstabeller 1'!$C$2),0)</f>
        <v/>
      </c>
      <c r="K1122" t="str" vm="14262">
        <f>IFERROR(CUBEVALUE("BIDB",$A1122,K$3,K$2,'Præsentationstabeller 1'!$C$2),0)</f>
        <v/>
      </c>
      <c r="L1122" t="str" vm="8039">
        <f>IFERROR(CUBEVALUE("BIDB",$A1122,L$3,L$2,'Præsentationstabeller 1'!$C$2),0)</f>
        <v/>
      </c>
    </row>
    <row r="1123" spans="1:12" x14ac:dyDescent="0.3">
      <c r="A1123" s="123" t="str" vm="213">
        <f>CUBEMEMBER("BIDB","[Dimittenddato].[Dimittenddato].&amp;[2019-06-16T00:00:00]")</f>
        <v>16-06-2019</v>
      </c>
      <c r="B1123" t="str" vm="9095">
        <f>IFERROR(CUBEVALUE("BIDB",$A1123,B$3,'Præsentationstabeller 1'!$C$2),0)</f>
        <v/>
      </c>
      <c r="C1123" t="str" vm="14400">
        <f>IFERROR(CUBEVALUE("BIDB",$A1123,C$3,C$2,'Præsentationstabeller 1'!$C$2),0)</f>
        <v/>
      </c>
      <c r="D1123" t="str" vm="15947">
        <f>IFERROR(CUBEVALUE("BIDB",$A1123,D$3,D$2,'Præsentationstabeller 1'!$C$2),0)</f>
        <v/>
      </c>
      <c r="E1123" t="str" vm="5101">
        <f>IFERROR(CUBEVALUE("BIDB",$A1123,E$3,E$2,'Præsentationstabeller 1'!$C$2),0)</f>
        <v/>
      </c>
      <c r="F1123" t="str" vm="3332">
        <f>IFERROR(CUBEVALUE("BIDB",$A1123,F$3,F$2,'Præsentationstabeller 1'!$C$2),0)</f>
        <v/>
      </c>
      <c r="G1123" t="str" vm="14847">
        <f>IFERROR(CUBEVALUE("BIDB",$A1123,G$3,G$2,'Præsentationstabeller 1'!$C$2),0)</f>
        <v/>
      </c>
      <c r="H1123" t="str" vm="9899">
        <f>IFERROR(CUBEVALUE("BIDB",$A1123,H$3,H$2,'Præsentationstabeller 1'!$C$2),0)</f>
        <v/>
      </c>
      <c r="I1123" t="str" vm="6983">
        <f>IFERROR(CUBEVALUE("BIDB",$A1123,I$3,I$2,'Præsentationstabeller 1'!$C$2),0)</f>
        <v/>
      </c>
      <c r="J1123" t="str" vm="4555">
        <f>IFERROR(CUBEVALUE("BIDB",$A1123,J$3,J$2,'Præsentationstabeller 1'!$C$2),0)</f>
        <v/>
      </c>
      <c r="K1123" t="str" vm="10926">
        <f>IFERROR(CUBEVALUE("BIDB",$A1123,K$3,K$2,'Præsentationstabeller 1'!$C$2),0)</f>
        <v/>
      </c>
      <c r="L1123" t="str" vm="11476">
        <f>IFERROR(CUBEVALUE("BIDB",$A1123,L$3,L$2,'Præsentationstabeller 1'!$C$2),0)</f>
        <v/>
      </c>
    </row>
    <row r="1124" spans="1:12" x14ac:dyDescent="0.3">
      <c r="A1124" s="123" t="str" vm="212">
        <f>CUBEMEMBER("BIDB","[Dimittenddato].[Dimittenddato].&amp;[2019-06-17T00:00:00]")</f>
        <v>17-06-2019</v>
      </c>
      <c r="B1124" t="str" vm="5493">
        <f>IFERROR(CUBEVALUE("BIDB",$A1124,B$3,'Præsentationstabeller 1'!$C$2),0)</f>
        <v/>
      </c>
      <c r="C1124" t="str" vm="16980">
        <f>IFERROR(CUBEVALUE("BIDB",$A1124,C$3,C$2,'Præsentationstabeller 1'!$C$2),0)</f>
        <v/>
      </c>
      <c r="D1124" t="str" vm="14128">
        <f>IFERROR(CUBEVALUE("BIDB",$A1124,D$3,D$2,'Præsentationstabeller 1'!$C$2),0)</f>
        <v/>
      </c>
      <c r="E1124" t="str" vm="3364">
        <f>IFERROR(CUBEVALUE("BIDB",$A1124,E$3,E$2,'Præsentationstabeller 1'!$C$2),0)</f>
        <v/>
      </c>
      <c r="F1124" t="str" vm="6663">
        <f>IFERROR(CUBEVALUE("BIDB",$A1124,F$3,F$2,'Præsentationstabeller 1'!$C$2),0)</f>
        <v/>
      </c>
      <c r="G1124" t="str" vm="13121">
        <f>IFERROR(CUBEVALUE("BIDB",$A1124,G$3,G$2,'Præsentationstabeller 1'!$C$2),0)</f>
        <v/>
      </c>
      <c r="H1124" t="str" vm="15795">
        <f>IFERROR(CUBEVALUE("BIDB",$A1124,H$3,H$2,'Præsentationstabeller 1'!$C$2),0)</f>
        <v/>
      </c>
      <c r="I1124" t="str" vm="4563">
        <f>IFERROR(CUBEVALUE("BIDB",$A1124,I$3,I$2,'Præsentationstabeller 1'!$C$2),0)</f>
        <v/>
      </c>
      <c r="J1124" t="str" vm="4572">
        <f>IFERROR(CUBEVALUE("BIDB",$A1124,J$3,J$2,'Præsentationstabeller 1'!$C$2),0)</f>
        <v/>
      </c>
      <c r="K1124" t="str" vm="11989">
        <f>IFERROR(CUBEVALUE("BIDB",$A1124,K$3,K$2,'Præsentationstabeller 1'!$C$2),0)</f>
        <v/>
      </c>
      <c r="L1124" t="str" vm="11258">
        <f>IFERROR(CUBEVALUE("BIDB",$A1124,L$3,L$2,'Præsentationstabeller 1'!$C$2),0)</f>
        <v/>
      </c>
    </row>
    <row r="1125" spans="1:12" x14ac:dyDescent="0.3">
      <c r="A1125" s="123" t="str" vm="211">
        <f>CUBEMEMBER("BIDB","[Dimittenddato].[Dimittenddato].&amp;[2019-06-18T00:00:00]")</f>
        <v>18-06-2019</v>
      </c>
      <c r="B1125" t="str" vm="4477">
        <f>IFERROR(CUBEVALUE("BIDB",$A1125,B$3,'Præsentationstabeller 1'!$C$2),0)</f>
        <v/>
      </c>
      <c r="C1125" t="str" vm="14355">
        <f>IFERROR(CUBEVALUE("BIDB",$A1125,C$3,C$2,'Præsentationstabeller 1'!$C$2),0)</f>
        <v/>
      </c>
      <c r="D1125" t="str" vm="15762">
        <f>IFERROR(CUBEVALUE("BIDB",$A1125,D$3,D$2,'Præsentationstabeller 1'!$C$2),0)</f>
        <v/>
      </c>
      <c r="E1125" t="str" vm="5469">
        <f>IFERROR(CUBEVALUE("BIDB",$A1125,E$3,E$2,'Præsentationstabeller 1'!$C$2),0)</f>
        <v/>
      </c>
      <c r="F1125" t="str" vm="4826">
        <f>IFERROR(CUBEVALUE("BIDB",$A1125,F$3,F$2,'Præsentationstabeller 1'!$C$2),0)</f>
        <v/>
      </c>
      <c r="G1125" t="str" vm="13823">
        <f>IFERROR(CUBEVALUE("BIDB",$A1125,G$3,G$2,'Præsentationstabeller 1'!$C$2),0)</f>
        <v/>
      </c>
      <c r="H1125" t="str" vm="11919">
        <f>IFERROR(CUBEVALUE("BIDB",$A1125,H$3,H$2,'Præsentationstabeller 1'!$C$2),0)</f>
        <v/>
      </c>
      <c r="I1125" t="str" vm="7119">
        <f>IFERROR(CUBEVALUE("BIDB",$A1125,I$3,I$2,'Præsentationstabeller 1'!$C$2),0)</f>
        <v/>
      </c>
      <c r="J1125" t="str" vm="4655">
        <f>IFERROR(CUBEVALUE("BIDB",$A1125,J$3,J$2,'Præsentationstabeller 1'!$C$2),0)</f>
        <v/>
      </c>
      <c r="K1125" t="str" vm="10143">
        <f>IFERROR(CUBEVALUE("BIDB",$A1125,K$3,K$2,'Præsentationstabeller 1'!$C$2),0)</f>
        <v/>
      </c>
      <c r="L1125" t="str" vm="16043">
        <f>IFERROR(CUBEVALUE("BIDB",$A1125,L$3,L$2,'Præsentationstabeller 1'!$C$2),0)</f>
        <v/>
      </c>
    </row>
    <row r="1126" spans="1:12" x14ac:dyDescent="0.3">
      <c r="A1126" s="123" t="str" vm="210">
        <f>CUBEMEMBER("BIDB","[Dimittenddato].[Dimittenddato].&amp;[2019-06-19T00:00:00]")</f>
        <v>19-06-2019</v>
      </c>
      <c r="B1126" t="str" vm="3217">
        <f>IFERROR(CUBEVALUE("BIDB",$A1126,B$3,'Præsentationstabeller 1'!$C$2),0)</f>
        <v/>
      </c>
      <c r="C1126" t="str" vm="13592">
        <f>IFERROR(CUBEVALUE("BIDB",$A1126,C$3,C$2,'Præsentationstabeller 1'!$C$2),0)</f>
        <v/>
      </c>
      <c r="D1126" t="str" vm="13345">
        <f>IFERROR(CUBEVALUE("BIDB",$A1126,D$3,D$2,'Præsentationstabeller 1'!$C$2),0)</f>
        <v/>
      </c>
      <c r="E1126" t="str" vm="5930">
        <f>IFERROR(CUBEVALUE("BIDB",$A1126,E$3,E$2,'Præsentationstabeller 1'!$C$2),0)</f>
        <v/>
      </c>
      <c r="F1126" t="str" vm="3843">
        <f>IFERROR(CUBEVALUE("BIDB",$A1126,F$3,F$2,'Præsentationstabeller 1'!$C$2),0)</f>
        <v/>
      </c>
      <c r="G1126" t="str" vm="13502">
        <f>IFERROR(CUBEVALUE("BIDB",$A1126,G$3,G$2,'Præsentationstabeller 1'!$C$2),0)</f>
        <v/>
      </c>
      <c r="H1126" t="str" vm="9468">
        <f>IFERROR(CUBEVALUE("BIDB",$A1126,H$3,H$2,'Præsentationstabeller 1'!$C$2),0)</f>
        <v/>
      </c>
      <c r="I1126" t="str" vm="7943">
        <f>IFERROR(CUBEVALUE("BIDB",$A1126,I$3,I$2,'Præsentationstabeller 1'!$C$2),0)</f>
        <v/>
      </c>
      <c r="J1126" t="str" vm="4028">
        <f>IFERROR(CUBEVALUE("BIDB",$A1126,J$3,J$2,'Præsentationstabeller 1'!$C$2),0)</f>
        <v/>
      </c>
      <c r="K1126" t="str" vm="16100">
        <f>IFERROR(CUBEVALUE("BIDB",$A1126,K$3,K$2,'Præsentationstabeller 1'!$C$2),0)</f>
        <v/>
      </c>
      <c r="L1126" t="str" vm="9048">
        <f>IFERROR(CUBEVALUE("BIDB",$A1126,L$3,L$2,'Præsentationstabeller 1'!$C$2),0)</f>
        <v/>
      </c>
    </row>
    <row r="1127" spans="1:12" x14ac:dyDescent="0.3">
      <c r="A1127" s="123" t="str" vm="209">
        <f>CUBEMEMBER("BIDB","[Dimittenddato].[Dimittenddato].&amp;[2019-06-20T00:00:00]")</f>
        <v>20-06-2019</v>
      </c>
      <c r="B1127" t="str" vm="9089">
        <f>IFERROR(CUBEVALUE("BIDB",$A1127,B$3,'Præsentationstabeller 1'!$C$2),0)</f>
        <v/>
      </c>
      <c r="C1127" t="str" vm="15909">
        <f>IFERROR(CUBEVALUE("BIDB",$A1127,C$3,C$2,'Præsentationstabeller 1'!$C$2),0)</f>
        <v/>
      </c>
      <c r="D1127" t="str" vm="11519">
        <f>IFERROR(CUBEVALUE("BIDB",$A1127,D$3,D$2,'Præsentationstabeller 1'!$C$2),0)</f>
        <v/>
      </c>
      <c r="E1127" t="str" vm="4378">
        <f>IFERROR(CUBEVALUE("BIDB",$A1127,E$3,E$2,'Præsentationstabeller 1'!$C$2),0)</f>
        <v/>
      </c>
      <c r="F1127" t="str" vm="4384">
        <f>IFERROR(CUBEVALUE("BIDB",$A1127,F$3,F$2,'Præsentationstabeller 1'!$C$2),0)</f>
        <v/>
      </c>
      <c r="G1127" t="str" vm="16049">
        <f>IFERROR(CUBEVALUE("BIDB",$A1127,G$3,G$2,'Præsentationstabeller 1'!$C$2),0)</f>
        <v/>
      </c>
      <c r="H1127" t="str" vm="11359">
        <f>IFERROR(CUBEVALUE("BIDB",$A1127,H$3,H$2,'Præsentationstabeller 1'!$C$2),0)</f>
        <v/>
      </c>
      <c r="I1127" t="str" vm="4353">
        <f>IFERROR(CUBEVALUE("BIDB",$A1127,I$3,I$2,'Præsentationstabeller 1'!$C$2),0)</f>
        <v/>
      </c>
      <c r="J1127" t="str" vm="5074">
        <f>IFERROR(CUBEVALUE("BIDB",$A1127,J$3,J$2,'Præsentationstabeller 1'!$C$2),0)</f>
        <v/>
      </c>
      <c r="K1127" t="str" vm="11887">
        <f>IFERROR(CUBEVALUE("BIDB",$A1127,K$3,K$2,'Præsentationstabeller 1'!$C$2),0)</f>
        <v/>
      </c>
      <c r="L1127" t="str" vm="12719">
        <f>IFERROR(CUBEVALUE("BIDB",$A1127,L$3,L$2,'Præsentationstabeller 1'!$C$2),0)</f>
        <v/>
      </c>
    </row>
    <row r="1128" spans="1:12" x14ac:dyDescent="0.3">
      <c r="A1128" s="123" t="str" vm="208">
        <f>CUBEMEMBER("BIDB","[Dimittenddato].[Dimittenddato].&amp;[2019-06-21T00:00:00]")</f>
        <v>21-06-2019</v>
      </c>
      <c r="B1128" t="str" vm="5592">
        <f>IFERROR(CUBEVALUE("BIDB",$A1128,B$3,'Præsentationstabeller 1'!$C$2),0)</f>
        <v/>
      </c>
      <c r="C1128" t="str" vm="16636">
        <f>IFERROR(CUBEVALUE("BIDB",$A1128,C$3,C$2,'Præsentationstabeller 1'!$C$2),0)</f>
        <v/>
      </c>
      <c r="D1128" t="str" vm="14196">
        <f>IFERROR(CUBEVALUE("BIDB",$A1128,D$3,D$2,'Præsentationstabeller 1'!$C$2),0)</f>
        <v/>
      </c>
      <c r="E1128" t="str" vm="3348">
        <f>IFERROR(CUBEVALUE("BIDB",$A1128,E$3,E$2,'Præsentationstabeller 1'!$C$2),0)</f>
        <v/>
      </c>
      <c r="F1128" t="str" vm="6479">
        <f>IFERROR(CUBEVALUE("BIDB",$A1128,F$3,F$2,'Præsentationstabeller 1'!$C$2),0)</f>
        <v/>
      </c>
      <c r="G1128" t="str" vm="13941">
        <f>IFERROR(CUBEVALUE("BIDB",$A1128,G$3,G$2,'Præsentationstabeller 1'!$C$2),0)</f>
        <v/>
      </c>
      <c r="H1128" t="str" vm="12395">
        <f>IFERROR(CUBEVALUE("BIDB",$A1128,H$3,H$2,'Præsentationstabeller 1'!$C$2),0)</f>
        <v/>
      </c>
      <c r="I1128" t="str" vm="4559">
        <f>IFERROR(CUBEVALUE("BIDB",$A1128,I$3,I$2,'Præsentationstabeller 1'!$C$2),0)</f>
        <v/>
      </c>
      <c r="J1128" t="str" vm="3249">
        <f>IFERROR(CUBEVALUE("BIDB",$A1128,J$3,J$2,'Præsentationstabeller 1'!$C$2),0)</f>
        <v/>
      </c>
      <c r="K1128" t="str" vm="15306">
        <f>IFERROR(CUBEVALUE("BIDB",$A1128,K$3,K$2,'Præsentationstabeller 1'!$C$2),0)</f>
        <v/>
      </c>
      <c r="L1128" t="str" vm="9571">
        <f>IFERROR(CUBEVALUE("BIDB",$A1128,L$3,L$2,'Præsentationstabeller 1'!$C$2),0)</f>
        <v/>
      </c>
    </row>
    <row r="1129" spans="1:12" x14ac:dyDescent="0.3">
      <c r="A1129" s="123" t="str" vm="207">
        <f>CUBEMEMBER("BIDB","[Dimittenddato].[Dimittenddato].&amp;[2019-06-22T00:00:00]")</f>
        <v>22-06-2019</v>
      </c>
      <c r="B1129" t="str" vm="3729">
        <f>IFERROR(CUBEVALUE("BIDB",$A1129,B$3,'Præsentationstabeller 1'!$C$2),0)</f>
        <v/>
      </c>
      <c r="C1129" t="str" vm="13191">
        <f>IFERROR(CUBEVALUE("BIDB",$A1129,C$3,C$2,'Præsentationstabeller 1'!$C$2),0)</f>
        <v/>
      </c>
      <c r="D1129" t="str" vm="13179">
        <f>IFERROR(CUBEVALUE("BIDB",$A1129,D$3,D$2,'Præsentationstabeller 1'!$C$2),0)</f>
        <v/>
      </c>
      <c r="E1129" t="str" vm="7375">
        <f>IFERROR(CUBEVALUE("BIDB",$A1129,E$3,E$2,'Præsentationstabeller 1'!$C$2),0)</f>
        <v/>
      </c>
      <c r="F1129" t="str" vm="4507">
        <f>IFERROR(CUBEVALUE("BIDB",$A1129,F$3,F$2,'Præsentationstabeller 1'!$C$2),0)</f>
        <v/>
      </c>
      <c r="G1129" t="str" vm="14658">
        <f>IFERROR(CUBEVALUE("BIDB",$A1129,G$3,G$2,'Præsentationstabeller 1'!$C$2),0)</f>
        <v/>
      </c>
      <c r="H1129" t="str" vm="16931">
        <f>IFERROR(CUBEVALUE("BIDB",$A1129,H$3,H$2,'Præsentationstabeller 1'!$C$2),0)</f>
        <v/>
      </c>
      <c r="I1129" t="str" vm="4702">
        <f>IFERROR(CUBEVALUE("BIDB",$A1129,I$3,I$2,'Præsentationstabeller 1'!$C$2),0)</f>
        <v/>
      </c>
      <c r="J1129" t="str" vm="4647">
        <f>IFERROR(CUBEVALUE("BIDB",$A1129,J$3,J$2,'Præsentationstabeller 1'!$C$2),0)</f>
        <v/>
      </c>
      <c r="K1129" t="str" vm="16449">
        <f>IFERROR(CUBEVALUE("BIDB",$A1129,K$3,K$2,'Præsentationstabeller 1'!$C$2),0)</f>
        <v/>
      </c>
      <c r="L1129" t="str" vm="10484">
        <f>IFERROR(CUBEVALUE("BIDB",$A1129,L$3,L$2,'Præsentationstabeller 1'!$C$2),0)</f>
        <v/>
      </c>
    </row>
    <row r="1130" spans="1:12" x14ac:dyDescent="0.3">
      <c r="A1130" s="123" t="str" vm="206">
        <f>CUBEMEMBER("BIDB","[Dimittenddato].[Dimittenddato].&amp;[2019-06-23T00:00:00]")</f>
        <v>23-06-2019</v>
      </c>
      <c r="B1130" t="str" vm="6272">
        <f>IFERROR(CUBEVALUE("BIDB",$A1130,B$3,'Præsentationstabeller 1'!$C$2),0)</f>
        <v/>
      </c>
      <c r="C1130" t="str" vm="12876">
        <f>IFERROR(CUBEVALUE("BIDB",$A1130,C$3,C$2,'Præsentationstabeller 1'!$C$2),0)</f>
        <v/>
      </c>
      <c r="D1130" t="str" vm="10479">
        <f>IFERROR(CUBEVALUE("BIDB",$A1130,D$3,D$2,'Præsentationstabeller 1'!$C$2),0)</f>
        <v/>
      </c>
      <c r="E1130" t="str" vm="6129">
        <f>IFERROR(CUBEVALUE("BIDB",$A1130,E$3,E$2,'Præsentationstabeller 1'!$C$2),0)</f>
        <v/>
      </c>
      <c r="F1130" t="str" vm="4249">
        <f>IFERROR(CUBEVALUE("BIDB",$A1130,F$3,F$2,'Præsentationstabeller 1'!$C$2),0)</f>
        <v/>
      </c>
      <c r="G1130" t="str" vm="14825">
        <f>IFERROR(CUBEVALUE("BIDB",$A1130,G$3,G$2,'Præsentationstabeller 1'!$C$2),0)</f>
        <v/>
      </c>
      <c r="H1130" t="str" vm="12799">
        <f>IFERROR(CUBEVALUE("BIDB",$A1130,H$3,H$2,'Præsentationstabeller 1'!$C$2),0)</f>
        <v/>
      </c>
      <c r="I1130" t="str" vm="5809">
        <f>IFERROR(CUBEVALUE("BIDB",$A1130,I$3,I$2,'Præsentationstabeller 1'!$C$2),0)</f>
        <v/>
      </c>
      <c r="J1130" t="str" vm="5771">
        <f>IFERROR(CUBEVALUE("BIDB",$A1130,J$3,J$2,'Præsentationstabeller 1'!$C$2),0)</f>
        <v/>
      </c>
      <c r="K1130" t="str" vm="12115">
        <f>IFERROR(CUBEVALUE("BIDB",$A1130,K$3,K$2,'Præsentationstabeller 1'!$C$2),0)</f>
        <v/>
      </c>
      <c r="L1130" t="str" vm="9693">
        <f>IFERROR(CUBEVALUE("BIDB",$A1130,L$3,L$2,'Præsentationstabeller 1'!$C$2),0)</f>
        <v/>
      </c>
    </row>
    <row r="1131" spans="1:12" x14ac:dyDescent="0.3">
      <c r="A1131" s="123" t="str" vm="205">
        <f>CUBEMEMBER("BIDB","[Dimittenddato].[Dimittenddato].&amp;[2019-06-24T00:00:00]")</f>
        <v>24-06-2019</v>
      </c>
      <c r="B1131" t="str" vm="5507">
        <f>IFERROR(CUBEVALUE("BIDB",$A1131,B$3,'Præsentationstabeller 1'!$C$2),0)</f>
        <v/>
      </c>
      <c r="C1131" t="str" vm="15881">
        <f>IFERROR(CUBEVALUE("BIDB",$A1131,C$3,C$2,'Præsentationstabeller 1'!$C$2),0)</f>
        <v/>
      </c>
      <c r="D1131" t="str" vm="15349">
        <f>IFERROR(CUBEVALUE("BIDB",$A1131,D$3,D$2,'Præsentationstabeller 1'!$C$2),0)</f>
        <v/>
      </c>
      <c r="E1131" t="str" vm="3859">
        <f>IFERROR(CUBEVALUE("BIDB",$A1131,E$3,E$2,'Præsentationstabeller 1'!$C$2),0)</f>
        <v/>
      </c>
      <c r="F1131" t="str" vm="4734">
        <f>IFERROR(CUBEVALUE("BIDB",$A1131,F$3,F$2,'Præsentationstabeller 1'!$C$2),0)</f>
        <v/>
      </c>
      <c r="G1131" t="str" vm="13499">
        <f>IFERROR(CUBEVALUE("BIDB",$A1131,G$3,G$2,'Præsentationstabeller 1'!$C$2),0)</f>
        <v/>
      </c>
      <c r="H1131" t="str" vm="15194">
        <f>IFERROR(CUBEVALUE("BIDB",$A1131,H$3,H$2,'Præsentationstabeller 1'!$C$2),0)</f>
        <v/>
      </c>
      <c r="I1131" t="str" vm="4537">
        <f>IFERROR(CUBEVALUE("BIDB",$A1131,I$3,I$2,'Præsentationstabeller 1'!$C$2),0)</f>
        <v/>
      </c>
      <c r="J1131" t="str" vm="3761">
        <f>IFERROR(CUBEVALUE("BIDB",$A1131,J$3,J$2,'Præsentationstabeller 1'!$C$2),0)</f>
        <v/>
      </c>
      <c r="K1131" t="str" vm="15732">
        <f>IFERROR(CUBEVALUE("BIDB",$A1131,K$3,K$2,'Præsentationstabeller 1'!$C$2),0)</f>
        <v/>
      </c>
      <c r="L1131" t="str" vm="16224">
        <f>IFERROR(CUBEVALUE("BIDB",$A1131,L$3,L$2,'Præsentationstabeller 1'!$C$2),0)</f>
        <v/>
      </c>
    </row>
    <row r="1132" spans="1:12" x14ac:dyDescent="0.3">
      <c r="A1132" s="123" t="str" vm="204">
        <f>CUBEMEMBER("BIDB","[Dimittenddato].[Dimittenddato].&amp;[2019-06-25T00:00:00]")</f>
        <v>25-06-2019</v>
      </c>
      <c r="B1132" t="str" vm="5068">
        <f>IFERROR(CUBEVALUE("BIDB",$A1132,B$3,'Præsentationstabeller 1'!$C$2),0)</f>
        <v/>
      </c>
      <c r="C1132" t="str" vm="10325">
        <f>IFERROR(CUBEVALUE("BIDB",$A1132,C$3,C$2,'Præsentationstabeller 1'!$C$2),0)</f>
        <v/>
      </c>
      <c r="D1132" t="str" vm="14586">
        <f>IFERROR(CUBEVALUE("BIDB",$A1132,D$3,D$2,'Præsentationstabeller 1'!$C$2),0)</f>
        <v/>
      </c>
      <c r="E1132" t="str" vm="5694">
        <f>IFERROR(CUBEVALUE("BIDB",$A1132,E$3,E$2,'Præsentationstabeller 1'!$C$2),0)</f>
        <v/>
      </c>
      <c r="F1132" t="str" vm="6477">
        <f>IFERROR(CUBEVALUE("BIDB",$A1132,F$3,F$2,'Præsentationstabeller 1'!$C$2),0)</f>
        <v/>
      </c>
      <c r="G1132" t="str" vm="12423">
        <f>IFERROR(CUBEVALUE("BIDB",$A1132,G$3,G$2,'Præsentationstabeller 1'!$C$2),0)</f>
        <v/>
      </c>
      <c r="H1132" t="str" vm="14690">
        <f>IFERROR(CUBEVALUE("BIDB",$A1132,H$3,H$2,'Præsentationstabeller 1'!$C$2),0)</f>
        <v/>
      </c>
      <c r="I1132" t="str" vm="4211">
        <f>IFERROR(CUBEVALUE("BIDB",$A1132,I$3,I$2,'Præsentationstabeller 1'!$C$2),0)</f>
        <v/>
      </c>
      <c r="J1132" t="str" vm="3233">
        <f>IFERROR(CUBEVALUE("BIDB",$A1132,J$3,J$2,'Præsentationstabeller 1'!$C$2),0)</f>
        <v/>
      </c>
      <c r="K1132" t="str" vm="13231">
        <f>IFERROR(CUBEVALUE("BIDB",$A1132,K$3,K$2,'Præsentationstabeller 1'!$C$2),0)</f>
        <v/>
      </c>
      <c r="L1132" t="str" vm="11352">
        <f>IFERROR(CUBEVALUE("BIDB",$A1132,L$3,L$2,'Præsentationstabeller 1'!$C$2),0)</f>
        <v/>
      </c>
    </row>
    <row r="1133" spans="1:12" x14ac:dyDescent="0.3">
      <c r="A1133" s="123" t="str" vm="203">
        <f>CUBEMEMBER("BIDB","[Dimittenddato].[Dimittenddato].&amp;[2019-06-26T00:00:00]")</f>
        <v>26-06-2019</v>
      </c>
      <c r="B1133" t="str" vm="5130">
        <f>IFERROR(CUBEVALUE("BIDB",$A1133,B$3,'Præsentationstabeller 1'!$C$2),0)</f>
        <v/>
      </c>
      <c r="C1133" t="str" vm="10397">
        <f>IFERROR(CUBEVALUE("BIDB",$A1133,C$3,C$2,'Præsentationstabeller 1'!$C$2),0)</f>
        <v/>
      </c>
      <c r="D1133" t="str" vm="13805">
        <f>IFERROR(CUBEVALUE("BIDB",$A1133,D$3,D$2,'Præsentationstabeller 1'!$C$2),0)</f>
        <v/>
      </c>
      <c r="E1133" t="str" vm="6884">
        <f>IFERROR(CUBEVALUE("BIDB",$A1133,E$3,E$2,'Præsentationstabeller 1'!$C$2),0)</f>
        <v/>
      </c>
      <c r="F1133" t="str" vm="8317">
        <f>IFERROR(CUBEVALUE("BIDB",$A1133,F$3,F$2,'Præsentationstabeller 1'!$C$2),0)</f>
        <v/>
      </c>
      <c r="G1133" t="str" vm="13317">
        <f>IFERROR(CUBEVALUE("BIDB",$A1133,G$3,G$2,'Præsentationstabeller 1'!$C$2),0)</f>
        <v/>
      </c>
      <c r="H1133" t="str" vm="13878">
        <f>IFERROR(CUBEVALUE("BIDB",$A1133,H$3,H$2,'Præsentationstabeller 1'!$C$2),0)</f>
        <v/>
      </c>
      <c r="I1133" t="str" vm="5230">
        <f>IFERROR(CUBEVALUE("BIDB",$A1133,I$3,I$2,'Præsentationstabeller 1'!$C$2),0)</f>
        <v/>
      </c>
      <c r="J1133" t="str" vm="9194">
        <f>IFERROR(CUBEVALUE("BIDB",$A1133,J$3,J$2,'Præsentationstabeller 1'!$C$2),0)</f>
        <v/>
      </c>
      <c r="K1133" t="str" vm="10529">
        <f>IFERROR(CUBEVALUE("BIDB",$A1133,K$3,K$2,'Præsentationstabeller 1'!$C$2),0)</f>
        <v/>
      </c>
      <c r="L1133" t="str" vm="12145">
        <f>IFERROR(CUBEVALUE("BIDB",$A1133,L$3,L$2,'Præsentationstabeller 1'!$C$2),0)</f>
        <v/>
      </c>
    </row>
    <row r="1134" spans="1:12" x14ac:dyDescent="0.3">
      <c r="A1134" s="123" t="str" vm="202">
        <f>CUBEMEMBER("BIDB","[Dimittenddato].[Dimittenddato].&amp;[2019-06-27T00:00:00]")</f>
        <v>27-06-2019</v>
      </c>
      <c r="B1134" t="str" vm="5702">
        <f>IFERROR(CUBEVALUE("BIDB",$A1134,B$3,'Præsentationstabeller 1'!$C$2),0)</f>
        <v/>
      </c>
      <c r="C1134" t="str" vm="16192">
        <f>IFERROR(CUBEVALUE("BIDB",$A1134,C$3,C$2,'Præsentationstabeller 1'!$C$2),0)</f>
        <v/>
      </c>
      <c r="D1134" t="str" vm="12211">
        <f>IFERROR(CUBEVALUE("BIDB",$A1134,D$3,D$2,'Præsentationstabeller 1'!$C$2),0)</f>
        <v/>
      </c>
      <c r="E1134" t="str" vm="7124">
        <f>IFERROR(CUBEVALUE("BIDB",$A1134,E$3,E$2,'Præsentationstabeller 1'!$C$2),0)</f>
        <v/>
      </c>
      <c r="F1134" t="str" vm="4241">
        <f>IFERROR(CUBEVALUE("BIDB",$A1134,F$3,F$2,'Præsentationstabeller 1'!$C$2),0)</f>
        <v/>
      </c>
      <c r="G1134" t="str" vm="15994">
        <f>IFERROR(CUBEVALUE("BIDB",$A1134,G$3,G$2,'Præsentationstabeller 1'!$C$2),0)</f>
        <v/>
      </c>
      <c r="H1134" t="str" vm="11093">
        <f>IFERROR(CUBEVALUE("BIDB",$A1134,H$3,H$2,'Præsentationstabeller 1'!$C$2),0)</f>
        <v/>
      </c>
      <c r="I1134" t="str" vm="7758">
        <f>IFERROR(CUBEVALUE("BIDB",$A1134,I$3,I$2,'Præsentationstabeller 1'!$C$2),0)</f>
        <v/>
      </c>
      <c r="J1134" t="str" vm="7762">
        <f>IFERROR(CUBEVALUE("BIDB",$A1134,J$3,J$2,'Præsentationstabeller 1'!$C$2),0)</f>
        <v/>
      </c>
      <c r="K1134" t="str" vm="14869">
        <f>IFERROR(CUBEVALUE("BIDB",$A1134,K$3,K$2,'Præsentationstabeller 1'!$C$2),0)</f>
        <v/>
      </c>
      <c r="L1134" t="str" vm="8219">
        <f>IFERROR(CUBEVALUE("BIDB",$A1134,L$3,L$2,'Præsentationstabeller 1'!$C$2),0)</f>
        <v/>
      </c>
    </row>
    <row r="1135" spans="1:12" x14ac:dyDescent="0.3">
      <c r="A1135" s="123" t="str" vm="201">
        <f>CUBEMEMBER("BIDB","[Dimittenddato].[Dimittenddato].&amp;[2019-06-28T00:00:00]")</f>
        <v>28-06-2019</v>
      </c>
      <c r="B1135" t="str" vm="5499">
        <f>IFERROR(CUBEVALUE("BIDB",$A1135,B$3,'Præsentationstabeller 1'!$C$2),0)</f>
        <v/>
      </c>
      <c r="C1135" t="str" vm="14774">
        <f>IFERROR(CUBEVALUE("BIDB",$A1135,C$3,C$2,'Præsentationstabeller 1'!$C$2),0)</f>
        <v/>
      </c>
      <c r="D1135" t="str" vm="11878">
        <f>IFERROR(CUBEVALUE("BIDB",$A1135,D$3,D$2,'Præsentationstabeller 1'!$C$2),0)</f>
        <v/>
      </c>
      <c r="E1135" t="str" vm="5315">
        <f>IFERROR(CUBEVALUE("BIDB",$A1135,E$3,E$2,'Præsentationstabeller 1'!$C$2),0)</f>
        <v/>
      </c>
      <c r="F1135" vm="4718">
        <f>IFERROR(CUBEVALUE("BIDB",$A1135,F$3,F$2,'Præsentationstabeller 1'!$C$2),0)</f>
        <v>0</v>
      </c>
      <c r="G1135" vm="13689">
        <f>IFERROR(CUBEVALUE("BIDB",$A1135,G$3,G$2,'Præsentationstabeller 1'!$C$2),0)</f>
        <v>0</v>
      </c>
      <c r="H1135" t="str" vm="11423">
        <f>IFERROR(CUBEVALUE("BIDB",$A1135,H$3,H$2,'Præsentationstabeller 1'!$C$2),0)</f>
        <v/>
      </c>
      <c r="I1135" t="str" vm="4392">
        <f>IFERROR(CUBEVALUE("BIDB",$A1135,I$3,I$2,'Præsentationstabeller 1'!$C$2),0)</f>
        <v/>
      </c>
      <c r="J1135" t="str" vm="3745">
        <f>IFERROR(CUBEVALUE("BIDB",$A1135,J$3,J$2,'Præsentationstabeller 1'!$C$2),0)</f>
        <v/>
      </c>
      <c r="K1135" t="str" vm="12291">
        <f>IFERROR(CUBEVALUE("BIDB",$A1135,K$3,K$2,'Præsentationstabeller 1'!$C$2),0)</f>
        <v/>
      </c>
      <c r="L1135" t="str" vm="9370">
        <f>IFERROR(CUBEVALUE("BIDB",$A1135,L$3,L$2,'Præsentationstabeller 1'!$C$2),0)</f>
        <v/>
      </c>
    </row>
    <row r="1136" spans="1:12" x14ac:dyDescent="0.3">
      <c r="A1136" s="123" t="str" vm="200">
        <f>CUBEMEMBER("BIDB","[Dimittenddato].[Dimittenddato].&amp;[2019-06-29T00:00:00]")</f>
        <v>29-06-2019</v>
      </c>
      <c r="B1136" t="str" vm="6783">
        <f>IFERROR(CUBEVALUE("BIDB",$A1136,B$3,'Præsentationstabeller 1'!$C$2),0)</f>
        <v/>
      </c>
      <c r="C1136" t="str" vm="15213">
        <f>IFERROR(CUBEVALUE("BIDB",$A1136,C$3,C$2,'Præsentationstabeller 1'!$C$2),0)</f>
        <v/>
      </c>
      <c r="D1136" t="str" vm="15423">
        <f>IFERROR(CUBEVALUE("BIDB",$A1136,D$3,D$2,'Præsentationstabeller 1'!$C$2),0)</f>
        <v/>
      </c>
      <c r="E1136" t="str" vm="4414">
        <f>IFERROR(CUBEVALUE("BIDB",$A1136,E$3,E$2,'Præsentationstabeller 1'!$C$2),0)</f>
        <v/>
      </c>
      <c r="F1136" t="str" vm="8567">
        <f>IFERROR(CUBEVALUE("BIDB",$A1136,F$3,F$2,'Præsentationstabeller 1'!$C$2),0)</f>
        <v/>
      </c>
      <c r="G1136" t="str" vm="14241">
        <f>IFERROR(CUBEVALUE("BIDB",$A1136,G$3,G$2,'Præsentationstabeller 1'!$C$2),0)</f>
        <v/>
      </c>
      <c r="H1136" t="str" vm="13868">
        <f>IFERROR(CUBEVALUE("BIDB",$A1136,H$3,H$2,'Præsentationstabeller 1'!$C$2),0)</f>
        <v/>
      </c>
      <c r="I1136" t="str" vm="5868">
        <f>IFERROR(CUBEVALUE("BIDB",$A1136,I$3,I$2,'Præsentationstabeller 1'!$C$2),0)</f>
        <v/>
      </c>
      <c r="J1136" t="str" vm="4088">
        <f>IFERROR(CUBEVALUE("BIDB",$A1136,J$3,J$2,'Præsentationstabeller 1'!$C$2),0)</f>
        <v/>
      </c>
      <c r="K1136" t="str" vm="11425">
        <f>IFERROR(CUBEVALUE("BIDB",$A1136,K$3,K$2,'Præsentationstabeller 1'!$C$2),0)</f>
        <v/>
      </c>
      <c r="L1136" t="str" vm="9719">
        <f>IFERROR(CUBEVALUE("BIDB",$A1136,L$3,L$2,'Præsentationstabeller 1'!$C$2),0)</f>
        <v/>
      </c>
    </row>
    <row r="1137" spans="1:12" x14ac:dyDescent="0.3">
      <c r="A1137" s="123" t="str" vm="199">
        <f>CUBEMEMBER("BIDB","[Dimittenddato].[Dimittenddato].&amp;[2019-06-30T00:00:00]")</f>
        <v>30-06-2019</v>
      </c>
      <c r="B1137" t="str" vm="5323">
        <f>IFERROR(CUBEVALUE("BIDB",$A1137,B$3,'Præsentationstabeller 1'!$C$2),0)</f>
        <v/>
      </c>
      <c r="C1137" t="str" vm="12174">
        <f>IFERROR(CUBEVALUE("BIDB",$A1137,C$3,C$2,'Præsentationstabeller 1'!$C$2),0)</f>
        <v/>
      </c>
      <c r="D1137" vm="15792">
        <f>IFERROR(CUBEVALUE("BIDB",$A1137,D$3,D$2,'Præsentationstabeller 1'!$C$2),0)</f>
        <v>1</v>
      </c>
      <c r="E1137" t="str" vm="4042">
        <f>IFERROR(CUBEVALUE("BIDB",$A1137,E$3,E$2,'Præsentationstabeller 1'!$C$2),0)</f>
        <v/>
      </c>
      <c r="F1137" t="str" vm="5238">
        <f>IFERROR(CUBEVALUE("BIDB",$A1137,F$3,F$2,'Præsentationstabeller 1'!$C$2),0)</f>
        <v/>
      </c>
      <c r="G1137" t="str" vm="12580">
        <f>IFERROR(CUBEVALUE("BIDB",$A1137,G$3,G$2,'Præsentationstabeller 1'!$C$2),0)</f>
        <v/>
      </c>
      <c r="H1137" t="str" vm="15750">
        <f>IFERROR(CUBEVALUE("BIDB",$A1137,H$3,H$2,'Præsentationstabeller 1'!$C$2),0)</f>
        <v/>
      </c>
      <c r="I1137" t="str" vm="4120">
        <f>IFERROR(CUBEVALUE("BIDB",$A1137,I$3,I$2,'Præsentationstabeller 1'!$C$2),0)</f>
        <v/>
      </c>
      <c r="J1137" t="str" vm="6628">
        <f>IFERROR(CUBEVALUE("BIDB",$A1137,J$3,J$2,'Præsentationstabeller 1'!$C$2),0)</f>
        <v/>
      </c>
      <c r="K1137" t="str" vm="16566">
        <f>IFERROR(CUBEVALUE("BIDB",$A1137,K$3,K$2,'Præsentationstabeller 1'!$C$2),0)</f>
        <v/>
      </c>
      <c r="L1137" t="str" vm="12723">
        <f>IFERROR(CUBEVALUE("BIDB",$A1137,L$3,L$2,'Præsentationstabeller 1'!$C$2),0)</f>
        <v/>
      </c>
    </row>
    <row r="1138" spans="1:12" x14ac:dyDescent="0.3">
      <c r="A1138" s="123" t="str" vm="198">
        <f>CUBEMEMBER("BIDB","[Dimittenddato].[Dimittenddato].&amp;[2019-07-01T00:00:00]")</f>
        <v>01-07-2019</v>
      </c>
      <c r="B1138" t="str" vm="5698">
        <f>IFERROR(CUBEVALUE("BIDB",$A1138,B$3,'Præsentationstabeller 1'!$C$2),0)</f>
        <v/>
      </c>
      <c r="C1138" t="str" vm="15471">
        <f>IFERROR(CUBEVALUE("BIDB",$A1138,C$3,C$2,'Præsentationstabeller 1'!$C$2),0)</f>
        <v/>
      </c>
      <c r="D1138" t="str" vm="9381">
        <f>IFERROR(CUBEVALUE("BIDB",$A1138,D$3,D$2,'Præsentationstabeller 1'!$C$2),0)</f>
        <v/>
      </c>
      <c r="E1138" t="str" vm="3775">
        <f>IFERROR(CUBEVALUE("BIDB",$A1138,E$3,E$2,'Præsentationstabeller 1'!$C$2),0)</f>
        <v/>
      </c>
      <c r="F1138" t="str" vm="4226">
        <f>IFERROR(CUBEVALUE("BIDB",$A1138,F$3,F$2,'Præsentationstabeller 1'!$C$2),0)</f>
        <v/>
      </c>
      <c r="G1138" t="str" vm="16109">
        <f>IFERROR(CUBEVALUE("BIDB",$A1138,G$3,G$2,'Præsentationstabeller 1'!$C$2),0)</f>
        <v/>
      </c>
      <c r="H1138" t="str" vm="14066">
        <f>IFERROR(CUBEVALUE("BIDB",$A1138,H$3,H$2,'Præsentationstabeller 1'!$C$2),0)</f>
        <v/>
      </c>
      <c r="I1138" t="str" vm="4329">
        <f>IFERROR(CUBEVALUE("BIDB",$A1138,I$3,I$2,'Præsentationstabeller 1'!$C$2),0)</f>
        <v/>
      </c>
      <c r="J1138" t="str" vm="5718">
        <f>IFERROR(CUBEVALUE("BIDB",$A1138,J$3,J$2,'Præsentationstabeller 1'!$C$2),0)</f>
        <v/>
      </c>
      <c r="K1138" t="str" vm="13643">
        <f>IFERROR(CUBEVALUE("BIDB",$A1138,K$3,K$2,'Præsentationstabeller 1'!$C$2),0)</f>
        <v/>
      </c>
      <c r="L1138" t="str" vm="8142">
        <f>IFERROR(CUBEVALUE("BIDB",$A1138,L$3,L$2,'Præsentationstabeller 1'!$C$2),0)</f>
        <v/>
      </c>
    </row>
    <row r="1139" spans="1:12" x14ac:dyDescent="0.3">
      <c r="A1139" s="123" t="str" vm="197">
        <f>CUBEMEMBER("BIDB","[Dimittenddato].[Dimittenddato].&amp;[2019-07-02T00:00:00]")</f>
        <v>02-07-2019</v>
      </c>
      <c r="B1139" t="str" vm="9093">
        <f>IFERROR(CUBEVALUE("BIDB",$A1139,B$3,'Præsentationstabeller 1'!$C$2),0)</f>
        <v/>
      </c>
      <c r="C1139" t="str" vm="13388">
        <f>IFERROR(CUBEVALUE("BIDB",$A1139,C$3,C$2,'Præsentationstabeller 1'!$C$2),0)</f>
        <v/>
      </c>
      <c r="D1139" t="str" vm="14942">
        <f>IFERROR(CUBEVALUE("BIDB",$A1139,D$3,D$2,'Præsentationstabeller 1'!$C$2),0)</f>
        <v/>
      </c>
      <c r="E1139" t="str" vm="4279">
        <f>IFERROR(CUBEVALUE("BIDB",$A1139,E$3,E$2,'Præsentationstabeller 1'!$C$2),0)</f>
        <v/>
      </c>
      <c r="F1139" t="str" vm="3974">
        <f>IFERROR(CUBEVALUE("BIDB",$A1139,F$3,F$2,'Præsentationstabeller 1'!$C$2),0)</f>
        <v/>
      </c>
      <c r="G1139" t="str" vm="14440">
        <f>IFERROR(CUBEVALUE("BIDB",$A1139,G$3,G$2,'Præsentationstabeller 1'!$C$2),0)</f>
        <v/>
      </c>
      <c r="H1139" t="str" vm="11109">
        <f>IFERROR(CUBEVALUE("BIDB",$A1139,H$3,H$2,'Præsentationstabeller 1'!$C$2),0)</f>
        <v/>
      </c>
      <c r="I1139" t="str" vm="6951">
        <f>IFERROR(CUBEVALUE("BIDB",$A1139,I$3,I$2,'Præsentationstabeller 1'!$C$2),0)</f>
        <v/>
      </c>
      <c r="J1139" t="str" vm="3591">
        <f>IFERROR(CUBEVALUE("BIDB",$A1139,J$3,J$2,'Præsentationstabeller 1'!$C$2),0)</f>
        <v/>
      </c>
      <c r="K1139" t="str" vm="14981">
        <f>IFERROR(CUBEVALUE("BIDB",$A1139,K$3,K$2,'Præsentationstabeller 1'!$C$2),0)</f>
        <v/>
      </c>
      <c r="L1139" t="str" vm="11523">
        <f>IFERROR(CUBEVALUE("BIDB",$A1139,L$3,L$2,'Præsentationstabeller 1'!$C$2),0)</f>
        <v/>
      </c>
    </row>
    <row r="1140" spans="1:12" x14ac:dyDescent="0.3">
      <c r="A1140" s="123" t="str" vm="196">
        <f>CUBEMEMBER("BIDB","[Dimittenddato].[Dimittenddato].&amp;[2019-07-03T00:00:00]")</f>
        <v>03-07-2019</v>
      </c>
      <c r="B1140" t="str" vm="5107">
        <f>IFERROR(CUBEVALUE("BIDB",$A1140,B$3,'Præsentationstabeller 1'!$C$2),0)</f>
        <v/>
      </c>
      <c r="C1140" t="str" vm="9904">
        <f>IFERROR(CUBEVALUE("BIDB",$A1140,C$3,C$2,'Præsentationstabeller 1'!$C$2),0)</f>
        <v/>
      </c>
      <c r="D1140" t="str" vm="11534">
        <f>IFERROR(CUBEVALUE("BIDB",$A1140,D$3,D$2,'Præsentationstabeller 1'!$C$2),0)</f>
        <v/>
      </c>
      <c r="E1140" t="str" vm="4006">
        <f>IFERROR(CUBEVALUE("BIDB",$A1140,E$3,E$2,'Præsentationstabeller 1'!$C$2),0)</f>
        <v/>
      </c>
      <c r="F1140" t="str" vm="7373">
        <f>IFERROR(CUBEVALUE("BIDB",$A1140,F$3,F$2,'Præsentationstabeller 1'!$C$2),0)</f>
        <v/>
      </c>
      <c r="G1140" t="str" vm="14796">
        <f>IFERROR(CUBEVALUE("BIDB",$A1140,G$3,G$2,'Præsentationstabeller 1'!$C$2),0)</f>
        <v/>
      </c>
      <c r="H1140" t="str" vm="16624">
        <f>IFERROR(CUBEVALUE("BIDB",$A1140,H$3,H$2,'Præsentationstabeller 1'!$C$2),0)</f>
        <v/>
      </c>
      <c r="I1140" t="str" vm="4129">
        <f>IFERROR(CUBEVALUE("BIDB",$A1140,I$3,I$2,'Præsentationstabeller 1'!$C$2),0)</f>
        <v/>
      </c>
      <c r="J1140" t="str" vm="3767">
        <f>IFERROR(CUBEVALUE("BIDB",$A1140,J$3,J$2,'Præsentationstabeller 1'!$C$2),0)</f>
        <v/>
      </c>
      <c r="K1140" t="str" vm="15478">
        <f>IFERROR(CUBEVALUE("BIDB",$A1140,K$3,K$2,'Præsentationstabeller 1'!$C$2),0)</f>
        <v/>
      </c>
      <c r="L1140" t="str" vm="10823">
        <f>IFERROR(CUBEVALUE("BIDB",$A1140,L$3,L$2,'Præsentationstabeller 1'!$C$2),0)</f>
        <v/>
      </c>
    </row>
    <row r="1141" spans="1:12" x14ac:dyDescent="0.3">
      <c r="A1141" s="123" t="str" vm="195">
        <f>CUBEMEMBER("BIDB","[Dimittenddato].[Dimittenddato].&amp;[2019-07-04T00:00:00]")</f>
        <v>04-07-2019</v>
      </c>
      <c r="B1141" t="str" vm="5319">
        <f>IFERROR(CUBEVALUE("BIDB",$A1141,B$3,'Præsentationstabeller 1'!$C$2),0)</f>
        <v/>
      </c>
      <c r="C1141" t="str" vm="14458">
        <f>IFERROR(CUBEVALUE("BIDB",$A1141,C$3,C$2,'Præsentationstabeller 1'!$C$2),0)</f>
        <v/>
      </c>
      <c r="D1141" t="str" vm="12517">
        <f>IFERROR(CUBEVALUE("BIDB",$A1141,D$3,D$2,'Præsentationstabeller 1'!$C$2),0)</f>
        <v/>
      </c>
      <c r="E1141" t="str" vm="4034">
        <f>IFERROR(CUBEVALUE("BIDB",$A1141,E$3,E$2,'Præsentationstabeller 1'!$C$2),0)</f>
        <v/>
      </c>
      <c r="F1141" t="str" vm="4577">
        <f>IFERROR(CUBEVALUE("BIDB",$A1141,F$3,F$2,'Præsentationstabeller 1'!$C$2),0)</f>
        <v/>
      </c>
      <c r="G1141" t="str" vm="12065">
        <f>IFERROR(CUBEVALUE("BIDB",$A1141,G$3,G$2,'Præsentationstabeller 1'!$C$2),0)</f>
        <v/>
      </c>
      <c r="H1141" t="str" vm="16961">
        <f>IFERROR(CUBEVALUE("BIDB",$A1141,H$3,H$2,'Præsentationstabeller 1'!$C$2),0)</f>
        <v/>
      </c>
      <c r="I1141" t="str" vm="4104">
        <f>IFERROR(CUBEVALUE("BIDB",$A1141,I$3,I$2,'Præsentationstabeller 1'!$C$2),0)</f>
        <v/>
      </c>
      <c r="J1141" t="str" vm="5425">
        <f>IFERROR(CUBEVALUE("BIDB",$A1141,J$3,J$2,'Præsentationstabeller 1'!$C$2),0)</f>
        <v/>
      </c>
      <c r="K1141" t="str" vm="15202">
        <f>IFERROR(CUBEVALUE("BIDB",$A1141,K$3,K$2,'Præsentationstabeller 1'!$C$2),0)</f>
        <v/>
      </c>
      <c r="L1141" t="str" vm="15108">
        <f>IFERROR(CUBEVALUE("BIDB",$A1141,L$3,L$2,'Præsentationstabeller 1'!$C$2),0)</f>
        <v/>
      </c>
    </row>
    <row r="1142" spans="1:12" x14ac:dyDescent="0.3">
      <c r="A1142" s="123" t="str" vm="194">
        <f>CUBEMEMBER("BIDB","[Dimittenddato].[Dimittenddato].&amp;[2019-07-05T00:00:00]")</f>
        <v>05-07-2019</v>
      </c>
      <c r="B1142" t="str" vm="4453">
        <f>IFERROR(CUBEVALUE("BIDB",$A1142,B$3,'Præsentationstabeller 1'!$C$2),0)</f>
        <v/>
      </c>
      <c r="C1142" t="str" vm="9472">
        <f>IFERROR(CUBEVALUE("BIDB",$A1142,C$3,C$2,'Præsentationstabeller 1'!$C$2),0)</f>
        <v/>
      </c>
      <c r="D1142" t="str" vm="15274">
        <f>IFERROR(CUBEVALUE("BIDB",$A1142,D$3,D$2,'Præsentationstabeller 1'!$C$2),0)</f>
        <v/>
      </c>
      <c r="E1142" t="str" vm="5898">
        <f>IFERROR(CUBEVALUE("BIDB",$A1142,E$3,E$2,'Præsentationstabeller 1'!$C$2),0)</f>
        <v/>
      </c>
      <c r="F1142" t="str" vm="3476">
        <f>IFERROR(CUBEVALUE("BIDB",$A1142,F$3,F$2,'Præsentationstabeller 1'!$C$2),0)</f>
        <v/>
      </c>
      <c r="G1142" t="str" vm="16121">
        <f>IFERROR(CUBEVALUE("BIDB",$A1142,G$3,G$2,'Præsentationstabeller 1'!$C$2),0)</f>
        <v/>
      </c>
      <c r="H1142" t="str" vm="9216">
        <f>IFERROR(CUBEVALUE("BIDB",$A1142,H$3,H$2,'Præsentationstabeller 1'!$C$2),0)</f>
        <v/>
      </c>
      <c r="I1142" t="str" vm="7683">
        <f>IFERROR(CUBEVALUE("BIDB",$A1142,I$3,I$2,'Præsentationstabeller 1'!$C$2),0)</f>
        <v/>
      </c>
      <c r="J1142" t="str" vm="4255">
        <f>IFERROR(CUBEVALUE("BIDB",$A1142,J$3,J$2,'Præsentationstabeller 1'!$C$2),0)</f>
        <v/>
      </c>
      <c r="K1142" t="str" vm="14655">
        <f>IFERROR(CUBEVALUE("BIDB",$A1142,K$3,K$2,'Præsentationstabeller 1'!$C$2),0)</f>
        <v/>
      </c>
      <c r="L1142" t="str" vm="9151">
        <f>IFERROR(CUBEVALUE("BIDB",$A1142,L$3,L$2,'Præsentationstabeller 1'!$C$2),0)</f>
        <v/>
      </c>
    </row>
    <row r="1143" spans="1:12" x14ac:dyDescent="0.3">
      <c r="A1143" s="123" t="str" vm="193">
        <f>CUBEMEMBER("BIDB","[Dimittenddato].[Dimittenddato].&amp;[2019-07-06T00:00:00]")</f>
        <v>06-07-2019</v>
      </c>
      <c r="B1143" t="str" vm="6406">
        <f>IFERROR(CUBEVALUE("BIDB",$A1143,B$3,'Præsentationstabeller 1'!$C$2),0)</f>
        <v/>
      </c>
      <c r="C1143" t="str" vm="10269">
        <f>IFERROR(CUBEVALUE("BIDB",$A1143,C$3,C$2,'Præsentationstabeller 1'!$C$2),0)</f>
        <v/>
      </c>
      <c r="D1143" t="str" vm="14374">
        <f>IFERROR(CUBEVALUE("BIDB",$A1143,D$3,D$2,'Præsentationstabeller 1'!$C$2),0)</f>
        <v/>
      </c>
      <c r="E1143" t="str" vm="3508">
        <f>IFERROR(CUBEVALUE("BIDB",$A1143,E$3,E$2,'Præsentationstabeller 1'!$C$2),0)</f>
        <v/>
      </c>
      <c r="F1143" t="str" vm="6949">
        <f>IFERROR(CUBEVALUE("BIDB",$A1143,F$3,F$2,'Præsentationstabeller 1'!$C$2),0)</f>
        <v/>
      </c>
      <c r="G1143" t="str" vm="14814">
        <f>IFERROR(CUBEVALUE("BIDB",$A1143,G$3,G$2,'Præsentationstabeller 1'!$C$2),0)</f>
        <v/>
      </c>
      <c r="H1143" t="str" vm="15958">
        <f>IFERROR(CUBEVALUE("BIDB",$A1143,H$3,H$2,'Præsentationstabeller 1'!$C$2),0)</f>
        <v/>
      </c>
      <c r="I1143" t="str" vm="5874">
        <f>IFERROR(CUBEVALUE("BIDB",$A1143,I$3,I$2,'Præsentationstabeller 1'!$C$2),0)</f>
        <v/>
      </c>
      <c r="J1143" t="str" vm="5325">
        <f>IFERROR(CUBEVALUE("BIDB",$A1143,J$3,J$2,'Præsentationstabeller 1'!$C$2),0)</f>
        <v/>
      </c>
      <c r="K1143" t="str" vm="12609">
        <f>IFERROR(CUBEVALUE("BIDB",$A1143,K$3,K$2,'Præsentationstabeller 1'!$C$2),0)</f>
        <v/>
      </c>
      <c r="L1143" t="str" vm="15017">
        <f>IFERROR(CUBEVALUE("BIDB",$A1143,L$3,L$2,'Præsentationstabeller 1'!$C$2),0)</f>
        <v/>
      </c>
    </row>
    <row r="1144" spans="1:12" x14ac:dyDescent="0.3">
      <c r="A1144" s="123" t="str" vm="192">
        <f>CUBEMEMBER("BIDB","[Dimittenddato].[Dimittenddato].&amp;[2019-07-07T00:00:00]")</f>
        <v>07-07-2019</v>
      </c>
      <c r="B1144" t="str" vm="4285">
        <f>IFERROR(CUBEVALUE("BIDB",$A1144,B$3,'Præsentationstabeller 1'!$C$2),0)</f>
        <v/>
      </c>
      <c r="C1144" t="str" vm="16313">
        <f>IFERROR(CUBEVALUE("BIDB",$A1144,C$3,C$2,'Præsentationstabeller 1'!$C$2),0)</f>
        <v/>
      </c>
      <c r="D1144" t="str" vm="14332">
        <f>IFERROR(CUBEVALUE("BIDB",$A1144,D$3,D$2,'Præsentationstabeller 1'!$C$2),0)</f>
        <v/>
      </c>
      <c r="E1144" t="str" vm="3990">
        <f>IFERROR(CUBEVALUE("BIDB",$A1144,E$3,E$2,'Præsentationstabeller 1'!$C$2),0)</f>
        <v/>
      </c>
      <c r="F1144" t="str" vm="4367">
        <f>IFERROR(CUBEVALUE("BIDB",$A1144,F$3,F$2,'Præsentationstabeller 1'!$C$2),0)</f>
        <v/>
      </c>
      <c r="G1144" t="str" vm="15386">
        <f>IFERROR(CUBEVALUE("BIDB",$A1144,G$3,G$2,'Præsentationstabeller 1'!$C$2),0)</f>
        <v/>
      </c>
      <c r="H1144" t="str" vm="9934">
        <f>IFERROR(CUBEVALUE("BIDB",$A1144,H$3,H$2,'Præsentationstabeller 1'!$C$2),0)</f>
        <v/>
      </c>
      <c r="I1144" t="str" vm="3607">
        <f>IFERROR(CUBEVALUE("BIDB",$A1144,I$3,I$2,'Præsentationstabeller 1'!$C$2),0)</f>
        <v/>
      </c>
      <c r="J1144" t="str" vm="4485">
        <f>IFERROR(CUBEVALUE("BIDB",$A1144,J$3,J$2,'Præsentationstabeller 1'!$C$2),0)</f>
        <v/>
      </c>
      <c r="K1144" t="str" vm="17049">
        <f>IFERROR(CUBEVALUE("BIDB",$A1144,K$3,K$2,'Præsentationstabeller 1'!$C$2),0)</f>
        <v/>
      </c>
      <c r="L1144" t="str" vm="14056">
        <f>IFERROR(CUBEVALUE("BIDB",$A1144,L$3,L$2,'Præsentationstabeller 1'!$C$2),0)</f>
        <v/>
      </c>
    </row>
    <row r="1145" spans="1:12" x14ac:dyDescent="0.3">
      <c r="A1145" s="123" t="str" vm="191">
        <f>CUBEMEMBER("BIDB","[Dimittenddato].[Dimittenddato].&amp;[2019-07-08T00:00:00]")</f>
        <v>08-07-2019</v>
      </c>
      <c r="B1145" t="str" vm="4962">
        <f>IFERROR(CUBEVALUE("BIDB",$A1145,B$3,'Præsentationstabeller 1'!$C$2),0)</f>
        <v/>
      </c>
      <c r="C1145" t="str" vm="14542">
        <f>IFERROR(CUBEVALUE("BIDB",$A1145,C$3,C$2,'Præsentationstabeller 1'!$C$2),0)</f>
        <v/>
      </c>
      <c r="D1145" t="str" vm="15797">
        <f>IFERROR(CUBEVALUE("BIDB",$A1145,D$3,D$2,'Præsentationstabeller 1'!$C$2),0)</f>
        <v/>
      </c>
      <c r="E1145" t="str" vm="9173">
        <f>IFERROR(CUBEVALUE("BIDB",$A1145,E$3,E$2,'Præsentationstabeller 1'!$C$2),0)</f>
        <v/>
      </c>
      <c r="F1145" t="str" vm="5835">
        <f>IFERROR(CUBEVALUE("BIDB",$A1145,F$3,F$2,'Præsentationstabeller 1'!$C$2),0)</f>
        <v/>
      </c>
      <c r="G1145" t="str" vm="13646">
        <f>IFERROR(CUBEVALUE("BIDB",$A1145,G$3,G$2,'Præsentationstabeller 1'!$C$2),0)</f>
        <v/>
      </c>
      <c r="H1145" t="str" vm="16451">
        <f>IFERROR(CUBEVALUE("BIDB",$A1145,H$3,H$2,'Præsentationstabeller 1'!$C$2),0)</f>
        <v/>
      </c>
      <c r="I1145" t="str" vm="4553">
        <f>IFERROR(CUBEVALUE("BIDB",$A1145,I$3,I$2,'Præsentationstabeller 1'!$C$2),0)</f>
        <v/>
      </c>
      <c r="J1145" t="str" vm="5423">
        <f>IFERROR(CUBEVALUE("BIDB",$A1145,J$3,J$2,'Præsentationstabeller 1'!$C$2),0)</f>
        <v/>
      </c>
      <c r="K1145" t="str" vm="13838">
        <f>IFERROR(CUBEVALUE("BIDB",$A1145,K$3,K$2,'Præsentationstabeller 1'!$C$2),0)</f>
        <v/>
      </c>
      <c r="L1145" t="str" vm="9386">
        <f>IFERROR(CUBEVALUE("BIDB",$A1145,L$3,L$2,'Præsentationstabeller 1'!$C$2),0)</f>
        <v/>
      </c>
    </row>
    <row r="1146" spans="1:12" x14ac:dyDescent="0.3">
      <c r="A1146" s="123" t="str" vm="190">
        <f>CUBEMEMBER("BIDB","[Dimittenddato].[Dimittenddato].&amp;[2019-07-09T00:00:00]")</f>
        <v>09-07-2019</v>
      </c>
      <c r="B1146" t="str" vm="5099">
        <f>IFERROR(CUBEVALUE("BIDB",$A1146,B$3,'Præsentationstabeller 1'!$C$2),0)</f>
        <v/>
      </c>
      <c r="C1146" t="str" vm="15568">
        <f>IFERROR(CUBEVALUE("BIDB",$A1146,C$3,C$2,'Præsentationstabeller 1'!$C$2),0)</f>
        <v/>
      </c>
      <c r="D1146" t="str" vm="12197">
        <f>IFERROR(CUBEVALUE("BIDB",$A1146,D$3,D$2,'Præsentationstabeller 1'!$C$2),0)</f>
        <v/>
      </c>
      <c r="E1146" t="str" vm="7999">
        <f>IFERROR(CUBEVALUE("BIDB",$A1146,E$3,E$2,'Præsentationstabeller 1'!$C$2),0)</f>
        <v/>
      </c>
      <c r="F1146" t="str" vm="8462">
        <f>IFERROR(CUBEVALUE("BIDB",$A1146,F$3,F$2,'Præsentationstabeller 1'!$C$2),0)</f>
        <v/>
      </c>
      <c r="G1146" t="str" vm="11995">
        <f>IFERROR(CUBEVALUE("BIDB",$A1146,G$3,G$2,'Præsentationstabeller 1'!$C$2),0)</f>
        <v/>
      </c>
      <c r="H1146" t="str" vm="10320">
        <f>IFERROR(CUBEVALUE("BIDB",$A1146,H$3,H$2,'Præsentationstabeller 1'!$C$2),0)</f>
        <v/>
      </c>
      <c r="I1146" t="str" vm="5936">
        <f>IFERROR(CUBEVALUE("BIDB",$A1146,I$3,I$2,'Præsentationstabeller 1'!$C$2),0)</f>
        <v/>
      </c>
      <c r="J1146" t="str" vm="11051">
        <f>IFERROR(CUBEVALUE("BIDB",$A1146,J$3,J$2,'Præsentationstabeller 1'!$C$2),0)</f>
        <v/>
      </c>
      <c r="K1146" t="str" vm="12487">
        <f>IFERROR(CUBEVALUE("BIDB",$A1146,K$3,K$2,'Præsentationstabeller 1'!$C$2),0)</f>
        <v/>
      </c>
      <c r="L1146" t="str" vm="9282">
        <f>IFERROR(CUBEVALUE("BIDB",$A1146,L$3,L$2,'Præsentationstabeller 1'!$C$2),0)</f>
        <v/>
      </c>
    </row>
    <row r="1147" spans="1:12" x14ac:dyDescent="0.3">
      <c r="A1147" s="123" t="str" vm="189">
        <f>CUBEMEMBER("BIDB","[Dimittenddato].[Dimittenddato].&amp;[2019-07-10T00:00:00]")</f>
        <v>10-07-2019</v>
      </c>
      <c r="B1147" t="str" vm="5222">
        <f>IFERROR(CUBEVALUE("BIDB",$A1147,B$3,'Præsentationstabeller 1'!$C$2),0)</f>
        <v/>
      </c>
      <c r="C1147" t="str" vm="16861">
        <f>IFERROR(CUBEVALUE("BIDB",$A1147,C$3,C$2,'Præsentationstabeller 1'!$C$2),0)</f>
        <v/>
      </c>
      <c r="D1147" t="str" vm="13798">
        <f>IFERROR(CUBEVALUE("BIDB",$A1147,D$3,D$2,'Præsentationstabeller 1'!$C$2),0)</f>
        <v/>
      </c>
      <c r="E1147" t="str" vm="3492">
        <f>IFERROR(CUBEVALUE("BIDB",$A1147,E$3,E$2,'Præsentationstabeller 1'!$C$2),0)</f>
        <v/>
      </c>
      <c r="F1147" t="str" vm="4561">
        <f>IFERROR(CUBEVALUE("BIDB",$A1147,F$3,F$2,'Præsentationstabeller 1'!$C$2),0)</f>
        <v/>
      </c>
      <c r="G1147" t="str" vm="14588">
        <f>IFERROR(CUBEVALUE("BIDB",$A1147,G$3,G$2,'Præsentationstabeller 1'!$C$2),0)</f>
        <v/>
      </c>
      <c r="H1147" t="str" vm="10924">
        <f>IFERROR(CUBEVALUE("BIDB",$A1147,H$3,H$2,'Præsentationstabeller 1'!$C$2),0)</f>
        <v/>
      </c>
      <c r="I1147" t="str" vm="5337">
        <f>IFERROR(CUBEVALUE("BIDB",$A1147,I$3,I$2,'Præsentationstabeller 1'!$C$2),0)</f>
        <v/>
      </c>
      <c r="J1147" t="str" vm="4994">
        <f>IFERROR(CUBEVALUE("BIDB",$A1147,J$3,J$2,'Præsentationstabeller 1'!$C$2),0)</f>
        <v/>
      </c>
      <c r="K1147" t="str" vm="12562">
        <f>IFERROR(CUBEVALUE("BIDB",$A1147,K$3,K$2,'Præsentationstabeller 1'!$C$2),0)</f>
        <v/>
      </c>
      <c r="L1147" t="str" vm="13817">
        <f>IFERROR(CUBEVALUE("BIDB",$A1147,L$3,L$2,'Præsentationstabeller 1'!$C$2),0)</f>
        <v/>
      </c>
    </row>
    <row r="1148" spans="1:12" x14ac:dyDescent="0.3">
      <c r="A1148" s="123" t="str" vm="188">
        <f>CUBEMEMBER("BIDB","[Dimittenddato].[Dimittenddato].&amp;[2019-07-11T00:00:00]")</f>
        <v>11-07-2019</v>
      </c>
      <c r="B1148" t="str" vm="4143">
        <f>IFERROR(CUBEVALUE("BIDB",$A1148,B$3,'Præsentationstabeller 1'!$C$2),0)</f>
        <v/>
      </c>
      <c r="C1148" t="str" vm="10417">
        <f>IFERROR(CUBEVALUE("BIDB",$A1148,C$3,C$2,'Præsentationstabeller 1'!$C$2),0)</f>
        <v/>
      </c>
      <c r="D1148" t="str" vm="11893">
        <f>IFERROR(CUBEVALUE("BIDB",$A1148,D$3,D$2,'Præsentationstabeller 1'!$C$2),0)</f>
        <v/>
      </c>
      <c r="E1148" t="str" vm="3835">
        <f>IFERROR(CUBEVALUE("BIDB",$A1148,E$3,E$2,'Præsentationstabeller 1'!$C$2),0)</f>
        <v/>
      </c>
      <c r="F1148" t="str" vm="4359">
        <f>IFERROR(CUBEVALUE("BIDB",$A1148,F$3,F$2,'Præsentationstabeller 1'!$C$2),0)</f>
        <v/>
      </c>
      <c r="G1148" t="str" vm="13881">
        <f>IFERROR(CUBEVALUE("BIDB",$A1148,G$3,G$2,'Præsentationstabeller 1'!$C$2),0)</f>
        <v/>
      </c>
      <c r="H1148" t="str" vm="14476">
        <f>IFERROR(CUBEVALUE("BIDB",$A1148,H$3,H$2,'Præsentationstabeller 1'!$C$2),0)</f>
        <v/>
      </c>
      <c r="I1148" t="str" vm="6737">
        <f>IFERROR(CUBEVALUE("BIDB",$A1148,I$3,I$2,'Præsentationstabeller 1'!$C$2),0)</f>
        <v/>
      </c>
      <c r="J1148" t="str" vm="4469">
        <f>IFERROR(CUBEVALUE("BIDB",$A1148,J$3,J$2,'Præsentationstabeller 1'!$C$2),0)</f>
        <v/>
      </c>
      <c r="K1148" t="str" vm="9375">
        <f>IFERROR(CUBEVALUE("BIDB",$A1148,K$3,K$2,'Præsentationstabeller 1'!$C$2),0)</f>
        <v/>
      </c>
      <c r="L1148" t="str" vm="14169">
        <f>IFERROR(CUBEVALUE("BIDB",$A1148,L$3,L$2,'Præsentationstabeller 1'!$C$2),0)</f>
        <v/>
      </c>
    </row>
    <row r="1149" spans="1:12" x14ac:dyDescent="0.3">
      <c r="A1149" s="123" t="str" vm="187">
        <f>CUBEMEMBER("BIDB","[Dimittenddato].[Dimittenddato].&amp;[2019-07-12T00:00:00]")</f>
        <v>12-07-2019</v>
      </c>
      <c r="B1149" t="str" vm="9428">
        <f>IFERROR(CUBEVALUE("BIDB",$A1149,B$3,'Præsentationstabeller 1'!$C$2),0)</f>
        <v/>
      </c>
      <c r="C1149" t="str" vm="14579">
        <f>IFERROR(CUBEVALUE("BIDB",$A1149,C$3,C$2,'Præsentationstabeller 1'!$C$2),0)</f>
        <v/>
      </c>
      <c r="D1149" t="str" vm="11557">
        <f>IFERROR(CUBEVALUE("BIDB",$A1149,D$3,D$2,'Præsentationstabeller 1'!$C$2),0)</f>
        <v/>
      </c>
      <c r="E1149" t="str" vm="5768">
        <f>IFERROR(CUBEVALUE("BIDB",$A1149,E$3,E$2,'Præsentationstabeller 1'!$C$2),0)</f>
        <v/>
      </c>
      <c r="F1149" t="str" vm="8284">
        <f>IFERROR(CUBEVALUE("BIDB",$A1149,F$3,F$2,'Præsentationstabeller 1'!$C$2),0)</f>
        <v/>
      </c>
      <c r="G1149" t="str" vm="13143">
        <f>IFERROR(CUBEVALUE("BIDB",$A1149,G$3,G$2,'Præsentationstabeller 1'!$C$2),0)</f>
        <v/>
      </c>
      <c r="H1149" t="str" vm="15416">
        <f>IFERROR(CUBEVALUE("BIDB",$A1149,H$3,H$2,'Præsentationstabeller 1'!$C$2),0)</f>
        <v/>
      </c>
      <c r="I1149" t="str" vm="3797">
        <f>IFERROR(CUBEVALUE("BIDB",$A1149,I$3,I$2,'Præsentationstabeller 1'!$C$2),0)</f>
        <v/>
      </c>
      <c r="J1149" t="str" vm="8537">
        <f>IFERROR(CUBEVALUE("BIDB",$A1149,J$3,J$2,'Præsentationstabeller 1'!$C$2),0)</f>
        <v/>
      </c>
      <c r="K1149" t="str" vm="11836">
        <f>IFERROR(CUBEVALUE("BIDB",$A1149,K$3,K$2,'Præsentationstabeller 1'!$C$2),0)</f>
        <v/>
      </c>
      <c r="L1149" t="str" vm="14360">
        <f>IFERROR(CUBEVALUE("BIDB",$A1149,L$3,L$2,'Præsentationstabeller 1'!$C$2),0)</f>
        <v/>
      </c>
    </row>
    <row r="1150" spans="1:12" x14ac:dyDescent="0.3">
      <c r="A1150" s="123" t="str" vm="186">
        <f>CUBEMEMBER("BIDB","[Dimittenddato].[Dimittenddato].&amp;[2019-07-13T00:00:00]")</f>
        <v>13-07-2019</v>
      </c>
      <c r="B1150" t="str" vm="3867">
        <f>IFERROR(CUBEVALUE("BIDB",$A1150,B$3,'Præsentationstabeller 1'!$C$2),0)</f>
        <v/>
      </c>
      <c r="C1150" t="str" vm="13259">
        <f>IFERROR(CUBEVALUE("BIDB",$A1150,C$3,C$2,'Præsentationstabeller 1'!$C$2),0)</f>
        <v/>
      </c>
      <c r="D1150" t="str" vm="12297">
        <f>IFERROR(CUBEVALUE("BIDB",$A1150,D$3,D$2,'Præsentationstabeller 1'!$C$2),0)</f>
        <v/>
      </c>
      <c r="E1150" t="str" vm="6233">
        <f>IFERROR(CUBEVALUE("BIDB",$A1150,E$3,E$2,'Præsentationstabeller 1'!$C$2),0)</f>
        <v/>
      </c>
      <c r="F1150" t="str" vm="6739">
        <f>IFERROR(CUBEVALUE("BIDB",$A1150,F$3,F$2,'Præsentationstabeller 1'!$C$2),0)</f>
        <v/>
      </c>
      <c r="G1150" t="str" vm="13570">
        <f>IFERROR(CUBEVALUE("BIDB",$A1150,G$3,G$2,'Præsentationstabeller 1'!$C$2),0)</f>
        <v/>
      </c>
      <c r="H1150" t="str" vm="16084">
        <f>IFERROR(CUBEVALUE("BIDB",$A1150,H$3,H$2,'Præsentationstabeller 1'!$C$2),0)</f>
        <v/>
      </c>
      <c r="I1150" t="str" vm="4521">
        <f>IFERROR(CUBEVALUE("BIDB",$A1150,I$3,I$2,'Præsentationstabeller 1'!$C$2),0)</f>
        <v/>
      </c>
      <c r="J1150" t="str" vm="6001">
        <f>IFERROR(CUBEVALUE("BIDB",$A1150,J$3,J$2,'Præsentationstabeller 1'!$C$2),0)</f>
        <v/>
      </c>
      <c r="K1150" t="str" vm="11780">
        <f>IFERROR(CUBEVALUE("BIDB",$A1150,K$3,K$2,'Præsentationstabeller 1'!$C$2),0)</f>
        <v/>
      </c>
      <c r="L1150" t="str" vm="10151">
        <f>IFERROR(CUBEVALUE("BIDB",$A1150,L$3,L$2,'Præsentationstabeller 1'!$C$2),0)</f>
        <v/>
      </c>
    </row>
    <row r="1151" spans="1:12" x14ac:dyDescent="0.3">
      <c r="A1151" s="123" t="str" vm="185">
        <f>CUBEMEMBER("BIDB","[Dimittenddato].[Dimittenddato].&amp;[2019-07-14T00:00:00]")</f>
        <v>14-07-2019</v>
      </c>
      <c r="B1151" t="str" vm="6105">
        <f>IFERROR(CUBEVALUE("BIDB",$A1151,B$3,'Præsentationstabeller 1'!$C$2),0)</f>
        <v/>
      </c>
      <c r="C1151" t="str" vm="12501">
        <f>IFERROR(CUBEVALUE("BIDB",$A1151,C$3,C$2,'Præsentationstabeller 1'!$C$2),0)</f>
        <v/>
      </c>
      <c r="D1151" t="str" vm="9417">
        <f>IFERROR(CUBEVALUE("BIDB",$A1151,D$3,D$2,'Præsentationstabeller 1'!$C$2),0)</f>
        <v/>
      </c>
      <c r="E1151" t="str" vm="3339">
        <f>IFERROR(CUBEVALUE("BIDB",$A1151,E$3,E$2,'Præsentationstabeller 1'!$C$2),0)</f>
        <v/>
      </c>
      <c r="F1151" t="str" vm="4557">
        <f>IFERROR(CUBEVALUE("BIDB",$A1151,F$3,F$2,'Præsentationstabeller 1'!$C$2),0)</f>
        <v/>
      </c>
      <c r="G1151" t="str" vm="15251">
        <f>IFERROR(CUBEVALUE("BIDB",$A1151,G$3,G$2,'Præsentationstabeller 1'!$C$2),0)</f>
        <v/>
      </c>
      <c r="H1151" t="str" vm="14980">
        <f>IFERROR(CUBEVALUE("BIDB",$A1151,H$3,H$2,'Præsentationstabeller 1'!$C$2),0)</f>
        <v/>
      </c>
      <c r="I1151" t="str" vm="3522">
        <f>IFERROR(CUBEVALUE("BIDB",$A1151,I$3,I$2,'Præsentationstabeller 1'!$C$2),0)</f>
        <v/>
      </c>
      <c r="J1151" t="str" vm="4978">
        <f>IFERROR(CUBEVALUE("BIDB",$A1151,J$3,J$2,'Præsentationstabeller 1'!$C$2),0)</f>
        <v/>
      </c>
      <c r="K1151" t="str" vm="10585">
        <f>IFERROR(CUBEVALUE("BIDB",$A1151,K$3,K$2,'Præsentationstabeller 1'!$C$2),0)</f>
        <v/>
      </c>
      <c r="L1151" t="str" vm="12969">
        <f>IFERROR(CUBEVALUE("BIDB",$A1151,L$3,L$2,'Præsentationstabeller 1'!$C$2),0)</f>
        <v/>
      </c>
    </row>
    <row r="1152" spans="1:12" x14ac:dyDescent="0.3">
      <c r="A1152" s="123" t="str" vm="184">
        <f>CUBEMEMBER("BIDB","[Dimittenddato].[Dimittenddato].&amp;[2019-07-15T00:00:00]")</f>
        <v>15-07-2019</v>
      </c>
      <c r="B1152" t="str" vm="6509">
        <f>IFERROR(CUBEVALUE("BIDB",$A1152,B$3,'Præsentationstabeller 1'!$C$2),0)</f>
        <v/>
      </c>
      <c r="C1152" t="str" vm="15094">
        <f>IFERROR(CUBEVALUE("BIDB",$A1152,C$3,C$2,'Præsentationstabeller 1'!$C$2),0)</f>
        <v/>
      </c>
      <c r="D1152" t="str" vm="17067">
        <f>IFERROR(CUBEVALUE("BIDB",$A1152,D$3,D$2,'Præsentationstabeller 1'!$C$2),0)</f>
        <v/>
      </c>
      <c r="E1152" t="str" vm="4247">
        <f>IFERROR(CUBEVALUE("BIDB",$A1152,E$3,E$2,'Præsentationstabeller 1'!$C$2),0)</f>
        <v/>
      </c>
      <c r="F1152" t="str" vm="8983">
        <f>IFERROR(CUBEVALUE("BIDB",$A1152,F$3,F$2,'Præsentationstabeller 1'!$C$2),0)</f>
        <v/>
      </c>
      <c r="G1152" t="str" vm="15717">
        <f>IFERROR(CUBEVALUE("BIDB",$A1152,G$3,G$2,'Præsentationstabeller 1'!$C$2),0)</f>
        <v/>
      </c>
      <c r="H1152" t="str" vm="15987">
        <f>IFERROR(CUBEVALUE("BIDB",$A1152,H$3,H$2,'Præsentationstabeller 1'!$C$2),0)</f>
        <v/>
      </c>
      <c r="I1152" t="str" vm="5841">
        <f>IFERROR(CUBEVALUE("BIDB",$A1152,I$3,I$2,'Præsentationstabeller 1'!$C$2),0)</f>
        <v/>
      </c>
      <c r="J1152" t="str" vm="3721">
        <f>IFERROR(CUBEVALUE("BIDB",$A1152,J$3,J$2,'Præsentationstabeller 1'!$C$2),0)</f>
        <v/>
      </c>
      <c r="K1152" t="str" vm="15757">
        <f>IFERROR(CUBEVALUE("BIDB",$A1152,K$3,K$2,'Præsentationstabeller 1'!$C$2),0)</f>
        <v/>
      </c>
      <c r="L1152" t="str" vm="9973">
        <f>IFERROR(CUBEVALUE("BIDB",$A1152,L$3,L$2,'Præsentationstabeller 1'!$C$2),0)</f>
        <v/>
      </c>
    </row>
    <row r="1153" spans="1:12" x14ac:dyDescent="0.3">
      <c r="A1153" s="123" t="str" vm="183">
        <f>CUBEMEMBER("BIDB","[Dimittenddato].[Dimittenddato].&amp;[2019-07-16T00:00:00]")</f>
        <v>16-07-2019</v>
      </c>
      <c r="B1153" t="str" vm="4879">
        <f>IFERROR(CUBEVALUE("BIDB",$A1153,B$3,'Præsentationstabeller 1'!$C$2),0)</f>
        <v/>
      </c>
      <c r="C1153" t="str" vm="12911">
        <f>IFERROR(CUBEVALUE("BIDB",$A1153,C$3,C$2,'Præsentationstabeller 1'!$C$2),0)</f>
        <v/>
      </c>
      <c r="D1153" t="str" vm="11541">
        <f>IFERROR(CUBEVALUE("BIDB",$A1153,D$3,D$2,'Præsentationstabeller 1'!$C$2),0)</f>
        <v/>
      </c>
      <c r="E1153" t="str" vm="5266">
        <f>IFERROR(CUBEVALUE("BIDB",$A1153,E$3,E$2,'Præsentationstabeller 1'!$C$2),0)</f>
        <v/>
      </c>
      <c r="F1153" t="str" vm="4854">
        <f>IFERROR(CUBEVALUE("BIDB",$A1153,F$3,F$2,'Præsentationstabeller 1'!$C$2),0)</f>
        <v/>
      </c>
      <c r="G1153" t="str" vm="12923">
        <f>IFERROR(CUBEVALUE("BIDB",$A1153,G$3,G$2,'Præsentationstabeller 1'!$C$2),0)</f>
        <v/>
      </c>
      <c r="H1153" t="str" vm="13888">
        <f>IFERROR(CUBEVALUE("BIDB",$A1153,H$3,H$2,'Præsentationstabeller 1'!$C$2),0)</f>
        <v/>
      </c>
      <c r="I1153" t="str" vm="3753">
        <f>IFERROR(CUBEVALUE("BIDB",$A1153,I$3,I$2,'Præsentationstabeller 1'!$C$2),0)</f>
        <v/>
      </c>
      <c r="J1153" t="str" vm="5777">
        <f>IFERROR(CUBEVALUE("BIDB",$A1153,J$3,J$2,'Præsentationstabeller 1'!$C$2),0)</f>
        <v/>
      </c>
      <c r="K1153" t="str" vm="11361">
        <f>IFERROR(CUBEVALUE("BIDB",$A1153,K$3,K$2,'Præsentationstabeller 1'!$C$2),0)</f>
        <v/>
      </c>
      <c r="L1153" t="str" vm="15019">
        <f>IFERROR(CUBEVALUE("BIDB",$A1153,L$3,L$2,'Præsentationstabeller 1'!$C$2),0)</f>
        <v/>
      </c>
    </row>
    <row r="1154" spans="1:12" x14ac:dyDescent="0.3">
      <c r="A1154" s="123" t="str" vm="182">
        <f>CUBEMEMBER("BIDB","[Dimittenddato].[Dimittenddato].&amp;[2019-07-17T00:00:00]")</f>
        <v>17-07-2019</v>
      </c>
      <c r="B1154" t="str" vm="3851">
        <f>IFERROR(CUBEVALUE("BIDB",$A1154,B$3,'Præsentationstabeller 1'!$C$2),0)</f>
        <v/>
      </c>
      <c r="C1154" t="str" vm="13950">
        <f>IFERROR(CUBEVALUE("BIDB",$A1154,C$3,C$2,'Præsentationstabeller 1'!$C$2),0)</f>
        <v/>
      </c>
      <c r="D1154" t="str" vm="10591">
        <f>IFERROR(CUBEVALUE("BIDB",$A1154,D$3,D$2,'Præsentationstabeller 1'!$C$2),0)</f>
        <v/>
      </c>
      <c r="E1154" t="str" vm="5008">
        <f>IFERROR(CUBEVALUE("BIDB",$A1154,E$3,E$2,'Præsentationstabeller 1'!$C$2),0)</f>
        <v/>
      </c>
      <c r="F1154" t="str" vm="6738">
        <f>IFERROR(CUBEVALUE("BIDB",$A1154,F$3,F$2,'Præsentationstabeller 1'!$C$2),0)</f>
        <v/>
      </c>
      <c r="G1154" t="str" vm="13763">
        <f>IFERROR(CUBEVALUE("BIDB",$A1154,G$3,G$2,'Præsentationstabeller 1'!$C$2),0)</f>
        <v/>
      </c>
      <c r="H1154" t="str" vm="12640">
        <f>IFERROR(CUBEVALUE("BIDB",$A1154,H$3,H$2,'Præsentationstabeller 1'!$C$2),0)</f>
        <v/>
      </c>
      <c r="I1154" t="str" vm="4513">
        <f>IFERROR(CUBEVALUE("BIDB",$A1154,I$3,I$2,'Præsentationstabeller 1'!$C$2),0)</f>
        <v/>
      </c>
      <c r="J1154" t="str" vm="5464">
        <f>IFERROR(CUBEVALUE("BIDB",$A1154,J$3,J$2,'Præsentationstabeller 1'!$C$2),0)</f>
        <v/>
      </c>
      <c r="K1154" t="str" vm="10267">
        <f>IFERROR(CUBEVALUE("BIDB",$A1154,K$3,K$2,'Præsentationstabeller 1'!$C$2),0)</f>
        <v/>
      </c>
      <c r="L1154" t="str" vm="10155">
        <f>IFERROR(CUBEVALUE("BIDB",$A1154,L$3,L$2,'Præsentationstabeller 1'!$C$2),0)</f>
        <v/>
      </c>
    </row>
    <row r="1155" spans="1:12" x14ac:dyDescent="0.3">
      <c r="A1155" s="123" t="str" vm="181">
        <f>CUBEMEMBER("BIDB","[Dimittenddato].[Dimittenddato].&amp;[2019-07-18T00:00:00]")</f>
        <v>18-07-2019</v>
      </c>
      <c r="B1155" t="str" vm="7151">
        <f>IFERROR(CUBEVALUE("BIDB",$A1155,B$3,'Præsentationstabeller 1'!$C$2),0)</f>
        <v/>
      </c>
      <c r="C1155" t="str" vm="13330">
        <f>IFERROR(CUBEVALUE("BIDB",$A1155,C$3,C$2,'Præsentationstabeller 1'!$C$2),0)</f>
        <v/>
      </c>
      <c r="D1155" t="str" vm="13706">
        <f>IFERROR(CUBEVALUE("BIDB",$A1155,D$3,D$2,'Præsentationstabeller 1'!$C$2),0)</f>
        <v/>
      </c>
      <c r="E1155" t="str" vm="4137">
        <f>IFERROR(CUBEVALUE("BIDB",$A1155,E$3,E$2,'Præsentationstabeller 1'!$C$2),0)</f>
        <v/>
      </c>
      <c r="F1155" t="str" vm="4203">
        <f>IFERROR(CUBEVALUE("BIDB",$A1155,F$3,F$2,'Præsentationstabeller 1'!$C$2),0)</f>
        <v/>
      </c>
      <c r="G1155" t="str" vm="13578">
        <f>IFERROR(CUBEVALUE("BIDB",$A1155,G$3,G$2,'Præsentationstabeller 1'!$C$2),0)</f>
        <v/>
      </c>
      <c r="H1155" t="str" vm="16085">
        <f>IFERROR(CUBEVALUE("BIDB",$A1155,H$3,H$2,'Præsentationstabeller 1'!$C$2),0)</f>
        <v/>
      </c>
      <c r="I1155" t="str" vm="6919">
        <f>IFERROR(CUBEVALUE("BIDB",$A1155,I$3,I$2,'Præsentationstabeller 1'!$C$2),0)</f>
        <v/>
      </c>
      <c r="J1155" t="str" vm="3224">
        <f>IFERROR(CUBEVALUE("BIDB",$A1155,J$3,J$2,'Præsentationstabeller 1'!$C$2),0)</f>
        <v/>
      </c>
      <c r="K1155" t="str" vm="14881">
        <f>IFERROR(CUBEVALUE("BIDB",$A1155,K$3,K$2,'Præsentationstabeller 1'!$C$2),0)</f>
        <v/>
      </c>
      <c r="L1155" t="str" vm="11882">
        <f>IFERROR(CUBEVALUE("BIDB",$A1155,L$3,L$2,'Præsentationstabeller 1'!$C$2),0)</f>
        <v/>
      </c>
    </row>
    <row r="1156" spans="1:12" x14ac:dyDescent="0.3">
      <c r="A1156" s="123" t="str" vm="180">
        <f>CUBEMEMBER("BIDB","[Dimittenddato].[Dimittenddato].&amp;[2019-07-19T00:00:00]")</f>
        <v>19-07-2019</v>
      </c>
      <c r="B1156" t="str" vm="5620">
        <f>IFERROR(CUBEVALUE("BIDB",$A1156,B$3,'Præsentationstabeller 1'!$C$2),0)</f>
        <v/>
      </c>
      <c r="C1156" t="str" vm="16839">
        <f>IFERROR(CUBEVALUE("BIDB",$A1156,C$3,C$2,'Præsentationstabeller 1'!$C$2),0)</f>
        <v/>
      </c>
      <c r="D1156" t="str" vm="14896">
        <f>IFERROR(CUBEVALUE("BIDB",$A1156,D$3,D$2,'Præsentationstabeller 1'!$C$2),0)</f>
        <v/>
      </c>
      <c r="E1156" t="str" vm="4233">
        <f>IFERROR(CUBEVALUE("BIDB",$A1156,E$3,E$2,'Præsentationstabeller 1'!$C$2),0)</f>
        <v/>
      </c>
      <c r="F1156" t="str" vm="7341">
        <f>IFERROR(CUBEVALUE("BIDB",$A1156,F$3,F$2,'Præsentationstabeller 1'!$C$2),0)</f>
        <v/>
      </c>
      <c r="G1156" t="str" vm="16141">
        <f>IFERROR(CUBEVALUE("BIDB",$A1156,G$3,G$2,'Præsentationstabeller 1'!$C$2),0)</f>
        <v/>
      </c>
      <c r="H1156" t="str" vm="13749">
        <f>IFERROR(CUBEVALUE("BIDB",$A1156,H$3,H$2,'Præsentationstabeller 1'!$C$2),0)</f>
        <v/>
      </c>
      <c r="I1156" t="str" vm="3256">
        <f>IFERROR(CUBEVALUE("BIDB",$A1156,I$3,I$2,'Præsentationstabeller 1'!$C$2),0)</f>
        <v/>
      </c>
      <c r="J1156" t="str" vm="5388">
        <f>IFERROR(CUBEVALUE("BIDB",$A1156,J$3,J$2,'Præsentationstabeller 1'!$C$2),0)</f>
        <v/>
      </c>
      <c r="K1156" t="str" vm="11528">
        <f>IFERROR(CUBEVALUE("BIDB",$A1156,K$3,K$2,'Præsentationstabeller 1'!$C$2),0)</f>
        <v/>
      </c>
      <c r="L1156" t="str" vm="10026">
        <f>IFERROR(CUBEVALUE("BIDB",$A1156,L$3,L$2,'Præsentationstabeller 1'!$C$2),0)</f>
        <v/>
      </c>
    </row>
    <row r="1157" spans="1:12" x14ac:dyDescent="0.3">
      <c r="A1157" s="123" t="str" vm="179">
        <f>CUBEMEMBER("BIDB","[Dimittenddato].[Dimittenddato].&amp;[2019-07-20T00:00:00]")</f>
        <v>20-07-2019</v>
      </c>
      <c r="B1157" t="str" vm="3355">
        <f>IFERROR(CUBEVALUE("BIDB",$A1157,B$3,'Præsentationstabeller 1'!$C$2),0)</f>
        <v/>
      </c>
      <c r="C1157" t="str" vm="13946">
        <f>IFERROR(CUBEVALUE("BIDB",$A1157,C$3,C$2,'Præsentationstabeller 1'!$C$2),0)</f>
        <v/>
      </c>
      <c r="D1157" t="str" vm="11640">
        <f>IFERROR(CUBEVALUE("BIDB",$A1157,D$3,D$2,'Præsentationstabeller 1'!$C$2),0)</f>
        <v/>
      </c>
      <c r="E1157" t="str" vm="5264">
        <f>IFERROR(CUBEVALUE("BIDB",$A1157,E$3,E$2,'Præsentationstabeller 1'!$C$2),0)</f>
        <v/>
      </c>
      <c r="F1157" t="str" vm="5038">
        <f>IFERROR(CUBEVALUE("BIDB",$A1157,F$3,F$2,'Præsentationstabeller 1'!$C$2),0)</f>
        <v/>
      </c>
      <c r="G1157" t="str" vm="13097">
        <f>IFERROR(CUBEVALUE("BIDB",$A1157,G$3,G$2,'Præsentationstabeller 1'!$C$2),0)</f>
        <v/>
      </c>
      <c r="H1157" t="str" vm="14920">
        <f>IFERROR(CUBEVALUE("BIDB",$A1157,H$3,H$2,'Præsentationstabeller 1'!$C$2),0)</f>
        <v/>
      </c>
      <c r="I1157" t="str" vm="3737">
        <f>IFERROR(CUBEVALUE("BIDB",$A1157,I$3,I$2,'Præsentationstabeller 1'!$C$2),0)</f>
        <v/>
      </c>
      <c r="J1157" t="str" vm="6143">
        <f>IFERROR(CUBEVALUE("BIDB",$A1157,J$3,J$2,'Præsentationstabeller 1'!$C$2),0)</f>
        <v/>
      </c>
      <c r="K1157" t="str" vm="14122">
        <f>IFERROR(CUBEVALUE("BIDB",$A1157,K$3,K$2,'Præsentationstabeller 1'!$C$2),0)</f>
        <v/>
      </c>
      <c r="L1157" t="str" vm="14244">
        <f>IFERROR(CUBEVALUE("BIDB",$A1157,L$3,L$2,'Præsentationstabeller 1'!$C$2),0)</f>
        <v/>
      </c>
    </row>
    <row r="1158" spans="1:12" x14ac:dyDescent="0.3">
      <c r="A1158" s="123" t="str" vm="178">
        <f>CUBEMEMBER("BIDB","[Dimittenddato].[Dimittenddato].&amp;[2019-07-21T00:00:00]")</f>
        <v>21-07-2019</v>
      </c>
      <c r="B1158" t="str" vm="5313">
        <f>IFERROR(CUBEVALUE("BIDB",$A1158,B$3,'Præsentationstabeller 1'!$C$2),0)</f>
        <v/>
      </c>
      <c r="C1158" t="str" vm="14556">
        <f>IFERROR(CUBEVALUE("BIDB",$A1158,C$3,C$2,'Præsentationstabeller 1'!$C$2),0)</f>
        <v/>
      </c>
      <c r="D1158" t="str" vm="10124">
        <f>IFERROR(CUBEVALUE("BIDB",$A1158,D$3,D$2,'Præsentationstabeller 1'!$C$2),0)</f>
        <v/>
      </c>
      <c r="E1158" t="str" vm="9232">
        <f>IFERROR(CUBEVALUE("BIDB",$A1158,E$3,E$2,'Præsentationstabeller 1'!$C$2),0)</f>
        <v/>
      </c>
      <c r="F1158" t="str" vm="4709">
        <f>IFERROR(CUBEVALUE("BIDB",$A1158,F$3,F$2,'Præsentationstabeller 1'!$C$2),0)</f>
        <v/>
      </c>
      <c r="G1158" t="str" vm="16610">
        <f>IFERROR(CUBEVALUE("BIDB",$A1158,G$3,G$2,'Præsentationstabeller 1'!$C$2),0)</f>
        <v/>
      </c>
      <c r="H1158" t="str" vm="14541">
        <f>IFERROR(CUBEVALUE("BIDB",$A1158,H$3,H$2,'Præsentationstabeller 1'!$C$2),0)</f>
        <v/>
      </c>
      <c r="I1158" t="str" vm="7716">
        <f>IFERROR(CUBEVALUE("BIDB",$A1158,I$3,I$2,'Præsentationstabeller 1'!$C$2),0)</f>
        <v/>
      </c>
      <c r="J1158" t="str" vm="9077">
        <f>IFERROR(CUBEVALUE("BIDB",$A1158,J$3,J$2,'Præsentationstabeller 1'!$C$2),0)</f>
        <v/>
      </c>
      <c r="K1158" t="str" vm="14467">
        <f>IFERROR(CUBEVALUE("BIDB",$A1158,K$3,K$2,'Præsentationstabeller 1'!$C$2),0)</f>
        <v/>
      </c>
      <c r="L1158" t="str" vm="9446">
        <f>IFERROR(CUBEVALUE("BIDB",$A1158,L$3,L$2,'Præsentationstabeller 1'!$C$2),0)</f>
        <v/>
      </c>
    </row>
    <row r="1159" spans="1:12" x14ac:dyDescent="0.3">
      <c r="A1159" s="123" t="str" vm="177">
        <f>CUBEMEMBER("BIDB","[Dimittenddato].[Dimittenddato].&amp;[2019-07-22T00:00:00]")</f>
        <v>22-07-2019</v>
      </c>
      <c r="B1159" t="str" vm="6533">
        <f>IFERROR(CUBEVALUE("BIDB",$A1159,B$3,'Præsentationstabeller 1'!$C$2),0)</f>
        <v/>
      </c>
      <c r="C1159" t="str" vm="9528">
        <f>IFERROR(CUBEVALUE("BIDB",$A1159,C$3,C$2,'Præsentationstabeller 1'!$C$2),0)</f>
        <v/>
      </c>
      <c r="D1159" t="str" vm="15395">
        <f>IFERROR(CUBEVALUE("BIDB",$A1159,D$3,D$2,'Præsentationstabeller 1'!$C$2),0)</f>
        <v/>
      </c>
      <c r="E1159" t="str" vm="4741">
        <f>IFERROR(CUBEVALUE("BIDB",$A1159,E$3,E$2,'Præsentationstabeller 1'!$C$2),0)</f>
        <v/>
      </c>
      <c r="F1159" t="str" vm="5866">
        <f>IFERROR(CUBEVALUE("BIDB",$A1159,F$3,F$2,'Præsentationstabeller 1'!$C$2),0)</f>
        <v/>
      </c>
      <c r="G1159" t="str" vm="16074">
        <f>IFERROR(CUBEVALUE("BIDB",$A1159,G$3,G$2,'Præsentationstabeller 1'!$C$2),0)</f>
        <v/>
      </c>
      <c r="H1159" t="str" vm="13293">
        <f>IFERROR(CUBEVALUE("BIDB",$A1159,H$3,H$2,'Præsentationstabeller 1'!$C$2),0)</f>
        <v/>
      </c>
      <c r="I1159" t="str" vm="7131">
        <f>IFERROR(CUBEVALUE("BIDB",$A1159,I$3,I$2,'Præsentationstabeller 1'!$C$2),0)</f>
        <v/>
      </c>
      <c r="J1159" t="str" vm="6400">
        <f>IFERROR(CUBEVALUE("BIDB",$A1159,J$3,J$2,'Præsentationstabeller 1'!$C$2),0)</f>
        <v/>
      </c>
      <c r="K1159" t="str" vm="13870">
        <f>IFERROR(CUBEVALUE("BIDB",$A1159,K$3,K$2,'Præsentationstabeller 1'!$C$2),0)</f>
        <v/>
      </c>
      <c r="L1159" t="str" vm="12286">
        <f>IFERROR(CUBEVALUE("BIDB",$A1159,L$3,L$2,'Præsentationstabeller 1'!$C$2),0)</f>
        <v/>
      </c>
    </row>
    <row r="1160" spans="1:12" x14ac:dyDescent="0.3">
      <c r="A1160" s="123" t="str" vm="176">
        <f>CUBEMEMBER("BIDB","[Dimittenddato].[Dimittenddato].&amp;[2019-07-23T00:00:00]")</f>
        <v>23-07-2019</v>
      </c>
      <c r="B1160" t="str" vm="4324">
        <f>IFERROR(CUBEVALUE("BIDB",$A1160,B$3,'Præsentationstabeller 1'!$C$2),0)</f>
        <v/>
      </c>
      <c r="C1160" t="str" vm="14216">
        <f>IFERROR(CUBEVALUE("BIDB",$A1160,C$3,C$2,'Præsentationstabeller 1'!$C$2),0)</f>
        <v/>
      </c>
      <c r="D1160" t="str" vm="17160">
        <f>IFERROR(CUBEVALUE("BIDB",$A1160,D$3,D$2,'Præsentationstabeller 1'!$C$2),0)</f>
        <v/>
      </c>
      <c r="E1160" t="str" vm="4218">
        <f>IFERROR(CUBEVALUE("BIDB",$A1160,E$3,E$2,'Præsentationstabeller 1'!$C$2),0)</f>
        <v/>
      </c>
      <c r="F1160" t="str" vm="5091">
        <f>IFERROR(CUBEVALUE("BIDB",$A1160,F$3,F$2,'Præsentationstabeller 1'!$C$2),0)</f>
        <v/>
      </c>
      <c r="G1160" t="str" vm="15248">
        <f>IFERROR(CUBEVALUE("BIDB",$A1160,G$3,G$2,'Præsentationstabeller 1'!$C$2),0)</f>
        <v/>
      </c>
      <c r="H1160" t="str" vm="11144">
        <f>IFERROR(CUBEVALUE("BIDB",$A1160,H$3,H$2,'Præsentationstabeller 1'!$C$2),0)</f>
        <v/>
      </c>
      <c r="I1160" t="str" vm="3240">
        <f>IFERROR(CUBEVALUE("BIDB",$A1160,I$3,I$2,'Præsentationstabeller 1'!$C$2),0)</f>
        <v/>
      </c>
      <c r="J1160" t="str" vm="5321">
        <f>IFERROR(CUBEVALUE("BIDB",$A1160,J$3,J$2,'Præsentationstabeller 1'!$C$2),0)</f>
        <v/>
      </c>
      <c r="K1160" t="str" vm="15979">
        <f>IFERROR(CUBEVALUE("BIDB",$A1160,K$3,K$2,'Præsentationstabeller 1'!$C$2),0)</f>
        <v/>
      </c>
      <c r="L1160" t="str" vm="11314">
        <f>IFERROR(CUBEVALUE("BIDB",$A1160,L$3,L$2,'Præsentationstabeller 1'!$C$2),0)</f>
        <v/>
      </c>
    </row>
    <row r="1161" spans="1:12" x14ac:dyDescent="0.3">
      <c r="A1161" s="123" t="str" vm="175">
        <f>CUBEMEMBER("BIDB","[Dimittenddato].[Dimittenddato].&amp;[2019-07-24T00:00:00]")</f>
        <v>24-07-2019</v>
      </c>
      <c r="B1161" t="str" vm="5442">
        <f>IFERROR(CUBEVALUE("BIDB",$A1161,B$3,'Præsentationstabeller 1'!$C$2),0)</f>
        <v/>
      </c>
      <c r="C1161" t="str" vm="11271">
        <f>IFERROR(CUBEVALUE("BIDB",$A1161,C$3,C$2,'Præsentationstabeller 1'!$C$2),0)</f>
        <v/>
      </c>
      <c r="D1161" t="str" vm="16436">
        <f>IFERROR(CUBEVALUE("BIDB",$A1161,D$3,D$2,'Præsentationstabeller 1'!$C$2),0)</f>
        <v/>
      </c>
      <c r="E1161" t="str" vm="6601">
        <f>IFERROR(CUBEVALUE("BIDB",$A1161,E$3,E$2,'Præsentationstabeller 1'!$C$2),0)</f>
        <v/>
      </c>
      <c r="F1161" t="str" vm="4893">
        <f>IFERROR(CUBEVALUE("BIDB",$A1161,F$3,F$2,'Præsentationstabeller 1'!$C$2),0)</f>
        <v/>
      </c>
      <c r="G1161" t="str" vm="13478">
        <f>IFERROR(CUBEVALUE("BIDB",$A1161,G$3,G$2,'Præsentationstabeller 1'!$C$2),0)</f>
        <v/>
      </c>
      <c r="H1161" t="str" vm="15565">
        <f>IFERROR(CUBEVALUE("BIDB",$A1161,H$3,H$2,'Præsentationstabeller 1'!$C$2),0)</f>
        <v/>
      </c>
      <c r="I1161" t="str" vm="3583">
        <f>IFERROR(CUBEVALUE("BIDB",$A1161,I$3,I$2,'Præsentationstabeller 1'!$C$2),0)</f>
        <v/>
      </c>
      <c r="J1161" t="str" vm="6135">
        <f>IFERROR(CUBEVALUE("BIDB",$A1161,J$3,J$2,'Præsentationstabeller 1'!$C$2),0)</f>
        <v/>
      </c>
      <c r="K1161" t="str" vm="14200">
        <f>IFERROR(CUBEVALUE("BIDB",$A1161,K$3,K$2,'Præsentationstabeller 1'!$C$2),0)</f>
        <v/>
      </c>
      <c r="L1161" t="str" vm="12709">
        <f>IFERROR(CUBEVALUE("BIDB",$A1161,L$3,L$2,'Præsentationstabeller 1'!$C$2),0)</f>
        <v/>
      </c>
    </row>
    <row r="1162" spans="1:12" x14ac:dyDescent="0.3">
      <c r="A1162" s="123" t="str" vm="174">
        <f>CUBEMEMBER("BIDB","[Dimittenddato].[Dimittenddato].&amp;[2019-07-25T00:00:00]")</f>
        <v>25-07-2019</v>
      </c>
      <c r="B1162" t="str" vm="4277">
        <f>IFERROR(CUBEVALUE("BIDB",$A1162,B$3,'Præsentationstabeller 1'!$C$2),0)</f>
        <v/>
      </c>
      <c r="C1162" t="str" vm="13598">
        <f>IFERROR(CUBEVALUE("BIDB",$A1162,C$3,C$2,'Præsentationstabeller 1'!$C$2),0)</f>
        <v/>
      </c>
      <c r="D1162" t="str" vm="11196">
        <f>IFERROR(CUBEVALUE("BIDB",$A1162,D$3,D$2,'Præsentationstabeller 1'!$C$2),0)</f>
        <v/>
      </c>
      <c r="E1162" t="str" vm="5746">
        <f>IFERROR(CUBEVALUE("BIDB",$A1162,E$3,E$2,'Præsentationstabeller 1'!$C$2),0)</f>
        <v/>
      </c>
      <c r="F1162" t="str" vm="5995">
        <f>IFERROR(CUBEVALUE("BIDB",$A1162,F$3,F$2,'Præsentationstabeller 1'!$C$2),0)</f>
        <v/>
      </c>
      <c r="G1162" t="str" vm="12655">
        <f>IFERROR(CUBEVALUE("BIDB",$A1162,G$3,G$2,'Præsentationstabeller 1'!$C$2),0)</f>
        <v/>
      </c>
      <c r="H1162" t="str" vm="9523">
        <f>IFERROR(CUBEVALUE("BIDB",$A1162,H$3,H$2,'Præsentationstabeller 1'!$C$2),0)</f>
        <v/>
      </c>
      <c r="I1162" t="str" vm="5896">
        <f>IFERROR(CUBEVALUE("BIDB",$A1162,I$3,I$2,'Præsentationstabeller 1'!$C$2),0)</f>
        <v/>
      </c>
      <c r="J1162" t="str" vm="8599">
        <f>IFERROR(CUBEVALUE("BIDB",$A1162,J$3,J$2,'Præsentationstabeller 1'!$C$2),0)</f>
        <v/>
      </c>
      <c r="K1162" t="str" vm="11621">
        <f>IFERROR(CUBEVALUE("BIDB",$A1162,K$3,K$2,'Præsentationstabeller 1'!$C$2),0)</f>
        <v/>
      </c>
      <c r="L1162" t="str" vm="11967">
        <f>IFERROR(CUBEVALUE("BIDB",$A1162,L$3,L$2,'Præsentationstabeller 1'!$C$2),0)</f>
        <v/>
      </c>
    </row>
    <row r="1163" spans="1:12" x14ac:dyDescent="0.3">
      <c r="A1163" s="123" t="str" vm="173">
        <f>CUBEMEMBER("BIDB","[Dimittenddato].[Dimittenddato].&amp;[2019-07-26T00:00:00]")</f>
        <v>26-07-2019</v>
      </c>
      <c r="B1163" t="str" vm="4570">
        <f>IFERROR(CUBEVALUE("BIDB",$A1163,B$3,'Præsentationstabeller 1'!$C$2),0)</f>
        <v/>
      </c>
      <c r="C1163" t="str" vm="14511">
        <f>IFERROR(CUBEVALUE("BIDB",$A1163,C$3,C$2,'Præsentationstabeller 1'!$C$2),0)</f>
        <v/>
      </c>
      <c r="D1163" t="str" vm="14002">
        <f>IFERROR(CUBEVALUE("BIDB",$A1163,D$3,D$2,'Præsentationstabeller 1'!$C$2),0)</f>
        <v/>
      </c>
      <c r="E1163" t="str" vm="4725">
        <f>IFERROR(CUBEVALUE("BIDB",$A1163,E$3,E$2,'Præsentationstabeller 1'!$C$2),0)</f>
        <v/>
      </c>
      <c r="F1163" t="str" vm="3615">
        <f>IFERROR(CUBEVALUE("BIDB",$A1163,F$3,F$2,'Præsentationstabeller 1'!$C$2),0)</f>
        <v/>
      </c>
      <c r="G1163" t="str" vm="15521">
        <f>IFERROR(CUBEVALUE("BIDB",$A1163,G$3,G$2,'Præsentationstabeller 1'!$C$2),0)</f>
        <v/>
      </c>
      <c r="H1163" t="str" vm="14254">
        <f>IFERROR(CUBEVALUE("BIDB",$A1163,H$3,H$2,'Præsentationstabeller 1'!$C$2),0)</f>
        <v/>
      </c>
      <c r="I1163" t="str" vm="6100">
        <f>IFERROR(CUBEVALUE("BIDB",$A1163,I$3,I$2,'Præsentationstabeller 1'!$C$2),0)</f>
        <v/>
      </c>
      <c r="J1163" t="str" vm="5450">
        <f>IFERROR(CUBEVALUE("BIDB",$A1163,J$3,J$2,'Præsentationstabeller 1'!$C$2),0)</f>
        <v/>
      </c>
      <c r="K1163" t="str" vm="12151">
        <f>IFERROR(CUBEVALUE("BIDB",$A1163,K$3,K$2,'Præsentationstabeller 1'!$C$2),0)</f>
        <v/>
      </c>
      <c r="L1163" t="str" vm="14944">
        <f>IFERROR(CUBEVALUE("BIDB",$A1163,L$3,L$2,'Præsentationstabeller 1'!$C$2),0)</f>
        <v/>
      </c>
    </row>
    <row r="1164" spans="1:12" x14ac:dyDescent="0.3">
      <c r="A1164" s="123" t="str" vm="172">
        <f>CUBEMEMBER("BIDB","[Dimittenddato].[Dimittenddato].&amp;[2019-07-27T00:00:00]")</f>
        <v>27-07-2019</v>
      </c>
      <c r="B1164" t="str" vm="3270">
        <f>IFERROR(CUBEVALUE("BIDB",$A1164,B$3,'Præsentationstabeller 1'!$C$2),0)</f>
        <v/>
      </c>
      <c r="C1164" t="str" vm="13456">
        <f>IFERROR(CUBEVALUE("BIDB",$A1164,C$3,C$2,'Præsentationstabeller 1'!$C$2),0)</f>
        <v/>
      </c>
      <c r="D1164" t="str" vm="11993">
        <f>IFERROR(CUBEVALUE("BIDB",$A1164,D$3,D$2,'Præsentationstabeller 1'!$C$2),0)</f>
        <v/>
      </c>
      <c r="E1164" t="str" vm="3468">
        <f>IFERROR(CUBEVALUE("BIDB",$A1164,E$3,E$2,'Præsentationstabeller 1'!$C$2),0)</f>
        <v/>
      </c>
      <c r="F1164" t="str" vm="4543">
        <f>IFERROR(CUBEVALUE("BIDB",$A1164,F$3,F$2,'Præsentationstabeller 1'!$C$2),0)</f>
        <v/>
      </c>
      <c r="G1164" t="str" vm="15361">
        <f>IFERROR(CUBEVALUE("BIDB",$A1164,G$3,G$2,'Præsentationstabeller 1'!$C$2),0)</f>
        <v/>
      </c>
      <c r="H1164" t="str" vm="12097">
        <f>IFERROR(CUBEVALUE("BIDB",$A1164,H$3,H$2,'Præsentationstabeller 1'!$C$2),0)</f>
        <v/>
      </c>
      <c r="I1164" t="str" vm="4095">
        <f>IFERROR(CUBEVALUE("BIDB",$A1164,I$3,I$2,'Præsentationstabeller 1'!$C$2),0)</f>
        <v/>
      </c>
      <c r="J1164" t="str" vm="5317">
        <f>IFERROR(CUBEVALUE("BIDB",$A1164,J$3,J$2,'Præsentationstabeller 1'!$C$2),0)</f>
        <v/>
      </c>
      <c r="K1164" t="str" vm="13740">
        <f>IFERROR(CUBEVALUE("BIDB",$A1164,K$3,K$2,'Præsentationstabeller 1'!$C$2),0)</f>
        <v/>
      </c>
      <c r="L1164" t="str" vm="11416">
        <f>IFERROR(CUBEVALUE("BIDB",$A1164,L$3,L$2,'Præsentationstabeller 1'!$C$2),0)</f>
        <v/>
      </c>
    </row>
    <row r="1165" spans="1:12" x14ac:dyDescent="0.3">
      <c r="A1165" s="123" t="str" vm="171">
        <f>CUBEMEMBER("BIDB","[Dimittenddato].[Dimittenddato].&amp;[2019-07-28T00:00:00]")</f>
        <v>28-07-2019</v>
      </c>
      <c r="B1165" t="str" vm="4167">
        <f>IFERROR(CUBEVALUE("BIDB",$A1165,B$3,'Præsentationstabeller 1'!$C$2),0)</f>
        <v/>
      </c>
      <c r="C1165" t="str" vm="11622">
        <f>IFERROR(CUBEVALUE("BIDB",$A1165,C$3,C$2,'Præsentationstabeller 1'!$C$2),0)</f>
        <v/>
      </c>
      <c r="D1165" t="str" vm="16143">
        <f>IFERROR(CUBEVALUE("BIDB",$A1165,D$3,D$2,'Præsentationstabeller 1'!$C$2),0)</f>
        <v/>
      </c>
      <c r="E1165" t="str" vm="6957">
        <f>IFERROR(CUBEVALUE("BIDB",$A1165,E$3,E$2,'Præsentationstabeller 1'!$C$2),0)</f>
        <v/>
      </c>
      <c r="F1165" t="str" vm="5549">
        <f>IFERROR(CUBEVALUE("BIDB",$A1165,F$3,F$2,'Præsentationstabeller 1'!$C$2),0)</f>
        <v/>
      </c>
      <c r="G1165" t="str" vm="11547">
        <f>IFERROR(CUBEVALUE("BIDB",$A1165,G$3,G$2,'Præsentationstabeller 1'!$C$2),0)</f>
        <v/>
      </c>
      <c r="H1165" t="str" vm="14859">
        <f>IFERROR(CUBEVALUE("BIDB",$A1165,H$3,H$2,'Præsentationstabeller 1'!$C$2),0)</f>
        <v/>
      </c>
      <c r="I1165" t="str" vm="5833">
        <f>IFERROR(CUBEVALUE("BIDB",$A1165,I$3,I$2,'Præsentationstabeller 1'!$C$2),0)</f>
        <v/>
      </c>
      <c r="J1165" t="str" vm="6888">
        <f>IFERROR(CUBEVALUE("BIDB",$A1165,J$3,J$2,'Præsentationstabeller 1'!$C$2),0)</f>
        <v/>
      </c>
      <c r="K1165" t="str" vm="14614">
        <f>IFERROR(CUBEVALUE("BIDB",$A1165,K$3,K$2,'Præsentationstabeller 1'!$C$2),0)</f>
        <v/>
      </c>
      <c r="L1165" t="str" vm="12050">
        <f>IFERROR(CUBEVALUE("BIDB",$A1165,L$3,L$2,'Præsentationstabeller 1'!$C$2),0)</f>
        <v/>
      </c>
    </row>
    <row r="1166" spans="1:12" x14ac:dyDescent="0.3">
      <c r="A1166" s="123" t="str" vm="170">
        <f>CUBEMEMBER("BIDB","[Dimittenddato].[Dimittenddato].&amp;[2019-07-29T00:00:00]")</f>
        <v>29-07-2019</v>
      </c>
      <c r="B1166" t="str" vm="3500">
        <f>IFERROR(CUBEVALUE("BIDB",$A1166,B$3,'Præsentationstabeller 1'!$C$2),0)</f>
        <v/>
      </c>
      <c r="C1166" t="str" vm="16013">
        <f>IFERROR(CUBEVALUE("BIDB",$A1166,C$3,C$2,'Præsentationstabeller 1'!$C$2),0)</f>
        <v/>
      </c>
      <c r="D1166" t="str" vm="9836">
        <f>IFERROR(CUBEVALUE("BIDB",$A1166,D$3,D$2,'Præsentationstabeller 1'!$C$2),0)</f>
        <v/>
      </c>
      <c r="E1166" t="str" vm="7266">
        <f>IFERROR(CUBEVALUE("BIDB",$A1166,E$3,E$2,'Præsentationstabeller 1'!$C$2),0)</f>
        <v/>
      </c>
      <c r="F1166" t="str" vm="4626">
        <f>IFERROR(CUBEVALUE("BIDB",$A1166,F$3,F$2,'Præsentationstabeller 1'!$C$2),0)</f>
        <v/>
      </c>
      <c r="G1166" t="str" vm="14298">
        <f>IFERROR(CUBEVALUE("BIDB",$A1166,G$3,G$2,'Præsentationstabeller 1'!$C$2),0)</f>
        <v/>
      </c>
      <c r="H1166" t="str" vm="12855">
        <f>IFERROR(CUBEVALUE("BIDB",$A1166,H$3,H$2,'Præsentationstabeller 1'!$C$2),0)</f>
        <v/>
      </c>
      <c r="I1166" t="str" vm="7701">
        <f>IFERROR(CUBEVALUE("BIDB",$A1166,I$3,I$2,'Præsentationstabeller 1'!$C$2),0)</f>
        <v/>
      </c>
      <c r="J1166" t="str" vm="4605">
        <f>IFERROR(CUBEVALUE("BIDB",$A1166,J$3,J$2,'Præsentationstabeller 1'!$C$2),0)</f>
        <v/>
      </c>
      <c r="K1166" t="str" vm="16923">
        <f>IFERROR(CUBEVALUE("BIDB",$A1166,K$3,K$2,'Præsentationstabeller 1'!$C$2),0)</f>
        <v/>
      </c>
      <c r="L1166" t="str" vm="8836">
        <f>IFERROR(CUBEVALUE("BIDB",$A1166,L$3,L$2,'Præsentationstabeller 1'!$C$2),0)</f>
        <v/>
      </c>
    </row>
    <row r="1167" spans="1:12" x14ac:dyDescent="0.3">
      <c r="A1167" s="123" t="str" vm="169">
        <f>CUBEMEMBER("BIDB","[Dimittenddato].[Dimittenddato].&amp;[2019-07-30T00:00:00]")</f>
        <v>30-07-2019</v>
      </c>
      <c r="B1167" t="str" vm="4568">
        <f>IFERROR(CUBEVALUE("BIDB",$A1167,B$3,'Præsentationstabeller 1'!$C$2),0)</f>
        <v/>
      </c>
      <c r="C1167" t="str" vm="15711">
        <f>IFERROR(CUBEVALUE("BIDB",$A1167,C$3,C$2,'Præsentationstabeller 1'!$C$2),0)</f>
        <v/>
      </c>
      <c r="D1167" t="str" vm="10627">
        <f>IFERROR(CUBEVALUE("BIDB",$A1167,D$3,D$2,'Præsentationstabeller 1'!$C$2),0)</f>
        <v/>
      </c>
      <c r="E1167" t="str" vm="3981">
        <f>IFERROR(CUBEVALUE("BIDB",$A1167,E$3,E$2,'Præsentationstabeller 1'!$C$2),0)</f>
        <v/>
      </c>
      <c r="F1167" t="str" vm="3599">
        <f>IFERROR(CUBEVALUE("BIDB",$A1167,F$3,F$2,'Præsentationstabeller 1'!$C$2),0)</f>
        <v/>
      </c>
      <c r="G1167" t="str" vm="12938">
        <f>IFERROR(CUBEVALUE("BIDB",$A1167,G$3,G$2,'Præsentationstabeller 1'!$C$2),0)</f>
        <v/>
      </c>
      <c r="H1167" t="str" vm="10127">
        <f>IFERROR(CUBEVALUE("BIDB",$A1167,H$3,H$2,'Præsentationstabeller 1'!$C$2),0)</f>
        <v/>
      </c>
      <c r="I1167" t="str" vm="4755">
        <f>IFERROR(CUBEVALUE("BIDB",$A1167,I$3,I$2,'Præsentationstabeller 1'!$C$2),0)</f>
        <v/>
      </c>
      <c r="J1167" t="str" vm="5446">
        <f>IFERROR(CUBEVALUE("BIDB",$A1167,J$3,J$2,'Præsentationstabeller 1'!$C$2),0)</f>
        <v/>
      </c>
      <c r="K1167" t="str" vm="11126">
        <f>IFERROR(CUBEVALUE("BIDB",$A1167,K$3,K$2,'Præsentationstabeller 1'!$C$2),0)</f>
        <v/>
      </c>
      <c r="L1167" t="str" vm="10580">
        <f>IFERROR(CUBEVALUE("BIDB",$A1167,L$3,L$2,'Præsentationstabeller 1'!$C$2),0)</f>
        <v/>
      </c>
    </row>
    <row r="1168" spans="1:12" x14ac:dyDescent="0.3">
      <c r="A1168" s="123" t="str" vm="168">
        <f>CUBEMEMBER("BIDB","[Dimittenddato].[Dimittenddato].&amp;[2019-07-31T00:00:00]")</f>
        <v>31-07-2019</v>
      </c>
      <c r="B1168" t="str" vm="6501">
        <f>IFERROR(CUBEVALUE("BIDB",$A1168,B$3,'Præsentationstabeller 1'!$C$2),0)</f>
        <v/>
      </c>
      <c r="C1168" t="str" vm="13639">
        <f>IFERROR(CUBEVALUE("BIDB",$A1168,C$3,C$2,'Præsentationstabeller 1'!$C$2),0)</f>
        <v/>
      </c>
      <c r="D1168" t="str" vm="14736">
        <f>IFERROR(CUBEVALUE("BIDB",$A1168,D$3,D$2,'Præsentationstabeller 1'!$C$2),0)</f>
        <v/>
      </c>
      <c r="E1168" t="str" vm="12302">
        <f>IFERROR(CUBEVALUE("BIDB",$A1168,E$3,E$2,'Præsentationstabeller 1'!$C$2),0)</f>
        <v/>
      </c>
      <c r="F1168" t="str" vm="5785">
        <f>IFERROR(CUBEVALUE("BIDB",$A1168,F$3,F$2,'Præsentationstabeller 1'!$C$2),0)</f>
        <v/>
      </c>
      <c r="G1168" t="str" vm="11604">
        <f>IFERROR(CUBEVALUE("BIDB",$A1168,G$3,G$2,'Præsentationstabeller 1'!$C$2),0)</f>
        <v/>
      </c>
      <c r="H1168" t="str" vm="15141">
        <f>IFERROR(CUBEVALUE("BIDB",$A1168,H$3,H$2,'Præsentationstabeller 1'!$C$2),0)</f>
        <v/>
      </c>
      <c r="I1168" t="str" vm="3516">
        <f>IFERROR(CUBEVALUE("BIDB",$A1168,I$3,I$2,'Præsentationstabeller 1'!$C$2),0)</f>
        <v/>
      </c>
      <c r="J1168" t="str" vm="4954">
        <f>IFERROR(CUBEVALUE("BIDB",$A1168,J$3,J$2,'Præsentationstabeller 1'!$C$2),0)</f>
        <v/>
      </c>
      <c r="K1168" t="str" vm="9391">
        <f>IFERROR(CUBEVALUE("BIDB",$A1168,K$3,K$2,'Præsentationstabeller 1'!$C$2),0)</f>
        <v/>
      </c>
      <c r="L1168" t="str" vm="12968">
        <f>IFERROR(CUBEVALUE("BIDB",$A1168,L$3,L$2,'Præsentationstabeller 1'!$C$2),0)</f>
        <v/>
      </c>
    </row>
    <row r="1169" spans="1:12" x14ac:dyDescent="0.3">
      <c r="A1169" s="123" t="str" vm="167">
        <f>CUBEMEMBER("BIDB","[Dimittenddato].[Dimittenddato].&amp;[2019-08-01T00:00:00]")</f>
        <v>01-08-2019</v>
      </c>
      <c r="B1169" t="str" vm="4013">
        <f>IFERROR(CUBEVALUE("BIDB",$A1169,B$3,'Præsentationstabeller 1'!$C$2),0)</f>
        <v/>
      </c>
      <c r="C1169" t="str" vm="16612">
        <f>IFERROR(CUBEVALUE("BIDB",$A1169,C$3,C$2,'Præsentationstabeller 1'!$C$2),0)</f>
        <v/>
      </c>
      <c r="D1169" t="str" vm="14845">
        <f>IFERROR(CUBEVALUE("BIDB",$A1169,D$3,D$2,'Præsentationstabeller 1'!$C$2),0)</f>
        <v/>
      </c>
      <c r="E1169" t="str" vm="8743">
        <f>IFERROR(CUBEVALUE("BIDB",$A1169,E$3,E$2,'Præsentationstabeller 1'!$C$2),0)</f>
        <v/>
      </c>
      <c r="F1169" t="str" vm="5365">
        <f>IFERROR(CUBEVALUE("BIDB",$A1169,F$3,F$2,'Præsentationstabeller 1'!$C$2),0)</f>
        <v/>
      </c>
      <c r="G1169" t="str" vm="16497">
        <f>IFERROR(CUBEVALUE("BIDB",$A1169,G$3,G$2,'Præsentationstabeller 1'!$C$2),0)</f>
        <v/>
      </c>
      <c r="H1169" t="str" vm="15339">
        <f>IFERROR(CUBEVALUE("BIDB",$A1169,H$3,H$2,'Præsentationstabeller 1'!$C$2),0)</f>
        <v/>
      </c>
      <c r="I1169" t="str" vm="4986">
        <f>IFERROR(CUBEVALUE("BIDB",$A1169,I$3,I$2,'Præsentationstabeller 1'!$C$2),0)</f>
        <v/>
      </c>
      <c r="J1169" t="str" vm="5904">
        <f>IFERROR(CUBEVALUE("BIDB",$A1169,J$3,J$2,'Præsentationstabeller 1'!$C$2),0)</f>
        <v/>
      </c>
      <c r="K1169" t="str" vm="11852">
        <f>IFERROR(CUBEVALUE("BIDB",$A1169,K$3,K$2,'Præsentationstabeller 1'!$C$2),0)</f>
        <v/>
      </c>
      <c r="L1169" t="str" vm="10618">
        <f>IFERROR(CUBEVALUE("BIDB",$A1169,L$3,L$2,'Præsentationstabeller 1'!$C$2),0)</f>
        <v/>
      </c>
    </row>
    <row r="1170" spans="1:12" x14ac:dyDescent="0.3">
      <c r="A1170" s="123" t="str" vm="166">
        <f>CUBEMEMBER("BIDB","[Dimittenddato].[Dimittenddato].&amp;[2019-08-02T00:00:00]")</f>
        <v>02-08-2019</v>
      </c>
      <c r="B1170" t="str" vm="3484">
        <f>IFERROR(CUBEVALUE("BIDB",$A1170,B$3,'Præsentationstabeller 1'!$C$2),0)</f>
        <v/>
      </c>
      <c r="C1170" t="str" vm="14739">
        <f>IFERROR(CUBEVALUE("BIDB",$A1170,C$3,C$2,'Præsentationstabeller 1'!$C$2),0)</f>
        <v/>
      </c>
      <c r="D1170" t="str" vm="12225">
        <f>IFERROR(CUBEVALUE("BIDB",$A1170,D$3,D$2,'Præsentationstabeller 1'!$C$2),0)</f>
        <v/>
      </c>
      <c r="E1170" t="str" vm="5962">
        <f>IFERROR(CUBEVALUE("BIDB",$A1170,E$3,E$2,'Præsentationstabeller 1'!$C$2),0)</f>
        <v/>
      </c>
      <c r="F1170" t="str" vm="4111">
        <f>IFERROR(CUBEVALUE("BIDB",$A1170,F$3,F$2,'Præsentationstabeller 1'!$C$2),0)</f>
        <v/>
      </c>
      <c r="G1170" t="str" vm="16467">
        <f>IFERROR(CUBEVALUE("BIDB",$A1170,G$3,G$2,'Præsentationstabeller 1'!$C$2),0)</f>
        <v/>
      </c>
      <c r="H1170" t="str" vm="13042">
        <f>IFERROR(CUBEVALUE("BIDB",$A1170,H$3,H$2,'Præsentationstabeller 1'!$C$2),0)</f>
        <v/>
      </c>
      <c r="I1170" t="str" vm="8678">
        <f>IFERROR(CUBEVALUE("BIDB",$A1170,I$3,I$2,'Præsentationstabeller 1'!$C$2),0)</f>
        <v/>
      </c>
      <c r="J1170" t="str" vm="4785">
        <f>IFERROR(CUBEVALUE("BIDB",$A1170,J$3,J$2,'Præsentationstabeller 1'!$C$2),0)</f>
        <v/>
      </c>
      <c r="K1170" t="str" vm="11514">
        <f>IFERROR(CUBEVALUE("BIDB",$A1170,K$3,K$2,'Præsentationstabeller 1'!$C$2),0)</f>
        <v/>
      </c>
      <c r="L1170" t="str" vm="8868">
        <f>IFERROR(CUBEVALUE("BIDB",$A1170,L$3,L$2,'Præsentationstabeller 1'!$C$2),0)</f>
        <v/>
      </c>
    </row>
    <row r="1171" spans="1:12" x14ac:dyDescent="0.3">
      <c r="A1171" s="123" t="str" vm="165">
        <f>CUBEMEMBER("BIDB","[Dimittenddato].[Dimittenddato].&amp;[2019-08-03T00:00:00]")</f>
        <v>03-08-2019</v>
      </c>
      <c r="B1171" t="str" vm="15677">
        <f>IFERROR(CUBEVALUE("BIDB",$A1171,B$3,'Præsentationstabeller 1'!$C$2),0)</f>
        <v/>
      </c>
      <c r="C1171" t="str" vm="13019">
        <f>IFERROR(CUBEVALUE("BIDB",$A1171,C$3,C$2,'Præsentationstabeller 1'!$C$2),0)</f>
        <v/>
      </c>
      <c r="D1171" t="str" vm="16335">
        <f>IFERROR(CUBEVALUE("BIDB",$A1171,D$3,D$2,'Præsentationstabeller 1'!$C$2),0)</f>
        <v/>
      </c>
      <c r="E1171" t="str" vm="8877">
        <f>IFERROR(CUBEVALUE("BIDB",$A1171,E$3,E$2,'Præsentationstabeller 1'!$C$2),0)</f>
        <v/>
      </c>
      <c r="F1171" t="str" vm="6227">
        <f>IFERROR(CUBEVALUE("BIDB",$A1171,F$3,F$2,'Præsentationstabeller 1'!$C$2),0)</f>
        <v/>
      </c>
      <c r="G1171" t="str" vm="16649">
        <f>IFERROR(CUBEVALUE("BIDB",$A1171,G$3,G$2,'Præsentationstabeller 1'!$C$2),0)</f>
        <v/>
      </c>
      <c r="H1171" t="str" vm="12871">
        <f>IFERROR(CUBEVALUE("BIDB",$A1171,H$3,H$2,'Præsentationstabeller 1'!$C$2),0)</f>
        <v/>
      </c>
      <c r="I1171" t="str" vm="9104">
        <f>IFERROR(CUBEVALUE("BIDB",$A1171,I$3,I$2,'Præsentationstabeller 1'!$C$2),0)</f>
        <v/>
      </c>
      <c r="J1171" t="str" vm="4460">
        <f>IFERROR(CUBEVALUE("BIDB",$A1171,J$3,J$2,'Præsentationstabeller 1'!$C$2),0)</f>
        <v/>
      </c>
      <c r="K1171" t="str" vm="10601">
        <f>IFERROR(CUBEVALUE("BIDB",$A1171,K$3,K$2,'Præsentationstabeller 1'!$C$2),0)</f>
        <v/>
      </c>
      <c r="L1171" t="str" vm="14377">
        <f>IFERROR(CUBEVALUE("BIDB",$A1171,L$3,L$2,'Præsentationstabeller 1'!$C$2),0)</f>
        <v/>
      </c>
    </row>
    <row r="1172" spans="1:12" x14ac:dyDescent="0.3">
      <c r="A1172" s="123" t="str" vm="164">
        <f>CUBEMEMBER("BIDB","[Dimittenddato].[Dimittenddato].&amp;[2019-08-04T00:00:00]")</f>
        <v>04-08-2019</v>
      </c>
      <c r="B1172" t="str" vm="6240">
        <f>IFERROR(CUBEVALUE("BIDB",$A1172,B$3,'Præsentationstabeller 1'!$C$2),0)</f>
        <v/>
      </c>
      <c r="C1172" t="str" vm="15005">
        <f>IFERROR(CUBEVALUE("BIDB",$A1172,C$3,C$2,'Præsentationstabeller 1'!$C$2),0)</f>
        <v/>
      </c>
      <c r="D1172" t="str" vm="16326">
        <f>IFERROR(CUBEVALUE("BIDB",$A1172,D$3,D$2,'Præsentationstabeller 1'!$C$2),0)</f>
        <v/>
      </c>
      <c r="E1172" t="str" vm="6229">
        <f>IFERROR(CUBEVALUE("BIDB",$A1172,E$3,E$2,'Præsentationstabeller 1'!$C$2),0)</f>
        <v/>
      </c>
      <c r="F1172" t="str" vm="11280">
        <f>IFERROR(CUBEVALUE("BIDB",$A1172,F$3,F$2,'Præsentationstabeller 1'!$C$2),0)</f>
        <v/>
      </c>
      <c r="G1172" t="str" vm="13380">
        <f>IFERROR(CUBEVALUE("BIDB",$A1172,G$3,G$2,'Præsentationstabeller 1'!$C$2),0)</f>
        <v/>
      </c>
      <c r="H1172" t="str" vm="14449">
        <f>IFERROR(CUBEVALUE("BIDB",$A1172,H$3,H$2,'Præsentationstabeller 1'!$C$2),0)</f>
        <v/>
      </c>
      <c r="I1172" t="str" vm="4492">
        <f>IFERROR(CUBEVALUE("BIDB",$A1172,I$3,I$2,'Præsentationstabeller 1'!$C$2),0)</f>
        <v/>
      </c>
      <c r="J1172" t="str" vm="8976">
        <f>IFERROR(CUBEVALUE("BIDB",$A1172,J$3,J$2,'Præsentationstabeller 1'!$C$2),0)</f>
        <v/>
      </c>
      <c r="K1172" t="str" vm="13195">
        <f>IFERROR(CUBEVALUE("BIDB",$A1172,K$3,K$2,'Præsentationstabeller 1'!$C$2),0)</f>
        <v/>
      </c>
      <c r="L1172" t="str" vm="11448">
        <f>IFERROR(CUBEVALUE("BIDB",$A1172,L$3,L$2,'Præsentationstabeller 1'!$C$2),0)</f>
        <v/>
      </c>
    </row>
    <row r="1173" spans="1:12" x14ac:dyDescent="0.3">
      <c r="A1173" s="123" t="str" vm="163">
        <f>CUBEMEMBER("BIDB","[Dimittenddato].[Dimittenddato].&amp;[2019-08-05T00:00:00]")</f>
        <v>05-08-2019</v>
      </c>
      <c r="B1173" t="str" vm="3997">
        <f>IFERROR(CUBEVALUE("BIDB",$A1173,B$3,'Præsentationstabeller 1'!$C$2),0)</f>
        <v/>
      </c>
      <c r="C1173" t="str" vm="16327">
        <f>IFERROR(CUBEVALUE("BIDB",$A1173,C$3,C$2,'Præsentationstabeller 1'!$C$2),0)</f>
        <v/>
      </c>
      <c r="D1173" t="str" vm="13085">
        <f>IFERROR(CUBEVALUE("BIDB",$A1173,D$3,D$2,'Præsentationstabeller 1'!$C$2),0)</f>
        <v/>
      </c>
      <c r="E1173" t="str" vm="8741">
        <f>IFERROR(CUBEVALUE("BIDB",$A1173,E$3,E$2,'Præsentationstabeller 1'!$C$2),0)</f>
        <v/>
      </c>
      <c r="F1173" t="str" vm="5209">
        <f>IFERROR(CUBEVALUE("BIDB",$A1173,F$3,F$2,'Præsentationstabeller 1'!$C$2),0)</f>
        <v/>
      </c>
      <c r="G1173" t="str" vm="15600">
        <f>IFERROR(CUBEVALUE("BIDB",$A1173,G$3,G$2,'Præsentationstabeller 1'!$C$2),0)</f>
        <v/>
      </c>
      <c r="H1173" t="str" vm="16672">
        <f>IFERROR(CUBEVALUE("BIDB",$A1173,H$3,H$2,'Præsentationstabeller 1'!$C$2),0)</f>
        <v/>
      </c>
      <c r="I1173" t="str" vm="4970">
        <f>IFERROR(CUBEVALUE("BIDB",$A1173,I$3,I$2,'Præsentationstabeller 1'!$C$2),0)</f>
        <v/>
      </c>
      <c r="J1173" t="str" vm="5858">
        <f>IFERROR(CUBEVALUE("BIDB",$A1173,J$3,J$2,'Præsentationstabeller 1'!$C$2),0)</f>
        <v/>
      </c>
      <c r="K1173" t="str" vm="15216">
        <f>IFERROR(CUBEVALUE("BIDB",$A1173,K$3,K$2,'Præsentationstabeller 1'!$C$2),0)</f>
        <v/>
      </c>
      <c r="L1173" t="str" vm="16381">
        <f>IFERROR(CUBEVALUE("BIDB",$A1173,L$3,L$2,'Præsentationstabeller 1'!$C$2),0)</f>
        <v/>
      </c>
    </row>
    <row r="1174" spans="1:12" x14ac:dyDescent="0.3">
      <c r="A1174" s="123" t="str" vm="162">
        <f>CUBEMEMBER("BIDB","[Dimittenddato].[Dimittenddato].&amp;[2019-08-06T00:00:00]")</f>
        <v>06-08-2019</v>
      </c>
      <c r="B1174" t="str" vm="3331">
        <f>IFERROR(CUBEVALUE("BIDB",$A1174,B$3,'Præsentationstabeller 1'!$C$2),0)</f>
        <v/>
      </c>
      <c r="C1174" t="str" vm="10381">
        <f>IFERROR(CUBEVALUE("BIDB",$A1174,C$3,C$2,'Præsentationstabeller 1'!$C$2),0)</f>
        <v/>
      </c>
      <c r="D1174" t="str" vm="11577">
        <f>IFERROR(CUBEVALUE("BIDB",$A1174,D$3,D$2,'Præsentationstabeller 1'!$C$2),0)</f>
        <v/>
      </c>
      <c r="E1174" t="str" vm="6729">
        <f>IFERROR(CUBEVALUE("BIDB",$A1174,E$3,E$2,'Præsentationstabeller 1'!$C$2),0)</f>
        <v/>
      </c>
      <c r="F1174" t="str" vm="4302">
        <f>IFERROR(CUBEVALUE("BIDB",$A1174,F$3,F$2,'Præsentationstabeller 1'!$C$2),0)</f>
        <v/>
      </c>
      <c r="G1174" t="str" vm="13029">
        <f>IFERROR(CUBEVALUE("BIDB",$A1174,G$3,G$2,'Præsentationstabeller 1'!$C$2),0)</f>
        <v/>
      </c>
      <c r="H1174" t="str" vm="11732">
        <f>IFERROR(CUBEVALUE("BIDB",$A1174,H$3,H$2,'Præsentationstabeller 1'!$C$2),0)</f>
        <v/>
      </c>
      <c r="I1174" t="str" vm="7696">
        <f>IFERROR(CUBEVALUE("BIDB",$A1174,I$3,I$2,'Præsentationstabeller 1'!$C$2),0)</f>
        <v/>
      </c>
      <c r="J1174" t="str" vm="4640">
        <f>IFERROR(CUBEVALUE("BIDB",$A1174,J$3,J$2,'Præsentationstabeller 1'!$C$2),0)</f>
        <v/>
      </c>
      <c r="K1174" t="str" vm="12491">
        <f>IFERROR(CUBEVALUE("BIDB",$A1174,K$3,K$2,'Præsentationstabeller 1'!$C$2),0)</f>
        <v/>
      </c>
      <c r="L1174" t="str" vm="7479">
        <f>IFERROR(CUBEVALUE("BIDB",$A1174,L$3,L$2,'Præsentationstabeller 1'!$C$2),0)</f>
        <v/>
      </c>
    </row>
    <row r="1175" spans="1:12" x14ac:dyDescent="0.3">
      <c r="A1175" s="123" t="str" vm="161">
        <f>CUBEMEMBER("BIDB","[Dimittenddato].[Dimittenddato].&amp;[2019-08-07T00:00:00]")</f>
        <v>07-08-2019</v>
      </c>
      <c r="B1175" t="str" vm="6409">
        <f>IFERROR(CUBEVALUE("BIDB",$A1175,B$3,'Præsentationstabeller 1'!$C$2),0)</f>
        <v/>
      </c>
      <c r="C1175" t="str" vm="12860">
        <f>IFERROR(CUBEVALUE("BIDB",$A1175,C$3,C$2,'Præsentationstabeller 1'!$C$2),0)</f>
        <v/>
      </c>
      <c r="D1175" t="str" vm="14624">
        <f>IFERROR(CUBEVALUE("BIDB",$A1175,D$3,D$2,'Præsentationstabeller 1'!$C$2),0)</f>
        <v/>
      </c>
      <c r="E1175" t="str" vm="4310">
        <f>IFERROR(CUBEVALUE("BIDB",$A1175,E$3,E$2,'Præsentationstabeller 1'!$C$2),0)</f>
        <v/>
      </c>
      <c r="F1175" t="str" vm="5332">
        <f>IFERROR(CUBEVALUE("BIDB",$A1175,F$3,F$2,'Præsentationstabeller 1'!$C$2),0)</f>
        <v/>
      </c>
      <c r="G1175" t="str" vm="14490">
        <f>IFERROR(CUBEVALUE("BIDB",$A1175,G$3,G$2,'Præsentationstabeller 1'!$C$2),0)</f>
        <v/>
      </c>
      <c r="H1175" t="str" vm="12601">
        <f>IFERROR(CUBEVALUE("BIDB",$A1175,H$3,H$2,'Præsentationstabeller 1'!$C$2),0)</f>
        <v/>
      </c>
      <c r="I1175" t="str" vm="5492">
        <f>IFERROR(CUBEVALUE("BIDB",$A1175,I$3,I$2,'Præsentationstabeller 1'!$C$2),0)</f>
        <v/>
      </c>
      <c r="J1175" t="str" vm="4848">
        <f>IFERROR(CUBEVALUE("BIDB",$A1175,J$3,J$2,'Præsentationstabeller 1'!$C$2),0)</f>
        <v/>
      </c>
      <c r="K1175" t="str" vm="16355">
        <f>IFERROR(CUBEVALUE("BIDB",$A1175,K$3,K$2,'Præsentationstabeller 1'!$C$2),0)</f>
        <v/>
      </c>
      <c r="L1175" t="str" vm="10614">
        <f>IFERROR(CUBEVALUE("BIDB",$A1175,L$3,L$2,'Præsentationstabeller 1'!$C$2),0)</f>
        <v/>
      </c>
    </row>
    <row r="1176" spans="1:12" x14ac:dyDescent="0.3">
      <c r="A1176" s="123" t="str" vm="160">
        <f>CUBEMEMBER("BIDB","[Dimittenddato].[Dimittenddato].&amp;[2019-08-08T00:00:00]")</f>
        <v>08-08-2019</v>
      </c>
      <c r="B1176" t="str" vm="5078">
        <f>IFERROR(CUBEVALUE("BIDB",$A1176,B$3,'Præsentationstabeller 1'!$C$2),0)</f>
        <v/>
      </c>
      <c r="C1176" t="str" vm="16421">
        <f>IFERROR(CUBEVALUE("BIDB",$A1176,C$3,C$2,'Præsentationstabeller 1'!$C$2),0)</f>
        <v/>
      </c>
      <c r="D1176" t="str" vm="15031">
        <f>IFERROR(CUBEVALUE("BIDB",$A1176,D$3,D$2,'Præsentationstabeller 1'!$C$2),0)</f>
        <v/>
      </c>
      <c r="E1176" t="str" vm="6228">
        <f>IFERROR(CUBEVALUE("BIDB",$A1176,E$3,E$2,'Præsentationstabeller 1'!$C$2),0)</f>
        <v/>
      </c>
      <c r="F1176" t="str" vm="4406">
        <f>IFERROR(CUBEVALUE("BIDB",$A1176,F$3,F$2,'Præsentationstabeller 1'!$C$2),0)</f>
        <v/>
      </c>
      <c r="G1176" t="str" vm="15783">
        <f>IFERROR(CUBEVALUE("BIDB",$A1176,G$3,G$2,'Præsentationstabeller 1'!$C$2),0)</f>
        <v/>
      </c>
      <c r="H1176" t="str" vm="16643">
        <f>IFERROR(CUBEVALUE("BIDB",$A1176,H$3,H$2,'Præsentationstabeller 1'!$C$2),0)</f>
        <v/>
      </c>
      <c r="I1176" t="str" vm="4476">
        <f>IFERROR(CUBEVALUE("BIDB",$A1176,I$3,I$2,'Præsentationstabeller 1'!$C$2),0)</f>
        <v/>
      </c>
      <c r="J1176" t="str" vm="3363">
        <f>IFERROR(CUBEVALUE("BIDB",$A1176,J$3,J$2,'Præsentationstabeller 1'!$C$2),0)</f>
        <v/>
      </c>
      <c r="K1176" t="str" vm="11668">
        <f>IFERROR(CUBEVALUE("BIDB",$A1176,K$3,K$2,'Præsentationstabeller 1'!$C$2),0)</f>
        <v/>
      </c>
      <c r="L1176" t="str" vm="10879">
        <f>IFERROR(CUBEVALUE("BIDB",$A1176,L$3,L$2,'Præsentationstabeller 1'!$C$2),0)</f>
        <v/>
      </c>
    </row>
    <row r="1177" spans="1:12" x14ac:dyDescent="0.3">
      <c r="A1177" s="123" t="str" vm="159">
        <f>CUBEMEMBER("BIDB","[Dimittenddato].[Dimittenddato].&amp;[2019-08-09T00:00:00]")</f>
        <v>09-08-2019</v>
      </c>
      <c r="B1177" t="str" vm="3842">
        <f>IFERROR(CUBEVALUE("BIDB",$A1177,B$3,'Præsentationstabeller 1'!$C$2),0)</f>
        <v/>
      </c>
      <c r="C1177" t="str" vm="9584">
        <f>IFERROR(CUBEVALUE("BIDB",$A1177,C$3,C$2,'Præsentationstabeller 1'!$C$2),0)</f>
        <v/>
      </c>
      <c r="D1177" t="str" vm="12074">
        <f>IFERROR(CUBEVALUE("BIDB",$A1177,D$3,D$2,'Præsentationstabeller 1'!$C$2),0)</f>
        <v/>
      </c>
      <c r="E1177" t="str" vm="7377">
        <f>IFERROR(CUBEVALUE("BIDB",$A1177,E$3,E$2,'Præsentationstabeller 1'!$C$2),0)</f>
        <v/>
      </c>
      <c r="F1177" t="str" vm="4027">
        <f>IFERROR(CUBEVALUE("BIDB",$A1177,F$3,F$2,'Præsentationstabeller 1'!$C$2),0)</f>
        <v/>
      </c>
      <c r="G1177" t="str" vm="14805">
        <f>IFERROR(CUBEVALUE("BIDB",$A1177,G$3,G$2,'Præsentationstabeller 1'!$C$2),0)</f>
        <v/>
      </c>
      <c r="H1177" t="str" vm="15519">
        <f>IFERROR(CUBEVALUE("BIDB",$A1177,H$3,H$2,'Præsentationstabeller 1'!$C$2),0)</f>
        <v/>
      </c>
      <c r="I1177" t="str" vm="3216">
        <f>IFERROR(CUBEVALUE("BIDB",$A1177,I$3,I$2,'Præsentationstabeller 1'!$C$2),0)</f>
        <v/>
      </c>
      <c r="J1177" t="str" vm="7756">
        <f>IFERROR(CUBEVALUE("BIDB",$A1177,J$3,J$2,'Præsentationstabeller 1'!$C$2),0)</f>
        <v/>
      </c>
      <c r="K1177" t="str" vm="15516">
        <f>IFERROR(CUBEVALUE("BIDB",$A1177,K$3,K$2,'Præsentationstabeller 1'!$C$2),0)</f>
        <v/>
      </c>
      <c r="L1177" t="str" vm="10596">
        <f>IFERROR(CUBEVALUE("BIDB",$A1177,L$3,L$2,'Præsentationstabeller 1'!$C$2),0)</f>
        <v/>
      </c>
    </row>
    <row r="1178" spans="1:12" x14ac:dyDescent="0.3">
      <c r="A1178" s="123" t="str" vm="158">
        <f>CUBEMEMBER("BIDB","[Dimittenddato].[Dimittenddato].&amp;[2019-08-10T00:00:00]")</f>
        <v>10-08-2019</v>
      </c>
      <c r="B1178" t="str" vm="4135">
        <f>IFERROR(CUBEVALUE("BIDB",$A1178,B$3,'Præsentationstabeller 1'!$C$2),0)</f>
        <v/>
      </c>
      <c r="C1178" t="str" vm="16391">
        <f>IFERROR(CUBEVALUE("BIDB",$A1178,C$3,C$2,'Præsentationstabeller 1'!$C$2),0)</f>
        <v/>
      </c>
      <c r="D1178" t="str" vm="9780">
        <f>IFERROR(CUBEVALUE("BIDB",$A1178,D$3,D$2,'Præsentationstabeller 1'!$C$2),0)</f>
        <v/>
      </c>
      <c r="E1178" t="str" vm="4352">
        <f>IFERROR(CUBEVALUE("BIDB",$A1178,E$3,E$2,'Præsentationstabeller 1'!$C$2),0)</f>
        <v/>
      </c>
      <c r="F1178" t="str" vm="3546">
        <f>IFERROR(CUBEVALUE("BIDB",$A1178,F$3,F$2,'Præsentationstabeller 1'!$C$2),0)</f>
        <v/>
      </c>
      <c r="G1178" t="str" vm="13070">
        <f>IFERROR(CUBEVALUE("BIDB",$A1178,G$3,G$2,'Præsentationstabeller 1'!$C$2),0)</f>
        <v/>
      </c>
      <c r="H1178" t="str" vm="14044">
        <f>IFERROR(CUBEVALUE("BIDB",$A1178,H$3,H$2,'Præsentationstabeller 1'!$C$2),0)</f>
        <v/>
      </c>
      <c r="I1178" t="str" vm="7800">
        <f>IFERROR(CUBEVALUE("BIDB",$A1178,I$3,I$2,'Præsentationstabeller 1'!$C$2),0)</f>
        <v/>
      </c>
      <c r="J1178" t="str" vm="5675">
        <f>IFERROR(CUBEVALUE("BIDB",$A1178,J$3,J$2,'Præsentationstabeller 1'!$C$2),0)</f>
        <v/>
      </c>
      <c r="K1178" t="str" vm="10733">
        <f>IFERROR(CUBEVALUE("BIDB",$A1178,K$3,K$2,'Præsentationstabeller 1'!$C$2),0)</f>
        <v/>
      </c>
      <c r="L1178" t="str" vm="14718">
        <f>IFERROR(CUBEVALUE("BIDB",$A1178,L$3,L$2,'Præsentationstabeller 1'!$C$2),0)</f>
        <v/>
      </c>
    </row>
    <row r="1179" spans="1:12" x14ac:dyDescent="0.3">
      <c r="A1179" s="123" t="str" vm="157">
        <f>CUBEMEMBER("BIDB","[Dimittenddato].[Dimittenddato].&amp;[2019-08-11T00:00:00]")</f>
        <v>11-08-2019</v>
      </c>
      <c r="B1179" t="str" vm="8008">
        <f>IFERROR(CUBEVALUE("BIDB",$A1179,B$3,'Præsentationstabeller 1'!$C$2),0)</f>
        <v/>
      </c>
      <c r="C1179" t="str" vm="9620">
        <f>IFERROR(CUBEVALUE("BIDB",$A1179,C$3,C$2,'Præsentationstabeller 1'!$C$2),0)</f>
        <v/>
      </c>
      <c r="D1179" t="str" vm="15608">
        <f>IFERROR(CUBEVALUE("BIDB",$A1179,D$3,D$2,'Præsentationstabeller 1'!$C$2),0)</f>
        <v/>
      </c>
      <c r="E1179" t="str" vm="4306">
        <f>IFERROR(CUBEVALUE("BIDB",$A1179,E$3,E$2,'Præsentationstabeller 1'!$C$2),0)</f>
        <v/>
      </c>
      <c r="F1179" t="str" vm="3248">
        <f>IFERROR(CUBEVALUE("BIDB",$A1179,F$3,F$2,'Præsentationstabeller 1'!$C$2),0)</f>
        <v/>
      </c>
      <c r="G1179" t="str" vm="13619">
        <f>IFERROR(CUBEVALUE("BIDB",$A1179,G$3,G$2,'Præsentationstabeller 1'!$C$2),0)</f>
        <v/>
      </c>
      <c r="H1179" t="str" vm="17136">
        <f>IFERROR(CUBEVALUE("BIDB",$A1179,H$3,H$2,'Præsentationstabeller 1'!$C$2),0)</f>
        <v/>
      </c>
      <c r="I1179" t="str" vm="5845">
        <f>IFERROR(CUBEVALUE("BIDB",$A1179,I$3,I$2,'Præsentationstabeller 1'!$C$2),0)</f>
        <v/>
      </c>
      <c r="J1179" t="str" vm="4377">
        <f>IFERROR(CUBEVALUE("BIDB",$A1179,J$3,J$2,'Præsentationstabeller 1'!$C$2),0)</f>
        <v/>
      </c>
      <c r="K1179" t="str" vm="15606">
        <f>IFERROR(CUBEVALUE("BIDB",$A1179,K$3,K$2,'Præsentationstabeller 1'!$C$2),0)</f>
        <v/>
      </c>
      <c r="L1179" t="str" vm="12111">
        <f>IFERROR(CUBEVALUE("BIDB",$A1179,L$3,L$2,'Præsentationstabeller 1'!$C$2),0)</f>
        <v/>
      </c>
    </row>
    <row r="1180" spans="1:12" x14ac:dyDescent="0.3">
      <c r="A1180" s="123" t="str" vm="156">
        <f>CUBEMEMBER("BIDB","[Dimittenddato].[Dimittenddato].&amp;[2019-08-12T00:00:00]")</f>
        <v>12-08-2019</v>
      </c>
      <c r="B1180" t="str" vm="4506">
        <f>IFERROR(CUBEVALUE("BIDB",$A1180,B$3,'Præsentationstabeller 1'!$C$2),0)</f>
        <v/>
      </c>
      <c r="C1180" t="str" vm="13311">
        <f>IFERROR(CUBEVALUE("BIDB",$A1180,C$3,C$2,'Præsentationstabeller 1'!$C$2),0)</f>
        <v/>
      </c>
      <c r="D1180" t="str" vm="13835">
        <f>IFERROR(CUBEVALUE("BIDB",$A1180,D$3,D$2,'Præsentationstabeller 1'!$C$2),0)</f>
        <v/>
      </c>
      <c r="E1180" t="str" vm="4701">
        <f>IFERROR(CUBEVALUE("BIDB",$A1180,E$3,E$2,'Præsentationstabeller 1'!$C$2),0)</f>
        <v/>
      </c>
      <c r="F1180" t="str" vm="4398">
        <f>IFERROR(CUBEVALUE("BIDB",$A1180,F$3,F$2,'Præsentationstabeller 1'!$C$2),0)</f>
        <v/>
      </c>
      <c r="G1180" t="str" vm="14413">
        <f>IFERROR(CUBEVALUE("BIDB",$A1180,G$3,G$2,'Præsentationstabeller 1'!$C$2),0)</f>
        <v/>
      </c>
      <c r="H1180" t="str" vm="15692">
        <f>IFERROR(CUBEVALUE("BIDB",$A1180,H$3,H$2,'Præsentationstabeller 1'!$C$2),0)</f>
        <v/>
      </c>
      <c r="I1180" t="str" vm="3728">
        <f>IFERROR(CUBEVALUE("BIDB",$A1180,I$3,I$2,'Præsentationstabeller 1'!$C$2),0)</f>
        <v/>
      </c>
      <c r="J1180" t="str" vm="3347">
        <f>IFERROR(CUBEVALUE("BIDB",$A1180,J$3,J$2,'Præsentationstabeller 1'!$C$2),0)</f>
        <v/>
      </c>
      <c r="K1180" t="str" vm="13519">
        <f>IFERROR(CUBEVALUE("BIDB",$A1180,K$3,K$2,'Præsentationstabeller 1'!$C$2),0)</f>
        <v/>
      </c>
      <c r="L1180" t="str" vm="15684">
        <f>IFERROR(CUBEVALUE("BIDB",$A1180,L$3,L$2,'Præsentationstabeller 1'!$C$2),0)</f>
        <v/>
      </c>
    </row>
    <row r="1181" spans="1:12" x14ac:dyDescent="0.3">
      <c r="A1181" s="123" t="str" vm="155">
        <f>CUBEMEMBER("BIDB","[Dimittenddato].[Dimittenddato].&amp;[2019-08-13T00:00:00]")</f>
        <v>13-08-2019</v>
      </c>
      <c r="B1181" t="str" vm="5002">
        <f>IFERROR(CUBEVALUE("BIDB",$A1181,B$3,'Præsentationstabeller 1'!$C$2),0)</f>
        <v/>
      </c>
      <c r="C1181" t="str" vm="13049">
        <f>IFERROR(CUBEVALUE("BIDB",$A1181,C$3,C$2,'Præsentationstabeller 1'!$C$2),0)</f>
        <v/>
      </c>
      <c r="D1181" t="str" vm="13271">
        <f>IFERROR(CUBEVALUE("BIDB",$A1181,D$3,D$2,'Præsentationstabeller 1'!$C$2),0)</f>
        <v/>
      </c>
      <c r="E1181" t="str" vm="7019">
        <f>IFERROR(CUBEVALUE("BIDB",$A1181,E$3,E$2,'Præsentationstabeller 1'!$C$2),0)</f>
        <v/>
      </c>
      <c r="F1181" t="str" vm="5517">
        <f>IFERROR(CUBEVALUE("BIDB",$A1181,F$3,F$2,'Præsentationstabeller 1'!$C$2),0)</f>
        <v/>
      </c>
      <c r="G1181" t="str" vm="13625">
        <f>IFERROR(CUBEVALUE("BIDB",$A1181,G$3,G$2,'Præsentationstabeller 1'!$C$2),0)</f>
        <v/>
      </c>
      <c r="H1181" t="str" vm="13972">
        <f>IFERROR(CUBEVALUE("BIDB",$A1181,H$3,H$2,'Præsentationstabeller 1'!$C$2),0)</f>
        <v/>
      </c>
      <c r="I1181" t="str" vm="7305">
        <f>IFERROR(CUBEVALUE("BIDB",$A1181,I$3,I$2,'Præsentationstabeller 1'!$C$2),0)</f>
        <v/>
      </c>
      <c r="J1181" t="str" vm="7343">
        <f>IFERROR(CUBEVALUE("BIDB",$A1181,J$3,J$2,'Præsentationstabeller 1'!$C$2),0)</f>
        <v/>
      </c>
      <c r="K1181" t="str" vm="9470">
        <f>IFERROR(CUBEVALUE("BIDB",$A1181,K$3,K$2,'Præsentationstabeller 1'!$C$2),0)</f>
        <v/>
      </c>
      <c r="L1181" t="str" vm="16129">
        <f>IFERROR(CUBEVALUE("BIDB",$A1181,L$3,L$2,'Præsentationstabeller 1'!$C$2),0)</f>
        <v/>
      </c>
    </row>
    <row r="1182" spans="1:12" x14ac:dyDescent="0.3">
      <c r="A1182" s="123" t="str" vm="154">
        <f>CUBEMEMBER("BIDB","[Dimittenddato].[Dimittenddato].&amp;[2019-08-14T00:00:00]")</f>
        <v>14-08-2019</v>
      </c>
      <c r="B1182" t="str" vm="4733">
        <f>IFERROR(CUBEVALUE("BIDB",$A1182,B$3,'Præsentationstabeller 1'!$C$2),0)</f>
        <v/>
      </c>
      <c r="C1182" t="str" vm="12553">
        <f>IFERROR(CUBEVALUE("BIDB",$A1182,C$3,C$2,'Præsentationstabeller 1'!$C$2),0)</f>
        <v/>
      </c>
      <c r="D1182" t="str" vm="11046">
        <f>IFERROR(CUBEVALUE("BIDB",$A1182,D$3,D$2,'Præsentationstabeller 1'!$C$2),0)</f>
        <v/>
      </c>
      <c r="E1182" t="str" vm="4536">
        <f>IFERROR(CUBEVALUE("BIDB",$A1182,E$3,E$2,'Præsentationstabeller 1'!$C$2),0)</f>
        <v/>
      </c>
      <c r="F1182" t="str" vm="3760">
        <f>IFERROR(CUBEVALUE("BIDB",$A1182,F$3,F$2,'Præsentationstabeller 1'!$C$2),0)</f>
        <v/>
      </c>
      <c r="G1182" t="str" vm="15720">
        <f>IFERROR(CUBEVALUE("BIDB",$A1182,G$3,G$2,'Præsentationstabeller 1'!$C$2),0)</f>
        <v/>
      </c>
      <c r="H1182" t="str" vm="10376">
        <f>IFERROR(CUBEVALUE("BIDB",$A1182,H$3,H$2,'Præsentationstabeller 1'!$C$2),0)</f>
        <v/>
      </c>
      <c r="I1182" t="str" vm="5252">
        <f>IFERROR(CUBEVALUE("BIDB",$A1182,I$3,I$2,'Præsentationstabeller 1'!$C$2),0)</f>
        <v/>
      </c>
      <c r="J1182" t="str" vm="6128">
        <f>IFERROR(CUBEVALUE("BIDB",$A1182,J$3,J$2,'Præsentationstabeller 1'!$C$2),0)</f>
        <v/>
      </c>
      <c r="K1182" t="str" vm="14255">
        <f>IFERROR(CUBEVALUE("BIDB",$A1182,K$3,K$2,'Præsentationstabeller 1'!$C$2),0)</f>
        <v/>
      </c>
      <c r="L1182" t="str" vm="7100">
        <f>IFERROR(CUBEVALUE("BIDB",$A1182,L$3,L$2,'Præsentationstabeller 1'!$C$2),0)</f>
        <v/>
      </c>
    </row>
    <row r="1183" spans="1:12" x14ac:dyDescent="0.3">
      <c r="A1183" s="123" t="str" vm="153">
        <f>CUBEMEMBER("BIDB","[Dimittenddato].[Dimittenddato].&amp;[2019-08-15T00:00:00]")</f>
        <v>15-08-2019</v>
      </c>
      <c r="B1183" t="str" vm="4815">
        <f>IFERROR(CUBEVALUE("BIDB",$A1183,B$3,'Præsentationstabeller 1'!$C$2),0)</f>
        <v/>
      </c>
      <c r="C1183" t="str" vm="15146">
        <f>IFERROR(CUBEVALUE("BIDB",$A1183,C$3,C$2,'Præsentationstabeller 1'!$C$2),0)</f>
        <v/>
      </c>
      <c r="D1183" t="str" vm="12234">
        <f>IFERROR(CUBEVALUE("BIDB",$A1183,D$3,D$2,'Præsentationstabeller 1'!$C$2),0)</f>
        <v/>
      </c>
      <c r="E1183" t="str" vm="5440">
        <f>IFERROR(CUBEVALUE("BIDB",$A1183,E$3,E$2,'Præsentationstabeller 1'!$C$2),0)</f>
        <v/>
      </c>
      <c r="F1183" t="str" vm="9941">
        <f>IFERROR(CUBEVALUE("BIDB",$A1183,F$3,F$2,'Præsentationstabeller 1'!$C$2),0)</f>
        <v/>
      </c>
      <c r="G1183" t="str" vm="11647">
        <f>IFERROR(CUBEVALUE("BIDB",$A1183,G$3,G$2,'Præsentationstabeller 1'!$C$2),0)</f>
        <v/>
      </c>
      <c r="H1183" t="str" vm="13935">
        <f>IFERROR(CUBEVALUE("BIDB",$A1183,H$3,H$2,'Præsentationstabeller 1'!$C$2),0)</f>
        <v/>
      </c>
      <c r="I1183" t="str" vm="3858">
        <f>IFERROR(CUBEVALUE("BIDB",$A1183,I$3,I$2,'Præsentationstabeller 1'!$C$2),0)</f>
        <v/>
      </c>
      <c r="J1183" t="str" vm="4210">
        <f>IFERROR(CUBEVALUE("BIDB",$A1183,J$3,J$2,'Præsentationstabeller 1'!$C$2),0)</f>
        <v/>
      </c>
      <c r="K1183" t="str" vm="3232">
        <f>IFERROR(CUBEVALUE("BIDB",$A1183,K$3,K$2,'Præsentationstabeller 1'!$C$2),0)</f>
        <v/>
      </c>
      <c r="L1183" t="str" vm="13799">
        <f>IFERROR(CUBEVALUE("BIDB",$A1183,L$3,L$2,'Præsentationstabeller 1'!$C$2),0)</f>
        <v/>
      </c>
    </row>
    <row r="1184" spans="1:12" x14ac:dyDescent="0.3">
      <c r="A1184" s="123" t="str" vm="152">
        <f>CUBEMEMBER("BIDB","[Dimittenddato].[Dimittenddato].&amp;[2019-08-16T00:00:00]")</f>
        <v>16-08-2019</v>
      </c>
      <c r="B1184" t="str" vm="11565">
        <f>IFERROR(CUBEVALUE("BIDB",$A1184,B$3,'Præsentationstabeller 1'!$C$2),0)</f>
        <v/>
      </c>
      <c r="C1184" t="str" vm="11867">
        <f>IFERROR(CUBEVALUE("BIDB",$A1184,C$3,C$2,'Præsentationstabeller 1'!$C$2),0)</f>
        <v/>
      </c>
      <c r="D1184" t="str" vm="12143">
        <f>IFERROR(CUBEVALUE("BIDB",$A1184,D$3,D$2,'Præsentationstabeller 1'!$C$2),0)</f>
        <v/>
      </c>
      <c r="E1184" t="str" vm="9096">
        <f>IFERROR(CUBEVALUE("BIDB",$A1184,E$3,E$2,'Præsentationstabeller 1'!$C$2),0)</f>
        <v/>
      </c>
      <c r="F1184" t="str" vm="13391">
        <f>IFERROR(CUBEVALUE("BIDB",$A1184,F$3,F$2,'Præsentationstabeller 1'!$C$2),0)</f>
        <v/>
      </c>
      <c r="G1184" t="str" vm="15591">
        <f>IFERROR(CUBEVALUE("BIDB",$A1184,G$3,G$2,'Præsentationstabeller 1'!$C$2),0)</f>
        <v/>
      </c>
      <c r="H1184" t="str" vm="10392">
        <f>IFERROR(CUBEVALUE("BIDB",$A1184,H$3,H$2,'Præsentationstabeller 1'!$C$2),0)</f>
        <v/>
      </c>
      <c r="I1184" t="str" vm="13251">
        <f>IFERROR(CUBEVALUE("BIDB",$A1184,I$3,I$2,'Præsentationstabeller 1'!$C$2),0)</f>
        <v/>
      </c>
      <c r="J1184" t="str" vm="16042">
        <f>IFERROR(CUBEVALUE("BIDB",$A1184,J$3,J$2,'Præsentationstabeller 1'!$C$2),0)</f>
        <v/>
      </c>
      <c r="K1184" t="str" vm="15195">
        <f>IFERROR(CUBEVALUE("BIDB",$A1184,K$3,K$2,'Præsentationstabeller 1'!$C$2),0)</f>
        <v/>
      </c>
      <c r="L1184" t="str" vm="10728">
        <f>IFERROR(CUBEVALUE("BIDB",$A1184,L$3,L$2,'Præsentationstabeller 1'!$C$2),0)</f>
        <v/>
      </c>
    </row>
    <row r="1185" spans="1:12" x14ac:dyDescent="0.3">
      <c r="A1185" s="123" t="str" vm="151">
        <f>CUBEMEMBER("BIDB","[Dimittenddato].[Dimittenddato].&amp;[2019-08-17T00:00:00]")</f>
        <v>17-08-2019</v>
      </c>
      <c r="B1185" t="str" vm="13269">
        <f>IFERROR(CUBEVALUE("BIDB",$A1185,B$3,'Præsentationstabeller 1'!$C$2),0)</f>
        <v/>
      </c>
      <c r="C1185" t="str" vm="9600">
        <f>IFERROR(CUBEVALUE("BIDB",$A1185,C$3,C$2,'Præsentationstabeller 1'!$C$2),0)</f>
        <v/>
      </c>
      <c r="D1185" t="str" vm="14113">
        <f>IFERROR(CUBEVALUE("BIDB",$A1185,D$3,D$2,'Præsentationstabeller 1'!$C$2),0)</f>
        <v/>
      </c>
      <c r="E1185" t="str" vm="5993">
        <f>IFERROR(CUBEVALUE("BIDB",$A1185,E$3,E$2,'Præsentationstabeller 1'!$C$2),0)</f>
        <v/>
      </c>
      <c r="F1185" t="str" vm="14456">
        <f>IFERROR(CUBEVALUE("BIDB",$A1185,F$3,F$2,'Præsentationstabeller 1'!$C$2),0)</f>
        <v/>
      </c>
      <c r="G1185" t="str" vm="17143">
        <f>IFERROR(CUBEVALUE("BIDB",$A1185,G$3,G$2,'Præsentationstabeller 1'!$C$2),0)</f>
        <v/>
      </c>
      <c r="H1185" t="str" vm="13306">
        <f>IFERROR(CUBEVALUE("BIDB",$A1185,H$3,H$2,'Præsentationstabeller 1'!$C$2),0)</f>
        <v/>
      </c>
      <c r="I1185" t="str" vm="6664">
        <f>IFERROR(CUBEVALUE("BIDB",$A1185,I$3,I$2,'Præsentationstabeller 1'!$C$2),0)</f>
        <v/>
      </c>
      <c r="J1185" t="str" vm="12057">
        <f>IFERROR(CUBEVALUE("BIDB",$A1185,J$3,J$2,'Præsentationstabeller 1'!$C$2),0)</f>
        <v/>
      </c>
      <c r="K1185" t="str" vm="9426">
        <f>IFERROR(CUBEVALUE("BIDB",$A1185,K$3,K$2,'Præsentationstabeller 1'!$C$2),0)</f>
        <v/>
      </c>
      <c r="L1185" t="str" vm="9421">
        <f>IFERROR(CUBEVALUE("BIDB",$A1185,L$3,L$2,'Præsentationstabeller 1'!$C$2),0)</f>
        <v/>
      </c>
    </row>
    <row r="1186" spans="1:12" x14ac:dyDescent="0.3">
      <c r="A1186" s="123" t="str" vm="150">
        <f>CUBEMEMBER("BIDB","[Dimittenddato].[Dimittenddato].&amp;[2019-08-18T00:00:00]")</f>
        <v>18-08-2019</v>
      </c>
      <c r="B1186" t="str" vm="15257">
        <f>IFERROR(CUBEVALUE("BIDB",$A1186,B$3,'Præsentationstabeller 1'!$C$2),0)</f>
        <v/>
      </c>
      <c r="C1186" t="str" vm="13978">
        <f>IFERROR(CUBEVALUE("BIDB",$A1186,C$3,C$2,'Præsentationstabeller 1'!$C$2),0)</f>
        <v/>
      </c>
      <c r="D1186" t="str" vm="16351">
        <f>IFERROR(CUBEVALUE("BIDB",$A1186,D$3,D$2,'Præsentationstabeller 1'!$C$2),0)</f>
        <v/>
      </c>
      <c r="E1186" t="str" vm="7273">
        <f>IFERROR(CUBEVALUE("BIDB",$A1186,E$3,E$2,'Præsentationstabeller 1'!$C$2),0)</f>
        <v/>
      </c>
      <c r="F1186" t="str" vm="15886">
        <f>IFERROR(CUBEVALUE("BIDB",$A1186,F$3,F$2,'Præsentationstabeller 1'!$C$2),0)</f>
        <v/>
      </c>
      <c r="G1186" t="str" vm="14459">
        <f>IFERROR(CUBEVALUE("BIDB",$A1186,G$3,G$2,'Præsentationstabeller 1'!$C$2),0)</f>
        <v/>
      </c>
      <c r="H1186" t="str" vm="13133">
        <f>IFERROR(CUBEVALUE("BIDB",$A1186,H$3,H$2,'Præsentationstabeller 1'!$C$2),0)</f>
        <v/>
      </c>
      <c r="I1186" t="str" vm="6925">
        <f>IFERROR(CUBEVALUE("BIDB",$A1186,I$3,I$2,'Præsentationstabeller 1'!$C$2),0)</f>
        <v/>
      </c>
      <c r="J1186" t="str" vm="11556">
        <f>IFERROR(CUBEVALUE("BIDB",$A1186,J$3,J$2,'Præsentationstabeller 1'!$C$2),0)</f>
        <v/>
      </c>
      <c r="K1186" t="str" vm="9830">
        <f>IFERROR(CUBEVALUE("BIDB",$A1186,K$3,K$2,'Præsentationstabeller 1'!$C$2),0)</f>
        <v/>
      </c>
      <c r="L1186" t="str" vm="11770">
        <f>IFERROR(CUBEVALUE("BIDB",$A1186,L$3,L$2,'Præsentationstabeller 1'!$C$2),0)</f>
        <v/>
      </c>
    </row>
    <row r="1187" spans="1:12" x14ac:dyDescent="0.3">
      <c r="A1187" s="123" t="str" vm="149">
        <f>CUBEMEMBER("BIDB","[Dimittenddato].[Dimittenddato].&amp;[2019-08-19T00:00:00]")</f>
        <v>19-08-2019</v>
      </c>
      <c r="B1187" t="str" vm="14242">
        <f>IFERROR(CUBEVALUE("BIDB",$A1187,B$3,'Præsentationstabeller 1'!$C$2),0)</f>
        <v/>
      </c>
      <c r="C1187" t="str" vm="14961">
        <f>IFERROR(CUBEVALUE("BIDB",$A1187,C$3,C$2,'Præsentationstabeller 1'!$C$2),0)</f>
        <v/>
      </c>
      <c r="D1187" t="str" vm="14265">
        <f>IFERROR(CUBEVALUE("BIDB",$A1187,D$3,D$2,'Præsentationstabeller 1'!$C$2),0)</f>
        <v/>
      </c>
      <c r="E1187" t="str" vm="4240">
        <f>IFERROR(CUBEVALUE("BIDB",$A1187,E$3,E$2,'Præsentationstabeller 1'!$C$2),0)</f>
        <v/>
      </c>
      <c r="F1187" t="str" vm="16848">
        <f>IFERROR(CUBEVALUE("BIDB",$A1187,F$3,F$2,'Præsentationstabeller 1'!$C$2),0)</f>
        <v/>
      </c>
      <c r="G1187" t="str" vm="13652">
        <f>IFERROR(CUBEVALUE("BIDB",$A1187,G$3,G$2,'Præsentationstabeller 1'!$C$2),0)</f>
        <v/>
      </c>
      <c r="H1187" t="str" vm="15351">
        <f>IFERROR(CUBEVALUE("BIDB",$A1187,H$3,H$2,'Præsentationstabeller 1'!$C$2),0)</f>
        <v/>
      </c>
      <c r="I1187" t="str" vm="4444">
        <f>IFERROR(CUBEVALUE("BIDB",$A1187,I$3,I$2,'Præsentationstabeller 1'!$C$2),0)</f>
        <v/>
      </c>
      <c r="J1187" t="str" vm="15992">
        <f>IFERROR(CUBEVALUE("BIDB",$A1187,J$3,J$2,'Præsentationstabeller 1'!$C$2),0)</f>
        <v/>
      </c>
      <c r="K1187" t="str" vm="10129">
        <f>IFERROR(CUBEVALUE("BIDB",$A1187,K$3,K$2,'Præsentationstabeller 1'!$C$2),0)</f>
        <v/>
      </c>
      <c r="L1187" t="str" vm="15587">
        <f>IFERROR(CUBEVALUE("BIDB",$A1187,L$3,L$2,'Præsentationstabeller 1'!$C$2),0)</f>
        <v/>
      </c>
    </row>
    <row r="1188" spans="1:12" x14ac:dyDescent="0.3">
      <c r="A1188" s="123" t="str" vm="148">
        <f>CUBEMEMBER("BIDB","[Dimittenddato].[Dimittenddato].&amp;[2019-08-20T00:00:00]")</f>
        <v>20-08-2019</v>
      </c>
      <c r="B1188" t="str" vm="12693">
        <f>IFERROR(CUBEVALUE("BIDB",$A1188,B$3,'Præsentationstabeller 1'!$C$2),0)</f>
        <v/>
      </c>
      <c r="C1188" t="str" vm="15481">
        <f>IFERROR(CUBEVALUE("BIDB",$A1188,C$3,C$2,'Præsentationstabeller 1'!$C$2),0)</f>
        <v/>
      </c>
      <c r="D1188" t="str" vm="13157">
        <f>IFERROR(CUBEVALUE("BIDB",$A1188,D$3,D$2,'Præsentationstabeller 1'!$C$2),0)</f>
        <v/>
      </c>
      <c r="E1188" t="str" vm="5448">
        <f>IFERROR(CUBEVALUE("BIDB",$A1188,E$3,E$2,'Præsentationstabeller 1'!$C$2),0)</f>
        <v/>
      </c>
      <c r="F1188" t="str" vm="15180">
        <f>IFERROR(CUBEVALUE("BIDB",$A1188,F$3,F$2,'Præsentationstabeller 1'!$C$2),0)</f>
        <v/>
      </c>
      <c r="G1188" t="str" vm="11384">
        <f>IFERROR(CUBEVALUE("BIDB",$A1188,G$3,G$2,'Præsentationstabeller 1'!$C$2),0)</f>
        <v/>
      </c>
      <c r="H1188" t="str" vm="9883">
        <f>IFERROR(CUBEVALUE("BIDB",$A1188,H$3,H$2,'Præsentationstabeller 1'!$C$2),0)</f>
        <v/>
      </c>
      <c r="I1188" t="str" vm="3454">
        <f>IFERROR(CUBEVALUE("BIDB",$A1188,I$3,I$2,'Præsentationstabeller 1'!$C$2),0)</f>
        <v/>
      </c>
      <c r="J1188" t="str" vm="12589">
        <f>IFERROR(CUBEVALUE("BIDB",$A1188,J$3,J$2,'Præsentationstabeller 1'!$C$2),0)</f>
        <v/>
      </c>
      <c r="K1188" t="str" vm="14733">
        <f>IFERROR(CUBEVALUE("BIDB",$A1188,K$3,K$2,'Præsentationstabeller 1'!$C$2),0)</f>
        <v/>
      </c>
      <c r="L1188" t="str" vm="17065">
        <f>IFERROR(CUBEVALUE("BIDB",$A1188,L$3,L$2,'Præsentationstabeller 1'!$C$2),0)</f>
        <v/>
      </c>
    </row>
    <row r="1189" spans="1:12" x14ac:dyDescent="0.3">
      <c r="A1189" s="123" t="str" vm="147">
        <f>CUBEMEMBER("BIDB","[Dimittenddato].[Dimittenddato].&amp;[2019-08-21T00:00:00]")</f>
        <v>21-08-2019</v>
      </c>
      <c r="B1189" t="str" vm="16167">
        <f>IFERROR(CUBEVALUE("BIDB",$A1189,B$3,'Præsentationstabeller 1'!$C$2),0)</f>
        <v/>
      </c>
      <c r="C1189" t="str" vm="11733">
        <f>IFERROR(CUBEVALUE("BIDB",$A1189,C$3,C$2,'Præsentationstabeller 1'!$C$2),0)</f>
        <v/>
      </c>
      <c r="D1189" t="str" vm="17024">
        <f>IFERROR(CUBEVALUE("BIDB",$A1189,D$3,D$2,'Præsentationstabeller 1'!$C$2),0)</f>
        <v/>
      </c>
      <c r="E1189" t="str" vm="7998">
        <f>IFERROR(CUBEVALUE("BIDB",$A1189,E$3,E$2,'Præsentationstabeller 1'!$C$2),0)</f>
        <v/>
      </c>
      <c r="F1189" t="str" vm="16996">
        <f>IFERROR(CUBEVALUE("BIDB",$A1189,F$3,F$2,'Præsentationstabeller 1'!$C$2),0)</f>
        <v/>
      </c>
      <c r="G1189" t="str" vm="15609">
        <f>IFERROR(CUBEVALUE("BIDB",$A1189,G$3,G$2,'Præsentationstabeller 1'!$C$2),0)</f>
        <v/>
      </c>
      <c r="H1189" t="str" vm="13034">
        <f>IFERROR(CUBEVALUE("BIDB",$A1189,H$3,H$2,'Præsentationstabeller 1'!$C$2),0)</f>
        <v/>
      </c>
      <c r="I1189" t="str" vm="5189">
        <f>IFERROR(CUBEVALUE("BIDB",$A1189,I$3,I$2,'Præsentationstabeller 1'!$C$2),0)</f>
        <v/>
      </c>
      <c r="J1189" t="str" vm="14747">
        <f>IFERROR(CUBEVALUE("BIDB",$A1189,J$3,J$2,'Præsentationstabeller 1'!$C$2),0)</f>
        <v/>
      </c>
      <c r="K1189" t="str" vm="13822">
        <f>IFERROR(CUBEVALUE("BIDB",$A1189,K$3,K$2,'Præsentationstabeller 1'!$C$2),0)</f>
        <v/>
      </c>
      <c r="L1189" t="str" vm="12020">
        <f>IFERROR(CUBEVALUE("BIDB",$A1189,L$3,L$2,'Præsentationstabeller 1'!$C$2),0)</f>
        <v/>
      </c>
    </row>
    <row r="1190" spans="1:12" x14ac:dyDescent="0.3">
      <c r="A1190" s="123" t="str" vm="146">
        <f>CUBEMEMBER("BIDB","[Dimittenddato].[Dimittenddato].&amp;[2019-08-22T00:00:00]")</f>
        <v>22-08-2019</v>
      </c>
      <c r="B1190" t="str" vm="11391">
        <f>IFERROR(CUBEVALUE("BIDB",$A1190,B$3,'Præsentationstabeller 1'!$C$2),0)</f>
        <v/>
      </c>
      <c r="C1190" t="str" vm="17056">
        <f>IFERROR(CUBEVALUE("BIDB",$A1190,C$3,C$2,'Præsentationstabeller 1'!$C$2),0)</f>
        <v/>
      </c>
      <c r="D1190" t="str" vm="14639">
        <f>IFERROR(CUBEVALUE("BIDB",$A1190,D$3,D$2,'Præsentationstabeller 1'!$C$2),0)</f>
        <v/>
      </c>
      <c r="E1190" t="str" vm="8383">
        <f>IFERROR(CUBEVALUE("BIDB",$A1190,E$3,E$2,'Præsentationstabeller 1'!$C$2),0)</f>
        <v/>
      </c>
      <c r="F1190" t="str" vm="15388">
        <f>IFERROR(CUBEVALUE("BIDB",$A1190,F$3,F$2,'Præsentationstabeller 1'!$C$2),0)</f>
        <v/>
      </c>
      <c r="G1190" t="str" vm="15169">
        <f>IFERROR(CUBEVALUE("BIDB",$A1190,G$3,G$2,'Præsentationstabeller 1'!$C$2),0)</f>
        <v/>
      </c>
      <c r="H1190" t="str" vm="17003">
        <f>IFERROR(CUBEVALUE("BIDB",$A1190,H$3,H$2,'Præsentationstabeller 1'!$C$2),0)</f>
        <v/>
      </c>
      <c r="I1190" t="str" vm="3306">
        <f>IFERROR(CUBEVALUE("BIDB",$A1190,I$3,I$2,'Præsentationstabeller 1'!$C$2),0)</f>
        <v/>
      </c>
      <c r="J1190" t="str" vm="12612">
        <f>IFERROR(CUBEVALUE("BIDB",$A1190,J$3,J$2,'Præsentationstabeller 1'!$C$2),0)</f>
        <v/>
      </c>
      <c r="K1190" t="str" vm="13245">
        <f>IFERROR(CUBEVALUE("BIDB",$A1190,K$3,K$2,'Præsentationstabeller 1'!$C$2),0)</f>
        <v/>
      </c>
      <c r="L1190" t="str" vm="7582">
        <f>IFERROR(CUBEVALUE("BIDB",$A1190,L$3,L$2,'Præsentationstabeller 1'!$C$2),0)</f>
        <v/>
      </c>
    </row>
    <row r="1191" spans="1:12" x14ac:dyDescent="0.3">
      <c r="A1191" s="123" t="str" vm="145">
        <f>CUBEMEMBER("BIDB","[Dimittenddato].[Dimittenddato].&amp;[2019-08-23T00:00:00]")</f>
        <v>23-08-2019</v>
      </c>
      <c r="B1191" t="str" vm="14270">
        <f>IFERROR(CUBEVALUE("BIDB",$A1191,B$3,'Præsentationstabeller 1'!$C$2),0)</f>
        <v/>
      </c>
      <c r="C1191" t="str" vm="16481">
        <f>IFERROR(CUBEVALUE("BIDB",$A1191,C$3,C$2,'Præsentationstabeller 1'!$C$2),0)</f>
        <v/>
      </c>
      <c r="D1191" t="str" vm="11475">
        <f>IFERROR(CUBEVALUE("BIDB",$A1191,D$3,D$2,'Præsentationstabeller 1'!$C$2),0)</f>
        <v/>
      </c>
      <c r="E1191" t="str" vm="3744">
        <f>IFERROR(CUBEVALUE("BIDB",$A1191,E$3,E$2,'Præsentationstabeller 1'!$C$2),0)</f>
        <v/>
      </c>
      <c r="F1191" t="str" vm="13718">
        <f>IFERROR(CUBEVALUE("BIDB",$A1191,F$3,F$2,'Præsentationstabeller 1'!$C$2),0)</f>
        <v/>
      </c>
      <c r="G1191" t="str" vm="14158">
        <f>IFERROR(CUBEVALUE("BIDB",$A1191,G$3,G$2,'Præsentationstabeller 1'!$C$2),0)</f>
        <v/>
      </c>
      <c r="H1191" t="str" vm="10776">
        <f>IFERROR(CUBEVALUE("BIDB",$A1191,H$3,H$2,'Præsentationstabeller 1'!$C$2),0)</f>
        <v/>
      </c>
      <c r="I1191" t="str" vm="3972">
        <f>IFERROR(CUBEVALUE("BIDB",$A1191,I$3,I$2,'Præsentationstabeller 1'!$C$2),0)</f>
        <v/>
      </c>
      <c r="J1191" t="str" vm="15009">
        <f>IFERROR(CUBEVALUE("BIDB",$A1191,J$3,J$2,'Præsentationstabeller 1'!$C$2),0)</f>
        <v/>
      </c>
      <c r="K1191" t="str" vm="12602">
        <f>IFERROR(CUBEVALUE("BIDB",$A1191,K$3,K$2,'Præsentationstabeller 1'!$C$2),0)</f>
        <v/>
      </c>
      <c r="L1191" t="str" vm="14042">
        <f>IFERROR(CUBEVALUE("BIDB",$A1191,L$3,L$2,'Præsentationstabeller 1'!$C$2),0)</f>
        <v/>
      </c>
    </row>
    <row r="1192" spans="1:12" x14ac:dyDescent="0.3">
      <c r="A1192" s="123" t="str" vm="144">
        <f>CUBEMEMBER("BIDB","[Dimittenddato].[Dimittenddato].&amp;[2019-08-24T00:00:00]")</f>
        <v>24-08-2019</v>
      </c>
      <c r="B1192" t="str" vm="13200">
        <f>IFERROR(CUBEVALUE("BIDB",$A1192,B$3,'Præsentationstabeller 1'!$C$2),0)</f>
        <v/>
      </c>
      <c r="C1192" t="str" vm="16665">
        <f>IFERROR(CUBEVALUE("BIDB",$A1192,C$3,C$2,'Præsentationstabeller 1'!$C$2),0)</f>
        <v/>
      </c>
      <c r="D1192" t="str" vm="16138">
        <f>IFERROR(CUBEVALUE("BIDB",$A1192,D$3,D$2,'Præsentationstabeller 1'!$C$2),0)</f>
        <v/>
      </c>
      <c r="E1192" t="str" vm="4717">
        <f>IFERROR(CUBEVALUE("BIDB",$A1192,E$3,E$2,'Præsentationstabeller 1'!$C$2),0)</f>
        <v/>
      </c>
      <c r="F1192" t="str" vm="16807">
        <f>IFERROR(CUBEVALUE("BIDB",$A1192,F$3,F$2,'Præsentationstabeller 1'!$C$2),0)</f>
        <v/>
      </c>
      <c r="G1192" t="str" vm="14800">
        <f>IFERROR(CUBEVALUE("BIDB",$A1192,G$3,G$2,'Præsentationstabeller 1'!$C$2),0)</f>
        <v/>
      </c>
      <c r="H1192" t="str" vm="13257">
        <f>IFERROR(CUBEVALUE("BIDB",$A1192,H$3,H$2,'Præsentationstabeller 1'!$C$2),0)</f>
        <v/>
      </c>
      <c r="I1192" t="str" vm="3805">
        <f>IFERROR(CUBEVALUE("BIDB",$A1192,I$3,I$2,'Præsentationstabeller 1'!$C$2),0)</f>
        <v/>
      </c>
      <c r="J1192" t="str" vm="12415">
        <f>IFERROR(CUBEVALUE("BIDB",$A1192,J$3,J$2,'Præsentationstabeller 1'!$C$2),0)</f>
        <v/>
      </c>
      <c r="K1192" t="str" vm="15892">
        <f>IFERROR(CUBEVALUE("BIDB",$A1192,K$3,K$2,'Præsentationstabeller 1'!$C$2),0)</f>
        <v/>
      </c>
      <c r="L1192" t="str" vm="9825">
        <f>IFERROR(CUBEVALUE("BIDB",$A1192,L$3,L$2,'Præsentationstabeller 1'!$C$2),0)</f>
        <v/>
      </c>
    </row>
    <row r="1193" spans="1:12" x14ac:dyDescent="0.3">
      <c r="A1193" s="123" t="str" vm="143">
        <f>CUBEMEMBER("BIDB","[Dimittenddato].[Dimittenddato].&amp;[2019-08-25T00:00:00]")</f>
        <v>25-08-2019</v>
      </c>
      <c r="B1193" t="str" vm="16487">
        <f>IFERROR(CUBEVALUE("BIDB",$A1193,B$3,'Præsentationstabeller 1'!$C$2),0)</f>
        <v/>
      </c>
      <c r="C1193" t="str" vm="10836">
        <f>IFERROR(CUBEVALUE("BIDB",$A1193,C$3,C$2,'Præsentationstabeller 1'!$C$2),0)</f>
        <v/>
      </c>
      <c r="D1193" t="str" vm="16316">
        <f>IFERROR(CUBEVALUE("BIDB",$A1193,D$3,D$2,'Præsentationstabeller 1'!$C$2),0)</f>
        <v/>
      </c>
      <c r="E1193" t="str" vm="5244">
        <f>IFERROR(CUBEVALUE("BIDB",$A1193,E$3,E$2,'Præsentationstabeller 1'!$C$2),0)</f>
        <v/>
      </c>
      <c r="F1193" t="str" vm="13846">
        <f>IFERROR(CUBEVALUE("BIDB",$A1193,F$3,F$2,'Præsentationstabeller 1'!$C$2),0)</f>
        <v/>
      </c>
      <c r="G1193" t="str" vm="13896">
        <f>IFERROR(CUBEVALUE("BIDB",$A1193,G$3,G$2,'Præsentationstabeller 1'!$C$2),0)</f>
        <v/>
      </c>
      <c r="H1193" t="str" vm="11985">
        <f>IFERROR(CUBEVALUE("BIDB",$A1193,H$3,H$2,'Præsentationstabeller 1'!$C$2),0)</f>
        <v/>
      </c>
      <c r="I1193" t="str" vm="3262">
        <f>IFERROR(CUBEVALUE("BIDB",$A1193,I$3,I$2,'Præsentationstabeller 1'!$C$2),0)</f>
        <v/>
      </c>
      <c r="J1193" t="str" vm="16620">
        <f>IFERROR(CUBEVALUE("BIDB",$A1193,J$3,J$2,'Præsentationstabeller 1'!$C$2),0)</f>
        <v/>
      </c>
      <c r="K1193" t="str" vm="12062">
        <f>IFERROR(CUBEVALUE("BIDB",$A1193,K$3,K$2,'Præsentationstabeller 1'!$C$2),0)</f>
        <v/>
      </c>
      <c r="L1193" t="str" vm="9977">
        <f>IFERROR(CUBEVALUE("BIDB",$A1193,L$3,L$2,'Præsentationstabeller 1'!$C$2),0)</f>
        <v/>
      </c>
    </row>
    <row r="1194" spans="1:12" x14ac:dyDescent="0.3">
      <c r="A1194" s="123" t="str" vm="142">
        <f>CUBEMEMBER("BIDB","[Dimittenddato].[Dimittenddato].&amp;[2019-08-26T00:00:00]")</f>
        <v>26-08-2019</v>
      </c>
      <c r="B1194" t="str" vm="14715">
        <f>IFERROR(CUBEVALUE("BIDB",$A1194,B$3,'Præsentationstabeller 1'!$C$2),0)</f>
        <v/>
      </c>
      <c r="C1194" t="str" vm="11363">
        <f>IFERROR(CUBEVALUE("BIDB",$A1194,C$3,C$2,'Præsentationstabeller 1'!$C$2),0)</f>
        <v/>
      </c>
      <c r="D1194" t="str" vm="16416">
        <f>IFERROR(CUBEVALUE("BIDB",$A1194,D$3,D$2,'Præsentationstabeller 1'!$C$2),0)</f>
        <v/>
      </c>
      <c r="E1194" t="str" vm="4391">
        <f>IFERROR(CUBEVALUE("BIDB",$A1194,E$3,E$2,'Præsentationstabeller 1'!$C$2),0)</f>
        <v/>
      </c>
      <c r="F1194" t="str" vm="16599">
        <f>IFERROR(CUBEVALUE("BIDB",$A1194,F$3,F$2,'Præsentationstabeller 1'!$C$2),0)</f>
        <v/>
      </c>
      <c r="G1194" t="str" vm="13021">
        <f>IFERROR(CUBEVALUE("BIDB",$A1194,G$3,G$2,'Præsentationstabeller 1'!$C$2),0)</f>
        <v/>
      </c>
      <c r="H1194" t="str" vm="13201">
        <f>IFERROR(CUBEVALUE("BIDB",$A1194,H$3,H$2,'Præsentationstabeller 1'!$C$2),0)</f>
        <v/>
      </c>
      <c r="I1194" t="str" vm="3359">
        <f>IFERROR(CUBEVALUE("BIDB",$A1194,I$3,I$2,'Præsentationstabeller 1'!$C$2),0)</f>
        <v/>
      </c>
      <c r="J1194" t="str" vm="14339">
        <f>IFERROR(CUBEVALUE("BIDB",$A1194,J$3,J$2,'Præsentationstabeller 1'!$C$2),0)</f>
        <v/>
      </c>
      <c r="K1194" t="str" vm="12088">
        <f>IFERROR(CUBEVALUE("BIDB",$A1194,K$3,K$2,'Præsentationstabeller 1'!$C$2),0)</f>
        <v/>
      </c>
      <c r="L1194" t="str" vm="10082">
        <f>IFERROR(CUBEVALUE("BIDB",$A1194,L$3,L$2,'Præsentationstabeller 1'!$C$2),0)</f>
        <v/>
      </c>
    </row>
    <row r="1195" spans="1:12" x14ac:dyDescent="0.3">
      <c r="A1195" s="123" t="str" vm="141">
        <f>CUBEMEMBER("BIDB","[Dimittenddato].[Dimittenddato].&amp;[2019-08-27T00:00:00]")</f>
        <v>27-08-2019</v>
      </c>
      <c r="B1195" t="str" vm="15899">
        <f>IFERROR(CUBEVALUE("BIDB",$A1195,B$3,'Præsentationstabeller 1'!$C$2),0)</f>
        <v/>
      </c>
      <c r="C1195" t="str" vm="15245">
        <f>IFERROR(CUBEVALUE("BIDB",$A1195,C$3,C$2,'Præsentationstabeller 1'!$C$2),0)</f>
        <v/>
      </c>
      <c r="D1195" t="str" vm="14667">
        <f>IFERROR(CUBEVALUE("BIDB",$A1195,D$3,D$2,'Præsentationstabeller 1'!$C$2),0)</f>
        <v/>
      </c>
      <c r="E1195" t="str" vm="6078">
        <f>IFERROR(CUBEVALUE("BIDB",$A1195,E$3,E$2,'Præsentationstabeller 1'!$C$2),0)</f>
        <v/>
      </c>
      <c r="F1195" t="str" vm="14204">
        <f>IFERROR(CUBEVALUE("BIDB",$A1195,F$3,F$2,'Præsentationstabeller 1'!$C$2),0)</f>
        <v/>
      </c>
      <c r="G1195" t="str" vm="15340">
        <f>IFERROR(CUBEVALUE("BIDB",$A1195,G$3,G$2,'Præsentationstabeller 1'!$C$2),0)</f>
        <v/>
      </c>
      <c r="H1195" t="str" vm="12906">
        <f>IFERROR(CUBEVALUE("BIDB",$A1195,H$3,H$2,'Præsentationstabeller 1'!$C$2),0)</f>
        <v/>
      </c>
      <c r="I1195" t="str" vm="4298">
        <f>IFERROR(CUBEVALUE("BIDB",$A1195,I$3,I$2,'Præsentationstabeller 1'!$C$2),0)</f>
        <v/>
      </c>
      <c r="J1195" t="str" vm="13759">
        <f>IFERROR(CUBEVALUE("BIDB",$A1195,J$3,J$2,'Præsentationstabeller 1'!$C$2),0)</f>
        <v/>
      </c>
      <c r="K1195" t="str" vm="13249">
        <f>IFERROR(CUBEVALUE("BIDB",$A1195,K$3,K$2,'Præsentationstabeller 1'!$C$2),0)</f>
        <v/>
      </c>
      <c r="L1195" t="str" vm="14713">
        <f>IFERROR(CUBEVALUE("BIDB",$A1195,L$3,L$2,'Præsentationstabeller 1'!$C$2),0)</f>
        <v/>
      </c>
    </row>
    <row r="1196" spans="1:12" x14ac:dyDescent="0.3">
      <c r="A1196" s="123" t="str" vm="140">
        <f>CUBEMEMBER("BIDB","[Dimittenddato].[Dimittenddato].&amp;[2019-08-28T00:00:00]")</f>
        <v>28-08-2019</v>
      </c>
      <c r="B1196" t="str" vm="16038">
        <f>IFERROR(CUBEVALUE("BIDB",$A1196,B$3,'Præsentationstabeller 1'!$C$2),0)</f>
        <v/>
      </c>
      <c r="C1196" t="str" vm="15034">
        <f>IFERROR(CUBEVALUE("BIDB",$A1196,C$3,C$2,'Præsentationstabeller 1'!$C$2),0)</f>
        <v/>
      </c>
      <c r="D1196" t="str" vm="12031">
        <f>IFERROR(CUBEVALUE("BIDB",$A1196,D$3,D$2,'Præsentationstabeller 1'!$C$2),0)</f>
        <v/>
      </c>
      <c r="E1196" t="str" vm="4087">
        <f>IFERROR(CUBEVALUE("BIDB",$A1196,E$3,E$2,'Præsentationstabeller 1'!$C$2),0)</f>
        <v/>
      </c>
      <c r="F1196" t="str" vm="15263">
        <f>IFERROR(CUBEVALUE("BIDB",$A1196,F$3,F$2,'Præsentationstabeller 1'!$C$2),0)</f>
        <v/>
      </c>
      <c r="G1196" t="str" vm="14898">
        <f>IFERROR(CUBEVALUE("BIDB",$A1196,G$3,G$2,'Præsentationstabeller 1'!$C$2),0)</f>
        <v/>
      </c>
      <c r="H1196" t="str" vm="16133">
        <f>IFERROR(CUBEVALUE("BIDB",$A1196,H$3,H$2,'Præsentationstabeller 1'!$C$2),0)</f>
        <v/>
      </c>
      <c r="I1196" t="str" vm="3176">
        <f>IFERROR(CUBEVALUE("BIDB",$A1196,I$3,I$2,'Præsentationstabeller 1'!$C$2),0)</f>
        <v/>
      </c>
      <c r="J1196" t="str" vm="16602">
        <f>IFERROR(CUBEVALUE("BIDB",$A1196,J$3,J$2,'Præsentationstabeller 1'!$C$2),0)</f>
        <v/>
      </c>
      <c r="K1196" t="str" vm="15028">
        <f>IFERROR(CUBEVALUE("BIDB",$A1196,K$3,K$2,'Præsentationstabeller 1'!$C$2),0)</f>
        <v/>
      </c>
      <c r="L1196" t="str" vm="11201">
        <f>IFERROR(CUBEVALUE("BIDB",$A1196,L$3,L$2,'Præsentationstabeller 1'!$C$2),0)</f>
        <v/>
      </c>
    </row>
    <row r="1197" spans="1:12" x14ac:dyDescent="0.3">
      <c r="A1197" s="123" t="str" vm="139">
        <f>CUBEMEMBER("BIDB","[Dimittenddato].[Dimittenddato].&amp;[2019-08-29T00:00:00]")</f>
        <v>29-08-2019</v>
      </c>
      <c r="B1197" t="str" vm="14317">
        <f>IFERROR(CUBEVALUE("BIDB",$A1197,B$3,'Præsentationstabeller 1'!$C$2),0)</f>
        <v/>
      </c>
      <c r="C1197" t="str" vm="14570">
        <f>IFERROR(CUBEVALUE("BIDB",$A1197,C$3,C$2,'Præsentationstabeller 1'!$C$2),0)</f>
        <v/>
      </c>
      <c r="D1197" t="str" vm="13634">
        <f>IFERROR(CUBEVALUE("BIDB",$A1197,D$3,D$2,'Præsentationstabeller 1'!$C$2),0)</f>
        <v/>
      </c>
      <c r="E1197" t="str" vm="6569">
        <f>IFERROR(CUBEVALUE("BIDB",$A1197,E$3,E$2,'Præsentationstabeller 1'!$C$2),0)</f>
        <v/>
      </c>
      <c r="F1197" t="str" vm="14652">
        <f>IFERROR(CUBEVALUE("BIDB",$A1197,F$3,F$2,'Præsentationstabeller 1'!$C$2),0)</f>
        <v/>
      </c>
      <c r="G1197" t="str" vm="15007">
        <f>IFERROR(CUBEVALUE("BIDB",$A1197,G$3,G$2,'Præsentationstabeller 1'!$C$2),0)</f>
        <v/>
      </c>
      <c r="H1197" t="str" vm="14855">
        <f>IFERROR(CUBEVALUE("BIDB",$A1197,H$3,H$2,'Præsentationstabeller 1'!$C$2),0)</f>
        <v/>
      </c>
      <c r="I1197" t="str" vm="4004">
        <f>IFERROR(CUBEVALUE("BIDB",$A1197,I$3,I$2,'Præsentationstabeller 1'!$C$2),0)</f>
        <v/>
      </c>
      <c r="J1197" t="str" vm="16330">
        <f>IFERROR(CUBEVALUE("BIDB",$A1197,J$3,J$2,'Præsentationstabeller 1'!$C$2),0)</f>
        <v/>
      </c>
      <c r="K1197" t="str" vm="13094">
        <f>IFERROR(CUBEVALUE("BIDB",$A1197,K$3,K$2,'Præsentationstabeller 1'!$C$2),0)</f>
        <v/>
      </c>
      <c r="L1197" t="str" vm="10368">
        <f>IFERROR(CUBEVALUE("BIDB",$A1197,L$3,L$2,'Præsentationstabeller 1'!$C$2),0)</f>
        <v/>
      </c>
    </row>
    <row r="1198" spans="1:12" x14ac:dyDescent="0.3">
      <c r="A1198" s="123" t="str" vm="138">
        <f>CUBEMEMBER("BIDB","[Dimittenddato].[Dimittenddato].&amp;[2019-08-30T00:00:00]")</f>
        <v>30-08-2019</v>
      </c>
      <c r="B1198" t="str" vm="16232">
        <f>IFERROR(CUBEVALUE("BIDB",$A1198,B$3,'Præsentationstabeller 1'!$C$2),0)</f>
        <v/>
      </c>
      <c r="C1198" t="str" vm="15196">
        <f>IFERROR(CUBEVALUE("BIDB",$A1198,C$3,C$2,'Præsentationstabeller 1'!$C$2),0)</f>
        <v/>
      </c>
      <c r="D1198" t="str" vm="17085">
        <f>IFERROR(CUBEVALUE("BIDB",$A1198,D$3,D$2,'Præsentationstabeller 1'!$C$2),0)</f>
        <v/>
      </c>
      <c r="E1198" t="str" vm="6401">
        <f>IFERROR(CUBEVALUE("BIDB",$A1198,E$3,E$2,'Præsentationstabeller 1'!$C$2),0)</f>
        <v/>
      </c>
      <c r="F1198" t="str" vm="12674">
        <f>IFERROR(CUBEVALUE("BIDB",$A1198,F$3,F$2,'Præsentationstabeller 1'!$C$2),0)</f>
        <v/>
      </c>
      <c r="G1198" t="str" vm="14907">
        <f>IFERROR(CUBEVALUE("BIDB",$A1198,G$3,G$2,'Præsentationstabeller 1'!$C$2),0)</f>
        <v/>
      </c>
      <c r="H1198" t="str" vm="12535">
        <f>IFERROR(CUBEVALUE("BIDB",$A1198,H$3,H$2,'Præsentationstabeller 1'!$C$2),0)</f>
        <v/>
      </c>
      <c r="I1198" t="str" vm="2936">
        <f>IFERROR(CUBEVALUE("BIDB",$A1198,I$3,I$2,'Præsentationstabeller 1'!$C$2),0)</f>
        <v/>
      </c>
      <c r="J1198" t="str" vm="17105">
        <f>IFERROR(CUBEVALUE("BIDB",$A1198,J$3,J$2,'Præsentationstabeller 1'!$C$2),0)</f>
        <v/>
      </c>
      <c r="K1198" t="str" vm="12754">
        <f>IFERROR(CUBEVALUE("BIDB",$A1198,K$3,K$2,'Præsentationstabeller 1'!$C$2),0)</f>
        <v/>
      </c>
      <c r="L1198" t="str" vm="12454">
        <f>IFERROR(CUBEVALUE("BIDB",$A1198,L$3,L$2,'Præsentationstabeller 1'!$C$2),0)</f>
        <v/>
      </c>
    </row>
    <row r="1199" spans="1:12" x14ac:dyDescent="0.3">
      <c r="A1199" s="123" t="str" vm="137">
        <f>CUBEMEMBER("BIDB","[Dimittenddato].[Dimittenddato].&amp;[2019-08-31T00:00:00]")</f>
        <v>31-08-2019</v>
      </c>
      <c r="B1199" t="str" vm="16644">
        <f>IFERROR(CUBEVALUE("BIDB",$A1199,B$3,'Præsentationstabeller 1'!$C$2),0)</f>
        <v/>
      </c>
      <c r="C1199" t="str" vm="15507">
        <f>IFERROR(CUBEVALUE("BIDB",$A1199,C$3,C$2,'Præsentationstabeller 1'!$C$2),0)</f>
        <v/>
      </c>
      <c r="D1199" t="str" vm="12183">
        <f>IFERROR(CUBEVALUE("BIDB",$A1199,D$3,D$2,'Præsentationstabeller 1'!$C$2),0)</f>
        <v/>
      </c>
      <c r="E1199" t="str" vm="5614">
        <f>IFERROR(CUBEVALUE("BIDB",$A1199,E$3,E$2,'Præsentationstabeller 1'!$C$2),0)</f>
        <v/>
      </c>
      <c r="F1199" t="str" vm="15401">
        <f>IFERROR(CUBEVALUE("BIDB",$A1199,F$3,F$2,'Præsentationstabeller 1'!$C$2),0)</f>
        <v/>
      </c>
      <c r="G1199" t="str" vm="12658">
        <f>IFERROR(CUBEVALUE("BIDB",$A1199,G$3,G$2,'Præsentationstabeller 1'!$C$2),0)</f>
        <v/>
      </c>
      <c r="H1199" t="str" vm="11266">
        <f>IFERROR(CUBEVALUE("BIDB",$A1199,H$3,H$2,'Præsentationstabeller 1'!$C$2),0)</f>
        <v/>
      </c>
      <c r="I1199" t="str" vm="4102">
        <f>IFERROR(CUBEVALUE("BIDB",$A1199,I$3,I$2,'Præsentationstabeller 1'!$C$2),0)</f>
        <v/>
      </c>
      <c r="J1199" t="str" vm="16488">
        <f>IFERROR(CUBEVALUE("BIDB",$A1199,J$3,J$2,'Præsentationstabeller 1'!$C$2),0)</f>
        <v/>
      </c>
      <c r="K1199" t="str" vm="16812">
        <f>IFERROR(CUBEVALUE("BIDB",$A1199,K$3,K$2,'Præsentationstabeller 1'!$C$2),0)</f>
        <v/>
      </c>
      <c r="L1199" t="str" vm="16491">
        <f>IFERROR(CUBEVALUE("BIDB",$A1199,L$3,L$2,'Præsentationstabeller 1'!$C$2),0)</f>
        <v/>
      </c>
    </row>
    <row r="1200" spans="1:12" x14ac:dyDescent="0.3">
      <c r="A1200" s="123" t="str" vm="136">
        <f>CUBEMEMBER("BIDB","[Dimittenddato].[Dimittenddato].&amp;[2020-06-01T00:00:00]")</f>
        <v>01-06-2020</v>
      </c>
      <c r="B1200" t="str" vm="12935">
        <f>IFERROR(CUBEVALUE("BIDB",$A1200,B$3,'Præsentationstabeller 1'!$C$2),0)</f>
        <v/>
      </c>
      <c r="C1200" t="str" vm="15673">
        <f>IFERROR(CUBEVALUE("BIDB",$A1200,C$3,C$2,'Præsentationstabeller 1'!$C$2),0)</f>
        <v/>
      </c>
      <c r="D1200" t="str" vm="14321">
        <f>IFERROR(CUBEVALUE("BIDB",$A1200,D$3,D$2,'Præsentationstabeller 1'!$C$2),0)</f>
        <v/>
      </c>
      <c r="E1200" t="str" vm="3324">
        <f>IFERROR(CUBEVALUE("BIDB",$A1200,E$3,E$2,'Præsentationstabeller 1'!$C$2),0)</f>
        <v/>
      </c>
      <c r="F1200" t="str" vm="13169">
        <f>IFERROR(CUBEVALUE("BIDB",$A1200,F$3,F$2,'Præsentationstabeller 1'!$C$2),0)</f>
        <v/>
      </c>
      <c r="G1200" t="str" vm="15789">
        <f>IFERROR(CUBEVALUE("BIDB",$A1200,G$3,G$2,'Præsentationstabeller 1'!$C$2),0)</f>
        <v/>
      </c>
      <c r="H1200" t="str" vm="15904">
        <f>IFERROR(CUBEVALUE("BIDB",$A1200,H$3,H$2,'Præsentationstabeller 1'!$C$2),0)</f>
        <v/>
      </c>
      <c r="I1200" t="str" vm="3091">
        <f>IFERROR(CUBEVALUE("BIDB",$A1200,I$3,I$2,'Præsentationstabeller 1'!$C$2),0)</f>
        <v/>
      </c>
      <c r="J1200" t="str" vm="16035">
        <f>IFERROR(CUBEVALUE("BIDB",$A1200,J$3,J$2,'Præsentationstabeller 1'!$C$2),0)</f>
        <v/>
      </c>
      <c r="K1200" t="str" vm="10636">
        <f>IFERROR(CUBEVALUE("BIDB",$A1200,K$3,K$2,'Præsentationstabeller 1'!$C$2),0)</f>
        <v/>
      </c>
      <c r="L1200" t="str" vm="13708">
        <f>IFERROR(CUBEVALUE("BIDB",$A1200,L$3,L$2,'Præsentationstabeller 1'!$C$2),0)</f>
        <v/>
      </c>
    </row>
    <row r="1201" spans="1:12" x14ac:dyDescent="0.3">
      <c r="A1201" s="123" t="str" vm="135">
        <f>CUBEMEMBER("BIDB","[Dimittenddato].[Dimittenddato].&amp;[2020-06-02T00:00:00]")</f>
        <v>02-06-2020</v>
      </c>
      <c r="B1201" t="str" vm="13508">
        <f>IFERROR(CUBEVALUE("BIDB",$A1201,B$3,'Præsentationstabeller 1'!$C$2),0)</f>
        <v/>
      </c>
      <c r="C1201" t="str" vm="13915">
        <f>IFERROR(CUBEVALUE("BIDB",$A1201,C$3,C$2,'Præsentationstabeller 1'!$C$2),0)</f>
        <v/>
      </c>
      <c r="D1201" t="str" vm="15467">
        <f>IFERROR(CUBEVALUE("BIDB",$A1201,D$3,D$2,'Præsentationstabeller 1'!$C$2),0)</f>
        <v/>
      </c>
      <c r="E1201" t="str" vm="6755">
        <f>IFERROR(CUBEVALUE("BIDB",$A1201,E$3,E$2,'Præsentationstabeller 1'!$C$2),0)</f>
        <v/>
      </c>
      <c r="F1201" t="str" vm="15001">
        <f>IFERROR(CUBEVALUE("BIDB",$A1201,F$3,F$2,'Præsentationstabeller 1'!$C$2),0)</f>
        <v/>
      </c>
      <c r="G1201" t="str" vm="13334">
        <f>IFERROR(CUBEVALUE("BIDB",$A1201,G$3,G$2,'Præsentationstabeller 1'!$C$2),0)</f>
        <v/>
      </c>
      <c r="H1201" t="str" vm="16342">
        <f>IFERROR(CUBEVALUE("BIDB",$A1201,H$3,H$2,'Præsentationstabeller 1'!$C$2),0)</f>
        <v/>
      </c>
      <c r="I1201" t="str" vm="4451">
        <f>IFERROR(CUBEVALUE("BIDB",$A1201,I$3,I$2,'Præsentationstabeller 1'!$C$2),0)</f>
        <v/>
      </c>
      <c r="J1201" t="str" vm="13808">
        <f>IFERROR(CUBEVALUE("BIDB",$A1201,J$3,J$2,'Præsentationstabeller 1'!$C$2),0)</f>
        <v/>
      </c>
      <c r="K1201" t="str" vm="15926">
        <f>IFERROR(CUBEVALUE("BIDB",$A1201,K$3,K$2,'Præsentationstabeller 1'!$C$2),0)</f>
        <v/>
      </c>
      <c r="L1201" t="str" vm="10770">
        <f>IFERROR(CUBEVALUE("BIDB",$A1201,L$3,L$2,'Præsentationstabeller 1'!$C$2),0)</f>
        <v/>
      </c>
    </row>
    <row r="1202" spans="1:12" x14ac:dyDescent="0.3">
      <c r="A1202" s="123" t="str" vm="134">
        <f>CUBEMEMBER("BIDB","[Dimittenddato].[Dimittenddato].&amp;[2020-06-03T00:00:00]")</f>
        <v>03-06-2020</v>
      </c>
      <c r="B1202" t="str" vm="16130">
        <f>IFERROR(CUBEVALUE("BIDB",$A1202,B$3,'Præsentationstabeller 1'!$C$2),0)</f>
        <v/>
      </c>
      <c r="C1202" t="str" vm="14574">
        <f>IFERROR(CUBEVALUE("BIDB",$A1202,C$3,C$2,'Præsentationstabeller 1'!$C$2),0)</f>
        <v/>
      </c>
      <c r="D1202" t="str" vm="10990">
        <f>IFERROR(CUBEVALUE("BIDB",$A1202,D$3,D$2,'Præsentationstabeller 1'!$C$2),0)</f>
        <v/>
      </c>
      <c r="E1202" t="str" vm="5237">
        <f>IFERROR(CUBEVALUE("BIDB",$A1202,E$3,E$2,'Præsentationstabeller 1'!$C$2),0)</f>
        <v/>
      </c>
      <c r="F1202" t="str" vm="14601">
        <f>IFERROR(CUBEVALUE("BIDB",$A1202,F$3,F$2,'Præsentationstabeller 1'!$C$2),0)</f>
        <v/>
      </c>
      <c r="G1202" t="str" vm="14281">
        <f>IFERROR(CUBEVALUE("BIDB",$A1202,G$3,G$2,'Præsentationstabeller 1'!$C$2),0)</f>
        <v/>
      </c>
      <c r="H1202" t="str" vm="10265">
        <f>IFERROR(CUBEVALUE("BIDB",$A1202,H$3,H$2,'Præsentationstabeller 1'!$C$2),0)</f>
        <v/>
      </c>
      <c r="I1202" t="str" vm="6991">
        <f>IFERROR(CUBEVALUE("BIDB",$A1202,I$3,I$2,'Præsentationstabeller 1'!$C$2),0)</f>
        <v/>
      </c>
      <c r="J1202" t="str" vm="11915">
        <f>IFERROR(CUBEVALUE("BIDB",$A1202,J$3,J$2,'Præsentationstabeller 1'!$C$2),0)</f>
        <v/>
      </c>
      <c r="K1202" t="str" vm="11040">
        <f>IFERROR(CUBEVALUE("BIDB",$A1202,K$3,K$2,'Præsentationstabeller 1'!$C$2),0)</f>
        <v/>
      </c>
      <c r="L1202" t="str" vm="10917">
        <f>IFERROR(CUBEVALUE("BIDB",$A1202,L$3,L$2,'Præsentationstabeller 1'!$C$2),0)</f>
        <v/>
      </c>
    </row>
    <row r="1203" spans="1:12" x14ac:dyDescent="0.3">
      <c r="A1203" s="123" t="str" vm="133">
        <f>CUBEMEMBER("BIDB","[Dimittenddato].[Dimittenddato].&amp;[2020-06-04T00:00:00]")</f>
        <v>04-06-2020</v>
      </c>
      <c r="B1203" t="str" vm="17064">
        <f>IFERROR(CUBEVALUE("BIDB",$A1203,B$3,'Præsentationstabeller 1'!$C$2),0)</f>
        <v/>
      </c>
      <c r="C1203" t="str" vm="13496">
        <f>IFERROR(CUBEVALUE("BIDB",$A1203,C$3,C$2,'Præsentationstabeller 1'!$C$2),0)</f>
        <v/>
      </c>
      <c r="D1203" t="str" vm="9269">
        <f>IFERROR(CUBEVALUE("BIDB",$A1203,D$3,D$2,'Præsentationstabeller 1'!$C$2),0)</f>
        <v/>
      </c>
      <c r="E1203" t="str" vm="6086">
        <f>IFERROR(CUBEVALUE("BIDB",$A1203,E$3,E$2,'Præsentationstabeller 1'!$C$2),0)</f>
        <v/>
      </c>
      <c r="F1203" t="str" vm="16940">
        <f>IFERROR(CUBEVALUE("BIDB",$A1203,F$3,F$2,'Præsentationstabeller 1'!$C$2),0)</f>
        <v/>
      </c>
      <c r="G1203" t="str" vm="16941">
        <f>IFERROR(CUBEVALUE("BIDB",$A1203,G$3,G$2,'Præsentationstabeller 1'!$C$2),0)</f>
        <v/>
      </c>
      <c r="H1203" t="str" vm="13412">
        <f>IFERROR(CUBEVALUE("BIDB",$A1203,H$3,H$2,'Præsentationstabeller 1'!$C$2),0)</f>
        <v/>
      </c>
      <c r="I1203" t="str" vm="3826">
        <f>IFERROR(CUBEVALUE("BIDB",$A1203,I$3,I$2,'Præsentationstabeller 1'!$C$2),0)</f>
        <v/>
      </c>
      <c r="J1203" t="str" vm="13023">
        <f>IFERROR(CUBEVALUE("BIDB",$A1203,J$3,J$2,'Præsentationstabeller 1'!$C$2),0)</f>
        <v/>
      </c>
      <c r="K1203" t="str" vm="14957">
        <f>IFERROR(CUBEVALUE("BIDB",$A1203,K$3,K$2,'Præsentationstabeller 1'!$C$2),0)</f>
        <v/>
      </c>
      <c r="L1203" t="str" vm="6846">
        <f>IFERROR(CUBEVALUE("BIDB",$A1203,L$3,L$2,'Præsentationstabeller 1'!$C$2),0)</f>
        <v/>
      </c>
    </row>
    <row r="1204" spans="1:12" x14ac:dyDescent="0.3">
      <c r="A1204" s="123" t="str" vm="132">
        <f>CUBEMEMBER("BIDB","[Dimittenddato].[Dimittenddato].&amp;[2020-06-05T00:00:00]")</f>
        <v>05-06-2020</v>
      </c>
      <c r="B1204" t="str" vm="15603">
        <f>IFERROR(CUBEVALUE("BIDB",$A1204,B$3,'Præsentationstabeller 1'!$C$2),0)</f>
        <v/>
      </c>
      <c r="C1204" t="str" vm="15996">
        <f>IFERROR(CUBEVALUE("BIDB",$A1204,C$3,C$2,'Præsentationstabeller 1'!$C$2),0)</f>
        <v/>
      </c>
      <c r="D1204" t="str" vm="17150">
        <f>IFERROR(CUBEVALUE("BIDB",$A1204,D$3,D$2,'Præsentationstabeller 1'!$C$2),0)</f>
        <v/>
      </c>
      <c r="E1204" t="str" vm="4165">
        <f>IFERROR(CUBEVALUE("BIDB",$A1204,E$3,E$2,'Præsentationstabeller 1'!$C$2),0)</f>
        <v/>
      </c>
      <c r="F1204" t="str" vm="16574">
        <f>IFERROR(CUBEVALUE("BIDB",$A1204,F$3,F$2,'Præsentationstabeller 1'!$C$2),0)</f>
        <v/>
      </c>
      <c r="G1204" t="str" vm="14858">
        <f>IFERROR(CUBEVALUE("BIDB",$A1204,G$3,G$2,'Præsentationstabeller 1'!$C$2),0)</f>
        <v/>
      </c>
      <c r="H1204" t="str" vm="12037">
        <f>IFERROR(CUBEVALUE("BIDB",$A1204,H$3,H$2,'Præsentationstabeller 1'!$C$2),0)</f>
        <v/>
      </c>
      <c r="I1204" t="str" vm="4940">
        <f>IFERROR(CUBEVALUE("BIDB",$A1204,I$3,I$2,'Præsentationstabeller 1'!$C$2),0)</f>
        <v/>
      </c>
      <c r="J1204" t="str" vm="11649">
        <f>IFERROR(CUBEVALUE("BIDB",$A1204,J$3,J$2,'Præsentationstabeller 1'!$C$2),0)</f>
        <v/>
      </c>
      <c r="K1204" t="str" vm="13925">
        <f>IFERROR(CUBEVALUE("BIDB",$A1204,K$3,K$2,'Præsentationstabeller 1'!$C$2),0)</f>
        <v/>
      </c>
      <c r="L1204" t="str" vm="15741">
        <f>IFERROR(CUBEVALUE("BIDB",$A1204,L$3,L$2,'Præsentationstabeller 1'!$C$2),0)</f>
        <v/>
      </c>
    </row>
    <row r="1205" spans="1:12" x14ac:dyDescent="0.3">
      <c r="A1205" s="123" t="str" vm="131">
        <f>CUBEMEMBER("BIDB","[Dimittenddato].[Dimittenddato].&amp;[2020-06-06T00:00:00]")</f>
        <v>06-06-2020</v>
      </c>
      <c r="B1205" t="str" vm="11612">
        <f>IFERROR(CUBEVALUE("BIDB",$A1205,B$3,'Præsentationstabeller 1'!$C$2),0)</f>
        <v/>
      </c>
      <c r="C1205" t="str" vm="10780">
        <f>IFERROR(CUBEVALUE("BIDB",$A1205,C$3,C$2,'Præsentationstabeller 1'!$C$2),0)</f>
        <v/>
      </c>
      <c r="D1205" t="str" vm="13957">
        <f>IFERROR(CUBEVALUE("BIDB",$A1205,D$3,D$2,'Præsentationstabeller 1'!$C$2),0)</f>
        <v/>
      </c>
      <c r="E1205" t="str" vm="3789">
        <f>IFERROR(CUBEVALUE("BIDB",$A1205,E$3,E$2,'Præsentationstabeller 1'!$C$2),0)</f>
        <v/>
      </c>
      <c r="F1205" t="str" vm="13931">
        <f>IFERROR(CUBEVALUE("BIDB",$A1205,F$3,F$2,'Præsentationstabeller 1'!$C$2),0)</f>
        <v/>
      </c>
      <c r="G1205" t="str" vm="13076">
        <f>IFERROR(CUBEVALUE("BIDB",$A1205,G$3,G$2,'Præsentationstabeller 1'!$C$2),0)</f>
        <v/>
      </c>
      <c r="H1205" t="str" vm="15670">
        <f>IFERROR(CUBEVALUE("BIDB",$A1205,H$3,H$2,'Præsentationstabeller 1'!$C$2),0)</f>
        <v/>
      </c>
      <c r="I1205" t="str" vm="5547">
        <f>IFERROR(CUBEVALUE("BIDB",$A1205,I$3,I$2,'Præsentationstabeller 1'!$C$2),0)</f>
        <v/>
      </c>
      <c r="J1205" t="str" vm="14084">
        <f>IFERROR(CUBEVALUE("BIDB",$A1205,J$3,J$2,'Præsentationstabeller 1'!$C$2),0)</f>
        <v/>
      </c>
      <c r="K1205" t="str" vm="12920">
        <f>IFERROR(CUBEVALUE("BIDB",$A1205,K$3,K$2,'Præsentationstabeller 1'!$C$2),0)</f>
        <v/>
      </c>
      <c r="L1205" t="str" vm="11847">
        <f>IFERROR(CUBEVALUE("BIDB",$A1205,L$3,L$2,'Præsentationstabeller 1'!$C$2),0)</f>
        <v/>
      </c>
    </row>
    <row r="1206" spans="1:12" x14ac:dyDescent="0.3">
      <c r="A1206" s="123" t="str" vm="130">
        <f>CUBEMEMBER("BIDB","[Dimittenddato].[Dimittenddato].&amp;[2020-06-07T00:00:00]")</f>
        <v>07-06-2020</v>
      </c>
      <c r="B1206" t="str" vm="14393">
        <f>IFERROR(CUBEVALUE("BIDB",$A1206,B$3,'Præsentationstabeller 1'!$C$2),0)</f>
        <v/>
      </c>
      <c r="C1206" t="str" vm="13349">
        <f>IFERROR(CUBEVALUE("BIDB",$A1206,C$3,C$2,'Præsentationstabeller 1'!$C$2),0)</f>
        <v/>
      </c>
      <c r="D1206" t="str" vm="15976">
        <f>IFERROR(CUBEVALUE("BIDB",$A1206,D$3,D$2,'Præsentationstabeller 1'!$C$2),0)</f>
        <v/>
      </c>
      <c r="E1206" t="str" vm="5972">
        <f>IFERROR(CUBEVALUE("BIDB",$A1206,E$3,E$2,'Præsentationstabeller 1'!$C$2),0)</f>
        <v/>
      </c>
      <c r="F1206" t="str" vm="13091">
        <f>IFERROR(CUBEVALUE("BIDB",$A1206,F$3,F$2,'Præsentationstabeller 1'!$C$2),0)</f>
        <v/>
      </c>
      <c r="G1206" t="str" vm="16561">
        <f>IFERROR(CUBEVALUE("BIDB",$A1206,G$3,G$2,'Præsentationstabeller 1'!$C$2),0)</f>
        <v/>
      </c>
      <c r="H1206" t="str" vm="13160">
        <f>IFERROR(CUBEVALUE("BIDB",$A1206,H$3,H$2,'Præsentationstabeller 1'!$C$2),0)</f>
        <v/>
      </c>
      <c r="I1206" t="str" vm="3667">
        <f>IFERROR(CUBEVALUE("BIDB",$A1206,I$3,I$2,'Præsentationstabeller 1'!$C$2),0)</f>
        <v/>
      </c>
      <c r="J1206" t="str" vm="15432">
        <f>IFERROR(CUBEVALUE("BIDB",$A1206,J$3,J$2,'Præsentationstabeller 1'!$C$2),0)</f>
        <v/>
      </c>
      <c r="K1206" t="str" vm="12347">
        <f>IFERROR(CUBEVALUE("BIDB",$A1206,K$3,K$2,'Præsentationstabeller 1'!$C$2),0)</f>
        <v/>
      </c>
      <c r="L1206" t="str" vm="8708">
        <f>IFERROR(CUBEVALUE("BIDB",$A1206,L$3,L$2,'Præsentationstabeller 1'!$C$2),0)</f>
        <v/>
      </c>
    </row>
    <row r="1207" spans="1:12" x14ac:dyDescent="0.3">
      <c r="A1207" s="123" t="str" vm="129">
        <f>CUBEMEMBER("BIDB","[Dimittenddato].[Dimittenddato].&amp;[2020-06-08T00:00:00]")</f>
        <v>08-06-2020</v>
      </c>
      <c r="B1207" t="str" vm="13781">
        <f>IFERROR(CUBEVALUE("BIDB",$A1207,B$3,'Præsentationstabeller 1'!$C$2),0)</f>
        <v/>
      </c>
      <c r="C1207" t="str" vm="13561">
        <f>IFERROR(CUBEVALUE("BIDB",$A1207,C$3,C$2,'Præsentationstabeller 1'!$C$2),0)</f>
        <v/>
      </c>
      <c r="D1207" t="str" vm="15102">
        <f>IFERROR(CUBEVALUE("BIDB",$A1207,D$3,D$2,'Præsentationstabeller 1'!$C$2),0)</f>
        <v/>
      </c>
      <c r="E1207" t="str" vm="4225">
        <f>IFERROR(CUBEVALUE("BIDB",$A1207,E$3,E$2,'Præsentationstabeller 1'!$C$2),0)</f>
        <v/>
      </c>
      <c r="F1207" t="str" vm="14014">
        <f>IFERROR(CUBEVALUE("BIDB",$A1207,F$3,F$2,'Præsentationstabeller 1'!$C$2),0)</f>
        <v/>
      </c>
      <c r="G1207" t="str" vm="15683">
        <f>IFERROR(CUBEVALUE("BIDB",$A1207,G$3,G$2,'Præsentationstabeller 1'!$C$2),0)</f>
        <v/>
      </c>
      <c r="H1207" t="str" vm="17120">
        <f>IFERROR(CUBEVALUE("BIDB",$A1207,H$3,H$2,'Præsentationstabeller 1'!$C$2),0)</f>
        <v/>
      </c>
      <c r="I1207" t="str" vm="4483">
        <f>IFERROR(CUBEVALUE("BIDB",$A1207,I$3,I$2,'Præsentationstabeller 1'!$C$2),0)</f>
        <v/>
      </c>
      <c r="J1207" t="str" vm="13909">
        <f>IFERROR(CUBEVALUE("BIDB",$A1207,J$3,J$2,'Præsentationstabeller 1'!$C$2),0)</f>
        <v/>
      </c>
      <c r="K1207" t="str" vm="13007">
        <f>IFERROR(CUBEVALUE("BIDB",$A1207,K$3,K$2,'Præsentationstabeller 1'!$C$2),0)</f>
        <v/>
      </c>
      <c r="L1207" t="str" vm="11799">
        <f>IFERROR(CUBEVALUE("BIDB",$A1207,L$3,L$2,'Præsentationstabeller 1'!$C$2),0)</f>
        <v/>
      </c>
    </row>
    <row r="1208" spans="1:12" x14ac:dyDescent="0.3">
      <c r="A1208" s="123" t="str" vm="128">
        <f>CUBEMEMBER("BIDB","[Dimittenddato].[Dimittenddato].&amp;[2020-06-09T00:00:00]")</f>
        <v>09-06-2020</v>
      </c>
      <c r="B1208" t="str" vm="13579">
        <f>IFERROR(CUBEVALUE("BIDB",$A1208,B$3,'Præsentationstabeller 1'!$C$2),0)</f>
        <v/>
      </c>
      <c r="C1208" t="str" vm="13184">
        <f>IFERROR(CUBEVALUE("BIDB",$A1208,C$3,C$2,'Præsentationstabeller 1'!$C$2),0)</f>
        <v/>
      </c>
      <c r="D1208" t="str" vm="11602">
        <f>IFERROR(CUBEVALUE("BIDB",$A1208,D$3,D$2,'Præsentationstabeller 1'!$C$2),0)</f>
        <v/>
      </c>
      <c r="E1208" t="str" vm="4119">
        <f>IFERROR(CUBEVALUE("BIDB",$A1208,E$3,E$2,'Præsentationstabeller 1'!$C$2),0)</f>
        <v/>
      </c>
      <c r="F1208" t="str" vm="13671">
        <f>IFERROR(CUBEVALUE("BIDB",$A1208,F$3,F$2,'Præsentationstabeller 1'!$C$2),0)</f>
        <v/>
      </c>
      <c r="G1208" t="str" vm="13971">
        <f>IFERROR(CUBEVALUE("BIDB",$A1208,G$3,G$2,'Præsentationstabeller 1'!$C$2),0)</f>
        <v/>
      </c>
      <c r="H1208" t="str" vm="10034">
        <f>IFERROR(CUBEVALUE("BIDB",$A1208,H$3,H$2,'Præsentationstabeller 1'!$C$2),0)</f>
        <v/>
      </c>
      <c r="I1208" t="str" vm="2672">
        <f>IFERROR(CUBEVALUE("BIDB",$A1208,I$3,I$2,'Præsentationstabeller 1'!$C$2),0)</f>
        <v/>
      </c>
      <c r="J1208" t="str" vm="13372">
        <f>IFERROR(CUBEVALUE("BIDB",$A1208,J$3,J$2,'Præsentationstabeller 1'!$C$2),0)</f>
        <v/>
      </c>
      <c r="K1208" t="str" vm="14633">
        <f>IFERROR(CUBEVALUE("BIDB",$A1208,K$3,K$2,'Præsentationstabeller 1'!$C$2),0)</f>
        <v/>
      </c>
      <c r="L1208" t="str" vm="16825">
        <f>IFERROR(CUBEVALUE("BIDB",$A1208,L$3,L$2,'Præsentationstabeller 1'!$C$2),0)</f>
        <v/>
      </c>
    </row>
    <row r="1209" spans="1:12" x14ac:dyDescent="0.3">
      <c r="A1209" s="123" t="str" vm="127">
        <f>CUBEMEMBER("BIDB","[Dimittenddato].[Dimittenddato].&amp;[2020-06-10T00:00:00]")</f>
        <v>10-06-2020</v>
      </c>
      <c r="B1209" t="str" vm="13807">
        <f>IFERROR(CUBEVALUE("BIDB",$A1209,B$3,'Præsentationstabeller 1'!$C$2),0)</f>
        <v/>
      </c>
      <c r="C1209" t="str" vm="10039">
        <f>IFERROR(CUBEVALUE("BIDB",$A1209,C$3,C$2,'Præsentationstabeller 1'!$C$2),0)</f>
        <v/>
      </c>
      <c r="D1209" t="str" vm="13433">
        <f>IFERROR(CUBEVALUE("BIDB",$A1209,D$3,D$2,'Præsentationstabeller 1'!$C$2),0)</f>
        <v/>
      </c>
      <c r="E1209" t="str" vm="5214">
        <f>IFERROR(CUBEVALUE("BIDB",$A1209,E$3,E$2,'Præsentationstabeller 1'!$C$2),0)</f>
        <v/>
      </c>
      <c r="F1209" t="str" vm="12055">
        <f>IFERROR(CUBEVALUE("BIDB",$A1209,F$3,F$2,'Præsentationstabeller 1'!$C$2),0)</f>
        <v/>
      </c>
      <c r="G1209" t="str" vm="13141">
        <f>IFERROR(CUBEVALUE("BIDB",$A1209,G$3,G$2,'Præsentationstabeller 1'!$C$2),0)</f>
        <v/>
      </c>
      <c r="H1209" t="str" vm="16591">
        <f>IFERROR(CUBEVALUE("BIDB",$A1209,H$3,H$2,'Præsentationstabeller 1'!$C$2),0)</f>
        <v/>
      </c>
      <c r="I1209" t="str" vm="3988">
        <f>IFERROR(CUBEVALUE("BIDB",$A1209,I$3,I$2,'Præsentationstabeller 1'!$C$2),0)</f>
        <v/>
      </c>
      <c r="J1209" t="str" vm="16142">
        <f>IFERROR(CUBEVALUE("BIDB",$A1209,J$3,J$2,'Præsentationstabeller 1'!$C$2),0)</f>
        <v/>
      </c>
      <c r="K1209" t="str" vm="15917">
        <f>IFERROR(CUBEVALUE("BIDB",$A1209,K$3,K$2,'Præsentationstabeller 1'!$C$2),0)</f>
        <v/>
      </c>
      <c r="L1209" t="str" vm="14876">
        <f>IFERROR(CUBEVALUE("BIDB",$A1209,L$3,L$2,'Præsentationstabeller 1'!$C$2),0)</f>
        <v/>
      </c>
    </row>
    <row r="1210" spans="1:12" x14ac:dyDescent="0.3">
      <c r="A1210" s="123" t="str" vm="126">
        <f>CUBEMEMBER("BIDB","[Dimittenddato].[Dimittenddato].&amp;[2020-06-11T00:00:00]")</f>
        <v>11-06-2020</v>
      </c>
      <c r="B1210" t="str" vm="14438">
        <f>IFERROR(CUBEVALUE("BIDB",$A1210,B$3,'Præsentationstabeller 1'!$C$2),0)</f>
        <v/>
      </c>
      <c r="C1210" t="str" vm="12620">
        <f>IFERROR(CUBEVALUE("BIDB",$A1210,C$3,C$2,'Præsentationstabeller 1'!$C$2),0)</f>
        <v/>
      </c>
      <c r="D1210" t="str" vm="12757">
        <f>IFERROR(CUBEVALUE("BIDB",$A1210,D$3,D$2,'Præsentationstabeller 1'!$C$2),0)</f>
        <v/>
      </c>
      <c r="E1210" t="str" vm="3774">
        <f>IFERROR(CUBEVALUE("BIDB",$A1210,E$3,E$2,'Præsentationstabeller 1'!$C$2),0)</f>
        <v/>
      </c>
      <c r="F1210" t="str" vm="16389">
        <f>IFERROR(CUBEVALUE("BIDB",$A1210,F$3,F$2,'Præsentationstabeller 1'!$C$2),0)</f>
        <v/>
      </c>
      <c r="G1210" t="str" vm="16947">
        <f>IFERROR(CUBEVALUE("BIDB",$A1210,G$3,G$2,'Præsentationstabeller 1'!$C$2),0)</f>
        <v/>
      </c>
      <c r="H1210" t="str" vm="16002">
        <f>IFERROR(CUBEVALUE("BIDB",$A1210,H$3,H$2,'Præsentationstabeller 1'!$C$2),0)</f>
        <v/>
      </c>
      <c r="I1210" t="str" vm="3212">
        <f>IFERROR(CUBEVALUE("BIDB",$A1210,I$3,I$2,'Præsentationstabeller 1'!$C$2),0)</f>
        <v/>
      </c>
      <c r="J1210" t="str" vm="14283">
        <f>IFERROR(CUBEVALUE("BIDB",$A1210,J$3,J$2,'Præsentationstabeller 1'!$C$2),0)</f>
        <v/>
      </c>
      <c r="K1210" t="str" vm="12021">
        <f>IFERROR(CUBEVALUE("BIDB",$A1210,K$3,K$2,'Præsentationstabeller 1'!$C$2),0)</f>
        <v/>
      </c>
      <c r="L1210" t="str" vm="12408">
        <f>IFERROR(CUBEVALUE("BIDB",$A1210,L$3,L$2,'Præsentationstabeller 1'!$C$2),0)</f>
        <v/>
      </c>
    </row>
    <row r="1211" spans="1:12" x14ac:dyDescent="0.3">
      <c r="A1211" s="123" t="str" vm="125">
        <f>CUBEMEMBER("BIDB","[Dimittenddato].[Dimittenddato].&amp;[2020-06-12T00:00:00]")</f>
        <v>12-06-2020</v>
      </c>
      <c r="B1211" t="str" vm="16472">
        <f>IFERROR(CUBEVALUE("BIDB",$A1211,B$3,'Præsentationstabeller 1'!$C$2),0)</f>
        <v/>
      </c>
      <c r="C1211" t="str" vm="15203">
        <f>IFERROR(CUBEVALUE("BIDB",$A1211,C$3,C$2,'Præsentationstabeller 1'!$C$2),0)</f>
        <v/>
      </c>
      <c r="D1211" t="str" vm="16234">
        <f>IFERROR(CUBEVALUE("BIDB",$A1211,D$3,D$2,'Præsentationstabeller 1'!$C$2),0)</f>
        <v/>
      </c>
      <c r="E1211" t="str" vm="3590">
        <f>IFERROR(CUBEVALUE("BIDB",$A1211,E$3,E$2,'Præsentationstabeller 1'!$C$2),0)</f>
        <v/>
      </c>
      <c r="F1211" t="str" vm="17029">
        <f>IFERROR(CUBEVALUE("BIDB",$A1211,F$3,F$2,'Præsentationstabeller 1'!$C$2),0)</f>
        <v/>
      </c>
      <c r="G1211" t="str" vm="12576">
        <f>IFERROR(CUBEVALUE("BIDB",$A1211,G$3,G$2,'Præsentationstabeller 1'!$C$2),0)</f>
        <v/>
      </c>
      <c r="H1211" t="str" vm="16522">
        <f>IFERROR(CUBEVALUE("BIDB",$A1211,H$3,H$2,'Præsentationstabeller 1'!$C$2),0)</f>
        <v/>
      </c>
      <c r="I1211" t="str" vm="3712">
        <f>IFERROR(CUBEVALUE("BIDB",$A1211,I$3,I$2,'Præsentationstabeller 1'!$C$2),0)</f>
        <v/>
      </c>
      <c r="J1211" t="str" vm="13572">
        <f>IFERROR(CUBEVALUE("BIDB",$A1211,J$3,J$2,'Præsentationstabeller 1'!$C$2),0)</f>
        <v/>
      </c>
      <c r="K1211" t="str" vm="12363">
        <f>IFERROR(CUBEVALUE("BIDB",$A1211,K$3,K$2,'Præsentationstabeller 1'!$C$2),0)</f>
        <v/>
      </c>
      <c r="L1211" t="str" vm="7370">
        <f>IFERROR(CUBEVALUE("BIDB",$A1211,L$3,L$2,'Præsentationstabeller 1'!$C$2),0)</f>
        <v/>
      </c>
    </row>
    <row r="1212" spans="1:12" x14ac:dyDescent="0.3">
      <c r="A1212" s="123" t="str" vm="124">
        <f>CUBEMEMBER("BIDB","[Dimittenddato].[Dimittenddato].&amp;[2020-06-13T00:00:00]")</f>
        <v>13-06-2020</v>
      </c>
      <c r="B1212" t="str" vm="14696">
        <f>IFERROR(CUBEVALUE("BIDB",$A1212,B$3,'Præsentationstabeller 1'!$C$2),0)</f>
        <v/>
      </c>
      <c r="C1212" t="str" vm="14349">
        <f>IFERROR(CUBEVALUE("BIDB",$A1212,C$3,C$2,'Præsentationstabeller 1'!$C$2),0)</f>
        <v/>
      </c>
      <c r="D1212" t="str" vm="15097">
        <f>IFERROR(CUBEVALUE("BIDB",$A1212,D$3,D$2,'Præsentationstabeller 1'!$C$2),0)</f>
        <v/>
      </c>
      <c r="E1212" t="str" vm="5444">
        <f>IFERROR(CUBEVALUE("BIDB",$A1212,E$3,E$2,'Præsentationstabeller 1'!$C$2),0)</f>
        <v/>
      </c>
      <c r="F1212" t="str" vm="15311">
        <f>IFERROR(CUBEVALUE("BIDB",$A1212,F$3,F$2,'Præsentationstabeller 1'!$C$2),0)</f>
        <v/>
      </c>
      <c r="G1212" t="str" vm="16535">
        <f>IFERROR(CUBEVALUE("BIDB",$A1212,G$3,G$2,'Præsentationstabeller 1'!$C$2),0)</f>
        <v/>
      </c>
      <c r="H1212" t="str" vm="11322">
        <f>IFERROR(CUBEVALUE("BIDB",$A1212,H$3,H$2,'Præsentationstabeller 1'!$C$2),0)</f>
        <v/>
      </c>
      <c r="I1212" t="str" vm="8973">
        <f>IFERROR(CUBEVALUE("BIDB",$A1212,I$3,I$2,'Præsentationstabeller 1'!$C$2),0)</f>
        <v/>
      </c>
      <c r="J1212" t="str" vm="15319">
        <f>IFERROR(CUBEVALUE("BIDB",$A1212,J$3,J$2,'Præsentationstabeller 1'!$C$2),0)</f>
        <v/>
      </c>
      <c r="K1212" t="str" vm="16635">
        <f>IFERROR(CUBEVALUE("BIDB",$A1212,K$3,K$2,'Præsentationstabeller 1'!$C$2),0)</f>
        <v/>
      </c>
      <c r="L1212" t="str" vm="12342">
        <f>IFERROR(CUBEVALUE("BIDB",$A1212,L$3,L$2,'Præsentationstabeller 1'!$C$2),0)</f>
        <v/>
      </c>
    </row>
    <row r="1213" spans="1:12" x14ac:dyDescent="0.3">
      <c r="A1213" s="123" t="str" vm="123">
        <f>CUBEMEMBER("BIDB","[Dimittenddato].[Dimittenddato].&amp;[2020-06-14T00:00:00]")</f>
        <v>14-06-2020</v>
      </c>
      <c r="B1213" t="str" vm="16069">
        <f>IFERROR(CUBEVALUE("BIDB",$A1213,B$3,'Præsentationstabeller 1'!$C$2),0)</f>
        <v/>
      </c>
      <c r="C1213" t="str" vm="11327">
        <f>IFERROR(CUBEVALUE("BIDB",$A1213,C$3,C$2,'Præsentationstabeller 1'!$C$2),0)</f>
        <v/>
      </c>
      <c r="D1213" t="str" vm="12569">
        <f>IFERROR(CUBEVALUE("BIDB",$A1213,D$3,D$2,'Præsentationstabeller 1'!$C$2),0)</f>
        <v/>
      </c>
      <c r="E1213" t="str" vm="7689">
        <f>IFERROR(CUBEVALUE("BIDB",$A1213,E$3,E$2,'Præsentationstabeller 1'!$C$2),0)</f>
        <v/>
      </c>
      <c r="F1213" t="str" vm="16346">
        <f>IFERROR(CUBEVALUE("BIDB",$A1213,F$3,F$2,'Præsentationstabeller 1'!$C$2),0)</f>
        <v/>
      </c>
      <c r="G1213" t="str" vm="11564">
        <f>IFERROR(CUBEVALUE("BIDB",$A1213,G$3,G$2,'Præsentationstabeller 1'!$C$2),0)</f>
        <v/>
      </c>
      <c r="H1213" t="str" vm="9410">
        <f>IFERROR(CUBEVALUE("BIDB",$A1213,H$3,H$2,'Præsentationstabeller 1'!$C$2),0)</f>
        <v/>
      </c>
      <c r="I1213" t="str" vm="5054">
        <f>IFERROR(CUBEVALUE("BIDB",$A1213,I$3,I$2,'Præsentationstabeller 1'!$C$2),0)</f>
        <v/>
      </c>
      <c r="J1213" t="str" vm="13170">
        <f>IFERROR(CUBEVALUE("BIDB",$A1213,J$3,J$2,'Præsentationstabeller 1'!$C$2),0)</f>
        <v/>
      </c>
      <c r="K1213" t="str" vm="16981">
        <f>IFERROR(CUBEVALUE("BIDB",$A1213,K$3,K$2,'Præsentationstabeller 1'!$C$2),0)</f>
        <v/>
      </c>
      <c r="L1213" t="str" vm="10466">
        <f>IFERROR(CUBEVALUE("BIDB",$A1213,L$3,L$2,'Præsentationstabeller 1'!$C$2),0)</f>
        <v/>
      </c>
    </row>
    <row r="1214" spans="1:12" x14ac:dyDescent="0.3">
      <c r="A1214" s="123" t="str" vm="122">
        <f>CUBEMEMBER("BIDB","[Dimittenddato].[Dimittenddato].&amp;[2020-06-15T00:00:00]")</f>
        <v>15-06-2020</v>
      </c>
      <c r="B1214" t="str" vm="12181">
        <f>IFERROR(CUBEVALUE("BIDB",$A1214,B$3,'Præsentationstabeller 1'!$C$2),0)</f>
        <v/>
      </c>
      <c r="C1214" t="str" vm="10928">
        <f>IFERROR(CUBEVALUE("BIDB",$A1214,C$3,C$2,'Præsentationstabeller 1'!$C$2),0)</f>
        <v/>
      </c>
      <c r="D1214" t="str" vm="10329">
        <f>IFERROR(CUBEVALUE("BIDB",$A1214,D$3,D$2,'Præsentationstabeller 1'!$C$2),0)</f>
        <v/>
      </c>
      <c r="E1214" t="str" vm="6697">
        <f>IFERROR(CUBEVALUE("BIDB",$A1214,E$3,E$2,'Præsentationstabeller 1'!$C$2),0)</f>
        <v/>
      </c>
      <c r="F1214" t="str" vm="16603">
        <f>IFERROR(CUBEVALUE("BIDB",$A1214,F$3,F$2,'Præsentationstabeller 1'!$C$2),0)</f>
        <v/>
      </c>
      <c r="G1214" t="str" vm="16829">
        <f>IFERROR(CUBEVALUE("BIDB",$A1214,G$3,G$2,'Præsentationstabeller 1'!$C$2),0)</f>
        <v/>
      </c>
      <c r="H1214" t="str" vm="13608">
        <f>IFERROR(CUBEVALUE("BIDB",$A1214,H$3,H$2,'Præsentationstabeller 1'!$C$2),0)</f>
        <v/>
      </c>
      <c r="I1214" t="str" vm="3191">
        <f>IFERROR(CUBEVALUE("BIDB",$A1214,I$3,I$2,'Præsentationstabeller 1'!$C$2),0)</f>
        <v/>
      </c>
      <c r="J1214" t="str" vm="13574">
        <f>IFERROR(CUBEVALUE("BIDB",$A1214,J$3,J$2,'Præsentationstabeller 1'!$C$2),0)</f>
        <v/>
      </c>
      <c r="K1214" t="str" vm="10778">
        <f>IFERROR(CUBEVALUE("BIDB",$A1214,K$3,K$2,'Præsentationstabeller 1'!$C$2),0)</f>
        <v/>
      </c>
      <c r="L1214" t="str" vm="11720">
        <f>IFERROR(CUBEVALUE("BIDB",$A1214,L$3,L$2,'Præsentationstabeller 1'!$C$2),0)</f>
        <v/>
      </c>
    </row>
    <row r="1215" spans="1:12" x14ac:dyDescent="0.3">
      <c r="A1215" s="123" t="str" vm="121">
        <f>CUBEMEMBER("BIDB","[Dimittenddato].[Dimittenddato].&amp;[2020-06-16T00:00:00]")</f>
        <v>16-06-2020</v>
      </c>
      <c r="B1215" t="str" vm="13077">
        <f>IFERROR(CUBEVALUE("BIDB",$A1215,B$3,'Præsentationstabeller 1'!$C$2),0)</f>
        <v/>
      </c>
      <c r="C1215" t="str" vm="13613">
        <f>IFERROR(CUBEVALUE("BIDB",$A1215,C$3,C$2,'Præsentationstabeller 1'!$C$2),0)</f>
        <v/>
      </c>
      <c r="D1215" t="str" vm="13717">
        <f>IFERROR(CUBEVALUE("BIDB",$A1215,D$3,D$2,'Præsentationstabeller 1'!$C$2),0)</f>
        <v/>
      </c>
      <c r="E1215" t="str" vm="5032">
        <f>IFERROR(CUBEVALUE("BIDB",$A1215,E$3,E$2,'Præsentationstabeller 1'!$C$2),0)</f>
        <v/>
      </c>
      <c r="F1215" t="str" vm="15564">
        <f>IFERROR(CUBEVALUE("BIDB",$A1215,F$3,F$2,'Præsentationstabeller 1'!$C$2),0)</f>
        <v/>
      </c>
      <c r="G1215" t="str" vm="11390">
        <f>IFERROR(CUBEVALUE("BIDB",$A1215,G$3,G$2,'Præsentationstabeller 1'!$C$2),0)</f>
        <v/>
      </c>
      <c r="H1215" t="str" vm="14528">
        <f>IFERROR(CUBEVALUE("BIDB",$A1215,H$3,H$2,'Præsentationstabeller 1'!$C$2),0)</f>
        <v/>
      </c>
      <c r="I1215" t="str" vm="4597">
        <f>IFERROR(CUBEVALUE("BIDB",$A1215,I$3,I$2,'Præsentationstabeller 1'!$C$2),0)</f>
        <v/>
      </c>
      <c r="J1215" t="str" vm="16853">
        <f>IFERROR(CUBEVALUE("BIDB",$A1215,J$3,J$2,'Præsentationstabeller 1'!$C$2),0)</f>
        <v/>
      </c>
      <c r="K1215" t="str" vm="16832">
        <f>IFERROR(CUBEVALUE("BIDB",$A1215,K$3,K$2,'Præsentationstabeller 1'!$C$2),0)</f>
        <v/>
      </c>
      <c r="L1215" t="str" vm="7402">
        <f>IFERROR(CUBEVALUE("BIDB",$A1215,L$3,L$2,'Præsentationstabeller 1'!$C$2),0)</f>
        <v/>
      </c>
    </row>
    <row r="1216" spans="1:12" x14ac:dyDescent="0.3">
      <c r="A1216" s="123" t="str" vm="120">
        <f>CUBEMEMBER("BIDB","[Dimittenddato].[Dimittenddato].&amp;[2020-06-17T00:00:00]")</f>
        <v>17-06-2020</v>
      </c>
      <c r="B1216" t="str" vm="14604">
        <f>IFERROR(CUBEVALUE("BIDB",$A1216,B$3,'Præsentationstabeller 1'!$C$2),0)</f>
        <v/>
      </c>
      <c r="C1216" t="str" vm="15295">
        <f>IFERROR(CUBEVALUE("BIDB",$A1216,C$3,C$2,'Præsentationstabeller 1'!$C$2),0)</f>
        <v/>
      </c>
      <c r="D1216" t="str" vm="13458">
        <f>IFERROR(CUBEVALUE("BIDB",$A1216,D$3,D$2,'Præsentationstabeller 1'!$C$2),0)</f>
        <v/>
      </c>
      <c r="E1216" t="str" vm="3209">
        <f>IFERROR(CUBEVALUE("BIDB",$A1216,E$3,E$2,'Præsentationstabeller 1'!$C$2),0)</f>
        <v/>
      </c>
      <c r="F1216" t="str" vm="14403">
        <f>IFERROR(CUBEVALUE("BIDB",$A1216,F$3,F$2,'Præsentationstabeller 1'!$C$2),0)</f>
        <v/>
      </c>
      <c r="G1216" t="str" vm="15288">
        <f>IFERROR(CUBEVALUE("BIDB",$A1216,G$3,G$2,'Præsentationstabeller 1'!$C$2),0)</f>
        <v/>
      </c>
      <c r="H1216" t="str" vm="11418">
        <f>IFERROR(CUBEVALUE("BIDB",$A1216,H$3,H$2,'Præsentationstabeller 1'!$C$2),0)</f>
        <v/>
      </c>
      <c r="I1216" t="str" vm="3652">
        <f>IFERROR(CUBEVALUE("BIDB",$A1216,I$3,I$2,'Præsentationstabeller 1'!$C$2),0)</f>
        <v/>
      </c>
      <c r="J1216" t="str" vm="16178">
        <f>IFERROR(CUBEVALUE("BIDB",$A1216,J$3,J$2,'Præsentationstabeller 1'!$C$2),0)</f>
        <v/>
      </c>
      <c r="K1216" t="str" vm="12747">
        <f>IFERROR(CUBEVALUE("BIDB",$A1216,K$3,K$2,'Præsentationstabeller 1'!$C$2),0)</f>
        <v/>
      </c>
      <c r="L1216" t="str" vm="14628">
        <f>IFERROR(CUBEVALUE("BIDB",$A1216,L$3,L$2,'Præsentationstabeller 1'!$C$2),0)</f>
        <v/>
      </c>
    </row>
    <row r="1217" spans="1:12" x14ac:dyDescent="0.3">
      <c r="A1217" s="123" t="str" vm="119">
        <f>CUBEMEMBER("BIDB","[Dimittenddato].[Dimittenddato].&amp;[2020-06-18T00:00:00]")</f>
        <v>18-06-2020</v>
      </c>
      <c r="B1217" t="str" vm="15163">
        <f>IFERROR(CUBEVALUE("BIDB",$A1217,B$3,'Præsentationstabeller 1'!$C$2),0)</f>
        <v/>
      </c>
      <c r="C1217" t="str" vm="11931">
        <f>IFERROR(CUBEVALUE("BIDB",$A1217,C$3,C$2,'Præsentationstabeller 1'!$C$2),0)</f>
        <v/>
      </c>
      <c r="D1217" t="str" vm="13275">
        <f>IFERROR(CUBEVALUE("BIDB",$A1217,D$3,D$2,'Præsentationstabeller 1'!$C$2),0)</f>
        <v/>
      </c>
      <c r="E1217" t="str" vm="16508">
        <f>IFERROR(CUBEVALUE("BIDB",$A1217,E$3,E$2,'Præsentationstabeller 1'!$C$2),0)</f>
        <v/>
      </c>
      <c r="F1217" t="str" vm="11591">
        <f>IFERROR(CUBEVALUE("BIDB",$A1217,F$3,F$2,'Præsentationstabeller 1'!$C$2),0)</f>
        <v/>
      </c>
      <c r="G1217" t="str" vm="14849">
        <f>IFERROR(CUBEVALUE("BIDB",$A1217,G$3,G$2,'Præsentationstabeller 1'!$C$2),0)</f>
        <v/>
      </c>
      <c r="H1217" t="str" vm="11338">
        <f>IFERROR(CUBEVALUE("BIDB",$A1217,H$3,H$2,'Præsentationstabeller 1'!$C$2),0)</f>
        <v/>
      </c>
      <c r="I1217" t="str" vm="5062">
        <f>IFERROR(CUBEVALUE("BIDB",$A1217,I$3,I$2,'Præsentationstabeller 1'!$C$2),0)</f>
        <v/>
      </c>
      <c r="J1217" t="str" vm="11652">
        <f>IFERROR(CUBEVALUE("BIDB",$A1217,J$3,J$2,'Præsentationstabeller 1'!$C$2),0)</f>
        <v/>
      </c>
      <c r="K1217" t="str" vm="14595">
        <f>IFERROR(CUBEVALUE("BIDB",$A1217,K$3,K$2,'Præsentationstabeller 1'!$C$2),0)</f>
        <v/>
      </c>
      <c r="L1217" t="str" vm="12207">
        <f>IFERROR(CUBEVALUE("BIDB",$A1217,L$3,L$2,'Præsentationstabeller 1'!$C$2),0)</f>
        <v/>
      </c>
    </row>
    <row r="1218" spans="1:12" x14ac:dyDescent="0.3">
      <c r="A1218" s="123" t="str" vm="118">
        <f>CUBEMEMBER("BIDB","[Dimittenddato].[Dimittenddato].&amp;[2020-06-19T00:00:00]")</f>
        <v>19-06-2020</v>
      </c>
      <c r="B1218" t="str" vm="14930">
        <f>IFERROR(CUBEVALUE("BIDB",$A1218,B$3,'Præsentationstabeller 1'!$C$2),0)</f>
        <v/>
      </c>
      <c r="C1218" t="str" vm="11343">
        <f>IFERROR(CUBEVALUE("BIDB",$A1218,C$3,C$2,'Præsentationstabeller 1'!$C$2),0)</f>
        <v/>
      </c>
      <c r="D1218" t="str" vm="16803">
        <f>IFERROR(CUBEVALUE("BIDB",$A1218,D$3,D$2,'Præsentationstabeller 1'!$C$2),0)</f>
        <v/>
      </c>
      <c r="E1218" t="str" vm="5106">
        <f>IFERROR(CUBEVALUE("BIDB",$A1218,E$3,E$2,'Præsentationstabeller 1'!$C$2),0)</f>
        <v/>
      </c>
      <c r="F1218" t="str" vm="14648">
        <f>IFERROR(CUBEVALUE("BIDB",$A1218,F$3,F$2,'Præsentationstabeller 1'!$C$2),0)</f>
        <v/>
      </c>
      <c r="G1218" t="str" vm="17091">
        <f>IFERROR(CUBEVALUE("BIDB",$A1218,G$3,G$2,'Præsentationstabeller 1'!$C$2),0)</f>
        <v/>
      </c>
      <c r="H1218" t="str" vm="16118">
        <f>IFERROR(CUBEVALUE("BIDB",$A1218,H$3,H$2,'Præsentationstabeller 1'!$C$2),0)</f>
        <v/>
      </c>
      <c r="I1218" t="str" vm="4134">
        <f>IFERROR(CUBEVALUE("BIDB",$A1218,I$3,I$2,'Præsentationstabeller 1'!$C$2),0)</f>
        <v/>
      </c>
      <c r="J1218" t="str" vm="15315">
        <f>IFERROR(CUBEVALUE("BIDB",$A1218,J$3,J$2,'Præsentationstabeller 1'!$C$2),0)</f>
        <v/>
      </c>
      <c r="K1218" t="str" vm="16366">
        <f>IFERROR(CUBEVALUE("BIDB",$A1218,K$3,K$2,'Præsentationstabeller 1'!$C$2),0)</f>
        <v/>
      </c>
      <c r="L1218" t="str" vm="13199">
        <f>IFERROR(CUBEVALUE("BIDB",$A1218,L$3,L$2,'Præsentationstabeller 1'!$C$2),0)</f>
        <v/>
      </c>
    </row>
    <row r="1219" spans="1:12" x14ac:dyDescent="0.3">
      <c r="A1219" s="123" t="str" vm="117">
        <f>CUBEMEMBER("BIDB","[Dimittenddato].[Dimittenddato].&amp;[2020-06-20T00:00:00]")</f>
        <v>20-06-2020</v>
      </c>
      <c r="B1219" t="str" vm="15390">
        <f>IFERROR(CUBEVALUE("BIDB",$A1219,B$3,'Præsentationstabeller 1'!$C$2),0)</f>
        <v/>
      </c>
      <c r="C1219" t="str" vm="13801">
        <f>IFERROR(CUBEVALUE("BIDB",$A1219,C$3,C$2,'Præsentationstabeller 1'!$C$2),0)</f>
        <v/>
      </c>
      <c r="D1219" t="str" vm="14714">
        <f>IFERROR(CUBEVALUE("BIDB",$A1219,D$3,D$2,'Præsentationstabeller 1'!$C$2),0)</f>
        <v/>
      </c>
      <c r="E1219" t="str" vm="4128">
        <f>IFERROR(CUBEVALUE("BIDB",$A1219,E$3,E$2,'Præsentationstabeller 1'!$C$2),0)</f>
        <v/>
      </c>
      <c r="F1219" t="str" vm="11499">
        <f>IFERROR(CUBEVALUE("BIDB",$A1219,F$3,F$2,'Præsentationstabeller 1'!$C$2),0)</f>
        <v/>
      </c>
      <c r="G1219" t="str" vm="14345">
        <f>IFERROR(CUBEVALUE("BIDB",$A1219,G$3,G$2,'Præsentationstabeller 1'!$C$2),0)</f>
        <v/>
      </c>
      <c r="H1219" t="str" vm="16460">
        <f>IFERROR(CUBEVALUE("BIDB",$A1219,H$3,H$2,'Præsentationstabeller 1'!$C$2),0)</f>
        <v/>
      </c>
      <c r="I1219" t="str" vm="4194">
        <f>IFERROR(CUBEVALUE("BIDB",$A1219,I$3,I$2,'Præsentationstabeller 1'!$C$2),0)</f>
        <v/>
      </c>
      <c r="J1219" t="str" vm="16867">
        <f>IFERROR(CUBEVALUE("BIDB",$A1219,J$3,J$2,'Præsentationstabeller 1'!$C$2),0)</f>
        <v/>
      </c>
      <c r="K1219" t="str" vm="14619">
        <f>IFERROR(CUBEVALUE("BIDB",$A1219,K$3,K$2,'Præsentationstabeller 1'!$C$2),0)</f>
        <v/>
      </c>
      <c r="L1219" t="str" vm="7968">
        <f>IFERROR(CUBEVALUE("BIDB",$A1219,L$3,L$2,'Præsentationstabeller 1'!$C$2),0)</f>
        <v/>
      </c>
    </row>
    <row r="1220" spans="1:12" x14ac:dyDescent="0.3">
      <c r="A1220" s="123" t="str" vm="116">
        <f>CUBEMEMBER("BIDB","[Dimittenddato].[Dimittenddato].&amp;[2020-06-21T00:00:00]")</f>
        <v>21-06-2020</v>
      </c>
      <c r="B1220" t="str" vm="14138">
        <f>IFERROR(CUBEVALUE("BIDB",$A1220,B$3,'Præsentationstabeller 1'!$C$2),0)</f>
        <v/>
      </c>
      <c r="C1220" t="str" vm="14341">
        <f>IFERROR(CUBEVALUE("BIDB",$A1220,C$3,C$2,'Præsentationstabeller 1'!$C$2),0)</f>
        <v/>
      </c>
      <c r="D1220" t="str" vm="16422">
        <f>IFERROR(CUBEVALUE("BIDB",$A1220,D$3,D$2,'Præsentationstabeller 1'!$C$2),0)</f>
        <v/>
      </c>
      <c r="E1220" t="str" vm="3973">
        <f>IFERROR(CUBEVALUE("BIDB",$A1220,E$3,E$2,'Præsentationstabeller 1'!$C$2),0)</f>
        <v/>
      </c>
      <c r="F1220" t="str" vm="12407">
        <f>IFERROR(CUBEVALUE("BIDB",$A1220,F$3,F$2,'Præsentationstabeller 1'!$C$2),0)</f>
        <v/>
      </c>
      <c r="G1220" t="str" vm="16899">
        <f>IFERROR(CUBEVALUE("BIDB",$A1220,G$3,G$2,'Præsentationstabeller 1'!$C$2),0)</f>
        <v/>
      </c>
      <c r="H1220" t="str" vm="11948">
        <f>IFERROR(CUBEVALUE("BIDB",$A1220,H$3,H$2,'Præsentationstabeller 1'!$C$2),0)</f>
        <v/>
      </c>
      <c r="I1220" t="str" vm="3317">
        <f>IFERROR(CUBEVALUE("BIDB",$A1220,I$3,I$2,'Præsentationstabeller 1'!$C$2),0)</f>
        <v/>
      </c>
      <c r="J1220" t="str" vm="14142">
        <f>IFERROR(CUBEVALUE("BIDB",$A1220,J$3,J$2,'Præsentationstabeller 1'!$C$2),0)</f>
        <v/>
      </c>
      <c r="K1220" t="str" vm="12140">
        <f>IFERROR(CUBEVALUE("BIDB",$A1220,K$3,K$2,'Præsentationstabeller 1'!$C$2),0)</f>
        <v/>
      </c>
      <c r="L1220" t="str" vm="14366">
        <f>IFERROR(CUBEVALUE("BIDB",$A1220,L$3,L$2,'Præsentationstabeller 1'!$C$2),0)</f>
        <v/>
      </c>
    </row>
    <row r="1221" spans="1:12" x14ac:dyDescent="0.3">
      <c r="A1221" s="123" t="str" vm="115">
        <f>CUBEMEMBER("BIDB","[Dimittenddato].[Dimittenddato].&amp;[2020-06-22T00:00:00]")</f>
        <v>22-06-2020</v>
      </c>
      <c r="B1221" t="str" vm="14996">
        <f>IFERROR(CUBEVALUE("BIDB",$A1221,B$3,'Præsentationstabeller 1'!$C$2),0)</f>
        <v/>
      </c>
      <c r="C1221" t="str" vm="9983">
        <f>IFERROR(CUBEVALUE("BIDB",$A1221,C$3,C$2,'Præsentationstabeller 1'!$C$2),0)</f>
        <v/>
      </c>
      <c r="D1221" t="str" vm="13694">
        <f>IFERROR(CUBEVALUE("BIDB",$A1221,D$3,D$2,'Præsentationstabeller 1'!$C$2),0)</f>
        <v/>
      </c>
      <c r="E1221" t="str" vm="6447">
        <f>IFERROR(CUBEVALUE("BIDB",$A1221,E$3,E$2,'Præsentationstabeller 1'!$C$2),0)</f>
        <v/>
      </c>
      <c r="F1221" t="str" vm="17033">
        <f>IFERROR(CUBEVALUE("BIDB",$A1221,F$3,F$2,'Præsentationstabeller 1'!$C$2),0)</f>
        <v/>
      </c>
      <c r="G1221" t="str" vm="16387">
        <f>IFERROR(CUBEVALUE("BIDB",$A1221,G$3,G$2,'Præsentationstabeller 1'!$C$2),0)</f>
        <v/>
      </c>
      <c r="H1221" t="str" vm="14725">
        <f>IFERROR(CUBEVALUE("BIDB",$A1221,H$3,H$2,'Præsentationstabeller 1'!$C$2),0)</f>
        <v/>
      </c>
      <c r="I1221" t="str" vm="4467">
        <f>IFERROR(CUBEVALUE("BIDB",$A1221,I$3,I$2,'Præsentationstabeller 1'!$C$2),0)</f>
        <v/>
      </c>
      <c r="J1221" t="str" vm="16836">
        <f>IFERROR(CUBEVALUE("BIDB",$A1221,J$3,J$2,'Præsentationstabeller 1'!$C$2),0)</f>
        <v/>
      </c>
      <c r="K1221" t="str" vm="16956">
        <f>IFERROR(CUBEVALUE("BIDB",$A1221,K$3,K$2,'Præsentationstabeller 1'!$C$2),0)</f>
        <v/>
      </c>
      <c r="L1221" t="str" vm="9365">
        <f>IFERROR(CUBEVALUE("BIDB",$A1221,L$3,L$2,'Præsentationstabeller 1'!$C$2),0)</f>
        <v/>
      </c>
    </row>
    <row r="1222" spans="1:12" x14ac:dyDescent="0.3">
      <c r="A1222" s="123" t="str" vm="114">
        <f>CUBEMEMBER("BIDB","[Dimittenddato].[Dimittenddato].&amp;[2020-06-23T00:00:00]")</f>
        <v>23-06-2020</v>
      </c>
      <c r="B1222" t="str" vm="13431">
        <f>IFERROR(CUBEVALUE("BIDB",$A1222,B$3,'Præsentationstabeller 1'!$C$2),0)</f>
        <v/>
      </c>
      <c r="C1222" t="str" vm="14982">
        <f>IFERROR(CUBEVALUE("BIDB",$A1222,C$3,C$2,'Præsentationstabeller 1'!$C$2),0)</f>
        <v/>
      </c>
      <c r="D1222" t="str" vm="16492">
        <f>IFERROR(CUBEVALUE("BIDB",$A1222,D$3,D$2,'Præsentationstabeller 1'!$C$2),0)</f>
        <v/>
      </c>
      <c r="E1222" t="str" vm="4825">
        <f>IFERROR(CUBEVALUE("BIDB",$A1222,E$3,E$2,'Præsentationstabeller 1'!$C$2),0)</f>
        <v/>
      </c>
      <c r="F1222" t="str" vm="16470">
        <f>IFERROR(CUBEVALUE("BIDB",$A1222,F$3,F$2,'Præsentationstabeller 1'!$C$2),0)</f>
        <v/>
      </c>
      <c r="G1222" t="str" vm="12934">
        <f>IFERROR(CUBEVALUE("BIDB",$A1222,G$3,G$2,'Præsentationstabeller 1'!$C$2),0)</f>
        <v/>
      </c>
      <c r="H1222" t="str" vm="13559">
        <f>IFERROR(CUBEVALUE("BIDB",$A1222,H$3,H$2,'Præsentationstabeller 1'!$C$2),0)</f>
        <v/>
      </c>
      <c r="I1222" t="str" vm="4676">
        <f>IFERROR(CUBEVALUE("BIDB",$A1222,I$3,I$2,'Præsentationstabeller 1'!$C$2),0)</f>
        <v/>
      </c>
      <c r="J1222" t="str" vm="16459">
        <f>IFERROR(CUBEVALUE("BIDB",$A1222,J$3,J$2,'Præsentationstabeller 1'!$C$2),0)</f>
        <v/>
      </c>
      <c r="K1222" t="str" vm="9886">
        <f>IFERROR(CUBEVALUE("BIDB",$A1222,K$3,K$2,'Præsentationstabeller 1'!$C$2),0)</f>
        <v/>
      </c>
      <c r="L1222" t="str" vm="12358">
        <f>IFERROR(CUBEVALUE("BIDB",$A1222,L$3,L$2,'Præsentationstabeller 1'!$C$2),0)</f>
        <v/>
      </c>
    </row>
    <row r="1223" spans="1:12" x14ac:dyDescent="0.3">
      <c r="A1223" s="123" t="str" vm="113">
        <f>CUBEMEMBER("BIDB","[Dimittenddato].[Dimittenddato].&amp;[2020-06-24T00:00:00]")</f>
        <v>24-06-2020</v>
      </c>
      <c r="B1223" t="str" vm="12577">
        <f>IFERROR(CUBEVALUE("BIDB",$A1223,B$3,'Præsentationstabeller 1'!$C$2),0)</f>
        <v/>
      </c>
      <c r="C1223" t="str" vm="13012">
        <f>IFERROR(CUBEVALUE("BIDB",$A1223,C$3,C$2,'Præsentationstabeller 1'!$C$2),0)</f>
        <v/>
      </c>
      <c r="D1223" t="str" vm="16817">
        <f>IFERROR(CUBEVALUE("BIDB",$A1223,D$3,D$2,'Præsentationstabeller 1'!$C$2),0)</f>
        <v/>
      </c>
      <c r="E1223" t="str" vm="6082">
        <f>IFERROR(CUBEVALUE("BIDB",$A1223,E$3,E$2,'Præsentationstabeller 1'!$C$2),0)</f>
        <v/>
      </c>
      <c r="F1223" t="str" vm="13840">
        <f>IFERROR(CUBEVALUE("BIDB",$A1223,F$3,F$2,'Præsentationstabeller 1'!$C$2),0)</f>
        <v/>
      </c>
      <c r="G1223" t="str" vm="16347">
        <f>IFERROR(CUBEVALUE("BIDB",$A1223,G$3,G$2,'Præsentationstabeller 1'!$C$2),0)</f>
        <v/>
      </c>
      <c r="H1223" t="str" vm="15184">
        <f>IFERROR(CUBEVALUE("BIDB",$A1223,H$3,H$2,'Præsentationstabeller 1'!$C$2),0)</f>
        <v/>
      </c>
      <c r="I1223" t="str" vm="3833">
        <f>IFERROR(CUBEVALUE("BIDB",$A1223,I$3,I$2,'Præsentationstabeller 1'!$C$2),0)</f>
        <v/>
      </c>
      <c r="J1223" t="str" vm="15174">
        <f>IFERROR(CUBEVALUE("BIDB",$A1223,J$3,J$2,'Præsentationstabeller 1'!$C$2),0)</f>
        <v/>
      </c>
      <c r="K1223" t="str" vm="12171">
        <f>IFERROR(CUBEVALUE("BIDB",$A1223,K$3,K$2,'Præsentationstabeller 1'!$C$2),0)</f>
        <v/>
      </c>
      <c r="L1223" t="str" vm="12014">
        <f>IFERROR(CUBEVALUE("BIDB",$A1223,L$3,L$2,'Præsentationstabeller 1'!$C$2),0)</f>
        <v/>
      </c>
    </row>
    <row r="1224" spans="1:12" x14ac:dyDescent="0.3">
      <c r="A1224" s="123" t="str" vm="112">
        <f>CUBEMEMBER("BIDB","[Dimittenddato].[Dimittenddato].&amp;[2020-06-25T00:00:00]")</f>
        <v>25-06-2020</v>
      </c>
      <c r="B1224" t="str" vm="15751">
        <f>IFERROR(CUBEVALUE("BIDB",$A1224,B$3,'Præsentationstabeller 1'!$C$2),0)</f>
        <v/>
      </c>
      <c r="C1224" t="str" vm="12010">
        <f>IFERROR(CUBEVALUE("BIDB",$A1224,C$3,C$2,'Præsentationstabeller 1'!$C$2),0)</f>
        <v/>
      </c>
      <c r="D1224" t="str" vm="14776">
        <f>IFERROR(CUBEVALUE("BIDB",$A1224,D$3,D$2,'Præsentationstabeller 1'!$C$2),0)</f>
        <v/>
      </c>
      <c r="E1224" t="str" vm="3514">
        <f>IFERROR(CUBEVALUE("BIDB",$A1224,E$3,E$2,'Præsentationstabeller 1'!$C$2),0)</f>
        <v/>
      </c>
      <c r="F1224" t="str" vm="14792">
        <f>IFERROR(CUBEVALUE("BIDB",$A1224,F$3,F$2,'Præsentationstabeller 1'!$C$2),0)</f>
        <v/>
      </c>
      <c r="G1224" t="str" vm="13205">
        <f>IFERROR(CUBEVALUE("BIDB",$A1224,G$3,G$2,'Præsentationstabeller 1'!$C$2),0)</f>
        <v/>
      </c>
      <c r="H1224" t="str" vm="11450">
        <f>IFERROR(CUBEVALUE("BIDB",$A1224,H$3,H$2,'Præsentationstabeller 1'!$C$2),0)</f>
        <v/>
      </c>
      <c r="I1224" t="str" vm="3691">
        <f>IFERROR(CUBEVALUE("BIDB",$A1224,I$3,I$2,'Præsentationstabeller 1'!$C$2),0)</f>
        <v/>
      </c>
      <c r="J1224" t="str" vm="13687">
        <f>IFERROR(CUBEVALUE("BIDB",$A1224,J$3,J$2,'Præsentationstabeller 1'!$C$2),0)</f>
        <v/>
      </c>
      <c r="K1224" t="str" vm="12040">
        <f>IFERROR(CUBEVALUE("BIDB",$A1224,K$3,K$2,'Præsentationstabeller 1'!$C$2),0)</f>
        <v/>
      </c>
      <c r="L1224" t="str" vm="16361">
        <f>IFERROR(CUBEVALUE("BIDB",$A1224,L$3,L$2,'Præsentationstabeller 1'!$C$2),0)</f>
        <v/>
      </c>
    </row>
    <row r="1225" spans="1:12" x14ac:dyDescent="0.3">
      <c r="A1225" s="123" t="str" vm="111">
        <f>CUBEMEMBER("BIDB","[Dimittenddato].[Dimittenddato].&amp;[2020-06-26T00:00:00]")</f>
        <v>26-06-2020</v>
      </c>
      <c r="B1225" t="str" vm="15937">
        <f>IFERROR(CUBEVALUE("BIDB",$A1225,B$3,'Præsentationstabeller 1'!$C$2),0)</f>
        <v/>
      </c>
      <c r="C1225" t="str" vm="11963">
        <f>IFERROR(CUBEVALUE("BIDB",$A1225,C$3,C$2,'Præsentationstabeller 1'!$C$2),0)</f>
        <v/>
      </c>
      <c r="D1225" t="str" vm="15000">
        <f>IFERROR(CUBEVALUE("BIDB",$A1225,D$3,D$2,'Præsentationstabeller 1'!$C$2),0)</f>
        <v/>
      </c>
      <c r="E1225" t="str" vm="3781">
        <f>IFERROR(CUBEVALUE("BIDB",$A1225,E$3,E$2,'Præsentationstabeller 1'!$C$2),0)</f>
        <v/>
      </c>
      <c r="F1225" t="str" vm="17151">
        <f>IFERROR(CUBEVALUE("BIDB",$A1225,F$3,F$2,'Præsentationstabeller 1'!$C$2),0)</f>
        <v/>
      </c>
      <c r="G1225" t="str" vm="15660">
        <f>IFERROR(CUBEVALUE("BIDB",$A1225,G$3,G$2,'Præsentationstabeller 1'!$C$2),0)</f>
        <v/>
      </c>
      <c r="H1225" t="str" vm="13046">
        <f>IFERROR(CUBEVALUE("BIDB",$A1225,H$3,H$2,'Præsentationstabeller 1'!$C$2),0)</f>
        <v/>
      </c>
      <c r="I1225" t="str" vm="3292">
        <f>IFERROR(CUBEVALUE("BIDB",$A1225,I$3,I$2,'Præsentationstabeller 1'!$C$2),0)</f>
        <v/>
      </c>
      <c r="J1225" t="str" vm="17134">
        <f>IFERROR(CUBEVALUE("BIDB",$A1225,J$3,J$2,'Præsentationstabeller 1'!$C$2),0)</f>
        <v/>
      </c>
      <c r="K1225" t="str" vm="12420">
        <f>IFERROR(CUBEVALUE("BIDB",$A1225,K$3,K$2,'Præsentationstabeller 1'!$C$2),0)</f>
        <v/>
      </c>
      <c r="L1225" t="str" vm="15272">
        <f>IFERROR(CUBEVALUE("BIDB",$A1225,L$3,L$2,'Præsentationstabeller 1'!$C$2),0)</f>
        <v/>
      </c>
    </row>
    <row r="1226" spans="1:12" x14ac:dyDescent="0.3">
      <c r="A1226" s="123" t="str" vm="110">
        <f>CUBEMEMBER("BIDB","[Dimittenddato].[Dimittenddato].&amp;[2020-06-27T00:00:00]")</f>
        <v>27-06-2020</v>
      </c>
      <c r="B1226" t="str" vm="13893">
        <f>IFERROR(CUBEVALUE("BIDB",$A1226,B$3,'Præsentationstabeller 1'!$C$2),0)</f>
        <v/>
      </c>
      <c r="C1226" t="str" vm="16097">
        <f>IFERROR(CUBEVALUE("BIDB",$A1226,C$3,C$2,'Præsentationstabeller 1'!$C$2),0)</f>
        <v/>
      </c>
      <c r="D1226" t="str" vm="10273">
        <f>IFERROR(CUBEVALUE("BIDB",$A1226,D$3,D$2,'Præsentationstabeller 1'!$C$2),0)</f>
        <v/>
      </c>
      <c r="E1226" t="str" vm="4254">
        <f>IFERROR(CUBEVALUE("BIDB",$A1226,E$3,E$2,'Præsentationstabeller 1'!$C$2),0)</f>
        <v/>
      </c>
      <c r="F1226" t="str" vm="16364">
        <f>IFERROR(CUBEVALUE("BIDB",$A1226,F$3,F$2,'Præsentationstabeller 1'!$C$2),0)</f>
        <v/>
      </c>
      <c r="G1226" t="str" vm="14392">
        <f>IFERROR(CUBEVALUE("BIDB",$A1226,G$3,G$2,'Præsentationstabeller 1'!$C$2),0)</f>
        <v/>
      </c>
      <c r="H1226" t="str" vm="11627">
        <f>IFERROR(CUBEVALUE("BIDB",$A1226,H$3,H$2,'Præsentationstabeller 1'!$C$2),0)</f>
        <v/>
      </c>
      <c r="I1226" t="str" vm="3244">
        <f>IFERROR(CUBEVALUE("BIDB",$A1226,I$3,I$2,'Præsentationstabeller 1'!$C$2),0)</f>
        <v/>
      </c>
      <c r="J1226" t="str" vm="16879">
        <f>IFERROR(CUBEVALUE("BIDB",$A1226,J$3,J$2,'Præsentationstabeller 1'!$C$2),0)</f>
        <v/>
      </c>
      <c r="K1226" t="str" vm="12618">
        <f>IFERROR(CUBEVALUE("BIDB",$A1226,K$3,K$2,'Præsentationstabeller 1'!$C$2),0)</f>
        <v/>
      </c>
      <c r="L1226" t="str" vm="14851">
        <f>IFERROR(CUBEVALUE("BIDB",$A1226,L$3,L$2,'Præsentationstabeller 1'!$C$2),0)</f>
        <v/>
      </c>
    </row>
    <row r="1227" spans="1:12" x14ac:dyDescent="0.3">
      <c r="A1227" s="123" t="str" vm="109">
        <f>CUBEMEMBER("BIDB","[Dimittenddato].[Dimittenddato].&amp;[2020-06-28T00:00:00]")</f>
        <v>28-06-2020</v>
      </c>
      <c r="B1227" t="str" vm="12003">
        <f>IFERROR(CUBEVALUE("BIDB",$A1227,B$3,'Præsentationstabeller 1'!$C$2),0)</f>
        <v/>
      </c>
      <c r="C1227" t="str" vm="12652">
        <f>IFERROR(CUBEVALUE("BIDB",$A1227,C$3,C$2,'Præsentationstabeller 1'!$C$2),0)</f>
        <v/>
      </c>
      <c r="D1227" t="str" vm="17052">
        <f>IFERROR(CUBEVALUE("BIDB",$A1227,D$3,D$2,'Præsentationstabeller 1'!$C$2),0)</f>
        <v/>
      </c>
      <c r="E1227" t="str" vm="3475">
        <f>IFERROR(CUBEVALUE("BIDB",$A1227,E$3,E$2,'Præsentationstabeller 1'!$C$2),0)</f>
        <v/>
      </c>
      <c r="F1227" t="str" vm="14275">
        <f>IFERROR(CUBEVALUE("BIDB",$A1227,F$3,F$2,'Præsentationstabeller 1'!$C$2),0)</f>
        <v/>
      </c>
      <c r="G1227" t="str" vm="17106">
        <f>IFERROR(CUBEVALUE("BIDB",$A1227,G$3,G$2,'Præsentationstabeller 1'!$C$2),0)</f>
        <v/>
      </c>
      <c r="H1227" t="str" vm="16794">
        <f>IFERROR(CUBEVALUE("BIDB",$A1227,H$3,H$2,'Præsentationstabeller 1'!$C$2),0)</f>
        <v/>
      </c>
      <c r="I1227" t="str" vm="6074">
        <f>IFERROR(CUBEVALUE("BIDB",$A1227,I$3,I$2,'Præsentationstabeller 1'!$C$2),0)</f>
        <v/>
      </c>
      <c r="J1227" t="str" vm="14486">
        <f>IFERROR(CUBEVALUE("BIDB",$A1227,J$3,J$2,'Præsentationstabeller 1'!$C$2),0)</f>
        <v/>
      </c>
      <c r="K1227" t="str" vm="9902">
        <f>IFERROR(CUBEVALUE("BIDB",$A1227,K$3,K$2,'Præsentationstabeller 1'!$C$2),0)</f>
        <v/>
      </c>
      <c r="L1227" t="str" vm="6337">
        <f>IFERROR(CUBEVALUE("BIDB",$A1227,L$3,L$2,'Præsentationstabeller 1'!$C$2),0)</f>
        <v/>
      </c>
    </row>
    <row r="1228" spans="1:12" x14ac:dyDescent="0.3">
      <c r="A1228" s="123" t="str" vm="108">
        <f>CUBEMEMBER("BIDB","[Dimittenddato].[Dimittenddato].&amp;[2020-06-29T00:00:00]")</f>
        <v>29-06-2020</v>
      </c>
      <c r="B1228" t="str" vm="16638">
        <f>IFERROR(CUBEVALUE("BIDB",$A1228,B$3,'Præsentationstabeller 1'!$C$2),0)</f>
        <v/>
      </c>
      <c r="C1228" t="str" vm="16181">
        <f>IFERROR(CUBEVALUE("BIDB",$A1228,C$3,C$2,'Præsentationstabeller 1'!$C$2),0)</f>
        <v/>
      </c>
      <c r="D1228" t="str" vm="12504">
        <f>IFERROR(CUBEVALUE("BIDB",$A1228,D$3,D$2,'Præsentationstabeller 1'!$C$2),0)</f>
        <v/>
      </c>
      <c r="E1228" t="str" vm="3865">
        <f>IFERROR(CUBEVALUE("BIDB",$A1228,E$3,E$2,'Præsentationstabeller 1'!$C$2),0)</f>
        <v/>
      </c>
      <c r="F1228" t="str" vm="14419">
        <f>IFERROR(CUBEVALUE("BIDB",$A1228,F$3,F$2,'Præsentationstabeller 1'!$C$2),0)</f>
        <v/>
      </c>
      <c r="G1228" t="str" vm="14131">
        <f>IFERROR(CUBEVALUE("BIDB",$A1228,G$3,G$2,'Præsentationstabeller 1'!$C$2),0)</f>
        <v/>
      </c>
      <c r="H1228" t="str" vm="10887">
        <f>IFERROR(CUBEVALUE("BIDB",$A1228,H$3,H$2,'Præsentationstabeller 1'!$C$2),0)</f>
        <v/>
      </c>
      <c r="I1228" t="str" vm="3933">
        <f>IFERROR(CUBEVALUE("BIDB",$A1228,I$3,I$2,'Præsentationstabeller 1'!$C$2),0)</f>
        <v/>
      </c>
      <c r="J1228" t="str" vm="4005">
        <f>IFERROR(CUBEVALUE("BIDB",$A1228,J$3,J$2,'Præsentationstabeller 1'!$C$2),0)</f>
        <v/>
      </c>
      <c r="K1228" t="str" vm="12579">
        <f>IFERROR(CUBEVALUE("BIDB",$A1228,K$3,K$2,'Præsentationstabeller 1'!$C$2),0)</f>
        <v/>
      </c>
      <c r="L1228" t="str" vm="9309">
        <f>IFERROR(CUBEVALUE("BIDB",$A1228,L$3,L$2,'Præsentationstabeller 1'!$C$2),0)</f>
        <v/>
      </c>
    </row>
    <row r="1229" spans="1:12" x14ac:dyDescent="0.3">
      <c r="A1229" s="123" t="str" vm="107">
        <f>CUBEMEMBER("BIDB","[Dimittenddato].[Dimittenddato].&amp;[2020-06-30T00:00:00]")</f>
        <v>30-06-2020</v>
      </c>
      <c r="B1229" t="str" vm="14670">
        <f>IFERROR(CUBEVALUE("BIDB",$A1229,B$3,'Præsentationstabeller 1'!$C$2),0)</f>
        <v/>
      </c>
      <c r="C1229" t="str" vm="10892">
        <f>IFERROR(CUBEVALUE("BIDB",$A1229,C$3,C$2,'Præsentationstabeller 1'!$C$2),0)</f>
        <v/>
      </c>
      <c r="D1229" vm="17115">
        <f>IFERROR(CUBEVALUE("BIDB",$A1229,D$3,D$2,'Præsentationstabeller 1'!$C$2),0)</f>
        <v>0</v>
      </c>
      <c r="E1229" t="str" vm="2810">
        <f>IFERROR(CUBEVALUE("BIDB",$A1229,E$3,E$2,'Præsentationstabeller 1'!$C$2),0)</f>
        <v/>
      </c>
      <c r="F1229" t="str" vm="11643">
        <f>IFERROR(CUBEVALUE("BIDB",$A1229,F$3,F$2,'Præsentationstabeller 1'!$C$2),0)</f>
        <v/>
      </c>
      <c r="G1229" t="str" vm="14853">
        <f>IFERROR(CUBEVALUE("BIDB",$A1229,G$3,G$2,'Præsentationstabeller 1'!$C$2),0)</f>
        <v/>
      </c>
      <c r="H1229" t="str" vm="16041">
        <f>IFERROR(CUBEVALUE("BIDB",$A1229,H$3,H$2,'Præsentationstabeller 1'!$C$2),0)</f>
        <v/>
      </c>
      <c r="I1229" t="str" vm="6541">
        <f>IFERROR(CUBEVALUE("BIDB",$A1229,I$3,I$2,'Præsentationstabeller 1'!$C$2),0)</f>
        <v/>
      </c>
      <c r="J1229" t="str" vm="16630">
        <f>IFERROR(CUBEVALUE("BIDB",$A1229,J$3,J$2,'Præsentationstabeller 1'!$C$2),0)</f>
        <v/>
      </c>
      <c r="K1229" t="str" vm="16173">
        <f>IFERROR(CUBEVALUE("BIDB",$A1229,K$3,K$2,'Præsentationstabeller 1'!$C$2),0)</f>
        <v/>
      </c>
      <c r="L1229" t="str" vm="7981">
        <f>IFERROR(CUBEVALUE("BIDB",$A1229,L$3,L$2,'Præsentationstabeller 1'!$C$2),0)</f>
        <v/>
      </c>
    </row>
    <row r="1230" spans="1:12" x14ac:dyDescent="0.3">
      <c r="A1230" s="123" t="str" vm="106">
        <f>CUBEMEMBER("BIDB","[Dimittenddato].[Dimittenddato].&amp;[2020-07-01T00:00:00]")</f>
        <v>01-07-2020</v>
      </c>
      <c r="B1230" t="str" vm="13734">
        <f>IFERROR(CUBEVALUE("BIDB",$A1230,B$3,'Præsentationstabeller 1'!$C$2),0)</f>
        <v/>
      </c>
      <c r="C1230" t="str" vm="14256">
        <f>IFERROR(CUBEVALUE("BIDB",$A1230,C$3,C$2,'Præsentationstabeller 1'!$C$2),0)</f>
        <v/>
      </c>
      <c r="D1230" t="str" vm="12046">
        <f>IFERROR(CUBEVALUE("BIDB",$A1230,D$3,D$2,'Præsentationstabeller 1'!$C$2),0)</f>
        <v/>
      </c>
      <c r="E1230" vm="5058">
        <f>IFERROR(CUBEVALUE("BIDB",$A1230,E$3,E$2,'Præsentationstabeller 1'!$C$2),0)</f>
        <v>0</v>
      </c>
      <c r="F1230" t="str" vm="13171">
        <f>IFERROR(CUBEVALUE("BIDB",$A1230,F$3,F$2,'Præsentationstabeller 1'!$C$2),0)</f>
        <v/>
      </c>
      <c r="G1230" vm="11491">
        <f>IFERROR(CUBEVALUE("BIDB",$A1230,G$3,G$2,'Præsentationstabeller 1'!$C$2),0)</f>
        <v>0</v>
      </c>
      <c r="H1230" t="str" vm="12426">
        <f>IFERROR(CUBEVALUE("BIDB",$A1230,H$3,H$2,'Præsentationstabeller 1'!$C$2),0)</f>
        <v/>
      </c>
      <c r="I1230" t="str" vm="5643">
        <f>IFERROR(CUBEVALUE("BIDB",$A1230,I$3,I$2,'Præsentationstabeller 1'!$C$2),0)</f>
        <v/>
      </c>
      <c r="J1230" t="str" vm="13580">
        <f>IFERROR(CUBEVALUE("BIDB",$A1230,J$3,J$2,'Præsentationstabeller 1'!$C$2),0)</f>
        <v/>
      </c>
      <c r="K1230" t="str" vm="13727">
        <f>IFERROR(CUBEVALUE("BIDB",$A1230,K$3,K$2,'Præsentationstabeller 1'!$C$2),0)</f>
        <v/>
      </c>
      <c r="L1230" t="str" vm="11549">
        <f>IFERROR(CUBEVALUE("BIDB",$A1230,L$3,L$2,'Præsentationstabeller 1'!$C$2),0)</f>
        <v/>
      </c>
    </row>
    <row r="1231" spans="1:12" x14ac:dyDescent="0.3">
      <c r="A1231" s="123" t="str" vm="105">
        <f>CUBEMEMBER("BIDB","[Dimittenddato].[Dimittenddato].&amp;[2020-07-02T00:00:00]")</f>
        <v>02-07-2020</v>
      </c>
      <c r="B1231" t="str" vm="14864">
        <f>IFERROR(CUBEVALUE("BIDB",$A1231,B$3,'Præsentationstabeller 1'!$C$2),0)</f>
        <v/>
      </c>
      <c r="C1231" t="str" vm="13064">
        <f>IFERROR(CUBEVALUE("BIDB",$A1231,C$3,C$2,'Præsentationstabeller 1'!$C$2),0)</f>
        <v/>
      </c>
      <c r="D1231" t="str" vm="14274">
        <f>IFERROR(CUBEVALUE("BIDB",$A1231,D$3,D$2,'Præsentationstabeller 1'!$C$2),0)</f>
        <v/>
      </c>
      <c r="E1231" t="str" vm="2965">
        <f>IFERROR(CUBEVALUE("BIDB",$A1231,E$3,E$2,'Præsentationstabeller 1'!$C$2),0)</f>
        <v/>
      </c>
      <c r="F1231" t="str" vm="11669">
        <f>IFERROR(CUBEVALUE("BIDB",$A1231,F$3,F$2,'Præsentationstabeller 1'!$C$2),0)</f>
        <v/>
      </c>
      <c r="G1231" t="str" vm="14964">
        <f>IFERROR(CUBEVALUE("BIDB",$A1231,G$3,G$2,'Præsentationstabeller 1'!$C$2),0)</f>
        <v/>
      </c>
      <c r="H1231" t="str" vm="14749">
        <f>IFERROR(CUBEVALUE("BIDB",$A1231,H$3,H$2,'Præsentationstabeller 1'!$C$2),0)</f>
        <v/>
      </c>
      <c r="I1231" t="str" vm="6230">
        <f>IFERROR(CUBEVALUE("BIDB",$A1231,I$3,I$2,'Præsentationstabeller 1'!$C$2),0)</f>
        <v/>
      </c>
      <c r="J1231" t="str" vm="13280">
        <f>IFERROR(CUBEVALUE("BIDB",$A1231,J$3,J$2,'Præsentationstabeller 1'!$C$2),0)</f>
        <v/>
      </c>
      <c r="K1231" t="str" vm="9981">
        <f>IFERROR(CUBEVALUE("BIDB",$A1231,K$3,K$2,'Præsentationstabeller 1'!$C$2),0)</f>
        <v/>
      </c>
      <c r="L1231" t="str" vm="13159">
        <f>IFERROR(CUBEVALUE("BIDB",$A1231,L$3,L$2,'Præsentationstabeller 1'!$C$2),0)</f>
        <v/>
      </c>
    </row>
    <row r="1232" spans="1:12" x14ac:dyDescent="0.3">
      <c r="A1232" s="123" t="str" vm="104">
        <f>CUBEMEMBER("BIDB","[Dimittenddato].[Dimittenddato].&amp;[2020-07-03T00:00:00]")</f>
        <v>03-07-2020</v>
      </c>
      <c r="B1232" t="str" vm="15764">
        <f>IFERROR(CUBEVALUE("BIDB",$A1232,B$3,'Præsentationstabeller 1'!$C$2),0)</f>
        <v/>
      </c>
      <c r="C1232" t="str" vm="17014">
        <f>IFERROR(CUBEVALUE("BIDB",$A1232,C$3,C$2,'Præsentationstabeller 1'!$C$2),0)</f>
        <v/>
      </c>
      <c r="D1232" t="str" vm="16015">
        <f>IFERROR(CUBEVALUE("BIDB",$A1232,D$3,D$2,'Præsentationstabeller 1'!$C$2),0)</f>
        <v/>
      </c>
      <c r="E1232" t="str" vm="3719">
        <f>IFERROR(CUBEVALUE("BIDB",$A1232,E$3,E$2,'Præsentationstabeller 1'!$C$2),0)</f>
        <v/>
      </c>
      <c r="F1232" t="str" vm="12413">
        <f>IFERROR(CUBEVALUE("BIDB",$A1232,F$3,F$2,'Præsentationstabeller 1'!$C$2),0)</f>
        <v/>
      </c>
      <c r="G1232" t="str" vm="16163">
        <f>IFERROR(CUBEVALUE("BIDB",$A1232,G$3,G$2,'Præsentationstabeller 1'!$C$2),0)</f>
        <v/>
      </c>
      <c r="H1232" t="str" vm="11778">
        <f>IFERROR(CUBEVALUE("BIDB",$A1232,H$3,H$2,'Præsentationstabeller 1'!$C$2),0)</f>
        <v/>
      </c>
      <c r="I1232" t="str" vm="4694">
        <f>IFERROR(CUBEVALUE("BIDB",$A1232,I$3,I$2,'Præsentationstabeller 1'!$C$2),0)</f>
        <v/>
      </c>
      <c r="J1232" t="str" vm="14717">
        <f>IFERROR(CUBEVALUE("BIDB",$A1232,J$3,J$2,'Præsentationstabeller 1'!$C$2),0)</f>
        <v/>
      </c>
      <c r="K1232" t="str" vm="11873">
        <f>IFERROR(CUBEVALUE("BIDB",$A1232,K$3,K$2,'Præsentationstabeller 1'!$C$2),0)</f>
        <v/>
      </c>
      <c r="L1232" t="str" vm="10176">
        <f>IFERROR(CUBEVALUE("BIDB",$A1232,L$3,L$2,'Præsentationstabeller 1'!$C$2),0)</f>
        <v/>
      </c>
    </row>
    <row r="1233" spans="1:12" x14ac:dyDescent="0.3">
      <c r="A1233" s="123" t="str" vm="103">
        <f>CUBEMEMBER("BIDB","[Dimittenddato].[Dimittenddato].&amp;[2020-07-04T00:00:00]")</f>
        <v>04-07-2020</v>
      </c>
      <c r="B1233" t="str" vm="13571">
        <f>IFERROR(CUBEVALUE("BIDB",$A1233,B$3,'Præsentationstabeller 1'!$C$2),0)</f>
        <v/>
      </c>
      <c r="C1233" t="str" vm="15525">
        <f>IFERROR(CUBEVALUE("BIDB",$A1233,C$3,C$2,'Præsentationstabeller 1'!$C$2),0)</f>
        <v/>
      </c>
      <c r="D1233" t="str" vm="9476">
        <f>IFERROR(CUBEVALUE("BIDB",$A1233,D$3,D$2,'Præsentationstabeller 1'!$C$2),0)</f>
        <v/>
      </c>
      <c r="E1233" t="str" vm="3343">
        <f>IFERROR(CUBEVALUE("BIDB",$A1233,E$3,E$2,'Præsentationstabeller 1'!$C$2),0)</f>
        <v/>
      </c>
      <c r="F1233" t="str" vm="16339">
        <f>IFERROR(CUBEVALUE("BIDB",$A1233,F$3,F$2,'Præsentationstabeller 1'!$C$2),0)</f>
        <v/>
      </c>
      <c r="G1233" t="str" vm="13892">
        <f>IFERROR(CUBEVALUE("BIDB",$A1233,G$3,G$2,'Præsentationstabeller 1'!$C$2),0)</f>
        <v/>
      </c>
      <c r="H1233" t="str" vm="9727">
        <f>IFERROR(CUBEVALUE("BIDB",$A1233,H$3,H$2,'Præsentationstabeller 1'!$C$2),0)</f>
        <v/>
      </c>
      <c r="I1233" t="str" vm="8986">
        <f>IFERROR(CUBEVALUE("BIDB",$A1233,I$3,I$2,'Præsentationstabeller 1'!$C$2),0)</f>
        <v/>
      </c>
      <c r="J1233" t="str" vm="15338">
        <f>IFERROR(CUBEVALUE("BIDB",$A1233,J$3,J$2,'Præsentationstabeller 1'!$C$2),0)</f>
        <v/>
      </c>
      <c r="K1233" t="str" vm="12398">
        <f>IFERROR(CUBEVALUE("BIDB",$A1233,K$3,K$2,'Præsentationstabeller 1'!$C$2),0)</f>
        <v/>
      </c>
      <c r="L1233" t="str" vm="10120">
        <f>IFERROR(CUBEVALUE("BIDB",$A1233,L$3,L$2,'Præsentationstabeller 1'!$C$2),0)</f>
        <v/>
      </c>
    </row>
    <row r="1234" spans="1:12" x14ac:dyDescent="0.3">
      <c r="A1234" s="123" t="str" vm="102">
        <f>CUBEMEMBER("BIDB","[Dimittenddato].[Dimittenddato].&amp;[2020-07-05T00:00:00]")</f>
        <v>05-07-2020</v>
      </c>
      <c r="B1234" t="str" vm="14925">
        <f>IFERROR(CUBEVALUE("BIDB",$A1234,B$3,'Præsentationstabeller 1'!$C$2),0)</f>
        <v/>
      </c>
      <c r="C1234" t="str" vm="10908">
        <f>IFERROR(CUBEVALUE("BIDB",$A1234,C$3,C$2,'Præsentationstabeller 1'!$C$2),0)</f>
        <v/>
      </c>
      <c r="D1234" t="str" vm="16117">
        <f>IFERROR(CUBEVALUE("BIDB",$A1234,D$3,D$2,'Præsentationstabeller 1'!$C$2),0)</f>
        <v/>
      </c>
      <c r="E1234" t="str" vm="3574">
        <f>IFERROR(CUBEVALUE("BIDB",$A1234,E$3,E$2,'Præsentationstabeller 1'!$C$2),0)</f>
        <v/>
      </c>
      <c r="F1234" t="str" vm="15360">
        <f>IFERROR(CUBEVALUE("BIDB",$A1234,F$3,F$2,'Præsentationstabeller 1'!$C$2),0)</f>
        <v/>
      </c>
      <c r="G1234" t="str" vm="14924">
        <f>IFERROR(CUBEVALUE("BIDB",$A1234,G$3,G$2,'Præsentationstabeller 1'!$C$2),0)</f>
        <v/>
      </c>
      <c r="H1234" t="str" vm="17142">
        <f>IFERROR(CUBEVALUE("BIDB",$A1234,H$3,H$2,'Præsentationstabeller 1'!$C$2),0)</f>
        <v/>
      </c>
      <c r="I1234" t="str" vm="5873">
        <f>IFERROR(CUBEVALUE("BIDB",$A1234,I$3,I$2,'Præsentationstabeller 1'!$C$2),0)</f>
        <v/>
      </c>
      <c r="J1234" t="str" vm="13031">
        <f>IFERROR(CUBEVALUE("BIDB",$A1234,J$3,J$2,'Præsentationstabeller 1'!$C$2),0)</f>
        <v/>
      </c>
      <c r="K1234" t="str" vm="14850">
        <f>IFERROR(CUBEVALUE("BIDB",$A1234,K$3,K$2,'Præsentationstabeller 1'!$C$2),0)</f>
        <v/>
      </c>
      <c r="L1234" t="str" vm="16056">
        <f>IFERROR(CUBEVALUE("BIDB",$A1234,L$3,L$2,'Præsentationstabeller 1'!$C$2),0)</f>
        <v/>
      </c>
    </row>
    <row r="1235" spans="1:12" x14ac:dyDescent="0.3">
      <c r="A1235" s="123" t="str" vm="101">
        <f>CUBEMEMBER("BIDB","[Dimittenddato].[Dimittenddato].&amp;[2020-07-06T00:00:00]")</f>
        <v>06-07-2020</v>
      </c>
      <c r="B1235" t="str" vm="14967">
        <f>IFERROR(CUBEVALUE("BIDB",$A1235,B$3,'Præsentationstabeller 1'!$C$2),0)</f>
        <v/>
      </c>
      <c r="C1235" t="str" vm="16023">
        <f>IFERROR(CUBEVALUE("BIDB",$A1235,C$3,C$2,'Præsentationstabeller 1'!$C$2),0)</f>
        <v/>
      </c>
      <c r="D1235" t="str" vm="15363">
        <f>IFERROR(CUBEVALUE("BIDB",$A1235,D$3,D$2,'Præsentationstabeller 1'!$C$2),0)</f>
        <v/>
      </c>
      <c r="E1235" t="str" vm="3202">
        <f>IFERROR(CUBEVALUE("BIDB",$A1235,E$3,E$2,'Præsentationstabeller 1'!$C$2),0)</f>
        <v/>
      </c>
      <c r="F1235" t="str" vm="11554">
        <f>IFERROR(CUBEVALUE("BIDB",$A1235,F$3,F$2,'Præsentationstabeller 1'!$C$2),0)</f>
        <v/>
      </c>
      <c r="G1235" t="str" vm="15722">
        <f>IFERROR(CUBEVALUE("BIDB",$A1235,G$3,G$2,'Præsentationstabeller 1'!$C$2),0)</f>
        <v/>
      </c>
      <c r="H1235" t="str" vm="14836">
        <f>IFERROR(CUBEVALUE("BIDB",$A1235,H$3,H$2,'Præsentationstabeller 1'!$C$2),0)</f>
        <v/>
      </c>
      <c r="I1235" t="str" vm="3507">
        <f>IFERROR(CUBEVALUE("BIDB",$A1235,I$3,I$2,'Præsentationstabeller 1'!$C$2),0)</f>
        <v/>
      </c>
      <c r="J1235" t="str" vm="14358">
        <f>IFERROR(CUBEVALUE("BIDB",$A1235,J$3,J$2,'Præsentationstabeller 1'!$C$2),0)</f>
        <v/>
      </c>
      <c r="K1235" t="str" vm="12802">
        <f>IFERROR(CUBEVALUE("BIDB",$A1235,K$3,K$2,'Præsentationstabeller 1'!$C$2),0)</f>
        <v/>
      </c>
      <c r="L1235" t="str" vm="14290">
        <f>IFERROR(CUBEVALUE("BIDB",$A1235,L$3,L$2,'Præsentationstabeller 1'!$C$2),0)</f>
        <v/>
      </c>
    </row>
    <row r="1236" spans="1:12" x14ac:dyDescent="0.3">
      <c r="A1236" s="123" t="str" vm="100">
        <f>CUBEMEMBER("BIDB","[Dimittenddato].[Dimittenddato].&amp;[2020-07-07T00:00:00]")</f>
        <v>07-07-2020</v>
      </c>
      <c r="B1236" t="str" vm="16137">
        <f>IFERROR(CUBEVALUE("BIDB",$A1236,B$3,'Præsentationstabeller 1'!$C$2),0)</f>
        <v/>
      </c>
      <c r="C1236" t="str" vm="16358">
        <f>IFERROR(CUBEVALUE("BIDB",$A1236,C$3,C$2,'Præsentationstabeller 1'!$C$2),0)</f>
        <v/>
      </c>
      <c r="D1236" t="str" vm="13368">
        <f>IFERROR(CUBEVALUE("BIDB",$A1236,D$3,D$2,'Præsentationstabeller 1'!$C$2),0)</f>
        <v/>
      </c>
      <c r="E1236" t="str" vm="4747">
        <f>IFERROR(CUBEVALUE("BIDB",$A1236,E$3,E$2,'Præsentationstabeller 1'!$C$2),0)</f>
        <v/>
      </c>
      <c r="F1236" t="str" vm="11610">
        <f>IFERROR(CUBEVALUE("BIDB",$A1236,F$3,F$2,'Præsentationstabeller 1'!$C$2),0)</f>
        <v/>
      </c>
      <c r="G1236" t="str" vm="15099">
        <f>IFERROR(CUBEVALUE("BIDB",$A1236,G$3,G$2,'Præsentationstabeller 1'!$C$2),0)</f>
        <v/>
      </c>
      <c r="H1236" t="str" vm="15201">
        <f>IFERROR(CUBEVALUE("BIDB",$A1236,H$3,H$2,'Præsentationstabeller 1'!$C$2),0)</f>
        <v/>
      </c>
      <c r="I1236" t="str" vm="4103">
        <f>IFERROR(CUBEVALUE("BIDB",$A1236,I$3,I$2,'Præsentationstabeller 1'!$C$2),0)</f>
        <v/>
      </c>
      <c r="J1236" t="str" vm="14916">
        <f>IFERROR(CUBEVALUE("BIDB",$A1236,J$3,J$2,'Præsentationstabeller 1'!$C$2),0)</f>
        <v/>
      </c>
      <c r="K1236" t="str" vm="13918">
        <f>IFERROR(CUBEVALUE("BIDB",$A1236,K$3,K$2,'Præsentationstabeller 1'!$C$2),0)</f>
        <v/>
      </c>
      <c r="L1236" t="str" vm="11462">
        <f>IFERROR(CUBEVALUE("BIDB",$A1236,L$3,L$2,'Præsentationstabeller 1'!$C$2),0)</f>
        <v/>
      </c>
    </row>
    <row r="1237" spans="1:12" x14ac:dyDescent="0.3">
      <c r="A1237" s="123" t="str" vm="99">
        <f>CUBEMEMBER("BIDB","[Dimittenddato].[Dimittenddato].&amp;[2020-07-08T00:00:00]")</f>
        <v>08-07-2020</v>
      </c>
      <c r="B1237" t="str" vm="11648">
        <f>IFERROR(CUBEVALUE("BIDB",$A1237,B$3,'Præsentationstabeller 1'!$C$2),0)</f>
        <v/>
      </c>
      <c r="C1237" t="str" vm="11949">
        <f>IFERROR(CUBEVALUE("BIDB",$A1237,C$3,C$2,'Præsentationstabeller 1'!$C$2),0)</f>
        <v/>
      </c>
      <c r="D1237" t="str" vm="13262">
        <f>IFERROR(CUBEVALUE("BIDB",$A1237,D$3,D$2,'Præsentationstabeller 1'!$C$2),0)</f>
        <v/>
      </c>
      <c r="E1237" t="str" vm="3414">
        <f>IFERROR(CUBEVALUE("BIDB",$A1237,E$3,E$2,'Præsentationstabeller 1'!$C$2),0)</f>
        <v/>
      </c>
      <c r="F1237" t="str" vm="16597">
        <f>IFERROR(CUBEVALUE("BIDB",$A1237,F$3,F$2,'Præsentationstabeller 1'!$C$2),0)</f>
        <v/>
      </c>
      <c r="G1237" t="str" vm="13328">
        <f>IFERROR(CUBEVALUE("BIDB",$A1237,G$3,G$2,'Præsentationstabeller 1'!$C$2),0)</f>
        <v/>
      </c>
      <c r="H1237" t="str" vm="10427">
        <f>IFERROR(CUBEVALUE("BIDB",$A1237,H$3,H$2,'Præsentationstabeller 1'!$C$2),0)</f>
        <v/>
      </c>
      <c r="I1237" t="str" vm="5121">
        <f>IFERROR(CUBEVALUE("BIDB",$A1237,I$3,I$2,'Præsentationstabeller 1'!$C$2),0)</f>
        <v/>
      </c>
      <c r="J1237" t="str" vm="13649">
        <f>IFERROR(CUBEVALUE("BIDB",$A1237,J$3,J$2,'Præsentationstabeller 1'!$C$2),0)</f>
        <v/>
      </c>
      <c r="K1237" t="str" vm="16653">
        <f>IFERROR(CUBEVALUE("BIDB",$A1237,K$3,K$2,'Præsentationstabeller 1'!$C$2),0)</f>
        <v/>
      </c>
      <c r="L1237" t="str" vm="7242">
        <f>IFERROR(CUBEVALUE("BIDB",$A1237,L$3,L$2,'Præsentationstabeller 1'!$C$2),0)</f>
        <v/>
      </c>
    </row>
    <row r="1238" spans="1:12" x14ac:dyDescent="0.3">
      <c r="A1238" s="123" t="str" vm="98">
        <f>CUBEMEMBER("BIDB","[Dimittenddato].[Dimittenddato].&amp;[2020-07-09T00:00:00]")</f>
        <v>09-07-2020</v>
      </c>
      <c r="B1238" t="str" vm="17126">
        <f>IFERROR(CUBEVALUE("BIDB",$A1238,B$3,'Præsentationstabeller 1'!$C$2),0)</f>
        <v/>
      </c>
      <c r="C1238" t="str" vm="10131">
        <f>IFERROR(CUBEVALUE("BIDB",$A1238,C$3,C$2,'Præsentationstabeller 1'!$C$2),0)</f>
        <v/>
      </c>
      <c r="D1238" t="str" vm="17096">
        <f>IFERROR(CUBEVALUE("BIDB",$A1238,D$3,D$2,'Præsentationstabeller 1'!$C$2),0)</f>
        <v/>
      </c>
      <c r="E1238" t="str" vm="3751">
        <f>IFERROR(CUBEVALUE("BIDB",$A1238,E$3,E$2,'Præsentationstabeller 1'!$C$2),0)</f>
        <v/>
      </c>
      <c r="F1238" t="str" vm="16179">
        <f>IFERROR(CUBEVALUE("BIDB",$A1238,F$3,F$2,'Præsentationstabeller 1'!$C$2),0)</f>
        <v/>
      </c>
      <c r="G1238" t="str" vm="13140">
        <f>IFERROR(CUBEVALUE("BIDB",$A1238,G$3,G$2,'Præsentationstabeller 1'!$C$2),0)</f>
        <v/>
      </c>
      <c r="H1238" t="str" vm="14133">
        <f>IFERROR(CUBEVALUE("BIDB",$A1238,H$3,H$2,'Præsentationstabeller 1'!$C$2),0)</f>
        <v/>
      </c>
      <c r="I1238" t="str" vm="4284">
        <f>IFERROR(CUBEVALUE("BIDB",$A1238,I$3,I$2,'Præsentationstabeller 1'!$C$2),0)</f>
        <v/>
      </c>
      <c r="J1238" t="str" vm="16384">
        <f>IFERROR(CUBEVALUE("BIDB",$A1238,J$3,J$2,'Præsentationstabeller 1'!$C$2),0)</f>
        <v/>
      </c>
      <c r="K1238" t="str" vm="13320">
        <f>IFERROR(CUBEVALUE("BIDB",$A1238,K$3,K$2,'Præsentationstabeller 1'!$C$2),0)</f>
        <v/>
      </c>
      <c r="L1238" t="str" vm="12737">
        <f>IFERROR(CUBEVALUE("BIDB",$A1238,L$3,L$2,'Præsentationstabeller 1'!$C$2),0)</f>
        <v/>
      </c>
    </row>
    <row r="1239" spans="1:12" x14ac:dyDescent="0.3">
      <c r="A1239" s="123" t="str" vm="97">
        <f>CUBEMEMBER("BIDB","[Dimittenddato].[Dimittenddato].&amp;[2020-07-10T00:00:00]")</f>
        <v>10-07-2020</v>
      </c>
      <c r="B1239" t="str" vm="17093">
        <f>IFERROR(CUBEVALUE("BIDB",$A1239,B$3,'Præsentationstabeller 1'!$C$2),0)</f>
        <v/>
      </c>
      <c r="C1239" t="str" vm="11378">
        <f>IFERROR(CUBEVALUE("BIDB",$A1239,C$3,C$2,'Præsentationstabeller 1'!$C$2),0)</f>
        <v/>
      </c>
      <c r="D1239" t="str" vm="14674">
        <f>IFERROR(CUBEVALUE("BIDB",$A1239,D$3,D$2,'Præsentationstabeller 1'!$C$2),0)</f>
        <v/>
      </c>
      <c r="E1239" t="str" vm="3046">
        <f>IFERROR(CUBEVALUE("BIDB",$A1239,E$3,E$2,'Præsentationstabeller 1'!$C$2),0)</f>
        <v/>
      </c>
      <c r="F1239" t="str" vm="16165">
        <f>IFERROR(CUBEVALUE("BIDB",$A1239,F$3,F$2,'Præsentationstabeller 1'!$C$2),0)</f>
        <v/>
      </c>
      <c r="G1239" t="str" vm="16353">
        <f>IFERROR(CUBEVALUE("BIDB",$A1239,G$3,G$2,'Præsentationstabeller 1'!$C$2),0)</f>
        <v/>
      </c>
      <c r="H1239" t="str" vm="15754">
        <f>IFERROR(CUBEVALUE("BIDB",$A1239,H$3,H$2,'Præsentationstabeller 1'!$C$2),0)</f>
        <v/>
      </c>
      <c r="I1239" t="str" vm="3606">
        <f>IFERROR(CUBEVALUE("BIDB",$A1239,I$3,I$2,'Præsentationstabeller 1'!$C$2),0)</f>
        <v/>
      </c>
      <c r="J1239" t="str" vm="15480">
        <f>IFERROR(CUBEVALUE("BIDB",$A1239,J$3,J$2,'Præsentationstabeller 1'!$C$2),0)</f>
        <v/>
      </c>
      <c r="K1239" t="str" vm="11096">
        <f>IFERROR(CUBEVALUE("BIDB",$A1239,K$3,K$2,'Præsentationstabeller 1'!$C$2),0)</f>
        <v/>
      </c>
      <c r="L1239" t="str" vm="9881">
        <f>IFERROR(CUBEVALUE("BIDB",$A1239,L$3,L$2,'Præsentationstabeller 1'!$C$2),0)</f>
        <v/>
      </c>
    </row>
    <row r="1240" spans="1:12" x14ac:dyDescent="0.3">
      <c r="A1240" s="123" t="str" vm="96">
        <f>CUBEMEMBER("BIDB","[Dimittenddato].[Dimittenddato].&amp;[2020-07-11T00:00:00]")</f>
        <v>11-07-2020</v>
      </c>
      <c r="B1240" t="str" vm="16490">
        <f>IFERROR(CUBEVALUE("BIDB",$A1240,B$3,'Præsentationstabeller 1'!$C$2),0)</f>
        <v/>
      </c>
      <c r="C1240" t="str" vm="14651">
        <f>IFERROR(CUBEVALUE("BIDB",$A1240,C$3,C$2,'Præsentationstabeller 1'!$C$2),0)</f>
        <v/>
      </c>
      <c r="D1240" t="str" vm="13415">
        <f>IFERROR(CUBEVALUE("BIDB",$A1240,D$3,D$2,'Præsentationstabeller 1'!$C$2),0)</f>
        <v/>
      </c>
      <c r="E1240" t="str" vm="3849">
        <f>IFERROR(CUBEVALUE("BIDB",$A1240,E$3,E$2,'Præsentationstabeller 1'!$C$2),0)</f>
        <v/>
      </c>
      <c r="F1240" t="str" vm="17104">
        <f>IFERROR(CUBEVALUE("BIDB",$A1240,F$3,F$2,'Præsentationstabeller 1'!$C$2),0)</f>
        <v/>
      </c>
      <c r="G1240" t="str" vm="15515">
        <f>IFERROR(CUBEVALUE("BIDB",$A1240,G$3,G$2,'Præsentationstabeller 1'!$C$2),0)</f>
        <v/>
      </c>
      <c r="H1240" t="str" vm="10090">
        <f>IFERROR(CUBEVALUE("BIDB",$A1240,H$3,H$2,'Præsentationstabeller 1'!$C$2),0)</f>
        <v/>
      </c>
      <c r="I1240" t="str" vm="4452">
        <f>IFERROR(CUBEVALUE("BIDB",$A1240,I$3,I$2,'Præsentationstabeller 1'!$C$2),0)</f>
        <v/>
      </c>
      <c r="J1240" t="str" vm="15161">
        <f>IFERROR(CUBEVALUE("BIDB",$A1240,J$3,J$2,'Præsentationstabeller 1'!$C$2),0)</f>
        <v/>
      </c>
      <c r="K1240" t="str" vm="11937">
        <f>IFERROR(CUBEVALUE("BIDB",$A1240,K$3,K$2,'Præsentationstabeller 1'!$C$2),0)</f>
        <v/>
      </c>
      <c r="L1240" t="str" vm="10492">
        <f>IFERROR(CUBEVALUE("BIDB",$A1240,L$3,L$2,'Præsentationstabeller 1'!$C$2),0)</f>
        <v/>
      </c>
    </row>
    <row r="1241" spans="1:12" x14ac:dyDescent="0.3">
      <c r="A1241" s="123" t="str" vm="95">
        <f>CUBEMEMBER("BIDB","[Dimittenddato].[Dimittenddato].&amp;[2020-07-12T00:00:00]")</f>
        <v>12-07-2020</v>
      </c>
      <c r="B1241" t="str" vm="16345">
        <f>IFERROR(CUBEVALUE("BIDB",$A1241,B$3,'Præsentationstabeller 1'!$C$2),0)</f>
        <v/>
      </c>
      <c r="C1241" t="str" vm="11783">
        <f>IFERROR(CUBEVALUE("BIDB",$A1241,C$3,C$2,'Præsentationstabeller 1'!$C$2),0)</f>
        <v/>
      </c>
      <c r="D1241" t="str" vm="14557">
        <f>IFERROR(CUBEVALUE("BIDB",$A1241,D$3,D$2,'Præsentationstabeller 1'!$C$2),0)</f>
        <v/>
      </c>
      <c r="E1241" t="str" vm="4697">
        <f>IFERROR(CUBEVALUE("BIDB",$A1241,E$3,E$2,'Præsentationstabeller 1'!$C$2),0)</f>
        <v/>
      </c>
      <c r="F1241" t="str" vm="16148">
        <f>IFERROR(CUBEVALUE("BIDB",$A1241,F$3,F$2,'Præsentationstabeller 1'!$C$2),0)</f>
        <v/>
      </c>
      <c r="G1241" t="str" vm="14237">
        <f>IFERROR(CUBEVALUE("BIDB",$A1241,G$3,G$2,'Præsentationstabeller 1'!$C$2),0)</f>
        <v/>
      </c>
      <c r="H1241" t="str" vm="10831">
        <f>IFERROR(CUBEVALUE("BIDB",$A1241,H$3,H$2,'Præsentationstabeller 1'!$C$2),0)</f>
        <v/>
      </c>
      <c r="I1241" t="str" vm="6445">
        <f>IFERROR(CUBEVALUE("BIDB",$A1241,I$3,I$2,'Præsentationstabeller 1'!$C$2),0)</f>
        <v/>
      </c>
      <c r="J1241" t="str" vm="14352">
        <f>IFERROR(CUBEVALUE("BIDB",$A1241,J$3,J$2,'Præsentationstabeller 1'!$C$2),0)</f>
        <v/>
      </c>
      <c r="K1241" t="str" vm="14381">
        <f>IFERROR(CUBEVALUE("BIDB",$A1241,K$3,K$2,'Præsentationstabeller 1'!$C$2),0)</f>
        <v/>
      </c>
      <c r="L1241" t="str" vm="10723">
        <f>IFERROR(CUBEVALUE("BIDB",$A1241,L$3,L$2,'Præsentationstabeller 1'!$C$2),0)</f>
        <v/>
      </c>
    </row>
    <row r="1242" spans="1:12" x14ac:dyDescent="0.3">
      <c r="A1242" s="123" t="str" vm="94">
        <f>CUBEMEMBER("BIDB","[Dimittenddato].[Dimittenddato].&amp;[2020-07-13T00:00:00]")</f>
        <v>13-07-2020</v>
      </c>
      <c r="B1242" t="str" vm="14152">
        <f>IFERROR(CUBEVALUE("BIDB",$A1242,B$3,'Præsentationstabeller 1'!$C$2),0)</f>
        <v/>
      </c>
      <c r="C1242" t="str" vm="12603">
        <f>IFERROR(CUBEVALUE("BIDB",$A1242,C$3,C$2,'Præsentationstabeller 1'!$C$2),0)</f>
        <v/>
      </c>
      <c r="D1242" t="str" vm="16308">
        <f>IFERROR(CUBEVALUE("BIDB",$A1242,D$3,D$2,'Præsentationstabeller 1'!$C$2),0)</f>
        <v/>
      </c>
      <c r="E1242" t="str" vm="3459">
        <f>IFERROR(CUBEVALUE("BIDB",$A1242,E$3,E$2,'Præsentationstabeller 1'!$C$2),0)</f>
        <v/>
      </c>
      <c r="F1242" t="str" vm="11913">
        <f>IFERROR(CUBEVALUE("BIDB",$A1242,F$3,F$2,'Præsentationstabeller 1'!$C$2),0)</f>
        <v/>
      </c>
      <c r="G1242" t="str" vm="13974">
        <f>IFERROR(CUBEVALUE("BIDB",$A1242,G$3,G$2,'Præsentationstabeller 1'!$C$2),0)</f>
        <v/>
      </c>
      <c r="H1242" t="str" vm="14880">
        <f>IFERROR(CUBEVALUE("BIDB",$A1242,H$3,H$2,'Præsentationstabeller 1'!$C$2),0)</f>
        <v/>
      </c>
      <c r="I1242" t="str" vm="5581">
        <f>IFERROR(CUBEVALUE("BIDB",$A1242,I$3,I$2,'Præsentationstabeller 1'!$C$2),0)</f>
        <v/>
      </c>
      <c r="J1242" t="str" vm="13144">
        <f>IFERROR(CUBEVALUE("BIDB",$A1242,J$3,J$2,'Præsentationstabeller 1'!$C$2),0)</f>
        <v/>
      </c>
      <c r="K1242" t="str" vm="16149">
        <f>IFERROR(CUBEVALUE("BIDB",$A1242,K$3,K$2,'Præsentationstabeller 1'!$C$2),0)</f>
        <v/>
      </c>
      <c r="L1242" t="str" vm="14004">
        <f>IFERROR(CUBEVALUE("BIDB",$A1242,L$3,L$2,'Præsentationstabeller 1'!$C$2),0)</f>
        <v/>
      </c>
    </row>
    <row r="1243" spans="1:12" x14ac:dyDescent="0.3">
      <c r="A1243" s="123" t="str" vm="93">
        <f>CUBEMEMBER("BIDB","[Dimittenddato].[Dimittenddato].&amp;[2020-07-14T00:00:00]")</f>
        <v>14-07-2020</v>
      </c>
      <c r="B1243" t="str" vm="13030">
        <f>IFERROR(CUBEVALUE("BIDB",$A1243,B$3,'Præsentationstabeller 1'!$C$2),0)</f>
        <v/>
      </c>
      <c r="C1243" t="str" vm="15308">
        <f>IFERROR(CUBEVALUE("BIDB",$A1243,C$3,C$2,'Præsentationstabeller 1'!$C$2),0)</f>
        <v/>
      </c>
      <c r="D1243" t="str" vm="15486">
        <f>IFERROR(CUBEVALUE("BIDB",$A1243,D$3,D$2,'Præsentationstabeller 1'!$C$2),0)</f>
        <v/>
      </c>
      <c r="E1243" t="str" vm="4687">
        <f>IFERROR(CUBEVALUE("BIDB",$A1243,E$3,E$2,'Præsentationstabeller 1'!$C$2),0)</f>
        <v/>
      </c>
      <c r="F1243" t="str" vm="12587">
        <f>IFERROR(CUBEVALUE("BIDB",$A1243,F$3,F$2,'Præsentationstabeller 1'!$C$2),0)</f>
        <v/>
      </c>
      <c r="G1243" t="str" vm="16092">
        <f>IFERROR(CUBEVALUE("BIDB",$A1243,G$3,G$2,'Præsentationstabeller 1'!$C$2),0)</f>
        <v/>
      </c>
      <c r="H1243" t="str" vm="11871">
        <f>IFERROR(CUBEVALUE("BIDB",$A1243,H$3,H$2,'Præsentationstabeller 1'!$C$2),0)</f>
        <v/>
      </c>
      <c r="I1243" t="str" vm="4961">
        <f>IFERROR(CUBEVALUE("BIDB",$A1243,I$3,I$2,'Præsentationstabeller 1'!$C$2),0)</f>
        <v/>
      </c>
      <c r="J1243" t="str" vm="13628">
        <f>IFERROR(CUBEVALUE("BIDB",$A1243,J$3,J$2,'Præsentationstabeller 1'!$C$2),0)</f>
        <v/>
      </c>
      <c r="K1243" t="str" vm="16804">
        <f>IFERROR(CUBEVALUE("BIDB",$A1243,K$3,K$2,'Præsentationstabeller 1'!$C$2),0)</f>
        <v/>
      </c>
      <c r="L1243" t="str" vm="17094">
        <f>IFERROR(CUBEVALUE("BIDB",$A1243,L$3,L$2,'Præsentationstabeller 1'!$C$2),0)</f>
        <v/>
      </c>
    </row>
    <row r="1244" spans="1:12" x14ac:dyDescent="0.3">
      <c r="A1244" s="123" t="str" vm="92">
        <f>CUBEMEMBER("BIDB","[Dimittenddato].[Dimittenddato].&amp;[2020-07-15T00:00:00]")</f>
        <v>15-07-2020</v>
      </c>
      <c r="B1244" t="str" vm="16016">
        <f>IFERROR(CUBEVALUE("BIDB",$A1244,B$3,'Præsentationstabeller 1'!$C$2),0)</f>
        <v/>
      </c>
      <c r="C1244" t="str" vm="14645">
        <f>IFERROR(CUBEVALUE("BIDB",$A1244,C$3,C$2,'Præsentationstabeller 1'!$C$2),0)</f>
        <v/>
      </c>
      <c r="D1244" t="str" vm="13768">
        <f>IFERROR(CUBEVALUE("BIDB",$A1244,D$3,D$2,'Præsentationstabeller 1'!$C$2),0)</f>
        <v/>
      </c>
      <c r="E1244" t="str" vm="4201">
        <f>IFERROR(CUBEVALUE("BIDB",$A1244,E$3,E$2,'Præsentationstabeller 1'!$C$2),0)</f>
        <v/>
      </c>
      <c r="F1244" t="str" vm="12670">
        <f>IFERROR(CUBEVALUE("BIDB",$A1244,F$3,F$2,'Præsentationstabeller 1'!$C$2),0)</f>
        <v/>
      </c>
      <c r="G1244" t="str" vm="11537">
        <f>IFERROR(CUBEVALUE("BIDB",$A1244,G$3,G$2,'Præsentationstabeller 1'!$C$2),0)</f>
        <v/>
      </c>
      <c r="H1244" t="str" vm="14379">
        <f>IFERROR(CUBEVALUE("BIDB",$A1244,H$3,H$2,'Præsentationstabeller 1'!$C$2),0)</f>
        <v/>
      </c>
      <c r="I1244" t="str" vm="7017">
        <f>IFERROR(CUBEVALUE("BIDB",$A1244,I$3,I$2,'Præsentationstabeller 1'!$C$2),0)</f>
        <v/>
      </c>
      <c r="J1244" t="str" vm="13905">
        <f>IFERROR(CUBEVALUE("BIDB",$A1244,J$3,J$2,'Præsentationstabeller 1'!$C$2),0)</f>
        <v/>
      </c>
      <c r="K1244" t="str" vm="11112">
        <f>IFERROR(CUBEVALUE("BIDB",$A1244,K$3,K$2,'Præsentationstabeller 1'!$C$2),0)</f>
        <v/>
      </c>
      <c r="L1244" t="str" vm="13955">
        <f>IFERROR(CUBEVALUE("BIDB",$A1244,L$3,L$2,'Præsentationstabeller 1'!$C$2),0)</f>
        <v/>
      </c>
    </row>
    <row r="1245" spans="1:12" x14ac:dyDescent="0.3">
      <c r="A1245" s="123" t="str" vm="91">
        <f>CUBEMEMBER("BIDB","[Dimittenddato].[Dimittenddato].&amp;[2020-07-16T00:00:00]")</f>
        <v>16-07-2020</v>
      </c>
      <c r="B1245" t="str" vm="15485">
        <f>IFERROR(CUBEVALUE("BIDB",$A1245,B$3,'Præsentationstabeller 1'!$C$2),0)</f>
        <v/>
      </c>
      <c r="C1245" t="str" vm="10095">
        <f>IFERROR(CUBEVALUE("BIDB",$A1245,C$3,C$2,'Præsentationstabeller 1'!$C$2),0)</f>
        <v/>
      </c>
      <c r="D1245" t="str" vm="16936">
        <f>IFERROR(CUBEVALUE("BIDB",$A1245,D$3,D$2,'Præsentationstabeller 1'!$C$2),0)</f>
        <v/>
      </c>
      <c r="E1245" t="str" vm="5179">
        <f>IFERROR(CUBEVALUE("BIDB",$A1245,E$3,E$2,'Præsentationstabeller 1'!$C$2),0)</f>
        <v/>
      </c>
      <c r="F1245" t="str" vm="14148">
        <f>IFERROR(CUBEVALUE("BIDB",$A1245,F$3,F$2,'Præsentationstabeller 1'!$C$2),0)</f>
        <v/>
      </c>
      <c r="G1245" t="str" vm="16847">
        <f>IFERROR(CUBEVALUE("BIDB",$A1245,G$3,G$2,'Præsentationstabeller 1'!$C$2),0)</f>
        <v/>
      </c>
      <c r="H1245" t="str" vm="14221">
        <f>IFERROR(CUBEVALUE("BIDB",$A1245,H$3,H$2,'Præsentationstabeller 1'!$C$2),0)</f>
        <v/>
      </c>
      <c r="I1245" t="str" vm="9949">
        <f>IFERROR(CUBEVALUE("BIDB",$A1245,I$3,I$2,'Præsentationstabeller 1'!$C$2),0)</f>
        <v/>
      </c>
      <c r="J1245" t="str" vm="16837">
        <f>IFERROR(CUBEVALUE("BIDB",$A1245,J$3,J$2,'Præsentationstabeller 1'!$C$2),0)</f>
        <v/>
      </c>
      <c r="K1245" t="str" vm="12623">
        <f>IFERROR(CUBEVALUE("BIDB",$A1245,K$3,K$2,'Præsentationstabeller 1'!$C$2),0)</f>
        <v/>
      </c>
      <c r="L1245" t="str" vm="8914">
        <f>IFERROR(CUBEVALUE("BIDB",$A1245,L$3,L$2,'Præsentationstabeller 1'!$C$2),0)</f>
        <v/>
      </c>
    </row>
    <row r="1246" spans="1:12" x14ac:dyDescent="0.3">
      <c r="A1246" s="123" t="str" vm="90">
        <f>CUBEMEMBER("BIDB","[Dimittenddato].[Dimittenddato].&amp;[2020-07-17T00:00:00]")</f>
        <v>17-07-2020</v>
      </c>
      <c r="B1246" t="str" vm="13637">
        <f>IFERROR(CUBEVALUE("BIDB",$A1246,B$3,'Præsentationstabeller 1'!$C$2),0)</f>
        <v/>
      </c>
      <c r="C1246" t="str" vm="14110">
        <f>IFERROR(CUBEVALUE("BIDB",$A1246,C$3,C$2,'Præsentationstabeller 1'!$C$2),0)</f>
        <v/>
      </c>
      <c r="D1246" t="str" vm="12404">
        <f>IFERROR(CUBEVALUE("BIDB",$A1246,D$3,D$2,'Præsentationstabeller 1'!$C$2),0)</f>
        <v/>
      </c>
      <c r="E1246" t="str" vm="7009">
        <f>IFERROR(CUBEVALUE("BIDB",$A1246,E$3,E$2,'Præsentationstabeller 1'!$C$2),0)</f>
        <v/>
      </c>
      <c r="F1246" t="str" vm="15743">
        <f>IFERROR(CUBEVALUE("BIDB",$A1246,F$3,F$2,'Præsentationstabeller 1'!$C$2),0)</f>
        <v/>
      </c>
      <c r="G1246" t="str" vm="13720">
        <f>IFERROR(CUBEVALUE("BIDB",$A1246,G$3,G$2,'Præsentationstabeller 1'!$C$2),0)</f>
        <v/>
      </c>
      <c r="H1246" t="str" vm="16959">
        <f>IFERROR(CUBEVALUE("BIDB",$A1246,H$3,H$2,'Præsentationstabeller 1'!$C$2),0)</f>
        <v/>
      </c>
      <c r="I1246" t="str" vm="12250">
        <f>IFERROR(CUBEVALUE("BIDB",$A1246,I$3,I$2,'Præsentationstabeller 1'!$C$2),0)</f>
        <v/>
      </c>
      <c r="J1246" t="str" vm="15493">
        <f>IFERROR(CUBEVALUE("BIDB",$A1246,J$3,J$2,'Præsentationstabeller 1'!$C$2),0)</f>
        <v/>
      </c>
      <c r="K1246" t="str" vm="16950">
        <f>IFERROR(CUBEVALUE("BIDB",$A1246,K$3,K$2,'Præsentationstabeller 1'!$C$2),0)</f>
        <v/>
      </c>
      <c r="L1246" t="str" vm="12582">
        <f>IFERROR(CUBEVALUE("BIDB",$A1246,L$3,L$2,'Præsentationstabeller 1'!$C$2),0)</f>
        <v/>
      </c>
    </row>
    <row r="1247" spans="1:12" x14ac:dyDescent="0.3">
      <c r="A1247" s="123" t="str" vm="89">
        <f>CUBEMEMBER("BIDB","[Dimittenddato].[Dimittenddato].&amp;[2020-07-18T00:00:00]")</f>
        <v>18-07-2020</v>
      </c>
      <c r="B1247" t="str" vm="15900">
        <f>IFERROR(CUBEVALUE("BIDB",$A1247,B$3,'Præsentationstabeller 1'!$C$2),0)</f>
        <v/>
      </c>
      <c r="C1247" t="str" vm="13872">
        <f>IFERROR(CUBEVALUE("BIDB",$A1247,C$3,C$2,'Præsentationstabeller 1'!$C$2),0)</f>
        <v/>
      </c>
      <c r="D1247" t="str" vm="16972">
        <f>IFERROR(CUBEVALUE("BIDB",$A1247,D$3,D$2,'Præsentationstabeller 1'!$C$2),0)</f>
        <v/>
      </c>
      <c r="E1247" t="str" vm="3399">
        <f>IFERROR(CUBEVALUE("BIDB",$A1247,E$3,E$2,'Præsentationstabeller 1'!$C$2),0)</f>
        <v/>
      </c>
      <c r="F1247" t="str" vm="15714">
        <f>IFERROR(CUBEVALUE("BIDB",$A1247,F$3,F$2,'Præsentationstabeller 1'!$C$2),0)</f>
        <v/>
      </c>
      <c r="G1247" t="str" vm="15671">
        <f>IFERROR(CUBEVALUE("BIDB",$A1247,G$3,G$2,'Præsentationstabeller 1'!$C$2),0)</f>
        <v/>
      </c>
      <c r="H1247" t="str" vm="15289">
        <f>IFERROR(CUBEVALUE("BIDB",$A1247,H$3,H$2,'Præsentationstabeller 1'!$C$2),0)</f>
        <v/>
      </c>
      <c r="I1247" t="str" vm="7403">
        <f>IFERROR(CUBEVALUE("BIDB",$A1247,I$3,I$2,'Præsentationstabeller 1'!$C$2),0)</f>
        <v/>
      </c>
      <c r="J1247" t="str" vm="15012">
        <f>IFERROR(CUBEVALUE("BIDB",$A1247,J$3,J$2,'Præsentationstabeller 1'!$C$2),0)</f>
        <v/>
      </c>
      <c r="K1247" t="str" vm="9219">
        <f>IFERROR(CUBEVALUE("BIDB",$A1247,K$3,K$2,'Præsentationstabeller 1'!$C$2),0)</f>
        <v/>
      </c>
      <c r="L1247" t="str" vm="12035">
        <f>IFERROR(CUBEVALUE("BIDB",$A1247,L$3,L$2,'Præsentationstabeller 1'!$C$2),0)</f>
        <v/>
      </c>
    </row>
    <row r="1248" spans="1:12" x14ac:dyDescent="0.3">
      <c r="A1248" s="123" t="str" vm="88">
        <f>CUBEMEMBER("BIDB","[Dimittenddato].[Dimittenddato].&amp;[2020-07-19T00:00:00]")</f>
        <v>19-07-2020</v>
      </c>
      <c r="B1248" t="str" vm="16104">
        <f>IFERROR(CUBEVALUE("BIDB",$A1248,B$3,'Præsentationstabeller 1'!$C$2),0)</f>
        <v/>
      </c>
      <c r="C1248" t="str" vm="15955">
        <f>IFERROR(CUBEVALUE("BIDB",$A1248,C$3,C$2,'Præsentationstabeller 1'!$C$2),0)</f>
        <v/>
      </c>
      <c r="D1248" t="str" vm="15571">
        <f>IFERROR(CUBEVALUE("BIDB",$A1248,D$3,D$2,'Præsentationstabeller 1'!$C$2),0)</f>
        <v/>
      </c>
      <c r="E1248" t="str" vm="4231">
        <f>IFERROR(CUBEVALUE("BIDB",$A1248,E$3,E$2,'Præsentationstabeller 1'!$C$2),0)</f>
        <v/>
      </c>
      <c r="F1248" t="str" vm="13370">
        <f>IFERROR(CUBEVALUE("BIDB",$A1248,F$3,F$2,'Præsentationstabeller 1'!$C$2),0)</f>
        <v/>
      </c>
      <c r="G1248" t="str" vm="14333">
        <f>IFERROR(CUBEVALUE("BIDB",$A1248,G$3,G$2,'Præsentationstabeller 1'!$C$2),0)</f>
        <v/>
      </c>
      <c r="H1248" t="str" vm="10919">
        <f>IFERROR(CUBEVALUE("BIDB",$A1248,H$3,H$2,'Præsentationstabeller 1'!$C$2),0)</f>
        <v/>
      </c>
      <c r="I1248" t="str" vm="5692">
        <f>IFERROR(CUBEVALUE("BIDB",$A1248,I$3,I$2,'Præsentationstabeller 1'!$C$2),0)</f>
        <v/>
      </c>
      <c r="J1248" t="str" vm="17070">
        <f>IFERROR(CUBEVALUE("BIDB",$A1248,J$3,J$2,'Præsentationstabeller 1'!$C$2),0)</f>
        <v/>
      </c>
      <c r="K1248" t="str" vm="16963">
        <f>IFERROR(CUBEVALUE("BIDB",$A1248,K$3,K$2,'Præsentationstabeller 1'!$C$2),0)</f>
        <v/>
      </c>
      <c r="L1248" t="str" vm="8409">
        <f>IFERROR(CUBEVALUE("BIDB",$A1248,L$3,L$2,'Præsentationstabeller 1'!$C$2),0)</f>
        <v/>
      </c>
    </row>
    <row r="1249" spans="1:12" x14ac:dyDescent="0.3">
      <c r="A1249" s="123" t="str" vm="87">
        <f>CUBEMEMBER("BIDB","[Dimittenddato].[Dimittenddato].&amp;[2020-07-20T00:00:00]")</f>
        <v>20-07-2020</v>
      </c>
      <c r="B1249" t="str" vm="11544">
        <f>IFERROR(CUBEVALUE("BIDB",$A1249,B$3,'Præsentationstabeller 1'!$C$2),0)</f>
        <v/>
      </c>
      <c r="C1249" t="str" vm="9406">
        <f>IFERROR(CUBEVALUE("BIDB",$A1249,C$3,C$2,'Præsentationstabeller 1'!$C$2),0)</f>
        <v/>
      </c>
      <c r="D1249" t="str" vm="10385">
        <f>IFERROR(CUBEVALUE("BIDB",$A1249,D$3,D$2,'Præsentationstabeller 1'!$C$2),0)</f>
        <v/>
      </c>
      <c r="E1249" t="str" vm="4945">
        <f>IFERROR(CUBEVALUE("BIDB",$A1249,E$3,E$2,'Præsentationstabeller 1'!$C$2),0)</f>
        <v/>
      </c>
      <c r="F1249" t="str" vm="11488">
        <f>IFERROR(CUBEVALUE("BIDB",$A1249,F$3,F$2,'Præsentationstabeller 1'!$C$2),0)</f>
        <v/>
      </c>
      <c r="G1249" t="str" vm="14235">
        <f>IFERROR(CUBEVALUE("BIDB",$A1249,G$3,G$2,'Præsentationstabeller 1'!$C$2),0)</f>
        <v/>
      </c>
      <c r="H1249" t="str" vm="14058">
        <f>IFERROR(CUBEVALUE("BIDB",$A1249,H$3,H$2,'Præsentationstabeller 1'!$C$2),0)</f>
        <v/>
      </c>
      <c r="I1249" t="str" vm="7035">
        <f>IFERROR(CUBEVALUE("BIDB",$A1249,I$3,I$2,'Præsentationstabeller 1'!$C$2),0)</f>
        <v/>
      </c>
      <c r="J1249" t="str" vm="7896">
        <f>IFERROR(CUBEVALUE("BIDB",$A1249,J$3,J$2,'Præsentationstabeller 1'!$C$2),0)</f>
        <v/>
      </c>
      <c r="K1249" t="str" vm="5555">
        <f>IFERROR(CUBEVALUE("BIDB",$A1249,K$3,K$2,'Præsentationstabeller 1'!$C$2),0)</f>
        <v/>
      </c>
      <c r="L1249" t="str" vm="9260">
        <f>IFERROR(CUBEVALUE("BIDB",$A1249,L$3,L$2,'Præsentationstabeller 1'!$C$2),0)</f>
        <v/>
      </c>
    </row>
    <row r="1250" spans="1:12" x14ac:dyDescent="0.3">
      <c r="A1250" s="123" t="str" vm="86">
        <f>CUBEMEMBER("BIDB","[Dimittenddato].[Dimittenddato].&amp;[2020-07-21T00:00:00]")</f>
        <v>21-07-2020</v>
      </c>
      <c r="B1250" t="str" vm="12664">
        <f>IFERROR(CUBEVALUE("BIDB",$A1250,B$3,'Præsentationstabeller 1'!$C$2),0)</f>
        <v/>
      </c>
      <c r="C1250" t="str" vm="4484">
        <f>IFERROR(CUBEVALUE("BIDB",$A1250,C$3,C$2,'Præsentationstabeller 1'!$C$2),0)</f>
        <v/>
      </c>
      <c r="D1250" t="str" vm="16585">
        <f>IFERROR(CUBEVALUE("BIDB",$A1250,D$3,D$2,'Præsentationstabeller 1'!$C$2),0)</f>
        <v/>
      </c>
      <c r="E1250" t="str" vm="5985">
        <f>IFERROR(CUBEVALUE("BIDB",$A1250,E$3,E$2,'Præsentationstabeller 1'!$C$2),0)</f>
        <v/>
      </c>
      <c r="F1250" t="str" vm="16651">
        <f>IFERROR(CUBEVALUE("BIDB",$A1250,F$3,F$2,'Præsentationstabeller 1'!$C$2),0)</f>
        <v/>
      </c>
      <c r="G1250" t="str" vm="5945">
        <f>IFERROR(CUBEVALUE("BIDB",$A1250,G$3,G$2,'Præsentationstabeller 1'!$C$2),0)</f>
        <v/>
      </c>
      <c r="H1250" t="str" vm="12548">
        <f>IFERROR(CUBEVALUE("BIDB",$A1250,H$3,H$2,'Præsentationstabeller 1'!$C$2),0)</f>
        <v/>
      </c>
      <c r="I1250" t="str" vm="3735">
        <f>IFERROR(CUBEVALUE("BIDB",$A1250,I$3,I$2,'Præsentationstabeller 1'!$C$2),0)</f>
        <v/>
      </c>
      <c r="J1250" t="str" vm="16560">
        <f>IFERROR(CUBEVALUE("BIDB",$A1250,J$3,J$2,'Præsentationstabeller 1'!$C$2),0)</f>
        <v/>
      </c>
      <c r="K1250" t="str" vm="4993">
        <f>IFERROR(CUBEVALUE("BIDB",$A1250,K$3,K$2,'Præsentationstabeller 1'!$C$2),0)</f>
        <v/>
      </c>
      <c r="L1250" t="str" vm="10676">
        <f>IFERROR(CUBEVALUE("BIDB",$A1250,L$3,L$2,'Præsentationstabeller 1'!$C$2),0)</f>
        <v/>
      </c>
    </row>
    <row r="1251" spans="1:12" x14ac:dyDescent="0.3">
      <c r="A1251" s="123" t="str" vm="85">
        <f>CUBEMEMBER("BIDB","[Dimittenddato].[Dimittenddato].&amp;[2020-07-22T00:00:00]")</f>
        <v>22-07-2020</v>
      </c>
      <c r="B1251" t="str" vm="13392">
        <f>IFERROR(CUBEVALUE("BIDB",$A1251,B$3,'Præsentationstabeller 1'!$C$2),0)</f>
        <v/>
      </c>
      <c r="C1251" t="str" vm="5821">
        <f>IFERROR(CUBEVALUE("BIDB",$A1251,C$3,C$2,'Præsentationstabeller 1'!$C$2),0)</f>
        <v/>
      </c>
      <c r="D1251" t="str" vm="14336">
        <f>IFERROR(CUBEVALUE("BIDB",$A1251,D$3,D$2,'Præsentationstabeller 1'!$C$2),0)</f>
        <v/>
      </c>
      <c r="E1251" t="str" vm="4174">
        <f>IFERROR(CUBEVALUE("BIDB",$A1251,E$3,E$2,'Præsentationstabeller 1'!$C$2),0)</f>
        <v/>
      </c>
      <c r="F1251" t="str" vm="16068">
        <f>IFERROR(CUBEVALUE("BIDB",$A1251,F$3,F$2,'Præsentationstabeller 1'!$C$2),0)</f>
        <v/>
      </c>
      <c r="G1251" t="str" vm="5591">
        <f>IFERROR(CUBEVALUE("BIDB",$A1251,G$3,G$2,'Præsentationstabeller 1'!$C$2),0)</f>
        <v/>
      </c>
      <c r="H1251" t="str" vm="10106">
        <f>IFERROR(CUBEVALUE("BIDB",$A1251,H$3,H$2,'Præsentationstabeller 1'!$C$2),0)</f>
        <v/>
      </c>
      <c r="I1251" t="str" vm="3491">
        <f>IFERROR(CUBEVALUE("BIDB",$A1251,I$3,I$2,'Præsentationstabeller 1'!$C$2),0)</f>
        <v/>
      </c>
      <c r="J1251" t="str" vm="11637">
        <f>IFERROR(CUBEVALUE("BIDB",$A1251,J$3,J$2,'Præsentationstabeller 1'!$C$2),0)</f>
        <v/>
      </c>
      <c r="K1251" t="str" vm="4062">
        <f>IFERROR(CUBEVALUE("BIDB",$A1251,K$3,K$2,'Præsentationstabeller 1'!$C$2),0)</f>
        <v/>
      </c>
      <c r="L1251" t="str" vm="12733">
        <f>IFERROR(CUBEVALUE("BIDB",$A1251,L$3,L$2,'Præsentationstabeller 1'!$C$2),0)</f>
        <v/>
      </c>
    </row>
    <row r="1252" spans="1:12" x14ac:dyDescent="0.3">
      <c r="A1252" s="123" t="str" vm="84">
        <f>CUBEMEMBER("BIDB","[Dimittenddato].[Dimittenddato].&amp;[2020-07-23T00:00:00]")</f>
        <v>23-07-2020</v>
      </c>
      <c r="B1252" t="str" vm="14812">
        <f>IFERROR(CUBEVALUE("BIDB",$A1252,B$3,'Præsentationstabeller 1'!$C$2),0)</f>
        <v/>
      </c>
      <c r="C1252" t="str" vm="5113">
        <f>IFERROR(CUBEVALUE("BIDB",$A1252,C$3,C$2,'Præsentationstabeller 1'!$C$2),0)</f>
        <v/>
      </c>
      <c r="D1252" t="str" vm="12808">
        <f>IFERROR(CUBEVALUE("BIDB",$A1252,D$3,D$2,'Præsentationstabeller 1'!$C$2),0)</f>
        <v/>
      </c>
      <c r="E1252" t="str" vm="4142">
        <f>IFERROR(CUBEVALUE("BIDB",$A1252,E$3,E$2,'Præsentationstabeller 1'!$C$2),0)</f>
        <v/>
      </c>
      <c r="F1252" t="str" vm="14206">
        <f>IFERROR(CUBEVALUE("BIDB",$A1252,F$3,F$2,'Præsentationstabeller 1'!$C$2),0)</f>
        <v/>
      </c>
      <c r="G1252" t="str" vm="5357">
        <f>IFERROR(CUBEVALUE("BIDB",$A1252,G$3,G$2,'Præsentationstabeller 1'!$C$2),0)</f>
        <v/>
      </c>
      <c r="H1252" t="str" vm="15020">
        <f>IFERROR(CUBEVALUE("BIDB",$A1252,H$3,H$2,'Præsentationstabeller 1'!$C$2),0)</f>
        <v/>
      </c>
      <c r="I1252" t="str" vm="4729">
        <f>IFERROR(CUBEVALUE("BIDB",$A1252,I$3,I$2,'Præsentationstabeller 1'!$C$2),0)</f>
        <v/>
      </c>
      <c r="J1252" t="str" vm="16878">
        <f>IFERROR(CUBEVALUE("BIDB",$A1252,J$3,J$2,'Præsentationstabeller 1'!$C$2),0)</f>
        <v/>
      </c>
      <c r="K1252" t="str" vm="3989">
        <f>IFERROR(CUBEVALUE("BIDB",$A1252,K$3,K$2,'Præsentationstabeller 1'!$C$2),0)</f>
        <v/>
      </c>
      <c r="L1252" t="str" vm="9820">
        <f>IFERROR(CUBEVALUE("BIDB",$A1252,L$3,L$2,'Præsentationstabeller 1'!$C$2),0)</f>
        <v/>
      </c>
    </row>
    <row r="1253" spans="1:12" x14ac:dyDescent="0.3">
      <c r="A1253" s="123" t="str" vm="83">
        <f>CUBEMEMBER("BIDB","[Dimittenddato].[Dimittenddato].&amp;[2020-07-24T00:00:00]")</f>
        <v>24-07-2020</v>
      </c>
      <c r="B1253" t="str" vm="15325">
        <f>IFERROR(CUBEVALUE("BIDB",$A1253,B$3,'Præsentationstabeller 1'!$C$2),0)</f>
        <v/>
      </c>
      <c r="C1253" t="str" vm="3681">
        <f>IFERROR(CUBEVALUE("BIDB",$A1253,C$3,C$2,'Præsentationstabeller 1'!$C$2),0)</f>
        <v/>
      </c>
      <c r="D1253" t="str" vm="11399">
        <f>IFERROR(CUBEVALUE("BIDB",$A1253,D$3,D$2,'Præsentationstabeller 1'!$C$2),0)</f>
        <v/>
      </c>
      <c r="E1253" t="str" vm="5829">
        <f>IFERROR(CUBEVALUE("BIDB",$A1253,E$3,E$2,'Præsentationstabeller 1'!$C$2),0)</f>
        <v/>
      </c>
      <c r="F1253" t="str" vm="17100">
        <f>IFERROR(CUBEVALUE("BIDB",$A1253,F$3,F$2,'Præsentationstabeller 1'!$C$2),0)</f>
        <v/>
      </c>
      <c r="G1253" t="str" vm="8238">
        <f>IFERROR(CUBEVALUE("BIDB",$A1253,G$3,G$2,'Præsentationstabeller 1'!$C$2),0)</f>
        <v/>
      </c>
      <c r="H1253" t="str" vm="13917">
        <f>IFERROR(CUBEVALUE("BIDB",$A1253,H$3,H$2,'Præsentationstabeller 1'!$C$2),0)</f>
        <v/>
      </c>
      <c r="I1253" t="str" vm="4300">
        <f>IFERROR(CUBEVALUE("BIDB",$A1253,I$3,I$2,'Præsentationstabeller 1'!$C$2),0)</f>
        <v/>
      </c>
      <c r="J1253" t="str" vm="15597">
        <f>IFERROR(CUBEVALUE("BIDB",$A1253,J$3,J$2,'Præsentationstabeller 1'!$C$2),0)</f>
        <v/>
      </c>
      <c r="K1253" t="str" vm="8237">
        <f>IFERROR(CUBEVALUE("BIDB",$A1253,K$3,K$2,'Præsentationstabeller 1'!$C$2),0)</f>
        <v/>
      </c>
      <c r="L1253" t="str" vm="11682">
        <f>IFERROR(CUBEVALUE("BIDB",$A1253,L$3,L$2,'Præsentationstabeller 1'!$C$2),0)</f>
        <v/>
      </c>
    </row>
    <row r="1254" spans="1:12" x14ac:dyDescent="0.3">
      <c r="A1254" s="123" t="str" vm="82">
        <f>CUBEMEMBER("BIDB","[Dimittenddato].[Dimittenddato].&amp;[2020-07-25T00:00:00]")</f>
        <v>25-07-2020</v>
      </c>
      <c r="B1254" t="str" vm="17050">
        <f>IFERROR(CUBEVALUE("BIDB",$A1254,B$3,'Præsentationstabeller 1'!$C$2),0)</f>
        <v/>
      </c>
      <c r="C1254" t="str" vm="6528">
        <f>IFERROR(CUBEVALUE("BIDB",$A1254,C$3,C$2,'Præsentationstabeller 1'!$C$2),0)</f>
        <v/>
      </c>
      <c r="D1254" t="str" vm="12557">
        <f>IFERROR(CUBEVALUE("BIDB",$A1254,D$3,D$2,'Præsentationstabeller 1'!$C$2),0)</f>
        <v/>
      </c>
      <c r="E1254" t="str" vm="6621">
        <f>IFERROR(CUBEVALUE("BIDB",$A1254,E$3,E$2,'Præsentationstabeller 1'!$C$2),0)</f>
        <v/>
      </c>
      <c r="F1254" t="str" vm="12000">
        <f>IFERROR(CUBEVALUE("BIDB",$A1254,F$3,F$2,'Præsentationstabeller 1'!$C$2),0)</f>
        <v/>
      </c>
      <c r="G1254" t="str" vm="2686">
        <f>IFERROR(CUBEVALUE("BIDB",$A1254,G$3,G$2,'Præsentationstabeller 1'!$C$2),0)</f>
        <v/>
      </c>
      <c r="H1254" t="str" vm="11620">
        <f>IFERROR(CUBEVALUE("BIDB",$A1254,H$3,H$2,'Præsentationstabeller 1'!$C$2),0)</f>
        <v/>
      </c>
      <c r="I1254" t="str" vm="4216">
        <f>IFERROR(CUBEVALUE("BIDB",$A1254,I$3,I$2,'Præsentationstabeller 1'!$C$2),0)</f>
        <v/>
      </c>
      <c r="J1254" t="str" vm="15365">
        <f>IFERROR(CUBEVALUE("BIDB",$A1254,J$3,J$2,'Præsentationstabeller 1'!$C$2),0)</f>
        <v/>
      </c>
      <c r="K1254" t="str" vm="16588">
        <f>IFERROR(CUBEVALUE("BIDB",$A1254,K$3,K$2,'Præsentationstabeller 1'!$C$2),0)</f>
        <v/>
      </c>
      <c r="L1254" t="str" vm="9256">
        <f>IFERROR(CUBEVALUE("BIDB",$A1254,L$3,L$2,'Præsentationstabeller 1'!$C$2),0)</f>
        <v/>
      </c>
    </row>
    <row r="1255" spans="1:12" x14ac:dyDescent="0.3">
      <c r="A1255" s="123" t="str" vm="81">
        <f>CUBEMEMBER("BIDB","[Dimittenddato].[Dimittenddato].&amp;[2020-07-26T00:00:00]")</f>
        <v>26-07-2020</v>
      </c>
      <c r="B1255" t="str" vm="13022">
        <f>IFERROR(CUBEVALUE("BIDB",$A1255,B$3,'Præsentationstabeller 1'!$C$2),0)</f>
        <v/>
      </c>
      <c r="C1255" t="str" vm="3581">
        <f>IFERROR(CUBEVALUE("BIDB",$A1255,C$3,C$2,'Præsentationstabeller 1'!$C$2),0)</f>
        <v/>
      </c>
      <c r="D1255" t="str" vm="9532">
        <f>IFERROR(CUBEVALUE("BIDB",$A1255,D$3,D$2,'Præsentationstabeller 1'!$C$2),0)</f>
        <v/>
      </c>
      <c r="E1255" t="str" vm="3228">
        <f>IFERROR(CUBEVALUE("BIDB",$A1255,E$3,E$2,'Præsentationstabeller 1'!$C$2),0)</f>
        <v/>
      </c>
      <c r="F1255" t="str" vm="12059">
        <f>IFERROR(CUBEVALUE("BIDB",$A1255,F$3,F$2,'Præsentationstabeller 1'!$C$2),0)</f>
        <v/>
      </c>
      <c r="G1255" t="str" vm="4080">
        <f>IFERROR(CUBEVALUE("BIDB",$A1255,G$3,G$2,'Præsentationstabeller 1'!$C$2),0)</f>
        <v/>
      </c>
      <c r="H1255" t="str" vm="15333">
        <f>IFERROR(CUBEVALUE("BIDB",$A1255,H$3,H$2,'Præsentationstabeller 1'!$C$2),0)</f>
        <v/>
      </c>
      <c r="I1255" t="str" vm="5514">
        <f>IFERROR(CUBEVALUE("BIDB",$A1255,I$3,I$2,'Præsentationstabeller 1'!$C$2),0)</f>
        <v/>
      </c>
      <c r="J1255" t="str" vm="14286">
        <f>IFERROR(CUBEVALUE("BIDB",$A1255,J$3,J$2,'Præsentationstabeller 1'!$C$2),0)</f>
        <v/>
      </c>
      <c r="K1255" t="str" vm="2839">
        <f>IFERROR(CUBEVALUE("BIDB",$A1255,K$3,K$2,'Præsentationstabeller 1'!$C$2),0)</f>
        <v/>
      </c>
      <c r="L1255" t="str" vm="10672">
        <f>IFERROR(CUBEVALUE("BIDB",$A1255,L$3,L$2,'Præsentationstabeller 1'!$C$2),0)</f>
        <v/>
      </c>
    </row>
    <row r="1256" spans="1:12" x14ac:dyDescent="0.3">
      <c r="A1256" s="123" t="str" vm="80">
        <f>CUBEMEMBER("BIDB","[Dimittenddato].[Dimittenddato].&amp;[2020-07-27T00:00:00]")</f>
        <v>27-07-2020</v>
      </c>
      <c r="B1256" t="str" vm="14846">
        <f>IFERROR(CUBEVALUE("BIDB",$A1256,B$3,'Præsentationstabeller 1'!$C$2),0)</f>
        <v/>
      </c>
      <c r="C1256" t="str" vm="8240">
        <f>IFERROR(CUBEVALUE("BIDB",$A1256,C$3,C$2,'Præsentationstabeller 1'!$C$2),0)</f>
        <v/>
      </c>
      <c r="D1256" t="str" vm="16868">
        <f>IFERROR(CUBEVALUE("BIDB",$A1256,D$3,D$2,'Præsentationstabeller 1'!$C$2),0)</f>
        <v/>
      </c>
      <c r="E1256" t="str" vm="4846">
        <f>IFERROR(CUBEVALUE("BIDB",$A1256,E$3,E$2,'Præsentationstabeller 1'!$C$2),0)</f>
        <v/>
      </c>
      <c r="F1256" t="str" vm="15041">
        <f>IFERROR(CUBEVALUE("BIDB",$A1256,F$3,F$2,'Præsentationstabeller 1'!$C$2),0)</f>
        <v/>
      </c>
      <c r="G1256" t="str" vm="3322">
        <f>IFERROR(CUBEVALUE("BIDB",$A1256,G$3,G$2,'Præsentationstabeller 1'!$C$2),0)</f>
        <v/>
      </c>
      <c r="H1256" t="str" vm="13059">
        <f>IFERROR(CUBEVALUE("BIDB",$A1256,H$3,H$2,'Præsentationstabeller 1'!$C$2),0)</f>
        <v/>
      </c>
      <c r="I1256" t="str" vm="4073">
        <f>IFERROR(CUBEVALUE("BIDB",$A1256,I$3,I$2,'Præsentationstabeller 1'!$C$2),0)</f>
        <v/>
      </c>
      <c r="J1256" t="str" vm="16939">
        <f>IFERROR(CUBEVALUE("BIDB",$A1256,J$3,J$2,'Præsentationstabeller 1'!$C$2),0)</f>
        <v/>
      </c>
      <c r="K1256" t="str" vm="6000">
        <f>IFERROR(CUBEVALUE("BIDB",$A1256,K$3,K$2,'Præsentationstabeller 1'!$C$2),0)</f>
        <v/>
      </c>
      <c r="L1256" t="str" vm="11908">
        <f>IFERROR(CUBEVALUE("BIDB",$A1256,L$3,L$2,'Præsentationstabeller 1'!$C$2),0)</f>
        <v/>
      </c>
    </row>
    <row r="1257" spans="1:12" x14ac:dyDescent="0.3">
      <c r="A1257" s="123" t="str" vm="79">
        <f>CUBEMEMBER("BIDB","[Dimittenddato].[Dimittenddato].&amp;[2020-07-28T00:00:00]")</f>
        <v>28-07-2020</v>
      </c>
      <c r="B1257" t="str" vm="16637">
        <f>IFERROR(CUBEVALUE("BIDB",$A1257,B$3,'Præsentationstabeller 1'!$C$2),0)</f>
        <v/>
      </c>
      <c r="C1257" t="str" vm="3161">
        <f>IFERROR(CUBEVALUE("BIDB",$A1257,C$3,C$2,'Præsentationstabeller 1'!$C$2),0)</f>
        <v/>
      </c>
      <c r="D1257" t="str" vm="12179">
        <f>IFERROR(CUBEVALUE("BIDB",$A1257,D$3,D$2,'Præsentationstabeller 1'!$C$2),0)</f>
        <v/>
      </c>
      <c r="E1257" t="str" vm="3613">
        <f>IFERROR(CUBEVALUE("BIDB",$A1257,E$3,E$2,'Præsentationstabeller 1'!$C$2),0)</f>
        <v/>
      </c>
      <c r="F1257" t="str" vm="14709">
        <f>IFERROR(CUBEVALUE("BIDB",$A1257,F$3,F$2,'Præsentationstabeller 1'!$C$2),0)</f>
        <v/>
      </c>
      <c r="G1257" t="str" vm="4269">
        <f>IFERROR(CUBEVALUE("BIDB",$A1257,G$3,G$2,'Præsentationstabeller 1'!$C$2),0)</f>
        <v/>
      </c>
      <c r="H1257" t="str" vm="15782">
        <f>IFERROR(CUBEVALUE("BIDB",$A1257,H$3,H$2,'Præsentationstabeller 1'!$C$2),0)</f>
        <v/>
      </c>
      <c r="I1257" t="str" vm="6869">
        <f>IFERROR(CUBEVALUE("BIDB",$A1257,I$3,I$2,'Præsentationstabeller 1'!$C$2),0)</f>
        <v/>
      </c>
      <c r="J1257" t="str" vm="13138">
        <f>IFERROR(CUBEVALUE("BIDB",$A1257,J$3,J$2,'Præsentationstabeller 1'!$C$2),0)</f>
        <v/>
      </c>
      <c r="K1257" t="str" vm="4777">
        <f>IFERROR(CUBEVALUE("BIDB",$A1257,K$3,K$2,'Præsentationstabeller 1'!$C$2),0)</f>
        <v/>
      </c>
      <c r="L1257" t="str" vm="12131">
        <f>IFERROR(CUBEVALUE("BIDB",$A1257,L$3,L$2,'Præsentationstabeller 1'!$C$2),0)</f>
        <v/>
      </c>
    </row>
    <row r="1258" spans="1:12" x14ac:dyDescent="0.3">
      <c r="A1258" s="123" t="str" vm="78">
        <f>CUBEMEMBER("BIDB","[Dimittenddato].[Dimittenddato].&amp;[2020-07-29T00:00:00]")</f>
        <v>29-07-2020</v>
      </c>
      <c r="B1258" t="str" vm="13088">
        <f>IFERROR(CUBEVALUE("BIDB",$A1258,B$3,'Præsentationstabeller 1'!$C$2),0)</f>
        <v/>
      </c>
      <c r="C1258" t="str" vm="4308">
        <f>IFERROR(CUBEVALUE("BIDB",$A1258,C$3,C$2,'Præsentationstabeller 1'!$C$2),0)</f>
        <v/>
      </c>
      <c r="D1258" t="str" vm="12927">
        <f>IFERROR(CUBEVALUE("BIDB",$A1258,D$3,D$2,'Præsentationstabeller 1'!$C$2),0)</f>
        <v/>
      </c>
      <c r="E1258" t="str" vm="5083">
        <f>IFERROR(CUBEVALUE("BIDB",$A1258,E$3,E$2,'Præsentationstabeller 1'!$C$2),0)</f>
        <v/>
      </c>
      <c r="F1258" t="str" vm="15303">
        <f>IFERROR(CUBEVALUE("BIDB",$A1258,F$3,F$2,'Præsentationstabeller 1'!$C$2),0)</f>
        <v/>
      </c>
      <c r="G1258" t="str" vm="2921">
        <f>IFERROR(CUBEVALUE("BIDB",$A1258,G$3,G$2,'Præsentationstabeller 1'!$C$2),0)</f>
        <v/>
      </c>
      <c r="H1258" t="str" vm="14233">
        <f>IFERROR(CUBEVALUE("BIDB",$A1258,H$3,H$2,'Præsentationstabeller 1'!$C$2),0)</f>
        <v/>
      </c>
      <c r="I1258" t="str" vm="5825">
        <f>IFERROR(CUBEVALUE("BIDB",$A1258,I$3,I$2,'Præsentationstabeller 1'!$C$2),0)</f>
        <v/>
      </c>
      <c r="J1258" t="str" vm="12568">
        <f>IFERROR(CUBEVALUE("BIDB",$A1258,J$3,J$2,'Præsentationstabeller 1'!$C$2),0)</f>
        <v/>
      </c>
      <c r="K1258" t="str" vm="4977">
        <f>IFERROR(CUBEVALUE("BIDB",$A1258,K$3,K$2,'Præsentationstabeller 1'!$C$2),0)</f>
        <v/>
      </c>
      <c r="L1258" t="str" vm="14701">
        <f>IFERROR(CUBEVALUE("BIDB",$A1258,L$3,L$2,'Præsentationstabeller 1'!$C$2),0)</f>
        <v/>
      </c>
    </row>
    <row r="1259" spans="1:12" x14ac:dyDescent="0.3">
      <c r="A1259" s="123" t="str" vm="77">
        <f>CUBEMEMBER("BIDB","[Dimittenddato].[Dimittenddato].&amp;[2020-07-30T00:00:00]")</f>
        <v>30-07-2020</v>
      </c>
      <c r="B1259" t="str" vm="12103">
        <f>IFERROR(CUBEVALUE("BIDB",$A1259,B$3,'Præsentationstabeller 1'!$C$2),0)</f>
        <v/>
      </c>
      <c r="C1259" t="str" vm="3207">
        <f>IFERROR(CUBEVALUE("BIDB",$A1259,C$3,C$2,'Præsentationstabeller 1'!$C$2),0)</f>
        <v/>
      </c>
      <c r="D1259" t="str" vm="14013">
        <f>IFERROR(CUBEVALUE("BIDB",$A1259,D$3,D$2,'Præsentationstabeller 1'!$C$2),0)</f>
        <v/>
      </c>
      <c r="E1259" t="str" vm="3959">
        <f>IFERROR(CUBEVALUE("BIDB",$A1259,E$3,E$2,'Præsentationstabeller 1'!$C$2),0)</f>
        <v/>
      </c>
      <c r="F1259" t="str" vm="14914">
        <f>IFERROR(CUBEVALUE("BIDB",$A1259,F$3,F$2,'Præsentationstabeller 1'!$C$2),0)</f>
        <v/>
      </c>
      <c r="G1259" t="str" vm="3521">
        <f>IFERROR(CUBEVALUE("BIDB",$A1259,G$3,G$2,'Præsentationstabeller 1'!$C$2),0)</f>
        <v/>
      </c>
      <c r="H1259" t="str" vm="15575">
        <f>IFERROR(CUBEVALUE("BIDB",$A1259,H$3,H$2,'Præsentationstabeller 1'!$C$2),0)</f>
        <v/>
      </c>
      <c r="I1259" t="str" vm="3338">
        <f>IFERROR(CUBEVALUE("BIDB",$A1259,I$3,I$2,'Præsentationstabeller 1'!$C$2),0)</f>
        <v/>
      </c>
      <c r="J1259" t="str" vm="17015">
        <f>IFERROR(CUBEVALUE("BIDB",$A1259,J$3,J$2,'Præsentationstabeller 1'!$C$2),0)</f>
        <v/>
      </c>
      <c r="K1259" t="str" vm="5439">
        <f>IFERROR(CUBEVALUE("BIDB",$A1259,K$3,K$2,'Præsentationstabeller 1'!$C$2),0)</f>
        <v/>
      </c>
      <c r="L1259" t="str" vm="9396">
        <f>IFERROR(CUBEVALUE("BIDB",$A1259,L$3,L$2,'Præsentationstabeller 1'!$C$2),0)</f>
        <v/>
      </c>
    </row>
    <row r="1260" spans="1:12" x14ac:dyDescent="0.3">
      <c r="A1260" s="123" t="str" vm="76">
        <f>CUBEMEMBER("BIDB","[Dimittenddato].[Dimittenddato].&amp;[2020-07-31T00:00:00]")</f>
        <v>31-07-2020</v>
      </c>
      <c r="B1260" t="str" vm="12077">
        <f>IFERROR(CUBEVALUE("BIDB",$A1260,B$3,'Præsentationstabeller 1'!$C$2),0)</f>
        <v/>
      </c>
      <c r="C1260" t="str" vm="7157">
        <f>IFERROR(CUBEVALUE("BIDB",$A1260,C$3,C$2,'Præsentationstabeller 1'!$C$2),0)</f>
        <v/>
      </c>
      <c r="D1260" t="str" vm="14288">
        <f>IFERROR(CUBEVALUE("BIDB",$A1260,D$3,D$2,'Præsentationstabeller 1'!$C$2),0)</f>
        <v/>
      </c>
      <c r="E1260" t="str" vm="7776">
        <f>IFERROR(CUBEVALUE("BIDB",$A1260,E$3,E$2,'Præsentationstabeller 1'!$C$2),0)</f>
        <v/>
      </c>
      <c r="F1260" t="str" vm="16003">
        <f>IFERROR(CUBEVALUE("BIDB",$A1260,F$3,F$2,'Præsentationstabeller 1'!$C$2),0)</f>
        <v/>
      </c>
      <c r="G1260" t="str" vm="3466">
        <f>IFERROR(CUBEVALUE("BIDB",$A1260,G$3,G$2,'Præsentationstabeller 1'!$C$2),0)</f>
        <v/>
      </c>
      <c r="H1260" t="str" vm="14087">
        <f>IFERROR(CUBEVALUE("BIDB",$A1260,H$3,H$2,'Præsentationstabeller 1'!$C$2),0)</f>
        <v/>
      </c>
      <c r="I1260" t="str" vm="3948">
        <f>IFERROR(CUBEVALUE("BIDB",$A1260,I$3,I$2,'Præsentationstabeller 1'!$C$2),0)</f>
        <v/>
      </c>
      <c r="J1260" t="str" vm="16671">
        <f>IFERROR(CUBEVALUE("BIDB",$A1260,J$3,J$2,'Præsentationstabeller 1'!$C$2),0)</f>
        <v/>
      </c>
      <c r="K1260" t="str" vm="4468">
        <f>IFERROR(CUBEVALUE("BIDB",$A1260,K$3,K$2,'Præsentationstabeller 1'!$C$2),0)</f>
        <v/>
      </c>
      <c r="L1260" t="str" vm="10687">
        <f>IFERROR(CUBEVALUE("BIDB",$A1260,L$3,L$2,'Præsentationstabeller 1'!$C$2),0)</f>
        <v/>
      </c>
    </row>
    <row r="1261" spans="1:12" x14ac:dyDescent="0.3">
      <c r="A1261" s="123" t="str" vm="75">
        <f>CUBEMEMBER("BIDB","[Dimittenddato].[Dimittenddato].&amp;[2020-08-01T00:00:00]")</f>
        <v>01-08-2020</v>
      </c>
      <c r="B1261" t="str" vm="12688">
        <f>IFERROR(CUBEVALUE("BIDB",$A1261,B$3,'Præsentationstabeller 1'!$C$2),0)</f>
        <v/>
      </c>
      <c r="C1261" t="str" vm="3146">
        <f>IFERROR(CUBEVALUE("BIDB",$A1261,C$3,C$2,'Præsentationstabeller 1'!$C$2),0)</f>
        <v/>
      </c>
      <c r="D1261" t="str" vm="11900">
        <f>IFERROR(CUBEVALUE("BIDB",$A1261,D$3,D$2,'Præsentationstabeller 1'!$C$2),0)</f>
        <v/>
      </c>
      <c r="E1261" t="str" vm="3498">
        <f>IFERROR(CUBEVALUE("BIDB",$A1261,E$3,E$2,'Præsentationstabeller 1'!$C$2),0)</f>
        <v/>
      </c>
      <c r="F1261" t="str" vm="13903">
        <f>IFERROR(CUBEVALUE("BIDB",$A1261,F$3,F$2,'Præsentationstabeller 1'!$C$2),0)</f>
        <v/>
      </c>
      <c r="G1261" t="str" vm="7894">
        <f>IFERROR(CUBEVALUE("BIDB",$A1261,G$3,G$2,'Præsentationstabeller 1'!$C$2),0)</f>
        <v/>
      </c>
      <c r="H1261" t="str" vm="16374">
        <f>IFERROR(CUBEVALUE("BIDB",$A1261,H$3,H$2,'Præsentationstabeller 1'!$C$2),0)</f>
        <v/>
      </c>
      <c r="I1261" t="str" vm="3966">
        <f>IFERROR(CUBEVALUE("BIDB",$A1261,I$3,I$2,'Præsentationstabeller 1'!$C$2),0)</f>
        <v/>
      </c>
      <c r="J1261" t="str" vm="14416">
        <f>IFERROR(CUBEVALUE("BIDB",$A1261,J$3,J$2,'Præsentationstabeller 1'!$C$2),0)</f>
        <v/>
      </c>
      <c r="K1261" t="str" vm="5960">
        <f>IFERROR(CUBEVALUE("BIDB",$A1261,K$3,K$2,'Præsentationstabeller 1'!$C$2),0)</f>
        <v/>
      </c>
      <c r="L1261" t="str" vm="10746">
        <f>IFERROR(CUBEVALUE("BIDB",$A1261,L$3,L$2,'Præsentationstabeller 1'!$C$2),0)</f>
        <v/>
      </c>
    </row>
    <row r="1262" spans="1:12" x14ac:dyDescent="0.3">
      <c r="A1262" s="123" t="str" vm="74">
        <f>CUBEMEMBER("BIDB","[Dimittenddato].[Dimittenddato].&amp;[2020-08-02T00:00:00]")</f>
        <v>02-08-2020</v>
      </c>
      <c r="B1262" t="str" vm="11558">
        <f>IFERROR(CUBEVALUE("BIDB",$A1262,B$3,'Præsentationstabeller 1'!$C$2),0)</f>
        <v/>
      </c>
      <c r="C1262" t="str" vm="4853">
        <f>IFERROR(CUBEVALUE("BIDB",$A1262,C$3,C$2,'Præsentationstabeller 1'!$C$2),0)</f>
        <v/>
      </c>
      <c r="D1262" t="str" vm="11658">
        <f>IFERROR(CUBEVALUE("BIDB",$A1262,D$3,D$2,'Præsentationstabeller 1'!$C$2),0)</f>
        <v/>
      </c>
      <c r="E1262" t="str" vm="4878">
        <f>IFERROR(CUBEVALUE("BIDB",$A1262,E$3,E$2,'Præsentationstabeller 1'!$C$2),0)</f>
        <v/>
      </c>
      <c r="F1262" t="str" vm="15314">
        <f>IFERROR(CUBEVALUE("BIDB",$A1262,F$3,F$2,'Præsentationstabeller 1'!$C$2),0)</f>
        <v/>
      </c>
      <c r="G1262" t="str" vm="5992">
        <f>IFERROR(CUBEVALUE("BIDB",$A1262,G$3,G$2,'Præsentationstabeller 1'!$C$2),0)</f>
        <v/>
      </c>
      <c r="H1262" t="str" vm="9579">
        <f>IFERROR(CUBEVALUE("BIDB",$A1262,H$3,H$2,'Præsentationstabeller 1'!$C$2),0)</f>
        <v/>
      </c>
      <c r="I1262" t="str" vm="4692">
        <f>IFERROR(CUBEVALUE("BIDB",$A1262,I$3,I$2,'Præsentationstabeller 1'!$C$2),0)</f>
        <v/>
      </c>
      <c r="J1262" t="str" vm="13674">
        <f>IFERROR(CUBEVALUE("BIDB",$A1262,J$3,J$2,'Præsentationstabeller 1'!$C$2),0)</f>
        <v/>
      </c>
      <c r="K1262" t="str" vm="7011">
        <f>IFERROR(CUBEVALUE("BIDB",$A1262,K$3,K$2,'Præsentationstabeller 1'!$C$2),0)</f>
        <v/>
      </c>
      <c r="L1262" t="str" vm="8631">
        <f>IFERROR(CUBEVALUE("BIDB",$A1262,L$3,L$2,'Præsentationstabeller 1'!$C$2),0)</f>
        <v/>
      </c>
    </row>
    <row r="1263" spans="1:12" x14ac:dyDescent="0.3">
      <c r="A1263" s="123" t="str" vm="73">
        <f>CUBEMEMBER("BIDB","[Dimittenddato].[Dimittenddato].&amp;[2020-08-03T00:00:00]")</f>
        <v>03-08-2020</v>
      </c>
      <c r="B1263" t="str" vm="14741">
        <f>IFERROR(CUBEVALUE("BIDB",$A1263,B$3,'Præsentationstabeller 1'!$C$2),0)</f>
        <v/>
      </c>
      <c r="C1263" t="str" vm="3597">
        <f>IFERROR(CUBEVALUE("BIDB",$A1263,C$3,C$2,'Præsentationstabeller 1'!$C$2),0)</f>
        <v/>
      </c>
      <c r="D1263" t="str" vm="16303">
        <f>IFERROR(CUBEVALUE("BIDB",$A1263,D$3,D$2,'Præsentationstabeller 1'!$C$2),0)</f>
        <v/>
      </c>
      <c r="E1263" t="str" vm="4427">
        <f>IFERROR(CUBEVALUE("BIDB",$A1263,E$3,E$2,'Præsentationstabeller 1'!$C$2),0)</f>
        <v/>
      </c>
      <c r="F1263" t="str" vm="16187">
        <f>IFERROR(CUBEVALUE("BIDB",$A1263,F$3,F$2,'Præsentationstabeller 1'!$C$2),0)</f>
        <v/>
      </c>
      <c r="G1263" t="str" vm="3834">
        <f>IFERROR(CUBEVALUE("BIDB",$A1263,G$3,G$2,'Præsentationstabeller 1'!$C$2),0)</f>
        <v/>
      </c>
      <c r="H1263" t="str" vm="10220">
        <f>IFERROR(CUBEVALUE("BIDB",$A1263,H$3,H$2,'Præsentationstabeller 1'!$C$2),0)</f>
        <v/>
      </c>
      <c r="I1263" t="str" vm="5393">
        <f>IFERROR(CUBEVALUE("BIDB",$A1263,I$3,I$2,'Præsentationstabeller 1'!$C$2),0)</f>
        <v/>
      </c>
      <c r="J1263" t="str" vm="12690">
        <f>IFERROR(CUBEVALUE("BIDB",$A1263,J$3,J$2,'Præsentationstabeller 1'!$C$2),0)</f>
        <v/>
      </c>
      <c r="K1263" t="str" vm="4438">
        <f>IFERROR(CUBEVALUE("BIDB",$A1263,K$3,K$2,'Præsentationstabeller 1'!$C$2),0)</f>
        <v/>
      </c>
      <c r="L1263" t="str" vm="8528">
        <f>IFERROR(CUBEVALUE("BIDB",$A1263,L$3,L$2,'Præsentationstabeller 1'!$C$2),0)</f>
        <v/>
      </c>
    </row>
    <row r="1264" spans="1:12" x14ac:dyDescent="0.3">
      <c r="A1264" s="123" t="str" vm="72">
        <f>CUBEMEMBER("BIDB","[Dimittenddato].[Dimittenddato].&amp;[2020-08-04T00:00:00]")</f>
        <v>04-08-2020</v>
      </c>
      <c r="B1264" t="str" vm="11903">
        <f>IFERROR(CUBEVALUE("BIDB",$A1264,B$3,'Præsentationstabeller 1'!$C$2),0)</f>
        <v/>
      </c>
      <c r="C1264" t="str" vm="8239">
        <f>IFERROR(CUBEVALUE("BIDB",$A1264,C$3,C$2,'Præsentationstabeller 1'!$C$2),0)</f>
        <v/>
      </c>
      <c r="D1264" t="str" vm="14401">
        <f>IFERROR(CUBEVALUE("BIDB",$A1264,D$3,D$2,'Præsentationstabeller 1'!$C$2),0)</f>
        <v/>
      </c>
      <c r="E1264" t="str" vm="3544">
        <f>IFERROR(CUBEVALUE("BIDB",$A1264,E$3,E$2,'Præsentationstabeller 1'!$C$2),0)</f>
        <v/>
      </c>
      <c r="F1264" t="str" vm="14357">
        <f>IFERROR(CUBEVALUE("BIDB",$A1264,F$3,F$2,'Præsentationstabeller 1'!$C$2),0)</f>
        <v/>
      </c>
      <c r="G1264" t="str" vm="4952">
        <f>IFERROR(CUBEVALUE("BIDB",$A1264,G$3,G$2,'Præsentationstabeller 1'!$C$2),0)</f>
        <v/>
      </c>
      <c r="H1264" t="str" vm="15803">
        <f>IFERROR(CUBEVALUE("BIDB",$A1264,H$3,H$2,'Præsentationstabeller 1'!$C$2),0)</f>
        <v/>
      </c>
      <c r="I1264" t="str" vm="5814">
        <f>IFERROR(CUBEVALUE("BIDB",$A1264,I$3,I$2,'Præsentationstabeller 1'!$C$2),0)</f>
        <v/>
      </c>
      <c r="J1264" t="str" vm="11548">
        <f>IFERROR(CUBEVALUE("BIDB",$A1264,J$3,J$2,'Præsentationstabeller 1'!$C$2),0)</f>
        <v/>
      </c>
      <c r="K1264" t="str" vm="5717">
        <f>IFERROR(CUBEVALUE("BIDB",$A1264,K$3,K$2,'Præsentationstabeller 1'!$C$2),0)</f>
        <v/>
      </c>
      <c r="L1264" t="str" vm="15756">
        <f>IFERROR(CUBEVALUE("BIDB",$A1264,L$3,L$2,'Præsentationstabeller 1'!$C$2),0)</f>
        <v/>
      </c>
    </row>
    <row r="1265" spans="1:12" x14ac:dyDescent="0.3">
      <c r="A1265" s="123" t="str" vm="71">
        <f>CUBEMEMBER("BIDB","[Dimittenddato].[Dimittenddato].&amp;[2020-08-05T00:00:00]")</f>
        <v>05-08-2020</v>
      </c>
      <c r="B1265" t="str" vm="14868">
        <f>IFERROR(CUBEVALUE("BIDB",$A1265,B$3,'Præsentationstabeller 1'!$C$2),0)</f>
        <v/>
      </c>
      <c r="C1265" t="str" vm="5447">
        <f>IFERROR(CUBEVALUE("BIDB",$A1265,C$3,C$2,'Præsentationstabeller 1'!$C$2),0)</f>
        <v/>
      </c>
      <c r="D1265" t="str" vm="10535">
        <f>IFERROR(CUBEVALUE("BIDB",$A1265,D$3,D$2,'Præsentationstabeller 1'!$C$2),0)</f>
        <v/>
      </c>
      <c r="E1265" t="str" vm="5183">
        <f>IFERROR(CUBEVALUE("BIDB",$A1265,E$3,E$2,'Præsentationstabeller 1'!$C$2),0)</f>
        <v/>
      </c>
      <c r="F1265" t="str" vm="14593">
        <f>IFERROR(CUBEVALUE("BIDB",$A1265,F$3,F$2,'Præsentationstabeller 1'!$C$2),0)</f>
        <v/>
      </c>
      <c r="G1265" t="str" vm="4261">
        <f>IFERROR(CUBEVALUE("BIDB",$A1265,G$3,G$2,'Præsentationstabeller 1'!$C$2),0)</f>
        <v/>
      </c>
      <c r="H1265" t="str" vm="14170">
        <f>IFERROR(CUBEVALUE("BIDB",$A1265,H$3,H$2,'Præsentationstabeller 1'!$C$2),0)</f>
        <v/>
      </c>
      <c r="I1265" t="str" vm="5007">
        <f>IFERROR(CUBEVALUE("BIDB",$A1265,I$3,I$2,'Præsentationstabeller 1'!$C$2),0)</f>
        <v/>
      </c>
      <c r="J1265" t="str" vm="17013">
        <f>IFERROR(CUBEVALUE("BIDB",$A1265,J$3,J$2,'Præsentationstabeller 1'!$C$2),0)</f>
        <v/>
      </c>
      <c r="K1265" t="str" vm="8898">
        <f>IFERROR(CUBEVALUE("BIDB",$A1265,K$3,K$2,'Præsentationstabeller 1'!$C$2),0)</f>
        <v/>
      </c>
      <c r="L1265" t="str" vm="12235">
        <f>IFERROR(CUBEVALUE("BIDB",$A1265,L$3,L$2,'Præsentationstabeller 1'!$C$2),0)</f>
        <v/>
      </c>
    </row>
    <row r="1266" spans="1:12" x14ac:dyDescent="0.3">
      <c r="A1266" s="123" t="str" vm="70">
        <f>CUBEMEMBER("BIDB","[Dimittenddato].[Dimittenddato].&amp;[2020-08-06T00:00:00]")</f>
        <v>06-08-2020</v>
      </c>
      <c r="B1266" t="str" vm="16026">
        <f>IFERROR(CUBEVALUE("BIDB",$A1266,B$3,'Præsentationstabeller 1'!$C$2),0)</f>
        <v/>
      </c>
      <c r="C1266" t="str" vm="3866">
        <f>IFERROR(CUBEVALUE("BIDB",$A1266,C$3,C$2,'Præsentationstabeller 1'!$C$2),0)</f>
        <v/>
      </c>
      <c r="D1266" t="str" vm="14646">
        <f>IFERROR(CUBEVALUE("BIDB",$A1266,D$3,D$2,'Præsentationstabeller 1'!$C$2),0)</f>
        <v/>
      </c>
      <c r="E1266" t="str" vm="6965">
        <f>IFERROR(CUBEVALUE("BIDB",$A1266,E$3,E$2,'Præsentationstabeller 1'!$C$2),0)</f>
        <v/>
      </c>
      <c r="F1266" t="str" vm="14301">
        <f>IFERROR(CUBEVALUE("BIDB",$A1266,F$3,F$2,'Præsentationstabeller 1'!$C$2),0)</f>
        <v/>
      </c>
      <c r="G1266" t="str" vm="3427">
        <f>IFERROR(CUBEVALUE("BIDB",$A1266,G$3,G$2,'Præsentationstabeller 1'!$C$2),0)</f>
        <v/>
      </c>
      <c r="H1266" t="str" vm="16524">
        <f>IFERROR(CUBEVALUE("BIDB",$A1266,H$3,H$2,'Præsentationstabeller 1'!$C$2),0)</f>
        <v/>
      </c>
      <c r="I1266" t="str" vm="4984">
        <f>IFERROR(CUBEVALUE("BIDB",$A1266,I$3,I$2,'Præsentationstabeller 1'!$C$2),0)</f>
        <v/>
      </c>
      <c r="J1266" t="str" vm="13824">
        <f>IFERROR(CUBEVALUE("BIDB",$A1266,J$3,J$2,'Præsentationstabeller 1'!$C$2),0)</f>
        <v/>
      </c>
      <c r="K1266" t="str" vm="3223">
        <f>IFERROR(CUBEVALUE("BIDB",$A1266,K$3,K$2,'Præsentationstabeller 1'!$C$2),0)</f>
        <v/>
      </c>
      <c r="L1266" t="str" vm="10631">
        <f>IFERROR(CUBEVALUE("BIDB",$A1266,L$3,L$2,'Præsentationstabeller 1'!$C$2),0)</f>
        <v/>
      </c>
    </row>
    <row r="1267" spans="1:12" x14ac:dyDescent="0.3">
      <c r="A1267" s="123" t="str" vm="69">
        <f>CUBEMEMBER("BIDB","[Dimittenddato].[Dimittenddato].&amp;[2020-08-07T00:00:00]")</f>
        <v>07-08-2020</v>
      </c>
      <c r="B1267" t="str" vm="15807">
        <f>IFERROR(CUBEVALUE("BIDB",$A1267,B$3,'Præsentationstabeller 1'!$C$2),0)</f>
        <v/>
      </c>
      <c r="C1267" t="str" vm="3482">
        <f>IFERROR(CUBEVALUE("BIDB",$A1267,C$3,C$2,'Præsentationstabeller 1'!$C$2),0)</f>
        <v/>
      </c>
      <c r="D1267" t="str" vm="16106">
        <f>IFERROR(CUBEVALUE("BIDB",$A1267,D$3,D$2,'Præsentationstabeller 1'!$C$2),0)</f>
        <v/>
      </c>
      <c r="E1267" t="str" vm="2715">
        <f>IFERROR(CUBEVALUE("BIDB",$A1267,E$3,E$2,'Præsentationstabeller 1'!$C$2),0)</f>
        <v/>
      </c>
      <c r="F1267" t="str" vm="15687">
        <f>IFERROR(CUBEVALUE("BIDB",$A1267,F$3,F$2,'Præsentationstabeller 1'!$C$2),0)</f>
        <v/>
      </c>
      <c r="G1267" t="str" vm="6665">
        <f>IFERROR(CUBEVALUE("BIDB",$A1267,G$3,G$2,'Præsentationstabeller 1'!$C$2),0)</f>
        <v/>
      </c>
      <c r="H1267" t="str" vm="16654">
        <f>IFERROR(CUBEVALUE("BIDB",$A1267,H$3,H$2,'Præsentationstabeller 1'!$C$2),0)</f>
        <v/>
      </c>
      <c r="I1267" t="str" vm="4887">
        <f>IFERROR(CUBEVALUE("BIDB",$A1267,I$3,I$2,'Præsentationstabeller 1'!$C$2),0)</f>
        <v/>
      </c>
      <c r="J1267" t="str" vm="13079">
        <f>IFERROR(CUBEVALUE("BIDB",$A1267,J$3,J$2,'Præsentationstabeller 1'!$C$2),0)</f>
        <v/>
      </c>
      <c r="K1267" t="str" vm="3060">
        <f>IFERROR(CUBEVALUE("BIDB",$A1267,K$3,K$2,'Præsentationstabeller 1'!$C$2),0)</f>
        <v/>
      </c>
      <c r="L1267" t="str" vm="10212">
        <f>IFERROR(CUBEVALUE("BIDB",$A1267,L$3,L$2,'Præsentationstabeller 1'!$C$2),0)</f>
        <v/>
      </c>
    </row>
    <row r="1268" spans="1:12" x14ac:dyDescent="0.3">
      <c r="A1268" s="123" t="str" vm="68">
        <f>CUBEMEMBER("BIDB","[Dimittenddato].[Dimittenddato].&amp;[2020-08-08T00:00:00]")</f>
        <v>08-08-2020</v>
      </c>
      <c r="B1268" t="str" vm="12122">
        <f>IFERROR(CUBEVALUE("BIDB",$A1268,B$3,'Præsentationstabeller 1'!$C$2),0)</f>
        <v/>
      </c>
      <c r="C1268" t="str" vm="7921">
        <f>IFERROR(CUBEVALUE("BIDB",$A1268,C$3,C$2,'Præsentationstabeller 1'!$C$2),0)</f>
        <v/>
      </c>
      <c r="D1268" t="str" vm="11102">
        <f>IFERROR(CUBEVALUE("BIDB",$A1268,D$3,D$2,'Præsentationstabeller 1'!$C$2),0)</f>
        <v/>
      </c>
      <c r="E1268" t="str" vm="5619">
        <f>IFERROR(CUBEVALUE("BIDB",$A1268,E$3,E$2,'Præsentationstabeller 1'!$C$2),0)</f>
        <v/>
      </c>
      <c r="F1268" t="str" vm="16615">
        <f>IFERROR(CUBEVALUE("BIDB",$A1268,F$3,F$2,'Præsentationstabeller 1'!$C$2),0)</f>
        <v/>
      </c>
      <c r="G1268" t="str" vm="7404">
        <f>IFERROR(CUBEVALUE("BIDB",$A1268,G$3,G$2,'Præsentationstabeller 1'!$C$2),0)</f>
        <v/>
      </c>
      <c r="H1268" t="str" vm="10903">
        <f>IFERROR(CUBEVALUE("BIDB",$A1268,H$3,H$2,'Præsentationstabeller 1'!$C$2),0)</f>
        <v/>
      </c>
      <c r="I1268" t="str" vm="4713">
        <f>IFERROR(CUBEVALUE("BIDB",$A1268,I$3,I$2,'Præsentationstabeller 1'!$C$2),0)</f>
        <v/>
      </c>
      <c r="J1268" t="str" vm="14661">
        <f>IFERROR(CUBEVALUE("BIDB",$A1268,J$3,J$2,'Præsentationstabeller 1'!$C$2),0)</f>
        <v/>
      </c>
      <c r="K1268" t="str" vm="4445">
        <f>IFERROR(CUBEVALUE("BIDB",$A1268,K$3,K$2,'Præsentationstabeller 1'!$C$2),0)</f>
        <v/>
      </c>
      <c r="L1268" t="str" vm="12221">
        <f>IFERROR(CUBEVALUE("BIDB",$A1268,L$3,L$2,'Præsentationstabeller 1'!$C$2),0)</f>
        <v/>
      </c>
    </row>
    <row r="1269" spans="1:12" x14ac:dyDescent="0.3">
      <c r="A1269" s="123" t="str" vm="67">
        <f>CUBEMEMBER("BIDB","[Dimittenddato].[Dimittenddato].&amp;[2020-08-09T00:00:00]")</f>
        <v>09-08-2020</v>
      </c>
      <c r="B1269" t="str" vm="11917">
        <f>IFERROR(CUBEVALUE("BIDB",$A1269,B$3,'Præsentationstabeller 1'!$C$2),0)</f>
        <v/>
      </c>
      <c r="C1269" t="str" vm="4798">
        <f>IFERROR(CUBEVALUE("BIDB",$A1269,C$3,C$2,'Præsentationstabeller 1'!$C$2),0)</f>
        <v/>
      </c>
      <c r="D1269" t="str" vm="9892">
        <f>IFERROR(CUBEVALUE("BIDB",$A1269,D$3,D$2,'Præsentationstabeller 1'!$C$2),0)</f>
        <v/>
      </c>
      <c r="E1269" t="str" vm="6238">
        <f>IFERROR(CUBEVALUE("BIDB",$A1269,E$3,E$2,'Præsentationstabeller 1'!$C$2),0)</f>
        <v/>
      </c>
      <c r="F1269" t="str" vm="16153">
        <f>IFERROR(CUBEVALUE("BIDB",$A1269,F$3,F$2,'Præsentationstabeller 1'!$C$2),0)</f>
        <v/>
      </c>
      <c r="G1269" t="str" vm="3255">
        <f>IFERROR(CUBEVALUE("BIDB",$A1269,G$3,G$2,'Præsentationstabeller 1'!$C$2),0)</f>
        <v/>
      </c>
      <c r="H1269" t="str" vm="14062">
        <f>IFERROR(CUBEVALUE("BIDB",$A1269,H$3,H$2,'Præsentationstabeller 1'!$C$2),0)</f>
        <v/>
      </c>
      <c r="I1269" t="str" vm="4304">
        <f>IFERROR(CUBEVALUE("BIDB",$A1269,I$3,I$2,'Præsentationstabeller 1'!$C$2),0)</f>
        <v/>
      </c>
      <c r="J1269" t="str" vm="15721">
        <f>IFERROR(CUBEVALUE("BIDB",$A1269,J$3,J$2,'Præsentationstabeller 1'!$C$2),0)</f>
        <v/>
      </c>
      <c r="K1269" t="str" vm="4078">
        <f>IFERROR(CUBEVALUE("BIDB",$A1269,K$3,K$2,'Præsentationstabeller 1'!$C$2),0)</f>
        <v/>
      </c>
      <c r="L1269" t="str" vm="12281">
        <f>IFERROR(CUBEVALUE("BIDB",$A1269,L$3,L$2,'Præsentationstabeller 1'!$C$2),0)</f>
        <v/>
      </c>
    </row>
    <row r="1270" spans="1:12" x14ac:dyDescent="0.3">
      <c r="A1270" s="123" t="str" vm="66">
        <f>CUBEMEMBER("BIDB","[Dimittenddato].[Dimittenddato].&amp;[2020-08-10T00:00:00]")</f>
        <v>10-08-2020</v>
      </c>
      <c r="B1270" t="str" vm="16031">
        <f>IFERROR(CUBEVALUE("BIDB",$A1270,B$3,'Præsentationstabeller 1'!$C$2),0)</f>
        <v/>
      </c>
      <c r="C1270" t="str" vm="5037">
        <f>IFERROR(CUBEVALUE("BIDB",$A1270,C$3,C$2,'Præsentationstabeller 1'!$C$2),0)</f>
        <v/>
      </c>
      <c r="D1270" t="str" vm="14843">
        <f>IFERROR(CUBEVALUE("BIDB",$A1270,D$3,D$2,'Præsentationstabeller 1'!$C$2),0)</f>
        <v/>
      </c>
      <c r="E1270" t="str" vm="3354">
        <f>IFERROR(CUBEVALUE("BIDB",$A1270,E$3,E$2,'Præsentationstabeller 1'!$C$2),0)</f>
        <v/>
      </c>
      <c r="F1270" t="str" vm="15159">
        <f>IFERROR(CUBEVALUE("BIDB",$A1270,F$3,F$2,'Præsentationstabeller 1'!$C$2),0)</f>
        <v/>
      </c>
      <c r="G1270" t="str" vm="3918">
        <f>IFERROR(CUBEVALUE("BIDB",$A1270,G$3,G$2,'Præsentationstabeller 1'!$C$2),0)</f>
        <v/>
      </c>
      <c r="H1270" t="str" vm="12930">
        <f>IFERROR(CUBEVALUE("BIDB",$A1270,H$3,H$2,'Præsentationstabeller 1'!$C$2),0)</f>
        <v/>
      </c>
      <c r="I1270" t="str" vm="8382">
        <f>IFERROR(CUBEVALUE("BIDB",$A1270,I$3,I$2,'Præsentationstabeller 1'!$C$2),0)</f>
        <v/>
      </c>
      <c r="J1270" t="str" vm="13100">
        <f>IFERROR(CUBEVALUE("BIDB",$A1270,J$3,J$2,'Præsentationstabeller 1'!$C$2),0)</f>
        <v/>
      </c>
      <c r="K1270" t="str" vm="5888">
        <f>IFERROR(CUBEVALUE("BIDB",$A1270,K$3,K$2,'Præsentationstabeller 1'!$C$2),0)</f>
        <v/>
      </c>
      <c r="L1270" t="str" vm="10519">
        <f>IFERROR(CUBEVALUE("BIDB",$A1270,L$3,L$2,'Præsentationstabeller 1'!$C$2),0)</f>
        <v/>
      </c>
    </row>
    <row r="1271" spans="1:12" x14ac:dyDescent="0.3">
      <c r="A1271" s="123" t="str" vm="65">
        <f>CUBEMEMBER("BIDB","[Dimittenddato].[Dimittenddato].&amp;[2020-08-11T00:00:00]")</f>
        <v>11-08-2020</v>
      </c>
      <c r="B1271" t="str" vm="15895">
        <f>IFERROR(CUBEVALUE("BIDB",$A1271,B$3,'Præsentationstabeller 1'!$C$2),0)</f>
        <v/>
      </c>
      <c r="C1271" t="str" vm="4968">
        <f>IFERROR(CUBEVALUE("BIDB",$A1271,C$3,C$2,'Præsentationstabeller 1'!$C$2),0)</f>
        <v/>
      </c>
      <c r="D1271" t="str" vm="12864">
        <f>IFERROR(CUBEVALUE("BIDB",$A1271,D$3,D$2,'Præsentationstabeller 1'!$C$2),0)</f>
        <v/>
      </c>
      <c r="E1271" t="str" vm="4083">
        <f>IFERROR(CUBEVALUE("BIDB",$A1271,E$3,E$2,'Præsentationstabeller 1'!$C$2),0)</f>
        <v/>
      </c>
      <c r="F1271" t="str" vm="16064">
        <f>IFERROR(CUBEVALUE("BIDB",$A1271,F$3,F$2,'Præsentationstabeller 1'!$C$2),0)</f>
        <v/>
      </c>
      <c r="G1271" t="str" vm="3720">
        <f>IFERROR(CUBEVALUE("BIDB",$A1271,G$3,G$2,'Præsentationstabeller 1'!$C$2),0)</f>
        <v/>
      </c>
      <c r="H1271" t="str" vm="10938">
        <f>IFERROR(CUBEVALUE("BIDB",$A1271,H$3,H$2,'Præsentationstabeller 1'!$C$2),0)</f>
        <v/>
      </c>
      <c r="I1271" t="str" vm="5391">
        <f>IFERROR(CUBEVALUE("BIDB",$A1271,I$3,I$2,'Præsentationstabeller 1'!$C$2),0)</f>
        <v/>
      </c>
      <c r="J1271" t="str" vm="11907">
        <f>IFERROR(CUBEVALUE("BIDB",$A1271,J$3,J$2,'Præsentationstabeller 1'!$C$2),0)</f>
        <v/>
      </c>
      <c r="K1271" t="str" vm="2795">
        <f>IFERROR(CUBEVALUE("BIDB",$A1271,K$3,K$2,'Præsentationstabeller 1'!$C$2),0)</f>
        <v/>
      </c>
      <c r="L1271" t="str" vm="16866">
        <f>IFERROR(CUBEVALUE("BIDB",$A1271,L$3,L$2,'Præsentationstabeller 1'!$C$2),0)</f>
        <v/>
      </c>
    </row>
    <row r="1272" spans="1:12" x14ac:dyDescent="0.3">
      <c r="A1272" s="123" t="str" vm="64">
        <f>CUBEMEMBER("BIDB","[Dimittenddato].[Dimittenddato].&amp;[2020-08-12T00:00:00]")</f>
        <v>12-08-2020</v>
      </c>
      <c r="B1272" t="str" vm="16795">
        <f>IFERROR(CUBEVALUE("BIDB",$A1272,B$3,'Præsentationstabeller 1'!$C$2),0)</f>
        <v/>
      </c>
      <c r="C1272" t="str" vm="4708">
        <f>IFERROR(CUBEVALUE("BIDB",$A1272,C$3,C$2,'Præsentationstabeller 1'!$C$2),0)</f>
        <v/>
      </c>
      <c r="D1272" t="str" vm="13389">
        <f>IFERROR(CUBEVALUE("BIDB",$A1272,D$3,D$2,'Præsentationstabeller 1'!$C$2),0)</f>
        <v/>
      </c>
      <c r="E1272" t="str" vm="5000">
        <f>IFERROR(CUBEVALUE("BIDB",$A1272,E$3,E$2,'Præsentationstabeller 1'!$C$2),0)</f>
        <v/>
      </c>
      <c r="F1272" t="str" vm="13122">
        <f>IFERROR(CUBEVALUE("BIDB",$A1272,F$3,F$2,'Præsentationstabeller 1'!$C$2),0)</f>
        <v/>
      </c>
      <c r="G1272" t="str" vm="3964">
        <f>IFERROR(CUBEVALUE("BIDB",$A1272,G$3,G$2,'Præsentationstabeller 1'!$C$2),0)</f>
        <v/>
      </c>
      <c r="H1272" t="str" vm="15702">
        <f>IFERROR(CUBEVALUE("BIDB",$A1272,H$3,H$2,'Præsentationstabeller 1'!$C$2),0)</f>
        <v/>
      </c>
      <c r="I1272" t="str" vm="3820">
        <f>IFERROR(CUBEVALUE("BIDB",$A1272,I$3,I$2,'Præsentationstabeller 1'!$C$2),0)</f>
        <v/>
      </c>
      <c r="J1272" t="str" vm="15786">
        <f>IFERROR(CUBEVALUE("BIDB",$A1272,J$3,J$2,'Præsentationstabeller 1'!$C$2),0)</f>
        <v/>
      </c>
      <c r="K1272" t="str" vm="6358">
        <f>IFERROR(CUBEVALUE("BIDB",$A1272,K$3,K$2,'Præsentationstabeller 1'!$C$2),0)</f>
        <v/>
      </c>
      <c r="L1272" t="str" vm="9897">
        <f>IFERROR(CUBEVALUE("BIDB",$A1272,L$3,L$2,'Præsentationstabeller 1'!$C$2),0)</f>
        <v/>
      </c>
    </row>
    <row r="1273" spans="1:12" x14ac:dyDescent="0.3">
      <c r="A1273" s="123" t="str" vm="63">
        <f>CUBEMEMBER("BIDB","[Dimittenddato].[Dimittenddato].&amp;[2020-08-13T00:00:00]")</f>
        <v>13-08-2020</v>
      </c>
      <c r="B1273" t="str" vm="13980">
        <f>IFERROR(CUBEVALUE("BIDB",$A1273,B$3,'Præsentationstabeller 1'!$C$2),0)</f>
        <v/>
      </c>
      <c r="C1273" t="str" vm="5048">
        <f>IFERROR(CUBEVALUE("BIDB",$A1273,C$3,C$2,'Præsentationstabeller 1'!$C$2),0)</f>
        <v/>
      </c>
      <c r="D1273" t="str" vm="15445">
        <f>IFERROR(CUBEVALUE("BIDB",$A1273,D$3,D$2,'Præsentationstabeller 1'!$C$2),0)</f>
        <v/>
      </c>
      <c r="E1273" t="str" vm="5459">
        <f>IFERROR(CUBEVALUE("BIDB",$A1273,E$3,E$2,'Præsentationstabeller 1'!$C$2),0)</f>
        <v/>
      </c>
      <c r="F1273" t="str" vm="14485">
        <f>IFERROR(CUBEVALUE("BIDB",$A1273,F$3,F$2,'Præsentationstabeller 1'!$C$2),0)</f>
        <v/>
      </c>
      <c r="G1273" t="str" vm="8569">
        <f>IFERROR(CUBEVALUE("BIDB",$A1273,G$3,G$2,'Præsentationstabeller 1'!$C$2),0)</f>
        <v/>
      </c>
      <c r="H1273" t="str" vm="14516">
        <f>IFERROR(CUBEVALUE("BIDB",$A1273,H$3,H$2,'Præsentationstabeller 1'!$C$2),0)</f>
        <v/>
      </c>
      <c r="I1273" t="str" vm="8632">
        <f>IFERROR(CUBEVALUE("BIDB",$A1273,I$3,I$2,'Præsentationstabeller 1'!$C$2),0)</f>
        <v/>
      </c>
      <c r="J1273" t="str" vm="14231">
        <f>IFERROR(CUBEVALUE("BIDB",$A1273,J$3,J$2,'Præsentationstabeller 1'!$C$2),0)</f>
        <v/>
      </c>
      <c r="K1273" t="str" vm="3329">
        <f>IFERROR(CUBEVALUE("BIDB",$A1273,K$3,K$2,'Præsentationstabeller 1'!$C$2),0)</f>
        <v/>
      </c>
      <c r="L1273" t="str" vm="16632">
        <f>IFERROR(CUBEVALUE("BIDB",$A1273,L$3,L$2,'Præsentationstabeller 1'!$C$2),0)</f>
        <v/>
      </c>
    </row>
    <row r="1274" spans="1:12" x14ac:dyDescent="0.3">
      <c r="A1274" s="123" t="str" vm="62">
        <f>CUBEMEMBER("BIDB","[Dimittenddato].[Dimittenddato].&amp;[2020-08-14T00:00:00]")</f>
        <v>14-08-2020</v>
      </c>
      <c r="B1274" t="str" vm="11402">
        <f>IFERROR(CUBEVALUE("BIDB",$A1274,B$3,'Præsentationstabeller 1'!$C$2),0)</f>
        <v/>
      </c>
      <c r="C1274" t="str" vm="4551">
        <f>IFERROR(CUBEVALUE("BIDB",$A1274,C$3,C$2,'Præsentationstabeller 1'!$C$2),0)</f>
        <v/>
      </c>
      <c r="D1274" t="str" vm="16233">
        <f>IFERROR(CUBEVALUE("BIDB",$A1274,D$3,D$2,'Præsentationstabeller 1'!$C$2),0)</f>
        <v/>
      </c>
      <c r="E1274" t="str" vm="7169">
        <f>IFERROR(CUBEVALUE("BIDB",$A1274,E$3,E$2,'Præsentationstabeller 1'!$C$2),0)</f>
        <v/>
      </c>
      <c r="F1274" t="str" vm="14970">
        <f>IFERROR(CUBEVALUE("BIDB",$A1274,F$3,F$2,'Præsentationstabeller 1'!$C$2),0)</f>
        <v/>
      </c>
      <c r="G1274" t="str" vm="3903">
        <f>IFERROR(CUBEVALUE("BIDB",$A1274,G$3,G$2,'Præsentationstabeller 1'!$C$2),0)</f>
        <v/>
      </c>
      <c r="H1274" t="str" vm="11354">
        <f>IFERROR(CUBEVALUE("BIDB",$A1274,H$3,H$2,'Præsentationstabeller 1'!$C$2),0)</f>
        <v/>
      </c>
      <c r="I1274" t="str" vm="3361">
        <f>IFERROR(CUBEVALUE("BIDB",$A1274,I$3,I$2,'Præsentationstabeller 1'!$C$2),0)</f>
        <v/>
      </c>
      <c r="J1274" t="str" vm="12926">
        <f>IFERROR(CUBEVALUE("BIDB",$A1274,J$3,J$2,'Præsentationstabeller 1'!$C$2),0)</f>
        <v/>
      </c>
      <c r="K1274" t="str" vm="6527">
        <f>IFERROR(CUBEVALUE("BIDB",$A1274,K$3,K$2,'Præsentationstabeller 1'!$C$2),0)</f>
        <v/>
      </c>
      <c r="L1274" t="str" vm="14417">
        <f>IFERROR(CUBEVALUE("BIDB",$A1274,L$3,L$2,'Præsentationstabeller 1'!$C$2),0)</f>
        <v/>
      </c>
    </row>
    <row r="1275" spans="1:12" x14ac:dyDescent="0.3">
      <c r="A1275" s="123" t="str" vm="61">
        <f>CUBEMEMBER("BIDB","[Dimittenddato].[Dimittenddato].&amp;[2020-08-15T00:00:00]")</f>
        <v>15-08-2020</v>
      </c>
      <c r="B1275" t="str" vm="15427">
        <f>IFERROR(CUBEVALUE("BIDB",$A1275,B$3,'Præsentationstabeller 1'!$C$2),0)</f>
        <v/>
      </c>
      <c r="C1275" t="str" vm="4443">
        <f>IFERROR(CUBEVALUE("BIDB",$A1275,C$3,C$2,'Præsentationstabeller 1'!$C$2),0)</f>
        <v/>
      </c>
      <c r="D1275" t="str" vm="16429">
        <f>IFERROR(CUBEVALUE("BIDB",$A1275,D$3,D$2,'Præsentationstabeller 1'!$C$2),0)</f>
        <v/>
      </c>
      <c r="E1275" t="str" vm="3706">
        <f>IFERROR(CUBEVALUE("BIDB",$A1275,E$3,E$2,'Præsentationstabeller 1'!$C$2),0)</f>
        <v/>
      </c>
      <c r="F1275" t="str" vm="12008">
        <f>IFERROR(CUBEVALUE("BIDB",$A1275,F$3,F$2,'Præsentationstabeller 1'!$C$2),0)</f>
        <v/>
      </c>
      <c r="G1275" t="str" vm="6876">
        <f>IFERROR(CUBEVALUE("BIDB",$A1275,G$3,G$2,'Præsentationstabeller 1'!$C$2),0)</f>
        <v/>
      </c>
      <c r="H1275" t="str" vm="15266">
        <f>IFERROR(CUBEVALUE("BIDB",$A1275,H$3,H$2,'Præsentationstabeller 1'!$C$2),0)</f>
        <v/>
      </c>
      <c r="I1275" t="str" vm="4740">
        <f>IFERROR(CUBEVALUE("BIDB",$A1275,I$3,I$2,'Præsentationstabeller 1'!$C$2),0)</f>
        <v/>
      </c>
      <c r="J1275" t="str" vm="12154">
        <f>IFERROR(CUBEVALUE("BIDB",$A1275,J$3,J$2,'Præsentationstabeller 1'!$C$2),0)</f>
        <v/>
      </c>
      <c r="K1275" t="str" vm="4164">
        <f>IFERROR(CUBEVALUE("BIDB",$A1275,K$3,K$2,'Præsentationstabeller 1'!$C$2),0)</f>
        <v/>
      </c>
      <c r="L1275" t="str" vm="8945">
        <f>IFERROR(CUBEVALUE("BIDB",$A1275,L$3,L$2,'Præsentationstabeller 1'!$C$2),0)</f>
        <v/>
      </c>
    </row>
    <row r="1276" spans="1:12" x14ac:dyDescent="0.3">
      <c r="A1276" s="123" t="str" vm="60">
        <f>CUBEMEMBER("BIDB","[Dimittenddato].[Dimittenddato].&amp;[2020-08-16T00:00:00]")</f>
        <v>16-08-2020</v>
      </c>
      <c r="B1276" t="str" vm="15008">
        <f>IFERROR(CUBEVALUE("BIDB",$A1276,B$3,'Præsentationstabeller 1'!$C$2),0)</f>
        <v/>
      </c>
      <c r="C1276" t="str" vm="4838">
        <f>IFERROR(CUBEVALUE("BIDB",$A1276,C$3,C$2,'Præsentationstabeller 1'!$C$2),0)</f>
        <v/>
      </c>
      <c r="D1276" t="str" vm="13363">
        <f>IFERROR(CUBEVALUE("BIDB",$A1276,D$3,D$2,'Præsentationstabeller 1'!$C$2),0)</f>
        <v/>
      </c>
      <c r="E1276" t="str" vm="4576">
        <f>IFERROR(CUBEVALUE("BIDB",$A1276,E$3,E$2,'Præsentationstabeller 1'!$C$2),0)</f>
        <v/>
      </c>
      <c r="F1276" t="str" vm="14164">
        <f>IFERROR(CUBEVALUE("BIDB",$A1276,F$3,F$2,'Præsentationstabeller 1'!$C$2),0)</f>
        <v/>
      </c>
      <c r="G1276" t="str" vm="7893">
        <f>IFERROR(CUBEVALUE("BIDB",$A1276,G$3,G$2,'Præsentationstabeller 1'!$C$2),0)</f>
        <v/>
      </c>
      <c r="H1276" t="str" vm="15801">
        <f>IFERROR(CUBEVALUE("BIDB",$A1276,H$3,H$2,'Præsentationstabeller 1'!$C$2),0)</f>
        <v/>
      </c>
      <c r="I1276" t="str" vm="3809">
        <f>IFERROR(CUBEVALUE("BIDB",$A1276,I$3,I$2,'Præsentationstabeller 1'!$C$2),0)</f>
        <v/>
      </c>
      <c r="J1276" t="str" vm="11490">
        <f>IFERROR(CUBEVALUE("BIDB",$A1276,J$3,J$2,'Præsentationstabeller 1'!$C$2),0)</f>
        <v/>
      </c>
      <c r="K1276" t="str" vm="3752">
        <f>IFERROR(CUBEVALUE("BIDB",$A1276,K$3,K$2,'Præsentationstabeller 1'!$C$2),0)</f>
        <v/>
      </c>
      <c r="L1276" t="str" vm="12711">
        <f>IFERROR(CUBEVALUE("BIDB",$A1276,L$3,L$2,'Præsentationstabeller 1'!$C$2),0)</f>
        <v/>
      </c>
    </row>
    <row r="1277" spans="1:12" x14ac:dyDescent="0.3">
      <c r="A1277" s="123" t="str" vm="59">
        <f>CUBEMEMBER("BIDB","[Dimittenddato].[Dimittenddato].&amp;[2020-08-17T00:00:00]")</f>
        <v>17-08-2020</v>
      </c>
      <c r="B1277" t="str" vm="16198">
        <f>IFERROR(CUBEVALUE("BIDB",$A1277,B$3,'Præsentationstabeller 1'!$C$2),0)</f>
        <v/>
      </c>
      <c r="C1277" t="str" vm="3553">
        <f>IFERROR(CUBEVALUE("BIDB",$A1277,C$3,C$2,'Præsentationstabeller 1'!$C$2),0)</f>
        <v/>
      </c>
      <c r="D1277" t="str" vm="12353">
        <f>IFERROR(CUBEVALUE("BIDB",$A1277,D$3,D$2,'Præsentationstabeller 1'!$C$2),0)</f>
        <v/>
      </c>
      <c r="E1277" t="str" vm="4632">
        <f>IFERROR(CUBEVALUE("BIDB",$A1277,E$3,E$2,'Præsentationstabeller 1'!$C$2),0)</f>
        <v/>
      </c>
      <c r="F1277" t="str" vm="16884">
        <f>IFERROR(CUBEVALUE("BIDB",$A1277,F$3,F$2,'Præsentationstabeller 1'!$C$2),0)</f>
        <v/>
      </c>
      <c r="G1277" t="str" vm="3239">
        <f>IFERROR(CUBEVALUE("BIDB",$A1277,G$3,G$2,'Præsentationstabeller 1'!$C$2),0)</f>
        <v/>
      </c>
      <c r="H1277" t="str" vm="15898">
        <f>IFERROR(CUBEVALUE("BIDB",$A1277,H$3,H$2,'Præsentationstabeller 1'!$C$2),0)</f>
        <v/>
      </c>
      <c r="I1277" t="str" vm="3850">
        <f>IFERROR(CUBEVALUE("BIDB",$A1277,I$3,I$2,'Præsentationstabeller 1'!$C$2),0)</f>
        <v/>
      </c>
      <c r="J1277" t="str" vm="13811">
        <f>IFERROR(CUBEVALUE("BIDB",$A1277,J$3,J$2,'Præsentationstabeller 1'!$C$2),0)</f>
        <v/>
      </c>
      <c r="K1277" t="str" vm="3214">
        <f>IFERROR(CUBEVALUE("BIDB",$A1277,K$3,K$2,'Præsentationstabeller 1'!$C$2),0)</f>
        <v/>
      </c>
      <c r="L1277" t="str" vm="8071">
        <f>IFERROR(CUBEVALUE("BIDB",$A1277,L$3,L$2,'Præsentationstabeller 1'!$C$2),0)</f>
        <v/>
      </c>
    </row>
    <row r="1278" spans="1:12" x14ac:dyDescent="0.3">
      <c r="A1278" s="123" t="str" vm="58">
        <f>CUBEMEMBER("BIDB","[Dimittenddato].[Dimittenddato].&amp;[2020-08-18T00:00:00]")</f>
        <v>18-08-2020</v>
      </c>
      <c r="B1278" t="str" vm="13828">
        <f>IFERROR(CUBEVALUE("BIDB",$A1278,B$3,'Præsentationstabeller 1'!$C$2),0)</f>
        <v/>
      </c>
      <c r="C1278" t="str" vm="4892">
        <f>IFERROR(CUBEVALUE("BIDB",$A1278,C$3,C$2,'Præsentationstabeller 1'!$C$2),0)</f>
        <v/>
      </c>
      <c r="D1278" t="str" vm="14543">
        <f>IFERROR(CUBEVALUE("BIDB",$A1278,D$3,D$2,'Præsentationstabeller 1'!$C$2),0)</f>
        <v/>
      </c>
      <c r="E1278" t="str" vm="5187">
        <f>IFERROR(CUBEVALUE("BIDB",$A1278,E$3,E$2,'Præsentationstabeller 1'!$C$2),0)</f>
        <v/>
      </c>
      <c r="F1278" t="str" vm="14316">
        <f>IFERROR(CUBEVALUE("BIDB",$A1278,F$3,F$2,'Præsentationstabeller 1'!$C$2),0)</f>
        <v/>
      </c>
      <c r="G1278" t="str" vm="4115">
        <f>IFERROR(CUBEVALUE("BIDB",$A1278,G$3,G$2,'Præsentationstabeller 1'!$C$2),0)</f>
        <v/>
      </c>
      <c r="H1278" t="str" vm="13595">
        <f>IFERROR(CUBEVALUE("BIDB",$A1278,H$3,H$2,'Præsentationstabeller 1'!$C$2),0)</f>
        <v/>
      </c>
      <c r="I1278" t="str" vm="5052">
        <f>IFERROR(CUBEVALUE("BIDB",$A1278,I$3,I$2,'Præsentationstabeller 1'!$C$2),0)</f>
        <v/>
      </c>
      <c r="J1278" t="str" vm="14460">
        <f>IFERROR(CUBEVALUE("BIDB",$A1278,J$3,J$2,'Præsentationstabeller 1'!$C$2),0)</f>
        <v/>
      </c>
      <c r="K1278" t="str" vm="5880">
        <f>IFERROR(CUBEVALUE("BIDB",$A1278,K$3,K$2,'Præsentationstabeller 1'!$C$2),0)</f>
        <v/>
      </c>
      <c r="L1278" t="str" vm="13513">
        <f>IFERROR(CUBEVALUE("BIDB",$A1278,L$3,L$2,'Præsentationstabeller 1'!$C$2),0)</f>
        <v/>
      </c>
    </row>
    <row r="1279" spans="1:12" x14ac:dyDescent="0.3">
      <c r="A1279" s="123" t="str" vm="57">
        <f>CUBEMEMBER("BIDB","[Dimittenddato].[Dimittenddato].&amp;[2020-08-19T00:00:00]")</f>
        <v>19-08-2020</v>
      </c>
      <c r="B1279" t="str" vm="15036">
        <f>IFERROR(CUBEVALUE("BIDB",$A1279,B$3,'Præsentationstabeller 1'!$C$2),0)</f>
        <v/>
      </c>
      <c r="C1279" t="str" vm="3246">
        <f>IFERROR(CUBEVALUE("BIDB",$A1279,C$3,C$2,'Præsentationstabeller 1'!$C$2),0)</f>
        <v/>
      </c>
      <c r="D1279" t="str" vm="15150">
        <f>IFERROR(CUBEVALUE("BIDB",$A1279,D$3,D$2,'Præsentationstabeller 1'!$C$2),0)</f>
        <v/>
      </c>
      <c r="E1279" t="str" vm="2935">
        <f>IFERROR(CUBEVALUE("BIDB",$A1279,E$3,E$2,'Præsentationstabeller 1'!$C$2),0)</f>
        <v/>
      </c>
      <c r="F1279" t="str" vm="11405">
        <f>IFERROR(CUBEVALUE("BIDB",$A1279,F$3,F$2,'Præsentationstabeller 1'!$C$2),0)</f>
        <v/>
      </c>
      <c r="G1279" t="str" vm="4202">
        <f>IFERROR(CUBEVALUE("BIDB",$A1279,G$3,G$2,'Præsentationstabeller 1'!$C$2),0)</f>
        <v/>
      </c>
      <c r="H1279" t="str" vm="9317">
        <f>IFERROR(CUBEVALUE("BIDB",$A1279,H$3,H$2,'Præsentationstabeller 1'!$C$2),0)</f>
        <v/>
      </c>
      <c r="I1279" t="str" vm="8434">
        <f>IFERROR(CUBEVALUE("BIDB",$A1279,I$3,I$2,'Præsentationstabeller 1'!$C$2),0)</f>
        <v/>
      </c>
      <c r="J1279" t="str" vm="13792">
        <f>IFERROR(CUBEVALUE("BIDB",$A1279,J$3,J$2,'Præsentationstabeller 1'!$C$2),0)</f>
        <v/>
      </c>
      <c r="K1279" t="str" vm="3175">
        <f>IFERROR(CUBEVALUE("BIDB",$A1279,K$3,K$2,'Præsentationstabeller 1'!$C$2),0)</f>
        <v/>
      </c>
      <c r="L1279" t="str" vm="15396">
        <f>IFERROR(CUBEVALUE("BIDB",$A1279,L$3,L$2,'Præsentationstabeller 1'!$C$2),0)</f>
        <v/>
      </c>
    </row>
    <row r="1280" spans="1:12" x14ac:dyDescent="0.3">
      <c r="A1280" s="123" t="str" vm="56">
        <f>CUBEMEMBER("BIDB","[Dimittenddato].[Dimittenddato].&amp;[2020-08-20T00:00:00]")</f>
        <v>20-08-2020</v>
      </c>
      <c r="B1280" t="str" vm="14904">
        <f>IFERROR(CUBEVALUE("BIDB",$A1280,B$3,'Præsentationstabeller 1'!$C$2),0)</f>
        <v/>
      </c>
      <c r="C1280" t="str" vm="5740">
        <f>IFERROR(CUBEVALUE("BIDB",$A1280,C$3,C$2,'Præsentationstabeller 1'!$C$2),0)</f>
        <v/>
      </c>
      <c r="D1280" t="str" vm="11916">
        <f>IFERROR(CUBEVALUE("BIDB",$A1280,D$3,D$2,'Præsentationstabeller 1'!$C$2),0)</f>
        <v/>
      </c>
      <c r="E1280" t="str" vm="3827">
        <f>IFERROR(CUBEVALUE("BIDB",$A1280,E$3,E$2,'Præsentationstabeller 1'!$C$2),0)</f>
        <v/>
      </c>
      <c r="F1280" t="str" vm="14659">
        <f>IFERROR(CUBEVALUE("BIDB",$A1280,F$3,F$2,'Præsentationstabeller 1'!$C$2),0)</f>
        <v/>
      </c>
      <c r="G1280" t="str" vm="3345">
        <f>IFERROR(CUBEVALUE("BIDB",$A1280,G$3,G$2,'Præsentationstabeller 1'!$C$2),0)</f>
        <v/>
      </c>
      <c r="H1280" t="str" vm="10678">
        <f>IFERROR(CUBEVALUE("BIDB",$A1280,H$3,H$2,'Præsentationstabeller 1'!$C$2),0)</f>
        <v/>
      </c>
      <c r="I1280" t="str" vm="3090">
        <f>IFERROR(CUBEVALUE("BIDB",$A1280,I$3,I$2,'Præsentationstabeller 1'!$C$2),0)</f>
        <v/>
      </c>
      <c r="J1280" t="str" vm="12581">
        <f>IFERROR(CUBEVALUE("BIDB",$A1280,J$3,J$2,'Præsentationstabeller 1'!$C$2),0)</f>
        <v/>
      </c>
      <c r="K1280" t="str" vm="7795">
        <f>IFERROR(CUBEVALUE("BIDB",$A1280,K$3,K$2,'Præsentationstabeller 1'!$C$2),0)</f>
        <v/>
      </c>
      <c r="L1280" t="str" vm="16063">
        <f>IFERROR(CUBEVALUE("BIDB",$A1280,L$3,L$2,'Præsentationstabeller 1'!$C$2),0)</f>
        <v/>
      </c>
    </row>
    <row r="1281" spans="1:12" x14ac:dyDescent="0.3">
      <c r="A1281" s="123" t="str" vm="55">
        <f>CUBEMEMBER("BIDB","[Dimittenddato].[Dimittenddato].&amp;[2020-08-21T00:00:00]")</f>
        <v>21-08-2020</v>
      </c>
      <c r="B1281" t="str" vm="15674">
        <f>IFERROR(CUBEVALUE("BIDB",$A1281,B$3,'Præsentationstabeller 1'!$C$2),0)</f>
        <v/>
      </c>
      <c r="C1281" t="str" vm="5443">
        <f>IFERROR(CUBEVALUE("BIDB",$A1281,C$3,C$2,'Præsentationstabeller 1'!$C$2),0)</f>
        <v/>
      </c>
      <c r="D1281" t="str" vm="12110">
        <f>IFERROR(CUBEVALUE("BIDB",$A1281,D$3,D$2,'Præsentationstabeller 1'!$C$2),0)</f>
        <v/>
      </c>
      <c r="E1281" t="str" vm="3825">
        <f>IFERROR(CUBEVALUE("BIDB",$A1281,E$3,E$2,'Præsentationstabeller 1'!$C$2),0)</f>
        <v/>
      </c>
      <c r="F1281" t="str" vm="16914">
        <f>IFERROR(CUBEVALUE("BIDB",$A1281,F$3,F$2,'Præsentationstabeller 1'!$C$2),0)</f>
        <v/>
      </c>
      <c r="G1281" t="str" vm="4374">
        <f>IFERROR(CUBEVALUE("BIDB",$A1281,G$3,G$2,'Præsentationstabeller 1'!$C$2),0)</f>
        <v/>
      </c>
      <c r="H1281" t="str" vm="9979">
        <f>IFERROR(CUBEVALUE("BIDB",$A1281,H$3,H$2,'Præsentationstabeller 1'!$C$2),0)</f>
        <v/>
      </c>
      <c r="I1281" t="str" vm="5745">
        <f>IFERROR(CUBEVALUE("BIDB",$A1281,I$3,I$2,'Præsentationstabeller 1'!$C$2),0)</f>
        <v/>
      </c>
      <c r="J1281" t="str" vm="17139">
        <f>IFERROR(CUBEVALUE("BIDB",$A1281,J$3,J$2,'Præsentationstabeller 1'!$C$2),0)</f>
        <v/>
      </c>
      <c r="K1281" t="str" vm="4699">
        <f>IFERROR(CUBEVALUE("BIDB",$A1281,K$3,K$2,'Præsentationstabeller 1'!$C$2),0)</f>
        <v/>
      </c>
      <c r="L1281" t="str" vm="15968">
        <f>IFERROR(CUBEVALUE("BIDB",$A1281,L$3,L$2,'Præsentationstabeller 1'!$C$2),0)</f>
        <v/>
      </c>
    </row>
    <row r="1282" spans="1:12" x14ac:dyDescent="0.3">
      <c r="A1282" s="123" t="str" vm="54">
        <f>CUBEMEMBER("BIDB","[Dimittenddato].[Dimittenddato].&amp;[2020-08-22T00:00:00]")</f>
        <v>22-08-2020</v>
      </c>
      <c r="B1282" t="str" vm="15925">
        <f>IFERROR(CUBEVALUE("BIDB",$A1282,B$3,'Præsentationstabeller 1'!$C$2),0)</f>
        <v/>
      </c>
      <c r="C1282" t="str" vm="6154">
        <f>IFERROR(CUBEVALUE("BIDB",$A1282,C$3,C$2,'Præsentationstabeller 1'!$C$2),0)</f>
        <v/>
      </c>
      <c r="D1282" t="str" vm="16629">
        <f>IFERROR(CUBEVALUE("BIDB",$A1282,D$3,D$2,'Præsentationstabeller 1'!$C$2),0)</f>
        <v/>
      </c>
      <c r="E1282" t="str" vm="5330">
        <f>IFERROR(CUBEVALUE("BIDB",$A1282,E$3,E$2,'Præsentationstabeller 1'!$C$2),0)</f>
        <v/>
      </c>
      <c r="F1282" t="str" vm="13647">
        <f>IFERROR(CUBEVALUE("BIDB",$A1282,F$3,F$2,'Præsentationstabeller 1'!$C$2),0)</f>
        <v/>
      </c>
      <c r="G1282" t="str" vm="4188">
        <f>IFERROR(CUBEVALUE("BIDB",$A1282,G$3,G$2,'Præsentationstabeller 1'!$C$2),0)</f>
        <v/>
      </c>
      <c r="H1282" t="str" vm="16020">
        <f>IFERROR(CUBEVALUE("BIDB",$A1282,H$3,H$2,'Præsentationstabeller 1'!$C$2),0)</f>
        <v/>
      </c>
      <c r="I1282" t="str" vm="6727">
        <f>IFERROR(CUBEVALUE("BIDB",$A1282,I$3,I$2,'Præsentationstabeller 1'!$C$2),0)</f>
        <v/>
      </c>
      <c r="J1282" t="str" vm="16877">
        <f>IFERROR(CUBEVALUE("BIDB",$A1282,J$3,J$2,'Præsentationstabeller 1'!$C$2),0)</f>
        <v/>
      </c>
      <c r="K1282" t="str" vm="5195">
        <f>IFERROR(CUBEVALUE("BIDB",$A1282,K$3,K$2,'Præsentationstabeller 1'!$C$2),0)</f>
        <v/>
      </c>
      <c r="L1282" t="str" vm="11035">
        <f>IFERROR(CUBEVALUE("BIDB",$A1282,L$3,L$2,'Præsentationstabeller 1'!$C$2),0)</f>
        <v/>
      </c>
    </row>
    <row r="1283" spans="1:12" x14ac:dyDescent="0.3">
      <c r="A1283" s="123" t="str" vm="53">
        <f>CUBEMEMBER("BIDB","[Dimittenddato].[Dimittenddato].&amp;[2020-08-23T00:00:00]")</f>
        <v>23-08-2020</v>
      </c>
      <c r="B1283" t="str" vm="15997">
        <f>IFERROR(CUBEVALUE("BIDB",$A1283,B$3,'Præsentationstabeller 1'!$C$2),0)</f>
        <v/>
      </c>
      <c r="C1283" t="str" vm="4731">
        <f>IFERROR(CUBEVALUE("BIDB",$A1283,C$3,C$2,'Præsentationstabeller 1'!$C$2),0)</f>
        <v/>
      </c>
      <c r="D1283" t="str" vm="12101">
        <f>IFERROR(CUBEVALUE("BIDB",$A1283,D$3,D$2,'Præsentationstabeller 1'!$C$2),0)</f>
        <v/>
      </c>
      <c r="E1283" t="str" vm="2671">
        <f>IFERROR(CUBEVALUE("BIDB",$A1283,E$3,E$2,'Præsentationstabeller 1'!$C$2),0)</f>
        <v/>
      </c>
      <c r="F1283" t="str" vm="14746">
        <f>IFERROR(CUBEVALUE("BIDB",$A1283,F$3,F$2,'Præsentationstabeller 1'!$C$2),0)</f>
        <v/>
      </c>
      <c r="G1283" t="str" vm="5336">
        <f>IFERROR(CUBEVALUE("BIDB",$A1283,G$3,G$2,'Præsentationstabeller 1'!$C$2),0)</f>
        <v/>
      </c>
      <c r="H1283" t="str" vm="12743">
        <f>IFERROR(CUBEVALUE("BIDB",$A1283,H$3,H$2,'Præsentationstabeller 1'!$C$2),0)</f>
        <v/>
      </c>
      <c r="I1283" t="str" vm="4724">
        <f>IFERROR(CUBEVALUE("BIDB",$A1283,I$3,I$2,'Præsentationstabeller 1'!$C$2),0)</f>
        <v/>
      </c>
      <c r="J1283" t="str" vm="16570">
        <f>IFERROR(CUBEVALUE("BIDB",$A1283,J$3,J$2,'Præsentationstabeller 1'!$C$2),0)</f>
        <v/>
      </c>
      <c r="K1283" t="str" vm="3666">
        <f>IFERROR(CUBEVALUE("BIDB",$A1283,K$3,K$2,'Præsentationstabeller 1'!$C$2),0)</f>
        <v/>
      </c>
      <c r="L1283" t="str" vm="14879">
        <f>IFERROR(CUBEVALUE("BIDB",$A1283,L$3,L$2,'Præsentationstabeller 1'!$C$2),0)</f>
        <v/>
      </c>
    </row>
    <row r="1284" spans="1:12" x14ac:dyDescent="0.3">
      <c r="A1284" s="123" t="str" vm="52">
        <f>CUBEMEMBER("BIDB","[Dimittenddato].[Dimittenddato].&amp;[2020-08-24T00:00:00]")</f>
        <v>24-08-2020</v>
      </c>
      <c r="B1284" t="str" vm="14282">
        <f>IFERROR(CUBEVALUE("BIDB",$A1284,B$3,'Præsentationstabeller 1'!$C$2),0)</f>
        <v/>
      </c>
      <c r="C1284" t="str" vm="4291">
        <f>IFERROR(CUBEVALUE("BIDB",$A1284,C$3,C$2,'Præsentationstabeller 1'!$C$2),0)</f>
        <v/>
      </c>
      <c r="D1284" t="str" vm="12495">
        <f>IFERROR(CUBEVALUE("BIDB",$A1284,D$3,D$2,'Præsentationstabeller 1'!$C$2),0)</f>
        <v/>
      </c>
      <c r="E1284" t="str" vm="3269">
        <f>IFERROR(CUBEVALUE("BIDB",$A1284,E$3,E$2,'Præsentationstabeller 1'!$C$2),0)</f>
        <v/>
      </c>
      <c r="F1284" t="str" vm="14407">
        <f>IFERROR(CUBEVALUE("BIDB",$A1284,F$3,F$2,'Præsentationstabeller 1'!$C$2),0)</f>
        <v/>
      </c>
      <c r="G1284" t="str" vm="3230">
        <f>IFERROR(CUBEVALUE("BIDB",$A1284,G$3,G$2,'Præsentationstabeller 1'!$C$2),0)</f>
        <v/>
      </c>
      <c r="H1284" t="str" vm="10620">
        <f>IFERROR(CUBEVALUE("BIDB",$A1284,H$3,H$2,'Præsentationstabeller 1'!$C$2),0)</f>
        <v/>
      </c>
      <c r="I1284" t="str" vm="3969">
        <f>IFERROR(CUBEVALUE("BIDB",$A1284,I$3,I$2,'Præsentationstabeller 1'!$C$2),0)</f>
        <v/>
      </c>
      <c r="J1284" t="str" vm="15223">
        <f>IFERROR(CUBEVALUE("BIDB",$A1284,J$3,J$2,'Præsentationstabeller 1'!$C$2),0)</f>
        <v/>
      </c>
      <c r="K1284" t="str" vm="4232">
        <f>IFERROR(CUBEVALUE("BIDB",$A1284,K$3,K$2,'Præsentationstabeller 1'!$C$2),0)</f>
        <v/>
      </c>
      <c r="L1284" t="str" vm="11575">
        <f>IFERROR(CUBEVALUE("BIDB",$A1284,L$3,L$2,'Præsentationstabeller 1'!$C$2),0)</f>
        <v/>
      </c>
    </row>
    <row r="1285" spans="1:12" x14ac:dyDescent="0.3">
      <c r="A1285" s="123" t="str" vm="51">
        <f>CUBEMEMBER("BIDB","[Dimittenddato].[Dimittenddato].&amp;[2020-08-25T00:00:00]")</f>
        <v>25-08-2020</v>
      </c>
      <c r="B1285" t="str" vm="12928">
        <f>IFERROR(CUBEVALUE("BIDB",$A1285,B$3,'Præsentationstabeller 1'!$C$2),0)</f>
        <v/>
      </c>
      <c r="C1285" t="str" vm="5564">
        <f>IFERROR(CUBEVALUE("BIDB",$A1285,C$3,C$2,'Præsentationstabeller 1'!$C$2),0)</f>
        <v/>
      </c>
      <c r="D1285" t="str" vm="14495">
        <f>IFERROR(CUBEVALUE("BIDB",$A1285,D$3,D$2,'Præsentationstabeller 1'!$C$2),0)</f>
        <v/>
      </c>
      <c r="E1285" t="str" vm="5948">
        <f>IFERROR(CUBEVALUE("BIDB",$A1285,E$3,E$2,'Præsentationstabeller 1'!$C$2),0)</f>
        <v/>
      </c>
      <c r="F1285" t="str" vm="13986">
        <f>IFERROR(CUBEVALUE("BIDB",$A1285,F$3,F$2,'Præsentationstabeller 1'!$C$2),0)</f>
        <v/>
      </c>
      <c r="G1285" t="str" vm="4094">
        <f>IFERROR(CUBEVALUE("BIDB",$A1285,G$3,G$2,'Præsentationstabeller 1'!$C$2),0)</f>
        <v/>
      </c>
      <c r="H1285" t="str" vm="11935">
        <f>IFERROR(CUBEVALUE("BIDB",$A1285,H$3,H$2,'Præsentationstabeller 1'!$C$2),0)</f>
        <v/>
      </c>
      <c r="I1285" t="str" vm="3736">
        <f>IFERROR(CUBEVALUE("BIDB",$A1285,I$3,I$2,'Præsentationstabeller 1'!$C$2),0)</f>
        <v/>
      </c>
      <c r="J1285" t="str" vm="12161">
        <f>IFERROR(CUBEVALUE("BIDB",$A1285,J$3,J$2,'Præsentationstabeller 1'!$C$2),0)</f>
        <v/>
      </c>
      <c r="K1285" t="str" vm="3711">
        <f>IFERROR(CUBEVALUE("BIDB",$A1285,K$3,K$2,'Præsentationstabeller 1'!$C$2),0)</f>
        <v/>
      </c>
      <c r="L1285" t="str" vm="10575">
        <f>IFERROR(CUBEVALUE("BIDB",$A1285,L$3,L$2,'Præsentationstabeller 1'!$C$2),0)</f>
        <v/>
      </c>
    </row>
    <row r="1286" spans="1:12" x14ac:dyDescent="0.3">
      <c r="A1286" s="123" t="str" vm="50">
        <f>CUBEMEMBER("BIDB","[Dimittenddato].[Dimittenddato].&amp;[2020-08-26T00:00:00]")</f>
        <v>26-08-2020</v>
      </c>
      <c r="B1286" t="str" vm="12570">
        <f>IFERROR(CUBEVALUE("BIDB",$A1286,B$3,'Præsentationstabeller 1'!$C$2),0)</f>
        <v/>
      </c>
      <c r="C1286" t="str" vm="5294">
        <f>IFERROR(CUBEVALUE("BIDB",$A1286,C$3,C$2,'Præsentationstabeller 1'!$C$2),0)</f>
        <v/>
      </c>
      <c r="D1286" t="str" vm="12915">
        <f>IFERROR(CUBEVALUE("BIDB",$A1286,D$3,D$2,'Præsentationstabeller 1'!$C$2),0)</f>
        <v/>
      </c>
      <c r="E1286" t="str" vm="4917">
        <f>IFERROR(CUBEVALUE("BIDB",$A1286,E$3,E$2,'Præsentationstabeller 1'!$C$2),0)</f>
        <v/>
      </c>
      <c r="F1286" t="str" vm="14351">
        <f>IFERROR(CUBEVALUE("BIDB",$A1286,F$3,F$2,'Præsentationstabeller 1'!$C$2),0)</f>
        <v/>
      </c>
      <c r="G1286" t="str" vm="3695">
        <f>IFERROR(CUBEVALUE("BIDB",$A1286,G$3,G$2,'Præsentationstabeller 1'!$C$2),0)</f>
        <v/>
      </c>
      <c r="H1286" t="str" vm="14801">
        <f>IFERROR(CUBEVALUE("BIDB",$A1286,H$3,H$2,'Præsentationstabeller 1'!$C$2),0)</f>
        <v/>
      </c>
      <c r="I1286" t="str" vm="5484">
        <f>IFERROR(CUBEVALUE("BIDB",$A1286,I$3,I$2,'Præsentationstabeller 1'!$C$2),0)</f>
        <v/>
      </c>
      <c r="J1286" t="str" vm="14754">
        <f>IFERROR(CUBEVALUE("BIDB",$A1286,J$3,J$2,'Præsentationstabeller 1'!$C$2),0)</f>
        <v/>
      </c>
      <c r="K1286" t="str" vm="5793">
        <f>IFERROR(CUBEVALUE("BIDB",$A1286,K$3,K$2,'Præsentationstabeller 1'!$C$2),0)</f>
        <v/>
      </c>
      <c r="L1286" t="str" vm="11826">
        <f>IFERROR(CUBEVALUE("BIDB",$A1286,L$3,L$2,'Præsentationstabeller 1'!$C$2),0)</f>
        <v/>
      </c>
    </row>
    <row r="1287" spans="1:12" x14ac:dyDescent="0.3">
      <c r="A1287" s="123" t="str" vm="49">
        <f>CUBEMEMBER("BIDB","[Dimittenddato].[Dimittenddato].&amp;[2020-08-27T00:00:00]")</f>
        <v>27-08-2020</v>
      </c>
      <c r="B1287" t="str" vm="14862">
        <f>IFERROR(CUBEVALUE("BIDB",$A1287,B$3,'Præsentationstabeller 1'!$C$2),0)</f>
        <v/>
      </c>
      <c r="C1287" t="str" vm="5956">
        <f>IFERROR(CUBEVALUE("BIDB",$A1287,C$3,C$2,'Præsentationstabeller 1'!$C$2),0)</f>
        <v/>
      </c>
      <c r="D1287" t="str" vm="15126">
        <f>IFERROR(CUBEVALUE("BIDB",$A1287,D$3,D$2,'Præsentationstabeller 1'!$C$2),0)</f>
        <v/>
      </c>
      <c r="E1287" t="str" vm="3513">
        <f>IFERROR(CUBEVALUE("BIDB",$A1287,E$3,E$2,'Præsentationstabeller 1'!$C$2),0)</f>
        <v/>
      </c>
      <c r="F1287" t="str" vm="12417">
        <f>IFERROR(CUBEVALUE("BIDB",$A1287,F$3,F$2,'Præsentationstabeller 1'!$C$2),0)</f>
        <v/>
      </c>
      <c r="G1287" t="str" vm="3713">
        <f>IFERROR(CUBEVALUE("BIDB",$A1287,G$3,G$2,'Præsentationstabeller 1'!$C$2),0)</f>
        <v/>
      </c>
      <c r="H1287" t="str" vm="14987">
        <f>IFERROR(CUBEVALUE("BIDB",$A1287,H$3,H$2,'Præsentationstabeller 1'!$C$2),0)</f>
        <v/>
      </c>
      <c r="I1287" t="str" vm="5681">
        <f>IFERROR(CUBEVALUE("BIDB",$A1287,I$3,I$2,'Præsentationstabeller 1'!$C$2),0)</f>
        <v/>
      </c>
      <c r="J1287" t="str" vm="12939">
        <f>IFERROR(CUBEVALUE("BIDB",$A1287,J$3,J$2,'Præsentationstabeller 1'!$C$2),0)</f>
        <v/>
      </c>
      <c r="K1287" t="str" vm="3651">
        <f>IFERROR(CUBEVALUE("BIDB",$A1287,K$3,K$2,'Præsentationstabeller 1'!$C$2),0)</f>
        <v/>
      </c>
      <c r="L1287" t="str" vm="8425">
        <f>IFERROR(CUBEVALUE("BIDB",$A1287,L$3,L$2,'Præsentationstabeller 1'!$C$2),0)</f>
        <v/>
      </c>
    </row>
    <row r="1288" spans="1:12" x14ac:dyDescent="0.3">
      <c r="A1288" s="123" t="str" vm="48">
        <f>CUBEMEMBER("BIDB","[Dimittenddato].[Dimittenddato].&amp;[2020-08-28T00:00:00]")</f>
        <v>28-08-2020</v>
      </c>
      <c r="B1288" t="str" vm="15574">
        <f>IFERROR(CUBEVALUE("BIDB",$A1288,B$3,'Præsentationstabeller 1'!$C$2),0)</f>
        <v/>
      </c>
      <c r="C1288" t="str" vm="4625">
        <f>IFERROR(CUBEVALUE("BIDB",$A1288,C$3,C$2,'Præsentationstabeller 1'!$C$2),0)</f>
        <v/>
      </c>
      <c r="D1288" t="str" vm="12509">
        <f>IFERROR(CUBEVALUE("BIDB",$A1288,D$3,D$2,'Præsentationstabeller 1'!$C$2),0)</f>
        <v/>
      </c>
      <c r="E1288" t="str" vm="6076">
        <f>IFERROR(CUBEVALUE("BIDB",$A1288,E$3,E$2,'Præsentationstabeller 1'!$C$2),0)</f>
        <v/>
      </c>
      <c r="F1288" t="str" vm="15491">
        <f>IFERROR(CUBEVALUE("BIDB",$A1288,F$3,F$2,'Præsentationstabeller 1'!$C$2),0)</f>
        <v/>
      </c>
      <c r="G1288" t="str" vm="4193">
        <f>IFERROR(CUBEVALUE("BIDB",$A1288,G$3,G$2,'Præsentationstabeller 1'!$C$2),0)</f>
        <v/>
      </c>
      <c r="H1288" t="str" vm="11373">
        <f>IFERROR(CUBEVALUE("BIDB",$A1288,H$3,H$2,'Præsentationstabeller 1'!$C$2),0)</f>
        <v/>
      </c>
      <c r="I1288" t="str" vm="3568">
        <f>IFERROR(CUBEVALUE("BIDB",$A1288,I$3,I$2,'Præsentationstabeller 1'!$C$2),0)</f>
        <v/>
      </c>
      <c r="J1288" t="str" vm="15358">
        <f>IFERROR(CUBEVALUE("BIDB",$A1288,J$3,J$2,'Præsentationstabeller 1'!$C$2),0)</f>
        <v/>
      </c>
      <c r="K1288" t="str" vm="4604">
        <f>IFERROR(CUBEVALUE("BIDB",$A1288,K$3,K$2,'Præsentationstabeller 1'!$C$2),0)</f>
        <v/>
      </c>
      <c r="L1288" t="str" vm="12940">
        <f>IFERROR(CUBEVALUE("BIDB",$A1288,L$3,L$2,'Præsentationstabeller 1'!$C$2),0)</f>
        <v/>
      </c>
    </row>
    <row r="1289" spans="1:12" x14ac:dyDescent="0.3">
      <c r="A1289" s="123" t="str" vm="47">
        <f>CUBEMEMBER("BIDB","[Dimittenddato].[Dimittenddato].&amp;[2020-08-29T00:00:00]")</f>
        <v>29-08-2020</v>
      </c>
      <c r="B1289" t="str" vm="15297">
        <f>IFERROR(CUBEVALUE("BIDB",$A1289,B$3,'Præsentationstabeller 1'!$C$2),0)</f>
        <v/>
      </c>
      <c r="C1289" t="str" vm="4177">
        <f>IFERROR(CUBEVALUE("BIDB",$A1289,C$3,C$2,'Præsentationstabeller 1'!$C$2),0)</f>
        <v/>
      </c>
      <c r="D1289" t="str" vm="16579">
        <f>IFERROR(CUBEVALUE("BIDB",$A1289,D$3,D$2,'Præsentationstabeller 1'!$C$2),0)</f>
        <v/>
      </c>
      <c r="E1289" t="str" vm="4085">
        <f>IFERROR(CUBEVALUE("BIDB",$A1289,E$3,E$2,'Præsentationstabeller 1'!$C$2),0)</f>
        <v/>
      </c>
      <c r="F1289" t="str" vm="13758">
        <f>IFERROR(CUBEVALUE("BIDB",$A1289,F$3,F$2,'Præsentationstabeller 1'!$C$2),0)</f>
        <v/>
      </c>
      <c r="G1289" t="str" vm="9054">
        <f>IFERROR(CUBEVALUE("BIDB",$A1289,G$3,G$2,'Præsentationstabeller 1'!$C$2),0)</f>
        <v/>
      </c>
      <c r="H1289" t="str" vm="9630">
        <f>IFERROR(CUBEVALUE("BIDB",$A1289,H$3,H$2,'Præsentationstabeller 1'!$C$2),0)</f>
        <v/>
      </c>
      <c r="I1289" t="str" vm="6996">
        <f>IFERROR(CUBEVALUE("BIDB",$A1289,I$3,I$2,'Præsentationstabeller 1'!$C$2),0)</f>
        <v/>
      </c>
      <c r="J1289" t="str" vm="14526">
        <f>IFERROR(CUBEVALUE("BIDB",$A1289,J$3,J$2,'Præsentationstabeller 1'!$C$2),0)</f>
        <v/>
      </c>
      <c r="K1289" t="str" vm="4715">
        <f>IFERROR(CUBEVALUE("BIDB",$A1289,K$3,K$2,'Præsentationstabeller 1'!$C$2),0)</f>
        <v/>
      </c>
      <c r="L1289" t="str" vm="16906">
        <f>IFERROR(CUBEVALUE("BIDB",$A1289,L$3,L$2,'Præsentationstabeller 1'!$C$2),0)</f>
        <v/>
      </c>
    </row>
    <row r="1290" spans="1:12" x14ac:dyDescent="0.3">
      <c r="A1290" s="123" t="str" vm="46">
        <f>CUBEMEMBER("BIDB","[Dimittenddato].[Dimittenddato].&amp;[2020-08-30T00:00:00]")</f>
        <v>30-08-2020</v>
      </c>
      <c r="B1290" t="str" vm="14404">
        <f>IFERROR(CUBEVALUE("BIDB",$A1290,B$3,'Præsentationstabeller 1'!$C$2),0)</f>
        <v/>
      </c>
      <c r="C1290" t="str" vm="5612">
        <f>IFERROR(CUBEVALUE("BIDB",$A1290,C$3,C$2,'Præsentationstabeller 1'!$C$2),0)</f>
        <v/>
      </c>
      <c r="D1290" t="str" vm="14917">
        <f>IFERROR(CUBEVALUE("BIDB",$A1290,D$3,D$2,'Præsentationstabeller 1'!$C$2),0)</f>
        <v/>
      </c>
      <c r="E1290" t="str" vm="5328">
        <f>IFERROR(CUBEVALUE("BIDB",$A1290,E$3,E$2,'Præsentationstabeller 1'!$C$2),0)</f>
        <v/>
      </c>
      <c r="F1290" t="str" vm="16226">
        <f>IFERROR(CUBEVALUE("BIDB",$A1290,F$3,F$2,'Præsentationstabeller 1'!$C$2),0)</f>
        <v/>
      </c>
      <c r="G1290" t="str" vm="3438">
        <f>IFERROR(CUBEVALUE("BIDB",$A1290,G$3,G$2,'Præsentationstabeller 1'!$C$2),0)</f>
        <v/>
      </c>
      <c r="H1290" t="str" vm="9595">
        <f>IFERROR(CUBEVALUE("BIDB",$A1290,H$3,H$2,'Præsentationstabeller 1'!$C$2),0)</f>
        <v/>
      </c>
      <c r="I1290" t="str" vm="4662">
        <f>IFERROR(CUBEVALUE("BIDB",$A1290,I$3,I$2,'Præsentationstabeller 1'!$C$2),0)</f>
        <v/>
      </c>
      <c r="J1290" t="str" vm="13884">
        <f>IFERROR(CUBEVALUE("BIDB",$A1290,J$3,J$2,'Præsentationstabeller 1'!$C$2),0)</f>
        <v/>
      </c>
      <c r="K1290" t="str" vm="5191">
        <f>IFERROR(CUBEVALUE("BIDB",$A1290,K$3,K$2,'Præsentationstabeller 1'!$C$2),0)</f>
        <v/>
      </c>
      <c r="L1290" t="str" vm="9785">
        <f>IFERROR(CUBEVALUE("BIDB",$A1290,L$3,L$2,'Præsentationstabeller 1'!$C$2),0)</f>
        <v/>
      </c>
    </row>
    <row r="1291" spans="1:12" x14ac:dyDescent="0.3">
      <c r="A1291" s="123" t="str" vm="45">
        <f>CUBEMEMBER("BIDB","[Dimittenddato].[Dimittenddato].&amp;[2020-08-31T00:00:00]")</f>
        <v>31-08-2020</v>
      </c>
      <c r="B1291" t="str" vm="13831">
        <f>IFERROR(CUBEVALUE("BIDB",$A1291,B$3,'Præsentationstabeller 1'!$C$2),0)</f>
        <v/>
      </c>
      <c r="C1291" t="str" vm="5819">
        <f>IFERROR(CUBEVALUE("BIDB",$A1291,C$3,C$2,'Præsentationstabeller 1'!$C$2),0)</f>
        <v/>
      </c>
      <c r="D1291" t="str" vm="13267">
        <f>IFERROR(CUBEVALUE("BIDB",$A1291,D$3,D$2,'Præsentationstabeller 1'!$C$2),0)</f>
        <v/>
      </c>
      <c r="E1291" t="str" vm="3932">
        <f>IFERROR(CUBEVALUE("BIDB",$A1291,E$3,E$2,'Præsentationstabeller 1'!$C$2),0)</f>
        <v/>
      </c>
      <c r="F1291" t="str" vm="15897">
        <f>IFERROR(CUBEVALUE("BIDB",$A1291,F$3,F$2,'Præsentationstabeller 1'!$C$2),0)</f>
        <v/>
      </c>
      <c r="G1291" t="str" vm="4754">
        <f>IFERROR(CUBEVALUE("BIDB",$A1291,G$3,G$2,'Præsentationstabeller 1'!$C$2),0)</f>
        <v/>
      </c>
      <c r="H1291" t="str" vm="16203">
        <f>IFERROR(CUBEVALUE("BIDB",$A1291,H$3,H$2,'Præsentationstabeller 1'!$C$2),0)</f>
        <v/>
      </c>
      <c r="I1291" t="str" vm="3980">
        <f>IFERROR(CUBEVALUE("BIDB",$A1291,I$3,I$2,'Præsentationstabeller 1'!$C$2),0)</f>
        <v/>
      </c>
      <c r="J1291" t="str" vm="11393">
        <f>IFERROR(CUBEVALUE("BIDB",$A1291,J$3,J$2,'Præsentationstabeller 1'!$C$2),0)</f>
        <v/>
      </c>
      <c r="K1291" t="str" vm="4001">
        <f>IFERROR(CUBEVALUE("BIDB",$A1291,K$3,K$2,'Præsentationstabeller 1'!$C$2),0)</f>
        <v/>
      </c>
      <c r="L1291" t="str" vm="12023">
        <f>IFERROR(CUBEVALUE("BIDB",$A1291,L$3,L$2,'Præsentationstabeller 1'!$C$2),0)</f>
        <v/>
      </c>
    </row>
    <row r="1292" spans="1:12" x14ac:dyDescent="0.3">
      <c r="A1292" s="1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showGridLines="0" topLeftCell="A4" zoomScale="85" zoomScaleNormal="85" workbookViewId="0">
      <selection activeCell="J6" sqref="J6:J41"/>
    </sheetView>
  </sheetViews>
  <sheetFormatPr defaultColWidth="9.109375" defaultRowHeight="14.4" x14ac:dyDescent="0.3"/>
  <cols>
    <col min="1" max="1" width="4.33203125" style="8" customWidth="1"/>
    <col min="2" max="2" width="31.6640625" style="8" bestFit="1" customWidth="1"/>
    <col min="3" max="3" width="22.5546875" style="8" bestFit="1" customWidth="1"/>
    <col min="4" max="4" width="15.44140625" style="8" bestFit="1" customWidth="1"/>
    <col min="5" max="5" width="12.88671875" style="8" bestFit="1" customWidth="1"/>
    <col min="6" max="6" width="7.88671875" style="8" bestFit="1" customWidth="1"/>
    <col min="7" max="7" width="15.44140625" style="8" bestFit="1" customWidth="1"/>
    <col min="8" max="8" width="12.88671875" style="8" bestFit="1" customWidth="1"/>
    <col min="9" max="9" width="7.88671875" style="8" customWidth="1"/>
    <col min="10" max="10" width="15.44140625" style="8" bestFit="1" customWidth="1"/>
    <col min="11" max="11" width="12.88671875" style="8" bestFit="1" customWidth="1"/>
    <col min="12" max="12" width="7.88671875" style="8" customWidth="1"/>
    <col min="13" max="16384" width="9.109375" style="8"/>
  </cols>
  <sheetData>
    <row r="1" spans="2:13" ht="15" x14ac:dyDescent="0.25">
      <c r="B1"/>
      <c r="C1"/>
    </row>
    <row r="2" spans="2:13" ht="15" x14ac:dyDescent="0.25">
      <c r="D2" s="12"/>
    </row>
    <row r="3" spans="2:13" s="15" customFormat="1" ht="15" x14ac:dyDescent="0.25">
      <c r="D3" s="142" t="str" vm="23">
        <f>CUBEMEMBER("BIDB","[Medlem].[Køn].&amp;[Kvinde]","Kvinder")</f>
        <v>Kvinder</v>
      </c>
      <c r="E3" s="142"/>
      <c r="F3" s="142"/>
      <c r="G3" s="143" t="str" vm="30">
        <f>CUBEMEMBER("BIDB","[Medlem].[Køn].&amp;[Mand]","Mænd")</f>
        <v>Mænd</v>
      </c>
      <c r="H3" s="143"/>
      <c r="I3" s="143"/>
      <c r="J3" s="143" t="s">
        <v>2</v>
      </c>
      <c r="K3" s="143"/>
      <c r="L3" s="143"/>
    </row>
    <row r="4" spans="2:13" s="16" customFormat="1" ht="15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</row>
    <row r="5" spans="2:13" ht="15" x14ac:dyDescent="0.25">
      <c r="B5" s="45" t="str" vm="11">
        <f>CUBEMEMBER("BIDB","[Uddannelse].[IDA Gruppe].&amp;[Bachelorer]")</f>
        <v>Bachelorer</v>
      </c>
      <c r="C5" s="45"/>
      <c r="D5" s="46" vm="4448">
        <f>CUBEVALUE("BIDB",CUBEMEMBER("BIDB","[Betalingsstatus].[Betalende medlem]"),'Præsentationstabeller 1'!$C$2,$B5,CUBEMEMBER("BIDB",{"[Measures].[Ledighedsmulige]"}),D$3)</f>
        <v>286</v>
      </c>
      <c r="E5" s="101" vm="3582">
        <f>CUBEVALUE("BIDB",CUBEMEMBER("BIDB","[Betalingsstatus].[Betalende medlem]"),'Præsentationstabeller 1'!$C$2,$B5,CUBEMEMBER("BIDB",{"[Measures].[Fuldtidsledige]"}),D$3)</f>
        <v>36.785135135135135</v>
      </c>
      <c r="F5" s="48">
        <f>IFERROR(E5/D5*100,0)</f>
        <v>12.861935361935362</v>
      </c>
      <c r="G5" s="46" vm="4101">
        <f>CUBEVALUE("BIDB",CUBEMEMBER("BIDB","[Betalingsstatus].[Betalende medlem]"),'Præsentationstabeller 1'!$C$2,$B5,CUBEMEMBER("BIDB",{"[Measures].[Ledighedsmulige]"}),G$3)</f>
        <v>938</v>
      </c>
      <c r="H5" s="109" vm="5707">
        <f>CUBEVALUE("BIDB",CUBEMEMBER("BIDB","[Betalingsstatus].[Betalende medlem]"),'Præsentationstabeller 1'!$C$2,$B5,CUBEMEMBER("BIDB",{"[Measures].[Fuldtidsledige]"}),G$3)</f>
        <v>89.754324324324315</v>
      </c>
      <c r="I5" s="48">
        <f>IFERROR(H5/G5*100,0)</f>
        <v>9.5686912925718897</v>
      </c>
      <c r="J5" s="46" vm="9241">
        <f>CUBEVALUE("BIDB",CUBEMEMBER("BIDB","[Betalingsstatus].[Betalende medlem]"),'Præsentationstabeller 1'!$C$2,$B5,CUBEMEMBER("BIDB","[Measures].[Ledighedsmulige]","Total Medlemstal"))</f>
        <v>1224</v>
      </c>
      <c r="K5" s="109" vm="3151">
        <f>CUBEVALUE("BIDB",CUBEMEMBER("BIDB","[Betalingsstatus].[Betalende medlem]"),'Præsentationstabeller 1'!$C$2,$B5,CUBEMEMBER("BIDB","[Measures].[Fuldtidsledige]","Total Fuldtidsledige"))</f>
        <v>126.53945945945948</v>
      </c>
      <c r="L5" s="48">
        <f>IFERROR(K5/J5*100,0)</f>
        <v>10.338191132308781</v>
      </c>
      <c r="M5" s="19"/>
    </row>
    <row r="6" spans="2:13" ht="15" x14ac:dyDescent="0.25">
      <c r="B6" s="14" t="str" vm="4">
        <f t="shared" ref="B6:B14" si="0">CUBEMEMBER("BIDB","[Uddannelse].[IDA Gruppe].&amp;[Akademiingeniør]")</f>
        <v>Akademiingeniør</v>
      </c>
      <c r="C6" s="14" t="str" vm="37">
        <f>CUBEMEMBER("BIDB",{"[Uddannelsesretning].[IDA Gruppe].&amp;[Maskin]"})</f>
        <v>Maskin</v>
      </c>
      <c r="D6" s="23" vm="4939">
        <f>CUBEVALUE("BIDB",CUBEMEMBER("BIDB","[Betalingsstatus].[Betalende medlem]"),'Præsentationstabeller 1'!$C$2,$C6,CUBEMEMBER("BIDB",{"[Measures].[Ledighedsmulige]"}),D$3,$B6)</f>
        <v>68</v>
      </c>
      <c r="E6" s="102" vm="3413">
        <f>CUBEVALUE("BIDB",CUBEMEMBER("BIDB","[Betalingsstatus].[Betalende medlem]"),'Præsentationstabeller 1'!$C$2,$C6,CUBEMEMBER("BIDB",{"[Measures].[Fuldtidsledige]"}),D$3,$B6)</f>
        <v>2.2000000000000002</v>
      </c>
      <c r="F6" s="24">
        <f t="shared" ref="F6:F48" si="1">IFERROR(E6/D6*100,0)</f>
        <v>3.2352941176470593</v>
      </c>
      <c r="G6" s="23" vm="3458">
        <f>CUBEVALUE("BIDB",CUBEMEMBER("BIDB","[Betalingsstatus].[Betalende medlem]"),'Præsentationstabeller 1'!$C$2,$C6,CUBEMEMBER("BIDB",{"[Measures].[Ledighedsmulige]"}),G$3,$B6)</f>
        <v>932</v>
      </c>
      <c r="H6" s="110" vm="5030">
        <f>CUBEVALUE("BIDB",CUBEMEMBER("BIDB","[Betalingsstatus].[Betalende medlem]"),'Præsentationstabeller 1'!$C$2,$C6,CUBEMEMBER("BIDB",{"[Measures].[Fuldtidsledige]"}),G$3,$B6)</f>
        <v>9.1199999999999992</v>
      </c>
      <c r="I6" s="24">
        <f t="shared" ref="I6:I48" si="2">IFERROR(H6/G6*100,0)</f>
        <v>0.97854077253218874</v>
      </c>
      <c r="J6" s="23" vm="4459">
        <f>CUBEVALUE("BIDB",CUBEMEMBER("BIDB","[Betalingsstatus].[Betalende medlem]"),'Præsentationstabeller 1'!$C$2,$C6,CUBEMEMBER("BIDB","[Measures].[Ledighedsmulige]","Total Medlemstal"),$B6)</f>
        <v>1000</v>
      </c>
      <c r="K6" s="110" vm="4059">
        <f>CUBEVALUE("BIDB",CUBEMEMBER("BIDB","[Betalingsstatus].[Betalende medlem]"),'Præsentationstabeller 1'!$C$2,$C6,CUBEMEMBER("BIDB","[Measures].[Fuldtidsledige]","Total Fuldtidsledige"),$B6)</f>
        <v>11.319999999999999</v>
      </c>
      <c r="L6" s="24">
        <f>IFERROR(K6/J6*100,0)</f>
        <v>1.1319999999999999</v>
      </c>
    </row>
    <row r="7" spans="2:13" ht="15" x14ac:dyDescent="0.25">
      <c r="B7" s="50" t="str" vm="4">
        <f t="shared" si="0"/>
        <v>Akademiingeniør</v>
      </c>
      <c r="C7" s="50" t="str" vm="41">
        <f>CUBEMEMBER("BIDB",{"[Uddannelsesretning].[IDA Gruppe].&amp;[Produktion]"})</f>
        <v>Produktion</v>
      </c>
      <c r="D7" s="51" vm="5815">
        <f>CUBEVALUE("BIDB",CUBEMEMBER("BIDB","[Betalingsstatus].[Betalende medlem]"),'Præsentationstabeller 1'!$C$2,$C7,CUBEMEMBER("BIDB",{"[Measures].[Ledighedsmulige]"}),D$3,$B7)</f>
        <v>17</v>
      </c>
      <c r="E7" s="103" t="str" vm="8883">
        <f>CUBEVALUE("BIDB",CUBEMEMBER("BIDB","[Betalingsstatus].[Betalende medlem]"),'Præsentationstabeller 1'!$C$2,$C7,CUBEMEMBER("BIDB",{"[Measures].[Fuldtidsledige]"}),D$3,$B7)</f>
        <v/>
      </c>
      <c r="F7" s="53">
        <f t="shared" si="1"/>
        <v>0</v>
      </c>
      <c r="G7" s="51" vm="4450">
        <f>CUBEVALUE("BIDB",CUBEMEMBER("BIDB","[Betalingsstatus].[Betalende medlem]"),'Præsentationstabeller 1'!$C$2,$C7,CUBEMEMBER("BIDB",{"[Measures].[Ledighedsmulige]"}),G$3,$B7)</f>
        <v>83</v>
      </c>
      <c r="H7" s="111" t="str" vm="7732">
        <f>CUBEVALUE("BIDB",CUBEMEMBER("BIDB","[Betalingsstatus].[Betalende medlem]"),'Præsentationstabeller 1'!$C$2,$C7,CUBEMEMBER("BIDB",{"[Measures].[Fuldtidsledige]"}),G$3,$B7)</f>
        <v/>
      </c>
      <c r="I7" s="53">
        <f t="shared" si="2"/>
        <v>0</v>
      </c>
      <c r="J7" s="51" vm="12389">
        <f>CUBEVALUE("BIDB",CUBEMEMBER("BIDB","[Betalingsstatus].[Betalende medlem]"),'Præsentationstabeller 1'!$C$2,$C7,CUBEMEMBER("BIDB","[Measures].[Ledighedsmulige]","Total Medlemstal"),$B7)</f>
        <v>100</v>
      </c>
      <c r="K7" s="111" t="str" vm="2423">
        <f>CUBEVALUE("BIDB",CUBEMEMBER("BIDB","[Betalingsstatus].[Betalende medlem]"),'Præsentationstabeller 1'!$C$2,$C7,CUBEMEMBER("BIDB","[Measures].[Fuldtidsledige]","Total Fuldtidsledige"),$B7)</f>
        <v/>
      </c>
      <c r="L7" s="53">
        <f t="shared" ref="L7:L48" si="3">IFERROR(K7/J7*100,0)</f>
        <v>0</v>
      </c>
    </row>
    <row r="8" spans="2:13" ht="15" x14ac:dyDescent="0.25">
      <c r="B8" s="9" t="str" vm="4">
        <f t="shared" si="0"/>
        <v>Akademiingeniør</v>
      </c>
      <c r="C8" s="9" t="str" vm="36">
        <f>CUBEMEMBER("BIDB",{"[Uddannelsesretning].[IDA Gruppe].&amp;[Elektronik-IT]"})</f>
        <v>Elektronik-IT</v>
      </c>
      <c r="D8" s="25" vm="3398">
        <f>CUBEVALUE("BIDB",CUBEMEMBER("BIDB","[Betalingsstatus].[Betalende medlem]"),'Præsentationstabeller 1'!$C$2,$C8,CUBEMEMBER("BIDB",{"[Measures].[Ledighedsmulige]"}),D$3,$B8)</f>
        <v>101</v>
      </c>
      <c r="E8" s="104" vm="11938">
        <f>CUBEVALUE("BIDB",CUBEMEMBER("BIDB","[Betalingsstatus].[Betalende medlem]"),'Præsentationstabeller 1'!$C$2,$C8,CUBEMEMBER("BIDB",{"[Measures].[Fuldtidsledige]"}),D$3,$B8)</f>
        <v>1.6</v>
      </c>
      <c r="F8" s="26">
        <f t="shared" si="1"/>
        <v>1.5841584158415842</v>
      </c>
      <c r="G8" s="25" vm="5673">
        <f>CUBEVALUE("BIDB",CUBEMEMBER("BIDB","[Betalingsstatus].[Betalende medlem]"),'Præsentationstabeller 1'!$C$2,$C8,CUBEMEMBER("BIDB",{"[Measures].[Ledighedsmulige]"}),G$3,$B8)</f>
        <v>1259</v>
      </c>
      <c r="H8" s="112" vm="5311">
        <f>CUBEVALUE("BIDB",CUBEMEMBER("BIDB","[Betalingsstatus].[Betalende medlem]"),'Præsentationstabeller 1'!$C$2,$C8,CUBEMEMBER("BIDB",{"[Measures].[Fuldtidsledige]"}),G$3,$B8)</f>
        <v>12.028108108108107</v>
      </c>
      <c r="I8" s="26">
        <f t="shared" si="2"/>
        <v>0.95536998475838819</v>
      </c>
      <c r="J8" s="25" vm="6056">
        <f>CUBEVALUE("BIDB",CUBEMEMBER("BIDB","[Betalingsstatus].[Betalende medlem]"),'Præsentationstabeller 1'!$C$2,$C8,CUBEMEMBER("BIDB","[Measures].[Ledighedsmulige]","Total Medlemstal"),$B8)</f>
        <v>1360</v>
      </c>
      <c r="K8" s="112" vm="1762">
        <f>CUBEVALUE("BIDB",CUBEMEMBER("BIDB","[Betalingsstatus].[Betalende medlem]"),'Præsentationstabeller 1'!$C$2,$C8,CUBEMEMBER("BIDB","[Measures].[Fuldtidsledige]","Total Fuldtidsledige"),$B8)</f>
        <v>13.628108108108107</v>
      </c>
      <c r="L8" s="26">
        <f t="shared" si="3"/>
        <v>1.0020667726550077</v>
      </c>
    </row>
    <row r="9" spans="2:13" ht="15" x14ac:dyDescent="0.25">
      <c r="B9" s="50" t="str" vm="4">
        <f t="shared" si="0"/>
        <v>Akademiingeniør</v>
      </c>
      <c r="C9" s="50" t="str" vm="40">
        <f>CUBEMEMBER("BIDB",{"[Uddannelsesretning].[IDA Gruppe].&amp;[Bygning]"})</f>
        <v>Bygning</v>
      </c>
      <c r="D9" s="51" vm="8753">
        <f>CUBEVALUE("BIDB",CUBEMEMBER("BIDB","[Betalingsstatus].[Betalende medlem]"),'Præsentationstabeller 1'!$C$2,$C9,CUBEMEMBER("BIDB",{"[Measures].[Ledighedsmulige]"}),D$3,$B9)</f>
        <v>330</v>
      </c>
      <c r="E9" s="103" vm="3045">
        <f>CUBEVALUE("BIDB",CUBEMEMBER("BIDB","[Betalingsstatus].[Betalende medlem]"),'Præsentationstabeller 1'!$C$2,$C9,CUBEMEMBER("BIDB",{"[Measures].[Fuldtidsledige]"}),D$3,$B9)</f>
        <v>1</v>
      </c>
      <c r="F9" s="53">
        <f t="shared" si="1"/>
        <v>0.30303030303030304</v>
      </c>
      <c r="G9" s="51" vm="4482">
        <f>CUBEVALUE("BIDB",CUBEMEMBER("BIDB","[Betalingsstatus].[Betalende medlem]"),'Præsentationstabeller 1'!$C$2,$C9,CUBEMEMBER("BIDB",{"[Measures].[Ledighedsmulige]"}),G$3,$B9)</f>
        <v>919</v>
      </c>
      <c r="H9" s="111" vm="7003">
        <f>CUBEVALUE("BIDB",CUBEMEMBER("BIDB","[Betalingsstatus].[Betalende medlem]"),'Præsentationstabeller 1'!$C$2,$C9,CUBEMEMBER("BIDB",{"[Measures].[Fuldtidsledige]"}),G$3,$B9)</f>
        <v>3.84</v>
      </c>
      <c r="I9" s="53">
        <f t="shared" si="2"/>
        <v>0.41784548422198042</v>
      </c>
      <c r="J9" s="51" vm="7913">
        <f>CUBEVALUE("BIDB",CUBEMEMBER("BIDB","[Betalingsstatus].[Betalende medlem]"),'Præsentationstabeller 1'!$C$2,$C9,CUBEMEMBER("BIDB","[Measures].[Ledighedsmulige]","Total Medlemstal"),$B9)</f>
        <v>1249</v>
      </c>
      <c r="K9" s="111" vm="1772">
        <f>CUBEVALUE("BIDB",CUBEMEMBER("BIDB","[Betalingsstatus].[Betalende medlem]"),'Præsentationstabeller 1'!$C$2,$C9,CUBEMEMBER("BIDB","[Measures].[Fuldtidsledige]","Total Fuldtidsledige"),$B9)</f>
        <v>4.84</v>
      </c>
      <c r="L9" s="53">
        <f t="shared" si="3"/>
        <v>0.38751000800640512</v>
      </c>
    </row>
    <row r="10" spans="2:13" ht="15" x14ac:dyDescent="0.25">
      <c r="B10" s="9" t="str" vm="4">
        <f t="shared" si="0"/>
        <v>Akademiingeniør</v>
      </c>
      <c r="C10" s="9" t="str" vm="35">
        <f>CUBEMEMBER("BIDB",{"[Uddannelsesretning].[IDA Gruppe].&amp;[Anlæg]"})</f>
        <v>Anlæg</v>
      </c>
      <c r="D10" s="25" vm="7117">
        <f>CUBEVALUE("BIDB",CUBEMEMBER("BIDB","[Betalingsstatus].[Betalende medlem]"),'Præsentationstabeller 1'!$C$2,$C10,CUBEMEMBER("BIDB",{"[Measures].[Ledighedsmulige]"}),D$3,$B10)</f>
        <v>15</v>
      </c>
      <c r="E10" s="104" vm="4019">
        <f>CUBEVALUE("BIDB",CUBEMEMBER("BIDB","[Betalingsstatus].[Betalende medlem]"),'Præsentationstabeller 1'!$C$2,$C10,CUBEMEMBER("BIDB",{"[Measures].[Fuldtidsledige]"}),D$3,$B10)</f>
        <v>0.55999999999999994</v>
      </c>
      <c r="F10" s="26">
        <f t="shared" si="1"/>
        <v>3.7333333333333329</v>
      </c>
      <c r="G10" s="25" vm="4944">
        <f>CUBEVALUE("BIDB",CUBEMEMBER("BIDB","[Betalingsstatus].[Betalende medlem]"),'Præsentationstabeller 1'!$C$2,$C10,CUBEMEMBER("BIDB",{"[Measures].[Ledighedsmulige]"}),G$3,$B10)</f>
        <v>31</v>
      </c>
      <c r="H10" s="112" t="str" vm="3614">
        <f>CUBEVALUE("BIDB",CUBEMEMBER("BIDB","[Betalingsstatus].[Betalende medlem]"),'Præsentationstabeller 1'!$C$2,$C10,CUBEMEMBER("BIDB",{"[Measures].[Fuldtidsledige]"}),G$3,$B10)</f>
        <v/>
      </c>
      <c r="I10" s="26">
        <f t="shared" si="2"/>
        <v>0</v>
      </c>
      <c r="J10" s="25" vm="4491">
        <f>CUBEVALUE("BIDB",CUBEMEMBER("BIDB","[Betalingsstatus].[Betalende medlem]"),'Præsentationstabeller 1'!$C$2,$C10,CUBEMEMBER("BIDB","[Measures].[Ledighedsmulige]","Total Medlemstal"),$B10)</f>
        <v>46</v>
      </c>
      <c r="K10" s="112" vm="2101">
        <f>CUBEVALUE("BIDB",CUBEMEMBER("BIDB","[Betalingsstatus].[Betalende medlem]"),'Præsentationstabeller 1'!$C$2,$C10,CUBEMEMBER("BIDB","[Measures].[Fuldtidsledige]","Total Fuldtidsledige"),$B10)</f>
        <v>0.55999999999999994</v>
      </c>
      <c r="L10" s="26">
        <f t="shared" si="3"/>
        <v>1.2173913043478259</v>
      </c>
    </row>
    <row r="11" spans="2:13" ht="15" x14ac:dyDescent="0.25">
      <c r="B11" s="50" t="str" vm="4">
        <f t="shared" si="0"/>
        <v>Akademiingeniør</v>
      </c>
      <c r="C11" s="50" t="str" vm="39">
        <f>CUBEMEMBER("BIDB",{"[Uddannelsesretning].[IDA Gruppe].&amp;[Kemi]"})</f>
        <v>Kemi</v>
      </c>
      <c r="D11" s="51" vm="3557">
        <f>CUBEVALUE("BIDB",CUBEMEMBER("BIDB","[Betalingsstatus].[Betalende medlem]"),'Præsentationstabeller 1'!$C$2,$C11,CUBEMEMBER("BIDB",{"[Measures].[Ledighedsmulige]"}),D$3,$B11)</f>
        <v>532</v>
      </c>
      <c r="E11" s="103" vm="2288">
        <f>CUBEVALUE("BIDB",CUBEMEMBER("BIDB","[Betalingsstatus].[Betalende medlem]"),'Præsentationstabeller 1'!$C$2,$C11,CUBEMEMBER("BIDB",{"[Measures].[Fuldtidsledige]"}),D$3,$B11)</f>
        <v>8.7199999999999989</v>
      </c>
      <c r="F11" s="53">
        <f t="shared" si="1"/>
        <v>1.6390977443609023</v>
      </c>
      <c r="G11" s="51" vm="3987">
        <f>CUBEVALUE("BIDB",CUBEMEMBER("BIDB","[Betalingsstatus].[Betalende medlem]"),'Præsentationstabeller 1'!$C$2,$C11,CUBEMEMBER("BIDB",{"[Measures].[Ledighedsmulige]"}),G$3,$B11)</f>
        <v>533</v>
      </c>
      <c r="H11" s="111" vm="5463">
        <f>CUBEVALUE("BIDB",CUBEMEMBER("BIDB","[Betalingsstatus].[Betalende medlem]"),'Præsentationstabeller 1'!$C$2,$C11,CUBEMEMBER("BIDB",{"[Measures].[Fuldtidsledige]"}),G$3,$B11)</f>
        <v>5.16</v>
      </c>
      <c r="I11" s="53">
        <f t="shared" si="2"/>
        <v>0.96810506566604138</v>
      </c>
      <c r="J11" s="51" vm="5604">
        <f>CUBEVALUE("BIDB",CUBEMEMBER("BIDB","[Betalingsstatus].[Betalende medlem]"),'Præsentationstabeller 1'!$C$2,$C11,CUBEMEMBER("BIDB","[Measures].[Ledighedsmulige]","Total Medlemstal"),$B11)</f>
        <v>1065</v>
      </c>
      <c r="K11" s="111" vm="2351">
        <f>CUBEVALUE("BIDB",CUBEMEMBER("BIDB","[Betalingsstatus].[Betalende medlem]"),'Præsentationstabeller 1'!$C$2,$C11,CUBEMEMBER("BIDB","[Measures].[Fuldtidsledige]","Total Fuldtidsledige"),$B11)</f>
        <v>13.88</v>
      </c>
      <c r="L11" s="53">
        <f t="shared" si="3"/>
        <v>1.3032863849765259</v>
      </c>
    </row>
    <row r="12" spans="2:13" ht="15" x14ac:dyDescent="0.25">
      <c r="B12" s="9" t="str" vm="4">
        <f t="shared" si="0"/>
        <v>Akademiingeniør</v>
      </c>
      <c r="C12" s="9" t="str" vm="34">
        <f>CUBEMEMBER("BIDB",{"[Uddannelsesretning].[IDA Gruppe].&amp;[Teknisk ledelse]"})</f>
        <v>Teknisk ledelse</v>
      </c>
      <c r="D12" s="25" vm="4924">
        <f>CUBEVALUE("BIDB",CUBEMEMBER("BIDB","[Betalingsstatus].[Betalende medlem]"),'Præsentationstabeller 1'!$C$2,$C12,CUBEMEMBER("BIDB",{"[Measures].[Ledighedsmulige]"}),D$3,$B12)</f>
        <v>1</v>
      </c>
      <c r="E12" s="104" t="str" vm="4217">
        <f>CUBEVALUE("BIDB",CUBEMEMBER("BIDB","[Betalingsstatus].[Betalende medlem]"),'Præsentationstabeller 1'!$C$2,$C12,CUBEMEMBER("BIDB",{"[Measures].[Fuldtidsledige]"}),D$3,$B12)</f>
        <v/>
      </c>
      <c r="F12" s="26">
        <f t="shared" si="1"/>
        <v>0</v>
      </c>
      <c r="G12" s="25" vm="4801">
        <f>CUBEVALUE("BIDB",CUBEMEMBER("BIDB","[Betalingsstatus].[Betalende medlem]"),'Præsentationstabeller 1'!$C$2,$C12,CUBEMEMBER("BIDB",{"[Measures].[Ledighedsmulige]"}),G$3,$B12)</f>
        <v>22</v>
      </c>
      <c r="H12" s="112" vm="6080">
        <f>CUBEVALUE("BIDB",CUBEMEMBER("BIDB","[Betalingsstatus].[Betalende medlem]"),'Præsentationstabeller 1'!$C$2,$C12,CUBEMEMBER("BIDB",{"[Measures].[Fuldtidsledige]"}),G$3,$B12)</f>
        <v>2</v>
      </c>
      <c r="I12" s="26">
        <f t="shared" si="2"/>
        <v>9.0909090909090917</v>
      </c>
      <c r="J12" s="25" vm="3996">
        <f>CUBEVALUE("BIDB",CUBEMEMBER("BIDB","[Betalingsstatus].[Betalende medlem]"),'Præsentationstabeller 1'!$C$2,$C12,CUBEMEMBER("BIDB","[Measures].[Ledighedsmulige]","Total Medlemstal"),$B12)</f>
        <v>23</v>
      </c>
      <c r="K12" s="112" vm="3638">
        <f>CUBEVALUE("BIDB",CUBEMEMBER("BIDB","[Betalingsstatus].[Betalende medlem]"),'Præsentationstabeller 1'!$C$2,$C12,CUBEMEMBER("BIDB","[Measures].[Fuldtidsledige]","Total Fuldtidsledige"),$B12)</f>
        <v>2</v>
      </c>
      <c r="L12" s="26">
        <f t="shared" si="3"/>
        <v>8.695652173913043</v>
      </c>
    </row>
    <row r="13" spans="2:13" ht="15" x14ac:dyDescent="0.25">
      <c r="B13" s="50" t="str" vm="4">
        <f t="shared" si="0"/>
        <v>Akademiingeniør</v>
      </c>
      <c r="C13" s="50" t="str" vm="38">
        <f>CUBEMEMBER("BIDB",{"[Uddannelsesretning].[IDA Gruppe].&amp;[Nye retninger]"})</f>
        <v>Nye retninger</v>
      </c>
      <c r="D13" s="51" t="str" vm="4480">
        <f>CUBEVALUE("BIDB",CUBEMEMBER("BIDB","[Betalingsstatus].[Betalende medlem]"),'Præsentationstabeller 1'!$C$2,$C13,CUBEMEMBER("BIDB",{"[Measures].[Ledighedsmulige]"}),D$3,$B13)</f>
        <v/>
      </c>
      <c r="E13" s="103" t="str" vm="4110">
        <f>CUBEVALUE("BIDB",CUBEMEMBER("BIDB","[Betalingsstatus].[Betalende medlem]"),'Præsentationstabeller 1'!$C$2,$C13,CUBEMEMBER("BIDB",{"[Measures].[Fuldtidsledige]"}),D$3,$B13)</f>
        <v/>
      </c>
      <c r="F13" s="53">
        <f t="shared" si="1"/>
        <v>0</v>
      </c>
      <c r="G13" s="51" t="str" vm="4344">
        <f>CUBEVALUE("BIDB",CUBEMEMBER("BIDB","[Betalingsstatus].[Betalende medlem]"),'Præsentationstabeller 1'!$C$2,$C13,CUBEMEMBER("BIDB",{"[Measures].[Ledighedsmulige]"}),G$3,$B13)</f>
        <v/>
      </c>
      <c r="H13" s="111" t="str" vm="4639">
        <f>CUBEVALUE("BIDB",CUBEMEMBER("BIDB","[Betalingsstatus].[Betalende medlem]"),'Præsentationstabeller 1'!$C$2,$C13,CUBEMEMBER("BIDB",{"[Measures].[Fuldtidsledige]"}),G$3,$B13)</f>
        <v/>
      </c>
      <c r="I13" s="53">
        <f t="shared" si="2"/>
        <v>0</v>
      </c>
      <c r="J13" s="51" t="str" vm="10736">
        <f>CUBEVALUE("BIDB",CUBEMEMBER("BIDB","[Betalingsstatus].[Betalende medlem]"),'Præsentationstabeller 1'!$C$2,$C13,CUBEMEMBER("BIDB","[Measures].[Ledighedsmulige]","Total Medlemstal"),$B13)</f>
        <v/>
      </c>
      <c r="K13" s="111" t="str" vm="1397">
        <f>CUBEVALUE("BIDB",CUBEMEMBER("BIDB","[Betalingsstatus].[Betalende medlem]"),'Præsentationstabeller 1'!$C$2,$C13,CUBEMEMBER("BIDB","[Measures].[Fuldtidsledige]","Total Fuldtidsledige"),$B13)</f>
        <v/>
      </c>
      <c r="L13" s="53">
        <f t="shared" si="3"/>
        <v>0</v>
      </c>
    </row>
    <row r="14" spans="2:13" ht="15" x14ac:dyDescent="0.25">
      <c r="B14" s="10" t="str" vm="4">
        <f t="shared" si="0"/>
        <v>Akademiingeniør</v>
      </c>
      <c r="C14" s="10" t="str" vm="33">
        <f>CUBEMEMBER("BIDB",{"[Uddannelsesretning].[IDA Gruppe].&amp;[Øvrige retninger/uoplyste]"})</f>
        <v>Øvrige retninger/uoplyste</v>
      </c>
      <c r="D14" s="41" vm="3680">
        <f>CUBEVALUE("BIDB",CUBEMEMBER("BIDB","[Betalingsstatus].[Betalende medlem]"),'Præsentationstabeller 1'!$C$2,$C14,CUBEMEMBER("BIDB",{"[Measures].[Ledighedsmulige]"}),D$3,$B14)</f>
        <v>46</v>
      </c>
      <c r="E14" s="105" vm="3453">
        <f>CUBEVALUE("BIDB",CUBEMEMBER("BIDB","[Betalingsstatus].[Betalende medlem]"),'Præsentationstabeller 1'!$C$2,$C14,CUBEMEMBER("BIDB",{"[Measures].[Fuldtidsledige]"}),D$3,$B14)</f>
        <v>1.8</v>
      </c>
      <c r="F14" s="43">
        <f t="shared" si="1"/>
        <v>3.9130434782608701</v>
      </c>
      <c r="G14" s="41" vm="9076">
        <f>CUBEVALUE("BIDB",CUBEMEMBER("BIDB","[Betalingsstatus].[Betalende medlem]"),'Præsentationstabeller 1'!$C$2,$C14,CUBEMEMBER("BIDB",{"[Measures].[Ledighedsmulige]"}),G$3,$B14)</f>
        <v>197</v>
      </c>
      <c r="H14" s="113" vm="3467">
        <f>CUBEVALUE("BIDB",CUBEMEMBER("BIDB","[Betalingsstatus].[Betalende medlem]"),'Præsentationstabeller 1'!$C$2,$C14,CUBEMEMBER("BIDB",{"[Measures].[Fuldtidsledige]"}),G$3,$B14)</f>
        <v>4.4000000000000004</v>
      </c>
      <c r="I14" s="43">
        <f t="shared" si="2"/>
        <v>2.233502538071066</v>
      </c>
      <c r="J14" s="41" vm="5056">
        <f>CUBEVALUE("BIDB",CUBEMEMBER("BIDB","[Betalingsstatus].[Betalende medlem]"),'Præsentationstabeller 1'!$C$2,$C14,CUBEMEMBER("BIDB","[Measures].[Ledighedsmulige]","Total Medlemstal"),$B14)</f>
        <v>243</v>
      </c>
      <c r="K14" s="113" vm="2555">
        <f>CUBEVALUE("BIDB",CUBEMEMBER("BIDB","[Betalingsstatus].[Betalende medlem]"),'Præsentationstabeller 1'!$C$2,$C14,CUBEMEMBER("BIDB","[Measures].[Fuldtidsledige]","Total Fuldtidsledige"),$B14)</f>
        <v>6.2</v>
      </c>
      <c r="L14" s="43">
        <f t="shared" si="3"/>
        <v>2.5514403292181069</v>
      </c>
    </row>
    <row r="15" spans="2:13" ht="15" x14ac:dyDescent="0.25">
      <c r="B15" s="45" t="str" vm="10">
        <f t="shared" ref="B15:B23" si="4">CUBEMEMBER("BIDB","[Uddannelse].[IDA Gruppe].&amp;[Teknikumingeniør]")</f>
        <v>Teknikumingeniør</v>
      </c>
      <c r="C15" s="45" t="str" vm="37">
        <f>CUBEMEMBER("BIDB",{"[Uddannelsesretning].[IDA Gruppe].&amp;[Maskin]"})</f>
        <v>Maskin</v>
      </c>
      <c r="D15" s="46" vm="2685">
        <f>CUBEVALUE("BIDB",CUBEMEMBER("BIDB","[Betalingsstatus].[Betalende medlem]"),'Præsentationstabeller 1'!$C$2,$C15,CUBEMEMBER("BIDB",{"[Measures].[Ledighedsmulige]"}),D$3,$B15)</f>
        <v>226</v>
      </c>
      <c r="E15" s="101" vm="1769">
        <f>CUBEVALUE("BIDB",CUBEMEMBER("BIDB","[Betalingsstatus].[Betalende medlem]"),'Præsentationstabeller 1'!$C$2,$C15,CUBEMEMBER("BIDB",{"[Measures].[Fuldtidsledige]"}),D$3,$B15)</f>
        <v>3.2399999999999998</v>
      </c>
      <c r="F15" s="48">
        <f t="shared" si="1"/>
        <v>1.4336283185840708</v>
      </c>
      <c r="G15" s="46" vm="4809">
        <f>CUBEVALUE("BIDB",CUBEMEMBER("BIDB","[Betalingsstatus].[Betalende medlem]"),'Præsentationstabeller 1'!$C$2,$C15,CUBEMEMBER("BIDB",{"[Measures].[Ledighedsmulige]"}),G$3,$B15)</f>
        <v>3380</v>
      </c>
      <c r="H15" s="109" vm="6475">
        <f>CUBEVALUE("BIDB",CUBEMEMBER("BIDB","[Betalingsstatus].[Betalende medlem]"),'Præsentationstabeller 1'!$C$2,$C15,CUBEMEMBER("BIDB",{"[Measures].[Fuldtidsledige]"}),G$3,$B15)</f>
        <v>33.740432432432428</v>
      </c>
      <c r="I15" s="48">
        <f t="shared" si="2"/>
        <v>0.99823764592995357</v>
      </c>
      <c r="J15" s="46" vm="6557">
        <f>CUBEVALUE("BIDB",CUBEMEMBER("BIDB","[Betalingsstatus].[Betalende medlem]"),'Præsentationstabeller 1'!$C$2,$C15,CUBEMEMBER("BIDB","[Measures].[Ledighedsmulige]","Total Medlemstal"),$B15)</f>
        <v>3606</v>
      </c>
      <c r="K15" s="109" vm="5818">
        <f>CUBEVALUE("BIDB",CUBEMEMBER("BIDB","[Betalingsstatus].[Betalende medlem]"),'Præsentationstabeller 1'!$C$2,$C15,CUBEMEMBER("BIDB","[Measures].[Fuldtidsledige]","Total Fuldtidsledige"),$B15)</f>
        <v>36.98043243243243</v>
      </c>
      <c r="L15" s="48">
        <f t="shared" si="3"/>
        <v>1.0255250258578046</v>
      </c>
    </row>
    <row r="16" spans="2:13" ht="15" x14ac:dyDescent="0.25">
      <c r="B16" s="9" t="str" vm="10">
        <f t="shared" si="4"/>
        <v>Teknikumingeniør</v>
      </c>
      <c r="C16" s="9" t="str" vm="41">
        <f>CUBEMEMBER("BIDB",{"[Uddannelsesretning].[IDA Gruppe].&amp;[Produktion]"})</f>
        <v>Produktion</v>
      </c>
      <c r="D16" s="25" vm="2838">
        <f>CUBEVALUE("BIDB",CUBEMEMBER("BIDB","[Betalingsstatus].[Betalende medlem]"),'Præsentationstabeller 1'!$C$2,$C16,CUBEMEMBER("BIDB",{"[Measures].[Ledighedsmulige]"}),D$3,$B16)</f>
        <v>255</v>
      </c>
      <c r="E16" s="104" vm="4012">
        <f>CUBEVALUE("BIDB",CUBEMEMBER("BIDB","[Betalingsstatus].[Betalende medlem]"),'Præsentationstabeller 1'!$C$2,$C16,CUBEMEMBER("BIDB",{"[Measures].[Fuldtidsledige]"}),D$3,$B16)</f>
        <v>2.52</v>
      </c>
      <c r="F16" s="26">
        <f t="shared" si="1"/>
        <v>0.9882352941176471</v>
      </c>
      <c r="G16" s="25" vm="4466">
        <f>CUBEVALUE("BIDB",CUBEMEMBER("BIDB","[Betalingsstatus].[Betalende medlem]"),'Præsentationstabeller 1'!$C$2,$C16,CUBEMEMBER("BIDB",{"[Measures].[Ledighedsmulige]"}),G$3,$B16)</f>
        <v>884</v>
      </c>
      <c r="H16" s="112" vm="3575">
        <f>CUBEVALUE("BIDB",CUBEMEMBER("BIDB","[Betalingsstatus].[Betalende medlem]"),'Præsentationstabeller 1'!$C$2,$C16,CUBEMEMBER("BIDB",{"[Measures].[Fuldtidsledige]"}),G$3,$B16)</f>
        <v>17.009729729729731</v>
      </c>
      <c r="I16" s="26">
        <f t="shared" si="2"/>
        <v>1.9241775712363949</v>
      </c>
      <c r="J16" s="25" vm="4599">
        <f>CUBEVALUE("BIDB",CUBEMEMBER("BIDB","[Betalingsstatus].[Betalende medlem]"),'Præsentationstabeller 1'!$C$2,$C16,CUBEMEMBER("BIDB","[Measures].[Ledighedsmulige]","Total Medlemstal"),$B16)</f>
        <v>1139</v>
      </c>
      <c r="K16" s="112" vm="1755">
        <f>CUBEVALUE("BIDB",CUBEMEMBER("BIDB","[Betalingsstatus].[Betalende medlem]"),'Præsentationstabeller 1'!$C$2,$C16,CUBEMEMBER("BIDB","[Measures].[Fuldtidsledige]","Total Fuldtidsledige"),$B16)</f>
        <v>19.529729729729731</v>
      </c>
      <c r="L16" s="26">
        <f t="shared" si="3"/>
        <v>1.7146382554635409</v>
      </c>
    </row>
    <row r="17" spans="2:12" ht="15" x14ac:dyDescent="0.25">
      <c r="B17" s="50" t="str" vm="10">
        <f t="shared" si="4"/>
        <v>Teknikumingeniør</v>
      </c>
      <c r="C17" s="50" t="str" vm="36">
        <f>CUBEMEMBER("BIDB",{"[Uddannelsesretning].[IDA Gruppe].&amp;[Elektronik-IT]"})</f>
        <v>Elektronik-IT</v>
      </c>
      <c r="D17" s="51" vm="3985">
        <f>CUBEVALUE("BIDB",CUBEMEMBER("BIDB","[Betalingsstatus].[Betalende medlem]"),'Præsentationstabeller 1'!$C$2,$C17,CUBEMEMBER("BIDB",{"[Measures].[Ledighedsmulige]"}),D$3,$B17)</f>
        <v>129</v>
      </c>
      <c r="E17" s="103" vm="4003">
        <f>CUBEVALUE("BIDB",CUBEMEMBER("BIDB","[Betalingsstatus].[Betalende medlem]"),'Præsentationstabeller 1'!$C$2,$C17,CUBEMEMBER("BIDB",{"[Measures].[Fuldtidsledige]"}),D$3,$B17)</f>
        <v>0.6</v>
      </c>
      <c r="F17" s="53">
        <f t="shared" si="1"/>
        <v>0.46511627906976744</v>
      </c>
      <c r="G17" s="51" vm="3832">
        <f>CUBEVALUE("BIDB",CUBEMEMBER("BIDB","[Betalingsstatus].[Betalende medlem]"),'Præsentationstabeller 1'!$C$2,$C17,CUBEMEMBER("BIDB",{"[Measures].[Ledighedsmulige]"}),G$3,$B17)</f>
        <v>4136</v>
      </c>
      <c r="H17" s="111" vm="5491">
        <f>CUBEVALUE("BIDB",CUBEMEMBER("BIDB","[Betalingsstatus].[Betalende medlem]"),'Præsentationstabeller 1'!$C$2,$C17,CUBEMEMBER("BIDB",{"[Measures].[Fuldtidsledige]"}),G$3,$B17)</f>
        <v>52.324324324324323</v>
      </c>
      <c r="I17" s="53">
        <f t="shared" si="2"/>
        <v>1.2650948821161587</v>
      </c>
      <c r="J17" s="51" vm="6150">
        <f>CUBEVALUE("BIDB",CUBEMEMBER("BIDB","[Betalingsstatus].[Betalende medlem]"),'Præsentationstabeller 1'!$C$2,$C17,CUBEMEMBER("BIDB","[Measures].[Ledighedsmulige]","Total Medlemstal"),$B17)</f>
        <v>4265</v>
      </c>
      <c r="K17" s="111" vm="3064">
        <f>CUBEVALUE("BIDB",CUBEMEMBER("BIDB","[Betalingsstatus].[Betalende medlem]"),'Præsentationstabeller 1'!$C$2,$C17,CUBEMEMBER("BIDB","[Measures].[Fuldtidsledige]","Total Fuldtidsledige"),$B17)</f>
        <v>52.924324324324324</v>
      </c>
      <c r="L17" s="53">
        <f t="shared" si="3"/>
        <v>1.2408985773581318</v>
      </c>
    </row>
    <row r="18" spans="2:12" ht="15" x14ac:dyDescent="0.25">
      <c r="B18" s="9" t="str" vm="10">
        <f t="shared" si="4"/>
        <v>Teknikumingeniør</v>
      </c>
      <c r="C18" s="9" t="str" vm="40">
        <f>CUBEMEMBER("BIDB",{"[Uddannelsesretning].[IDA Gruppe].&amp;[Bygning]"})</f>
        <v>Bygning</v>
      </c>
      <c r="D18" s="25" vm="3316">
        <f>CUBEVALUE("BIDB",CUBEMEMBER("BIDB","[Betalingsstatus].[Betalende medlem]"),'Præsentationstabeller 1'!$C$2,$C18,CUBEMEMBER("BIDB",{"[Measures].[Ledighedsmulige]"}),D$3,$B18)</f>
        <v>513</v>
      </c>
      <c r="E18" s="104" vm="3573">
        <f>CUBEVALUE("BIDB",CUBEMEMBER("BIDB","[Betalingsstatus].[Betalende medlem]"),'Præsentationstabeller 1'!$C$2,$C18,CUBEMEMBER("BIDB",{"[Measures].[Fuldtidsledige]"}),D$3,$B18)</f>
        <v>2.12</v>
      </c>
      <c r="F18" s="26">
        <f t="shared" si="1"/>
        <v>0.41325536062378165</v>
      </c>
      <c r="G18" s="25" vm="3321">
        <f>CUBEVALUE("BIDB",CUBEMEMBER("BIDB","[Betalingsstatus].[Betalende medlem]"),'Præsentationstabeller 1'!$C$2,$C18,CUBEMEMBER("BIDB",{"[Measures].[Ledighedsmulige]"}),G$3,$B18)</f>
        <v>2260</v>
      </c>
      <c r="H18" s="112" vm="8871">
        <f>CUBEVALUE("BIDB",CUBEMEMBER("BIDB","[Betalingsstatus].[Betalende medlem]"),'Præsentationstabeller 1'!$C$2,$C18,CUBEMEMBER("BIDB",{"[Measures].[Fuldtidsledige]"}),G$3,$B18)</f>
        <v>14.8</v>
      </c>
      <c r="I18" s="26">
        <f t="shared" si="2"/>
        <v>0.65486725663716816</v>
      </c>
      <c r="J18" s="25" vm="5064">
        <f>CUBEVALUE("BIDB",CUBEMEMBER("BIDB","[Betalingsstatus].[Betalende medlem]"),'Præsentationstabeller 1'!$C$2,$C18,CUBEMEMBER("BIDB","[Measures].[Ledighedsmulige]","Total Medlemstal"),$B18)</f>
        <v>2773</v>
      </c>
      <c r="K18" s="112" vm="1406">
        <f>CUBEVALUE("BIDB",CUBEMEMBER("BIDB","[Betalingsstatus].[Betalende medlem]"),'Præsentationstabeller 1'!$C$2,$C18,CUBEMEMBER("BIDB","[Measures].[Fuldtidsledige]","Total Fuldtidsledige"),$B18)</f>
        <v>16.919999999999998</v>
      </c>
      <c r="L18" s="26">
        <f t="shared" si="3"/>
        <v>0.61016949152542366</v>
      </c>
    </row>
    <row r="19" spans="2:12" ht="15" x14ac:dyDescent="0.25">
      <c r="B19" s="50" t="str" vm="10">
        <f t="shared" si="4"/>
        <v>Teknikumingeniør</v>
      </c>
      <c r="C19" s="50" t="str" vm="35">
        <f>CUBEMEMBER("BIDB",{"[Uddannelsesretning].[IDA Gruppe].&amp;[Anlæg]"})</f>
        <v>Anlæg</v>
      </c>
      <c r="D19" s="51" vm="3160">
        <f>CUBEVALUE("BIDB",CUBEMEMBER("BIDB","[Betalingsstatus].[Betalende medlem]"),'Præsentationstabeller 1'!$C$2,$C19,CUBEMEMBER("BIDB",{"[Measures].[Ledighedsmulige]"}),D$3,$B19)</f>
        <v>32</v>
      </c>
      <c r="E19" s="103" t="str" vm="4784">
        <f>CUBEVALUE("BIDB",CUBEMEMBER("BIDB","[Betalingsstatus].[Betalende medlem]"),'Præsentationstabeller 1'!$C$2,$C19,CUBEMEMBER("BIDB",{"[Measures].[Fuldtidsledige]"}),D$3,$B19)</f>
        <v/>
      </c>
      <c r="F19" s="53">
        <f t="shared" si="1"/>
        <v>0</v>
      </c>
      <c r="G19" s="51" vm="4049">
        <f>CUBEVALUE("BIDB",CUBEMEMBER("BIDB","[Betalingsstatus].[Betalende medlem]"),'Præsentationstabeller 1'!$C$2,$C19,CUBEMEMBER("BIDB",{"[Measures].[Ledighedsmulige]"}),G$3,$B19)</f>
        <v>214</v>
      </c>
      <c r="H19" s="111" vm="4157">
        <f>CUBEVALUE("BIDB",CUBEMEMBER("BIDB","[Betalingsstatus].[Betalende medlem]"),'Præsentationstabeller 1'!$C$2,$C19,CUBEMEMBER("BIDB",{"[Measures].[Fuldtidsledige]"}),G$3,$B19)</f>
        <v>2.7199999999999998</v>
      </c>
      <c r="I19" s="53">
        <f t="shared" si="2"/>
        <v>1.2710280373831773</v>
      </c>
      <c r="J19" s="51" vm="2674">
        <f>CUBEVALUE("BIDB",CUBEMEMBER("BIDB","[Betalingsstatus].[Betalende medlem]"),'Præsentationstabeller 1'!$C$2,$C19,CUBEMEMBER("BIDB","[Measures].[Ledighedsmulige]","Total Medlemstal"),$B19)</f>
        <v>246</v>
      </c>
      <c r="K19" s="111" vm="2584">
        <f>CUBEVALUE("BIDB",CUBEMEMBER("BIDB","[Betalingsstatus].[Betalende medlem]"),'Præsentationstabeller 1'!$C$2,$C19,CUBEMEMBER("BIDB","[Measures].[Fuldtidsledige]","Total Fuldtidsledige"),$B19)</f>
        <v>2.7199999999999998</v>
      </c>
      <c r="L19" s="53">
        <f t="shared" si="3"/>
        <v>1.1056910569105689</v>
      </c>
    </row>
    <row r="20" spans="2:12" ht="15" x14ac:dyDescent="0.25">
      <c r="B20" s="9" t="str" vm="10">
        <f t="shared" si="4"/>
        <v>Teknikumingeniør</v>
      </c>
      <c r="C20" s="9" t="str" vm="39">
        <f>CUBEMEMBER("BIDB",{"[Uddannelsesretning].[IDA Gruppe].&amp;[Kemi]"})</f>
        <v>Kemi</v>
      </c>
      <c r="D20" s="25" vm="2920">
        <f>CUBEVALUE("BIDB",CUBEMEMBER("BIDB","[Betalingsstatus].[Betalende medlem]"),'Præsentationstabeller 1'!$C$2,$C20,CUBEMEMBER("BIDB",{"[Measures].[Ledighedsmulige]"}),D$3,$B20)</f>
        <v>355</v>
      </c>
      <c r="E20" s="104" vm="5364">
        <f>CUBEVALUE("BIDB",CUBEMEMBER("BIDB","[Betalingsstatus].[Betalende medlem]"),'Præsentationstabeller 1'!$C$2,$C20,CUBEMEMBER("BIDB",{"[Measures].[Fuldtidsledige]"}),D$3,$B20)</f>
        <v>2.5918918918918918</v>
      </c>
      <c r="F20" s="26">
        <f t="shared" si="1"/>
        <v>0.73011039208222306</v>
      </c>
      <c r="G20" s="25" vm="3864">
        <f>CUBEVALUE("BIDB",CUBEMEMBER("BIDB","[Betalingsstatus].[Betalende medlem]"),'Præsentationstabeller 1'!$C$2,$C20,CUBEMEMBER("BIDB",{"[Measures].[Ledighedsmulige]"}),G$3,$B20)</f>
        <v>186</v>
      </c>
      <c r="H20" s="112" vm="4805">
        <f>CUBEVALUE("BIDB",CUBEMEMBER("BIDB","[Betalingsstatus].[Betalende medlem]"),'Præsentationstabeller 1'!$C$2,$C20,CUBEMEMBER("BIDB",{"[Measures].[Fuldtidsledige]"}),G$3,$B20)</f>
        <v>1.9600000000000002</v>
      </c>
      <c r="I20" s="26">
        <f t="shared" si="2"/>
        <v>1.053763440860215</v>
      </c>
      <c r="J20" s="25" vm="4552">
        <f>CUBEVALUE("BIDB",CUBEMEMBER("BIDB","[Betalingsstatus].[Betalende medlem]"),'Præsentationstabeller 1'!$C$2,$C20,CUBEMEMBER("BIDB","[Measures].[Ledighedsmulige]","Total Medlemstal"),$B20)</f>
        <v>541</v>
      </c>
      <c r="K20" s="112" vm="4323">
        <f>CUBEVALUE("BIDB",CUBEMEMBER("BIDB","[Betalingsstatus].[Betalende medlem]"),'Præsentationstabeller 1'!$C$2,$C20,CUBEMEMBER("BIDB","[Measures].[Fuldtidsledige]","Total Fuldtidsledige"),$B20)</f>
        <v>4.5518918918918923</v>
      </c>
      <c r="L20" s="26">
        <f t="shared" si="3"/>
        <v>0.84138482290053462</v>
      </c>
    </row>
    <row r="21" spans="2:12" ht="15" x14ac:dyDescent="0.25">
      <c r="B21" s="50" t="str" vm="10">
        <f t="shared" si="4"/>
        <v>Teknikumingeniør</v>
      </c>
      <c r="C21" s="50" t="str" vm="34">
        <f>CUBEMEMBER("BIDB",{"[Uddannelsesretning].[IDA Gruppe].&amp;[Teknisk ledelse]"})</f>
        <v>Teknisk ledelse</v>
      </c>
      <c r="D21" s="51" vm="3206">
        <f>CUBEVALUE("BIDB",CUBEMEMBER("BIDB","[Betalingsstatus].[Betalende medlem]"),'Præsentationstabeller 1'!$C$2,$C21,CUBEMEMBER("BIDB",{"[Measures].[Ledighedsmulige]"}),D$3,$B21)</f>
        <v>347</v>
      </c>
      <c r="E21" s="103" vm="4299">
        <f>CUBEVALUE("BIDB",CUBEMEMBER("BIDB","[Betalingsstatus].[Betalende medlem]"),'Præsentationstabeller 1'!$C$2,$C21,CUBEMEMBER("BIDB",{"[Measures].[Fuldtidsledige]"}),D$3,$B21)</f>
        <v>6.6</v>
      </c>
      <c r="F21" s="53">
        <f t="shared" si="1"/>
        <v>1.9020172910662825</v>
      </c>
      <c r="G21" s="51" vm="3204">
        <f>CUBEVALUE("BIDB",CUBEMEMBER("BIDB","[Betalingsstatus].[Betalende medlem]"),'Præsentationstabeller 1'!$C$2,$C21,CUBEMEMBER("BIDB",{"[Measures].[Ledighedsmulige]"}),G$3,$B21)</f>
        <v>151</v>
      </c>
      <c r="H21" s="111" vm="3444">
        <f>CUBEVALUE("BIDB",CUBEMEMBER("BIDB","[Betalingsstatus].[Betalende medlem]"),'Præsentationstabeller 1'!$C$2,$C21,CUBEMEMBER("BIDB",{"[Measures].[Fuldtidsledige]"}),G$3,$B21)</f>
        <v>2.9200000000000004</v>
      </c>
      <c r="I21" s="53">
        <f t="shared" si="2"/>
        <v>1.9337748344370864</v>
      </c>
      <c r="J21" s="51" vm="4475">
        <f>CUBEVALUE("BIDB",CUBEMEMBER("BIDB","[Betalingsstatus].[Betalende medlem]"),'Præsentationstabeller 1'!$C$2,$C21,CUBEMEMBER("BIDB","[Measures].[Ledighedsmulige]","Total Medlemstal"),$B21)</f>
        <v>498</v>
      </c>
      <c r="K21" s="111" vm="1401">
        <f>CUBEVALUE("BIDB",CUBEMEMBER("BIDB","[Betalingsstatus].[Betalende medlem]"),'Præsentationstabeller 1'!$C$2,$C21,CUBEMEMBER("BIDB","[Measures].[Fuldtidsledige]","Total Fuldtidsledige"),$B21)</f>
        <v>9.52</v>
      </c>
      <c r="L21" s="53">
        <f t="shared" si="3"/>
        <v>1.9116465863453815</v>
      </c>
    </row>
    <row r="22" spans="2:12" ht="15" x14ac:dyDescent="0.25">
      <c r="B22" s="9" t="str" vm="10">
        <f t="shared" si="4"/>
        <v>Teknikumingeniør</v>
      </c>
      <c r="C22" s="9" t="str" vm="38">
        <f>CUBEMEMBER("BIDB",{"[Uddannelsesretning].[IDA Gruppe].&amp;[Nye retninger]"})</f>
        <v>Nye retninger</v>
      </c>
      <c r="D22" s="25" t="str" vm="3149">
        <f>CUBEVALUE("BIDB",CUBEMEMBER("BIDB","[Betalingsstatus].[Betalende medlem]"),'Præsentationstabeller 1'!$C$2,$C22,CUBEMEMBER("BIDB",{"[Measures].[Ledighedsmulige]"}),D$3,$B22)</f>
        <v/>
      </c>
      <c r="E22" s="104" t="str" vm="3442">
        <f>CUBEVALUE("BIDB",CUBEMEMBER("BIDB","[Betalingsstatus].[Betalende medlem]"),'Præsentationstabeller 1'!$C$2,$C22,CUBEMEMBER("BIDB",{"[Measures].[Fuldtidsledige]"}),D$3,$B22)</f>
        <v/>
      </c>
      <c r="F22" s="26">
        <f t="shared" si="1"/>
        <v>0</v>
      </c>
      <c r="G22" s="25" t="str" vm="3201">
        <f>CUBEVALUE("BIDB",CUBEMEMBER("BIDB","[Betalingsstatus].[Betalende medlem]"),'Præsentationstabeller 1'!$C$2,$C22,CUBEMEMBER("BIDB",{"[Measures].[Ledighedsmulige]"}),G$3,$B22)</f>
        <v/>
      </c>
      <c r="H22" s="112" t="str" vm="5850">
        <f>CUBEVALUE("BIDB",CUBEMEMBER("BIDB","[Betalingsstatus].[Betalende medlem]"),'Præsentationstabeller 1'!$C$2,$C22,CUBEMEMBER("BIDB",{"[Measures].[Fuldtidsledige]"}),G$3,$B22)</f>
        <v/>
      </c>
      <c r="I22" s="26">
        <f t="shared" si="2"/>
        <v>0</v>
      </c>
      <c r="J22" s="25" t="str" vm="3718">
        <f>CUBEVALUE("BIDB",CUBEMEMBER("BIDB","[Betalingsstatus].[Betalende medlem]"),'Præsentationstabeller 1'!$C$2,$C22,CUBEMEMBER("BIDB","[Measures].[Ledighedsmulige]","Total Medlemstal"),$B22)</f>
        <v/>
      </c>
      <c r="K22" s="112" t="str" vm="3499">
        <f>CUBEVALUE("BIDB",CUBEMEMBER("BIDB","[Betalingsstatus].[Betalende medlem]"),'Præsentationstabeller 1'!$C$2,$C22,CUBEMEMBER("BIDB","[Measures].[Fuldtidsledige]","Total Fuldtidsledige"),$B22)</f>
        <v/>
      </c>
      <c r="L22" s="26">
        <f t="shared" si="3"/>
        <v>0</v>
      </c>
    </row>
    <row r="23" spans="2:12" ht="15" x14ac:dyDescent="0.25">
      <c r="B23" s="55" t="str" vm="10">
        <f t="shared" si="4"/>
        <v>Teknikumingeniør</v>
      </c>
      <c r="C23" s="55" t="str" vm="33">
        <f>CUBEMEMBER("BIDB",{"[Uddannelsesretning].[IDA Gruppe].&amp;[Øvrige retninger/uoplyste]"})</f>
        <v>Øvrige retninger/uoplyste</v>
      </c>
      <c r="D23" s="56" vm="3145">
        <f>CUBEVALUE("BIDB",CUBEMEMBER("BIDB","[Betalingsstatus].[Betalende medlem]"),'Præsentationstabeller 1'!$C$2,$C23,CUBEMEMBER("BIDB",{"[Measures].[Ledighedsmulige]"}),D$3,$B23)</f>
        <v>72</v>
      </c>
      <c r="E23" s="106" vm="4026">
        <f>CUBEVALUE("BIDB",CUBEMEMBER("BIDB","[Betalingsstatus].[Betalende medlem]"),'Præsentationstabeller 1'!$C$2,$C23,CUBEMEMBER("BIDB",{"[Measures].[Fuldtidsledige]"}),D$3,$B23)</f>
        <v>0.4</v>
      </c>
      <c r="F23" s="58">
        <f t="shared" si="1"/>
        <v>0.55555555555555558</v>
      </c>
      <c r="G23" s="56" vm="4498">
        <f>CUBEVALUE("BIDB",CUBEMEMBER("BIDB","[Betalingsstatus].[Betalende medlem]"),'Præsentationstabeller 1'!$C$2,$C23,CUBEMEMBER("BIDB",{"[Measures].[Ledighedsmulige]"}),G$3,$B23)</f>
        <v>425</v>
      </c>
      <c r="H23" s="114" vm="3750">
        <f>CUBEVALUE("BIDB",CUBEMEMBER("BIDB","[Betalingsstatus].[Betalende medlem]"),'Præsentationstabeller 1'!$C$2,$C23,CUBEMEMBER("BIDB",{"[Measures].[Fuldtidsledige]"}),G$3,$B23)</f>
        <v>11</v>
      </c>
      <c r="I23" s="58">
        <f t="shared" si="2"/>
        <v>2.5882352941176472</v>
      </c>
      <c r="J23" s="56" vm="5098">
        <f>CUBEVALUE("BIDB",CUBEMEMBER("BIDB","[Betalingsstatus].[Betalende medlem]"),'Præsentationstabeller 1'!$C$2,$C23,CUBEMEMBER("BIDB","[Measures].[Ledighedsmulige]","Total Medlemstal"),$B23)</f>
        <v>497</v>
      </c>
      <c r="K23" s="114" vm="3941">
        <f>CUBEVALUE("BIDB",CUBEMEMBER("BIDB","[Betalingsstatus].[Betalende medlem]"),'Præsentationstabeller 1'!$C$2,$C23,CUBEMEMBER("BIDB","[Measures].[Fuldtidsledige]","Total Fuldtidsledige"),$B23)</f>
        <v>11.4</v>
      </c>
      <c r="L23" s="58">
        <f t="shared" si="3"/>
        <v>2.2937625754527162</v>
      </c>
    </row>
    <row r="24" spans="2:12" ht="15" x14ac:dyDescent="0.25">
      <c r="B24" s="14" t="str" vm="2">
        <f t="shared" ref="B24:B32" si="5">CUBEMEMBER("BIDB","[Uddannelse].[IDA Gruppe].&amp;[Diplomingeniør]")</f>
        <v>Diplomingeniør</v>
      </c>
      <c r="C24" s="14" t="str" vm="37">
        <f>CUBEMEMBER("BIDB",{"[Uddannelsesretning].[IDA Gruppe].&amp;[Maskin]"})</f>
        <v>Maskin</v>
      </c>
      <c r="D24" s="23" vm="4691">
        <f>CUBEVALUE("BIDB",CUBEMEMBER("BIDB","[Betalingsstatus].[Betalende medlem]"),'Præsentationstabeller 1'!$C$2,$C24,CUBEMEMBER("BIDB",{"[Measures].[Ledighedsmulige]"}),D$3,$B24)</f>
        <v>217</v>
      </c>
      <c r="E24" s="102" vm="4845">
        <f>CUBEVALUE("BIDB",CUBEMEMBER("BIDB","[Betalingsstatus].[Betalende medlem]"),'Præsentationstabeller 1'!$C$2,$C24,CUBEMEMBER("BIDB",{"[Measures].[Fuldtidsledige]"}),D$3,$B24)</f>
        <v>9.7135135135135133</v>
      </c>
      <c r="F24" s="24">
        <f t="shared" si="1"/>
        <v>4.4762735085315732</v>
      </c>
      <c r="G24" s="23" vm="4689">
        <f>CUBEVALUE("BIDB",CUBEMEMBER("BIDB","[Betalingsstatus].[Betalende medlem]"),'Præsentationstabeller 1'!$C$2,$C24,CUBEMEMBER("BIDB",{"[Measures].[Ledighedsmulige]"}),G$3,$B24)</f>
        <v>2208</v>
      </c>
      <c r="H24" s="110" vm="4686">
        <f>CUBEVALUE("BIDB",CUBEMEMBER("BIDB","[Betalingsstatus].[Betalende medlem]"),'Præsentationstabeller 1'!$C$2,$C24,CUBEMEMBER("BIDB",{"[Measures].[Fuldtidsledige]"}),G$3,$B24)</f>
        <v>51.067027027027038</v>
      </c>
      <c r="I24" s="24">
        <f t="shared" si="2"/>
        <v>2.3128182530356445</v>
      </c>
      <c r="J24" s="23" vm="3841">
        <f>CUBEVALUE("BIDB",CUBEMEMBER("BIDB","[Betalingsstatus].[Betalende medlem]"),'Præsentationstabeller 1'!$C$2,$C24,CUBEMEMBER("BIDB","[Measures].[Ledighedsmulige]","Total Medlemstal"),$B24)</f>
        <v>2425</v>
      </c>
      <c r="K24" s="110" vm="4930">
        <f>CUBEVALUE("BIDB",CUBEMEMBER("BIDB","[Betalingsstatus].[Betalende medlem]"),'Præsentationstabeller 1'!$C$2,$C24,CUBEMEMBER("BIDB","[Measures].[Fuldtidsledige]","Total Fuldtidsledige"),$B24)</f>
        <v>60.780540540540549</v>
      </c>
      <c r="L24" s="24">
        <f t="shared" si="3"/>
        <v>2.5064140429088888</v>
      </c>
    </row>
    <row r="25" spans="2:12" ht="15" x14ac:dyDescent="0.25">
      <c r="B25" s="50" t="str" vm="2">
        <f t="shared" si="5"/>
        <v>Diplomingeniør</v>
      </c>
      <c r="C25" s="50" t="str" vm="41">
        <f>CUBEMEMBER("BIDB",{"[Uddannelsesretning].[IDA Gruppe].&amp;[Produktion]"})</f>
        <v>Produktion</v>
      </c>
      <c r="D25" s="51" vm="4928">
        <f>CUBEVALUE("BIDB",CUBEMEMBER("BIDB","[Betalingsstatus].[Betalende medlem]"),'Præsentationstabeller 1'!$C$2,$C25,CUBEMEMBER("BIDB",{"[Measures].[Ledighedsmulige]"}),D$3,$B25)</f>
        <v>239</v>
      </c>
      <c r="E25" s="103" vm="3848">
        <f>CUBEVALUE("BIDB",CUBEMEMBER("BIDB","[Betalingsstatus].[Betalende medlem]"),'Præsentationstabeller 1'!$C$2,$C25,CUBEMEMBER("BIDB",{"[Measures].[Fuldtidsledige]"}),D$3,$B25)</f>
        <v>6.2383783783783775</v>
      </c>
      <c r="F25" s="53">
        <f t="shared" si="1"/>
        <v>2.6102001583173129</v>
      </c>
      <c r="G25" s="51" vm="3598">
        <f>CUBEVALUE("BIDB",CUBEMEMBER("BIDB","[Betalingsstatus].[Betalende medlem]"),'Præsentationstabeller 1'!$C$2,$C25,CUBEMEMBER("BIDB",{"[Measures].[Ledighedsmulige]"}),G$3,$B25)</f>
        <v>832</v>
      </c>
      <c r="H25" s="111" vm="7345">
        <f>CUBEVALUE("BIDB",CUBEMEMBER("BIDB","[Betalingsstatus].[Betalende medlem]"),'Præsentationstabeller 1'!$C$2,$C25,CUBEMEMBER("BIDB",{"[Measures].[Fuldtidsledige]"}),G$3,$B25)</f>
        <v>13.644864864864866</v>
      </c>
      <c r="I25" s="53">
        <f t="shared" si="2"/>
        <v>1.6400077962577964</v>
      </c>
      <c r="J25" s="51" vm="7747">
        <f>CUBEVALUE("BIDB",CUBEMEMBER("BIDB","[Betalingsstatus].[Betalende medlem]"),'Præsentationstabeller 1'!$C$2,$C25,CUBEMEMBER("BIDB","[Measures].[Ledighedsmulige]","Total Medlemstal"),$B25)</f>
        <v>1071</v>
      </c>
      <c r="K25" s="111" vm="2353">
        <f>CUBEVALUE("BIDB",CUBEMEMBER("BIDB","[Betalingsstatus].[Betalende medlem]"),'Præsentationstabeller 1'!$C$2,$C25,CUBEMEMBER("BIDB","[Measures].[Fuldtidsledige]","Total Fuldtidsledige"),$B25)</f>
        <v>19.883243243243243</v>
      </c>
      <c r="L25" s="53">
        <f t="shared" si="3"/>
        <v>1.8565119741590328</v>
      </c>
    </row>
    <row r="26" spans="2:12" ht="15" x14ac:dyDescent="0.25">
      <c r="B26" s="9" t="str" vm="2">
        <f t="shared" si="5"/>
        <v>Diplomingeniør</v>
      </c>
      <c r="C26" s="9" t="str" vm="36">
        <f>CUBEMEMBER("BIDB",{"[Uddannelsesretning].[IDA Gruppe].&amp;[Elektronik-IT]"})</f>
        <v>Elektronik-IT</v>
      </c>
      <c r="D26" s="25" vm="5421">
        <f>CUBEVALUE("BIDB",CUBEMEMBER("BIDB","[Betalingsstatus].[Betalende medlem]"),'Præsentationstabeller 1'!$C$2,$C26,CUBEMEMBER("BIDB",{"[Measures].[Ledighedsmulige]"}),D$3,$B26)</f>
        <v>215</v>
      </c>
      <c r="E26" s="104" vm="4560">
        <f>CUBEVALUE("BIDB",CUBEMEMBER("BIDB","[Betalingsstatus].[Betalende medlem]"),'Præsentationstabeller 1'!$C$2,$C26,CUBEMEMBER("BIDB",{"[Measures].[Fuldtidsledige]"}),D$3,$B26)</f>
        <v>5.6348648648648636</v>
      </c>
      <c r="F26" s="26">
        <f t="shared" si="1"/>
        <v>2.6208673790069135</v>
      </c>
      <c r="G26" s="25" vm="4200">
        <f>CUBEVALUE("BIDB",CUBEMEMBER("BIDB","[Betalingsstatus].[Betalende medlem]"),'Præsentationstabeller 1'!$C$2,$C26,CUBEMEMBER("BIDB",{"[Measures].[Ledighedsmulige]"}),G$3,$B26)</f>
        <v>3988</v>
      </c>
      <c r="H26" s="112" vm="3178">
        <f>CUBEVALUE("BIDB",CUBEMEMBER("BIDB","[Betalingsstatus].[Betalende medlem]"),'Præsentationstabeller 1'!$C$2,$C26,CUBEMEMBER("BIDB",{"[Measures].[Fuldtidsledige]"}),G$3,$B26)</f>
        <v>84.167297297297296</v>
      </c>
      <c r="I26" s="26">
        <f t="shared" si="2"/>
        <v>2.110513974355499</v>
      </c>
      <c r="J26" s="25" vm="8484">
        <f>CUBEVALUE("BIDB",CUBEMEMBER("BIDB","[Betalingsstatus].[Betalende medlem]"),'Præsentationstabeller 1'!$C$2,$C26,CUBEMEMBER("BIDB","[Measures].[Ledighedsmulige]","Total Medlemstal"),$B26)</f>
        <v>4203</v>
      </c>
      <c r="K26" s="112" vm="5515">
        <f>CUBEVALUE("BIDB",CUBEMEMBER("BIDB","[Betalingsstatus].[Betalende medlem]"),'Præsentationstabeller 1'!$C$2,$C26,CUBEMEMBER("BIDB","[Measures].[Fuldtidsledige]","Total Fuldtidsledige"),$B26)</f>
        <v>89.802162162162176</v>
      </c>
      <c r="L26" s="26">
        <f t="shared" si="3"/>
        <v>2.1366205606034301</v>
      </c>
    </row>
    <row r="27" spans="2:12" ht="15" x14ac:dyDescent="0.25">
      <c r="B27" s="50" t="str" vm="2">
        <f t="shared" si="5"/>
        <v>Diplomingeniør</v>
      </c>
      <c r="C27" s="50" t="str" vm="40">
        <f>CUBEMEMBER("BIDB",{"[Uddannelsesretning].[IDA Gruppe].&amp;[Bygning]"})</f>
        <v>Bygning</v>
      </c>
      <c r="D27" s="51" vm="3063">
        <f>CUBEVALUE("BIDB",CUBEMEMBER("BIDB","[Betalingsstatus].[Betalende medlem]"),'Præsentationstabeller 1'!$C$2,$C27,CUBEMEMBER("BIDB",{"[Measures].[Ledighedsmulige]"}),D$3,$B27)</f>
        <v>895</v>
      </c>
      <c r="E27" s="103" vm="3294">
        <f>CUBEVALUE("BIDB",CUBEMEMBER("BIDB","[Betalingsstatus].[Betalende medlem]"),'Præsentationstabeller 1'!$C$2,$C27,CUBEMEMBER("BIDB",{"[Measures].[Fuldtidsledige]"}),D$3,$B27)</f>
        <v>24.061621621621619</v>
      </c>
      <c r="F27" s="53">
        <f t="shared" si="1"/>
        <v>2.6884493431979459</v>
      </c>
      <c r="G27" s="51" vm="4307">
        <f>CUBEVALUE("BIDB",CUBEMEMBER("BIDB","[Betalingsstatus].[Betalende medlem]"),'Præsentationstabeller 1'!$C$2,$C27,CUBEMEMBER("BIDB",{"[Measures].[Ledighedsmulige]"}),G$3,$B27)</f>
        <v>2683</v>
      </c>
      <c r="H27" s="111" vm="3426">
        <f>CUBEVALUE("BIDB",CUBEMEMBER("BIDB","[Betalingsstatus].[Betalende medlem]"),'Præsentationstabeller 1'!$C$2,$C27,CUBEMEMBER("BIDB",{"[Measures].[Fuldtidsledige]"}),G$3,$B27)</f>
        <v>45.280648648648651</v>
      </c>
      <c r="I27" s="53">
        <f t="shared" si="2"/>
        <v>1.6876872399794505</v>
      </c>
      <c r="J27" s="51" vm="5946">
        <f>CUBEVALUE("BIDB",CUBEMEMBER("BIDB","[Betalingsstatus].[Betalende medlem]"),'Præsentationstabeller 1'!$C$2,$C27,CUBEMEMBER("BIDB","[Measures].[Ledighedsmulige]","Total Medlemstal"),$B27)</f>
        <v>3578</v>
      </c>
      <c r="K27" s="111" vm="2578">
        <f>CUBEVALUE("BIDB",CUBEMEMBER("BIDB","[Betalingsstatus].[Betalende medlem]"),'Præsentationstabeller 1'!$C$2,$C27,CUBEMEMBER("BIDB","[Measures].[Fuldtidsledige]","Total Fuldtidsledige"),$B27)</f>
        <v>69.342270270270262</v>
      </c>
      <c r="L27" s="53">
        <f t="shared" si="3"/>
        <v>1.9380176151556807</v>
      </c>
    </row>
    <row r="28" spans="2:12" ht="15" x14ac:dyDescent="0.25">
      <c r="B28" s="9" t="str" vm="2">
        <f t="shared" si="5"/>
        <v>Diplomingeniør</v>
      </c>
      <c r="C28" s="9" t="str" vm="35">
        <f>CUBEMEMBER("BIDB",{"[Uddannelsesretning].[IDA Gruppe].&amp;[Anlæg]"})</f>
        <v>Anlæg</v>
      </c>
      <c r="D28" s="25" vm="3059">
        <f>CUBEVALUE("BIDB",CUBEMEMBER("BIDB","[Betalingsstatus].[Betalende medlem]"),'Præsentationstabeller 1'!$C$2,$C28,CUBEMEMBER("BIDB",{"[Measures].[Ledighedsmulige]"}),D$3,$B28)</f>
        <v>34</v>
      </c>
      <c r="E28" s="104" t="str" vm="4099">
        <f>CUBEVALUE("BIDB",CUBEMEMBER("BIDB","[Betalingsstatus].[Betalende medlem]"),'Præsentationstabeller 1'!$C$2,$C28,CUBEMEMBER("BIDB",{"[Measures].[Fuldtidsledige]"}),D$3,$B28)</f>
        <v/>
      </c>
      <c r="F28" s="26">
        <f t="shared" si="1"/>
        <v>0</v>
      </c>
      <c r="G28" s="25" vm="3460">
        <f>CUBEVALUE("BIDB",CUBEMEMBER("BIDB","[Betalingsstatus].[Betalende medlem]"),'Præsentationstabeller 1'!$C$2,$C28,CUBEMEMBER("BIDB",{"[Measures].[Ledighedsmulige]"}),G$3,$B28)</f>
        <v>130</v>
      </c>
      <c r="H28" s="112" vm="6278">
        <f>CUBEVALUE("BIDB",CUBEMEMBER("BIDB","[Betalingsstatus].[Betalende medlem]"),'Præsentationstabeller 1'!$C$2,$C28,CUBEMEMBER("BIDB",{"[Measures].[Fuldtidsledige]"}),G$3,$B28)</f>
        <v>1.24</v>
      </c>
      <c r="I28" s="26">
        <f t="shared" si="2"/>
        <v>0.9538461538461539</v>
      </c>
      <c r="J28" s="25" vm="3114">
        <f>CUBEVALUE("BIDB",CUBEMEMBER("BIDB","[Betalingsstatus].[Betalende medlem]"),'Præsentationstabeller 1'!$C$2,$C28,CUBEMEMBER("BIDB","[Measures].[Ledighedsmulige]","Total Medlemstal"),$B28)</f>
        <v>164</v>
      </c>
      <c r="K28" s="112" vm="4230">
        <f>CUBEVALUE("BIDB",CUBEMEMBER("BIDB","[Betalingsstatus].[Betalende medlem]"),'Præsentationstabeller 1'!$C$2,$C28,CUBEMEMBER("BIDB","[Measures].[Fuldtidsledige]","Total Fuldtidsledige"),$B28)</f>
        <v>1.24</v>
      </c>
      <c r="L28" s="26">
        <f t="shared" si="3"/>
        <v>0.75609756097560976</v>
      </c>
    </row>
    <row r="29" spans="2:12" ht="15" x14ac:dyDescent="0.25">
      <c r="B29" s="50" t="str" vm="2">
        <f t="shared" si="5"/>
        <v>Diplomingeniør</v>
      </c>
      <c r="C29" s="50" t="str" vm="39">
        <f>CUBEMEMBER("BIDB",{"[Uddannelsesretning].[IDA Gruppe].&amp;[Kemi]"})</f>
        <v>Kemi</v>
      </c>
      <c r="D29" s="51" vm="2714">
        <f>CUBEVALUE("BIDB",CUBEMEMBER("BIDB","[Betalingsstatus].[Betalende medlem]"),'Præsentationstabeller 1'!$C$2,$C29,CUBEMEMBER("BIDB",{"[Measures].[Ledighedsmulige]"}),D$3,$B29)</f>
        <v>404</v>
      </c>
      <c r="E29" s="103" vm="5523">
        <f>CUBEVALUE("BIDB",CUBEMEMBER("BIDB","[Betalingsstatus].[Betalende medlem]"),'Præsentationstabeller 1'!$C$2,$C29,CUBEMEMBER("BIDB",{"[Measures].[Fuldtidsledige]"}),D$3,$B29)</f>
        <v>9.6248648648648647</v>
      </c>
      <c r="F29" s="53">
        <f t="shared" si="1"/>
        <v>2.3823922932833823</v>
      </c>
      <c r="G29" s="51" vm="3734">
        <f>CUBEVALUE("BIDB",CUBEMEMBER("BIDB","[Betalingsstatus].[Betalende medlem]"),'Præsentationstabeller 1'!$C$2,$C29,CUBEMEMBER("BIDB",{"[Measures].[Ledighedsmulige]"}),G$3,$B29)</f>
        <v>312</v>
      </c>
      <c r="H29" s="111" vm="5567">
        <f>CUBEVALUE("BIDB",CUBEMEMBER("BIDB","[Betalingsstatus].[Betalende medlem]"),'Præsentationstabeller 1'!$C$2,$C29,CUBEMEMBER("BIDB",{"[Measures].[Fuldtidsledige]"}),G$3,$B29)</f>
        <v>8.7827027027027018</v>
      </c>
      <c r="I29" s="53">
        <f t="shared" si="2"/>
        <v>2.8149688149688146</v>
      </c>
      <c r="J29" s="51" vm="4465">
        <f>CUBEVALUE("BIDB",CUBEMEMBER("BIDB","[Betalingsstatus].[Betalende medlem]"),'Præsentationstabeller 1'!$C$2,$C29,CUBEMEMBER("BIDB","[Measures].[Ledighedsmulige]","Total Medlemstal"),$B29)</f>
        <v>716</v>
      </c>
      <c r="K29" s="111" vm="4351">
        <f>CUBEVALUE("BIDB",CUBEMEMBER("BIDB","[Betalingsstatus].[Betalende medlem]"),'Præsentationstabeller 1'!$C$2,$C29,CUBEMEMBER("BIDB","[Measures].[Fuldtidsledige]","Total Fuldtidsledige"),$B29)</f>
        <v>18.407567567567568</v>
      </c>
      <c r="L29" s="53">
        <f t="shared" si="3"/>
        <v>2.570889325079269</v>
      </c>
    </row>
    <row r="30" spans="2:12" ht="15" x14ac:dyDescent="0.25">
      <c r="B30" s="9" t="str" vm="2">
        <f t="shared" si="5"/>
        <v>Diplomingeniør</v>
      </c>
      <c r="C30" s="9" t="str" vm="34">
        <f>CUBEMEMBER("BIDB",{"[Uddannelsesretning].[IDA Gruppe].&amp;[Teknisk ledelse]"})</f>
        <v>Teknisk ledelse</v>
      </c>
      <c r="D30" s="25" vm="4077">
        <f>CUBEVALUE("BIDB",CUBEMEMBER("BIDB","[Betalingsstatus].[Betalende medlem]"),'Præsentationstabeller 1'!$C$2,$C30,CUBEMEMBER("BIDB",{"[Measures].[Ledighedsmulige]"}),D$3,$B30)</f>
        <v>279</v>
      </c>
      <c r="E30" s="104" vm="3971">
        <f>CUBEVALUE("BIDB",CUBEMEMBER("BIDB","[Betalingsstatus].[Betalende medlem]"),'Præsentationstabeller 1'!$C$2,$C30,CUBEMEMBER("BIDB",{"[Measures].[Fuldtidsledige]"}),D$3,$B30)</f>
        <v>13.748108108108106</v>
      </c>
      <c r="F30" s="26">
        <f t="shared" si="1"/>
        <v>4.9276373147340884</v>
      </c>
      <c r="G30" s="25" vm="5437">
        <f>CUBEVALUE("BIDB",CUBEMEMBER("BIDB","[Betalingsstatus].[Betalende medlem]"),'Præsentationstabeller 1'!$C$2,$C30,CUBEMEMBER("BIDB",{"[Measures].[Ledighedsmulige]"}),G$3,$B30)</f>
        <v>240</v>
      </c>
      <c r="H30" s="112" vm="3921">
        <f>CUBEVALUE("BIDB",CUBEMEMBER("BIDB","[Betalingsstatus].[Betalende medlem]"),'Præsentationstabeller 1'!$C$2,$C30,CUBEMEMBER("BIDB",{"[Measures].[Fuldtidsledige]"}),G$3,$B30)</f>
        <v>12.632972972972976</v>
      </c>
      <c r="I30" s="26">
        <f t="shared" si="2"/>
        <v>5.2637387387387404</v>
      </c>
      <c r="J30" s="25" vm="4376">
        <f>CUBEVALUE("BIDB",CUBEMEMBER("BIDB","[Betalingsstatus].[Betalende medlem]"),'Præsentationstabeller 1'!$C$2,$C30,CUBEMEMBER("BIDB","[Measures].[Ledighedsmulige]","Total Medlemstal"),$B30)</f>
        <v>519</v>
      </c>
      <c r="K30" s="112" vm="4464">
        <f>CUBEVALUE("BIDB",CUBEMEMBER("BIDB","[Betalingsstatus].[Betalende medlem]"),'Præsentationstabeller 1'!$C$2,$C30,CUBEMEMBER("BIDB","[Measures].[Fuldtidsledige]","Total Fuldtidsledige"),$B30)</f>
        <v>26.381081081081081</v>
      </c>
      <c r="L30" s="26">
        <f t="shared" si="3"/>
        <v>5.0830599385512683</v>
      </c>
    </row>
    <row r="31" spans="2:12" ht="15" x14ac:dyDescent="0.25">
      <c r="B31" s="50" t="str" vm="2">
        <f t="shared" si="5"/>
        <v>Diplomingeniør</v>
      </c>
      <c r="C31" s="50" t="str" vm="38">
        <f>CUBEMEMBER("BIDB",{"[Uddannelsesretning].[IDA Gruppe].&amp;[Nye retninger]"})</f>
        <v>Nye retninger</v>
      </c>
      <c r="D31" s="51" vm="3048">
        <f>CUBEVALUE("BIDB",CUBEMEMBER("BIDB","[Betalingsstatus].[Betalende medlem]"),'Præsentationstabeller 1'!$C$2,$C31,CUBEMEMBER("BIDB",{"[Measures].[Ledighedsmulige]"}),D$3,$B31)</f>
        <v>109</v>
      </c>
      <c r="E31" s="103" vm="4195">
        <f>CUBEVALUE("BIDB",CUBEMEMBER("BIDB","[Betalingsstatus].[Betalende medlem]"),'Præsentationstabeller 1'!$C$2,$C31,CUBEMEMBER("BIDB",{"[Measures].[Fuldtidsledige]"}),D$3,$B31)</f>
        <v>2.5014054054054053</v>
      </c>
      <c r="F31" s="53">
        <f t="shared" si="1"/>
        <v>2.2948673444086287</v>
      </c>
      <c r="G31" s="51" vm="5690">
        <f>CUBEVALUE("BIDB",CUBEMEMBER("BIDB","[Betalingsstatus].[Betalende medlem]"),'Præsentationstabeller 1'!$C$2,$C31,CUBEMEMBER("BIDB",{"[Measures].[Ledighedsmulige]"}),G$3,$B31)</f>
        <v>98</v>
      </c>
      <c r="H31" s="111" vm="3917">
        <f>CUBEVALUE("BIDB",CUBEMEMBER("BIDB","[Betalingsstatus].[Betalende medlem]"),'Præsentationstabeller 1'!$C$2,$C31,CUBEMEMBER("BIDB",{"[Measures].[Fuldtidsledige]"}),G$3,$B31)</f>
        <v>6.24</v>
      </c>
      <c r="I31" s="53">
        <f t="shared" si="2"/>
        <v>6.3673469387755102</v>
      </c>
      <c r="J31" s="51" vm="6120">
        <f>CUBEVALUE("BIDB",CUBEMEMBER("BIDB","[Betalingsstatus].[Betalende medlem]"),'Præsentationstabeller 1'!$C$2,$C31,CUBEMEMBER("BIDB","[Measures].[Ledighedsmulige]","Total Medlemstal"),$B31)</f>
        <v>207</v>
      </c>
      <c r="K31" s="111" vm="4953">
        <f>CUBEVALUE("BIDB",CUBEMEMBER("BIDB","[Betalingsstatus].[Betalende medlem]"),'Præsentationstabeller 1'!$C$2,$C31,CUBEMEMBER("BIDB","[Measures].[Fuldtidsledige]","Total Fuldtidsledige"),$B31)</f>
        <v>8.7414054054054038</v>
      </c>
      <c r="L31" s="53">
        <f t="shared" si="3"/>
        <v>4.2229011620315964</v>
      </c>
    </row>
    <row r="32" spans="2:12" ht="15" x14ac:dyDescent="0.25">
      <c r="B32" s="10" t="str" vm="2">
        <f t="shared" si="5"/>
        <v>Diplomingeniør</v>
      </c>
      <c r="C32" s="10" t="str" vm="33">
        <f>CUBEMEMBER("BIDB",{"[Uddannelsesretning].[IDA Gruppe].&amp;[Øvrige retninger/uoplyste]"})</f>
        <v>Øvrige retninger/uoplyste</v>
      </c>
      <c r="D32" s="41" vm="2794">
        <f>CUBEVALUE("BIDB",CUBEMEMBER("BIDB","[Betalingsstatus].[Betalende medlem]"),'Præsentationstabeller 1'!$C$2,$C32,CUBEMEMBER("BIDB",{"[Measures].[Ledighedsmulige]"}),D$3,$B32)</f>
        <v>453</v>
      </c>
      <c r="E32" s="105" vm="2964">
        <f>CUBEVALUE("BIDB",CUBEMEMBER("BIDB","[Betalingsstatus].[Betalende medlem]"),'Præsentationstabeller 1'!$C$2,$C32,CUBEMEMBER("BIDB",{"[Measures].[Fuldtidsledige]"}),D$3,$B32)</f>
        <v>34.374162162162158</v>
      </c>
      <c r="F32" s="43">
        <f t="shared" si="1"/>
        <v>7.588115267585466</v>
      </c>
      <c r="G32" s="41" vm="7167">
        <f>CUBEVALUE("BIDB",CUBEMEMBER("BIDB","[Betalingsstatus].[Betalende medlem]"),'Præsentationstabeller 1'!$C$2,$C32,CUBEMEMBER("BIDB",{"[Measures].[Ledighedsmulige]"}),G$3,$B32)</f>
        <v>1371</v>
      </c>
      <c r="H32" s="113" vm="6099">
        <f>CUBEVALUE("BIDB",CUBEMEMBER("BIDB","[Betalingsstatus].[Betalende medlem]"),'Præsentationstabeller 1'!$C$2,$C32,CUBEMEMBER("BIDB",{"[Measures].[Fuldtidsledige]"}),G$3,$B32)</f>
        <v>66.42708108108107</v>
      </c>
      <c r="I32" s="43">
        <f t="shared" si="2"/>
        <v>4.8451554399037979</v>
      </c>
      <c r="J32" s="41" vm="3831">
        <f>CUBEVALUE("BIDB",CUBEMEMBER("BIDB","[Betalingsstatus].[Betalende medlem]"),'Præsentationstabeller 1'!$C$2,$C32,CUBEMEMBER("BIDB","[Measures].[Ledighedsmulige]","Total Medlemstal"),$B32)</f>
        <v>1824</v>
      </c>
      <c r="K32" s="113" vm="5575">
        <f>CUBEVALUE("BIDB",CUBEMEMBER("BIDB","[Betalingsstatus].[Betalende medlem]"),'Præsentationstabeller 1'!$C$2,$C32,CUBEMEMBER("BIDB","[Measures].[Fuldtidsledige]","Total Fuldtidsledige"),$B32)</f>
        <v>100.80124324324322</v>
      </c>
      <c r="L32" s="43">
        <f t="shared" si="3"/>
        <v>5.5263839497392118</v>
      </c>
    </row>
    <row r="33" spans="2:13" ht="15" x14ac:dyDescent="0.25">
      <c r="B33" s="50" t="str" vm="19">
        <f t="shared" ref="B33:B41" si="6">CUBEMEMBER("BIDB","[Uddannelse].[IDA Gruppe].&amp;[Civilingeniører]")</f>
        <v>Civilingeniører</v>
      </c>
      <c r="C33" s="50" t="str" vm="37">
        <f>CUBEMEMBER("BIDB",{"[Uddannelsesretning].[IDA Gruppe].&amp;[Maskin]"})</f>
        <v>Maskin</v>
      </c>
      <c r="D33" s="51" vm="5060">
        <f>CUBEVALUE("BIDB",CUBEMEMBER("BIDB","[Betalingsstatus].[Betalende medlem]"),'Præsentationstabeller 1'!$C$2,$C33,CUBEMEMBER("BIDB",{"[Measures].[Ledighedsmulige]"}),D$3,$B33)</f>
        <v>225</v>
      </c>
      <c r="E33" s="103" vm="4075">
        <f>CUBEVALUE("BIDB",CUBEMEMBER("BIDB","[Betalingsstatus].[Betalende medlem]"),'Præsentationstabeller 1'!$C$2,$C33,CUBEMEMBER("BIDB",{"[Measures].[Fuldtidsledige]"}),D$3,$B33)</f>
        <v>3</v>
      </c>
      <c r="F33" s="53">
        <f t="shared" si="1"/>
        <v>1.3333333333333335</v>
      </c>
      <c r="G33" s="51" vm="4215">
        <f>CUBEVALUE("BIDB",CUBEMEMBER("BIDB","[Betalingsstatus].[Betalende medlem]"),'Præsentationstabeller 1'!$C$2,$C33,CUBEMEMBER("BIDB",{"[Measures].[Ledighedsmulige]"}),G$3,$B33)</f>
        <v>2346</v>
      </c>
      <c r="H33" s="111" vm="3963">
        <f>CUBEVALUE("BIDB",CUBEMEMBER("BIDB","[Betalingsstatus].[Betalende medlem]"),'Præsentationstabeller 1'!$C$2,$C33,CUBEMEMBER("BIDB",{"[Measures].[Fuldtidsledige]"}),G$3,$B33)</f>
        <v>32.514594594594591</v>
      </c>
      <c r="I33" s="53">
        <f t="shared" si="2"/>
        <v>1.3859588488744496</v>
      </c>
      <c r="J33" s="51" vm="3830">
        <f>CUBEVALUE("BIDB",CUBEMEMBER("BIDB","[Betalingsstatus].[Betalende medlem]"),'Præsentationstabeller 1'!$C$2,$C33,CUBEMEMBER("BIDB","[Measures].[Ledighedsmulige]","Total Medlemstal"),$B33)</f>
        <v>2571</v>
      </c>
      <c r="K33" s="111" vm="2185">
        <f>CUBEVALUE("BIDB",CUBEMEMBER("BIDB","[Betalingsstatus].[Betalende medlem]"),'Præsentationstabeller 1'!$C$2,$C33,CUBEMEMBER("BIDB","[Measures].[Fuldtidsledige]","Total Fuldtidsledige"),$B33)</f>
        <v>35.514594594594591</v>
      </c>
      <c r="L33" s="53">
        <f t="shared" si="3"/>
        <v>1.3813533486812366</v>
      </c>
    </row>
    <row r="34" spans="2:13" ht="15" x14ac:dyDescent="0.25">
      <c r="B34" s="9" t="str" vm="19">
        <f t="shared" si="6"/>
        <v>Civilingeniører</v>
      </c>
      <c r="C34" s="9" t="str" vm="41">
        <f>CUBEMEMBER("BIDB",{"[Uddannelsesretning].[IDA Gruppe].&amp;[Produktion]"})</f>
        <v>Produktion</v>
      </c>
      <c r="D34" s="25" vm="3580">
        <f>CUBEVALUE("BIDB",CUBEMEMBER("BIDB","[Betalingsstatus].[Betalende medlem]"),'Præsentationstabeller 1'!$C$2,$C34,CUBEMEMBER("BIDB",{"[Measures].[Ledighedsmulige]"}),D$3,$B34)</f>
        <v>130</v>
      </c>
      <c r="E34" s="104" vm="3264">
        <f>CUBEVALUE("BIDB",CUBEMEMBER("BIDB","[Betalingsstatus].[Betalende medlem]"),'Præsentationstabeller 1'!$C$2,$C34,CUBEMEMBER("BIDB",{"[Measures].[Fuldtidsledige]"}),D$3,$B34)</f>
        <v>2.6399999999999997</v>
      </c>
      <c r="F34" s="26">
        <f t="shared" si="1"/>
        <v>2.0307692307692307</v>
      </c>
      <c r="G34" s="25" vm="6735">
        <f>CUBEVALUE("BIDB",CUBEMEMBER("BIDB","[Betalingsstatus].[Betalende medlem]"),'Præsentationstabeller 1'!$C$2,$C34,CUBEMEMBER("BIDB",{"[Measures].[Ledighedsmulige]"}),G$3,$B34)</f>
        <v>589</v>
      </c>
      <c r="H34" s="112" vm="3906">
        <f>CUBEVALUE("BIDB",CUBEMEMBER("BIDB","[Betalingsstatus].[Betalende medlem]"),'Præsentationstabeller 1'!$C$2,$C34,CUBEMEMBER("BIDB",{"[Measures].[Fuldtidsledige]"}),G$3,$B34)</f>
        <v>10.76</v>
      </c>
      <c r="I34" s="26">
        <f t="shared" si="2"/>
        <v>1.8268251273344651</v>
      </c>
      <c r="J34" s="25" vm="8040">
        <f>CUBEVALUE("BIDB",CUBEMEMBER("BIDB","[Betalingsstatus].[Betalende medlem]"),'Præsentationstabeller 1'!$C$2,$C34,CUBEMEMBER("BIDB","[Measures].[Ledighedsmulige]","Total Medlemstal"),$B34)</f>
        <v>719</v>
      </c>
      <c r="K34" s="112" vm="4072">
        <f>CUBEVALUE("BIDB",CUBEMEMBER("BIDB","[Betalingsstatus].[Betalende medlem]"),'Præsentationstabeller 1'!$C$2,$C34,CUBEMEMBER("BIDB","[Measures].[Fuldtidsledige]","Total Fuldtidsledige"),$B34)</f>
        <v>13.4</v>
      </c>
      <c r="L34" s="26">
        <f t="shared" si="3"/>
        <v>1.863699582753825</v>
      </c>
    </row>
    <row r="35" spans="2:13" ht="15" x14ac:dyDescent="0.25">
      <c r="B35" s="50" t="str" vm="19">
        <f t="shared" si="6"/>
        <v>Civilingeniører</v>
      </c>
      <c r="C35" s="50" t="str" vm="36">
        <f>CUBEMEMBER("BIDB",{"[Uddannelsesretning].[IDA Gruppe].&amp;[Elektronik-IT]"})</f>
        <v>Elektronik-IT</v>
      </c>
      <c r="D35" s="51" vm="3796">
        <f>CUBEVALUE("BIDB",CUBEMEMBER("BIDB","[Betalingsstatus].[Betalende medlem]"),'Præsentationstabeller 1'!$C$2,$C35,CUBEMEMBER("BIDB",{"[Measures].[Ledighedsmulige]"}),D$3,$B35)</f>
        <v>545</v>
      </c>
      <c r="E35" s="103" vm="4149">
        <f>CUBEVALUE("BIDB",CUBEMEMBER("BIDB","[Betalingsstatus].[Betalende medlem]"),'Præsentationstabeller 1'!$C$2,$C35,CUBEMEMBER("BIDB",{"[Measures].[Fuldtidsledige]"}),D$3,$B35)</f>
        <v>12.479999999999999</v>
      </c>
      <c r="F35" s="53">
        <f t="shared" si="1"/>
        <v>2.2899082568807336</v>
      </c>
      <c r="G35" s="51" vm="8587">
        <f>CUBEVALUE("BIDB",CUBEMEMBER("BIDB","[Betalingsstatus].[Betalende medlem]"),'Præsentationstabeller 1'!$C$2,$C35,CUBEMEMBER("BIDB",{"[Measures].[Ledighedsmulige]"}),G$3,$B35)</f>
        <v>6388</v>
      </c>
      <c r="H35" s="111" vm="3902">
        <f>CUBEVALUE("BIDB",CUBEMEMBER("BIDB","[Betalingsstatus].[Betalende medlem]"),'Præsentationstabeller 1'!$C$2,$C35,CUBEMEMBER("BIDB",{"[Measures].[Fuldtidsledige]"}),G$3,$B35)</f>
        <v>101.63816216216217</v>
      </c>
      <c r="I35" s="53">
        <f t="shared" si="2"/>
        <v>1.5910795579549493</v>
      </c>
      <c r="J35" s="51" vm="4528">
        <f>CUBEVALUE("BIDB",CUBEMEMBER("BIDB","[Betalingsstatus].[Betalende medlem]"),'Præsentationstabeller 1'!$C$2,$C35,CUBEMEMBER("BIDB","[Measures].[Ledighedsmulige]","Total Medlemstal"),$B35)</f>
        <v>6933</v>
      </c>
      <c r="K35" s="111" vm="2984">
        <f>CUBEVALUE("BIDB",CUBEMEMBER("BIDB","[Betalingsstatus].[Betalende medlem]"),'Præsentationstabeller 1'!$C$2,$C35,CUBEMEMBER("BIDB","[Measures].[Fuldtidsledige]","Total Fuldtidsledige"),$B35)</f>
        <v>114.11816216216216</v>
      </c>
      <c r="L35" s="53">
        <f t="shared" si="3"/>
        <v>1.6460141664814969</v>
      </c>
    </row>
    <row r="36" spans="2:13" ht="15" x14ac:dyDescent="0.25">
      <c r="B36" s="9" t="str" vm="19">
        <f t="shared" si="6"/>
        <v>Civilingeniører</v>
      </c>
      <c r="C36" s="9" t="str" vm="40">
        <f>CUBEMEMBER("BIDB",{"[Uddannelsesretning].[IDA Gruppe].&amp;[Bygning]"})</f>
        <v>Bygning</v>
      </c>
      <c r="D36" s="25" vm="3543">
        <f>CUBEVALUE("BIDB",CUBEMEMBER("BIDB","[Betalingsstatus].[Betalende medlem]"),'Præsentationstabeller 1'!$C$2,$C36,CUBEMEMBER("BIDB",{"[Measures].[Ledighedsmulige]"}),D$3,$B36)</f>
        <v>1425</v>
      </c>
      <c r="E36" s="104" vm="5952">
        <f>CUBEVALUE("BIDB",CUBEMEMBER("BIDB","[Betalingsstatus].[Betalende medlem]"),'Præsentationstabeller 1'!$C$2,$C36,CUBEMEMBER("BIDB",{"[Measures].[Fuldtidsledige]"}),D$3,$B36)</f>
        <v>30.695405405405403</v>
      </c>
      <c r="F36" s="26">
        <f t="shared" si="1"/>
        <v>2.1540635372214316</v>
      </c>
      <c r="G36" s="25" vm="4505">
        <f>CUBEVALUE("BIDB",CUBEMEMBER("BIDB","[Betalingsstatus].[Betalende medlem]"),'Præsentationstabeller 1'!$C$2,$C36,CUBEMEMBER("BIDB",{"[Measures].[Ledighedsmulige]"}),G$3,$B36)</f>
        <v>3234</v>
      </c>
      <c r="H36" s="112" vm="3727">
        <f>CUBEVALUE("BIDB",CUBEMEMBER("BIDB","[Betalingsstatus].[Betalende medlem]"),'Præsentationstabeller 1'!$C$2,$C36,CUBEMEMBER("BIDB",{"[Measures].[Fuldtidsledige]"}),G$3,$B36)</f>
        <v>54.803459459459468</v>
      </c>
      <c r="I36" s="26">
        <f t="shared" si="2"/>
        <v>1.6946029517458092</v>
      </c>
      <c r="J36" s="25" vm="3961">
        <f>CUBEVALUE("BIDB",CUBEMEMBER("BIDB","[Betalingsstatus].[Betalende medlem]"),'Præsentationstabeller 1'!$C$2,$C36,CUBEMEMBER("BIDB","[Measures].[Ledighedsmulige]","Total Medlemstal"),$B36)</f>
        <v>4659</v>
      </c>
      <c r="K36" s="112" vm="3612">
        <f>CUBEVALUE("BIDB",CUBEMEMBER("BIDB","[Betalingsstatus].[Betalende medlem]"),'Præsentationstabeller 1'!$C$2,$C36,CUBEMEMBER("BIDB","[Measures].[Fuldtidsledige]","Total Fuldtidsledige"),$B36)</f>
        <v>85.498864864864856</v>
      </c>
      <c r="L36" s="26">
        <f t="shared" si="3"/>
        <v>1.8351333948243156</v>
      </c>
    </row>
    <row r="37" spans="2:13" ht="15" x14ac:dyDescent="0.25">
      <c r="B37" s="50" t="str" vm="19">
        <f t="shared" si="6"/>
        <v>Civilingeniører</v>
      </c>
      <c r="C37" s="50" t="str" vm="35">
        <f>CUBEMEMBER("BIDB",{"[Uddannelsesretning].[IDA Gruppe].&amp;[Anlæg]"})</f>
        <v>Anlæg</v>
      </c>
      <c r="D37" s="51" vm="4985">
        <f>CUBEVALUE("BIDB",CUBEMEMBER("BIDB","[Betalingsstatus].[Betalende medlem]"),'Præsentationstabeller 1'!$C$2,$C37,CUBEMEMBER("BIDB",{"[Measures].[Ledighedsmulige]"}),D$3,$B37)</f>
        <v>67</v>
      </c>
      <c r="E37" s="103" vm="7768">
        <f>CUBEVALUE("BIDB",CUBEMEMBER("BIDB","[Betalingsstatus].[Betalende medlem]"),'Præsentationstabeller 1'!$C$2,$C37,CUBEMEMBER("BIDB",{"[Measures].[Fuldtidsledige]"}),D$3,$B37)</f>
        <v>1.6</v>
      </c>
      <c r="F37" s="53">
        <f t="shared" si="1"/>
        <v>2.3880597014925375</v>
      </c>
      <c r="G37" s="51" vm="4442">
        <f>CUBEVALUE("BIDB",CUBEMEMBER("BIDB","[Betalingsstatus].[Betalende medlem]"),'Præsentationstabeller 1'!$C$2,$C37,CUBEMEMBER("BIDB",{"[Measures].[Ledighedsmulige]"}),G$3,$B37)</f>
        <v>151</v>
      </c>
      <c r="H37" s="111" vm="5571">
        <f>CUBEVALUE("BIDB",CUBEMEMBER("BIDB","[Betalingsstatus].[Betalende medlem]"),'Præsentationstabeller 1'!$C$2,$C37,CUBEMEMBER("BIDB",{"[Measures].[Fuldtidsledige]"}),G$3,$B37)</f>
        <v>4.84</v>
      </c>
      <c r="I37" s="53">
        <f t="shared" si="2"/>
        <v>3.2052980132450331</v>
      </c>
      <c r="J37" s="51" vm="3958">
        <f>CUBEVALUE("BIDB",CUBEMEMBER("BIDB","[Betalingsstatus].[Betalende medlem]"),'Præsentationstabeller 1'!$C$2,$C37,CUBEMEMBER("BIDB","[Measures].[Ledighedsmulige]","Total Medlemstal"),$B37)</f>
        <v>218</v>
      </c>
      <c r="K37" s="111" vm="3307">
        <f>CUBEVALUE("BIDB",CUBEMEMBER("BIDB","[Betalingsstatus].[Betalende medlem]"),'Præsentationstabeller 1'!$C$2,$C37,CUBEMEMBER("BIDB","[Measures].[Fuldtidsledige]","Total Fuldtidsledige"),$B37)</f>
        <v>6.44</v>
      </c>
      <c r="L37" s="53">
        <f t="shared" si="3"/>
        <v>2.9541284403669725</v>
      </c>
    </row>
    <row r="38" spans="2:13" ht="15" x14ac:dyDescent="0.25">
      <c r="B38" s="9" t="str" vm="19">
        <f t="shared" si="6"/>
        <v>Civilingeniører</v>
      </c>
      <c r="C38" s="9" t="str" vm="39">
        <f>CUBEMEMBER("BIDB",{"[Uddannelsesretning].[IDA Gruppe].&amp;[Kemi]"})</f>
        <v>Kemi</v>
      </c>
      <c r="D38" s="25" vm="3863">
        <f>CUBEVALUE("BIDB",CUBEMEMBER("BIDB","[Betalingsstatus].[Betalende medlem]"),'Præsentationstabeller 1'!$C$2,$C38,CUBEMEMBER("BIDB",{"[Measures].[Ledighedsmulige]"}),D$3,$B38)</f>
        <v>1296</v>
      </c>
      <c r="E38" s="104" vm="12303">
        <f>CUBEVALUE("BIDB",CUBEMEMBER("BIDB","[Betalingsstatus].[Betalende medlem]"),'Præsentationstabeller 1'!$C$2,$C38,CUBEMEMBER("BIDB",{"[Measures].[Fuldtidsledige]"}),D$3,$B38)</f>
        <v>18.378756756756758</v>
      </c>
      <c r="F38" s="26">
        <f t="shared" si="1"/>
        <v>1.4181139472806141</v>
      </c>
      <c r="G38" s="25" vm="3302">
        <f>CUBEVALUE("BIDB",CUBEMEMBER("BIDB","[Betalingsstatus].[Betalende medlem]"),'Præsentationstabeller 1'!$C$2,$C38,CUBEMEMBER("BIDB",{"[Measures].[Ledighedsmulige]"}),G$3,$B38)</f>
        <v>1987</v>
      </c>
      <c r="H38" s="112" vm="3301">
        <f>CUBEVALUE("BIDB",CUBEMEMBER("BIDB","[Betalingsstatus].[Betalende medlem]"),'Præsentationstabeller 1'!$C$2,$C38,CUBEMEMBER("BIDB",{"[Measures].[Fuldtidsledige]"}),G$3,$B38)</f>
        <v>54.526594594594584</v>
      </c>
      <c r="I38" s="26">
        <f t="shared" si="2"/>
        <v>2.7441668140208648</v>
      </c>
      <c r="J38" s="25" vm="3465">
        <f>CUBEVALUE("BIDB",CUBEMEMBER("BIDB","[Betalingsstatus].[Betalende medlem]"),'Præsentationstabeller 1'!$C$2,$C38,CUBEMEMBER("BIDB","[Measures].[Ledighedsmulige]","Total Medlemstal"),$B38)</f>
        <v>3283</v>
      </c>
      <c r="K38" s="112" vm="3305">
        <f>CUBEVALUE("BIDB",CUBEMEMBER("BIDB","[Betalingsstatus].[Betalende medlem]"),'Præsentationstabeller 1'!$C$2,$C38,CUBEMEMBER("BIDB","[Measures].[Fuldtidsledige]","Total Fuldtidsledige"),$B38)</f>
        <v>72.905351351351356</v>
      </c>
      <c r="L38" s="26">
        <f t="shared" si="3"/>
        <v>2.2206930049147533</v>
      </c>
    </row>
    <row r="39" spans="2:13" ht="15" x14ac:dyDescent="0.25">
      <c r="B39" s="50" t="str" vm="19">
        <f t="shared" si="6"/>
        <v>Civilingeniører</v>
      </c>
      <c r="C39" s="50" t="str" vm="34">
        <f>CUBEMEMBER("BIDB",{"[Uddannelsesretning].[IDA Gruppe].&amp;[Teknisk ledelse]"})</f>
        <v>Teknisk ledelse</v>
      </c>
      <c r="D39" s="51" vm="3862">
        <f>CUBEVALUE("BIDB",CUBEMEMBER("BIDB","[Betalingsstatus].[Betalende medlem]"),'Præsentationstabeller 1'!$C$2,$C39,CUBEMEMBER("BIDB",{"[Measures].[Ledighedsmulige]"}),D$3,$B39)</f>
        <v>205</v>
      </c>
      <c r="E39" s="103" vm="2809">
        <f>CUBEVALUE("BIDB",CUBEMEMBER("BIDB","[Betalingsstatus].[Betalende medlem]"),'Præsentationstabeller 1'!$C$2,$C39,CUBEMEMBER("BIDB",{"[Measures].[Fuldtidsledige]"}),D$3,$B39)</f>
        <v>6</v>
      </c>
      <c r="F39" s="53">
        <f t="shared" si="1"/>
        <v>2.9268292682926833</v>
      </c>
      <c r="G39" s="51" vm="5262">
        <f>CUBEVALUE("BIDB",CUBEMEMBER("BIDB","[Betalingsstatus].[Betalende medlem]"),'Præsentationstabeller 1'!$C$2,$C39,CUBEMEMBER("BIDB",{"[Measures].[Ledighedsmulige]"}),G$3,$B39)</f>
        <v>512</v>
      </c>
      <c r="H39" s="111" vm="4749">
        <f>CUBEVALUE("BIDB",CUBEMEMBER("BIDB","[Betalingsstatus].[Betalende medlem]"),'Præsentationstabeller 1'!$C$2,$C39,CUBEMEMBER("BIDB",{"[Measures].[Fuldtidsledige]"}),G$3,$B39)</f>
        <v>15.950270270270272</v>
      </c>
      <c r="I39" s="53">
        <f t="shared" si="2"/>
        <v>3.1152871621621623</v>
      </c>
      <c r="J39" s="51" vm="3935">
        <f>CUBEVALUE("BIDB",CUBEMEMBER("BIDB","[Betalingsstatus].[Betalende medlem]"),'Præsentationstabeller 1'!$C$2,$C39,CUBEMEMBER("BIDB","[Measures].[Ledighedsmulige]","Total Medlemstal"),$B39)</f>
        <v>717</v>
      </c>
      <c r="K39" s="111" vm="4813">
        <f>CUBEVALUE("BIDB",CUBEMEMBER("BIDB","[Betalingsstatus].[Betalende medlem]"),'Præsentationstabeller 1'!$C$2,$C39,CUBEMEMBER("BIDB","[Measures].[Fuldtidsledige]","Total Fuldtidsledige"),$B39)</f>
        <v>21.95027027027027</v>
      </c>
      <c r="L39" s="53">
        <f t="shared" si="3"/>
        <v>3.0614045007350446</v>
      </c>
    </row>
    <row r="40" spans="2:13" ht="15" x14ac:dyDescent="0.25">
      <c r="B40" s="9" t="str" vm="19">
        <f t="shared" si="6"/>
        <v>Civilingeniører</v>
      </c>
      <c r="C40" s="9" t="str" vm="38">
        <f>CUBEMEMBER("BIDB",{"[Uddannelsesretning].[IDA Gruppe].&amp;[Nye retninger]"})</f>
        <v>Nye retninger</v>
      </c>
      <c r="D40" s="25" vm="3497">
        <f>CUBEVALUE("BIDB",CUBEMEMBER("BIDB","[Betalingsstatus].[Betalende medlem]"),'Præsentationstabeller 1'!$C$2,$C40,CUBEMEMBER("BIDB",{"[Measures].[Ledighedsmulige]"}),D$3,$B40)</f>
        <v>703</v>
      </c>
      <c r="E40" s="104" vm="3174">
        <f>CUBEVALUE("BIDB",CUBEMEMBER("BIDB","[Betalingsstatus].[Betalende medlem]"),'Præsentationstabeller 1'!$C$2,$C40,CUBEMEMBER("BIDB",{"[Measures].[Fuldtidsledige]"}),D$3,$B40)</f>
        <v>59.571351351351346</v>
      </c>
      <c r="F40" s="26">
        <f t="shared" si="1"/>
        <v>8.473876436892084</v>
      </c>
      <c r="G40" s="25" vm="4799">
        <f>CUBEVALUE("BIDB",CUBEMEMBER("BIDB","[Betalingsstatus].[Betalende medlem]"),'Præsentationstabeller 1'!$C$2,$C40,CUBEMEMBER("BIDB",{"[Measures].[Ledighedsmulige]"}),G$3,$B40)</f>
        <v>626</v>
      </c>
      <c r="H40" s="112" vm="3093">
        <f>CUBEVALUE("BIDB",CUBEMEMBER("BIDB","[Betalingsstatus].[Betalende medlem]"),'Præsentationstabeller 1'!$C$2,$C40,CUBEMEMBER("BIDB",{"[Measures].[Fuldtidsledige]"}),G$3,$B40)</f>
        <v>47.856162162162157</v>
      </c>
      <c r="I40" s="26">
        <f t="shared" si="2"/>
        <v>7.6447543390035397</v>
      </c>
      <c r="J40" s="25" vm="4946">
        <f>CUBEVALUE("BIDB",CUBEMEMBER("BIDB","[Betalingsstatus].[Betalende medlem]"),'Præsentationstabeller 1'!$C$2,$C40,CUBEMEMBER("BIDB","[Measures].[Ledighedsmulige]","Total Medlemstal"),$B40)</f>
        <v>1329</v>
      </c>
      <c r="K40" s="112" vm="2938">
        <f>CUBEVALUE("BIDB",CUBEMEMBER("BIDB","[Betalingsstatus].[Betalende medlem]"),'Præsentationstabeller 1'!$C$2,$C40,CUBEMEMBER("BIDB","[Measures].[Fuldtidsledige]","Total Fuldtidsledige"),$B40)</f>
        <v>107.42751351351349</v>
      </c>
      <c r="L40" s="26">
        <f t="shared" si="3"/>
        <v>8.0833343501515031</v>
      </c>
    </row>
    <row r="41" spans="2:13" x14ac:dyDescent="0.3">
      <c r="B41" s="55" t="str" vm="19">
        <f t="shared" si="6"/>
        <v>Civilingeniører</v>
      </c>
      <c r="C41" s="55" t="str" vm="33">
        <f>CUBEMEMBER("BIDB",{"[Uddannelsesretning].[IDA Gruppe].&amp;[Øvrige retninger/uoplyste]"})</f>
        <v>Øvrige retninger/uoplyste</v>
      </c>
      <c r="D41" s="56" vm="3089">
        <f>CUBEVALUE("BIDB",CUBEMEMBER("BIDB","[Betalingsstatus].[Betalende medlem]"),'Præsentationstabeller 1'!$C$2,$C41,CUBEMEMBER("BIDB",{"[Measures].[Ledighedsmulige]"}),D$3,$B41)</f>
        <v>2361</v>
      </c>
      <c r="E41" s="106" vm="3596">
        <f>CUBEVALUE("BIDB",CUBEMEMBER("BIDB","[Betalingsstatus].[Betalende medlem]"),'Præsentationstabeller 1'!$C$2,$C41,CUBEMEMBER("BIDB",{"[Measures].[Fuldtidsledige]"}),D$3,$B41)</f>
        <v>91.734594594594597</v>
      </c>
      <c r="F41" s="58">
        <f t="shared" si="1"/>
        <v>3.8854127316643199</v>
      </c>
      <c r="G41" s="56" vm="2934">
        <f>CUBEVALUE("BIDB",CUBEMEMBER("BIDB","[Betalingsstatus].[Betalende medlem]"),'Præsentationstabeller 1'!$C$2,$C41,CUBEMEMBER("BIDB",{"[Measures].[Ledighedsmulige]"}),G$3,$B41)</f>
        <v>5147</v>
      </c>
      <c r="H41" s="114" vm="6127">
        <f>CUBEVALUE("BIDB",CUBEMEMBER("BIDB","[Betalingsstatus].[Betalende medlem]"),'Præsentationstabeller 1'!$C$2,$C41,CUBEMEMBER("BIDB",{"[Measures].[Fuldtidsledige]"}),G$3,$B41)</f>
        <v>211.69670270270262</v>
      </c>
      <c r="I41" s="58">
        <f t="shared" si="2"/>
        <v>4.1130115154983997</v>
      </c>
      <c r="J41" s="56" vm="4556">
        <f>CUBEVALUE("BIDB",CUBEMEMBER("BIDB","[Betalingsstatus].[Betalende medlem]"),'Præsentationstabeller 1'!$C$2,$C41,CUBEMEMBER("BIDB","[Measures].[Ledighedsmulige]","Total Medlemstal"),$B41)</f>
        <v>7508</v>
      </c>
      <c r="K41" s="114" vm="6703">
        <f>CUBEVALUE("BIDB",CUBEMEMBER("BIDB","[Betalingsstatus].[Betalende medlem]"),'Præsentationstabeller 1'!$C$2,$C41,CUBEMEMBER("BIDB","[Measures].[Fuldtidsledige]","Total Fuldtidsledige"),$B41)</f>
        <v>303.43129729729725</v>
      </c>
      <c r="L41" s="58">
        <f t="shared" si="3"/>
        <v>4.0414397615516418</v>
      </c>
    </row>
    <row r="42" spans="2:13" x14ac:dyDescent="0.3">
      <c r="B42" s="14" t="str" vm="3">
        <f>CUBEMEMBER("BIDB","[Uddannelse].[IDA Gruppe].&amp;[Cand.scient]")</f>
        <v>Cand.scient</v>
      </c>
      <c r="C42" s="14" t="str" vm="43">
        <f>CUBEMEMBER("BIDB",{"[Uddannelsesretning].[IDA Gruppe Cand Scient].&amp;[Data og IT]"})</f>
        <v>Data og IT</v>
      </c>
      <c r="D42" s="23" vm="3824">
        <f>CUBEVALUE("BIDB",CUBEMEMBER("BIDB","[Betalingsstatus].[Betalende medlem]"),'Præsentationstabeller 1'!$C$2,$C42,CUBEMEMBER("BIDB",{"[Measures].[Ledighedsmulige]"}),D$3,$B42)</f>
        <v>53</v>
      </c>
      <c r="E42" s="102" vm="4303">
        <f>CUBEVALUE("BIDB",CUBEMEMBER("BIDB","[Betalingsstatus].[Betalende medlem]"),'Præsentationstabeller 1'!$C$2,$C42,CUBEMEMBER("BIDB",{"[Measures].[Fuldtidsledige]"}),D$3,$B42)</f>
        <v>0.52</v>
      </c>
      <c r="F42" s="24">
        <f t="shared" si="1"/>
        <v>0.98113207547169812</v>
      </c>
      <c r="G42" s="23" vm="4951">
        <f>CUBEVALUE("BIDB",CUBEMEMBER("BIDB","[Betalingsstatus].[Betalende medlem]"),'Præsentationstabeller 1'!$C$2,$C42,CUBEMEMBER("BIDB",{"[Measures].[Ledighedsmulige]"}),G$3,$B42)</f>
        <v>440</v>
      </c>
      <c r="H42" s="110" vm="3669">
        <f>CUBEVALUE("BIDB",CUBEMEMBER("BIDB","[Betalingsstatus].[Betalende medlem]"),'Præsentationstabeller 1'!$C$2,$C42,CUBEMEMBER("BIDB",{"[Measures].[Fuldtidsledige]"}),G$3,$B42)</f>
        <v>6.3738378378378373</v>
      </c>
      <c r="I42" s="24">
        <f t="shared" si="2"/>
        <v>1.4485995085995085</v>
      </c>
      <c r="J42" s="23" vm="3759">
        <f>CUBEVALUE("BIDB",CUBEMEMBER("BIDB","[Betalingsstatus].[Betalende medlem]"),'Præsentationstabeller 1'!$C$2,$C42,CUBEMEMBER("BIDB","[Measures].[Ledighedsmulige]","Total Medlemstal"),$B42)</f>
        <v>493</v>
      </c>
      <c r="K42" s="110" vm="4440">
        <f>CUBEVALUE("BIDB",CUBEMEMBER("BIDB","[Betalingsstatus].[Betalende medlem]"),'Præsentationstabeller 1'!$C$2,$C42,CUBEMEMBER("BIDB","[Measures].[Fuldtidsledige]","Total Fuldtidsledige"),$B42)</f>
        <v>6.8938378378378387</v>
      </c>
      <c r="L42" s="24">
        <f t="shared" si="3"/>
        <v>1.3983443890137603</v>
      </c>
      <c r="M42" s="13"/>
    </row>
    <row r="43" spans="2:13" x14ac:dyDescent="0.3">
      <c r="B43" s="50" t="str" vm="3">
        <f>CUBEMEMBER("BIDB","[Uddannelse].[IDA Gruppe].&amp;[Cand.scient]")</f>
        <v>Cand.scient</v>
      </c>
      <c r="C43" s="50" t="str" vm="32">
        <f>CUBEMEMBER("BIDB",{"[Uddannelsesretning].[IDA Gruppe Cand Scient].&amp;[Matematik-Fysik-Kemi]"})</f>
        <v>Matematik-Fysik-Kemi</v>
      </c>
      <c r="D43" s="51" vm="3665">
        <f>CUBEVALUE("BIDB",CUBEMEMBER("BIDB","[Betalingsstatus].[Betalende medlem]"),'Præsentationstabeller 1'!$C$2,$C43,CUBEMEMBER("BIDB",{"[Measures].[Ledighedsmulige]"}),D$3,$B43)</f>
        <v>311</v>
      </c>
      <c r="E43" s="103" vm="8890">
        <f>CUBEVALUE("BIDB",CUBEMEMBER("BIDB","[Betalingsstatus].[Betalende medlem]"),'Præsentationstabeller 1'!$C$2,$C43,CUBEMEMBER("BIDB",{"[Measures].[Fuldtidsledige]"}),D$3,$B43)</f>
        <v>24.24</v>
      </c>
      <c r="F43" s="53">
        <f t="shared" si="1"/>
        <v>7.7942122186495171</v>
      </c>
      <c r="G43" s="51" vm="4437">
        <f>CUBEVALUE("BIDB",CUBEMEMBER("BIDB","[Betalingsstatus].[Betalende medlem]"),'Præsentationstabeller 1'!$C$2,$C43,CUBEMEMBER("BIDB",{"[Measures].[Ledighedsmulige]"}),G$3,$B43)</f>
        <v>527</v>
      </c>
      <c r="H43" s="111" vm="6015">
        <f>CUBEVALUE("BIDB",CUBEMEMBER("BIDB","[Betalingsstatus].[Betalende medlem]"),'Præsentationstabeller 1'!$C$2,$C43,CUBEMEMBER("BIDB",{"[Measures].[Fuldtidsledige]"}),G$3,$B43)</f>
        <v>31.838378378378376</v>
      </c>
      <c r="I43" s="53">
        <f t="shared" si="2"/>
        <v>6.0414380224626898</v>
      </c>
      <c r="J43" s="51" vm="2923">
        <f>CUBEVALUE("BIDB",CUBEMEMBER("BIDB","[Betalingsstatus].[Betalende medlem]"),'Præsentationstabeller 1'!$C$2,$C43,CUBEMEMBER("BIDB","[Measures].[Ledighedsmulige]","Total Medlemstal"),$B43)</f>
        <v>838</v>
      </c>
      <c r="K43" s="111" vm="3483">
        <f>CUBEVALUE("BIDB",CUBEMEMBER("BIDB","[Betalingsstatus].[Betalende medlem]"),'Præsentationstabeller 1'!$C$2,$C43,CUBEMEMBER("BIDB","[Measures].[Fuldtidsledige]","Total Fuldtidsledige"),$B43)</f>
        <v>56.078378378378382</v>
      </c>
      <c r="L43" s="53">
        <f t="shared" si="3"/>
        <v>6.6919305940785652</v>
      </c>
      <c r="M43" s="13"/>
    </row>
    <row r="44" spans="2:13" x14ac:dyDescent="0.3">
      <c r="B44" s="9" t="str" vm="3">
        <f>CUBEMEMBER("BIDB","[Uddannelse].[IDA Gruppe].&amp;[Cand.scient]")</f>
        <v>Cand.scient</v>
      </c>
      <c r="C44" s="9" t="str" vm="44">
        <f>CUBEMEMBER("BIDB",{"[Uddannelsesretning].[IDA Gruppe Cand Scient].&amp;[Geo-bio]"})</f>
        <v>Geo-bio</v>
      </c>
      <c r="D44" s="25" vm="3481">
        <f>CUBEVALUE("BIDB",CUBEMEMBER("BIDB","[Betalingsstatus].[Betalende medlem]"),'Præsentationstabeller 1'!$C$2,$C44,CUBEMEMBER("BIDB",{"[Measures].[Ledighedsmulige]"}),D$3,$B44)</f>
        <v>494</v>
      </c>
      <c r="E44" s="104" vm="2670">
        <f>CUBEVALUE("BIDB",CUBEMEMBER("BIDB","[Betalingsstatus].[Betalende medlem]"),'Præsentationstabeller 1'!$C$2,$C44,CUBEMEMBER("BIDB",{"[Measures].[Fuldtidsledige]"}),D$3,$B44)</f>
        <v>80.38648648648649</v>
      </c>
      <c r="F44" s="26">
        <f t="shared" si="1"/>
        <v>16.272568114673376</v>
      </c>
      <c r="G44" s="25" vm="4983">
        <f>CUBEVALUE("BIDB",CUBEMEMBER("BIDB","[Betalingsstatus].[Betalende medlem]"),'Præsentationstabeller 1'!$C$2,$C44,CUBEMEMBER("BIDB",{"[Measures].[Ledighedsmulige]"}),G$3,$B44)</f>
        <v>361</v>
      </c>
      <c r="H44" s="112" vm="4297">
        <f>CUBEVALUE("BIDB",CUBEMEMBER("BIDB","[Betalingsstatus].[Betalende medlem]"),'Præsentationstabeller 1'!$C$2,$C44,CUBEMEMBER("BIDB",{"[Measures].[Fuldtidsledige]"}),G$3,$B44)</f>
        <v>55.138270270270269</v>
      </c>
      <c r="I44" s="26">
        <f t="shared" si="2"/>
        <v>15.273759077637195</v>
      </c>
      <c r="J44" s="25" vm="4535">
        <f>CUBEVALUE("BIDB",CUBEMEMBER("BIDB","[Betalingsstatus].[Betalende medlem]"),'Præsentationstabeller 1'!$C$2,$C44,CUBEMEMBER("BIDB","[Measures].[Ledighedsmulige]","Total Medlemstal"),$B44)</f>
        <v>855</v>
      </c>
      <c r="K44" s="112" vm="3717">
        <f>CUBEVALUE("BIDB",CUBEMEMBER("BIDB","[Betalingsstatus].[Betalende medlem]"),'Præsentationstabeller 1'!$C$2,$C44,CUBEMEMBER("BIDB","[Measures].[Fuldtidsledige]","Total Fuldtidsledige"),$B44)</f>
        <v>135.5247567567568</v>
      </c>
      <c r="L44" s="26">
        <f t="shared" si="3"/>
        <v>15.850848743480327</v>
      </c>
    </row>
    <row r="45" spans="2:13" x14ac:dyDescent="0.3">
      <c r="B45" s="50" t="str" vm="3">
        <f>CUBEMEMBER("BIDB","[Uddannelse].[IDA Gruppe].&amp;[Cand.scient]")</f>
        <v>Cand.scient</v>
      </c>
      <c r="C45" s="50" t="str" vm="31">
        <f>CUBEMEMBER("BIDB",{"[Uddannelsesretning].[IDA Gruppe Cand Scient].&amp;[Medicin mv.]"})</f>
        <v>Medicin mv.</v>
      </c>
      <c r="D45" s="51" vm="4549">
        <f>CUBEVALUE("BIDB",CUBEMEMBER("BIDB","[Betalingsstatus].[Betalende medlem]"),'Præsentationstabeller 1'!$C$2,$C45,CUBEMEMBER("BIDB",{"[Measures].[Ledighedsmulige]"}),D$3,$B45)</f>
        <v>67</v>
      </c>
      <c r="E45" s="103" vm="3710">
        <f>CUBEVALUE("BIDB",CUBEMEMBER("BIDB","[Betalingsstatus].[Betalende medlem]"),'Præsentationstabeller 1'!$C$2,$C45,CUBEMEMBER("BIDB",{"[Measures].[Fuldtidsledige]"}),D$3,$B45)</f>
        <v>6.2</v>
      </c>
      <c r="F45" s="53">
        <f t="shared" si="1"/>
        <v>9.2537313432835813</v>
      </c>
      <c r="G45" s="51" vm="3716">
        <f>CUBEVALUE("BIDB",CUBEMEMBER("BIDB","[Betalingsstatus].[Betalende medlem]"),'Præsentationstabeller 1'!$C$2,$C45,CUBEMEMBER("BIDB",{"[Measures].[Ledighedsmulige]"}),G$3,$B45)</f>
        <v>22</v>
      </c>
      <c r="H45" s="111" vm="7260">
        <f>CUBEVALUE("BIDB",CUBEMEMBER("BIDB","[Betalingsstatus].[Betalende medlem]"),'Præsentationstabeller 1'!$C$2,$C45,CUBEMEMBER("BIDB",{"[Measures].[Fuldtidsledige]"}),G$3,$B45)</f>
        <v>5.7199999999999989</v>
      </c>
      <c r="I45" s="53">
        <f t="shared" si="2"/>
        <v>25.999999999999996</v>
      </c>
      <c r="J45" s="51" vm="3192">
        <f>CUBEVALUE("BIDB",CUBEMEMBER("BIDB","[Betalingsstatus].[Betalende medlem]"),'Præsentationstabeller 1'!$C$2,$C45,CUBEMEMBER("BIDB","[Measures].[Ledighedsmulige]","Total Medlemstal"),$B45)</f>
        <v>89</v>
      </c>
      <c r="K45" s="111" vm="3857">
        <f>CUBEVALUE("BIDB",CUBEMEMBER("BIDB","[Betalingsstatus].[Betalende medlem]"),'Præsentationstabeller 1'!$C$2,$C45,CUBEMEMBER("BIDB","[Measures].[Fuldtidsledige]","Total Fuldtidsledige"),$B45)</f>
        <v>11.920000000000002</v>
      </c>
      <c r="L45" s="53">
        <f t="shared" si="3"/>
        <v>13.393258426966295</v>
      </c>
    </row>
    <row r="46" spans="2:13" x14ac:dyDescent="0.3">
      <c r="B46" s="10" t="str" vm="3">
        <f>CUBEMEMBER("BIDB","[Uddannelse].[IDA Gruppe].&amp;[Cand.scient]")</f>
        <v>Cand.scient</v>
      </c>
      <c r="C46" s="10" t="str" vm="42">
        <f>CUBEMEMBER("BIDB",{"[Uddannelsesretning].[IDA Gruppe Cand Scient].&amp;[Øvrige retninger/uoplyste]"})</f>
        <v>Øvrige retninger/uoplyste</v>
      </c>
      <c r="D46" s="41" vm="7271">
        <f>CUBEVALUE("BIDB",CUBEMEMBER("BIDB","[Betalingsstatus].[Betalende medlem]"),'Præsentationstabeller 1'!$C$2,$C46,CUBEMEMBER("BIDB",{"[Measures].[Ledighedsmulige]"}),D$3,$B46)</f>
        <v>2265</v>
      </c>
      <c r="E46" s="105" vm="3190">
        <f>CUBEVALUE("BIDB",CUBEMEMBER("BIDB","[Betalingsstatus].[Betalende medlem]"),'Præsentationstabeller 1'!$C$2,$C46,CUBEMEMBER("BIDB",{"[Measures].[Fuldtidsledige]"}),D$3,$B46)</f>
        <v>301.71275675675673</v>
      </c>
      <c r="F46" s="43">
        <f t="shared" si="1"/>
        <v>13.320651512439591</v>
      </c>
      <c r="G46" s="41" vm="6864">
        <f>CUBEVALUE("BIDB",CUBEMEMBER("BIDB","[Betalingsstatus].[Betalende medlem]"),'Præsentationstabeller 1'!$C$2,$C46,CUBEMEMBER("BIDB",{"[Measures].[Ledighedsmulige]"}),G$3,$B46)</f>
        <v>2243</v>
      </c>
      <c r="H46" s="113" vm="4246">
        <f>CUBEVALUE("BIDB",CUBEMEMBER("BIDB","[Betalingsstatus].[Betalende medlem]"),'Præsentationstabeller 1'!$C$2,$C46,CUBEMEMBER("BIDB",{"[Measures].[Fuldtidsledige]"}),G$3,$B46)</f>
        <v>279.45340540540553</v>
      </c>
      <c r="I46" s="43">
        <f t="shared" si="2"/>
        <v>12.45891241218928</v>
      </c>
      <c r="J46" s="41" vm="6657">
        <f>CUBEVALUE("BIDB",CUBEMEMBER("BIDB","[Betalingsstatus].[Betalende medlem]"),'Præsentationstabeller 1'!$C$2,$C46,CUBEMEMBER("BIDB","[Measures].[Ledighedsmulige]","Total Medlemstal"),$B46)</f>
        <v>4508</v>
      </c>
      <c r="K46" s="113" vm="3654">
        <f>CUBEVALUE("BIDB",CUBEMEMBER("BIDB","[Betalingsstatus].[Betalende medlem]"),'Præsentationstabeller 1'!$C$2,$C46,CUBEMEMBER("BIDB","[Measures].[Fuldtidsledige]","Total Fuldtidsledige"),$B46)</f>
        <v>581.16616216216175</v>
      </c>
      <c r="L46" s="43">
        <f t="shared" si="3"/>
        <v>12.891884697474751</v>
      </c>
    </row>
    <row r="47" spans="2:13" x14ac:dyDescent="0.3">
      <c r="B47" s="50" t="str" vm="9">
        <f>CUBEMEMBER("BIDB","[Uddannelse].[IDA Gruppe].&amp;[Cand.it]")</f>
        <v>Cand.it</v>
      </c>
      <c r="C47" s="50"/>
      <c r="D47" s="51" vm="5912">
        <f>CUBEVALUE("BIDB",CUBEMEMBER("BIDB","[Betalingsstatus].[Betalende medlem]"),'Præsentationstabeller 1'!$C$2,$B47,CUBEMEMBER("BIDB",{"[Measures].[Ledighedsmulige]"}),D$3)</f>
        <v>538</v>
      </c>
      <c r="E47" s="103" vm="6084">
        <f>CUBEVALUE("BIDB",CUBEMEMBER("BIDB","[Betalingsstatus].[Betalende medlem]"),'Præsentationstabeller 1'!$C$2,$B47,CUBEMEMBER("BIDB",{"[Measures].[Fuldtidsledige]"}),D$3)</f>
        <v>45.073513513513518</v>
      </c>
      <c r="F47" s="53">
        <f t="shared" si="1"/>
        <v>8.3779764895006537</v>
      </c>
      <c r="G47" s="51" vm="2160">
        <f>CUBEVALUE("BIDB",CUBEMEMBER("BIDB","[Betalingsstatus].[Betalende medlem]"),'Præsentationstabeller 1'!$C$2,$B47,CUBEMEMBER("BIDB",{"[Measures].[Ledighedsmulige]"}),G$3)</f>
        <v>1080</v>
      </c>
      <c r="H47" s="111" vm="2150">
        <f>CUBEVALUE("BIDB",CUBEMEMBER("BIDB","[Betalingsstatus].[Betalende medlem]"),'Præsentationstabeller 1'!$C$2,$B47,CUBEMEMBER("BIDB",{"[Measures].[Fuldtidsledige]"}),G$3)</f>
        <v>45.729459459459463</v>
      </c>
      <c r="I47" s="53">
        <f t="shared" si="2"/>
        <v>4.2342092092092098</v>
      </c>
      <c r="J47" s="51" vm="4052">
        <f>CUBEVALUE("BIDB",CUBEMEMBER("BIDB","[Betalingsstatus].[Betalende medlem]"),'Præsentationstabeller 1'!$C$2,$B47,CUBEMEMBER("BIDB","[Measures].[Ledighedsmulige]","Total Medlemstal"))</f>
        <v>1618</v>
      </c>
      <c r="K47" s="111" vm="1916">
        <f>CUBEVALUE("BIDB",CUBEMEMBER("BIDB","[Betalingsstatus].[Betalende medlem]"),'Præsentationstabeller 1'!$C$2,$B47,CUBEMEMBER("BIDB","[Measures].[Fuldtidsledige]","Total Fuldtidsledige"))</f>
        <v>90.802972972972952</v>
      </c>
      <c r="L47" s="53">
        <f t="shared" si="3"/>
        <v>5.6120502455483905</v>
      </c>
    </row>
    <row r="48" spans="2:13" x14ac:dyDescent="0.3">
      <c r="B48" s="9" t="str" vm="12">
        <f>CUBEMEMBER("BIDB","[Uddannelse].[IDA Gruppe].&amp;[Phd]")</f>
        <v>Phd</v>
      </c>
      <c r="C48" s="9"/>
      <c r="D48" s="25" vm="4192">
        <f>CUBEVALUE("BIDB",CUBEMEMBER("BIDB","[Betalingsstatus].[Betalende medlem]"),'Præsentationstabeller 1'!$C$2,$B48,CUBEMEMBER("BIDB",{"[Measures].[Ledighedsmulige]"}),D$3)</f>
        <v>289</v>
      </c>
      <c r="E48" s="104" vm="4117">
        <f>CUBEVALUE("BIDB",CUBEMEMBER("BIDB","[Betalingsstatus].[Betalende medlem]"),'Præsentationstabeller 1'!$C$2,$B48,CUBEMEMBER("BIDB",{"[Measures].[Fuldtidsledige]"}),D$3)</f>
        <v>15.646486486486486</v>
      </c>
      <c r="F48" s="26">
        <f t="shared" si="1"/>
        <v>5.4140091648742166</v>
      </c>
      <c r="G48" s="25" vm="1783">
        <f>CUBEVALUE("BIDB",CUBEMEMBER("BIDB","[Betalingsstatus].[Betalende medlem]"),'Præsentationstabeller 1'!$C$2,$B48,CUBEMEMBER("BIDB",{"[Measures].[Ledighedsmulige]"}),G$3)</f>
        <v>415</v>
      </c>
      <c r="H48" s="112" vm="4677">
        <f>CUBEVALUE("BIDB",CUBEMEMBER("BIDB","[Betalingsstatus].[Betalende medlem]"),'Præsentationstabeller 1'!$C$2,$B48,CUBEMEMBER("BIDB",{"[Measures].[Fuldtidsledige]"}),G$3)</f>
        <v>13.122162162162162</v>
      </c>
      <c r="I48" s="26">
        <f t="shared" si="2"/>
        <v>3.1619667860631715</v>
      </c>
      <c r="J48" s="25" vm="4209">
        <f>CUBEVALUE("BIDB",CUBEMEMBER("BIDB","[Betalingsstatus].[Betalende medlem]"),'Præsentationstabeller 1'!$C$2,$B48,CUBEMEMBER("BIDB","[Measures].[Ledighedsmulige]","Total Medlemstal"))</f>
        <v>704</v>
      </c>
      <c r="K48" s="112" vm="4948">
        <f>CUBEVALUE("BIDB",CUBEMEMBER("BIDB","[Betalingsstatus].[Betalende medlem]"),'Præsentationstabeller 1'!$C$2,$B48,CUBEMEMBER("BIDB","[Measures].[Fuldtidsledige]","Total Fuldtidsledige"))</f>
        <v>28.768648648648643</v>
      </c>
      <c r="L48" s="26">
        <f t="shared" si="3"/>
        <v>4.0864557739557732</v>
      </c>
    </row>
    <row r="49" spans="2:12" s="17" customFormat="1" x14ac:dyDescent="0.3">
      <c r="B49" s="60" t="s">
        <v>2</v>
      </c>
      <c r="C49" s="61"/>
      <c r="D49" s="62">
        <f>SUM(D5:D48)</f>
        <v>17144</v>
      </c>
      <c r="E49" s="107">
        <f>SUM(E5:E48)</f>
        <v>876.51329729729719</v>
      </c>
      <c r="F49" s="97">
        <f>E49/D49*100</f>
        <v>5.112653390674855</v>
      </c>
      <c r="G49" s="62">
        <f>SUM(G5:G48)</f>
        <v>54480</v>
      </c>
      <c r="H49" s="115">
        <f>SUM(H5:H48)</f>
        <v>1524.220972972973</v>
      </c>
      <c r="I49" s="97">
        <f>H49/G49*100</f>
        <v>2.7977624320355599</v>
      </c>
      <c r="J49" s="62">
        <f>SUM(J5:J48)</f>
        <v>71624</v>
      </c>
      <c r="K49" s="115">
        <f>SUM(K5:K48)</f>
        <v>2400.7342702702699</v>
      </c>
      <c r="L49" s="97">
        <f>K49/J49*100</f>
        <v>3.3518572968142939</v>
      </c>
    </row>
    <row r="50" spans="2:12" x14ac:dyDescent="0.3">
      <c r="B50" s="29" t="str" vm="1">
        <f>CUBEMEMBER("BIDB","[Uddannelse].[IDA Gruppe Niveau1].&amp;[Ingeniører]","Ingeniører, i alt (diplom og civil)")</f>
        <v>Ingeniører, i alt (diplom og civil)</v>
      </c>
      <c r="C50" s="11"/>
      <c r="D50" s="27" vm="3822">
        <f>CUBEVALUE("BIDB",CUBEMEMBER("BIDB","[Betalingsstatus].[Betalende medlem]"),'Præsentationstabeller 1'!$C$2,$B50,CUBEMEMBER("BIDB",{"[Measures].[Ledighedsmulige]"}),D$3)</f>
        <v>12841</v>
      </c>
      <c r="E50" s="108" vm="4566">
        <f>CUBEVALUE("BIDB",CUBEMEMBER("BIDB","[Betalingsstatus].[Betalende medlem]"),'Præsentationstabeller 1'!$C$2,$B50,CUBEMEMBER("BIDB",{"[Measures].[Fuldtidsledige]"}),D$3)</f>
        <v>365.94891891891888</v>
      </c>
      <c r="F50" s="28">
        <f t="shared" ref="F50" si="7">IFERROR(E50/D50*100,0)</f>
        <v>2.8498475112445987</v>
      </c>
      <c r="G50" s="27" vm="3083">
        <f>CUBEVALUE("BIDB",CUBEMEMBER("BIDB","[Betalingsstatus].[Betalende medlem]"),'Præsentationstabeller 1'!$C$2,$B50,CUBEMEMBER("BIDB",{"[Measures].[Ledighedsmulige]"}),G$3)</f>
        <v>48454</v>
      </c>
      <c r="H50" s="116" vm="4999">
        <f>CUBEVALUE("BIDB",CUBEMEMBER("BIDB","[Betalingsstatus].[Betalende medlem]"),'Præsentationstabeller 1'!$C$2,$B50,CUBEMEMBER("BIDB",{"[Measures].[Fuldtidsledige]"}),G$3)</f>
        <v>997.0911351351366</v>
      </c>
      <c r="I50" s="28">
        <f t="shared" ref="I50" si="8">IFERROR(H50/G50*100,0)</f>
        <v>2.0578097476681734</v>
      </c>
      <c r="J50" s="27" vm="1682">
        <f>CUBEVALUE("BIDB",CUBEMEMBER("BIDB","[Betalingsstatus].[Betalende medlem]"),'Præsentationstabeller 1'!$C$2,$B50,CUBEMEMBER("BIDB","[Measures].[Ledighedsmulige]","Total Medlemstal"))</f>
        <v>61295</v>
      </c>
      <c r="K50" s="116" vm="1590">
        <f>CUBEVALUE("BIDB",CUBEMEMBER("BIDB","[Betalingsstatus].[Betalende medlem]"),'Præsentationstabeller 1'!$C$2,$B50,CUBEMEMBER("BIDB","[Measures].[Fuldtidsledige]","Total Fuldtidsledige"))</f>
        <v>1363.0400540540538</v>
      </c>
      <c r="L50" s="28">
        <f t="shared" ref="L50" si="9">IFERROR(K50/J50*100,0)</f>
        <v>2.2237377503125115</v>
      </c>
    </row>
    <row r="51" spans="2:12" x14ac:dyDescent="0.3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x14ac:dyDescent="0.3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x14ac:dyDescent="0.3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x14ac:dyDescent="0.3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x14ac:dyDescent="0.3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x14ac:dyDescent="0.3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x14ac:dyDescent="0.3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x14ac:dyDescent="0.3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x14ac:dyDescent="0.3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x14ac:dyDescent="0.3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x14ac:dyDescent="0.3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x14ac:dyDescent="0.3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x14ac:dyDescent="0.3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x14ac:dyDescent="0.3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x14ac:dyDescent="0.3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x14ac:dyDescent="0.3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x14ac:dyDescent="0.3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x14ac:dyDescent="0.3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x14ac:dyDescent="0.3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x14ac:dyDescent="0.3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x14ac:dyDescent="0.3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x14ac:dyDescent="0.3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x14ac:dyDescent="0.3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x14ac:dyDescent="0.3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x14ac:dyDescent="0.3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x14ac:dyDescent="0.3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x14ac:dyDescent="0.3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x14ac:dyDescent="0.3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x14ac:dyDescent="0.3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</sheetData>
  <mergeCells count="3">
    <mergeCell ref="D3:F3"/>
    <mergeCell ref="G3:I3"/>
    <mergeCell ref="J3:L3"/>
  </mergeCells>
  <pageMargins left="0.7" right="0.7" top="0.75" bottom="0.75" header="0.3" footer="0.3"/>
  <pageSetup orientation="portrait" r:id="rId1"/>
  <ignoredErrors>
    <ignoredError sqref="F5:F49 I49:L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0"/>
  <sheetViews>
    <sheetView showGridLines="0" zoomScale="85" zoomScaleNormal="85" workbookViewId="0">
      <selection activeCell="F18" sqref="F18"/>
    </sheetView>
  </sheetViews>
  <sheetFormatPr defaultColWidth="9.109375" defaultRowHeight="14.4" x14ac:dyDescent="0.3"/>
  <cols>
    <col min="1" max="1" width="4.33203125" style="8" customWidth="1"/>
    <col min="2" max="2" width="31.6640625" style="8" bestFit="1" customWidth="1"/>
    <col min="3" max="3" width="22.5546875" style="8" bestFit="1" customWidth="1"/>
    <col min="4" max="4" width="15.44140625" style="8" bestFit="1" customWidth="1"/>
    <col min="5" max="5" width="12.88671875" style="8" bestFit="1" customWidth="1"/>
    <col min="6" max="6" width="7.88671875" style="8" bestFit="1" customWidth="1"/>
    <col min="7" max="7" width="15.44140625" style="8" bestFit="1" customWidth="1"/>
    <col min="8" max="8" width="12.88671875" style="8" bestFit="1" customWidth="1"/>
    <col min="9" max="9" width="7.88671875" style="8" customWidth="1"/>
    <col min="10" max="10" width="15.44140625" style="8" bestFit="1" customWidth="1"/>
    <col min="11" max="11" width="12.88671875" style="8" bestFit="1" customWidth="1"/>
    <col min="12" max="12" width="7.88671875" style="8" bestFit="1" customWidth="1"/>
    <col min="13" max="13" width="15.44140625" style="8" bestFit="1" customWidth="1"/>
    <col min="14" max="14" width="12.88671875" style="8" bestFit="1" customWidth="1"/>
    <col min="15" max="15" width="7.88671875" style="8" bestFit="1" customWidth="1"/>
    <col min="16" max="16" width="15.44140625" style="8" bestFit="1" customWidth="1"/>
    <col min="17" max="17" width="12.88671875" style="8" bestFit="1" customWidth="1"/>
    <col min="18" max="18" width="7.88671875" style="8" bestFit="1" customWidth="1"/>
    <col min="19" max="16384" width="9.109375" style="8"/>
  </cols>
  <sheetData>
    <row r="1" spans="2:18" ht="15" x14ac:dyDescent="0.25">
      <c r="B1"/>
      <c r="C1"/>
    </row>
    <row r="2" spans="2:18" ht="15" x14ac:dyDescent="0.25">
      <c r="D2" s="12"/>
    </row>
    <row r="3" spans="2:18" s="15" customFormat="1" ht="15" x14ac:dyDescent="0.25">
      <c r="B3" s="16" t="s">
        <v>9</v>
      </c>
      <c r="D3" s="144" t="str" vm="26">
        <f>CUBEMEMBER("BIDB","[Alder].[Aldersgruppe 10 års interval].[All].[20-29 år]","Under 30 år")</f>
        <v>Under 30 år</v>
      </c>
      <c r="E3" s="145"/>
      <c r="F3" s="146"/>
      <c r="G3" s="147" t="str" vm="22">
        <f>CUBEMEMBER("BIDB","[Alder].[Aldersgruppe 10 års interval].[All].[30-39 år]")</f>
        <v>30-39 år</v>
      </c>
      <c r="H3" s="148"/>
      <c r="I3" s="149"/>
      <c r="J3" s="147" t="str" vm="28">
        <f>CUBEMEMBER("BIDB","[Alder].[Aldersgruppe 10 års interval].[All].[40-49 år]")</f>
        <v>40-49 år</v>
      </c>
      <c r="K3" s="148"/>
      <c r="L3" s="149"/>
      <c r="M3" s="147" t="str" vm="27">
        <f>CUBEMEMBER("BIDB","[Alder].[Aldersgruppe 10 års interval].[All].[50-59 år]")</f>
        <v>50-59 år</v>
      </c>
      <c r="N3" s="148"/>
      <c r="O3" s="149"/>
      <c r="P3" s="147" t="str" vm="8">
        <f>CUBEMEMBER("BIDB","[Alder].[Aldersgruppe 10 års interval].[All].[&gt; 59 år]","60-64 år")</f>
        <v>60-64 år</v>
      </c>
      <c r="Q3" s="148"/>
      <c r="R3" s="149"/>
    </row>
    <row r="4" spans="2:18" s="16" customFormat="1" ht="15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  <c r="M4" s="38" t="s">
        <v>5</v>
      </c>
      <c r="N4" s="39" t="s">
        <v>6</v>
      </c>
      <c r="O4" s="40" t="s">
        <v>7</v>
      </c>
      <c r="P4" s="38" t="s">
        <v>5</v>
      </c>
      <c r="Q4" s="39" t="s">
        <v>6</v>
      </c>
      <c r="R4" s="40" t="s">
        <v>7</v>
      </c>
    </row>
    <row r="5" spans="2:18" ht="15" x14ac:dyDescent="0.25">
      <c r="B5" s="45" t="str" vm="11">
        <f>CUBEMEMBER("BIDB","[Uddannelse].[IDA Gruppe].&amp;[Bachelorer]")</f>
        <v>Bachelorer</v>
      </c>
      <c r="C5" s="45"/>
      <c r="D5" s="46" vm="3158">
        <f>CUBEVALUE("BIDB",CUBEMEMBER("BIDB","[Betalingsstatus].[Betalende medlem]"),'Præsentationstabeller 1'!$C$2,$B5,CUBEMEMBER("BIDB",{"[Measures].[Ledighedsmulige]"}),D$3)</f>
        <v>551</v>
      </c>
      <c r="E5" s="101" vm="3452">
        <f>CUBEVALUE("BIDB",CUBEMEMBER("BIDB","[Betalingsstatus].[Betalende medlem]"),'Præsentationstabeller 1'!$C$2,$B5,CUBEMEMBER("BIDB",{"[Measures].[Fuldtidsledige]"}),D$3)</f>
        <v>92.778378378378378</v>
      </c>
      <c r="F5" s="48">
        <f>IFERROR(E5/D5*100,0)</f>
        <v>16.838181193898073</v>
      </c>
      <c r="G5" s="46" vm="3079">
        <f>CUBEVALUE("BIDB",CUBEMEMBER("BIDB","[Betalingsstatus].[Betalende medlem]"),'Præsentationstabeller 1'!$C$2,$B5,CUBEMEMBER("BIDB",{"[Measures].[Ledighedsmulige]"}),G$3)</f>
        <v>426</v>
      </c>
      <c r="H5" s="109" vm="3148">
        <f>CUBEVALUE("BIDB",CUBEMEMBER("BIDB","[Betalingsstatus].[Betalende medlem]"),'Præsentationstabeller 1'!$C$2,$B5,CUBEMEMBER("BIDB",{"[Measures].[Fuldtidsledige]"}),G$3)</f>
        <v>24.279459459459453</v>
      </c>
      <c r="I5" s="48">
        <f>IFERROR(H5/G5*100,0)</f>
        <v>5.6994036289810923</v>
      </c>
      <c r="J5" s="46" vm="3362">
        <f>CUBEVALUE("BIDB",CUBEMEMBER("BIDB","[Betalingsstatus].[Betalende medlem]"),'Præsentationstabeller 1'!$C$2,$B5,CUBEMEMBER("BIDB",{"[Measures].[Ledighedsmulige]"}),J$3)</f>
        <v>191</v>
      </c>
      <c r="K5" s="109" vm="3949">
        <f>CUBEVALUE("BIDB",CUBEMEMBER("BIDB","[Betalingsstatus].[Betalende medlem]"),'Præsentationstabeller 1'!$C$2,$B5,CUBEMEMBER("BIDB",{"[Measures].[Fuldtidsledige]"}),J$3)</f>
        <v>8.2816216216216212</v>
      </c>
      <c r="L5" s="48">
        <f>IFERROR(K5/J5*100,0)</f>
        <v>4.3359275505872361</v>
      </c>
      <c r="M5" s="46" vm="17202">
        <f>CUBEVALUE("BIDB",CUBEMEMBER("BIDB","[Betalingsstatus].[Betalende medlem]"),'Præsentationstabeller 1'!$C$2,$B5,CUBEMEMBER("BIDB",{"[Measures].[Ledighedsmulige]"}),M$3)</f>
        <v>52</v>
      </c>
      <c r="N5" s="109" vm="17200">
        <f>CUBEVALUE("BIDB",CUBEMEMBER("BIDB","[Betalingsstatus].[Betalende medlem]"),'Præsentationstabeller 1'!$C$2,$B5,CUBEMEMBER("BIDB",{"[Measures].[Fuldtidsledige]"}),M$3)</f>
        <v>1.2</v>
      </c>
      <c r="O5" s="48">
        <f>IFERROR(N5/M5*100,0)</f>
        <v>2.3076923076923075</v>
      </c>
      <c r="P5" s="46" vm="1746">
        <f>CUBEVALUE("BIDB",CUBEMEMBER("BIDB","[Betalingsstatus].[Betalende medlem]"),'Præsentationstabeller 1'!$C$2,$B5,CUBEMEMBER("BIDB",{"[Measures].[Ledighedsmulige]"}),P$3)</f>
        <v>4</v>
      </c>
      <c r="Q5" s="109" t="str" vm="4937">
        <f>CUBEVALUE("BIDB",CUBEMEMBER("BIDB","[Betalingsstatus].[Betalende medlem]"),'Præsentationstabeller 1'!$C$2,$B5,CUBEMEMBER("BIDB",{"[Measures].[Fuldtidsledige]"}),P$3)</f>
        <v/>
      </c>
      <c r="R5" s="48">
        <f>IFERROR(Q5/P5*100,0)</f>
        <v>0</v>
      </c>
    </row>
    <row r="6" spans="2:18" ht="15" x14ac:dyDescent="0.25">
      <c r="B6" s="14" t="str" vm="4">
        <f t="shared" ref="B6:B14" si="0">CUBEMEMBER("BIDB","[Uddannelse].[IDA Gruppe].&amp;[Akademiingeniør]")</f>
        <v>Akademiingeniør</v>
      </c>
      <c r="C6" s="14" t="str" vm="37">
        <f>CUBEMEMBER("BIDB",{"[Uddannelsesretning].[IDA Gruppe].&amp;[Maskin]"})</f>
        <v>Maskin</v>
      </c>
      <c r="D6" s="23" vm="6671">
        <f>CUBEVALUE("BIDB",CUBEMEMBER("BIDB","[Betalingsstatus].[Betalende medlem]"),'Præsentationstabeller 1'!$C$2,$C6,CUBEMEMBER("BIDB",{"[Measures].[Ledighedsmulige]"}),D$3,$B6)</f>
        <v>0</v>
      </c>
      <c r="E6" s="102" t="str" vm="8975">
        <f>CUBEVALUE("BIDB",CUBEMEMBER("BIDB","[Betalingsstatus].[Betalende medlem]"),'Præsentationstabeller 1'!$C$2,$C6,CUBEMEMBER("BIDB",{"[Measures].[Fuldtidsledige]"}),D$3,$B6)</f>
        <v/>
      </c>
      <c r="F6" s="24">
        <f t="shared" ref="F6:F48" si="1">IFERROR(E6/D6*100,0)</f>
        <v>0</v>
      </c>
      <c r="G6" s="23" vm="3451">
        <f>CUBEVALUE("BIDB",CUBEMEMBER("BIDB","[Betalingsstatus].[Betalende medlem]"),'Præsentationstabeller 1'!$C$2,$C6,CUBEMEMBER("BIDB",{"[Measures].[Ledighedsmulige]"}),G$3,$B6)</f>
        <v>3</v>
      </c>
      <c r="H6" s="110" t="str" vm="3044">
        <f>CUBEVALUE("BIDB",CUBEMEMBER("BIDB","[Betalingsstatus].[Betalende medlem]"),'Præsentationstabeller 1'!$C$2,$C6,CUBEMEMBER("BIDB",{"[Measures].[Fuldtidsledige]"}),G$3,$B6)</f>
        <v/>
      </c>
      <c r="I6" s="24">
        <f t="shared" ref="I6:I48" si="2">IFERROR(H6/G6*100,0)</f>
        <v>0</v>
      </c>
      <c r="J6" s="23" vm="2675">
        <f>CUBEVALUE("BIDB",CUBEMEMBER("BIDB","[Betalingsstatus].[Betalende medlem]"),'Præsentationstabeller 1'!$C$2,$C6,CUBEMEMBER("BIDB",{"[Measures].[Ledighedsmulige]"}),J$3,$B6)</f>
        <v>273</v>
      </c>
      <c r="K6" s="110" vm="3143">
        <f>CUBEVALUE("BIDB",CUBEMEMBER("BIDB","[Betalingsstatus].[Betalende medlem]"),'Præsentationstabeller 1'!$C$2,$C6,CUBEMEMBER("BIDB",{"[Measures].[Fuldtidsledige]"}),J$3,$B6)</f>
        <v>1</v>
      </c>
      <c r="L6" s="24">
        <f t="shared" ref="L6:L48" si="3">IFERROR(K6/J6*100,0)</f>
        <v>0.36630036630036628</v>
      </c>
      <c r="M6" s="23" vm="3692">
        <f>CUBEVALUE("BIDB",CUBEMEMBER("BIDB","[Betalingsstatus].[Betalende medlem]"),'Præsentationstabeller 1'!$C$2,$C6,CUBEMEMBER("BIDB",{"[Measures].[Ledighedsmulige]"}),M$3,$B6)</f>
        <v>574</v>
      </c>
      <c r="N6" s="110" vm="3211">
        <f>CUBEVALUE("BIDB",CUBEMEMBER("BIDB","[Betalingsstatus].[Betalende medlem]"),'Præsentationstabeller 1'!$C$2,$C6,CUBEMEMBER("BIDB",{"[Measures].[Fuldtidsledige]"}),M$3,$B6)</f>
        <v>6.92</v>
      </c>
      <c r="O6" s="24">
        <f t="shared" ref="O6:O48" si="4">IFERROR(N6/M6*100,0)</f>
        <v>1.2055749128919859</v>
      </c>
      <c r="P6" s="23" vm="5865">
        <f>CUBEVALUE("BIDB",CUBEMEMBER("BIDB","[Betalingsstatus].[Betalende medlem]"),'Præsentationstabeller 1'!$C$2,$C6,CUBEMEMBER("BIDB",{"[Measures].[Ledighedsmulige]"}),P$3,$B6)</f>
        <v>150</v>
      </c>
      <c r="Q6" s="110" vm="5942">
        <f>CUBEVALUE("BIDB",CUBEMEMBER("BIDB","[Betalingsstatus].[Betalende medlem]"),'Præsentationstabeller 1'!$C$2,$C6,CUBEMEMBER("BIDB",{"[Measures].[Fuldtidsledige]"}),P$3,$B6)</f>
        <v>3.4</v>
      </c>
      <c r="R6" s="24">
        <f t="shared" ref="R6:R48" si="5">IFERROR(Q6/P6*100,0)</f>
        <v>2.2666666666666666</v>
      </c>
    </row>
    <row r="7" spans="2:18" ht="15" x14ac:dyDescent="0.25">
      <c r="B7" s="50" t="str" vm="4">
        <f t="shared" si="0"/>
        <v>Akademiingeniør</v>
      </c>
      <c r="C7" s="50" t="str" vm="41">
        <f>CUBEMEMBER("BIDB",{"[Uddannelsesretning].[IDA Gruppe].&amp;[Produktion]"})</f>
        <v>Produktion</v>
      </c>
      <c r="D7" s="51" vm="2820">
        <f>CUBEVALUE("BIDB",CUBEMEMBER("BIDB","[Betalingsstatus].[Betalende medlem]"),'Præsentationstabeller 1'!$C$2,$C7,CUBEMEMBER("BIDB",{"[Measures].[Ledighedsmulige]"}),D$3,$B7)</f>
        <v>0</v>
      </c>
      <c r="E7" s="103" t="str" vm="4941">
        <f>CUBEVALUE("BIDB",CUBEMEMBER("BIDB","[Betalingsstatus].[Betalende medlem]"),'Præsentationstabeller 1'!$C$2,$C7,CUBEMEMBER("BIDB",{"[Measures].[Fuldtidsledige]"}),D$3,$B7)</f>
        <v/>
      </c>
      <c r="F7" s="53">
        <f t="shared" si="1"/>
        <v>0</v>
      </c>
      <c r="G7" s="51" vm="4671">
        <f>CUBEVALUE("BIDB",CUBEMEMBER("BIDB","[Betalingsstatus].[Betalende medlem]"),'Præsentationstabeller 1'!$C$2,$C7,CUBEMEMBER("BIDB",{"[Measures].[Ledighedsmulige]"}),G$3,$B7)</f>
        <v>1</v>
      </c>
      <c r="H7" s="111" t="str" vm="3694">
        <f>CUBEVALUE("BIDB",CUBEMEMBER("BIDB","[Betalingsstatus].[Betalende medlem]"),'Præsentationstabeller 1'!$C$2,$C7,CUBEMEMBER("BIDB",{"[Measures].[Fuldtidsledige]"}),G$3,$B7)</f>
        <v/>
      </c>
      <c r="I7" s="53">
        <f t="shared" si="2"/>
        <v>0</v>
      </c>
      <c r="J7" s="51" vm="4698">
        <f>CUBEVALUE("BIDB",CUBEMEMBER("BIDB","[Betalingsstatus].[Betalende medlem]"),'Præsentationstabeller 1'!$C$2,$C7,CUBEMEMBER("BIDB",{"[Measures].[Ledighedsmulige]"}),J$3,$B7)</f>
        <v>50</v>
      </c>
      <c r="K7" s="111" t="str" vm="5611">
        <f>CUBEVALUE("BIDB",CUBEMEMBER("BIDB","[Betalingsstatus].[Betalende medlem]"),'Præsentationstabeller 1'!$C$2,$C7,CUBEMEMBER("BIDB",{"[Measures].[Fuldtidsledige]"}),J$3,$B7)</f>
        <v/>
      </c>
      <c r="L7" s="53">
        <f t="shared" si="3"/>
        <v>0</v>
      </c>
      <c r="M7" s="51" vm="7259">
        <f>CUBEVALUE("BIDB",CUBEMEMBER("BIDB","[Betalingsstatus].[Betalende medlem]"),'Præsentationstabeller 1'!$C$2,$C7,CUBEMEMBER("BIDB",{"[Measures].[Ledighedsmulige]"}),M$3,$B7)</f>
        <v>38</v>
      </c>
      <c r="N7" s="111" t="str" vm="3733">
        <f>CUBEVALUE("BIDB",CUBEMEMBER("BIDB","[Betalingsstatus].[Betalende medlem]"),'Præsentationstabeller 1'!$C$2,$C7,CUBEMEMBER("BIDB",{"[Measures].[Fuldtidsledige]"}),M$3,$B7)</f>
        <v/>
      </c>
      <c r="O7" s="53">
        <f t="shared" si="4"/>
        <v>0</v>
      </c>
      <c r="P7" s="51" vm="3773">
        <f>CUBEVALUE("BIDB",CUBEMEMBER("BIDB","[Betalingsstatus].[Betalende medlem]"),'Præsentationstabeller 1'!$C$2,$C7,CUBEMEMBER("BIDB",{"[Measures].[Ledighedsmulige]"}),P$3,$B7)</f>
        <v>11</v>
      </c>
      <c r="Q7" s="111" t="str" vm="3589">
        <f>CUBEVALUE("BIDB",CUBEMEMBER("BIDB","[Betalingsstatus].[Betalende medlem]"),'Præsentationstabeller 1'!$C$2,$C7,CUBEMEMBER("BIDB",{"[Measures].[Fuldtidsledige]"}),P$3,$B7)</f>
        <v/>
      </c>
      <c r="R7" s="53">
        <f t="shared" si="5"/>
        <v>0</v>
      </c>
    </row>
    <row r="8" spans="2:18" ht="15" x14ac:dyDescent="0.25">
      <c r="B8" s="9" t="str" vm="4">
        <f t="shared" si="0"/>
        <v>Akademiingeniør</v>
      </c>
      <c r="C8" s="9" t="str" vm="36">
        <f>CUBEMEMBER("BIDB",{"[Uddannelsesretning].[IDA Gruppe].&amp;[Elektronik-IT]"})</f>
        <v>Elektronik-IT</v>
      </c>
      <c r="D8" s="25" vm="3357">
        <f>CUBEVALUE("BIDB",CUBEMEMBER("BIDB","[Betalingsstatus].[Betalende medlem]"),'Præsentationstabeller 1'!$C$2,$C8,CUBEMEMBER("BIDB",{"[Measures].[Ledighedsmulige]"}),D$3,$B8)</f>
        <v>3</v>
      </c>
      <c r="E8" s="104" t="str" vm="3330">
        <f>CUBEVALUE("BIDB",CUBEMEMBER("BIDB","[Betalingsstatus].[Betalende medlem]"),'Præsentationstabeller 1'!$C$2,$C8,CUBEMEMBER("BIDB",{"[Measures].[Fuldtidsledige]"}),D$3,$B8)</f>
        <v/>
      </c>
      <c r="F8" s="26">
        <f t="shared" si="1"/>
        <v>0</v>
      </c>
      <c r="G8" s="25" vm="3205">
        <f>CUBEVALUE("BIDB",CUBEMEMBER("BIDB","[Betalingsstatus].[Betalende medlem]"),'Præsentationstabeller 1'!$C$2,$C8,CUBEMEMBER("BIDB",{"[Measures].[Ledighedsmulige]"}),G$3,$B8)</f>
        <v>10</v>
      </c>
      <c r="H8" s="112" t="str" vm="3126">
        <f>CUBEVALUE("BIDB",CUBEMEMBER("BIDB","[Betalingsstatus].[Betalende medlem]"),'Præsentationstabeller 1'!$C$2,$C8,CUBEMEMBER("BIDB",{"[Measures].[Fuldtidsledige]"}),G$3,$B8)</f>
        <v/>
      </c>
      <c r="I8" s="26">
        <f t="shared" si="2"/>
        <v>0</v>
      </c>
      <c r="J8" s="25" vm="3410">
        <f>CUBEVALUE("BIDB",CUBEMEMBER("BIDB","[Betalingsstatus].[Betalende medlem]"),'Præsentationstabeller 1'!$C$2,$C8,CUBEMEMBER("BIDB",{"[Measures].[Ledighedsmulige]"}),J$3,$B8)</f>
        <v>430</v>
      </c>
      <c r="K8" s="112" vm="2620">
        <f>CUBEVALUE("BIDB",CUBEMEMBER("BIDB","[Betalingsstatus].[Betalende medlem]"),'Præsentationstabeller 1'!$C$2,$C8,CUBEMEMBER("BIDB",{"[Measures].[Fuldtidsledige]"}),J$3,$B8)</f>
        <v>2.44</v>
      </c>
      <c r="L8" s="26">
        <f t="shared" si="3"/>
        <v>0.56744186046511635</v>
      </c>
      <c r="M8" s="25" vm="16791">
        <f>CUBEVALUE("BIDB",CUBEMEMBER("BIDB","[Betalingsstatus].[Betalende medlem]"),'Præsentationstabeller 1'!$C$2,$C8,CUBEMEMBER("BIDB",{"[Measures].[Ledighedsmulige]"}),M$3,$B8)</f>
        <v>681</v>
      </c>
      <c r="N8" s="112" vm="7656">
        <f>CUBEVALUE("BIDB",CUBEMEMBER("BIDB","[Betalingsstatus].[Betalende medlem]"),'Præsentationstabeller 1'!$C$2,$C8,CUBEMEMBER("BIDB",{"[Measures].[Fuldtidsledige]"}),M$3,$B8)</f>
        <v>6.3599999999999994</v>
      </c>
      <c r="O8" s="26">
        <f t="shared" si="4"/>
        <v>0.93392070484581491</v>
      </c>
      <c r="P8" s="25" vm="3092">
        <f>CUBEVALUE("BIDB",CUBEMEMBER("BIDB","[Betalingsstatus].[Betalende medlem]"),'Præsentationstabeller 1'!$C$2,$C8,CUBEMEMBER("BIDB",{"[Measures].[Ledighedsmulige]"}),P$3,$B8)</f>
        <v>236</v>
      </c>
      <c r="Q8" s="112" vm="3103">
        <f>CUBEVALUE("BIDB",CUBEMEMBER("BIDB","[Betalingsstatus].[Betalende medlem]"),'Præsentationstabeller 1'!$C$2,$C8,CUBEMEMBER("BIDB",{"[Measures].[Fuldtidsledige]"}),P$3,$B8)</f>
        <v>4.8281081081081085</v>
      </c>
      <c r="R8" s="26">
        <f t="shared" si="5"/>
        <v>2.0458085203847918</v>
      </c>
    </row>
    <row r="9" spans="2:18" ht="15" x14ac:dyDescent="0.25">
      <c r="B9" s="50" t="str" vm="4">
        <f t="shared" si="0"/>
        <v>Akademiingeniør</v>
      </c>
      <c r="C9" s="50" t="str" vm="40">
        <f>CUBEMEMBER("BIDB",{"[Uddannelsesretning].[IDA Gruppe].&amp;[Bygning]"})</f>
        <v>Bygning</v>
      </c>
      <c r="D9" s="51" vm="3245">
        <f>CUBEVALUE("BIDB",CUBEMEMBER("BIDB","[Betalingsstatus].[Betalende medlem]"),'Præsentationstabeller 1'!$C$2,$C9,CUBEMEMBER("BIDB",{"[Measures].[Ledighedsmulige]"}),D$3,$B9)</f>
        <v>0</v>
      </c>
      <c r="E9" s="103" t="str" vm="3320">
        <f>CUBEVALUE("BIDB",CUBEMEMBER("BIDB","[Betalingsstatus].[Betalende medlem]"),'Præsentationstabeller 1'!$C$2,$C9,CUBEMEMBER("BIDB",{"[Measures].[Fuldtidsledige]"}),D$3,$B9)</f>
        <v/>
      </c>
      <c r="F9" s="53">
        <f t="shared" si="1"/>
        <v>0</v>
      </c>
      <c r="G9" s="51" vm="2769">
        <f>CUBEVALUE("BIDB",CUBEMEMBER("BIDB","[Betalingsstatus].[Betalende medlem]"),'Præsentationstabeller 1'!$C$2,$C9,CUBEMEMBER("BIDB",{"[Measures].[Ledighedsmulige]"}),G$3,$B9)</f>
        <v>1</v>
      </c>
      <c r="H9" s="111" t="str" vm="3732">
        <f>CUBEVALUE("BIDB",CUBEMEMBER("BIDB","[Betalingsstatus].[Betalende medlem]"),'Præsentationstabeller 1'!$C$2,$C9,CUBEMEMBER("BIDB",{"[Measures].[Fuldtidsledige]"}),G$3,$B9)</f>
        <v/>
      </c>
      <c r="I9" s="53">
        <f t="shared" si="2"/>
        <v>0</v>
      </c>
      <c r="J9" s="51" vm="3627">
        <f>CUBEVALUE("BIDB",CUBEMEMBER("BIDB","[Betalingsstatus].[Betalende medlem]"),'Præsentationstabeller 1'!$C$2,$C9,CUBEMEMBER("BIDB",{"[Measures].[Ledighedsmulige]"}),J$3,$B9)</f>
        <v>369</v>
      </c>
      <c r="K9" s="111" vm="3163">
        <f>CUBEVALUE("BIDB",CUBEMEMBER("BIDB","[Betalingsstatus].[Betalende medlem]"),'Præsentationstabeller 1'!$C$2,$C9,CUBEMEMBER("BIDB",{"[Measures].[Fuldtidsledige]"}),J$3,$B9)</f>
        <v>1.2</v>
      </c>
      <c r="L9" s="53">
        <f t="shared" si="3"/>
        <v>0.32520325203252032</v>
      </c>
      <c r="M9" s="51" vm="5831">
        <f>CUBEVALUE("BIDB",CUBEMEMBER("BIDB","[Betalingsstatus].[Betalende medlem]"),'Præsentationstabeller 1'!$C$2,$C9,CUBEMEMBER("BIDB",{"[Measures].[Ledighedsmulige]"}),M$3,$B9)</f>
        <v>629</v>
      </c>
      <c r="N9" s="111" vm="16746">
        <f>CUBEVALUE("BIDB",CUBEMEMBER("BIDB","[Betalingsstatus].[Betalende medlem]"),'Præsentationstabeller 1'!$C$2,$C9,CUBEMEMBER("BIDB",{"[Measures].[Fuldtidsledige]"}),M$3,$B9)</f>
        <v>3.6399999999999997</v>
      </c>
      <c r="O9" s="53">
        <f t="shared" si="4"/>
        <v>0.57869634340222575</v>
      </c>
      <c r="P9" s="51" vm="5236">
        <f>CUBEVALUE("BIDB",CUBEMEMBER("BIDB","[Betalingsstatus].[Betalende medlem]"),'Præsentationstabeller 1'!$C$2,$C9,CUBEMEMBER("BIDB",{"[Measures].[Ledighedsmulige]"}),P$3,$B9)</f>
        <v>250</v>
      </c>
      <c r="Q9" s="111" t="str" vm="3570">
        <f>CUBEVALUE("BIDB",CUBEMEMBER("BIDB","[Betalingsstatus].[Betalende medlem]"),'Præsentationstabeller 1'!$C$2,$C9,CUBEMEMBER("BIDB",{"[Measures].[Fuldtidsledige]"}),P$3,$B9)</f>
        <v/>
      </c>
      <c r="R9" s="53">
        <f t="shared" si="5"/>
        <v>0</v>
      </c>
    </row>
    <row r="10" spans="2:18" ht="15" x14ac:dyDescent="0.25">
      <c r="B10" s="9" t="str" vm="4">
        <f t="shared" si="0"/>
        <v>Akademiingeniør</v>
      </c>
      <c r="C10" s="9" t="str" vm="35">
        <f>CUBEMEMBER("BIDB",{"[Uddannelsesretning].[IDA Gruppe].&amp;[Anlæg]"})</f>
        <v>Anlæg</v>
      </c>
      <c r="D10" s="25" t="str" vm="4938">
        <f>CUBEVALUE("BIDB",CUBEMEMBER("BIDB","[Betalingsstatus].[Betalende medlem]"),'Præsentationstabeller 1'!$C$2,$C10,CUBEMEMBER("BIDB",{"[Measures].[Ledighedsmulige]"}),D$3,$B10)</f>
        <v/>
      </c>
      <c r="E10" s="104" t="str" vm="3193">
        <f>CUBEVALUE("BIDB",CUBEMEMBER("BIDB","[Betalingsstatus].[Betalende medlem]"),'Præsentationstabeller 1'!$C$2,$C10,CUBEMEMBER("BIDB",{"[Measures].[Fuldtidsledige]"}),D$3,$B10)</f>
        <v/>
      </c>
      <c r="F10" s="26">
        <f t="shared" si="1"/>
        <v>0</v>
      </c>
      <c r="G10" s="25" vm="7261">
        <f>CUBEVALUE("BIDB",CUBEMEMBER("BIDB","[Betalingsstatus].[Betalende medlem]"),'Præsentationstabeller 1'!$C$2,$C10,CUBEMEMBER("BIDB",{"[Measures].[Ledighedsmulige]"}),G$3,$B10)</f>
        <v>0</v>
      </c>
      <c r="H10" s="112" t="str" vm="2542">
        <f>CUBEVALUE("BIDB",CUBEMEMBER("BIDB","[Betalingsstatus].[Betalende medlem]"),'Præsentationstabeller 1'!$C$2,$C10,CUBEMEMBER("BIDB",{"[Measures].[Fuldtidsledige]"}),G$3,$B10)</f>
        <v/>
      </c>
      <c r="I10" s="26">
        <f t="shared" si="2"/>
        <v>0</v>
      </c>
      <c r="J10" s="25" vm="4428">
        <f>CUBEVALUE("BIDB",CUBEMEMBER("BIDB","[Betalingsstatus].[Betalende medlem]"),'Præsentationstabeller 1'!$C$2,$C10,CUBEMEMBER("BIDB",{"[Measures].[Ledighedsmulige]"}),J$3,$B10)</f>
        <v>21</v>
      </c>
      <c r="K10" s="112" vm="4884">
        <f>CUBEVALUE("BIDB",CUBEMEMBER("BIDB","[Betalingsstatus].[Betalende medlem]"),'Præsentationstabeller 1'!$C$2,$C10,CUBEMEMBER("BIDB",{"[Measures].[Fuldtidsledige]"}),J$3,$B10)</f>
        <v>0.55999999999999994</v>
      </c>
      <c r="L10" s="26">
        <f t="shared" si="3"/>
        <v>2.6666666666666665</v>
      </c>
      <c r="M10" s="25" vm="5178">
        <f>CUBEVALUE("BIDB",CUBEMEMBER("BIDB","[Betalingsstatus].[Betalende medlem]"),'Præsentationstabeller 1'!$C$2,$C10,CUBEMEMBER("BIDB",{"[Measures].[Ledighedsmulige]"}),M$3,$B10)</f>
        <v>22</v>
      </c>
      <c r="N10" s="112" t="str" vm="4794">
        <f>CUBEVALUE("BIDB",CUBEMEMBER("BIDB","[Betalingsstatus].[Betalende medlem]"),'Præsentationstabeller 1'!$C$2,$C10,CUBEMEMBER("BIDB",{"[Measures].[Fuldtidsledige]"}),M$3,$B10)</f>
        <v/>
      </c>
      <c r="O10" s="26">
        <f t="shared" si="4"/>
        <v>0</v>
      </c>
      <c r="P10" s="25" vm="4690">
        <f>CUBEVALUE("BIDB",CUBEMEMBER("BIDB","[Betalingsstatus].[Betalende medlem]"),'Præsentationstabeller 1'!$C$2,$C10,CUBEMEMBER("BIDB",{"[Measures].[Ledighedsmulige]"}),P$3,$B10)</f>
        <v>3</v>
      </c>
      <c r="Q10" s="112" t="str" vm="8256">
        <f>CUBEVALUE("BIDB",CUBEMEMBER("BIDB","[Betalingsstatus].[Betalende medlem]"),'Præsentationstabeller 1'!$C$2,$C10,CUBEMEMBER("BIDB",{"[Measures].[Fuldtidsledige]"}),P$3,$B10)</f>
        <v/>
      </c>
      <c r="R10" s="26">
        <f t="shared" si="5"/>
        <v>0</v>
      </c>
    </row>
    <row r="11" spans="2:18" ht="15" x14ac:dyDescent="0.25">
      <c r="B11" s="50" t="str" vm="4">
        <f t="shared" si="0"/>
        <v>Akademiingeniør</v>
      </c>
      <c r="C11" s="50" t="str" vm="39">
        <f>CUBEMEMBER("BIDB",{"[Uddannelsesretning].[IDA Gruppe].&amp;[Kemi]"})</f>
        <v>Kemi</v>
      </c>
      <c r="D11" s="51" vm="4199">
        <f>CUBEVALUE("BIDB",CUBEMEMBER("BIDB","[Betalingsstatus].[Betalende medlem]"),'Præsentationstabeller 1'!$C$2,$C11,CUBEMEMBER("BIDB",{"[Measures].[Ledighedsmulige]"}),D$3,$B11)</f>
        <v>0</v>
      </c>
      <c r="E11" s="103" t="str" vm="8732">
        <f>CUBEVALUE("BIDB",CUBEMEMBER("BIDB","[Betalingsstatus].[Betalende medlem]"),'Præsentationstabeller 1'!$C$2,$C11,CUBEMEMBER("BIDB",{"[Measures].[Fuldtidsledige]"}),D$3,$B11)</f>
        <v/>
      </c>
      <c r="F11" s="53">
        <f t="shared" si="1"/>
        <v>0</v>
      </c>
      <c r="G11" s="51" vm="3743">
        <f>CUBEVALUE("BIDB",CUBEMEMBER("BIDB","[Betalingsstatus].[Betalende medlem]"),'Præsentationstabeller 1'!$C$2,$C11,CUBEMEMBER("BIDB",{"[Measures].[Ledighedsmulige]"}),G$3,$B11)</f>
        <v>0</v>
      </c>
      <c r="H11" s="111" t="str" vm="4190">
        <f>CUBEVALUE("BIDB",CUBEMEMBER("BIDB","[Betalingsstatus].[Betalende medlem]"),'Præsentationstabeller 1'!$C$2,$C11,CUBEMEMBER("BIDB",{"[Measures].[Fuldtidsledige]"}),G$3,$B11)</f>
        <v/>
      </c>
      <c r="I11" s="53">
        <f t="shared" si="2"/>
        <v>0</v>
      </c>
      <c r="J11" s="51" vm="3370">
        <f>CUBEVALUE("BIDB",CUBEMEMBER("BIDB","[Betalingsstatus].[Betalende medlem]"),'Præsentationstabeller 1'!$C$2,$C11,CUBEMEMBER("BIDB",{"[Measures].[Ledighedsmulige]"}),J$3,$B11)</f>
        <v>400</v>
      </c>
      <c r="K11" s="111" vm="6865">
        <f>CUBEVALUE("BIDB",CUBEMEMBER("BIDB","[Betalingsstatus].[Betalende medlem]"),'Præsentationstabeller 1'!$C$2,$C11,CUBEMEMBER("BIDB",{"[Measures].[Fuldtidsledige]"}),J$3,$B11)</f>
        <v>5.9599999999999991</v>
      </c>
      <c r="L11" s="53">
        <f t="shared" si="3"/>
        <v>1.4899999999999998</v>
      </c>
      <c r="M11" s="51" vm="17206">
        <f>CUBEVALUE("BIDB",CUBEMEMBER("BIDB","[Betalingsstatus].[Betalende medlem]"),'Præsentationstabeller 1'!$C$2,$C11,CUBEMEMBER("BIDB",{"[Measures].[Ledighedsmulige]"}),M$3,$B11)</f>
        <v>545</v>
      </c>
      <c r="N11" s="111" vm="17208">
        <f>CUBEVALUE("BIDB",CUBEMEMBER("BIDB","[Betalingsstatus].[Betalende medlem]"),'Præsentationstabeller 1'!$C$2,$C11,CUBEMEMBER("BIDB",{"[Measures].[Fuldtidsledige]"}),M$3,$B11)</f>
        <v>7.919999999999999</v>
      </c>
      <c r="O11" s="53">
        <f t="shared" si="4"/>
        <v>1.4532110091743118</v>
      </c>
      <c r="P11" s="51" vm="7127">
        <f>CUBEVALUE("BIDB",CUBEMEMBER("BIDB","[Betalingsstatus].[Betalende medlem]"),'Præsentationstabeller 1'!$C$2,$C11,CUBEMEMBER("BIDB",{"[Measures].[Ledighedsmulige]"}),P$3,$B11)</f>
        <v>120</v>
      </c>
      <c r="Q11" s="111" t="str" vm="4198">
        <f>CUBEVALUE("BIDB",CUBEMEMBER("BIDB","[Betalingsstatus].[Betalende medlem]"),'Præsentationstabeller 1'!$C$2,$C11,CUBEMEMBER("BIDB",{"[Measures].[Fuldtidsledige]"}),P$3,$B11)</f>
        <v/>
      </c>
      <c r="R11" s="53">
        <f t="shared" si="5"/>
        <v>0</v>
      </c>
    </row>
    <row r="12" spans="2:18" ht="15" x14ac:dyDescent="0.25">
      <c r="B12" s="9" t="str" vm="4">
        <f t="shared" si="0"/>
        <v>Akademiingeniør</v>
      </c>
      <c r="C12" s="9" t="str" vm="34">
        <f>CUBEMEMBER("BIDB",{"[Uddannelsesretning].[IDA Gruppe].&amp;[Teknisk ledelse]"})</f>
        <v>Teknisk ledelse</v>
      </c>
      <c r="D12" s="25" vm="5320">
        <f>CUBEVALUE("BIDB",CUBEMEMBER("BIDB","[Betalingsstatus].[Betalende medlem]"),'Præsentationstabeller 1'!$C$2,$C12,CUBEMEMBER("BIDB",{"[Measures].[Ledighedsmulige]"}),D$3,$B12)</f>
        <v>0</v>
      </c>
      <c r="E12" s="104" t="str" vm="6443">
        <f>CUBEVALUE("BIDB",CUBEMEMBER("BIDB","[Betalingsstatus].[Betalende medlem]"),'Præsentationstabeller 1'!$C$2,$C12,CUBEMEMBER("BIDB",{"[Measures].[Fuldtidsledige]"}),D$3,$B12)</f>
        <v/>
      </c>
      <c r="F12" s="26">
        <f t="shared" si="1"/>
        <v>0</v>
      </c>
      <c r="G12" s="25" vm="6549">
        <f>CUBEVALUE("BIDB",CUBEMEMBER("BIDB","[Betalingsstatus].[Betalende medlem]"),'Præsentationstabeller 1'!$C$2,$C12,CUBEMEMBER("BIDB",{"[Measures].[Ledighedsmulige]"}),G$3,$B12)</f>
        <v>0</v>
      </c>
      <c r="H12" s="112" t="str" vm="2895">
        <f>CUBEVALUE("BIDB",CUBEMEMBER("BIDB","[Betalingsstatus].[Betalende medlem]"),'Præsentationstabeller 1'!$C$2,$C12,CUBEMEMBER("BIDB",{"[Measures].[Fuldtidsledige]"}),G$3,$B12)</f>
        <v/>
      </c>
      <c r="I12" s="26">
        <f t="shared" si="2"/>
        <v>0</v>
      </c>
      <c r="J12" s="25" vm="3314">
        <f>CUBEVALUE("BIDB",CUBEMEMBER("BIDB","[Betalingsstatus].[Betalende medlem]"),'Præsentationstabeller 1'!$C$2,$C12,CUBEMEMBER("BIDB",{"[Measures].[Ledighedsmulige]"}),J$3,$B12)</f>
        <v>9</v>
      </c>
      <c r="K12" s="112" vm="3416">
        <f>CUBEVALUE("BIDB",CUBEMEMBER("BIDB","[Betalingsstatus].[Betalende medlem]"),'Præsentationstabeller 1'!$C$2,$C12,CUBEMEMBER("BIDB",{"[Measures].[Fuldtidsledige]"}),J$3,$B12)</f>
        <v>1</v>
      </c>
      <c r="L12" s="26">
        <f t="shared" si="3"/>
        <v>11.111111111111111</v>
      </c>
      <c r="M12" s="25" vm="16785">
        <f>CUBEVALUE("BIDB",CUBEMEMBER("BIDB","[Betalingsstatus].[Betalende medlem]"),'Præsentationstabeller 1'!$C$2,$C12,CUBEMEMBER("BIDB",{"[Measures].[Ledighedsmulige]"}),M$3,$B12)</f>
        <v>1</v>
      </c>
      <c r="N12" s="112" t="str" vm="16790">
        <f>CUBEVALUE("BIDB",CUBEMEMBER("BIDB","[Betalingsstatus].[Betalende medlem]"),'Præsentationstabeller 1'!$C$2,$C12,CUBEMEMBER("BIDB",{"[Measures].[Fuldtidsledige]"}),M$3,$B12)</f>
        <v/>
      </c>
      <c r="O12" s="26">
        <f t="shared" si="4"/>
        <v>0</v>
      </c>
      <c r="P12" s="25" vm="3403">
        <f>CUBEVALUE("BIDB",CUBEMEMBER("BIDB","[Betalingsstatus].[Betalende medlem]"),'Præsentationstabeller 1'!$C$2,$C12,CUBEMEMBER("BIDB",{"[Measures].[Ledighedsmulige]"}),P$3,$B12)</f>
        <v>13</v>
      </c>
      <c r="Q12" s="112" vm="3309">
        <f>CUBEVALUE("BIDB",CUBEMEMBER("BIDB","[Betalingsstatus].[Betalende medlem]"),'Præsentationstabeller 1'!$C$2,$C12,CUBEMEMBER("BIDB",{"[Measures].[Fuldtidsledige]"}),P$3,$B12)</f>
        <v>1</v>
      </c>
      <c r="R12" s="26">
        <f t="shared" si="5"/>
        <v>7.6923076923076925</v>
      </c>
    </row>
    <row r="13" spans="2:18" ht="15" x14ac:dyDescent="0.25">
      <c r="B13" s="50" t="str" vm="4">
        <f t="shared" si="0"/>
        <v>Akademiingeniør</v>
      </c>
      <c r="C13" s="50" t="str" vm="38">
        <f>CUBEMEMBER("BIDB",{"[Uddannelsesretning].[IDA Gruppe].&amp;[Nye retninger]"})</f>
        <v>Nye retninger</v>
      </c>
      <c r="D13" s="51" t="str" vm="7311">
        <f>CUBEVALUE("BIDB",CUBEMEMBER("BIDB","[Betalingsstatus].[Betalende medlem]"),'Præsentationstabeller 1'!$C$2,$C13,CUBEMEMBER("BIDB",{"[Measures].[Ledighedsmulige]"}),D$3,$B13)</f>
        <v/>
      </c>
      <c r="E13" s="103" t="str" vm="5309">
        <f>CUBEVALUE("BIDB",CUBEMEMBER("BIDB","[Betalingsstatus].[Betalende medlem]"),'Præsentationstabeller 1'!$C$2,$C13,CUBEMEMBER("BIDB",{"[Measures].[Fuldtidsledige]"}),D$3,$B13)</f>
        <v/>
      </c>
      <c r="F13" s="53">
        <f t="shared" si="1"/>
        <v>0</v>
      </c>
      <c r="G13" s="51" t="str" vm="3690">
        <f>CUBEVALUE("BIDB",CUBEMEMBER("BIDB","[Betalingsstatus].[Betalende medlem]"),'Præsentationstabeller 1'!$C$2,$C13,CUBEMEMBER("BIDB",{"[Measures].[Ledighedsmulige]"}),G$3,$B13)</f>
        <v/>
      </c>
      <c r="H13" s="111" t="str" vm="4224">
        <f>CUBEVALUE("BIDB",CUBEMEMBER("BIDB","[Betalingsstatus].[Betalende medlem]"),'Præsentationstabeller 1'!$C$2,$C13,CUBEMEMBER("BIDB",{"[Measures].[Fuldtidsledige]"}),G$3,$B13)</f>
        <v/>
      </c>
      <c r="I13" s="53">
        <f t="shared" si="2"/>
        <v>0</v>
      </c>
      <c r="J13" s="51" t="str" vm="2293">
        <f>CUBEVALUE("BIDB",CUBEMEMBER("BIDB","[Betalingsstatus].[Betalende medlem]"),'Præsentationstabeller 1'!$C$2,$C13,CUBEMEMBER("BIDB",{"[Measures].[Ledighedsmulige]"}),J$3,$B13)</f>
        <v/>
      </c>
      <c r="K13" s="111" t="str" vm="3186">
        <f>CUBEVALUE("BIDB",CUBEMEMBER("BIDB","[Betalingsstatus].[Betalende medlem]"),'Præsentationstabeller 1'!$C$2,$C13,CUBEMEMBER("BIDB",{"[Measures].[Fuldtidsledige]"}),J$3,$B13)</f>
        <v/>
      </c>
      <c r="L13" s="53">
        <f t="shared" si="3"/>
        <v>0</v>
      </c>
      <c r="M13" s="51" t="str" vm="16741">
        <f>CUBEVALUE("BIDB",CUBEMEMBER("BIDB","[Betalingsstatus].[Betalende medlem]"),'Præsentationstabeller 1'!$C$2,$C13,CUBEMEMBER("BIDB",{"[Measures].[Ledighedsmulige]"}),M$3,$B13)</f>
        <v/>
      </c>
      <c r="N13" s="111" t="str" vm="4082">
        <f>CUBEVALUE("BIDB",CUBEMEMBER("BIDB","[Betalingsstatus].[Betalende medlem]"),'Præsentationstabeller 1'!$C$2,$C13,CUBEMEMBER("BIDB",{"[Measures].[Fuldtidsledige]"}),M$3,$B13)</f>
        <v/>
      </c>
      <c r="O13" s="53">
        <f t="shared" si="4"/>
        <v>0</v>
      </c>
      <c r="P13" s="51" t="str" vm="3169">
        <f>CUBEVALUE("BIDB",CUBEMEMBER("BIDB","[Betalingsstatus].[Betalende medlem]"),'Præsentationstabeller 1'!$C$2,$C13,CUBEMEMBER("BIDB",{"[Measures].[Ledighedsmulige]"}),P$3,$B13)</f>
        <v/>
      </c>
      <c r="Q13" s="111" t="str" vm="2684">
        <f>CUBEVALUE("BIDB",CUBEMEMBER("BIDB","[Betalingsstatus].[Betalende medlem]"),'Præsentationstabeller 1'!$C$2,$C13,CUBEMEMBER("BIDB",{"[Measures].[Fuldtidsledige]"}),P$3,$B13)</f>
        <v/>
      </c>
      <c r="R13" s="53">
        <f t="shared" si="5"/>
        <v>0</v>
      </c>
    </row>
    <row r="14" spans="2:18" ht="15" x14ac:dyDescent="0.25">
      <c r="B14" s="10" t="str" vm="4">
        <f t="shared" si="0"/>
        <v>Akademiingeniør</v>
      </c>
      <c r="C14" s="10" t="str" vm="33">
        <f>CUBEMEMBER("BIDB",{"[Uddannelsesretning].[IDA Gruppe].&amp;[Øvrige retninger/uoplyste]"})</f>
        <v>Øvrige retninger/uoplyste</v>
      </c>
      <c r="D14" s="41" vm="4779">
        <f>CUBEVALUE("BIDB",CUBEMEMBER("BIDB","[Betalingsstatus].[Betalende medlem]"),'Præsentationstabeller 1'!$C$2,$C14,CUBEMEMBER("BIDB",{"[Measures].[Ledighedsmulige]"}),D$3,$B14)</f>
        <v>1</v>
      </c>
      <c r="E14" s="105" t="str" vm="3125">
        <f>CUBEVALUE("BIDB",CUBEMEMBER("BIDB","[Betalingsstatus].[Betalende medlem]"),'Præsentationstabeller 1'!$C$2,$C14,CUBEMEMBER("BIDB",{"[Measures].[Fuldtidsledige]"}),D$3,$B14)</f>
        <v/>
      </c>
      <c r="F14" s="43">
        <f t="shared" si="1"/>
        <v>0</v>
      </c>
      <c r="G14" s="41" vm="3177">
        <f>CUBEVALUE("BIDB",CUBEMEMBER("BIDB","[Betalingsstatus].[Betalende medlem]"),'Præsentationstabeller 1'!$C$2,$C14,CUBEMEMBER("BIDB",{"[Measures].[Ledighedsmulige]"}),G$3,$B14)</f>
        <v>4</v>
      </c>
      <c r="H14" s="113" t="str" vm="5691">
        <f>CUBEVALUE("BIDB",CUBEMEMBER("BIDB","[Betalingsstatus].[Betalende medlem]"),'Præsentationstabeller 1'!$C$2,$C14,CUBEMEMBER("BIDB",{"[Measures].[Fuldtidsledige]"}),G$3,$B14)</f>
        <v/>
      </c>
      <c r="I14" s="43">
        <f t="shared" si="2"/>
        <v>0</v>
      </c>
      <c r="J14" s="41" vm="2644">
        <f>CUBEVALUE("BIDB",CUBEMEMBER("BIDB","[Betalingsstatus].[Betalende medlem]"),'Præsentationstabeller 1'!$C$2,$C14,CUBEMEMBER("BIDB",{"[Measures].[Ledighedsmulige]"}),J$3,$B14)</f>
        <v>38</v>
      </c>
      <c r="K14" s="113" vm="3572">
        <f>CUBEVALUE("BIDB",CUBEMEMBER("BIDB","[Betalingsstatus].[Betalende medlem]"),'Præsentationstabeller 1'!$C$2,$C14,CUBEMEMBER("BIDB",{"[Measures].[Fuldtidsledige]"}),J$3,$B14)</f>
        <v>1.8</v>
      </c>
      <c r="L14" s="43">
        <f t="shared" si="3"/>
        <v>4.7368421052631584</v>
      </c>
      <c r="M14" s="41" vm="6908">
        <f>CUBEVALUE("BIDB",CUBEMEMBER("BIDB","[Betalingsstatus].[Betalende medlem]"),'Præsentationstabeller 1'!$C$2,$C14,CUBEMEMBER("BIDB",{"[Measures].[Ledighedsmulige]"}),M$3,$B14)</f>
        <v>156</v>
      </c>
      <c r="N14" s="113" vm="3243">
        <f>CUBEVALUE("BIDB",CUBEMEMBER("BIDB","[Betalingsstatus].[Betalende medlem]"),'Præsentationstabeller 1'!$C$2,$C14,CUBEMEMBER("BIDB",{"[Measures].[Fuldtidsledige]"}),M$3,$B14)</f>
        <v>1.6</v>
      </c>
      <c r="O14" s="43">
        <f t="shared" si="4"/>
        <v>1.0256410256410255</v>
      </c>
      <c r="P14" s="41" vm="6083">
        <f>CUBEVALUE("BIDB",CUBEMEMBER("BIDB","[Betalingsstatus].[Betalende medlem]"),'Præsentationstabeller 1'!$C$2,$C14,CUBEMEMBER("BIDB",{"[Measures].[Ledighedsmulige]"}),P$3,$B14)</f>
        <v>44</v>
      </c>
      <c r="Q14" s="113" vm="3062">
        <f>CUBEVALUE("BIDB",CUBEMEMBER("BIDB","[Betalingsstatus].[Betalende medlem]"),'Præsentationstabeller 1'!$C$2,$C14,CUBEMEMBER("BIDB",{"[Measures].[Fuldtidsledige]"}),P$3,$B14)</f>
        <v>2.8</v>
      </c>
      <c r="R14" s="43">
        <f t="shared" si="5"/>
        <v>6.3636363636363633</v>
      </c>
    </row>
    <row r="15" spans="2:18" ht="15" x14ac:dyDescent="0.25">
      <c r="B15" s="45" t="str" vm="10">
        <f t="shared" ref="B15:B23" si="6">CUBEMEMBER("BIDB","[Uddannelse].[IDA Gruppe].&amp;[Teknikumingeniør]")</f>
        <v>Teknikumingeniør</v>
      </c>
      <c r="C15" s="45" t="str" vm="37">
        <f>CUBEMEMBER("BIDB",{"[Uddannelsesretning].[IDA Gruppe].&amp;[Maskin]"})</f>
        <v>Maskin</v>
      </c>
      <c r="D15" s="46" vm="2803">
        <f>CUBEVALUE("BIDB",CUBEMEMBER("BIDB","[Betalingsstatus].[Betalende medlem]"),'Præsentationstabeller 1'!$C$2,$C15,CUBEMEMBER("BIDB",{"[Measures].[Ledighedsmulige]"}),D$3,$B15)</f>
        <v>1</v>
      </c>
      <c r="E15" s="101" t="str" vm="4063">
        <f>CUBEVALUE("BIDB",CUBEMEMBER("BIDB","[Betalingsstatus].[Betalende medlem]"),'Præsentationstabeller 1'!$C$2,$C15,CUBEMEMBER("BIDB",{"[Measures].[Fuldtidsledige]"}),D$3,$B15)</f>
        <v/>
      </c>
      <c r="F15" s="48">
        <f t="shared" si="1"/>
        <v>0</v>
      </c>
      <c r="G15" s="46"/>
      <c r="H15" s="109" t="str" vm="6075">
        <f>CUBEVALUE("BIDB",CUBEMEMBER("BIDB","[Betalingsstatus].[Betalende medlem]"),'Præsentationstabeller 1'!$C$2,$C15,CUBEMEMBER("BIDB",{"[Measures].[Fuldtidsledige]"}),G$3,$B15)</f>
        <v/>
      </c>
      <c r="I15" s="48">
        <f t="shared" si="2"/>
        <v>0</v>
      </c>
      <c r="J15" s="46" vm="3817">
        <f>CUBEVALUE("BIDB",CUBEMEMBER("BIDB","[Betalingsstatus].[Betalende medlem]"),'Præsentationstabeller 1'!$C$2,$C15,CUBEMEMBER("BIDB",{"[Measures].[Ledighedsmulige]"}),J$3,$B15)</f>
        <v>1030</v>
      </c>
      <c r="K15" s="109" vm="3749">
        <f>CUBEVALUE("BIDB",CUBEMEMBER("BIDB","[Betalingsstatus].[Betalende medlem]"),'Præsentationstabeller 1'!$C$2,$C15,CUBEMEMBER("BIDB",{"[Measures].[Fuldtidsledige]"}),J$3,$B15)</f>
        <v>6.3848648648648636</v>
      </c>
      <c r="L15" s="48">
        <f t="shared" si="3"/>
        <v>0.61988979270532663</v>
      </c>
      <c r="M15" s="46">
        <v>2203</v>
      </c>
      <c r="N15" s="109" vm="15869">
        <f>CUBEVALUE("BIDB",CUBEMEMBER("BIDB","[Betalingsstatus].[Betalende medlem]"),'Præsentationstabeller 1'!$C$2,$C15,CUBEMEMBER("BIDB",{"[Measures].[Fuldtidsledige]"}),M$3,$B15)</f>
        <v>18.889189189189185</v>
      </c>
      <c r="O15" s="48">
        <f t="shared" si="4"/>
        <v>0.85743028548294076</v>
      </c>
      <c r="P15" s="46" vm="6069">
        <f>CUBEVALUE("BIDB",CUBEMEMBER("BIDB","[Betalingsstatus].[Betalende medlem]"),'Præsentationstabeller 1'!$C$2,$C15,CUBEMEMBER("BIDB",{"[Measures].[Ledighedsmulige]"}),P$3,$B15)</f>
        <v>372</v>
      </c>
      <c r="Q15" s="109" vm="8731">
        <f>CUBEVALUE("BIDB",CUBEMEMBER("BIDB","[Betalingsstatus].[Betalende medlem]"),'Præsentationstabeller 1'!$C$2,$C15,CUBEMEMBER("BIDB",{"[Measures].[Fuldtidsledige]"}),P$3,$B15)</f>
        <v>11.70637837837838</v>
      </c>
      <c r="R15" s="48">
        <f t="shared" si="5"/>
        <v>3.1468759081662316</v>
      </c>
    </row>
    <row r="16" spans="2:18" ht="15" x14ac:dyDescent="0.25">
      <c r="B16" s="9" t="str" vm="10">
        <f t="shared" si="6"/>
        <v>Teknikumingeniør</v>
      </c>
      <c r="C16" s="9" t="str" vm="41">
        <f>CUBEMEMBER("BIDB",{"[Uddannelsesretning].[IDA Gruppe].&amp;[Produktion]"})</f>
        <v>Produktion</v>
      </c>
      <c r="D16" s="25" vm="3368">
        <f>CUBEVALUE("BIDB",CUBEMEMBER("BIDB","[Betalingsstatus].[Betalende medlem]"),'Præsentationstabeller 1'!$C$2,$C16,CUBEMEMBER("BIDB",{"[Measures].[Ledighedsmulige]"}),D$3,$B16)</f>
        <v>0</v>
      </c>
      <c r="E16" s="104" t="str" vm="16766">
        <f>CUBEVALUE("BIDB",CUBEMEMBER("BIDB","[Betalingsstatus].[Betalende medlem]"),'Præsentationstabeller 1'!$C$2,$C16,CUBEMEMBER("BIDB",{"[Measures].[Fuldtidsledige]"}),D$3,$B16)</f>
        <v/>
      </c>
      <c r="F16" s="26">
        <f t="shared" si="1"/>
        <v>0</v>
      </c>
      <c r="G16" s="25" vm="3208">
        <f>CUBEVALUE("BIDB",CUBEMEMBER("BIDB","[Betalingsstatus].[Betalende medlem]"),'Præsentationstabeller 1'!$C$2,$C16,CUBEMEMBER("BIDB",{"[Measures].[Ledighedsmulige]"}),G$3,$B16)</f>
        <v>0</v>
      </c>
      <c r="H16" s="112" t="str" vm="3058">
        <f>CUBEVALUE("BIDB",CUBEMEMBER("BIDB","[Betalingsstatus].[Betalende medlem]"),'Præsentationstabeller 1'!$C$2,$C16,CUBEMEMBER("BIDB",{"[Measures].[Fuldtidsledige]"}),G$3,$B16)</f>
        <v/>
      </c>
      <c r="I16" s="26">
        <f t="shared" si="2"/>
        <v>0</v>
      </c>
      <c r="J16" s="25" vm="3424">
        <f>CUBEVALUE("BIDB",CUBEMEMBER("BIDB","[Betalingsstatus].[Betalende medlem]"),'Præsentationstabeller 1'!$C$2,$C16,CUBEMEMBER("BIDB",{"[Measures].[Ledighedsmulige]"}),J$3,$B16)</f>
        <v>503</v>
      </c>
      <c r="K16" s="112" vm="4239">
        <f>CUBEVALUE("BIDB",CUBEMEMBER("BIDB","[Betalingsstatus].[Betalende medlem]"),'Præsentationstabeller 1'!$C$2,$C16,CUBEMEMBER("BIDB",{"[Measures].[Fuldtidsledige]"}),J$3,$B16)</f>
        <v>6.509189189189188</v>
      </c>
      <c r="L16" s="26">
        <f t="shared" si="3"/>
        <v>1.2940733974531189</v>
      </c>
      <c r="M16" s="25" vm="16735">
        <f>CUBEVALUE("BIDB",CUBEMEMBER("BIDB","[Betalingsstatus].[Betalende medlem]"),'Præsentationstabeller 1'!$C$2,$C16,CUBEMEMBER("BIDB",{"[Measures].[Ledighedsmulige]"}),M$3,$B16)</f>
        <v>540</v>
      </c>
      <c r="N16" s="112" vm="16776">
        <f>CUBEVALUE("BIDB",CUBEMEMBER("BIDB","[Betalingsstatus].[Betalende medlem]"),'Præsentationstabeller 1'!$C$2,$C16,CUBEMEMBER("BIDB",{"[Measures].[Fuldtidsledige]"}),M$3,$B16)</f>
        <v>11.340540540540541</v>
      </c>
      <c r="O16" s="26">
        <f t="shared" si="4"/>
        <v>2.1001001001001005</v>
      </c>
      <c r="P16" s="25" vm="4678">
        <f>CUBEVALUE("BIDB",CUBEMEMBER("BIDB","[Betalingsstatus].[Betalende medlem]"),'Præsentationstabeller 1'!$C$2,$C16,CUBEMEMBER("BIDB",{"[Measures].[Ledighedsmulige]"}),P$3,$B16)</f>
        <v>96</v>
      </c>
      <c r="Q16" s="112" vm="9992">
        <f>CUBEVALUE("BIDB",CUBEMEMBER("BIDB","[Betalingsstatus].[Betalende medlem]"),'Præsentationstabeller 1'!$C$2,$C16,CUBEMEMBER("BIDB",{"[Measures].[Fuldtidsledige]"}),P$3,$B16)</f>
        <v>1.6800000000000002</v>
      </c>
      <c r="R16" s="26">
        <f t="shared" si="5"/>
        <v>1.7500000000000002</v>
      </c>
    </row>
    <row r="17" spans="2:18" ht="15" x14ac:dyDescent="0.25">
      <c r="B17" s="50" t="str" vm="10">
        <f t="shared" si="6"/>
        <v>Teknikumingeniør</v>
      </c>
      <c r="C17" s="50" t="str" vm="36">
        <f>CUBEMEMBER("BIDB",{"[Uddannelsesretning].[IDA Gruppe].&amp;[Elektronik-IT]"})</f>
        <v>Elektronik-IT</v>
      </c>
      <c r="D17" s="51" vm="2919">
        <f>CUBEVALUE("BIDB",CUBEMEMBER("BIDB","[Betalingsstatus].[Betalende medlem]"),'Præsentationstabeller 1'!$C$2,$C17,CUBEMEMBER("BIDB",{"[Measures].[Ledighedsmulige]"}),D$3,$B17)</f>
        <v>1</v>
      </c>
      <c r="E17" s="103" t="str" vm="4943">
        <f>CUBEVALUE("BIDB",CUBEMEMBER("BIDB","[Betalingsstatus].[Betalende medlem]"),'Præsentationstabeller 1'!$C$2,$C17,CUBEMEMBER("BIDB",{"[Measures].[Fuldtidsledige]"}),D$3,$B17)</f>
        <v/>
      </c>
      <c r="F17" s="53">
        <f t="shared" si="1"/>
        <v>0</v>
      </c>
      <c r="G17" s="51" vm="3556">
        <f>CUBEVALUE("BIDB",CUBEMEMBER("BIDB","[Betalingsstatus].[Betalende medlem]"),'Præsentationstabeller 1'!$C$2,$C17,CUBEMEMBER("BIDB",{"[Measures].[Ledighedsmulige]"}),G$3,$B17)</f>
        <v>0</v>
      </c>
      <c r="H17" s="111" t="str" vm="8727">
        <f>CUBEVALUE("BIDB",CUBEMEMBER("BIDB","[Betalingsstatus].[Betalende medlem]"),'Præsentationstabeller 1'!$C$2,$C17,CUBEMEMBER("BIDB",{"[Measures].[Fuldtidsledige]"}),G$3,$B17)</f>
        <v/>
      </c>
      <c r="I17" s="53">
        <f t="shared" si="2"/>
        <v>0</v>
      </c>
      <c r="J17" s="51" vm="2304">
        <f>CUBEVALUE("BIDB",CUBEMEMBER("BIDB","[Betalingsstatus].[Betalende medlem]"),'Præsentationstabeller 1'!$C$2,$C17,CUBEMEMBER("BIDB",{"[Measures].[Ledighedsmulige]"}),J$3,$B17)</f>
        <v>1290</v>
      </c>
      <c r="K17" s="111" vm="2797">
        <f>CUBEVALUE("BIDB",CUBEMEMBER("BIDB","[Betalingsstatus].[Betalende medlem]"),'Præsentationstabeller 1'!$C$2,$C17,CUBEMEMBER("BIDB",{"[Measures].[Fuldtidsledige]"}),J$3,$B17)</f>
        <v>9.6075675675675676</v>
      </c>
      <c r="L17" s="53">
        <f t="shared" si="3"/>
        <v>0.74477267965640059</v>
      </c>
      <c r="M17" s="51" vm="5316">
        <f>CUBEVALUE("BIDB",CUBEMEMBER("BIDB","[Betalingsstatus].[Betalende medlem]"),'Præsentationstabeller 1'!$C$2,$C17,CUBEMEMBER("BIDB",{"[Measures].[Ledighedsmulige]"}),M$3,$B17)</f>
        <v>2428</v>
      </c>
      <c r="N17" s="111" vm="17201">
        <f>CUBEVALUE("BIDB",CUBEMEMBER("BIDB","[Betalingsstatus].[Betalende medlem]"),'Præsentationstabeller 1'!$C$2,$C17,CUBEMEMBER("BIDB",{"[Measures].[Fuldtidsledige]"}),M$3,$B17)</f>
        <v>33.276756756756754</v>
      </c>
      <c r="O17" s="53">
        <f t="shared" si="4"/>
        <v>1.3705418763079389</v>
      </c>
      <c r="P17" s="51" vm="2666">
        <f>CUBEVALUE("BIDB",CUBEMEMBER("BIDB","[Betalingsstatus].[Betalende medlem]"),'Præsentationstabeller 1'!$C$2,$C17,CUBEMEMBER("BIDB",{"[Measures].[Ledighedsmulige]"}),P$3,$B17)</f>
        <v>546</v>
      </c>
      <c r="Q17" s="111" vm="3620">
        <f>CUBEVALUE("BIDB",CUBEMEMBER("BIDB","[Betalingsstatus].[Betalende medlem]"),'Præsentationstabeller 1'!$C$2,$C17,CUBEMEMBER("BIDB",{"[Measures].[Fuldtidsledige]"}),P$3,$B17)</f>
        <v>10.039999999999999</v>
      </c>
      <c r="R17" s="53">
        <f t="shared" si="5"/>
        <v>1.8388278388278385</v>
      </c>
    </row>
    <row r="18" spans="2:18" ht="15" x14ac:dyDescent="0.25">
      <c r="B18" s="9" t="str" vm="10">
        <f t="shared" si="6"/>
        <v>Teknikumingeniør</v>
      </c>
      <c r="C18" s="9" t="str" vm="40">
        <f>CUBEMEMBER("BIDB",{"[Uddannelsesretning].[IDA Gruppe].&amp;[Bygning]"})</f>
        <v>Bygning</v>
      </c>
      <c r="D18" s="25" vm="5105">
        <f>CUBEVALUE("BIDB",CUBEMEMBER("BIDB","[Betalingsstatus].[Betalende medlem]"),'Præsentationstabeller 1'!$C$2,$C18,CUBEMEMBER("BIDB",{"[Measures].[Ledighedsmulige]"}),D$3,$B18)</f>
        <v>0</v>
      </c>
      <c r="E18" s="104" t="str" vm="3342">
        <f>CUBEVALUE("BIDB",CUBEMEMBER("BIDB","[Betalingsstatus].[Betalende medlem]"),'Præsentationstabeller 1'!$C$2,$C18,CUBEMEMBER("BIDB",{"[Measures].[Fuldtidsledige]"}),D$3,$B18)</f>
        <v/>
      </c>
      <c r="F18" s="26">
        <f t="shared" si="1"/>
        <v>0</v>
      </c>
      <c r="G18" s="25"/>
      <c r="H18" s="112" t="str" vm="4730">
        <f>CUBEVALUE("BIDB",CUBEMEMBER("BIDB","[Betalingsstatus].[Betalende medlem]"),'Præsentationstabeller 1'!$C$2,$C18,CUBEMEMBER("BIDB",{"[Measures].[Fuldtidsledige]"}),G$3,$B18)</f>
        <v/>
      </c>
      <c r="I18" s="26">
        <f t="shared" si="2"/>
        <v>0</v>
      </c>
      <c r="J18" s="25" vm="2712">
        <f>CUBEVALUE("BIDB",CUBEMEMBER("BIDB","[Betalingsstatus].[Betalende medlem]"),'Præsentationstabeller 1'!$C$2,$C18,CUBEMEMBER("BIDB",{"[Measures].[Ledighedsmulige]"}),J$3,$B18)</f>
        <v>827</v>
      </c>
      <c r="K18" s="112" vm="3846">
        <f>CUBEVALUE("BIDB",CUBEMEMBER("BIDB","[Betalingsstatus].[Betalende medlem]"),'Præsentationstabeller 1'!$C$2,$C18,CUBEMEMBER("BIDB",{"[Measures].[Fuldtidsledige]"}),J$3,$B18)</f>
        <v>3.3600000000000003</v>
      </c>
      <c r="L18" s="26">
        <f t="shared" si="3"/>
        <v>0.40628778718258773</v>
      </c>
      <c r="M18" s="25">
        <v>1504</v>
      </c>
      <c r="N18" s="112" vm="4214">
        <f>CUBEVALUE("BIDB",CUBEMEMBER("BIDB","[Betalingsstatus].[Betalende medlem]"),'Præsentationstabeller 1'!$C$2,$C18,CUBEMEMBER("BIDB",{"[Measures].[Fuldtidsledige]"}),M$3,$B18)</f>
        <v>10.559999999999999</v>
      </c>
      <c r="O18" s="26">
        <f t="shared" si="4"/>
        <v>0.70212765957446799</v>
      </c>
      <c r="P18" s="25" vm="3144">
        <f>CUBEVALUE("BIDB",CUBEMEMBER("BIDB","[Betalingsstatus].[Betalende medlem]"),'Præsentationstabeller 1'!$C$2,$C18,CUBEMEMBER("BIDB",{"[Measures].[Ledighedsmulige]"}),P$3,$B18)</f>
        <v>442</v>
      </c>
      <c r="Q18" s="112" vm="7748">
        <f>CUBEVALUE("BIDB",CUBEMEMBER("BIDB","[Betalingsstatus].[Betalende medlem]"),'Præsentationstabeller 1'!$C$2,$C18,CUBEMEMBER("BIDB",{"[Measures].[Fuldtidsledige]"}),P$3,$B18)</f>
        <v>3</v>
      </c>
      <c r="R18" s="26">
        <f t="shared" si="5"/>
        <v>0.67873303167420818</v>
      </c>
    </row>
    <row r="19" spans="2:18" ht="15" x14ac:dyDescent="0.25">
      <c r="B19" s="50" t="str" vm="10">
        <f t="shared" si="6"/>
        <v>Teknikumingeniør</v>
      </c>
      <c r="C19" s="50" t="str" vm="35">
        <f>CUBEMEMBER("BIDB",{"[Uddannelsesretning].[IDA Gruppe].&amp;[Anlæg]"})</f>
        <v>Anlæg</v>
      </c>
      <c r="D19" s="51" t="str" vm="3388">
        <f>CUBEVALUE("BIDB",CUBEMEMBER("BIDB","[Betalingsstatus].[Betalende medlem]"),'Præsentationstabeller 1'!$C$2,$C19,CUBEMEMBER("BIDB",{"[Measures].[Ledighedsmulige]"}),D$3,$B19)</f>
        <v/>
      </c>
      <c r="E19" s="103" t="str" vm="5823">
        <f>CUBEVALUE("BIDB",CUBEMEMBER("BIDB","[Betalingsstatus].[Betalende medlem]"),'Præsentationstabeller 1'!$C$2,$C19,CUBEMEMBER("BIDB",{"[Measures].[Fuldtidsledige]"}),D$3,$B19)</f>
        <v/>
      </c>
      <c r="F19" s="53">
        <f t="shared" si="1"/>
        <v>0</v>
      </c>
      <c r="G19" s="51" vm="2114">
        <f>CUBEVALUE("BIDB",CUBEMEMBER("BIDB","[Betalingsstatus].[Betalende medlem]"),'Præsentationstabeller 1'!$C$2,$C19,CUBEMEMBER("BIDB",{"[Measures].[Ledighedsmulige]"}),G$3,$B19)</f>
        <v>0</v>
      </c>
      <c r="H19" s="111" t="str" vm="3455">
        <f>CUBEVALUE("BIDB",CUBEMEMBER("BIDB","[Betalingsstatus].[Betalende medlem]"),'Præsentationstabeller 1'!$C$2,$C19,CUBEMEMBER("BIDB",{"[Measures].[Fuldtidsledige]"}),G$3,$B19)</f>
        <v/>
      </c>
      <c r="I19" s="53">
        <f t="shared" si="2"/>
        <v>0</v>
      </c>
      <c r="J19" s="51" vm="4914">
        <f>CUBEVALUE("BIDB",CUBEMEMBER("BIDB","[Betalingsstatus].[Betalende medlem]"),'Præsentationstabeller 1'!$C$2,$C19,CUBEMEMBER("BIDB",{"[Measures].[Ledighedsmulige]"}),J$3,$B19)</f>
        <v>68</v>
      </c>
      <c r="K19" s="111" vm="3445">
        <f>CUBEVALUE("BIDB",CUBEMEMBER("BIDB","[Betalingsstatus].[Betalende medlem]"),'Præsentationstabeller 1'!$C$2,$C19,CUBEMEMBER("BIDB",{"[Measures].[Fuldtidsledige]"}),J$3,$B19)</f>
        <v>1</v>
      </c>
      <c r="L19" s="53">
        <f t="shared" si="3"/>
        <v>1.4705882352941175</v>
      </c>
      <c r="M19" s="51" vm="11426">
        <f>CUBEVALUE("BIDB",CUBEMEMBER("BIDB","[Betalingsstatus].[Betalende medlem]"),'Præsentationstabeller 1'!$C$2,$C19,CUBEMEMBER("BIDB",{"[Measures].[Ledighedsmulige]"}),M$3,$B19)</f>
        <v>96</v>
      </c>
      <c r="N19" s="111" vm="16743">
        <f>CUBEVALUE("BIDB",CUBEMEMBER("BIDB","[Betalingsstatus].[Betalende medlem]"),'Præsentationstabeller 1'!$C$2,$C19,CUBEMEMBER("BIDB",{"[Measures].[Fuldtidsledige]"}),M$3,$B19)</f>
        <v>1</v>
      </c>
      <c r="O19" s="53">
        <f t="shared" si="4"/>
        <v>1.0416666666666665</v>
      </c>
      <c r="P19" s="51" vm="5872">
        <f>CUBEVALUE("BIDB",CUBEMEMBER("BIDB","[Betalingsstatus].[Betalende medlem]"),'Præsentationstabeller 1'!$C$2,$C19,CUBEMEMBER("BIDB",{"[Measures].[Ledighedsmulige]"}),P$3,$B19)</f>
        <v>82</v>
      </c>
      <c r="Q19" s="111" vm="6608">
        <f>CUBEVALUE("BIDB",CUBEMEMBER("BIDB","[Betalingsstatus].[Betalende medlem]"),'Præsentationstabeller 1'!$C$2,$C19,CUBEMEMBER("BIDB",{"[Measures].[Fuldtidsledige]"}),P$3,$B19)</f>
        <v>0.72</v>
      </c>
      <c r="R19" s="53">
        <f t="shared" si="5"/>
        <v>0.87804878048780477</v>
      </c>
    </row>
    <row r="20" spans="2:18" ht="15" x14ac:dyDescent="0.25">
      <c r="B20" s="9" t="str" vm="10">
        <f t="shared" si="6"/>
        <v>Teknikumingeniør</v>
      </c>
      <c r="C20" s="9" t="str" vm="39">
        <f>CUBEMEMBER("BIDB",{"[Uddannelsesretning].[IDA Gruppe].&amp;[Kemi]"})</f>
        <v>Kemi</v>
      </c>
      <c r="D20" s="25" vm="6226">
        <f>CUBEVALUE("BIDB",CUBEMEMBER("BIDB","[Betalingsstatus].[Betalende medlem]"),'Præsentationstabeller 1'!$C$2,$C20,CUBEMEMBER("BIDB",{"[Measures].[Ledighedsmulige]"}),D$3,$B20)</f>
        <v>0</v>
      </c>
      <c r="E20" s="104" t="str" vm="5688">
        <f>CUBEVALUE("BIDB",CUBEMEMBER("BIDB","[Betalingsstatus].[Betalende medlem]"),'Præsentationstabeller 1'!$C$2,$C20,CUBEMEMBER("BIDB",{"[Measures].[Fuldtidsledige]"}),D$3,$B20)</f>
        <v/>
      </c>
      <c r="F20" s="26">
        <f t="shared" si="1"/>
        <v>0</v>
      </c>
      <c r="G20" s="25" vm="3431">
        <f>CUBEVALUE("BIDB",CUBEMEMBER("BIDB","[Betalingsstatus].[Betalende medlem]"),'Præsentationstabeller 1'!$C$2,$C20,CUBEMEMBER("BIDB",{"[Measures].[Ledighedsmulige]"}),G$3,$B20)</f>
        <v>0</v>
      </c>
      <c r="H20" s="112" t="str" vm="3215">
        <f>CUBEVALUE("BIDB",CUBEMEMBER("BIDB","[Betalingsstatus].[Betalende medlem]"),'Præsentationstabeller 1'!$C$2,$C20,CUBEMEMBER("BIDB",{"[Measures].[Fuldtidsledige]"}),G$3,$B20)</f>
        <v/>
      </c>
      <c r="I20" s="26">
        <f t="shared" si="2"/>
        <v>0</v>
      </c>
      <c r="J20" s="25" vm="3920">
        <f>CUBEVALUE("BIDB",CUBEMEMBER("BIDB","[Betalingsstatus].[Betalende medlem]"),'Præsentationstabeller 1'!$C$2,$C20,CUBEMEMBER("BIDB",{"[Measures].[Ledighedsmulige]"}),J$3,$B20)</f>
        <v>289</v>
      </c>
      <c r="K20" s="112" vm="3708">
        <f>CUBEVALUE("BIDB",CUBEMEMBER("BIDB","[Betalingsstatus].[Betalende medlem]"),'Præsentationstabeller 1'!$C$2,$C20,CUBEMEMBER("BIDB",{"[Measures].[Fuldtidsledige]"}),J$3,$B20)</f>
        <v>1.7918918918918918</v>
      </c>
      <c r="L20" s="26">
        <f t="shared" si="3"/>
        <v>0.62003179650238471</v>
      </c>
      <c r="M20" s="25" vm="4127">
        <f>CUBEVALUE("BIDB",CUBEMEMBER("BIDB","[Betalingsstatus].[Betalende medlem]"),'Præsentationstabeller 1'!$C$2,$C20,CUBEMEMBER("BIDB",{"[Measures].[Ledighedsmulige]"}),M$3,$B20)</f>
        <v>244</v>
      </c>
      <c r="N20" s="112" vm="16742">
        <f>CUBEVALUE("BIDB",CUBEMEMBER("BIDB","[Betalingsstatus].[Betalende medlem]"),'Præsentationstabeller 1'!$C$2,$C20,CUBEMEMBER("BIDB",{"[Measures].[Fuldtidsledige]"}),M$3,$B20)</f>
        <v>2.7600000000000002</v>
      </c>
      <c r="O20" s="26">
        <f t="shared" si="4"/>
        <v>1.1311475409836065</v>
      </c>
      <c r="P20" s="25" vm="3199">
        <f>CUBEVALUE("BIDB",CUBEMEMBER("BIDB","[Betalingsstatus].[Betalende medlem]"),'Præsentationstabeller 1'!$C$2,$C20,CUBEMEMBER("BIDB",{"[Measures].[Ledighedsmulige]"}),P$3,$B20)</f>
        <v>8</v>
      </c>
      <c r="Q20" s="112" t="str" vm="3915">
        <f>CUBEVALUE("BIDB",CUBEMEMBER("BIDB","[Betalingsstatus].[Betalende medlem]"),'Præsentationstabeller 1'!$C$2,$C20,CUBEMEMBER("BIDB",{"[Measures].[Fuldtidsledige]"}),P$3,$B20)</f>
        <v/>
      </c>
      <c r="R20" s="26">
        <f t="shared" si="5"/>
        <v>0</v>
      </c>
    </row>
    <row r="21" spans="2:18" ht="15" x14ac:dyDescent="0.25">
      <c r="B21" s="50" t="str" vm="10">
        <f t="shared" si="6"/>
        <v>Teknikumingeniør</v>
      </c>
      <c r="C21" s="50" t="str" vm="34">
        <f>CUBEMEMBER("BIDB",{"[Uddannelsesretning].[IDA Gruppe].&amp;[Teknisk ledelse]"})</f>
        <v>Teknisk ledelse</v>
      </c>
      <c r="D21" s="51" vm="4688">
        <f>CUBEVALUE("BIDB",CUBEMEMBER("BIDB","[Betalingsstatus].[Betalende medlem]"),'Præsentationstabeller 1'!$C$2,$C21,CUBEMEMBER("BIDB",{"[Measures].[Ledighedsmulige]"}),D$3,$B21)</f>
        <v>0</v>
      </c>
      <c r="E21" s="103" t="str" vm="6151">
        <f>CUBEVALUE("BIDB",CUBEMEMBER("BIDB","[Betalingsstatus].[Betalende medlem]"),'Præsentationstabeller 1'!$C$2,$C21,CUBEMEMBER("BIDB",{"[Measures].[Fuldtidsledige]"}),D$3,$B21)</f>
        <v/>
      </c>
      <c r="F21" s="53">
        <f t="shared" si="1"/>
        <v>0</v>
      </c>
      <c r="G21" s="51" vm="3703">
        <f>CUBEVALUE("BIDB",CUBEMEMBER("BIDB","[Betalingsstatus].[Betalende medlem]"),'Præsentationstabeller 1'!$C$2,$C21,CUBEMEMBER("BIDB",{"[Measures].[Ledighedsmulige]"}),G$3,$B21)</f>
        <v>0</v>
      </c>
      <c r="H21" s="111" t="str" vm="3344">
        <f>CUBEVALUE("BIDB",CUBEMEMBER("BIDB","[Betalingsstatus].[Betalende medlem]"),'Præsentationstabeller 1'!$C$2,$C21,CUBEMEMBER("BIDB",{"[Measures].[Fuldtidsledige]"}),G$3,$B21)</f>
        <v/>
      </c>
      <c r="I21" s="53">
        <f t="shared" si="2"/>
        <v>0</v>
      </c>
      <c r="J21" s="51" vm="2135">
        <f>CUBEVALUE("BIDB",CUBEMEMBER("BIDB","[Betalingsstatus].[Betalende medlem]"),'Præsentationstabeller 1'!$C$2,$C21,CUBEMEMBER("BIDB",{"[Measures].[Ledighedsmulige]"}),J$3,$B21)</f>
        <v>397</v>
      </c>
      <c r="K21" s="111" vm="7262">
        <f>CUBEVALUE("BIDB",CUBEMEMBER("BIDB","[Betalingsstatus].[Betalende medlem]"),'Præsentationstabeller 1'!$C$2,$C21,CUBEMEMBER("BIDB",{"[Measures].[Fuldtidsledige]"}),J$3,$B21)</f>
        <v>8.52</v>
      </c>
      <c r="L21" s="53">
        <f t="shared" si="3"/>
        <v>2.1460957178841311</v>
      </c>
      <c r="M21" s="51" vm="5701">
        <f>CUBEVALUE("BIDB",CUBEMEMBER("BIDB","[Betalingsstatus].[Betalende medlem]"),'Præsentationstabeller 1'!$C$2,$C21,CUBEMEMBER("BIDB",{"[Measures].[Ledighedsmulige]"}),M$3,$B21)</f>
        <v>94</v>
      </c>
      <c r="N21" s="111" vm="16775">
        <f>CUBEVALUE("BIDB",CUBEMEMBER("BIDB","[Betalingsstatus].[Betalende medlem]"),'Præsentationstabeller 1'!$C$2,$C21,CUBEMEMBER("BIDB",{"[Measures].[Fuldtidsledige]"}),M$3,$B21)</f>
        <v>1</v>
      </c>
      <c r="O21" s="53">
        <f t="shared" si="4"/>
        <v>1.0638297872340425</v>
      </c>
      <c r="P21" s="51" vm="4934">
        <f>CUBEVALUE("BIDB",CUBEMEMBER("BIDB","[Betalingsstatus].[Betalende medlem]"),'Præsentationstabeller 1'!$C$2,$C21,CUBEMEMBER("BIDB",{"[Measures].[Ledighedsmulige]"}),P$3,$B21)</f>
        <v>7</v>
      </c>
      <c r="Q21" s="111" t="str" vm="3323">
        <f>CUBEVALUE("BIDB",CUBEMEMBER("BIDB","[Betalingsstatus].[Betalende medlem]"),'Præsentationstabeller 1'!$C$2,$C21,CUBEMEMBER("BIDB",{"[Measures].[Fuldtidsledige]"}),P$3,$B21)</f>
        <v/>
      </c>
      <c r="R21" s="53">
        <f t="shared" si="5"/>
        <v>0</v>
      </c>
    </row>
    <row r="22" spans="2:18" ht="15" x14ac:dyDescent="0.25">
      <c r="B22" s="9" t="str" vm="10">
        <f t="shared" si="6"/>
        <v>Teknikumingeniør</v>
      </c>
      <c r="C22" s="9" t="str" vm="38">
        <f>CUBEMEMBER("BIDB",{"[Uddannelsesretning].[IDA Gruppe].&amp;[Nye retninger]"})</f>
        <v>Nye retninger</v>
      </c>
      <c r="D22" s="25" t="str" vm="3579">
        <f>CUBEVALUE("BIDB",CUBEMEMBER("BIDB","[Betalingsstatus].[Betalende medlem]"),'Præsentationstabeller 1'!$C$2,$C22,CUBEMEMBER("BIDB",{"[Measures].[Ledighedsmulige]"}),D$3,$B22)</f>
        <v/>
      </c>
      <c r="E22" s="104" t="str" vm="5077">
        <f>CUBEVALUE("BIDB",CUBEMEMBER("BIDB","[Betalingsstatus].[Betalende medlem]"),'Præsentationstabeller 1'!$C$2,$C22,CUBEMEMBER("BIDB",{"[Measures].[Fuldtidsledige]"}),D$3,$B22)</f>
        <v/>
      </c>
      <c r="F22" s="26">
        <f t="shared" si="1"/>
        <v>0</v>
      </c>
      <c r="G22" s="25" t="str" vm="2918">
        <f>CUBEVALUE("BIDB",CUBEMEMBER("BIDB","[Betalingsstatus].[Betalende medlem]"),'Præsentationstabeller 1'!$C$2,$C22,CUBEMEMBER("BIDB",{"[Measures].[Ledighedsmulige]"}),G$3,$B22)</f>
        <v/>
      </c>
      <c r="H22" s="112" t="str" vm="4696">
        <f>CUBEVALUE("BIDB",CUBEMEMBER("BIDB","[Betalingsstatus].[Betalende medlem]"),'Præsentationstabeller 1'!$C$2,$C22,CUBEMEMBER("BIDB",{"[Measures].[Fuldtidsledige]"}),G$3,$B22)</f>
        <v/>
      </c>
      <c r="I22" s="26">
        <f t="shared" si="2"/>
        <v>0</v>
      </c>
      <c r="J22" s="25" t="str" vm="3873">
        <f>CUBEVALUE("BIDB",CUBEMEMBER("BIDB","[Betalingsstatus].[Betalende medlem]"),'Præsentationstabeller 1'!$C$2,$C22,CUBEMEMBER("BIDB",{"[Measures].[Ledighedsmulige]"}),J$3,$B22)</f>
        <v/>
      </c>
      <c r="K22" s="112" t="str" vm="3360">
        <f>CUBEVALUE("BIDB",CUBEMEMBER("BIDB","[Betalingsstatus].[Betalende medlem]"),'Præsentationstabeller 1'!$C$2,$C22,CUBEMEMBER("BIDB",{"[Measures].[Fuldtidsledige]"}),J$3,$B22)</f>
        <v/>
      </c>
      <c r="L22" s="26">
        <f t="shared" si="3"/>
        <v>0</v>
      </c>
      <c r="M22" s="25" t="str" vm="15866">
        <f>CUBEVALUE("BIDB",CUBEMEMBER("BIDB","[Betalingsstatus].[Betalende medlem]"),'Præsentationstabeller 1'!$C$2,$C22,CUBEMEMBER("BIDB",{"[Measures].[Ledighedsmulige]"}),M$3,$B22)</f>
        <v/>
      </c>
      <c r="N22" s="112" t="str" vm="3229">
        <f>CUBEVALUE("BIDB",CUBEMEMBER("BIDB","[Betalingsstatus].[Betalende medlem]"),'Præsentationstabeller 1'!$C$2,$C22,CUBEMEMBER("BIDB",{"[Measures].[Fuldtidsledige]"}),M$3,$B22)</f>
        <v/>
      </c>
      <c r="O22" s="26">
        <f t="shared" si="4"/>
        <v>0</v>
      </c>
      <c r="P22" s="25" t="str" vm="7514">
        <f>CUBEVALUE("BIDB",CUBEMEMBER("BIDB","[Betalingsstatus].[Betalende medlem]"),'Præsentationstabeller 1'!$C$2,$C22,CUBEMEMBER("BIDB",{"[Measures].[Ledighedsmulige]"}),P$3,$B22)</f>
        <v/>
      </c>
      <c r="Q22" s="112" t="str" vm="5941">
        <f>CUBEVALUE("BIDB",CUBEMEMBER("BIDB","[Betalingsstatus].[Betalende medlem]"),'Præsentationstabeller 1'!$C$2,$C22,CUBEMEMBER("BIDB",{"[Measures].[Fuldtidsledige]"}),P$3,$B22)</f>
        <v/>
      </c>
      <c r="R22" s="26">
        <f t="shared" si="5"/>
        <v>0</v>
      </c>
    </row>
    <row r="23" spans="2:18" ht="15" x14ac:dyDescent="0.25">
      <c r="B23" s="55" t="str" vm="10">
        <f t="shared" si="6"/>
        <v>Teknikumingeniør</v>
      </c>
      <c r="C23" s="55" t="str" vm="33">
        <f>CUBEMEMBER("BIDB",{"[Uddannelsesretning].[IDA Gruppe].&amp;[Øvrige retninger/uoplyste]"})</f>
        <v>Øvrige retninger/uoplyste</v>
      </c>
      <c r="D23" s="56" t="str" vm="3647">
        <f>CUBEVALUE("BIDB",CUBEMEMBER("BIDB","[Betalingsstatus].[Betalende medlem]"),'Præsentationstabeller 1'!$C$2,$C23,CUBEMEMBER("BIDB",{"[Measures].[Ledighedsmulige]"}),D$3,$B23)</f>
        <v/>
      </c>
      <c r="E23" s="106" t="str" vm="6073">
        <f>CUBEVALUE("BIDB",CUBEMEMBER("BIDB","[Betalingsstatus].[Betalende medlem]"),'Præsentationstabeller 1'!$C$2,$C23,CUBEMEMBER("BIDB",{"[Measures].[Fuldtidsledige]"}),D$3,$B23)</f>
        <v/>
      </c>
      <c r="F23" s="58">
        <f t="shared" si="1"/>
        <v>0</v>
      </c>
      <c r="G23" s="56" vm="2505">
        <f>CUBEVALUE("BIDB",CUBEMEMBER("BIDB","[Betalingsstatus].[Betalende medlem]"),'Præsentationstabeller 1'!$C$2,$C23,CUBEMEMBER("BIDB",{"[Measures].[Ledighedsmulige]"}),G$3,$B23)</f>
        <v>0</v>
      </c>
      <c r="H23" s="114" t="str" vm="5208">
        <f>CUBEVALUE("BIDB",CUBEMEMBER("BIDB","[Betalingsstatus].[Betalende medlem]"),'Præsentationstabeller 1'!$C$2,$C23,CUBEMEMBER("BIDB",{"[Measures].[Fuldtidsledige]"}),G$3,$B23)</f>
        <v/>
      </c>
      <c r="I23" s="58">
        <f t="shared" si="2"/>
        <v>0</v>
      </c>
      <c r="J23" s="56" vm="2893">
        <f>CUBEVALUE("BIDB",CUBEMEMBER("BIDB","[Betalingsstatus].[Betalende medlem]"),'Præsentationstabeller 1'!$C$2,$C23,CUBEMEMBER("BIDB",{"[Measures].[Ledighedsmulige]"}),J$3,$B23)</f>
        <v>116</v>
      </c>
      <c r="K23" s="114" vm="3705">
        <f>CUBEVALUE("BIDB",CUBEMEMBER("BIDB","[Betalingsstatus].[Betalende medlem]"),'Præsentationstabeller 1'!$C$2,$C23,CUBEMEMBER("BIDB",{"[Measures].[Fuldtidsledige]"}),J$3,$B23)</f>
        <v>1</v>
      </c>
      <c r="L23" s="58">
        <f t="shared" si="3"/>
        <v>0.86206896551724133</v>
      </c>
      <c r="M23" s="56" vm="16773">
        <f>CUBEVALUE("BIDB",CUBEMEMBER("BIDB","[Betalingsstatus].[Betalende medlem]"),'Præsentationstabeller 1'!$C$2,$C23,CUBEMEMBER("BIDB",{"[Measures].[Ledighedsmulige]"}),M$3,$B23)</f>
        <v>291</v>
      </c>
      <c r="N23" s="114" vm="15867">
        <f>CUBEVALUE("BIDB",CUBEMEMBER("BIDB","[Betalingsstatus].[Betalende medlem]"),'Præsentationstabeller 1'!$C$2,$C23,CUBEMEMBER("BIDB",{"[Measures].[Fuldtidsledige]"}),M$3,$B23)</f>
        <v>3.96</v>
      </c>
      <c r="O23" s="58">
        <f t="shared" si="4"/>
        <v>1.3608247422680413</v>
      </c>
      <c r="P23" s="56" vm="6079">
        <f>CUBEVALUE("BIDB",CUBEMEMBER("BIDB","[Betalingsstatus].[Betalende medlem]"),'Præsentationstabeller 1'!$C$2,$C23,CUBEMEMBER("BIDB",{"[Measures].[Ledighedsmulige]"}),P$3,$B23)</f>
        <v>90</v>
      </c>
      <c r="Q23" s="114" vm="3679">
        <f>CUBEVALUE("BIDB",CUBEMEMBER("BIDB","[Betalingsstatus].[Betalende medlem]"),'Præsentationstabeller 1'!$C$2,$C23,CUBEMEMBER("BIDB",{"[Measures].[Fuldtidsledige]"}),P$3,$B23)</f>
        <v>6.44</v>
      </c>
      <c r="R23" s="58">
        <f t="shared" si="5"/>
        <v>7.1555555555555568</v>
      </c>
    </row>
    <row r="24" spans="2:18" ht="15" x14ac:dyDescent="0.25">
      <c r="B24" s="14" t="str" vm="2">
        <f t="shared" ref="B24:B32" si="7">CUBEMEMBER("BIDB","[Uddannelse].[IDA Gruppe].&amp;[Diplomingeniør]")</f>
        <v>Diplomingeniør</v>
      </c>
      <c r="C24" s="14" t="str" vm="37">
        <f>CUBEMEMBER("BIDB",{"[Uddannelsesretning].[IDA Gruppe].&amp;[Maskin]"})</f>
        <v>Maskin</v>
      </c>
      <c r="D24" s="23" vm="4176">
        <f>CUBEVALUE("BIDB",CUBEMEMBER("BIDB","[Betalingsstatus].[Betalende medlem]"),'Præsentationstabeller 1'!$C$2,$C24,CUBEMEMBER("BIDB",{"[Measures].[Ledighedsmulige]"}),D$3,$B24)</f>
        <v>366</v>
      </c>
      <c r="E24" s="102" vm="4294">
        <f>CUBEVALUE("BIDB",CUBEMEMBER("BIDB","[Betalingsstatus].[Betalende medlem]"),'Præsentationstabeller 1'!$C$2,$C24,CUBEMEMBER("BIDB",{"[Measures].[Fuldtidsledige]"}),D$3,$B24)</f>
        <v>35.676162162162164</v>
      </c>
      <c r="F24" s="24">
        <f t="shared" si="1"/>
        <v>9.7475852902082405</v>
      </c>
      <c r="G24" s="23" vm="3318">
        <f>CUBEVALUE("BIDB",CUBEMEMBER("BIDB","[Betalingsstatus].[Betalende medlem]"),'Præsentationstabeller 1'!$C$2,$C24,CUBEMEMBER("BIDB",{"[Measures].[Ledighedsmulige]"}),G$3,$B24)</f>
        <v>917</v>
      </c>
      <c r="H24" s="110" vm="4076">
        <f>CUBEVALUE("BIDB",CUBEMEMBER("BIDB","[Betalingsstatus].[Betalende medlem]"),'Præsentationstabeller 1'!$C$2,$C24,CUBEMEMBER("BIDB",{"[Measures].[Fuldtidsledige]"}),G$3,$B24)</f>
        <v>13.647351351351352</v>
      </c>
      <c r="I24" s="24">
        <f t="shared" si="2"/>
        <v>1.4882607798638334</v>
      </c>
      <c r="J24" s="23" vm="5827">
        <f>CUBEVALUE("BIDB",CUBEMEMBER("BIDB","[Betalingsstatus].[Betalende medlem]"),'Præsentationstabeller 1'!$C$2,$C24,CUBEMEMBER("BIDB",{"[Measures].[Ledighedsmulige]"}),J$3,$B24)</f>
        <v>1006</v>
      </c>
      <c r="K24" s="110" vm="8739">
        <f>CUBEVALUE("BIDB",CUBEMEMBER("BIDB","[Betalingsstatus].[Betalende medlem]"),'Præsentationstabeller 1'!$C$2,$C24,CUBEMEMBER("BIDB",{"[Measures].[Fuldtidsledige]"}),J$3,$B24)</f>
        <v>8.3305405405405413</v>
      </c>
      <c r="L24" s="24">
        <f t="shared" si="3"/>
        <v>0.82808554080919894</v>
      </c>
      <c r="M24" s="23" vm="4684">
        <f>CUBEVALUE("BIDB",CUBEMEMBER("BIDB","[Betalingsstatus].[Betalende medlem]"),'Præsentationstabeller 1'!$C$2,$C24,CUBEMEMBER("BIDB",{"[Measures].[Ledighedsmulige]"}),M$3,$B24)</f>
        <v>132</v>
      </c>
      <c r="N24" s="110" vm="3315">
        <f>CUBEVALUE("BIDB",CUBEMEMBER("BIDB","[Betalingsstatus].[Betalende medlem]"),'Præsentationstabeller 1'!$C$2,$C24,CUBEMEMBER("BIDB",{"[Measures].[Fuldtidsledige]"}),M$3,$B24)</f>
        <v>3.1264864864864865</v>
      </c>
      <c r="O24" s="24">
        <f t="shared" si="4"/>
        <v>2.3685503685503684</v>
      </c>
      <c r="P24" s="23" vm="3578">
        <f>CUBEVALUE("BIDB",CUBEMEMBER("BIDB","[Betalingsstatus].[Betalende medlem]"),'Præsentationstabeller 1'!$C$2,$C24,CUBEMEMBER("BIDB",{"[Measures].[Ledighedsmulige]"}),P$3,$B24)</f>
        <v>4</v>
      </c>
      <c r="Q24" s="110" t="str" vm="5419">
        <f>CUBEVALUE("BIDB",CUBEMEMBER("BIDB","[Betalingsstatus].[Betalende medlem]"),'Præsentationstabeller 1'!$C$2,$C24,CUBEMEMBER("BIDB",{"[Measures].[Fuldtidsledige]"}),P$3,$B24)</f>
        <v/>
      </c>
      <c r="R24" s="24">
        <f t="shared" si="5"/>
        <v>0</v>
      </c>
    </row>
    <row r="25" spans="2:18" ht="15" x14ac:dyDescent="0.25">
      <c r="B25" s="50" t="str" vm="2">
        <f t="shared" si="7"/>
        <v>Diplomingeniør</v>
      </c>
      <c r="C25" s="50" t="str" vm="41">
        <f>CUBEMEMBER("BIDB",{"[Uddannelsesretning].[IDA Gruppe].&amp;[Produktion]"})</f>
        <v>Produktion</v>
      </c>
      <c r="D25" s="51" vm="3179">
        <f>CUBEVALUE("BIDB",CUBEMEMBER("BIDB","[Betalingsstatus].[Betalende medlem]"),'Præsentationstabeller 1'!$C$2,$C25,CUBEMEMBER("BIDB",{"[Measures].[Ledighedsmulige]"}),D$3,$B25)</f>
        <v>92</v>
      </c>
      <c r="E25" s="103" vm="3213">
        <f>CUBEVALUE("BIDB",CUBEMEMBER("BIDB","[Betalingsstatus].[Betalende medlem]"),'Præsentationstabeller 1'!$C$2,$C25,CUBEMEMBER("BIDB",{"[Measures].[Fuldtidsledige]"}),D$3,$B25)</f>
        <v>6.4454054054054062</v>
      </c>
      <c r="F25" s="53">
        <f t="shared" si="1"/>
        <v>7.005875440658051</v>
      </c>
      <c r="G25" s="51" vm="4114">
        <f>CUBEVALUE("BIDB",CUBEMEMBER("BIDB","[Betalingsstatus].[Betalende medlem]"),'Præsentationstabeller 1'!$C$2,$C25,CUBEMEMBER("BIDB",{"[Measures].[Ledighedsmulige]"}),G$3,$B25)</f>
        <v>448</v>
      </c>
      <c r="H25" s="111" vm="3043">
        <f>CUBEVALUE("BIDB",CUBEMEMBER("BIDB","[Betalingsstatus].[Betalende medlem]"),'Præsentationstabeller 1'!$C$2,$C25,CUBEMEMBER("BIDB",{"[Measures].[Fuldtidsledige]"}),G$3,$B25)</f>
        <v>5.2421621621621624</v>
      </c>
      <c r="I25" s="53">
        <f t="shared" si="2"/>
        <v>1.1701254826254825</v>
      </c>
      <c r="J25" s="51" vm="4343">
        <f>CUBEVALUE("BIDB",CUBEMEMBER("BIDB","[Betalingsstatus].[Betalende medlem]"),'Præsentationstabeller 1'!$C$2,$C25,CUBEMEMBER("BIDB",{"[Measures].[Ledighedsmulige]"}),J$3,$B25)</f>
        <v>494</v>
      </c>
      <c r="K25" s="111" vm="3328">
        <f>CUBEVALUE("BIDB",CUBEMEMBER("BIDB","[Betalingsstatus].[Betalende medlem]"),'Præsentationstabeller 1'!$C$2,$C25,CUBEMEMBER("BIDB",{"[Measures].[Fuldtidsledige]"}),J$3,$B25)</f>
        <v>6.7956756756756747</v>
      </c>
      <c r="L25" s="53">
        <f t="shared" si="3"/>
        <v>1.3756428493270596</v>
      </c>
      <c r="M25" s="51" vm="3506">
        <f>CUBEVALUE("BIDB",CUBEMEMBER("BIDB","[Betalingsstatus].[Betalende medlem]"),'Præsentationstabeller 1'!$C$2,$C25,CUBEMEMBER("BIDB",{"[Measures].[Ledighedsmulige]"}),M$3,$B25)</f>
        <v>37</v>
      </c>
      <c r="N25" s="111" vm="16301">
        <f>CUBEVALUE("BIDB",CUBEMEMBER("BIDB","[Betalingsstatus].[Betalende medlem]"),'Præsentationstabeller 1'!$C$2,$C25,CUBEMEMBER("BIDB",{"[Measures].[Fuldtidsledige]"}),M$3,$B25)</f>
        <v>1.4</v>
      </c>
      <c r="O25" s="53">
        <f t="shared" si="4"/>
        <v>3.7837837837837833</v>
      </c>
      <c r="P25" s="51" vm="3802">
        <f>CUBEVALUE("BIDB",CUBEMEMBER("BIDB","[Betalingsstatus].[Betalende medlem]"),'Præsentationstabeller 1'!$C$2,$C25,CUBEMEMBER("BIDB",{"[Measures].[Ledighedsmulige]"}),P$3,$B25)</f>
        <v>0</v>
      </c>
      <c r="Q25" s="111" t="str" vm="2688">
        <f>CUBEVALUE("BIDB",CUBEMEMBER("BIDB","[Betalingsstatus].[Betalende medlem]"),'Præsentationstabeller 1'!$C$2,$C25,CUBEMEMBER("BIDB",{"[Measures].[Fuldtidsledige]"}),P$3,$B25)</f>
        <v/>
      </c>
      <c r="R25" s="53">
        <f t="shared" si="5"/>
        <v>0</v>
      </c>
    </row>
    <row r="26" spans="2:18" ht="15" x14ac:dyDescent="0.25">
      <c r="B26" s="9" t="str" vm="2">
        <f t="shared" si="7"/>
        <v>Diplomingeniør</v>
      </c>
      <c r="C26" s="9" t="str" vm="36">
        <f>CUBEMEMBER("BIDB",{"[Uddannelsesretning].[IDA Gruppe].&amp;[Elektronik-IT]"})</f>
        <v>Elektronik-IT</v>
      </c>
      <c r="D26" s="25" vm="8771">
        <f>CUBEVALUE("BIDB",CUBEMEMBER("BIDB","[Betalingsstatus].[Betalende medlem]"),'Præsentationstabeller 1'!$C$2,$C26,CUBEMEMBER("BIDB",{"[Measures].[Ledighedsmulige]"}),D$3,$B26)</f>
        <v>452</v>
      </c>
      <c r="E26" s="104" vm="2626">
        <f>CUBEVALUE("BIDB",CUBEMEMBER("BIDB","[Betalingsstatus].[Betalende medlem]"),'Præsentationstabeller 1'!$C$2,$C26,CUBEMEMBER("BIDB",{"[Measures].[Fuldtidsledige]"}),D$3,$B26)</f>
        <v>34.3972972972973</v>
      </c>
      <c r="F26" s="26">
        <f t="shared" si="1"/>
        <v>7.6100215259507307</v>
      </c>
      <c r="G26" s="25" vm="4885">
        <f>CUBEVALUE("BIDB",CUBEMEMBER("BIDB","[Betalingsstatus].[Betalende medlem]"),'Præsentationstabeller 1'!$C$2,$C26,CUBEMEMBER("BIDB",{"[Measures].[Ledighedsmulige]"}),G$3,$B26)</f>
        <v>1932</v>
      </c>
      <c r="H26" s="112" vm="4061">
        <f>CUBEVALUE("BIDB",CUBEMEMBER("BIDB","[Betalingsstatus].[Betalende medlem]"),'Præsentationstabeller 1'!$C$2,$C26,CUBEMEMBER("BIDB",{"[Measures].[Fuldtidsledige]"}),G$3,$B26)</f>
        <v>32.331351351351351</v>
      </c>
      <c r="I26" s="26">
        <f t="shared" si="2"/>
        <v>1.6734653908566952</v>
      </c>
      <c r="J26" s="25" vm="3905">
        <f>CUBEVALUE("BIDB",CUBEMEMBER("BIDB","[Betalingsstatus].[Betalende medlem]"),'Præsentationstabeller 1'!$C$2,$C26,CUBEMEMBER("BIDB",{"[Measures].[Ledighedsmulige]"}),J$3,$B26)</f>
        <v>1631</v>
      </c>
      <c r="K26" s="112" vm="2963">
        <f>CUBEVALUE("BIDB",CUBEMEMBER("BIDB","[Betalingsstatus].[Betalende medlem]"),'Præsentationstabeller 1'!$C$2,$C26,CUBEMEMBER("BIDB",{"[Measures].[Fuldtidsledige]"}),J$3,$B26)</f>
        <v>14.462702702702702</v>
      </c>
      <c r="L26" s="26">
        <f t="shared" si="3"/>
        <v>0.88673836313321286</v>
      </c>
      <c r="M26" s="25" vm="16784">
        <f>CUBEVALUE("BIDB",CUBEMEMBER("BIDB","[Betalingsstatus].[Betalende medlem]"),'Præsentationstabeller 1'!$C$2,$C26,CUBEMEMBER("BIDB",{"[Measures].[Ledighedsmulige]"}),M$3,$B26)</f>
        <v>172</v>
      </c>
      <c r="N26" s="112" vm="16302">
        <f>CUBEVALUE("BIDB",CUBEMEMBER("BIDB","[Betalingsstatus].[Betalende medlem]"),'Præsentationstabeller 1'!$C$2,$C26,CUBEMEMBER("BIDB",{"[Measures].[Fuldtidsledige]"}),M$3,$B26)</f>
        <v>8.2108108108108109</v>
      </c>
      <c r="O26" s="26">
        <f t="shared" si="4"/>
        <v>4.7737272155876811</v>
      </c>
      <c r="P26" s="25" vm="3165">
        <f>CUBEVALUE("BIDB",CUBEMEMBER("BIDB","[Betalingsstatus].[Betalende medlem]"),'Præsentationstabeller 1'!$C$2,$C26,CUBEMEMBER("BIDB",{"[Measures].[Ledighedsmulige]"}),P$3,$B26)</f>
        <v>16</v>
      </c>
      <c r="Q26" s="112" vm="3528">
        <f>CUBEVALUE("BIDB",CUBEMEMBER("BIDB","[Betalingsstatus].[Betalende medlem]"),'Præsentationstabeller 1'!$C$2,$C26,CUBEMEMBER("BIDB",{"[Measures].[Fuldtidsledige]"}),P$3,$B26)</f>
        <v>0.4</v>
      </c>
      <c r="R26" s="26">
        <f t="shared" si="5"/>
        <v>2.5</v>
      </c>
    </row>
    <row r="27" spans="2:18" ht="15" x14ac:dyDescent="0.25">
      <c r="B27" s="50" t="str" vm="2">
        <f t="shared" si="7"/>
        <v>Diplomingeniør</v>
      </c>
      <c r="C27" s="50" t="str" vm="40">
        <f>CUBEMEMBER("BIDB",{"[Uddannelsesretning].[IDA Gruppe].&amp;[Bygning]"})</f>
        <v>Bygning</v>
      </c>
      <c r="D27" s="51" vm="6989">
        <f>CUBEVALUE("BIDB",CUBEMEMBER("BIDB","[Betalingsstatus].[Betalende medlem]"),'Præsentationstabeller 1'!$C$2,$C27,CUBEMEMBER("BIDB",{"[Measures].[Ledighedsmulige]"}),D$3,$B27)</f>
        <v>682</v>
      </c>
      <c r="E27" s="103" vm="4390">
        <f>CUBEVALUE("BIDB",CUBEMEMBER("BIDB","[Betalingsstatus].[Betalende medlem]"),'Præsentationstabeller 1'!$C$2,$C27,CUBEMEMBER("BIDB",{"[Measures].[Fuldtidsledige]"}),D$3,$B27)</f>
        <v>49.830270270270269</v>
      </c>
      <c r="F27" s="53">
        <f t="shared" si="1"/>
        <v>7.3064912419751131</v>
      </c>
      <c r="G27" s="51" vm="2953">
        <f>CUBEVALUE("BIDB",CUBEMEMBER("BIDB","[Betalingsstatus].[Betalende medlem]"),'Præsentationstabeller 1'!$C$2,$C27,CUBEMEMBER("BIDB",{"[Measures].[Ledighedsmulige]"}),G$3,$B27)</f>
        <v>1667</v>
      </c>
      <c r="H27" s="111" vm="2837">
        <f>CUBEVALUE("BIDB",CUBEMEMBER("BIDB","[Betalingsstatus].[Betalende medlem]"),'Præsentationstabeller 1'!$C$2,$C27,CUBEMEMBER("BIDB",{"[Measures].[Fuldtidsledige]"}),G$3,$B27)</f>
        <v>13.112000000000002</v>
      </c>
      <c r="I27" s="53">
        <f t="shared" si="2"/>
        <v>0.78656268746250757</v>
      </c>
      <c r="J27" s="51" vm="2682">
        <f>CUBEVALUE("BIDB",CUBEMEMBER("BIDB","[Betalingsstatus].[Betalende medlem]"),'Præsentationstabeller 1'!$C$2,$C27,CUBEMEMBER("BIDB",{"[Measures].[Ledighedsmulige]"}),J$3,$B27)</f>
        <v>1104</v>
      </c>
      <c r="K27" s="111" vm="3748">
        <f>CUBEVALUE("BIDB",CUBEMEMBER("BIDB","[Betalingsstatus].[Betalende medlem]"),'Præsentationstabeller 1'!$C$2,$C27,CUBEMEMBER("BIDB",{"[Measures].[Fuldtidsledige]"}),J$3,$B27)</f>
        <v>6.4</v>
      </c>
      <c r="L27" s="53">
        <f t="shared" si="3"/>
        <v>0.57971014492753625</v>
      </c>
      <c r="M27" s="51" vm="3210">
        <f>CUBEVALUE("BIDB",CUBEMEMBER("BIDB","[Betalingsstatus].[Betalende medlem]"),'Præsentationstabeller 1'!$C$2,$C27,CUBEMEMBER("BIDB",{"[Measures].[Ledighedsmulige]"}),M$3,$B27)</f>
        <v>119</v>
      </c>
      <c r="N27" s="111" t="str" vm="16774">
        <f>CUBEVALUE("BIDB",CUBEMEMBER("BIDB","[Betalingsstatus].[Betalende medlem]"),'Præsentationstabeller 1'!$C$2,$C27,CUBEMEMBER("BIDB",{"[Measures].[Fuldtidsledige]"}),M$3,$B27)</f>
        <v/>
      </c>
      <c r="O27" s="53">
        <f t="shared" si="4"/>
        <v>0</v>
      </c>
      <c r="P27" s="51" vm="3668">
        <f>CUBEVALUE("BIDB",CUBEMEMBER("BIDB","[Betalingsstatus].[Betalende medlem]"),'Præsentationstabeller 1'!$C$2,$C27,CUBEMEMBER("BIDB",{"[Measures].[Ledighedsmulige]"}),P$3,$B27)</f>
        <v>6</v>
      </c>
      <c r="Q27" s="111" t="str" vm="6354">
        <f>CUBEVALUE("BIDB",CUBEMEMBER("BIDB","[Betalingsstatus].[Betalende medlem]"),'Præsentationstabeller 1'!$C$2,$C27,CUBEMEMBER("BIDB",{"[Measures].[Fuldtidsledige]"}),P$3,$B27)</f>
        <v/>
      </c>
      <c r="R27" s="53">
        <f t="shared" si="5"/>
        <v>0</v>
      </c>
    </row>
    <row r="28" spans="2:18" ht="15" x14ac:dyDescent="0.25">
      <c r="B28" s="9" t="str" vm="2">
        <f t="shared" si="7"/>
        <v>Diplomingeniør</v>
      </c>
      <c r="C28" s="9" t="str" vm="35">
        <f>CUBEMEMBER("BIDB",{"[Uddannelsesretning].[IDA Gruppe].&amp;[Anlæg]"})</f>
        <v>Anlæg</v>
      </c>
      <c r="D28" s="25" vm="3374">
        <f>CUBEVALUE("BIDB",CUBEMEMBER("BIDB","[Betalingsstatus].[Betalende medlem]"),'Præsentationstabeller 1'!$C$2,$C28,CUBEMEMBER("BIDB",{"[Measures].[Ledighedsmulige]"}),D$3,$B28)</f>
        <v>40</v>
      </c>
      <c r="E28" s="104" vm="3203">
        <f>CUBEVALUE("BIDB",CUBEMEMBER("BIDB","[Betalingsstatus].[Betalende medlem]"),'Præsentationstabeller 1'!$C$2,$C28,CUBEMEMBER("BIDB",{"[Measures].[Fuldtidsledige]"}),D$3,$B28)</f>
        <v>1.04</v>
      </c>
      <c r="F28" s="26">
        <f t="shared" si="1"/>
        <v>2.6</v>
      </c>
      <c r="G28" s="25" vm="4276">
        <f>CUBEVALUE("BIDB",CUBEMEMBER("BIDB","[Betalingsstatus].[Betalende medlem]"),'Præsentationstabeller 1'!$C$2,$C28,CUBEMEMBER("BIDB",{"[Measures].[Ledighedsmulige]"}),G$3,$B28)</f>
        <v>100</v>
      </c>
      <c r="H28" s="112" vm="5693">
        <f>CUBEVALUE("BIDB",CUBEMEMBER("BIDB","[Betalingsstatus].[Betalende medlem]"),'Præsentationstabeller 1'!$C$2,$C28,CUBEMEMBER("BIDB",{"[Measures].[Fuldtidsledige]"}),G$3,$B28)</f>
        <v>0.2</v>
      </c>
      <c r="I28" s="26">
        <f t="shared" si="2"/>
        <v>0.2</v>
      </c>
      <c r="J28" s="25" vm="4253">
        <f>CUBEVALUE("BIDB",CUBEMEMBER("BIDB","[Betalingsstatus].[Betalende medlem]"),'Præsentationstabeller 1'!$C$2,$C28,CUBEMEMBER("BIDB",{"[Measures].[Ledighedsmulige]"}),J$3,$B28)</f>
        <v>22</v>
      </c>
      <c r="K28" s="112" t="str" vm="3847">
        <f>CUBEVALUE("BIDB",CUBEMEMBER("BIDB","[Betalingsstatus].[Betalende medlem]"),'Præsentationstabeller 1'!$C$2,$C28,CUBEMEMBER("BIDB",{"[Measures].[Fuldtidsledige]"}),J$3,$B28)</f>
        <v/>
      </c>
      <c r="L28" s="26">
        <f t="shared" si="3"/>
        <v>0</v>
      </c>
      <c r="M28" s="25" vm="5181">
        <f>CUBEVALUE("BIDB",CUBEMEMBER("BIDB","[Betalingsstatus].[Betalende medlem]"),'Præsentationstabeller 1'!$C$2,$C28,CUBEMEMBER("BIDB",{"[Measures].[Ledighedsmulige]"}),M$3,$B28)</f>
        <v>2</v>
      </c>
      <c r="N28" s="112" t="str" vm="5029">
        <f>CUBEVALUE("BIDB",CUBEMEMBER("BIDB","[Betalingsstatus].[Betalende medlem]"),'Præsentationstabeller 1'!$C$2,$C28,CUBEMEMBER("BIDB",{"[Measures].[Fuldtidsledige]"}),M$3,$B28)</f>
        <v/>
      </c>
      <c r="O28" s="26">
        <f t="shared" si="4"/>
        <v>0</v>
      </c>
      <c r="P28" s="25" vm="2713">
        <f>CUBEVALUE("BIDB",CUBEMEMBER("BIDB","[Betalingsstatus].[Betalende medlem]"),'Præsentationstabeller 1'!$C$2,$C28,CUBEMEMBER("BIDB",{"[Measures].[Ledighedsmulige]"}),P$3,$B28)</f>
        <v>0</v>
      </c>
      <c r="Q28" s="112" t="str" vm="2517">
        <f>CUBEVALUE("BIDB",CUBEMEMBER("BIDB","[Betalingsstatus].[Betalende medlem]"),'Præsentationstabeller 1'!$C$2,$C28,CUBEMEMBER("BIDB",{"[Measures].[Fuldtidsledige]"}),P$3,$B28)</f>
        <v/>
      </c>
      <c r="R28" s="26">
        <f t="shared" si="5"/>
        <v>0</v>
      </c>
    </row>
    <row r="29" spans="2:18" ht="15" x14ac:dyDescent="0.25">
      <c r="B29" s="50" t="str" vm="2">
        <f t="shared" si="7"/>
        <v>Diplomingeniør</v>
      </c>
      <c r="C29" s="50" t="str" vm="39">
        <f>CUBEMEMBER("BIDB",{"[Uddannelsesretning].[IDA Gruppe].&amp;[Kemi]"})</f>
        <v>Kemi</v>
      </c>
      <c r="D29" s="51" vm="3346">
        <f>CUBEVALUE("BIDB",CUBEMEMBER("BIDB","[Betalingsstatus].[Betalende medlem]"),'Præsentationstabeller 1'!$C$2,$C29,CUBEMEMBER("BIDB",{"[Measures].[Ledighedsmulige]"}),D$3,$B29)</f>
        <v>61</v>
      </c>
      <c r="E29" s="103" vm="3397">
        <f>CUBEVALUE("BIDB",CUBEMEMBER("BIDB","[Betalingsstatus].[Betalende medlem]"),'Præsentationstabeller 1'!$C$2,$C29,CUBEMEMBER("BIDB",{"[Measures].[Fuldtidsledige]"}),D$3,$B29)</f>
        <v>10.302702702702703</v>
      </c>
      <c r="F29" s="53">
        <f t="shared" si="1"/>
        <v>16.889676561807711</v>
      </c>
      <c r="G29" s="51" vm="2668">
        <f>CUBEVALUE("BIDB",CUBEMEMBER("BIDB","[Betalingsstatus].[Betalende medlem]"),'Præsentationstabeller 1'!$C$2,$C29,CUBEMEMBER("BIDB",{"[Measures].[Ledighedsmulige]"}),G$3,$B29)</f>
        <v>270</v>
      </c>
      <c r="H29" s="111" vm="5312">
        <f>CUBEVALUE("BIDB",CUBEMEMBER("BIDB","[Betalingsstatus].[Betalende medlem]"),'Præsentationstabeller 1'!$C$2,$C29,CUBEMEMBER("BIDB",{"[Measures].[Fuldtidsledige]"}),G$3,$B29)</f>
        <v>4.3448648648648645</v>
      </c>
      <c r="I29" s="53">
        <f t="shared" si="2"/>
        <v>1.609209209209209</v>
      </c>
      <c r="J29" s="51" vm="2983">
        <f>CUBEVALUE("BIDB",CUBEMEMBER("BIDB","[Betalingsstatus].[Betalende medlem]"),'Præsentationstabeller 1'!$C$2,$C29,CUBEMEMBER("BIDB",{"[Measures].[Ledighedsmulige]"}),J$3,$B29)</f>
        <v>355</v>
      </c>
      <c r="K29" s="111" vm="3683">
        <f>CUBEVALUE("BIDB",CUBEMEMBER("BIDB","[Betalingsstatus].[Betalende medlem]"),'Præsentationstabeller 1'!$C$2,$C29,CUBEMEMBER("BIDB",{"[Measures].[Fuldtidsledige]"}),J$3,$B29)</f>
        <v>3.7600000000000002</v>
      </c>
      <c r="L29" s="53">
        <f t="shared" si="3"/>
        <v>1.0591549295774649</v>
      </c>
      <c r="M29" s="51" vm="4685">
        <f>CUBEVALUE("BIDB",CUBEMEMBER("BIDB","[Betalingsstatus].[Betalende medlem]"),'Præsentationstabeller 1'!$C$2,$C29,CUBEMEMBER("BIDB",{"[Measures].[Ledighedsmulige]"}),M$3,$B29)</f>
        <v>30</v>
      </c>
      <c r="N29" s="111" t="str" vm="5188">
        <f>CUBEVALUE("BIDB",CUBEMEMBER("BIDB","[Betalingsstatus].[Betalende medlem]"),'Præsentationstabeller 1'!$C$2,$C29,CUBEMEMBER("BIDB",{"[Measures].[Fuldtidsledige]"}),M$3,$B29)</f>
        <v/>
      </c>
      <c r="O29" s="53">
        <f t="shared" si="4"/>
        <v>0</v>
      </c>
      <c r="P29" s="51" vm="3693">
        <f>CUBEVALUE("BIDB",CUBEMEMBER("BIDB","[Betalingsstatus].[Betalende medlem]"),'Præsentationstabeller 1'!$C$2,$C29,CUBEMEMBER("BIDB",{"[Measures].[Ledighedsmulige]"}),P$3,$B29)</f>
        <v>0</v>
      </c>
      <c r="Q29" s="111" t="str" vm="5359">
        <f>CUBEVALUE("BIDB",CUBEMEMBER("BIDB","[Betalingsstatus].[Betalende medlem]"),'Præsentationstabeller 1'!$C$2,$C29,CUBEMEMBER("BIDB",{"[Measures].[Fuldtidsledige]"}),P$3,$B29)</f>
        <v/>
      </c>
      <c r="R29" s="53">
        <f t="shared" si="5"/>
        <v>0</v>
      </c>
    </row>
    <row r="30" spans="2:18" ht="15" x14ac:dyDescent="0.25">
      <c r="B30" s="9" t="str" vm="2">
        <f t="shared" si="7"/>
        <v>Diplomingeniør</v>
      </c>
      <c r="C30" s="9" t="str" vm="34">
        <f>CUBEMEMBER("BIDB",{"[Uddannelsesretning].[IDA Gruppe].&amp;[Teknisk ledelse]"})</f>
        <v>Teknisk ledelse</v>
      </c>
      <c r="D30" s="25" vm="4728">
        <f>CUBEVALUE("BIDB",CUBEMEMBER("BIDB","[Betalingsstatus].[Betalende medlem]"),'Præsentationstabeller 1'!$C$2,$C30,CUBEMEMBER("BIDB",{"[Measures].[Ledighedsmulige]"}),D$3,$B30)</f>
        <v>52</v>
      </c>
      <c r="E30" s="104" vm="3983">
        <f>CUBEVALUE("BIDB",CUBEMEMBER("BIDB","[Betalingsstatus].[Betalende medlem]"),'Præsentationstabeller 1'!$C$2,$C30,CUBEMEMBER("BIDB",{"[Measures].[Fuldtidsledige]"}),D$3,$B30)</f>
        <v>13.127027027027028</v>
      </c>
      <c r="F30" s="26">
        <f t="shared" si="1"/>
        <v>25.244282744282749</v>
      </c>
      <c r="G30" s="25" vm="3015">
        <f>CUBEVALUE("BIDB",CUBEMEMBER("BIDB","[Betalingsstatus].[Betalende medlem]"),'Præsentationstabeller 1'!$C$2,$C30,CUBEMEMBER("BIDB",{"[Measures].[Ledighedsmulige]"}),G$3,$B30)</f>
        <v>239</v>
      </c>
      <c r="H30" s="112" vm="2786">
        <f>CUBEVALUE("BIDB",CUBEMEMBER("BIDB","[Betalingsstatus].[Betalende medlem]"),'Præsentationstabeller 1'!$C$2,$C30,CUBEMEMBER("BIDB",{"[Measures].[Fuldtidsledige]"}),G$3,$B30)</f>
        <v>7.7481081081081085</v>
      </c>
      <c r="I30" s="26">
        <f t="shared" si="2"/>
        <v>3.2418862377021371</v>
      </c>
      <c r="J30" s="25" vm="3474">
        <f>CUBEVALUE("BIDB",CUBEMEMBER("BIDB","[Betalingsstatus].[Betalende medlem]"),'Præsentationstabeller 1'!$C$2,$C30,CUBEMEMBER("BIDB",{"[Measures].[Ledighedsmulige]"}),J$3,$B30)</f>
        <v>220</v>
      </c>
      <c r="K30" s="112" vm="3806">
        <f>CUBEVALUE("BIDB",CUBEMEMBER("BIDB","[Betalingsstatus].[Betalende medlem]"),'Præsentationstabeller 1'!$C$2,$C30,CUBEMEMBER("BIDB",{"[Measures].[Fuldtidsledige]"}),J$3,$B30)</f>
        <v>4.5059459459459452</v>
      </c>
      <c r="L30" s="26">
        <f t="shared" si="3"/>
        <v>2.0481572481572479</v>
      </c>
      <c r="M30" s="25" vm="15868">
        <f>CUBEVALUE("BIDB",CUBEMEMBER("BIDB","[Betalingsstatus].[Betalende medlem]"),'Præsentationstabeller 1'!$C$2,$C30,CUBEMEMBER("BIDB",{"[Measures].[Ledighedsmulige]"}),M$3,$B30)</f>
        <v>7</v>
      </c>
      <c r="N30" s="112" vm="3962">
        <f>CUBEVALUE("BIDB",CUBEMEMBER("BIDB","[Betalingsstatus].[Betalende medlem]"),'Præsentationstabeller 1'!$C$2,$C30,CUBEMEMBER("BIDB",{"[Measures].[Fuldtidsledige]"}),M$3,$B30)</f>
        <v>1</v>
      </c>
      <c r="O30" s="26">
        <f t="shared" si="4"/>
        <v>14.285714285714285</v>
      </c>
      <c r="P30" s="25" vm="3886">
        <f>CUBEVALUE("BIDB",CUBEMEMBER("BIDB","[Betalingsstatus].[Betalende medlem]"),'Præsentationstabeller 1'!$C$2,$C30,CUBEMEMBER("BIDB",{"[Measures].[Ledighedsmulige]"}),P$3,$B30)</f>
        <v>1</v>
      </c>
      <c r="Q30" s="112" t="str" vm="1914">
        <f>CUBEVALUE("BIDB",CUBEMEMBER("BIDB","[Betalingsstatus].[Betalende medlem]"),'Præsentationstabeller 1'!$C$2,$C30,CUBEMEMBER("BIDB",{"[Measures].[Fuldtidsledige]"}),P$3,$B30)</f>
        <v/>
      </c>
      <c r="R30" s="26">
        <f t="shared" si="5"/>
        <v>0</v>
      </c>
    </row>
    <row r="31" spans="2:18" ht="15" x14ac:dyDescent="0.25">
      <c r="B31" s="50" t="str" vm="2">
        <f t="shared" si="7"/>
        <v>Diplomingeniør</v>
      </c>
      <c r="C31" s="50" t="str" vm="38">
        <f>CUBEMEMBER("BIDB",{"[Uddannelsesretning].[IDA Gruppe].&amp;[Nye retninger]"})</f>
        <v>Nye retninger</v>
      </c>
      <c r="D31" s="51" vm="5686">
        <f>CUBEVALUE("BIDB",CUBEMEMBER("BIDB","[Betalingsstatus].[Betalende medlem]"),'Præsentationstabeller 1'!$C$2,$C31,CUBEMEMBER("BIDB",{"[Measures].[Ledighedsmulige]"}),D$3,$B31)</f>
        <v>53</v>
      </c>
      <c r="E31" s="103" vm="5133">
        <f>CUBEVALUE("BIDB",CUBEMEMBER("BIDB","[Betalingsstatus].[Betalende medlem]"),'Præsentationstabeller 1'!$C$2,$C31,CUBEMEMBER("BIDB",{"[Measures].[Fuldtidsledige]"}),D$3,$B31)</f>
        <v>6.3014054054054052</v>
      </c>
      <c r="F31" s="53">
        <f t="shared" si="1"/>
        <v>11.889444161142274</v>
      </c>
      <c r="G31" s="51" vm="4680">
        <f>CUBEVALUE("BIDB",CUBEMEMBER("BIDB","[Betalingsstatus].[Betalende medlem]"),'Præsentationstabeller 1'!$C$2,$C31,CUBEMEMBER("BIDB",{"[Measures].[Ledighedsmulige]"}),G$3,$B31)</f>
        <v>132</v>
      </c>
      <c r="H31" s="111" vm="3115">
        <f>CUBEVALUE("BIDB",CUBEMEMBER("BIDB","[Betalingsstatus].[Betalende medlem]"),'Præsentationstabeller 1'!$C$2,$C31,CUBEMEMBER("BIDB",{"[Measures].[Fuldtidsledige]"}),G$3,$B31)</f>
        <v>2.44</v>
      </c>
      <c r="I31" s="53">
        <f t="shared" si="2"/>
        <v>1.8484848484848486</v>
      </c>
      <c r="J31" s="51" vm="4185">
        <f>CUBEVALUE("BIDB",CUBEMEMBER("BIDB","[Betalingsstatus].[Betalende medlem]"),'Præsentationstabeller 1'!$C$2,$C31,CUBEMEMBER("BIDB",{"[Measures].[Ledighedsmulige]"}),J$3,$B31)</f>
        <v>18</v>
      </c>
      <c r="K31" s="111" t="str" vm="4319">
        <f>CUBEVALUE("BIDB",CUBEMEMBER("BIDB","[Betalingsstatus].[Betalende medlem]"),'Præsentationstabeller 1'!$C$2,$C31,CUBEMEMBER("BIDB",{"[Measures].[Fuldtidsledige]"}),J$3,$B31)</f>
        <v/>
      </c>
      <c r="L31" s="53">
        <f t="shared" si="3"/>
        <v>0</v>
      </c>
      <c r="M31" s="51" vm="17209">
        <f>CUBEVALUE("BIDB",CUBEMEMBER("BIDB","[Betalingsstatus].[Betalende medlem]"),'Præsentationstabeller 1'!$C$2,$C31,CUBEMEMBER("BIDB",{"[Measures].[Ledighedsmulige]"}),M$3,$B31)</f>
        <v>3</v>
      </c>
      <c r="N31" s="111" t="str" vm="16745">
        <f>CUBEVALUE("BIDB",CUBEMEMBER("BIDB","[Betalingsstatus].[Betalende medlem]"),'Præsentationstabeller 1'!$C$2,$C31,CUBEMEMBER("BIDB",{"[Measures].[Fuldtidsledige]"}),M$3,$B31)</f>
        <v/>
      </c>
      <c r="O31" s="53">
        <f t="shared" si="4"/>
        <v>0</v>
      </c>
      <c r="P31" s="51" vm="4429">
        <f>CUBEVALUE("BIDB",CUBEMEMBER("BIDB","[Betalingsstatus].[Betalende medlem]"),'Præsentationstabeller 1'!$C$2,$C31,CUBEMEMBER("BIDB",{"[Measures].[Ledighedsmulige]"}),P$3,$B31)</f>
        <v>1</v>
      </c>
      <c r="Q31" s="111" t="str" vm="4228">
        <f>CUBEVALUE("BIDB",CUBEMEMBER("BIDB","[Betalingsstatus].[Betalende medlem]"),'Præsentationstabeller 1'!$C$2,$C31,CUBEMEMBER("BIDB",{"[Measures].[Fuldtidsledige]"}),P$3,$B31)</f>
        <v/>
      </c>
      <c r="R31" s="53">
        <f t="shared" si="5"/>
        <v>0</v>
      </c>
    </row>
    <row r="32" spans="2:18" ht="15" x14ac:dyDescent="0.25">
      <c r="B32" s="10" t="str" vm="2">
        <f t="shared" si="7"/>
        <v>Diplomingeniør</v>
      </c>
      <c r="C32" s="10" t="str" vm="33">
        <f>CUBEMEMBER("BIDB",{"[Uddannelsesretning].[IDA Gruppe].&amp;[Øvrige retninger/uoplyste]"})</f>
        <v>Øvrige retninger/uoplyste</v>
      </c>
      <c r="D32" s="41" vm="2932">
        <f>CUBEVALUE("BIDB",CUBEMEMBER("BIDB","[Betalingsstatus].[Betalende medlem]"),'Præsentationstabeller 1'!$C$2,$C32,CUBEMEMBER("BIDB",{"[Measures].[Ledighedsmulige]"}),D$3,$B32)</f>
        <v>600</v>
      </c>
      <c r="E32" s="105" vm="3076">
        <f>CUBEVALUE("BIDB",CUBEMEMBER("BIDB","[Betalingsstatus].[Betalende medlem]"),'Præsentationstabeller 1'!$C$2,$C32,CUBEMEMBER("BIDB",{"[Measures].[Fuldtidsledige]"}),D$3,$B32)</f>
        <v>65.147405405405394</v>
      </c>
      <c r="F32" s="43">
        <f t="shared" si="1"/>
        <v>10.8579009009009</v>
      </c>
      <c r="G32" s="41" vm="10637">
        <f>CUBEVALUE("BIDB",CUBEMEMBER("BIDB","[Betalingsstatus].[Betalende medlem]"),'Præsentationstabeller 1'!$C$2,$C32,CUBEMEMBER("BIDB",{"[Measures].[Ledighedsmulige]"}),G$3,$B32)</f>
        <v>779</v>
      </c>
      <c r="H32" s="113" vm="3422">
        <f>CUBEVALUE("BIDB",CUBEMEMBER("BIDB","[Betalingsstatus].[Betalende medlem]"),'Præsentationstabeller 1'!$C$2,$C32,CUBEMEMBER("BIDB",{"[Measures].[Fuldtidsledige]"}),G$3,$B32)</f>
        <v>25.589243243243246</v>
      </c>
      <c r="I32" s="43">
        <f t="shared" si="2"/>
        <v>3.2848835999028556</v>
      </c>
      <c r="J32" s="41" vm="3810">
        <f>CUBEVALUE("BIDB",CUBEMEMBER("BIDB","[Betalingsstatus].[Betalende medlem]"),'Præsentationstabeller 1'!$C$2,$C32,CUBEMEMBER("BIDB",{"[Measures].[Ledighedsmulige]"}),J$3,$B32)</f>
        <v>370</v>
      </c>
      <c r="K32" s="113" vm="5649">
        <f>CUBEVALUE("BIDB",CUBEMEMBER("BIDB","[Betalingsstatus].[Betalende medlem]"),'Præsentationstabeller 1'!$C$2,$C32,CUBEMEMBER("BIDB",{"[Measures].[Fuldtidsledige]"}),J$3,$B32)</f>
        <v>8.664594594594595</v>
      </c>
      <c r="L32" s="43">
        <f t="shared" si="3"/>
        <v>2.3417823228634038</v>
      </c>
      <c r="M32" s="41" vm="15863">
        <f>CUBEVALUE("BIDB",CUBEMEMBER("BIDB","[Betalingsstatus].[Betalende medlem]"),'Præsentationstabeller 1'!$C$2,$C32,CUBEMEMBER("BIDB",{"[Measures].[Ledighedsmulige]"}),M$3,$B32)</f>
        <v>69</v>
      </c>
      <c r="N32" s="113" vm="3200">
        <f>CUBEVALUE("BIDB",CUBEMEMBER("BIDB","[Betalingsstatus].[Betalende medlem]"),'Præsentationstabeller 1'!$C$2,$C32,CUBEMEMBER("BIDB",{"[Measures].[Fuldtidsledige]"}),M$3,$B32)</f>
        <v>1.4</v>
      </c>
      <c r="O32" s="43">
        <f t="shared" si="4"/>
        <v>2.0289855072463765</v>
      </c>
      <c r="P32" s="41" vm="3387">
        <f>CUBEVALUE("BIDB",CUBEMEMBER("BIDB","[Betalingsstatus].[Betalende medlem]"),'Præsentationstabeller 1'!$C$2,$C32,CUBEMEMBER("BIDB",{"[Measures].[Ledighedsmulige]"}),P$3,$B32)</f>
        <v>6</v>
      </c>
      <c r="Q32" s="113" t="str" vm="2557">
        <f>CUBEVALUE("BIDB",CUBEMEMBER("BIDB","[Betalingsstatus].[Betalende medlem]"),'Præsentationstabeller 1'!$C$2,$C32,CUBEMEMBER("BIDB",{"[Measures].[Fuldtidsledige]"}),P$3,$B32)</f>
        <v/>
      </c>
      <c r="R32" s="43">
        <f t="shared" si="5"/>
        <v>0</v>
      </c>
    </row>
    <row r="33" spans="2:18" ht="15" x14ac:dyDescent="0.25">
      <c r="B33" s="50" t="str" vm="19">
        <f t="shared" ref="B33:B41" si="8">CUBEMEMBER("BIDB","[Uddannelse].[IDA Gruppe].&amp;[Civilingeniører]")</f>
        <v>Civilingeniører</v>
      </c>
      <c r="C33" s="50" t="str" vm="37">
        <f>CUBEMEMBER("BIDB",{"[Uddannelsesretning].[IDA Gruppe].&amp;[Maskin]"})</f>
        <v>Maskin</v>
      </c>
      <c r="D33" s="51" vm="3159">
        <f>CUBEVALUE("BIDB",CUBEMEMBER("BIDB","[Betalingsstatus].[Betalende medlem]"),'Præsentationstabeller 1'!$C$2,$C33,CUBEMEMBER("BIDB",{"[Measures].[Ledighedsmulige]"}),D$3,$B33)</f>
        <v>161</v>
      </c>
      <c r="E33" s="103" vm="2799">
        <f>CUBEVALUE("BIDB",CUBEMEMBER("BIDB","[Betalingsstatus].[Betalende medlem]"),'Præsentationstabeller 1'!$C$2,$C33,CUBEMEMBER("BIDB",{"[Measures].[Fuldtidsledige]"}),D$3,$B33)</f>
        <v>13.12</v>
      </c>
      <c r="F33" s="53">
        <f t="shared" si="1"/>
        <v>8.1490683229813659</v>
      </c>
      <c r="G33" s="51" vm="3157">
        <f>CUBEVALUE("BIDB",CUBEMEMBER("BIDB","[Betalingsstatus].[Betalende medlem]"),'Præsentationstabeller 1'!$C$2,$C33,CUBEMEMBER("BIDB",{"[Measures].[Ledighedsmulige]"}),G$3,$B33)</f>
        <v>472</v>
      </c>
      <c r="H33" s="111" vm="3057">
        <f>CUBEVALUE("BIDB",CUBEMEMBER("BIDB","[Betalingsstatus].[Betalende medlem]"),'Præsentationstabeller 1'!$C$2,$C33,CUBEMEMBER("BIDB",{"[Measures].[Fuldtidsledige]"}),G$3,$B33)</f>
        <v>5.88</v>
      </c>
      <c r="I33" s="53">
        <f t="shared" si="2"/>
        <v>1.2457627118644068</v>
      </c>
      <c r="J33" s="51" vm="2994">
        <f>CUBEVALUE("BIDB",CUBEMEMBER("BIDB","[Betalingsstatus].[Betalende medlem]"),'Præsentationstabeller 1'!$C$2,$C33,CUBEMEMBER("BIDB",{"[Measures].[Ledighedsmulige]"}),J$3,$B33)</f>
        <v>875</v>
      </c>
      <c r="K33" s="111" vm="11071">
        <f>CUBEVALUE("BIDB",CUBEMEMBER("BIDB","[Betalingsstatus].[Betalende medlem]"),'Præsentationstabeller 1'!$C$2,$C33,CUBEMEMBER("BIDB",{"[Measures].[Fuldtidsledige]"}),J$3,$B33)</f>
        <v>8.0400000000000009</v>
      </c>
      <c r="L33" s="53">
        <f t="shared" si="3"/>
        <v>0.91885714285714293</v>
      </c>
      <c r="M33" s="51" vm="16777">
        <f>CUBEVALUE("BIDB",CUBEMEMBER("BIDB","[Betalingsstatus].[Betalende medlem]"),'Præsentationstabeller 1'!$C$2,$C33,CUBEMEMBER("BIDB",{"[Measures].[Ledighedsmulige]"}),M$3,$B33)</f>
        <v>875</v>
      </c>
      <c r="N33" s="111" vm="16789">
        <f>CUBEVALUE("BIDB",CUBEMEMBER("BIDB","[Betalingsstatus].[Betalende medlem]"),'Præsentationstabeller 1'!$C$2,$C33,CUBEMEMBER("BIDB",{"[Measures].[Fuldtidsledige]"}),M$3,$B33)</f>
        <v>7.2745945945945945</v>
      </c>
      <c r="O33" s="53">
        <f t="shared" si="4"/>
        <v>0.83138223938223932</v>
      </c>
      <c r="P33" s="51" vm="4631">
        <f>CUBEVALUE("BIDB",CUBEMEMBER("BIDB","[Betalingsstatus].[Betalende medlem]"),'Præsentationstabeller 1'!$C$2,$C33,CUBEMEMBER("BIDB",{"[Measures].[Ledighedsmulige]"}),P$3,$B33)</f>
        <v>188</v>
      </c>
      <c r="Q33" s="111" vm="3429">
        <f>CUBEVALUE("BIDB",CUBEMEMBER("BIDB","[Betalingsstatus].[Betalende medlem]"),'Præsentationstabeller 1'!$C$2,$C33,CUBEMEMBER("BIDB",{"[Measures].[Fuldtidsledige]"}),P$3,$B33)</f>
        <v>1.2</v>
      </c>
      <c r="R33" s="53">
        <f t="shared" si="5"/>
        <v>0.63829787234042545</v>
      </c>
    </row>
    <row r="34" spans="2:18" ht="15" x14ac:dyDescent="0.25">
      <c r="B34" s="9" t="str" vm="19">
        <f t="shared" si="8"/>
        <v>Civilingeniører</v>
      </c>
      <c r="C34" s="9" t="str" vm="41">
        <f>CUBEMEMBER("BIDB",{"[Uddannelsesretning].[IDA Gruppe].&amp;[Produktion]"})</f>
        <v>Produktion</v>
      </c>
      <c r="D34" s="25" vm="3227">
        <f>CUBEVALUE("BIDB",CUBEMEMBER("BIDB","[Betalingsstatus].[Betalende medlem]"),'Præsentationstabeller 1'!$C$2,$C34,CUBEMEMBER("BIDB",{"[Measures].[Ledighedsmulige]"}),D$3,$B34)</f>
        <v>36</v>
      </c>
      <c r="E34" s="104" vm="3310">
        <f>CUBEVALUE("BIDB",CUBEMEMBER("BIDB","[Betalingsstatus].[Betalende medlem]"),'Præsentationstabeller 1'!$C$2,$C34,CUBEMEMBER("BIDB",{"[Measures].[Fuldtidsledige]"}),D$3,$B34)</f>
        <v>4.8800000000000008</v>
      </c>
      <c r="F34" s="26">
        <f t="shared" si="1"/>
        <v>13.555555555555557</v>
      </c>
      <c r="G34" s="25" vm="2929">
        <f>CUBEVALUE("BIDB",CUBEMEMBER("BIDB","[Betalingsstatus].[Betalende medlem]"),'Præsentationstabeller 1'!$C$2,$C34,CUBEMEMBER("BIDB",{"[Measures].[Ledighedsmulige]"}),G$3,$B34)</f>
        <v>303</v>
      </c>
      <c r="H34" s="112" vm="2759">
        <f>CUBEVALUE("BIDB",CUBEMEMBER("BIDB","[Betalingsstatus].[Betalende medlem]"),'Præsentationstabeller 1'!$C$2,$C34,CUBEMEMBER("BIDB",{"[Measures].[Fuldtidsledige]"}),G$3,$B34)</f>
        <v>3.3200000000000003</v>
      </c>
      <c r="I34" s="26">
        <f t="shared" si="2"/>
        <v>1.0957095709570956</v>
      </c>
      <c r="J34" s="25" vm="3247">
        <f>CUBEVALUE("BIDB",CUBEMEMBER("BIDB","[Betalingsstatus].[Betalende medlem]"),'Præsentationstabeller 1'!$C$2,$C34,CUBEMEMBER("BIDB",{"[Measures].[Ledighedsmulige]"}),J$3,$B34)</f>
        <v>329</v>
      </c>
      <c r="K34" s="112" vm="2808">
        <f>CUBEVALUE("BIDB",CUBEMEMBER("BIDB","[Betalingsstatus].[Betalende medlem]"),'Præsentationstabeller 1'!$C$2,$C34,CUBEMEMBER("BIDB",{"[Measures].[Fuldtidsledige]"}),J$3,$B34)</f>
        <v>2.2000000000000002</v>
      </c>
      <c r="L34" s="26">
        <f t="shared" si="3"/>
        <v>0.66869300911854102</v>
      </c>
      <c r="M34" s="25" vm="3804">
        <f>CUBEVALUE("BIDB",CUBEMEMBER("BIDB","[Betalingsstatus].[Betalende medlem]"),'Præsentationstabeller 1'!$C$2,$C34,CUBEMEMBER("BIDB",{"[Measures].[Ledighedsmulige]"}),M$3,$B34)</f>
        <v>48</v>
      </c>
      <c r="N34" s="112" vm="4064">
        <f>CUBEVALUE("BIDB",CUBEMEMBER("BIDB","[Betalingsstatus].[Betalende medlem]"),'Præsentationstabeller 1'!$C$2,$C34,CUBEMEMBER("BIDB",{"[Measures].[Fuldtidsledige]"}),M$3,$B34)</f>
        <v>3</v>
      </c>
      <c r="O34" s="26">
        <f t="shared" si="4"/>
        <v>6.25</v>
      </c>
      <c r="P34" s="25" vm="2734">
        <f>CUBEVALUE("BIDB",CUBEMEMBER("BIDB","[Betalingsstatus].[Betalende medlem]"),'Præsentationstabeller 1'!$C$2,$C34,CUBEMEMBER("BIDB",{"[Measures].[Ledighedsmulige]"}),P$3,$B34)</f>
        <v>3</v>
      </c>
      <c r="Q34" s="112" t="str" vm="2615">
        <f>CUBEVALUE("BIDB",CUBEMEMBER("BIDB","[Betalingsstatus].[Betalende medlem]"),'Præsentationstabeller 1'!$C$2,$C34,CUBEMEMBER("BIDB",{"[Measures].[Fuldtidsledige]"}),P$3,$B34)</f>
        <v/>
      </c>
      <c r="R34" s="26">
        <f t="shared" si="5"/>
        <v>0</v>
      </c>
    </row>
    <row r="35" spans="2:18" ht="15" x14ac:dyDescent="0.25">
      <c r="B35" s="50" t="str" vm="19">
        <f t="shared" si="8"/>
        <v>Civilingeniører</v>
      </c>
      <c r="C35" s="50" t="str" vm="36">
        <f>CUBEMEMBER("BIDB",{"[Uddannelsesretning].[IDA Gruppe].&amp;[Elektronik-IT]"})</f>
        <v>Elektronik-IT</v>
      </c>
      <c r="D35" s="51" vm="3080">
        <f>CUBEVALUE("BIDB",CUBEMEMBER("BIDB","[Betalingsstatus].[Betalende medlem]"),'Præsentationstabeller 1'!$C$2,$C35,CUBEMEMBER("BIDB",{"[Measures].[Ledighedsmulige]"}),D$3,$B35)</f>
        <v>566</v>
      </c>
      <c r="E35" s="103" vm="6007">
        <f>CUBEVALUE("BIDB",CUBEMEMBER("BIDB","[Betalingsstatus].[Betalende medlem]"),'Præsentationstabeller 1'!$C$2,$C35,CUBEMEMBER("BIDB",{"[Measures].[Fuldtidsledige]"}),D$3,$B35)</f>
        <v>53.983405405405399</v>
      </c>
      <c r="F35" s="53">
        <f t="shared" si="1"/>
        <v>9.5377041352306353</v>
      </c>
      <c r="G35" s="51" vm="2171">
        <f>CUBEVALUE("BIDB",CUBEMEMBER("BIDB","[Betalingsstatus].[Betalende medlem]"),'Præsentationstabeller 1'!$C$2,$C35,CUBEMEMBER("BIDB",{"[Measures].[Ledighedsmulige]"}),G$3,$B35)</f>
        <v>2266</v>
      </c>
      <c r="H35" s="111" vm="3536">
        <f>CUBEVALUE("BIDB",CUBEMEMBER("BIDB","[Betalingsstatus].[Betalende medlem]"),'Præsentationstabeller 1'!$C$2,$C35,CUBEMEMBER("BIDB",{"[Measures].[Fuldtidsledige]"}),G$3,$B35)</f>
        <v>28.479999999999997</v>
      </c>
      <c r="I35" s="53">
        <f t="shared" si="2"/>
        <v>1.256840247131509</v>
      </c>
      <c r="J35" s="51" vm="3968">
        <f>CUBEVALUE("BIDB",CUBEMEMBER("BIDB","[Betalingsstatus].[Betalende medlem]"),'Præsentationstabeller 1'!$C$2,$C35,CUBEMEMBER("BIDB",{"[Measures].[Ledighedsmulige]"}),J$3,$B35)</f>
        <v>2243</v>
      </c>
      <c r="K35" s="111" vm="3628">
        <f>CUBEVALUE("BIDB",CUBEMEMBER("BIDB","[Betalingsstatus].[Betalende medlem]"),'Præsentationstabeller 1'!$C$2,$C35,CUBEMEMBER("BIDB",{"[Measures].[Fuldtidsledige]"}),J$3,$B35)</f>
        <v>4.7200000000000006</v>
      </c>
      <c r="L35" s="53">
        <f t="shared" si="3"/>
        <v>0.21043245653143114</v>
      </c>
      <c r="M35" s="51" vm="3311">
        <f>CUBEVALUE("BIDB",CUBEMEMBER("BIDB","[Betalingsstatus].[Betalende medlem]"),'Præsentationstabeller 1'!$C$2,$C35,CUBEMEMBER("BIDB",{"[Measures].[Ledighedsmulige]"}),M$3,$B35)</f>
        <v>1505</v>
      </c>
      <c r="N35" s="111" vm="17207">
        <f>CUBEVALUE("BIDB",CUBEMEMBER("BIDB","[Betalingsstatus].[Betalende medlem]"),'Præsentationstabeller 1'!$C$2,$C35,CUBEMEMBER("BIDB",{"[Measures].[Fuldtidsledige]"}),M$3,$B35)</f>
        <v>19.160000000000004</v>
      </c>
      <c r="O35" s="53">
        <f t="shared" si="4"/>
        <v>1.273089700996678</v>
      </c>
      <c r="P35" s="51" vm="4868">
        <f>CUBEVALUE("BIDB",CUBEMEMBER("BIDB","[Betalingsstatus].[Betalende medlem]"),'Præsentationstabeller 1'!$C$2,$C35,CUBEMEMBER("BIDB",{"[Measures].[Ledighedsmulige]"}),P$3,$B35)</f>
        <v>353</v>
      </c>
      <c r="Q35" s="111" vm="4383">
        <f>CUBEVALUE("BIDB",CUBEMEMBER("BIDB","[Betalingsstatus].[Betalende medlem]"),'Præsentationstabeller 1'!$C$2,$C35,CUBEMEMBER("BIDB",{"[Measures].[Fuldtidsledige]"}),P$3,$B35)</f>
        <v>7.7747567567567559</v>
      </c>
      <c r="R35" s="53">
        <f t="shared" si="5"/>
        <v>2.2024806676364745</v>
      </c>
    </row>
    <row r="36" spans="2:18" ht="15" x14ac:dyDescent="0.25">
      <c r="B36" s="9" t="str" vm="19">
        <f t="shared" si="8"/>
        <v>Civilingeniører</v>
      </c>
      <c r="C36" s="9" t="str" vm="40">
        <f>CUBEMEMBER("BIDB",{"[Uddannelsesretning].[IDA Gruppe].&amp;[Bygning]"})</f>
        <v>Bygning</v>
      </c>
      <c r="D36" s="25" vm="3663">
        <f>CUBEVALUE("BIDB",CUBEMEMBER("BIDB","[Betalingsstatus].[Betalende medlem]"),'Præsentationstabeller 1'!$C$2,$C36,CUBEMEMBER("BIDB",{"[Measures].[Ledighedsmulige]"}),D$3,$B36)</f>
        <v>544</v>
      </c>
      <c r="E36" s="104" vm="3375">
        <f>CUBEVALUE("BIDB",CUBEMEMBER("BIDB","[Betalingsstatus].[Betalende medlem]"),'Præsentationstabeller 1'!$C$2,$C36,CUBEMEMBER("BIDB",{"[Measures].[Fuldtidsledige]"}),D$3,$B36)</f>
        <v>47.132918918918932</v>
      </c>
      <c r="F36" s="26">
        <f t="shared" si="1"/>
        <v>8.664139507154216</v>
      </c>
      <c r="G36" s="25" vm="3898">
        <f>CUBEVALUE("BIDB",CUBEMEMBER("BIDB","[Betalingsstatus].[Betalende medlem]"),'Præsentationstabeller 1'!$C$2,$C36,CUBEMEMBER("BIDB",{"[Measures].[Ledighedsmulige]"}),G$3,$B36)</f>
        <v>1571</v>
      </c>
      <c r="H36" s="112" vm="4964">
        <f>CUBEVALUE("BIDB",CUBEMEMBER("BIDB","[Betalingsstatus].[Betalende medlem]"),'Præsentationstabeller 1'!$C$2,$C36,CUBEMEMBER("BIDB",{"[Measures].[Fuldtidsledige]"}),G$3,$B36)</f>
        <v>16.498918918918921</v>
      </c>
      <c r="I36" s="26">
        <f t="shared" si="2"/>
        <v>1.0502176269203642</v>
      </c>
      <c r="J36" s="25" vm="4058">
        <f>CUBEVALUE("BIDB",CUBEMEMBER("BIDB","[Betalingsstatus].[Betalende medlem]"),'Præsentationstabeller 1'!$C$2,$C36,CUBEMEMBER("BIDB",{"[Measures].[Ledighedsmulige]"}),J$3,$B36)</f>
        <v>1387</v>
      </c>
      <c r="K36" s="112" vm="3872">
        <f>CUBEVALUE("BIDB",CUBEMEMBER("BIDB","[Betalingsstatus].[Betalende medlem]"),'Præsentationstabeller 1'!$C$2,$C36,CUBEMEMBER("BIDB",{"[Measures].[Fuldtidsledige]"}),J$3,$B36)</f>
        <v>12.544054054054055</v>
      </c>
      <c r="L36" s="26">
        <f t="shared" si="3"/>
        <v>0.90440187844657938</v>
      </c>
      <c r="M36" s="25" vm="4070">
        <f>CUBEVALUE("BIDB",CUBEMEMBER("BIDB","[Betalingsstatus].[Betalende medlem]"),'Præsentationstabeller 1'!$C$2,$C36,CUBEMEMBER("BIDB",{"[Measures].[Ledighedsmulige]"}),M$3,$B36)</f>
        <v>821</v>
      </c>
      <c r="N36" s="112" vm="16740">
        <f>CUBEVALUE("BIDB",CUBEMEMBER("BIDB","[Betalingsstatus].[Betalende medlem]"),'Præsentationstabeller 1'!$C$2,$C36,CUBEMEMBER("BIDB",{"[Measures].[Fuldtidsledige]"}),M$3,$B36)</f>
        <v>7.3629729729729734</v>
      </c>
      <c r="O36" s="26">
        <f t="shared" si="4"/>
        <v>0.8968298383645521</v>
      </c>
      <c r="P36" s="25" vm="2880">
        <f>CUBEVALUE("BIDB",CUBEMEMBER("BIDB","[Betalingsstatus].[Betalende medlem]"),'Præsentationstabeller 1'!$C$2,$C36,CUBEMEMBER("BIDB",{"[Measures].[Ledighedsmulige]"}),P$3,$B36)</f>
        <v>336</v>
      </c>
      <c r="Q36" s="112" vm="2745">
        <f>CUBEVALUE("BIDB",CUBEMEMBER("BIDB","[Betalingsstatus].[Betalende medlem]"),'Præsentationstabeller 1'!$C$2,$C36,CUBEMEMBER("BIDB",{"[Measures].[Fuldtidsledige]"}),P$3,$B36)</f>
        <v>1.9600000000000002</v>
      </c>
      <c r="R36" s="26">
        <f t="shared" si="5"/>
        <v>0.58333333333333337</v>
      </c>
    </row>
    <row r="37" spans="2:18" ht="15" x14ac:dyDescent="0.25">
      <c r="B37" s="50" t="str" vm="19">
        <f t="shared" si="8"/>
        <v>Civilingeniører</v>
      </c>
      <c r="C37" s="50" t="str" vm="35">
        <f>CUBEMEMBER("BIDB",{"[Uddannelsesretning].[IDA Gruppe].&amp;[Anlæg]"})</f>
        <v>Anlæg</v>
      </c>
      <c r="D37" s="51" vm="3464">
        <f>CUBEVALUE("BIDB",CUBEMEMBER("BIDB","[Betalingsstatus].[Betalende medlem]"),'Præsentationstabeller 1'!$C$2,$C37,CUBEMEMBER("BIDB",{"[Measures].[Ledighedsmulige]"}),D$3,$B37)</f>
        <v>38</v>
      </c>
      <c r="E37" s="103" vm="4675">
        <f>CUBEVALUE("BIDB",CUBEMEMBER("BIDB","[Betalingsstatus].[Betalende medlem]"),'Præsentationstabeller 1'!$C$2,$C37,CUBEMEMBER("BIDB",{"[Measures].[Fuldtidsledige]"}),D$3,$B37)</f>
        <v>4.4399999999999995</v>
      </c>
      <c r="F37" s="53">
        <f t="shared" si="1"/>
        <v>11.684210526315789</v>
      </c>
      <c r="G37" s="51" vm="5817">
        <f>CUBEVALUE("BIDB",CUBEMEMBER("BIDB","[Betalingsstatus].[Betalende medlem]"),'Præsentationstabeller 1'!$C$2,$C37,CUBEMEMBER("BIDB",{"[Measures].[Ledighedsmulige]"}),G$3,$B37)</f>
        <v>48</v>
      </c>
      <c r="H37" s="111" vm="3412">
        <f>CUBEVALUE("BIDB",CUBEMEMBER("BIDB","[Betalingsstatus].[Betalende medlem]"),'Præsentationstabeller 1'!$C$2,$C37,CUBEMEMBER("BIDB",{"[Measures].[Fuldtidsledige]"}),G$3,$B37)</f>
        <v>2</v>
      </c>
      <c r="I37" s="53">
        <f t="shared" si="2"/>
        <v>4.1666666666666661</v>
      </c>
      <c r="J37" s="51" vm="2314">
        <f>CUBEVALUE("BIDB",CUBEMEMBER("BIDB","[Betalingsstatus].[Betalende medlem]"),'Præsentationstabeller 1'!$C$2,$C37,CUBEMEMBER("BIDB",{"[Measures].[Ledighedsmulige]"}),J$3,$B37)</f>
        <v>107</v>
      </c>
      <c r="K37" s="111" t="str" vm="7700">
        <f>CUBEVALUE("BIDB",CUBEMEMBER("BIDB","[Betalingsstatus].[Betalende medlem]"),'Præsentationstabeller 1'!$C$2,$C37,CUBEMEMBER("BIDB",{"[Measures].[Fuldtidsledige]"}),J$3,$B37)</f>
        <v/>
      </c>
      <c r="L37" s="53">
        <f t="shared" si="3"/>
        <v>0</v>
      </c>
      <c r="M37" s="51" vm="17212">
        <f>CUBEVALUE("BIDB",CUBEMEMBER("BIDB","[Betalingsstatus].[Betalende medlem]"),'Præsentationstabeller 1'!$C$2,$C37,CUBEMEMBER("BIDB",{"[Measures].[Ledighedsmulige]"}),M$3,$B37)</f>
        <v>24</v>
      </c>
      <c r="N37" s="111" t="str" vm="3441">
        <f>CUBEVALUE("BIDB",CUBEMEMBER("BIDB","[Betalingsstatus].[Betalende medlem]"),'Præsentationstabeller 1'!$C$2,$C37,CUBEMEMBER("BIDB",{"[Measures].[Fuldtidsledige]"}),M$3,$B37)</f>
        <v/>
      </c>
      <c r="O37" s="53">
        <f t="shared" si="4"/>
        <v>0</v>
      </c>
      <c r="P37" s="51" vm="3876">
        <f>CUBEVALUE("BIDB",CUBEMEMBER("BIDB","[Betalingsstatus].[Betalende medlem]"),'Præsentationstabeller 1'!$C$2,$C37,CUBEMEMBER("BIDB",{"[Measures].[Ledighedsmulige]"}),P$3,$B37)</f>
        <v>1</v>
      </c>
      <c r="Q37" s="111" t="str" vm="8496">
        <f>CUBEVALUE("BIDB",CUBEMEMBER("BIDB","[Betalingsstatus].[Betalende medlem]"),'Præsentationstabeller 1'!$C$2,$C37,CUBEMEMBER("BIDB",{"[Measures].[Fuldtidsledige]"}),P$3,$B37)</f>
        <v/>
      </c>
      <c r="R37" s="53">
        <f t="shared" si="5"/>
        <v>0</v>
      </c>
    </row>
    <row r="38" spans="2:18" x14ac:dyDescent="0.3">
      <c r="B38" s="9" t="str" vm="19">
        <f t="shared" si="8"/>
        <v>Civilingeniører</v>
      </c>
      <c r="C38" s="9" t="str" vm="39">
        <f>CUBEMEMBER("BIDB",{"[Uddannelsesretning].[IDA Gruppe].&amp;[Kemi]"})</f>
        <v>Kemi</v>
      </c>
      <c r="D38" s="25" vm="3642">
        <f>CUBEVALUE("BIDB",CUBEMEMBER("BIDB","[Betalingsstatus].[Betalende medlem]"),'Præsentationstabeller 1'!$C$2,$C38,CUBEMEMBER("BIDB",{"[Measures].[Ledighedsmulige]"}),D$3,$B38)</f>
        <v>239</v>
      </c>
      <c r="E38" s="104" vm="3956">
        <f>CUBEVALUE("BIDB",CUBEMEMBER("BIDB","[Betalingsstatus].[Betalende medlem]"),'Præsentationstabeller 1'!$C$2,$C38,CUBEMEMBER("BIDB",{"[Measures].[Fuldtidsledige]"}),D$3,$B38)</f>
        <v>38.48686486486487</v>
      </c>
      <c r="F38" s="26">
        <f t="shared" si="1"/>
        <v>16.103290738437185</v>
      </c>
      <c r="G38" s="25" vm="2415">
        <f>CUBEVALUE("BIDB",CUBEMEMBER("BIDB","[Betalingsstatus].[Betalende medlem]"),'Præsentationstabeller 1'!$C$2,$C38,CUBEMEMBER("BIDB",{"[Measures].[Ledighedsmulige]"}),G$3,$B38)</f>
        <v>869</v>
      </c>
      <c r="H38" s="112" vm="3153">
        <f>CUBEVALUE("BIDB",CUBEMEMBER("BIDB","[Betalingsstatus].[Betalende medlem]"),'Præsentationstabeller 1'!$C$2,$C38,CUBEMEMBER("BIDB",{"[Measures].[Fuldtidsledige]"}),G$3,$B38)</f>
        <v>11.12</v>
      </c>
      <c r="I38" s="26">
        <f t="shared" si="2"/>
        <v>1.2796317606444187</v>
      </c>
      <c r="J38" s="25" vm="5184">
        <f>CUBEVALUE("BIDB",CUBEMEMBER("BIDB","[Betalingsstatus].[Betalende medlem]"),'Præsentationstabeller 1'!$C$2,$C38,CUBEMEMBER("BIDB",{"[Measures].[Ledighedsmulige]"}),J$3,$B38)</f>
        <v>1228</v>
      </c>
      <c r="K38" s="112" vm="3560">
        <f>CUBEVALUE("BIDB",CUBEMEMBER("BIDB","[Betalingsstatus].[Betalende medlem]"),'Præsentationstabeller 1'!$C$2,$C38,CUBEMEMBER("BIDB",{"[Measures].[Fuldtidsledige]"}),J$3,$B38)</f>
        <v>5.3940540540540542</v>
      </c>
      <c r="L38" s="26">
        <f t="shared" si="3"/>
        <v>0.4392552161281803</v>
      </c>
      <c r="M38" s="25" vm="5308">
        <f>CUBEVALUE("BIDB",CUBEMEMBER("BIDB","[Betalingsstatus].[Betalende medlem]"),'Præsentationstabeller 1'!$C$2,$C38,CUBEMEMBER("BIDB",{"[Measures].[Ledighedsmulige]"}),M$3,$B38)</f>
        <v>759</v>
      </c>
      <c r="N38" s="112" vm="16737">
        <f>CUBEVALUE("BIDB",CUBEMEMBER("BIDB","[Betalingsstatus].[Betalende medlem]"),'Præsentationstabeller 1'!$C$2,$C38,CUBEMEMBER("BIDB",{"[Measures].[Fuldtidsledige]"}),M$3,$B38)</f>
        <v>14.584432432432433</v>
      </c>
      <c r="O38" s="26">
        <f t="shared" si="4"/>
        <v>1.9215325997934696</v>
      </c>
      <c r="P38" s="25" vm="7808">
        <f>CUBEVALUE("BIDB",CUBEMEMBER("BIDB","[Betalingsstatus].[Betalende medlem]"),'Præsentationstabeller 1'!$C$2,$C38,CUBEMEMBER("BIDB",{"[Measures].[Ledighedsmulige]"}),P$3,$B38)</f>
        <v>188</v>
      </c>
      <c r="Q38" s="112" vm="3150">
        <f>CUBEVALUE("BIDB",CUBEMEMBER("BIDB","[Betalingsstatus].[Betalende medlem]"),'Præsentationstabeller 1'!$C$2,$C38,CUBEMEMBER("BIDB",{"[Measures].[Fuldtidsledige]"}),P$3,$B38)</f>
        <v>3.3200000000000003</v>
      </c>
      <c r="R38" s="26">
        <f t="shared" si="5"/>
        <v>1.7659574468085106</v>
      </c>
    </row>
    <row r="39" spans="2:18" x14ac:dyDescent="0.3">
      <c r="B39" s="50" t="str" vm="19">
        <f t="shared" si="8"/>
        <v>Civilingeniører</v>
      </c>
      <c r="C39" s="50" t="str" vm="34">
        <f>CUBEMEMBER("BIDB",{"[Uddannelsesretning].[IDA Gruppe].&amp;[Teknisk ledelse]"})</f>
        <v>Teknisk ledelse</v>
      </c>
      <c r="D39" s="51" vm="3242">
        <f>CUBEVALUE("BIDB",CUBEMEMBER("BIDB","[Betalingsstatus].[Betalende medlem]"),'Præsentationstabeller 1'!$C$2,$C39,CUBEMEMBER("BIDB",{"[Measures].[Ledighedsmulige]"}),D$3,$B39)</f>
        <v>96</v>
      </c>
      <c r="E39" s="103" vm="3401">
        <f>CUBEVALUE("BIDB",CUBEMEMBER("BIDB","[Betalingsstatus].[Betalende medlem]"),'Præsentationstabeller 1'!$C$2,$C39,CUBEMEMBER("BIDB",{"[Measures].[Fuldtidsledige]"}),D$3,$B39)</f>
        <v>16.390270270270268</v>
      </c>
      <c r="F39" s="53">
        <f t="shared" si="1"/>
        <v>17.073198198198195</v>
      </c>
      <c r="G39" s="51" vm="16727">
        <f>CUBEVALUE("BIDB",CUBEMEMBER("BIDB","[Betalingsstatus].[Betalende medlem]"),'Præsentationstabeller 1'!$C$2,$C39,CUBEMEMBER("BIDB",{"[Measures].[Ledighedsmulige]"}),G$3,$B39)</f>
        <v>346</v>
      </c>
      <c r="H39" s="111" vm="2673">
        <f>CUBEVALUE("BIDB",CUBEMEMBER("BIDB","[Betalingsstatus].[Betalende medlem]"),'Præsentationstabeller 1'!$C$2,$C39,CUBEMEMBER("BIDB",{"[Measures].[Fuldtidsledige]"}),G$3,$B39)</f>
        <v>4</v>
      </c>
      <c r="I39" s="53">
        <f t="shared" si="2"/>
        <v>1.1560693641618496</v>
      </c>
      <c r="J39" s="51" vm="4173">
        <f>CUBEVALUE("BIDB",CUBEMEMBER("BIDB","[Betalingsstatus].[Betalende medlem]"),'Præsentationstabeller 1'!$C$2,$C39,CUBEMEMBER("BIDB",{"[Measures].[Ledighedsmulige]"}),J$3,$B39)</f>
        <v>242</v>
      </c>
      <c r="K39" s="111" vm="3187">
        <f>CUBEVALUE("BIDB",CUBEMEMBER("BIDB","[Betalingsstatus].[Betalende medlem]"),'Præsentationstabeller 1'!$C$2,$C39,CUBEMEMBER("BIDB",{"[Measures].[Fuldtidsledige]"}),J$3,$B39)</f>
        <v>1.56</v>
      </c>
      <c r="L39" s="53">
        <f t="shared" si="3"/>
        <v>0.64462809917355368</v>
      </c>
      <c r="M39" s="51" vm="16778">
        <f>CUBEVALUE("BIDB",CUBEMEMBER("BIDB","[Betalingsstatus].[Betalende medlem]"),'Præsentationstabeller 1'!$C$2,$C39,CUBEMEMBER("BIDB",{"[Measures].[Ledighedsmulige]"}),M$3,$B39)</f>
        <v>16</v>
      </c>
      <c r="N39" s="111" t="str" vm="17197">
        <f>CUBEVALUE("BIDB",CUBEMEMBER("BIDB","[Betalingsstatus].[Betalende medlem]"),'Præsentationstabeller 1'!$C$2,$C39,CUBEMEMBER("BIDB",{"[Measures].[Fuldtidsledige]"}),M$3,$B39)</f>
        <v/>
      </c>
      <c r="O39" s="53">
        <f t="shared" si="4"/>
        <v>0</v>
      </c>
      <c r="P39" s="51" vm="3901">
        <f>CUBEVALUE("BIDB",CUBEMEMBER("BIDB","[Betalingsstatus].[Betalende medlem]"),'Præsentationstabeller 1'!$C$2,$C39,CUBEMEMBER("BIDB",{"[Measures].[Ledighedsmulige]"}),P$3,$B39)</f>
        <v>17</v>
      </c>
      <c r="Q39" s="111" t="str" vm="3020">
        <f>CUBEVALUE("BIDB",CUBEMEMBER("BIDB","[Betalingsstatus].[Betalende medlem]"),'Præsentationstabeller 1'!$C$2,$C39,CUBEMEMBER("BIDB",{"[Measures].[Fuldtidsledige]"}),P$3,$B39)</f>
        <v/>
      </c>
      <c r="R39" s="53">
        <f t="shared" si="5"/>
        <v>0</v>
      </c>
    </row>
    <row r="40" spans="2:18" x14ac:dyDescent="0.3">
      <c r="B40" s="9" t="str" vm="19">
        <f t="shared" si="8"/>
        <v>Civilingeniører</v>
      </c>
      <c r="C40" s="9" t="str" vm="38">
        <f>CUBEMEMBER("BIDB",{"[Uddannelsesretning].[IDA Gruppe].&amp;[Nye retninger]"})</f>
        <v>Nye retninger</v>
      </c>
      <c r="D40" s="25" vm="2426">
        <f>CUBEVALUE("BIDB",CUBEMEMBER("BIDB","[Betalingsstatus].[Betalende medlem]"),'Præsentationstabeller 1'!$C$2,$C40,CUBEMEMBER("BIDB",{"[Measures].[Ledighedsmulige]"}),D$3,$B40)</f>
        <v>441</v>
      </c>
      <c r="E40" s="104" vm="3325">
        <f>CUBEVALUE("BIDB",CUBEMEMBER("BIDB","[Betalingsstatus].[Betalende medlem]"),'Præsentationstabeller 1'!$C$2,$C40,CUBEMEMBER("BIDB",{"[Measures].[Fuldtidsledige]"}),D$3,$B40)</f>
        <v>83.018864864864852</v>
      </c>
      <c r="F40" s="26">
        <f t="shared" si="1"/>
        <v>18.825139425139422</v>
      </c>
      <c r="G40" s="25" vm="3611">
        <f>CUBEVALUE("BIDB",CUBEMEMBER("BIDB","[Betalingsstatus].[Betalende medlem]"),'Præsentationstabeller 1'!$C$2,$C40,CUBEMEMBER("BIDB",{"[Measures].[Ledighedsmulige]"}),G$3,$B40)</f>
        <v>829</v>
      </c>
      <c r="H40" s="112" vm="2770">
        <f>CUBEVALUE("BIDB",CUBEMEMBER("BIDB","[Betalingsstatus].[Betalende medlem]"),'Præsentationstabeller 1'!$C$2,$C40,CUBEMEMBER("BIDB",{"[Measures].[Fuldtidsledige]"}),G$3,$B40)</f>
        <v>23.808648648648649</v>
      </c>
      <c r="I40" s="26">
        <f t="shared" si="2"/>
        <v>2.8719720927199819</v>
      </c>
      <c r="J40" s="25" vm="4670">
        <f>CUBEVALUE("BIDB",CUBEMEMBER("BIDB","[Betalingsstatus].[Betalende medlem]"),'Præsentationstabeller 1'!$C$2,$C40,CUBEMEMBER("BIDB",{"[Measures].[Ledighedsmulige]"}),J$3,$B40)</f>
        <v>57</v>
      </c>
      <c r="K40" s="112" vm="6736">
        <f>CUBEVALUE("BIDB",CUBEMEMBER("BIDB","[Betalingsstatus].[Betalende medlem]"),'Præsentationstabeller 1'!$C$2,$C40,CUBEMEMBER("BIDB",{"[Measures].[Fuldtidsledige]"}),J$3,$B40)</f>
        <v>0.6</v>
      </c>
      <c r="L40" s="26">
        <f t="shared" si="3"/>
        <v>1.0526315789473684</v>
      </c>
      <c r="M40" s="25" vm="15865">
        <f>CUBEVALUE("BIDB",CUBEMEMBER("BIDB","[Betalingsstatus].[Betalende medlem]"),'Præsentationstabeller 1'!$C$2,$C40,CUBEMEMBER("BIDB",{"[Measures].[Ledighedsmulige]"}),M$3,$B40)</f>
        <v>2</v>
      </c>
      <c r="N40" s="112" t="str" vm="17210">
        <f>CUBEVALUE("BIDB",CUBEMEMBER("BIDB","[Betalingsstatus].[Betalende medlem]"),'Præsentationstabeller 1'!$C$2,$C40,CUBEMEMBER("BIDB",{"[Measures].[Fuldtidsledige]"}),M$3,$B40)</f>
        <v/>
      </c>
      <c r="O40" s="26">
        <f t="shared" si="4"/>
        <v>0</v>
      </c>
      <c r="P40" s="25" t="str" vm="5561">
        <f>CUBEVALUE("BIDB",CUBEMEMBER("BIDB","[Betalingsstatus].[Betalende medlem]"),'Præsentationstabeller 1'!$C$2,$C40,CUBEMEMBER("BIDB",{"[Measures].[Ledighedsmulige]"}),P$3,$B40)</f>
        <v/>
      </c>
      <c r="Q40" s="112" t="str" vm="2792">
        <f>CUBEVALUE("BIDB",CUBEMEMBER("BIDB","[Betalingsstatus].[Betalende medlem]"),'Præsentationstabeller 1'!$C$2,$C40,CUBEMEMBER("BIDB",{"[Measures].[Fuldtidsledige]"}),P$3,$B40)</f>
        <v/>
      </c>
      <c r="R40" s="26">
        <f t="shared" si="5"/>
        <v>0</v>
      </c>
    </row>
    <row r="41" spans="2:18" x14ac:dyDescent="0.3">
      <c r="B41" s="55" t="str" vm="19">
        <f t="shared" si="8"/>
        <v>Civilingeniører</v>
      </c>
      <c r="C41" s="55" t="str" vm="33">
        <f>CUBEMEMBER("BIDB",{"[Uddannelsesretning].[IDA Gruppe].&amp;[Øvrige retninger/uoplyste]"})</f>
        <v>Øvrige retninger/uoplyste</v>
      </c>
      <c r="D41" s="56" vm="4714">
        <f>CUBEVALUE("BIDB",CUBEMEMBER("BIDB","[Betalingsstatus].[Betalende medlem]"),'Præsentationstabeller 1'!$C$2,$C41,CUBEMEMBER("BIDB",{"[Measures].[Ledighedsmulige]"}),D$3,$B41)</f>
        <v>2029</v>
      </c>
      <c r="E41" s="106" vm="3418">
        <f>CUBEVALUE("BIDB",CUBEMEMBER("BIDB","[Betalingsstatus].[Betalende medlem]"),'Præsentationstabeller 1'!$C$2,$C41,CUBEMEMBER("BIDB",{"[Measures].[Fuldtidsledige]"}),D$3,$B41)</f>
        <v>192.52481081081081</v>
      </c>
      <c r="F41" s="58">
        <f t="shared" si="1"/>
        <v>9.4886550424253731</v>
      </c>
      <c r="G41" s="56" vm="3261">
        <f>CUBEVALUE("BIDB",CUBEMEMBER("BIDB","[Betalingsstatus].[Betalende medlem]"),'Præsentationstabeller 1'!$C$2,$C41,CUBEMEMBER("BIDB",{"[Measures].[Ledighedsmulige]"}),G$3,$B41)</f>
        <v>2900</v>
      </c>
      <c r="H41" s="114" vm="3678">
        <f>CUBEVALUE("BIDB",CUBEMEMBER("BIDB","[Betalingsstatus].[Betalende medlem]"),'Præsentationstabeller 1'!$C$2,$C41,CUBEMEMBER("BIDB",{"[Measures].[Fuldtidsledige]"}),G$3,$B41)</f>
        <v>73.431891891891894</v>
      </c>
      <c r="I41" s="58">
        <f t="shared" si="2"/>
        <v>2.532134203168686</v>
      </c>
      <c r="J41" s="56" vm="2764">
        <f>CUBEVALUE("BIDB",CUBEMEMBER("BIDB","[Betalingsstatus].[Betalende medlem]"),'Præsentationstabeller 1'!$C$2,$C41,CUBEMEMBER("BIDB",{"[Measures].[Ledighedsmulige]"}),J$3,$B41)</f>
        <v>1112</v>
      </c>
      <c r="K41" s="114" vm="4967">
        <f>CUBEVALUE("BIDB",CUBEMEMBER("BIDB","[Betalingsstatus].[Betalende medlem]"),'Præsentationstabeller 1'!$C$2,$C41,CUBEMEMBER("BIDB",{"[Measures].[Fuldtidsledige]"}),J$3,$B41)</f>
        <v>15.38054054054054</v>
      </c>
      <c r="L41" s="58">
        <f t="shared" si="3"/>
        <v>1.383142134940696</v>
      </c>
      <c r="M41" s="56" vm="4283">
        <f>CUBEVALUE("BIDB",CUBEMEMBER("BIDB","[Betalingsstatus].[Betalende medlem]"),'Præsentationstabeller 1'!$C$2,$C41,CUBEMEMBER("BIDB",{"[Measures].[Ledighedsmulige]"}),M$3,$B41)</f>
        <v>1276</v>
      </c>
      <c r="N41" s="114" vm="3565">
        <f>CUBEVALUE("BIDB",CUBEMEMBER("BIDB","[Betalingsstatus].[Betalende medlem]"),'Præsentationstabeller 1'!$C$2,$C41,CUBEMEMBER("BIDB",{"[Measures].[Fuldtidsledige]"}),M$3,$B41)</f>
        <v>19.58864864864865</v>
      </c>
      <c r="O41" s="58">
        <f t="shared" si="4"/>
        <v>1.5351605524019318</v>
      </c>
      <c r="P41" s="56" vm="2661">
        <f>CUBEVALUE("BIDB",CUBEMEMBER("BIDB","[Betalingsstatus].[Betalende medlem]"),'Præsentationstabeller 1'!$C$2,$C41,CUBEMEMBER("BIDB",{"[Measures].[Ledighedsmulige]"}),P$3,$B41)</f>
        <v>191</v>
      </c>
      <c r="Q41" s="114" vm="4229">
        <f>CUBEVALUE("BIDB",CUBEMEMBER("BIDB","[Betalingsstatus].[Betalende medlem]"),'Præsentationstabeller 1'!$C$2,$C41,CUBEMEMBER("BIDB",{"[Measures].[Fuldtidsledige]"}),P$3,$B41)</f>
        <v>2.5054054054054054</v>
      </c>
      <c r="R41" s="58">
        <f t="shared" si="5"/>
        <v>1.3117305787462854</v>
      </c>
    </row>
    <row r="42" spans="2:18" x14ac:dyDescent="0.3">
      <c r="B42" s="14" t="str" vm="3">
        <f>CUBEMEMBER("BIDB","[Uddannelse].[IDA Gruppe].&amp;[Cand.scient]")</f>
        <v>Cand.scient</v>
      </c>
      <c r="C42" s="14" t="str" vm="43">
        <f>CUBEMEMBER("BIDB",{"[Uddannelsesretning].[IDA Gruppe Cand Scient].&amp;[Data og IT]"})</f>
        <v>Data og IT</v>
      </c>
      <c r="D42" s="23" vm="5229">
        <f>CUBEVALUE("BIDB",CUBEMEMBER("BIDB","[Betalingsstatus].[Betalende medlem]"),'Præsentationstabeller 1'!$C$2,$C42,CUBEMEMBER("BIDB",{"[Measures].[Ledighedsmulige]"}),D$3,$B42)</f>
        <v>44</v>
      </c>
      <c r="E42" s="102" vm="16726">
        <f>CUBEVALUE("BIDB",CUBEMEMBER("BIDB","[Betalingsstatus].[Betalende medlem]"),'Præsentationstabeller 1'!$C$2,$C42,CUBEMEMBER("BIDB",{"[Measures].[Fuldtidsledige]"}),D$3,$B42)</f>
        <v>3.3600000000000003</v>
      </c>
      <c r="F42" s="24">
        <f t="shared" si="1"/>
        <v>7.6363636363636367</v>
      </c>
      <c r="G42" s="23" vm="5737">
        <f>CUBEVALUE("BIDB",CUBEMEMBER("BIDB","[Betalingsstatus].[Betalende medlem]"),'Præsentationstabeller 1'!$C$2,$C42,CUBEMEMBER("BIDB",{"[Measures].[Ledighedsmulige]"}),G$3,$B42)</f>
        <v>240</v>
      </c>
      <c r="H42" s="110" vm="4435">
        <f>CUBEVALUE("BIDB",CUBEMEMBER("BIDB","[Betalingsstatus].[Betalende medlem]"),'Præsentationstabeller 1'!$C$2,$C42,CUBEMEMBER("BIDB",{"[Measures].[Fuldtidsledige]"}),G$3,$B42)</f>
        <v>1.72</v>
      </c>
      <c r="I42" s="24">
        <f t="shared" si="2"/>
        <v>0.71666666666666667</v>
      </c>
      <c r="J42" s="23" vm="2958">
        <f>CUBEVALUE("BIDB",CUBEMEMBER("BIDB","[Betalingsstatus].[Betalende medlem]"),'Præsentationstabeller 1'!$C$2,$C42,CUBEMEMBER("BIDB",{"[Measures].[Ledighedsmulige]"}),J$3,$B42)</f>
        <v>153</v>
      </c>
      <c r="K42" s="110" vm="3931">
        <f>CUBEVALUE("BIDB",CUBEMEMBER("BIDB","[Betalingsstatus].[Betalende medlem]"),'Præsentationstabeller 1'!$C$2,$C42,CUBEMEMBER("BIDB",{"[Measures].[Fuldtidsledige]"}),J$3,$B42)</f>
        <v>0.29383783783783785</v>
      </c>
      <c r="L42" s="24">
        <f t="shared" si="3"/>
        <v>0.19205087440381557</v>
      </c>
      <c r="M42" s="23" vm="5131">
        <f>CUBEVALUE("BIDB",CUBEMEMBER("BIDB","[Betalingsstatus].[Betalende medlem]"),'Præsentationstabeller 1'!$C$2,$C42,CUBEMEMBER("BIDB",{"[Measures].[Ledighedsmulige]"}),M$3,$B42)</f>
        <v>53</v>
      </c>
      <c r="N42" s="110" vm="17211">
        <f>CUBEVALUE("BIDB",CUBEMEMBER("BIDB","[Betalingsstatus].[Betalende medlem]"),'Præsentationstabeller 1'!$C$2,$C42,CUBEMEMBER("BIDB",{"[Measures].[Fuldtidsledige]"}),M$3,$B42)</f>
        <v>1.52</v>
      </c>
      <c r="O42" s="24">
        <f t="shared" si="4"/>
        <v>2.8679245283018866</v>
      </c>
      <c r="P42" s="23" vm="4292">
        <f>CUBEVALUE("BIDB",CUBEMEMBER("BIDB","[Betalingsstatus].[Betalende medlem]"),'Præsentationstabeller 1'!$C$2,$C42,CUBEMEMBER("BIDB",{"[Measures].[Ledighedsmulige]"}),P$3,$B42)</f>
        <v>3</v>
      </c>
      <c r="Q42" s="110" t="str" vm="3563">
        <f>CUBEVALUE("BIDB",CUBEMEMBER("BIDB","[Betalingsstatus].[Betalende medlem]"),'Præsentationstabeller 1'!$C$2,$C42,CUBEMEMBER("BIDB",{"[Measures].[Fuldtidsledige]"}),P$3,$B42)</f>
        <v/>
      </c>
      <c r="R42" s="24">
        <f t="shared" si="5"/>
        <v>0</v>
      </c>
    </row>
    <row r="43" spans="2:18" x14ac:dyDescent="0.3">
      <c r="B43" s="50" t="str" vm="3">
        <f>CUBEMEMBER("BIDB","[Uddannelse].[IDA Gruppe].&amp;[Cand.scient]")</f>
        <v>Cand.scient</v>
      </c>
      <c r="C43" s="50" t="str" vm="32">
        <f>CUBEMEMBER("BIDB",{"[Uddannelsesretning].[IDA Gruppe Cand Scient].&amp;[Matematik-Fysik-Kemi]"})</f>
        <v>Matematik-Fysik-Kemi</v>
      </c>
      <c r="D43" s="51" vm="2679">
        <f>CUBEVALUE("BIDB",CUBEMEMBER("BIDB","[Betalingsstatus].[Betalende medlem]"),'Præsentationstabeller 1'!$C$2,$C43,CUBEMEMBER("BIDB",{"[Measures].[Ledighedsmulige]"}),D$3,$B43)</f>
        <v>301</v>
      </c>
      <c r="E43" s="103" vm="4969">
        <f>CUBEVALUE("BIDB",CUBEMEMBER("BIDB","[Betalingsstatus].[Betalende medlem]"),'Præsentationstabeller 1'!$C$2,$C43,CUBEMEMBER("BIDB",{"[Measures].[Fuldtidsledige]"}),D$3,$B43)</f>
        <v>36.078378378378375</v>
      </c>
      <c r="F43" s="53">
        <f t="shared" si="1"/>
        <v>11.986172218730356</v>
      </c>
      <c r="G43" s="51" vm="2501">
        <f>CUBEVALUE("BIDB",CUBEMEMBER("BIDB","[Betalingsstatus].[Betalende medlem]"),'Præsentationstabeller 1'!$C$2,$C43,CUBEMEMBER("BIDB",{"[Measures].[Ledighedsmulige]"}),G$3,$B43)</f>
        <v>389</v>
      </c>
      <c r="H43" s="111" vm="3308">
        <f>CUBEVALUE("BIDB",CUBEMEMBER("BIDB","[Betalingsstatus].[Betalende medlem]"),'Præsentationstabeller 1'!$C$2,$C43,CUBEMEMBER("BIDB",{"[Measures].[Fuldtidsledige]"}),G$3,$B43)</f>
        <v>16</v>
      </c>
      <c r="I43" s="53">
        <f t="shared" si="2"/>
        <v>4.1131105398457581</v>
      </c>
      <c r="J43" s="51" vm="3120">
        <f>CUBEVALUE("BIDB",CUBEMEMBER("BIDB","[Betalingsstatus].[Betalende medlem]"),'Præsentationstabeller 1'!$C$2,$C43,CUBEMEMBER("BIDB",{"[Measures].[Ledighedsmulige]"}),J$3,$B43)</f>
        <v>113</v>
      </c>
      <c r="K43" s="111" vm="7129">
        <f>CUBEVALUE("BIDB",CUBEMEMBER("BIDB","[Betalingsstatus].[Betalende medlem]"),'Præsentationstabeller 1'!$C$2,$C43,CUBEMEMBER("BIDB",{"[Measures].[Fuldtidsledige]"}),J$3,$B43)</f>
        <v>2.4</v>
      </c>
      <c r="L43" s="53">
        <f t="shared" si="3"/>
        <v>2.1238938053097343</v>
      </c>
      <c r="M43" s="51" vm="16736">
        <f>CUBEVALUE("BIDB",CUBEMEMBER("BIDB","[Betalingsstatus].[Betalende medlem]"),'Præsentationstabeller 1'!$C$2,$C43,CUBEMEMBER("BIDB",{"[Measures].[Ledighedsmulige]"}),M$3,$B43)</f>
        <v>27</v>
      </c>
      <c r="N43" s="111" vm="16779">
        <f>CUBEVALUE("BIDB",CUBEMEMBER("BIDB","[Betalingsstatus].[Betalende medlem]"),'Præsentationstabeller 1'!$C$2,$C43,CUBEMEMBER("BIDB",{"[Measures].[Fuldtidsledige]"}),M$3,$B43)</f>
        <v>1.6</v>
      </c>
      <c r="O43" s="53">
        <f t="shared" si="4"/>
        <v>5.9259259259259265</v>
      </c>
      <c r="P43" s="51" vm="5182">
        <f>CUBEVALUE("BIDB",CUBEMEMBER("BIDB","[Betalingsstatus].[Betalende medlem]"),'Præsentationstabeller 1'!$C$2,$C43,CUBEMEMBER("BIDB",{"[Measures].[Ledighedsmulige]"}),P$3,$B43)</f>
        <v>8</v>
      </c>
      <c r="Q43" s="111" t="str" vm="3656">
        <f>CUBEVALUE("BIDB",CUBEMEMBER("BIDB","[Betalingsstatus].[Betalende medlem]"),'Præsentationstabeller 1'!$C$2,$C43,CUBEMEMBER("BIDB",{"[Measures].[Fuldtidsledige]"}),P$3,$B43)</f>
        <v/>
      </c>
      <c r="R43" s="53">
        <f t="shared" si="5"/>
        <v>0</v>
      </c>
    </row>
    <row r="44" spans="2:18" x14ac:dyDescent="0.3">
      <c r="B44" s="9" t="str" vm="3">
        <f>CUBEMEMBER("BIDB","[Uddannelse].[IDA Gruppe].&amp;[Cand.scient]")</f>
        <v>Cand.scient</v>
      </c>
      <c r="C44" s="9" t="str" vm="44">
        <f>CUBEMEMBER("BIDB",{"[Uddannelsesretning].[IDA Gruppe Cand Scient].&amp;[Geo-bio]"})</f>
        <v>Geo-bio</v>
      </c>
      <c r="D44" s="25" vm="3085">
        <f>CUBEVALUE("BIDB",CUBEMEMBER("BIDB","[Betalingsstatus].[Betalende medlem]"),'Præsentationstabeller 1'!$C$2,$C44,CUBEMEMBER("BIDB",{"[Measures].[Ledighedsmulige]"}),D$3,$B44)</f>
        <v>291</v>
      </c>
      <c r="E44" s="104" vm="5452">
        <f>CUBEVALUE("BIDB",CUBEMEMBER("BIDB","[Betalingsstatus].[Betalende medlem]"),'Præsentationstabeller 1'!$C$2,$C44,CUBEMEMBER("BIDB",{"[Measures].[Fuldtidsledige]"}),D$3,$B44)</f>
        <v>88.93162162162163</v>
      </c>
      <c r="F44" s="26">
        <f t="shared" si="1"/>
        <v>30.560694715333891</v>
      </c>
      <c r="G44" s="25" vm="3807">
        <f>CUBEVALUE("BIDB",CUBEMEMBER("BIDB","[Betalingsstatus].[Betalende medlem]"),'Præsentationstabeller 1'!$C$2,$C44,CUBEMEMBER("BIDB",{"[Measures].[Ledighedsmulige]"}),G$3,$B44)</f>
        <v>397</v>
      </c>
      <c r="H44" s="112" vm="4053">
        <f>CUBEVALUE("BIDB",CUBEMEMBER("BIDB","[Betalingsstatus].[Betalende medlem]"),'Præsentationstabeller 1'!$C$2,$C44,CUBEMEMBER("BIDB",{"[Measures].[Fuldtidsledige]"}),G$3,$B44)</f>
        <v>42.673135135135141</v>
      </c>
      <c r="I44" s="26">
        <f t="shared" si="2"/>
        <v>10.748900537817416</v>
      </c>
      <c r="J44" s="25" vm="3018">
        <f>CUBEVALUE("BIDB",CUBEMEMBER("BIDB","[Betalingsstatus].[Betalende medlem]"),'Præsentationstabeller 1'!$C$2,$C44,CUBEMEMBER("BIDB",{"[Measures].[Ledighedsmulige]"}),J$3,$B44)</f>
        <v>126</v>
      </c>
      <c r="K44" s="112" vm="2812">
        <f>CUBEVALUE("BIDB",CUBEMEMBER("BIDB","[Betalingsstatus].[Betalende medlem]"),'Præsentationstabeller 1'!$C$2,$C44,CUBEMEMBER("BIDB",{"[Measures].[Fuldtidsledige]"}),J$3,$B44)</f>
        <v>3.9200000000000004</v>
      </c>
      <c r="L44" s="26">
        <f t="shared" si="3"/>
        <v>3.1111111111111112</v>
      </c>
      <c r="M44" s="25" vm="16739">
        <f>CUBEVALUE("BIDB",CUBEMEMBER("BIDB","[Betalingsstatus].[Betalende medlem]"),'Præsentationstabeller 1'!$C$2,$C44,CUBEMEMBER("BIDB",{"[Measures].[Ledighedsmulige]"}),M$3,$B44)</f>
        <v>33</v>
      </c>
      <c r="N44" s="112" t="str" vm="5192">
        <f>CUBEVALUE("BIDB",CUBEMEMBER("BIDB","[Betalingsstatus].[Betalende medlem]"),'Præsentationstabeller 1'!$C$2,$C44,CUBEMEMBER("BIDB",{"[Measures].[Fuldtidsledige]"}),M$3,$B44)</f>
        <v/>
      </c>
      <c r="O44" s="26">
        <f t="shared" si="4"/>
        <v>0</v>
      </c>
      <c r="P44" s="25" vm="3610">
        <f>CUBEVALUE("BIDB",CUBEMEMBER("BIDB","[Betalingsstatus].[Betalende medlem]"),'Præsentationstabeller 1'!$C$2,$C44,CUBEMEMBER("BIDB",{"[Measures].[Ledighedsmulige]"}),P$3,$B44)</f>
        <v>8</v>
      </c>
      <c r="Q44" s="112" t="str" vm="2368">
        <f>CUBEVALUE("BIDB",CUBEMEMBER("BIDB","[Betalingsstatus].[Betalende medlem]"),'Præsentationstabeller 1'!$C$2,$C44,CUBEMEMBER("BIDB",{"[Measures].[Fuldtidsledige]"}),P$3,$B44)</f>
        <v/>
      </c>
      <c r="R44" s="26">
        <f t="shared" si="5"/>
        <v>0</v>
      </c>
    </row>
    <row r="45" spans="2:18" x14ac:dyDescent="0.3">
      <c r="B45" s="50" t="str" vm="3">
        <f>CUBEMEMBER("BIDB","[Uddannelse].[IDA Gruppe].&amp;[Cand.scient]")</f>
        <v>Cand.scient</v>
      </c>
      <c r="C45" s="50" t="str" vm="31">
        <f>CUBEMEMBER("BIDB",{"[Uddannelsesretning].[IDA Gruppe Cand Scient].&amp;[Medicin mv.]"})</f>
        <v>Medicin mv.</v>
      </c>
      <c r="D45" s="51" vm="3195">
        <f>CUBEVALUE("BIDB",CUBEMEMBER("BIDB","[Betalingsstatus].[Betalende medlem]"),'Præsentationstabeller 1'!$C$2,$C45,CUBEMEMBER("BIDB",{"[Measures].[Ledighedsmulige]"}),D$3,$B45)</f>
        <v>36</v>
      </c>
      <c r="E45" s="103" vm="4693">
        <f>CUBEVALUE("BIDB",CUBEMEMBER("BIDB","[Betalingsstatus].[Betalende medlem]"),'Præsentationstabeller 1'!$C$2,$C45,CUBEMEMBER("BIDB",{"[Measures].[Fuldtidsledige]"}),D$3,$B45)</f>
        <v>7.32</v>
      </c>
      <c r="F45" s="53">
        <f t="shared" si="1"/>
        <v>20.333333333333332</v>
      </c>
      <c r="G45" s="51" vm="3900">
        <f>CUBEVALUE("BIDB",CUBEMEMBER("BIDB","[Betalingsstatus].[Betalende medlem]"),'Præsentationstabeller 1'!$C$2,$C45,CUBEMEMBER("BIDB",{"[Measures].[Ledighedsmulige]"}),G$3,$B45)</f>
        <v>46</v>
      </c>
      <c r="H45" s="111" vm="3950">
        <f>CUBEVALUE("BIDB",CUBEMEMBER("BIDB","[Betalingsstatus].[Betalende medlem]"),'Præsentationstabeller 1'!$C$2,$C45,CUBEMEMBER("BIDB",{"[Measures].[Fuldtidsledige]"}),G$3,$B45)</f>
        <v>3.8</v>
      </c>
      <c r="I45" s="53">
        <f t="shared" si="2"/>
        <v>8.2608695652173907</v>
      </c>
      <c r="J45" s="51" vm="2634">
        <f>CUBEVALUE("BIDB",CUBEMEMBER("BIDB","[Betalingsstatus].[Betalende medlem]"),'Præsentationstabeller 1'!$C$2,$C45,CUBEMEMBER("BIDB",{"[Measures].[Ledighedsmulige]"}),J$3,$B45)</f>
        <v>6</v>
      </c>
      <c r="K45" s="111" t="str" vm="2609">
        <f>CUBEVALUE("BIDB",CUBEMEMBER("BIDB","[Betalingsstatus].[Betalende medlem]"),'Præsentationstabeller 1'!$C$2,$C45,CUBEMEMBER("BIDB",{"[Measures].[Fuldtidsledige]"}),J$3,$B45)</f>
        <v/>
      </c>
      <c r="L45" s="53">
        <f t="shared" si="3"/>
        <v>0</v>
      </c>
      <c r="M45" s="51" vm="16772">
        <f>CUBEVALUE("BIDB",CUBEMEMBER("BIDB","[Betalingsstatus].[Betalende medlem]"),'Præsentationstabeller 1'!$C$2,$C45,CUBEMEMBER("BIDB",{"[Measures].[Ledighedsmulige]"}),M$3,$B45)</f>
        <v>1</v>
      </c>
      <c r="N45" s="111" vm="16792">
        <f>CUBEVALUE("BIDB",CUBEMEMBER("BIDB","[Betalingsstatus].[Betalende medlem]"),'Præsentationstabeller 1'!$C$2,$C45,CUBEMEMBER("BIDB",{"[Measures].[Fuldtidsledige]"}),M$3,$B45)</f>
        <v>0.8</v>
      </c>
      <c r="O45" s="53">
        <f t="shared" si="4"/>
        <v>80</v>
      </c>
      <c r="P45" s="51" t="str" vm="4712">
        <f>CUBEVALUE("BIDB",CUBEMEMBER("BIDB","[Betalingsstatus].[Betalende medlem]"),'Præsentationstabeller 1'!$C$2,$C45,CUBEMEMBER("BIDB",{"[Measures].[Ledighedsmulige]"}),P$3,$B45)</f>
        <v/>
      </c>
      <c r="Q45" s="111" t="str" vm="3118">
        <f>CUBEVALUE("BIDB",CUBEMEMBER("BIDB","[Betalingsstatus].[Betalende medlem]"),'Præsentationstabeller 1'!$C$2,$C45,CUBEMEMBER("BIDB",{"[Measures].[Fuldtidsledige]"}),P$3,$B45)</f>
        <v/>
      </c>
      <c r="R45" s="53">
        <f t="shared" si="5"/>
        <v>0</v>
      </c>
    </row>
    <row r="46" spans="2:18" x14ac:dyDescent="0.3">
      <c r="B46" s="10" t="str" vm="3">
        <f>CUBEMEMBER("BIDB","[Uddannelse].[IDA Gruppe].&amp;[Cand.scient]")</f>
        <v>Cand.scient</v>
      </c>
      <c r="C46" s="10" t="str" vm="42">
        <f>CUBEMEMBER("BIDB",{"[Uddannelsesretning].[IDA Gruppe Cand Scient].&amp;[Øvrige retninger/uoplyste]"})</f>
        <v>Øvrige retninger/uoplyste</v>
      </c>
      <c r="D46" s="41" vm="2806">
        <f>CUBEVALUE("BIDB",CUBEMEMBER("BIDB","[Betalingsstatus].[Betalende medlem]"),'Præsentationstabeller 1'!$C$2,$C46,CUBEMEMBER("BIDB",{"[Measures].[Ledighedsmulige]"}),D$3,$B46)</f>
        <v>2117</v>
      </c>
      <c r="E46" s="105" vm="5204">
        <f>CUBEVALUE("BIDB",CUBEMEMBER("BIDB","[Betalingsstatus].[Betalende medlem]"),'Præsentationstabeller 1'!$C$2,$C46,CUBEMEMBER("BIDB",{"[Measures].[Fuldtidsledige]"}),D$3,$B46)</f>
        <v>416.52394594594591</v>
      </c>
      <c r="F46" s="43">
        <f t="shared" si="1"/>
        <v>19.67519820245375</v>
      </c>
      <c r="G46" s="41" vm="4800">
        <f>CUBEVALUE("BIDB",CUBEMEMBER("BIDB","[Betalingsstatus].[Betalende medlem]"),'Præsentationstabeller 1'!$C$2,$C46,CUBEMEMBER("BIDB",{"[Measures].[Ledighedsmulige]"}),G$3,$B46)</f>
        <v>1988</v>
      </c>
      <c r="H46" s="113" vm="2782">
        <f>CUBEVALUE("BIDB",CUBEMEMBER("BIDB","[Betalingsstatus].[Betalende medlem]"),'Præsentationstabeller 1'!$C$2,$C46,CUBEMEMBER("BIDB",{"[Measures].[Fuldtidsledige]"}),G$3,$B46)</f>
        <v>145.31291891891897</v>
      </c>
      <c r="I46" s="43">
        <f t="shared" si="2"/>
        <v>7.3095029637283178</v>
      </c>
      <c r="J46" s="41" vm="2937">
        <f>CUBEVALUE("BIDB",CUBEMEMBER("BIDB","[Betalingsstatus].[Betalende medlem]"),'Præsentationstabeller 1'!$C$2,$C46,CUBEMEMBER("BIDB",{"[Measures].[Ledighedsmulige]"}),J$3,$B46)</f>
        <v>329</v>
      </c>
      <c r="K46" s="113" vm="3172">
        <f>CUBEVALUE("BIDB",CUBEMEMBER("BIDB","[Betalingsstatus].[Betalende medlem]"),'Præsentationstabeller 1'!$C$2,$C46,CUBEMEMBER("BIDB",{"[Measures].[Fuldtidsledige]"}),J$3,$B46)</f>
        <v>13.312324324324322</v>
      </c>
      <c r="L46" s="43">
        <f t="shared" si="3"/>
        <v>4.0462991867247178</v>
      </c>
      <c r="M46" s="41" vm="15864">
        <f>CUBEVALUE("BIDB",CUBEMEMBER("BIDB","[Betalingsstatus].[Betalende medlem]"),'Præsentationstabeller 1'!$C$2,$C46,CUBEMEMBER("BIDB",{"[Measures].[Ledighedsmulige]"}),M$3,$B46)</f>
        <v>62</v>
      </c>
      <c r="N46" s="113" vm="3448">
        <f>CUBEVALUE("BIDB",CUBEMEMBER("BIDB","[Betalingsstatus].[Betalende medlem]"),'Præsentationstabeller 1'!$C$2,$C46,CUBEMEMBER("BIDB",{"[Measures].[Fuldtidsledige]"}),M$3,$B46)</f>
        <v>5.2169729729729735</v>
      </c>
      <c r="O46" s="43">
        <f t="shared" si="4"/>
        <v>8.4144725370531823</v>
      </c>
      <c r="P46" s="41" vm="3435">
        <f>CUBEVALUE("BIDB",CUBEMEMBER("BIDB","[Betalingsstatus].[Betalende medlem]"),'Præsentationstabeller 1'!$C$2,$C46,CUBEMEMBER("BIDB",{"[Measures].[Ledighedsmulige]"}),P$3,$B46)</f>
        <v>12</v>
      </c>
      <c r="Q46" s="113" vm="4441">
        <f>CUBEVALUE("BIDB",CUBEMEMBER("BIDB","[Betalingsstatus].[Betalende medlem]"),'Præsentationstabeller 1'!$C$2,$C46,CUBEMEMBER("BIDB",{"[Measures].[Fuldtidsledige]"}),P$3,$B46)</f>
        <v>0.8</v>
      </c>
      <c r="R46" s="43">
        <f t="shared" si="5"/>
        <v>6.666666666666667</v>
      </c>
    </row>
    <row r="47" spans="2:18" x14ac:dyDescent="0.3">
      <c r="B47" s="50" t="str" vm="9">
        <f>CUBEMEMBER("BIDB","[Uddannelse].[IDA Gruppe].&amp;[Cand.it]")</f>
        <v>Cand.it</v>
      </c>
      <c r="C47" s="50"/>
      <c r="D47" s="51" vm="4187">
        <f>CUBEVALUE("BIDB",CUBEMEMBER("BIDB","[Betalingsstatus].[Betalende medlem]"),'Præsentationstabeller 1'!$C$2,$B47,CUBEMEMBER("BIDB",{"[Measures].[Ledighedsmulige]"}),D$3)</f>
        <v>283</v>
      </c>
      <c r="E47" s="103" vm="3457">
        <f>CUBEVALUE("BIDB",CUBEMEMBER("BIDB","[Betalingsstatus].[Betalende medlem]"),'Præsentationstabeller 1'!$C$2,$B47,CUBEMEMBER("BIDB",{"[Measures].[Fuldtidsledige]"}),D$3)</f>
        <v>41.801351351351357</v>
      </c>
      <c r="F47" s="53">
        <f t="shared" si="1"/>
        <v>14.770795530512848</v>
      </c>
      <c r="G47" s="51" vm="3358">
        <f>CUBEVALUE("BIDB",CUBEMEMBER("BIDB","[Betalingsstatus].[Betalende medlem]"),'Præsentationstabeller 1'!$C$2,$B47,CUBEMEMBER("BIDB",{"[Measures].[Ledighedsmulige]"}),G$3)</f>
        <v>850</v>
      </c>
      <c r="H47" s="111" vm="3196">
        <f>CUBEVALUE("BIDB",CUBEMEMBER("BIDB","[Betalingsstatus].[Betalende medlem]"),'Præsentationstabeller 1'!$C$2,$B47,CUBEMEMBER("BIDB",{"[Measures].[Fuldtidsledige]"}),G$3)</f>
        <v>34.368648648648644</v>
      </c>
      <c r="I47" s="53">
        <f t="shared" si="2"/>
        <v>4.0433704292527812</v>
      </c>
      <c r="J47" s="51" vm="8875">
        <f>CUBEVALUE("BIDB",CUBEMEMBER("BIDB","[Betalingsstatus].[Betalende medlem]"),'Præsentationstabeller 1'!$C$2,$B47,CUBEMEMBER("BIDB",{"[Measures].[Ledighedsmulige]"}),J$3)</f>
        <v>428</v>
      </c>
      <c r="K47" s="111" vm="3819">
        <f>CUBEVALUE("BIDB",CUBEMEMBER("BIDB","[Betalingsstatus].[Betalende medlem]"),'Præsentationstabeller 1'!$C$2,$B47,CUBEMEMBER("BIDB",{"[Measures].[Fuldtidsledige]"}),J$3)</f>
        <v>9.9529729729729741</v>
      </c>
      <c r="L47" s="53">
        <f t="shared" si="3"/>
        <v>2.3254609749936854</v>
      </c>
      <c r="M47" s="51" vm="5050">
        <f>CUBEVALUE("BIDB",CUBEMEMBER("BIDB","[Betalingsstatus].[Betalende medlem]"),'Præsentationstabeller 1'!$C$2,$B47,CUBEMEMBER("BIDB",{"[Measures].[Ledighedsmulige]"}),M$3)</f>
        <v>51</v>
      </c>
      <c r="N47" s="111" vm="16786">
        <f>CUBEVALUE("BIDB",CUBEMEMBER("BIDB","[Betalingsstatus].[Betalende medlem]"),'Præsentationstabeller 1'!$C$2,$B47,CUBEMEMBER("BIDB",{"[Measures].[Fuldtidsledige]"}),M$3)</f>
        <v>2.7600000000000002</v>
      </c>
      <c r="O47" s="53">
        <f t="shared" si="4"/>
        <v>5.4117647058823533</v>
      </c>
      <c r="P47" s="51" vm="4672">
        <f>CUBEVALUE("BIDB",CUBEMEMBER("BIDB","[Betalingsstatus].[Betalende medlem]"),'Præsentationstabeller 1'!$C$2,$B47,CUBEMEMBER("BIDB",{"[Measures].[Ledighedsmulige]"}),P$3)</f>
        <v>6</v>
      </c>
      <c r="Q47" s="111" vm="4931">
        <f>CUBEVALUE("BIDB",CUBEMEMBER("BIDB","[Betalingsstatus].[Betalende medlem]"),'Præsentationstabeller 1'!$C$2,$B47,CUBEMEMBER("BIDB",{"[Measures].[Fuldtidsledige]"}),P$3)</f>
        <v>1.92</v>
      </c>
      <c r="R47" s="53">
        <f t="shared" si="5"/>
        <v>32</v>
      </c>
    </row>
    <row r="48" spans="2:18" x14ac:dyDescent="0.3">
      <c r="B48" s="9" t="str" vm="12">
        <f>CUBEMEMBER("BIDB","[Uddannelse].[IDA Gruppe].&amp;[Phd]")</f>
        <v>Phd</v>
      </c>
      <c r="C48" s="9"/>
      <c r="D48" s="25" vm="3341">
        <f>CUBEVALUE("BIDB",CUBEMEMBER("BIDB","[Betalingsstatus].[Betalende medlem]"),'Præsentationstabeller 1'!$C$2,$B48,CUBEMEMBER("BIDB",{"[Measures].[Ledighedsmulige]"}),D$3)</f>
        <v>89</v>
      </c>
      <c r="E48" s="104" vm="5434">
        <f>CUBEVALUE("BIDB",CUBEMEMBER("BIDB","[Betalingsstatus].[Betalende medlem]"),'Præsentationstabeller 1'!$C$2,$B48,CUBEMEMBER("BIDB",{"[Measures].[Fuldtidsledige]"}),D$3)</f>
        <v>3.3599999999999994</v>
      </c>
      <c r="F48" s="26">
        <f t="shared" si="1"/>
        <v>3.7752808988764039</v>
      </c>
      <c r="G48" s="25" vm="3567">
        <f>CUBEVALUE("BIDB",CUBEMEMBER("BIDB","[Betalingsstatus].[Betalende medlem]"),'Præsentationstabeller 1'!$C$2,$B48,CUBEMEMBER("BIDB",{"[Measures].[Ledighedsmulige]"}),G$3)</f>
        <v>452</v>
      </c>
      <c r="H48" s="112" vm="3696">
        <f>CUBEVALUE("BIDB",CUBEMEMBER("BIDB","[Betalingsstatus].[Betalende medlem]"),'Præsentationstabeller 1'!$C$2,$B48,CUBEMEMBER("BIDB",{"[Measures].[Fuldtidsledige]"}),G$3)</f>
        <v>17.147027027027026</v>
      </c>
      <c r="I48" s="26">
        <f t="shared" si="2"/>
        <v>3.7935900502272184</v>
      </c>
      <c r="J48" s="25" vm="3929">
        <f>CUBEVALUE("BIDB",CUBEMEMBER("BIDB","[Betalingsstatus].[Betalende medlem]"),'Præsentationstabeller 1'!$C$2,$B48,CUBEMEMBER("BIDB",{"[Measures].[Ledighedsmulige]"}),J$3)</f>
        <v>130</v>
      </c>
      <c r="K48" s="112" vm="5565">
        <f>CUBEVALUE("BIDB",CUBEMEMBER("BIDB","[Betalingsstatus].[Betalende medlem]"),'Præsentationstabeller 1'!$C$2,$B48,CUBEMEMBER("BIDB",{"[Measures].[Fuldtidsledige]"}),J$3)</f>
        <v>4.2464864864864866</v>
      </c>
      <c r="L48" s="26">
        <f t="shared" si="3"/>
        <v>3.2665280665280667</v>
      </c>
      <c r="M48" s="25" vm="16744">
        <f>CUBEVALUE("BIDB",CUBEMEMBER("BIDB","[Betalingsstatus].[Betalende medlem]"),'Præsentationstabeller 1'!$C$2,$B48,CUBEMEMBER("BIDB",{"[Measures].[Ledighedsmulige]"}),M$3)</f>
        <v>30</v>
      </c>
      <c r="N48" s="112" vm="16787">
        <f>CUBEVALUE("BIDB",CUBEMEMBER("BIDB","[Betalingsstatus].[Betalende medlem]"),'Præsentationstabeller 1'!$C$2,$B48,CUBEMEMBER("BIDB",{"[Measures].[Fuldtidsledige]"}),M$3)</f>
        <v>3.0259459459459457</v>
      </c>
      <c r="O48" s="26">
        <f t="shared" si="4"/>
        <v>10.086486486486486</v>
      </c>
      <c r="P48" s="25" vm="4550">
        <f>CUBEVALUE("BIDB",CUBEMEMBER("BIDB","[Betalingsstatus].[Betalende medlem]"),'Præsentationstabeller 1'!$C$2,$B48,CUBEMEMBER("BIDB",{"[Measures].[Ledighedsmulige]"}),P$3)</f>
        <v>3</v>
      </c>
      <c r="Q48" s="112" vm="7868">
        <f>CUBEVALUE("BIDB",CUBEMEMBER("BIDB","[Betalingsstatus].[Betalende medlem]"),'Præsentationstabeller 1'!$C$2,$B48,CUBEMEMBER("BIDB",{"[Measures].[Fuldtidsledige]"}),P$3)</f>
        <v>0.98918918918918919</v>
      </c>
      <c r="R48" s="26">
        <f t="shared" si="5"/>
        <v>32.972972972972975</v>
      </c>
    </row>
    <row r="49" spans="2:18" s="17" customFormat="1" x14ac:dyDescent="0.3">
      <c r="B49" s="60" t="s">
        <v>2</v>
      </c>
      <c r="C49" s="61"/>
      <c r="D49" s="62">
        <f>SUM(D5:D48)</f>
        <v>10266</v>
      </c>
      <c r="E49" s="107">
        <f>SUM(E5:E48)</f>
        <v>1366.3984864864863</v>
      </c>
      <c r="F49" s="117">
        <f>E49/D49*100</f>
        <v>13.309940448923497</v>
      </c>
      <c r="G49" s="62">
        <f>SUM(G5:G48)</f>
        <v>20895</v>
      </c>
      <c r="H49" s="115">
        <f>SUM(H5:H48)</f>
        <v>558.49572972972965</v>
      </c>
      <c r="I49" s="117">
        <f>H49/G49*100</f>
        <v>2.6728678139733413</v>
      </c>
      <c r="J49" s="62">
        <f>SUM(J5:J48)</f>
        <v>20386</v>
      </c>
      <c r="K49" s="115">
        <f>SUM(K5:K48)</f>
        <v>197.89886486486486</v>
      </c>
      <c r="L49" s="117">
        <f>K49/J49*100</f>
        <v>0.97075868176623603</v>
      </c>
      <c r="M49" s="62">
        <f>SUM(M5:M48)</f>
        <v>16252</v>
      </c>
      <c r="N49" s="115">
        <f>SUM(N5:N48)</f>
        <v>211.45735135135138</v>
      </c>
      <c r="O49" s="117">
        <f>N49/M49*100</f>
        <v>1.3011158709780419</v>
      </c>
      <c r="P49" s="62">
        <f>SUM(P5:P48)</f>
        <v>3825</v>
      </c>
      <c r="Q49" s="115">
        <f>SUM(Q5:Q48)</f>
        <v>66.483837837837839</v>
      </c>
      <c r="R49" s="117">
        <f>Q49/P49*100</f>
        <v>1.738139551316022</v>
      </c>
    </row>
    <row r="50" spans="2:18" x14ac:dyDescent="0.3">
      <c r="B50" s="29" t="str" vm="1">
        <f>CUBEMEMBER("BIDB","[Uddannelse].[IDA Gruppe Niveau1].&amp;[Ingeniører]","Ingeniører, i alt (diplom og civil)")</f>
        <v>Ingeniører, i alt (diplom og civil)</v>
      </c>
      <c r="C50" s="11"/>
      <c r="D50" s="27" vm="4000">
        <f>CUBEVALUE("BIDB",CUBEMEMBER("BIDB","[Betalingsstatus].[Betalende medlem]"),'Præsentationstabeller 1'!$C$2,$B50,CUBEMEMBER("BIDB",{"[Measures].[Ledighedsmulige]"}),D$3)</f>
        <v>6554</v>
      </c>
      <c r="E50" s="108" vm="2959">
        <f>CUBEVALUE("BIDB",CUBEMEMBER("BIDB","[Betalingsstatus].[Betalende medlem]"),'Præsentationstabeller 1'!$C$2,$B50,CUBEMEMBER("BIDB",{"[Measures].[Fuldtidsledige]"}),D$3)</f>
        <v>676.2448108108108</v>
      </c>
      <c r="F50" s="28">
        <f t="shared" ref="F50" si="9">IFERROR(E50/D50*100,0)</f>
        <v>10.318047159151828</v>
      </c>
      <c r="G50" s="27" vm="6995">
        <f>CUBEVALUE("BIDB",CUBEMEMBER("BIDB","[Betalingsstatus].[Betalende medlem]"),'Præsentationstabeller 1'!$C$2,$B50,CUBEMEMBER("BIDB",{"[Measures].[Ledighedsmulige]"}),G$3)</f>
        <v>16105</v>
      </c>
      <c r="H50" s="116" vm="4808">
        <f>CUBEVALUE("BIDB",CUBEMEMBER("BIDB","[Betalingsstatus].[Betalende medlem]"),'Præsentationstabeller 1'!$C$2,$B50,CUBEMEMBER("BIDB",{"[Measures].[Fuldtidsledige]"}),G$3)</f>
        <v>273.19454054054063</v>
      </c>
      <c r="I50" s="28">
        <f t="shared" ref="I50" si="10">IFERROR(H50/G50*100,0)</f>
        <v>1.6963336885472875</v>
      </c>
      <c r="J50" s="27" vm="3605">
        <f>CUBEVALUE("BIDB",CUBEMEMBER("BIDB","[Betalingsstatus].[Betalende medlem]"),'Præsentationstabeller 1'!$C$2,$B50,CUBEMEMBER("BIDB",{"[Measures].[Ledighedsmulige]"}),J$3)</f>
        <v>18910</v>
      </c>
      <c r="K50" s="116" vm="2768">
        <f>CUBEVALUE("BIDB",CUBEMEMBER("BIDB","[Betalingsstatus].[Betalende medlem]"),'Præsentationstabeller 1'!$C$2,$B50,CUBEMEMBER("BIDB",{"[Measures].[Fuldtidsledige]"}),J$3)</f>
        <v>155.49162162162168</v>
      </c>
      <c r="L50" s="28">
        <f t="shared" ref="L50" si="11">IFERROR(K50/J50*100,0)</f>
        <v>0.82227192819472072</v>
      </c>
      <c r="M50" s="27" vm="17213">
        <f>CUBEVALUE("BIDB",CUBEMEMBER("BIDB","[Betalingsstatus].[Betalende medlem]"),'Præsentationstabeller 1'!$C$2,$B50,CUBEMEMBER("BIDB",{"[Measures].[Ledighedsmulige]"}),M$3)</f>
        <v>15945</v>
      </c>
      <c r="N50" s="116" vm="16738">
        <f>CUBEVALUE("BIDB",CUBEMEMBER("BIDB","[Betalingsstatus].[Betalende medlem]"),'Præsentationstabeller 1'!$C$2,$B50,CUBEMEMBER("BIDB",{"[Measures].[Fuldtidsledige]"}),M$3)</f>
        <v>195.33443243243244</v>
      </c>
      <c r="O50" s="28">
        <f t="shared" ref="O50" si="12">IFERROR(N50/M50*100,0)</f>
        <v>1.2250513166035273</v>
      </c>
      <c r="P50" s="27" vm="2779">
        <f>CUBEVALUE("BIDB",CUBEMEMBER("BIDB","[Betalingsstatus].[Betalende medlem]"),'Præsentationstabeller 1'!$C$2,$B50,CUBEMEMBER("BIDB",{"[Measures].[Ledighedsmulige]"}),P$3)</f>
        <v>3781</v>
      </c>
      <c r="Q50" s="116" vm="3463">
        <f>CUBEVALUE("BIDB",CUBEMEMBER("BIDB","[Betalingsstatus].[Betalende medlem]"),'Præsentationstabeller 1'!$C$2,$B50,CUBEMEMBER("BIDB",{"[Measures].[Fuldtidsledige]"}),P$3)</f>
        <v>62.774648648648636</v>
      </c>
      <c r="R50" s="28">
        <f t="shared" ref="R50" si="13">IFERROR(Q50/P50*100,0)</f>
        <v>1.6602657669571179</v>
      </c>
    </row>
    <row r="51" spans="2:18" x14ac:dyDescent="0.3">
      <c r="B51" s="13"/>
      <c r="C51" s="13"/>
      <c r="D51" s="13"/>
      <c r="E51" s="13"/>
      <c r="F51" s="13"/>
      <c r="G51" s="13"/>
      <c r="H51" s="13"/>
      <c r="I51" s="13"/>
    </row>
    <row r="52" spans="2:18" x14ac:dyDescent="0.3">
      <c r="B52" s="13"/>
      <c r="C52" s="13"/>
      <c r="D52" s="13"/>
      <c r="E52" s="13"/>
      <c r="F52" s="13"/>
      <c r="G52" s="13"/>
      <c r="H52" s="13"/>
      <c r="I52" s="13"/>
    </row>
    <row r="53" spans="2:18" x14ac:dyDescent="0.3">
      <c r="B53" s="13"/>
      <c r="C53" s="13"/>
      <c r="D53" s="13"/>
      <c r="E53" s="13"/>
      <c r="F53" s="13"/>
      <c r="G53" s="13"/>
      <c r="H53" s="13"/>
      <c r="I53" s="13"/>
    </row>
    <row r="54" spans="2:18" x14ac:dyDescent="0.3">
      <c r="B54" s="13"/>
      <c r="C54" s="13"/>
      <c r="D54" s="13"/>
      <c r="E54" s="13"/>
      <c r="F54" s="13"/>
      <c r="G54" s="13"/>
      <c r="H54" s="13"/>
      <c r="I54" s="13"/>
    </row>
    <row r="55" spans="2:18" x14ac:dyDescent="0.3">
      <c r="B55" s="13"/>
      <c r="C55" s="13"/>
      <c r="D55" s="13"/>
      <c r="E55" s="13"/>
      <c r="F55" s="13"/>
      <c r="G55" s="13"/>
      <c r="H55" s="13"/>
      <c r="I55" s="13"/>
    </row>
    <row r="56" spans="2:18" x14ac:dyDescent="0.3">
      <c r="B56" s="13"/>
      <c r="C56" s="13"/>
      <c r="D56" s="13"/>
      <c r="E56" s="13"/>
      <c r="F56" s="13"/>
      <c r="G56" s="13"/>
      <c r="H56" s="13"/>
      <c r="I56" s="13"/>
    </row>
    <row r="57" spans="2:18" x14ac:dyDescent="0.3">
      <c r="B57" s="13"/>
      <c r="C57" s="13"/>
      <c r="D57" s="13"/>
      <c r="E57" s="13"/>
      <c r="F57" s="13"/>
      <c r="G57" s="13"/>
      <c r="H57" s="13"/>
      <c r="I57" s="13"/>
    </row>
    <row r="58" spans="2:18" x14ac:dyDescent="0.3">
      <c r="B58" s="13"/>
      <c r="C58" s="13"/>
      <c r="D58" s="13"/>
      <c r="E58" s="13"/>
      <c r="F58" s="13"/>
      <c r="G58" s="13"/>
      <c r="H58" s="13"/>
      <c r="I58" s="13"/>
    </row>
    <row r="59" spans="2:18" x14ac:dyDescent="0.3">
      <c r="B59" s="13"/>
      <c r="C59" s="13"/>
      <c r="D59" s="13"/>
      <c r="E59" s="13"/>
      <c r="F59" s="13"/>
      <c r="G59" s="13"/>
      <c r="H59" s="13"/>
      <c r="I59" s="13"/>
    </row>
    <row r="60" spans="2:18" x14ac:dyDescent="0.3">
      <c r="B60" s="13"/>
      <c r="C60" s="13"/>
      <c r="D60" s="13"/>
      <c r="E60" s="13"/>
      <c r="F60" s="13"/>
      <c r="G60" s="13"/>
      <c r="H60" s="13"/>
      <c r="I60" s="13"/>
    </row>
    <row r="61" spans="2:18" x14ac:dyDescent="0.3">
      <c r="B61" s="13"/>
      <c r="C61" s="13"/>
      <c r="D61" s="13"/>
      <c r="E61" s="13"/>
      <c r="F61" s="13"/>
      <c r="G61" s="13"/>
      <c r="H61" s="13"/>
      <c r="I61" s="13"/>
    </row>
    <row r="62" spans="2:18" x14ac:dyDescent="0.3">
      <c r="B62" s="13"/>
      <c r="C62" s="13"/>
      <c r="D62" s="13"/>
      <c r="E62" s="13"/>
      <c r="F62" s="13"/>
      <c r="G62" s="13"/>
      <c r="H62" s="13"/>
      <c r="I62" s="13"/>
    </row>
    <row r="63" spans="2:18" x14ac:dyDescent="0.3">
      <c r="B63" s="13"/>
      <c r="C63" s="13"/>
      <c r="D63" s="13"/>
      <c r="E63" s="13"/>
      <c r="F63" s="13"/>
      <c r="G63" s="13"/>
      <c r="H63" s="13"/>
      <c r="I63" s="13"/>
    </row>
    <row r="64" spans="2:18" x14ac:dyDescent="0.3">
      <c r="B64" s="13"/>
      <c r="C64" s="13"/>
      <c r="D64" s="13"/>
      <c r="E64" s="13"/>
      <c r="F64" s="13"/>
      <c r="G64" s="13"/>
      <c r="H64" s="13"/>
      <c r="I64" s="13"/>
    </row>
    <row r="65" spans="2:9" x14ac:dyDescent="0.3">
      <c r="B65" s="13"/>
      <c r="C65" s="13"/>
      <c r="D65" s="13"/>
      <c r="E65" s="13"/>
      <c r="F65" s="13"/>
      <c r="G65" s="13"/>
      <c r="H65" s="13"/>
      <c r="I65" s="13"/>
    </row>
    <row r="66" spans="2:9" x14ac:dyDescent="0.3">
      <c r="B66" s="13"/>
      <c r="C66" s="13"/>
      <c r="D66" s="13"/>
      <c r="E66" s="13"/>
      <c r="F66" s="13"/>
      <c r="G66" s="13"/>
      <c r="H66" s="13"/>
      <c r="I66" s="13"/>
    </row>
    <row r="67" spans="2:9" x14ac:dyDescent="0.3">
      <c r="B67" s="13"/>
      <c r="C67" s="13"/>
      <c r="D67" s="13"/>
      <c r="E67" s="13"/>
      <c r="F67" s="13"/>
      <c r="G67" s="13"/>
      <c r="H67" s="13"/>
      <c r="I67" s="13"/>
    </row>
    <row r="68" spans="2:9" x14ac:dyDescent="0.3">
      <c r="B68" s="13"/>
      <c r="C68" s="13"/>
      <c r="D68" s="13"/>
      <c r="E68" s="13"/>
      <c r="F68" s="13"/>
      <c r="G68" s="13"/>
      <c r="H68" s="13"/>
      <c r="I68" s="13"/>
    </row>
    <row r="69" spans="2:9" x14ac:dyDescent="0.3">
      <c r="B69" s="13"/>
      <c r="C69" s="13"/>
      <c r="D69" s="13"/>
      <c r="E69" s="13"/>
      <c r="F69" s="13"/>
      <c r="G69" s="13"/>
      <c r="H69" s="13"/>
      <c r="I69" s="13"/>
    </row>
    <row r="70" spans="2:9" x14ac:dyDescent="0.3">
      <c r="B70" s="13"/>
      <c r="C70" s="13"/>
      <c r="D70" s="13"/>
      <c r="E70" s="13"/>
      <c r="F70" s="13"/>
      <c r="G70" s="13"/>
      <c r="H70" s="13"/>
      <c r="I70" s="13"/>
    </row>
    <row r="71" spans="2:9" x14ac:dyDescent="0.3">
      <c r="B71" s="13"/>
      <c r="C71" s="13"/>
      <c r="D71" s="13"/>
      <c r="E71" s="13"/>
      <c r="F71" s="13"/>
      <c r="G71" s="13"/>
      <c r="H71" s="13"/>
      <c r="I71" s="13"/>
    </row>
    <row r="72" spans="2:9" x14ac:dyDescent="0.3">
      <c r="B72" s="13"/>
      <c r="C72" s="13"/>
      <c r="D72" s="13"/>
      <c r="E72" s="13"/>
      <c r="F72" s="13"/>
      <c r="G72" s="13"/>
      <c r="H72" s="13"/>
      <c r="I72" s="13"/>
    </row>
    <row r="73" spans="2:9" x14ac:dyDescent="0.3">
      <c r="B73" s="13"/>
      <c r="C73" s="13"/>
      <c r="D73" s="13"/>
      <c r="E73" s="13"/>
      <c r="F73" s="13"/>
      <c r="G73" s="13"/>
      <c r="H73" s="13"/>
      <c r="I73" s="13"/>
    </row>
    <row r="74" spans="2:9" x14ac:dyDescent="0.3">
      <c r="B74" s="13"/>
      <c r="C74" s="13"/>
      <c r="D74" s="13"/>
      <c r="E74" s="13"/>
      <c r="F74" s="13"/>
      <c r="G74" s="13"/>
      <c r="H74" s="13"/>
      <c r="I74" s="13"/>
    </row>
    <row r="75" spans="2:9" x14ac:dyDescent="0.3">
      <c r="B75" s="13"/>
      <c r="C75" s="13"/>
      <c r="D75" s="13"/>
      <c r="E75" s="13"/>
      <c r="F75" s="13"/>
      <c r="G75" s="13"/>
      <c r="H75" s="13"/>
      <c r="I75" s="13"/>
    </row>
    <row r="76" spans="2:9" x14ac:dyDescent="0.3">
      <c r="B76" s="13"/>
      <c r="C76" s="13"/>
      <c r="D76" s="13"/>
      <c r="E76" s="13"/>
      <c r="F76" s="13"/>
      <c r="G76" s="13"/>
      <c r="H76" s="13"/>
      <c r="I76" s="13"/>
    </row>
    <row r="77" spans="2:9" x14ac:dyDescent="0.3">
      <c r="B77" s="13"/>
      <c r="C77" s="13"/>
      <c r="D77" s="13"/>
      <c r="E77" s="13"/>
      <c r="F77" s="13"/>
      <c r="G77" s="13"/>
      <c r="H77" s="13"/>
      <c r="I77" s="13"/>
    </row>
    <row r="78" spans="2:9" x14ac:dyDescent="0.3">
      <c r="B78" s="13"/>
      <c r="C78" s="13"/>
      <c r="D78" s="13"/>
      <c r="E78" s="13"/>
      <c r="F78" s="13"/>
      <c r="G78" s="13"/>
      <c r="H78" s="13"/>
      <c r="I78" s="13"/>
    </row>
    <row r="79" spans="2:9" x14ac:dyDescent="0.3">
      <c r="B79" s="13"/>
      <c r="C79" s="13"/>
      <c r="D79" s="13"/>
      <c r="E79" s="13"/>
      <c r="F79" s="13"/>
      <c r="G79" s="13"/>
      <c r="H79" s="13"/>
      <c r="I79" s="13"/>
    </row>
    <row r="80" spans="2:9" x14ac:dyDescent="0.3">
      <c r="B80" s="13"/>
      <c r="C80" s="13"/>
      <c r="D80" s="13"/>
      <c r="E80" s="13"/>
      <c r="F80" s="13"/>
      <c r="G80" s="13"/>
      <c r="H80" s="13"/>
      <c r="I80" s="13"/>
    </row>
  </sheetData>
  <mergeCells count="5">
    <mergeCell ref="D3:F3"/>
    <mergeCell ref="G3:I3"/>
    <mergeCell ref="J3:L3"/>
    <mergeCell ref="M3:O3"/>
    <mergeCell ref="P3:R3"/>
  </mergeCells>
  <pageMargins left="0.7" right="0.7" top="0.75" bottom="0.75" header="0.3" footer="0.3"/>
  <pageSetup orientation="portrait" r:id="rId1"/>
  <ignoredErrors>
    <ignoredError sqref="F49 I49 L49 O49 R4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showGridLines="0" topLeftCell="A2" zoomScale="85" zoomScaleNormal="85" workbookViewId="0">
      <pane xSplit="3" ySplit="3" topLeftCell="D5" activePane="bottomRight" state="frozen"/>
      <selection activeCell="A2" sqref="A2"/>
      <selection pane="topRight" activeCell="D2" sqref="D2"/>
      <selection pane="bottomLeft" activeCell="A6" sqref="A6"/>
      <selection pane="bottomRight" activeCell="N19" sqref="N19"/>
    </sheetView>
  </sheetViews>
  <sheetFormatPr defaultColWidth="9.109375" defaultRowHeight="14.4" x14ac:dyDescent="0.3"/>
  <cols>
    <col min="1" max="1" width="4.33203125" style="8" customWidth="1"/>
    <col min="2" max="2" width="31.6640625" style="8" bestFit="1" customWidth="1"/>
    <col min="3" max="3" width="22.5546875" style="8" bestFit="1" customWidth="1"/>
    <col min="4" max="4" width="15.44140625" style="8" bestFit="1" customWidth="1"/>
    <col min="5" max="5" width="12.88671875" style="8" bestFit="1" customWidth="1"/>
    <col min="6" max="6" width="7.88671875" style="8" bestFit="1" customWidth="1"/>
    <col min="7" max="7" width="15.44140625" style="8" bestFit="1" customWidth="1"/>
    <col min="8" max="8" width="12.88671875" style="8" bestFit="1" customWidth="1"/>
    <col min="9" max="9" width="7.88671875" style="8" customWidth="1"/>
    <col min="10" max="10" width="15.44140625" style="8" bestFit="1" customWidth="1"/>
    <col min="11" max="11" width="12.88671875" style="8" bestFit="1" customWidth="1"/>
    <col min="12" max="12" width="7.88671875" style="8" bestFit="1" customWidth="1"/>
    <col min="13" max="13" width="15.44140625" style="8" bestFit="1" customWidth="1"/>
    <col min="14" max="14" width="12.88671875" style="8" bestFit="1" customWidth="1"/>
    <col min="15" max="15" width="7.88671875" style="8" bestFit="1" customWidth="1"/>
    <col min="16" max="16" width="15.44140625" style="8" bestFit="1" customWidth="1"/>
    <col min="17" max="17" width="12.88671875" style="8" bestFit="1" customWidth="1"/>
    <col min="18" max="18" width="7.88671875" style="8" bestFit="1" customWidth="1"/>
    <col min="19" max="19" width="15.44140625" style="8" bestFit="1" customWidth="1"/>
    <col min="20" max="20" width="12.88671875" style="8" bestFit="1" customWidth="1"/>
    <col min="21" max="21" width="7.88671875" style="8" bestFit="1" customWidth="1"/>
    <col min="22" max="16384" width="9.109375" style="8"/>
  </cols>
  <sheetData>
    <row r="1" spans="2:21" ht="15" x14ac:dyDescent="0.25">
      <c r="B1"/>
      <c r="C1"/>
    </row>
    <row r="2" spans="2:21" ht="15" x14ac:dyDescent="0.25">
      <c r="D2" s="12"/>
    </row>
    <row r="3" spans="2:21" s="15" customFormat="1" ht="15" x14ac:dyDescent="0.25">
      <c r="B3" s="16" t="s">
        <v>8</v>
      </c>
      <c r="D3" s="144" t="str" vm="18">
        <f>CUBEMEMBER("BIDB","[Kandidatalder].[Kandidatalder Gruppe Niveau1].[All].[&lt; 1 år]")</f>
        <v>&lt; 1 år</v>
      </c>
      <c r="E3" s="145"/>
      <c r="F3" s="146"/>
      <c r="G3" s="147" t="str" vm="25">
        <f>CUBEMEMBER("BIDB","[Kandidatalder].[Kandidatalder Gruppe Niveau1].[All].[1 år]")</f>
        <v>1 år</v>
      </c>
      <c r="H3" s="148"/>
      <c r="I3" s="149"/>
      <c r="J3" s="147" t="str" vm="21">
        <f>CUBEMEMBER("BIDB","[Kandidatalder].[Kandidatalder Gruppe Niveau1].[All].[2-4 år]")</f>
        <v>2-4 år</v>
      </c>
      <c r="K3" s="148"/>
      <c r="L3" s="149"/>
      <c r="M3" s="147" t="str" vm="14">
        <f>CUBEMEMBER("BIDB","[Kandidatalder].[Kandidatalder Gruppe Niveau1].[All].[5-9 år]")</f>
        <v>5-9 år</v>
      </c>
      <c r="N3" s="148"/>
      <c r="O3" s="149"/>
      <c r="P3" s="147" t="str" vm="17">
        <f>CUBEMEMBER("BIDB","[Kandidatalder].[Kandidatalder Gruppe Niveau1].[All].[10-14 år]")</f>
        <v>10-14 år</v>
      </c>
      <c r="Q3" s="148"/>
      <c r="R3" s="149"/>
      <c r="S3" s="147" t="str" vm="7">
        <f>CUBEMEMBER("BIDB","[Kandidatalder].[Kandidatalder Gruppe Niveau1].[All].[15- år]")</f>
        <v>15- år</v>
      </c>
      <c r="T3" s="148"/>
      <c r="U3" s="149"/>
    </row>
    <row r="4" spans="2:21" s="16" customFormat="1" ht="15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  <c r="M4" s="38" t="s">
        <v>5</v>
      </c>
      <c r="N4" s="39" t="s">
        <v>6</v>
      </c>
      <c r="O4" s="40" t="s">
        <v>7</v>
      </c>
      <c r="P4" s="38" t="s">
        <v>5</v>
      </c>
      <c r="Q4" s="39" t="s">
        <v>6</v>
      </c>
      <c r="R4" s="40" t="s">
        <v>7</v>
      </c>
      <c r="S4" s="38" t="s">
        <v>5</v>
      </c>
      <c r="T4" s="39" t="s">
        <v>6</v>
      </c>
      <c r="U4" s="40" t="s">
        <v>7</v>
      </c>
    </row>
    <row r="5" spans="2:21" ht="15" x14ac:dyDescent="0.25">
      <c r="B5" s="45" t="str" vm="11">
        <f>CUBEMEMBER("BIDB","[Uddannelse].[IDA Gruppe].&amp;[Bachelorer]")</f>
        <v>Bachelorer</v>
      </c>
      <c r="C5" s="45"/>
      <c r="D5" s="46" vm="3166">
        <f>CUBEVALUE("BIDB",CUBEMEMBER("BIDB","[Betalingsstatus].[Betalende medlem]"),'Præsentationstabeller 1'!$C$2,$B5,CUBEMEMBER("BIDB",{"[Measures].[Ledighedsmulige]"}),D$3)</f>
        <v>327</v>
      </c>
      <c r="E5" s="47" vm="2311">
        <f>CUBEVALUE("BIDB",CUBEMEMBER("BIDB","[Betalingsstatus].[Betalende medlem]"),'Præsentationstabeller 1'!$C$2,$B5,CUBEMEMBER("BIDB",{"[Measures].[Fuldtidsledige]"}),D$3)</f>
        <v>85.389729729729723</v>
      </c>
      <c r="F5" s="48">
        <f>IFERROR(E5/D5*100,0)</f>
        <v>26.113067195636003</v>
      </c>
      <c r="G5" s="46" vm="4716">
        <f>CUBEVALUE("BIDB",CUBEMEMBER("BIDB","[Betalingsstatus].[Betalende medlem]"),'Præsentationstabeller 1'!$C$2,$B5,CUBEMEMBER("BIDB",{"[Measures].[Ledighedsmulige]"}),G$3)</f>
        <v>135</v>
      </c>
      <c r="H5" s="49" vm="2605">
        <f>CUBEVALUE("BIDB",CUBEMEMBER("BIDB","[Betalingsstatus].[Betalende medlem]"),'Præsentationstabeller 1'!$C$2,$B5,CUBEMEMBER("BIDB",{"[Measures].[Fuldtidsledige]"}),G$3)</f>
        <v>21.603243243243242</v>
      </c>
      <c r="I5" s="48">
        <f>IFERROR(H5/G5*100,0)</f>
        <v>16.002402402402403</v>
      </c>
      <c r="J5" s="46" vm="2781">
        <f>CUBEVALUE("BIDB",CUBEMEMBER("BIDB","[Betalingsstatus].[Betalende medlem]"),'Præsentationstabeller 1'!$C$2,$B5,CUBEMEMBER("BIDB",{"[Measures].[Ledighedsmulige]"}),J$3)</f>
        <v>164</v>
      </c>
      <c r="K5" s="49" vm="2084">
        <f>CUBEVALUE("BIDB",CUBEMEMBER("BIDB","[Betalingsstatus].[Betalende medlem]"),'Præsentationstabeller 1'!$C$2,$B5,CUBEMEMBER("BIDB",{"[Measures].[Fuldtidsledige]"}),J$3)</f>
        <v>5.2664864864864862</v>
      </c>
      <c r="L5" s="48">
        <f>IFERROR(K5/J5*100,0)</f>
        <v>3.2112722478576132</v>
      </c>
      <c r="M5" s="46" vm="2294">
        <f>CUBEVALUE("BIDB",CUBEMEMBER("BIDB","[Betalingsstatus].[Betalende medlem]"),'Præsentationstabeller 1'!$C$2,$B5,CUBEMEMBER("BIDB",{"[Measures].[Ledighedsmulige]"}),M$3)</f>
        <v>148</v>
      </c>
      <c r="N5" s="49" vm="3462">
        <f>CUBEVALUE("BIDB",CUBEMEMBER("BIDB","[Betalingsstatus].[Betalende medlem]"),'Præsentationstabeller 1'!$C$2,$B5,CUBEMEMBER("BIDB",{"[Measures].[Fuldtidsledige]"}),M$3)</f>
        <v>6.4</v>
      </c>
      <c r="O5" s="48">
        <f>IFERROR(N5/M5*100,0)</f>
        <v>4.3243243243243246</v>
      </c>
      <c r="P5" s="46" vm="3102">
        <f>CUBEVALUE("BIDB",CUBEMEMBER("BIDB","[Betalingsstatus].[Betalende medlem]"),'Præsentationstabeller 1'!$C$2,$B5,CUBEMEMBER("BIDB",{"[Measures].[Ledighedsmulige]"}),P$3)</f>
        <v>93</v>
      </c>
      <c r="Q5" s="49" vm="4421">
        <f>CUBEVALUE("BIDB",CUBEMEMBER("BIDB","[Betalingsstatus].[Betalende medlem]"),'Præsentationstabeller 1'!$C$2,$B5,CUBEMEMBER("BIDB",{"[Measures].[Fuldtidsledige]"}),P$3)</f>
        <v>1.48</v>
      </c>
      <c r="R5" s="48">
        <f>IFERROR(Q5/P5*100,0)</f>
        <v>1.5913978494623657</v>
      </c>
      <c r="S5" s="46" vm="2787">
        <f>CUBEVALUE("BIDB",CUBEMEMBER("BIDB","[Betalingsstatus].[Betalende medlem]"),'Præsentationstabeller 1'!$C$2,$B5,CUBEMEMBER("BIDB",{"[Measures].[Ledighedsmulige]"}),S$3)</f>
        <v>351</v>
      </c>
      <c r="T5" s="49" vm="2531">
        <f>CUBEVALUE("BIDB",CUBEMEMBER("BIDB","[Betalingsstatus].[Betalende medlem]"),'Præsentationstabeller 1'!$C$2,$B5,CUBEMEMBER("BIDB",{"[Measures].[Fuldtidsledige]"}),S$3)</f>
        <v>5.8</v>
      </c>
      <c r="U5" s="48">
        <f>IFERROR(T5/S5*100,0)</f>
        <v>1.6524216524216522</v>
      </c>
    </row>
    <row r="6" spans="2:21" ht="15" x14ac:dyDescent="0.25">
      <c r="B6" s="14" t="str" vm="4">
        <f t="shared" ref="B6:B14" si="0">CUBEMEMBER("BIDB","[Uddannelse].[IDA Gruppe].&amp;[Akademiingeniør]")</f>
        <v>Akademiingeniør</v>
      </c>
      <c r="C6" s="14" t="str" vm="37">
        <f>CUBEMEMBER("BIDB",{"[Uddannelsesretning].[IDA Gruppe].&amp;[Maskin]"})</f>
        <v>Maskin</v>
      </c>
      <c r="D6" s="23" t="str" vm="2823">
        <f>CUBEVALUE("BIDB",CUBEMEMBER("BIDB","[Betalingsstatus].[Betalende medlem]"),'Præsentationstabeller 1'!$C$2,$C6,CUBEMEMBER("BIDB",{"[Measures].[Ledighedsmulige]"}),D$3,$B6)</f>
        <v/>
      </c>
      <c r="E6" s="31" t="str" vm="3821">
        <f>CUBEVALUE("BIDB",CUBEMEMBER("BIDB","[Betalingsstatus].[Betalende medlem]"),'Præsentationstabeller 1'!$C$2,$C6,CUBEMEMBER("BIDB",{"[Measures].[Fuldtidsledige]"}),D$3,$B6)</f>
        <v/>
      </c>
      <c r="F6" s="24">
        <f t="shared" ref="F6:F48" si="1">IFERROR(E6/D6*100,0)</f>
        <v>0</v>
      </c>
      <c r="G6" s="23" vm="5820">
        <f>CUBEVALUE("BIDB",CUBEMEMBER("BIDB","[Betalingsstatus].[Betalende medlem]"),'Præsentationstabeller 1'!$C$2,$C6,CUBEMEMBER("BIDB",{"[Measures].[Ledighedsmulige]"}),G$3,$B6)</f>
        <v>0</v>
      </c>
      <c r="H6" s="36" t="str" vm="5687">
        <f>CUBEVALUE("BIDB",CUBEMEMBER("BIDB","[Betalingsstatus].[Betalende medlem]"),'Præsentationstabeller 1'!$C$2,$C6,CUBEMEMBER("BIDB",{"[Measures].[Fuldtidsledige]"}),G$3,$B6)</f>
        <v/>
      </c>
      <c r="I6" s="24">
        <f t="shared" ref="I6:I48" si="2">IFERROR(H6/G6*100,0)</f>
        <v>0</v>
      </c>
      <c r="J6" s="23" vm="3449">
        <f>CUBEVALUE("BIDB",CUBEMEMBER("BIDB","[Betalingsstatus].[Betalende medlem]"),'Præsentationstabeller 1'!$C$2,$C6,CUBEMEMBER("BIDB",{"[Measures].[Ledighedsmulige]"}),J$3,$B6)</f>
        <v>0</v>
      </c>
      <c r="K6" s="36" t="str" vm="2377">
        <f>CUBEVALUE("BIDB",CUBEMEMBER("BIDB","[Betalingsstatus].[Betalende medlem]"),'Præsentationstabeller 1'!$C$2,$C6,CUBEMEMBER("BIDB",{"[Measures].[Fuldtidsledige]"}),J$3,$B6)</f>
        <v/>
      </c>
      <c r="L6" s="24">
        <f t="shared" ref="L6:L48" si="3">IFERROR(K6/J6*100,0)</f>
        <v>0</v>
      </c>
      <c r="M6" s="23" vm="4002">
        <f>CUBEVALUE("BIDB",CUBEMEMBER("BIDB","[Betalingsstatus].[Betalende medlem]"),'Præsentationstabeller 1'!$C$2,$C6,CUBEMEMBER("BIDB",{"[Measures].[Ledighedsmulige]"}),M$3,$B6)</f>
        <v>0</v>
      </c>
      <c r="N6" s="36" t="str" vm="2489">
        <f>CUBEVALUE("BIDB",CUBEMEMBER("BIDB","[Betalingsstatus].[Betalende medlem]"),'Præsentationstabeller 1'!$C$2,$C6,CUBEMEMBER("BIDB",{"[Measures].[Fuldtidsledige]"}),M$3,$B6)</f>
        <v/>
      </c>
      <c r="O6" s="24">
        <f t="shared" ref="O6:O48" si="4">IFERROR(N6/M6*100,0)</f>
        <v>0</v>
      </c>
      <c r="P6" s="23" vm="4018">
        <f>CUBEVALUE("BIDB",CUBEMEMBER("BIDB","[Betalingsstatus].[Betalende medlem]"),'Præsentationstabeller 1'!$C$2,$C6,CUBEMEMBER("BIDB",{"[Measures].[Ledighedsmulige]"}),P$3,$B6)</f>
        <v>0</v>
      </c>
      <c r="Q6" s="36" t="str" vm="2248">
        <f>CUBEVALUE("BIDB",CUBEMEMBER("BIDB","[Betalingsstatus].[Betalende medlem]"),'Præsentationstabeller 1'!$C$2,$C6,CUBEMEMBER("BIDB",{"[Measures].[Fuldtidsledige]"}),P$3,$B6)</f>
        <v/>
      </c>
      <c r="R6" s="24">
        <f t="shared" ref="R6:R48" si="5">IFERROR(Q6/P6*100,0)</f>
        <v>0</v>
      </c>
      <c r="S6" s="23" vm="3689">
        <f>CUBEVALUE("BIDB",CUBEMEMBER("BIDB","[Betalingsstatus].[Betalende medlem]"),'Præsentationstabeller 1'!$C$2,$C6,CUBEMEMBER("BIDB",{"[Measures].[Ledighedsmulige]"}),S$3,$B6)</f>
        <v>1000</v>
      </c>
      <c r="T6" s="36" vm="3479">
        <f>CUBEVALUE("BIDB",CUBEMEMBER("BIDB","[Betalingsstatus].[Betalende medlem]"),'Præsentationstabeller 1'!$C$2,$C6,CUBEMEMBER("BIDB",{"[Measures].[Fuldtidsledige]"}),S$3,$B6)</f>
        <v>11.319999999999999</v>
      </c>
      <c r="U6" s="24">
        <f t="shared" ref="U6:U48" si="6">IFERROR(T6/S6*100,0)</f>
        <v>1.1319999999999999</v>
      </c>
    </row>
    <row r="7" spans="2:21" ht="15" x14ac:dyDescent="0.25">
      <c r="B7" s="50" t="str" vm="4">
        <f t="shared" si="0"/>
        <v>Akademiingeniør</v>
      </c>
      <c r="C7" s="50" t="str" vm="41">
        <f>CUBEMEMBER("BIDB",{"[Uddannelsesretning].[IDA Gruppe].&amp;[Produktion]"})</f>
        <v>Produktion</v>
      </c>
      <c r="D7" s="51" t="str" vm="3406">
        <f>CUBEVALUE("BIDB",CUBEMEMBER("BIDB","[Betalingsstatus].[Betalende medlem]"),'Præsentationstabeller 1'!$C$2,$C7,CUBEMEMBER("BIDB",{"[Measures].[Ledighedsmulige]"}),D$3,$B7)</f>
        <v/>
      </c>
      <c r="E7" s="52" t="str" vm="3885">
        <f>CUBEVALUE("BIDB",CUBEMEMBER("BIDB","[Betalingsstatus].[Betalende medlem]"),'Præsentationstabeller 1'!$C$2,$C7,CUBEMEMBER("BIDB",{"[Measures].[Fuldtidsledige]"}),D$3,$B7)</f>
        <v/>
      </c>
      <c r="F7" s="53">
        <f t="shared" si="1"/>
        <v>0</v>
      </c>
      <c r="G7" s="51" t="str" vm="4966">
        <f>CUBEVALUE("BIDB",CUBEMEMBER("BIDB","[Betalingsstatus].[Betalende medlem]"),'Præsentationstabeller 1'!$C$2,$C7,CUBEMEMBER("BIDB",{"[Measures].[Ledighedsmulige]"}),G$3,$B7)</f>
        <v/>
      </c>
      <c r="H7" s="54" t="str" vm="16733">
        <f>CUBEVALUE("BIDB",CUBEMEMBER("BIDB","[Betalingsstatus].[Betalende medlem]"),'Præsentationstabeller 1'!$C$2,$C7,CUBEMEMBER("BIDB",{"[Measures].[Fuldtidsledige]"}),G$3,$B7)</f>
        <v/>
      </c>
      <c r="I7" s="53">
        <f t="shared" si="2"/>
        <v>0</v>
      </c>
      <c r="J7" s="51" vm="17205">
        <f>CUBEVALUE("BIDB",CUBEMEMBER("BIDB","[Betalingsstatus].[Betalende medlem]"),'Præsentationstabeller 1'!$C$2,$C7,CUBEMEMBER("BIDB",{"[Measures].[Ledighedsmulige]"}),J$3,$B7)</f>
        <v>0</v>
      </c>
      <c r="K7" s="54" t="str" vm="16734">
        <f>CUBEVALUE("BIDB",CUBEMEMBER("BIDB","[Betalingsstatus].[Betalende medlem]"),'Præsentationstabeller 1'!$C$2,$C7,CUBEMEMBER("BIDB",{"[Measures].[Fuldtidsledige]"}),J$3,$B7)</f>
        <v/>
      </c>
      <c r="L7" s="53">
        <f t="shared" si="3"/>
        <v>0</v>
      </c>
      <c r="M7" s="51" vm="15862">
        <f>CUBEVALUE("BIDB",CUBEMEMBER("BIDB","[Betalingsstatus].[Betalende medlem]"),'Præsentationstabeller 1'!$C$2,$C7,CUBEMEMBER("BIDB",{"[Measures].[Ledighedsmulige]"}),M$3,$B7)</f>
        <v>0</v>
      </c>
      <c r="N7" s="54" t="str" vm="16300">
        <f>CUBEVALUE("BIDB",CUBEMEMBER("BIDB","[Betalingsstatus].[Betalende medlem]"),'Præsentationstabeller 1'!$C$2,$C7,CUBEMEMBER("BIDB",{"[Measures].[Fuldtidsledige]"}),M$3,$B7)</f>
        <v/>
      </c>
      <c r="O7" s="53">
        <f t="shared" si="4"/>
        <v>0</v>
      </c>
      <c r="P7" s="51" vm="16770">
        <f>CUBEVALUE("BIDB",CUBEMEMBER("BIDB","[Betalingsstatus].[Betalende medlem]"),'Præsentationstabeller 1'!$C$2,$C7,CUBEMEMBER("BIDB",{"[Measures].[Ledighedsmulige]"}),P$3,$B7)</f>
        <v>0</v>
      </c>
      <c r="Q7" s="54" t="str" vm="16788">
        <f>CUBEVALUE("BIDB",CUBEMEMBER("BIDB","[Betalingsstatus].[Betalende medlem]"),'Præsentationstabeller 1'!$C$2,$C7,CUBEMEMBER("BIDB",{"[Measures].[Fuldtidsledige]"}),P$3,$B7)</f>
        <v/>
      </c>
      <c r="R7" s="53">
        <f t="shared" si="5"/>
        <v>0</v>
      </c>
      <c r="S7" s="51" vm="17199">
        <f>CUBEVALUE("BIDB",CUBEMEMBER("BIDB","[Betalingsstatus].[Betalende medlem]"),'Præsentationstabeller 1'!$C$2,$C7,CUBEMEMBER("BIDB",{"[Measures].[Ledighedsmulige]"}),S$3,$B7)</f>
        <v>100</v>
      </c>
      <c r="T7" s="54" t="str" vm="3446">
        <f>CUBEVALUE("BIDB",CUBEMEMBER("BIDB","[Betalingsstatus].[Betalende medlem]"),'Præsentationstabeller 1'!$C$2,$C7,CUBEMEMBER("BIDB",{"[Measures].[Fuldtidsledige]"}),S$3,$B7)</f>
        <v/>
      </c>
      <c r="U7" s="53">
        <f t="shared" si="6"/>
        <v>0</v>
      </c>
    </row>
    <row r="8" spans="2:21" ht="15" x14ac:dyDescent="0.25">
      <c r="B8" s="9" t="str" vm="4">
        <f t="shared" si="0"/>
        <v>Akademiingeniør</v>
      </c>
      <c r="C8" s="9" t="str" vm="36">
        <f>CUBEMEMBER("BIDB",{"[Uddannelsesretning].[IDA Gruppe].&amp;[Elektronik-IT]"})</f>
        <v>Elektronik-IT</v>
      </c>
      <c r="D8" s="25" t="str" vm="2179">
        <f>CUBEVALUE("BIDB",CUBEMEMBER("BIDB","[Betalingsstatus].[Betalende medlem]"),'Præsentationstabeller 1'!$C$2,$C8,CUBEMEMBER("BIDB",{"[Measures].[Ledighedsmulige]"}),D$3,$B8)</f>
        <v/>
      </c>
      <c r="E8" s="30" t="str" vm="2909">
        <f>CUBEVALUE("BIDB",CUBEMEMBER("BIDB","[Betalingsstatus].[Betalende medlem]"),'Præsentationstabeller 1'!$C$2,$C8,CUBEMEMBER("BIDB",{"[Measures].[Fuldtidsledige]"}),D$3,$B8)</f>
        <v/>
      </c>
      <c r="F8" s="26">
        <f t="shared" si="1"/>
        <v>0</v>
      </c>
      <c r="G8" s="25" t="str" vm="7116">
        <f>CUBEVALUE("BIDB",CUBEMEMBER("BIDB","[Betalingsstatus].[Betalende medlem]"),'Præsentationstabeller 1'!$C$2,$C8,CUBEMEMBER("BIDB",{"[Measures].[Ledighedsmulige]"}),G$3,$B8)</f>
        <v/>
      </c>
      <c r="H8" s="35" t="str" vm="2860">
        <f>CUBEVALUE("BIDB",CUBEMEMBER("BIDB","[Betalingsstatus].[Betalende medlem]"),'Præsentationstabeller 1'!$C$2,$C8,CUBEMEMBER("BIDB",{"[Measures].[Fuldtidsledige]"}),G$3,$B8)</f>
        <v/>
      </c>
      <c r="I8" s="26">
        <f t="shared" si="2"/>
        <v>0</v>
      </c>
      <c r="J8" s="25" vm="3577">
        <f>CUBEVALUE("BIDB",CUBEMEMBER("BIDB","[Betalingsstatus].[Betalende medlem]"),'Præsentationstabeller 1'!$C$2,$C8,CUBEMEMBER("BIDB",{"[Measures].[Ledighedsmulige]"}),J$3,$B8)</f>
        <v>0</v>
      </c>
      <c r="K8" s="35" t="str" vm="5046">
        <f>CUBEVALUE("BIDB",CUBEMEMBER("BIDB","[Betalingsstatus].[Betalende medlem]"),'Præsentationstabeller 1'!$C$2,$C8,CUBEMEMBER("BIDB",{"[Measures].[Fuldtidsledige]"}),J$3,$B8)</f>
        <v/>
      </c>
      <c r="L8" s="26">
        <f t="shared" si="3"/>
        <v>0</v>
      </c>
      <c r="M8" s="25" vm="3456">
        <f>CUBEVALUE("BIDB",CUBEMEMBER("BIDB","[Betalingsstatus].[Betalende medlem]"),'Præsentationstabeller 1'!$C$2,$C8,CUBEMEMBER("BIDB",{"[Measures].[Ledighedsmulige]"}),M$3,$B8)</f>
        <v>0</v>
      </c>
      <c r="N8" s="35" t="str" vm="5813">
        <f>CUBEVALUE("BIDB",CUBEMEMBER("BIDB","[Betalingsstatus].[Betalende medlem]"),'Præsentationstabeller 1'!$C$2,$C8,CUBEMEMBER("BIDB",{"[Measures].[Fuldtidsledige]"}),M$3,$B8)</f>
        <v/>
      </c>
      <c r="O8" s="26">
        <f t="shared" si="4"/>
        <v>0</v>
      </c>
      <c r="P8" s="25" vm="3443">
        <f>CUBEVALUE("BIDB",CUBEMEMBER("BIDB","[Betalingsstatus].[Betalende medlem]"),'Præsentationstabeller 1'!$C$2,$C8,CUBEMEMBER("BIDB",{"[Measures].[Ledighedsmulige]"}),P$3,$B8)</f>
        <v>0</v>
      </c>
      <c r="Q8" s="35" t="str" vm="2588">
        <f>CUBEVALUE("BIDB",CUBEMEMBER("BIDB","[Betalingsstatus].[Betalende medlem]"),'Præsentationstabeller 1'!$C$2,$C8,CUBEMEMBER("BIDB",{"[Measures].[Fuldtidsledige]"}),P$3,$B8)</f>
        <v/>
      </c>
      <c r="R8" s="26">
        <f t="shared" si="5"/>
        <v>0</v>
      </c>
      <c r="S8" s="25" vm="3746">
        <f>CUBEVALUE("BIDB",CUBEMEMBER("BIDB","[Betalingsstatus].[Betalende medlem]"),'Præsentationstabeller 1'!$C$2,$C8,CUBEMEMBER("BIDB",{"[Measures].[Ledighedsmulige]"}),S$3,$B8)</f>
        <v>1360</v>
      </c>
      <c r="T8" s="35" vm="2219">
        <f>CUBEVALUE("BIDB",CUBEMEMBER("BIDB","[Betalingsstatus].[Betalende medlem]"),'Præsentationstabeller 1'!$C$2,$C8,CUBEMEMBER("BIDB",{"[Measures].[Fuldtidsledige]"}),S$3,$B8)</f>
        <v>13.628108108108107</v>
      </c>
      <c r="U8" s="26">
        <f t="shared" si="6"/>
        <v>1.0020667726550077</v>
      </c>
    </row>
    <row r="9" spans="2:21" ht="15" x14ac:dyDescent="0.25">
      <c r="B9" s="50" t="str" vm="4">
        <f t="shared" si="0"/>
        <v>Akademiingeniør</v>
      </c>
      <c r="C9" s="50" t="str" vm="40">
        <f>CUBEMEMBER("BIDB",{"[Uddannelsesretning].[IDA Gruppe].&amp;[Bygning]"})</f>
        <v>Bygning</v>
      </c>
      <c r="D9" s="51" t="str" vm="2585">
        <f>CUBEVALUE("BIDB",CUBEMEMBER("BIDB","[Betalingsstatus].[Betalende medlem]"),'Præsentationstabeller 1'!$C$2,$C9,CUBEMEMBER("BIDB",{"[Measures].[Ledighedsmulige]"}),D$3,$B9)</f>
        <v/>
      </c>
      <c r="E9" s="52" t="str" vm="2785">
        <f>CUBEVALUE("BIDB",CUBEMEMBER("BIDB","[Betalingsstatus].[Betalende medlem]"),'Præsentationstabeller 1'!$C$2,$C9,CUBEMEMBER("BIDB",{"[Measures].[Fuldtidsledige]"}),D$3,$B9)</f>
        <v/>
      </c>
      <c r="F9" s="53">
        <f t="shared" si="1"/>
        <v>0</v>
      </c>
      <c r="G9" s="51" t="str" vm="2731">
        <f>CUBEVALUE("BIDB",CUBEMEMBER("BIDB","[Betalingsstatus].[Betalende medlem]"),'Præsentationstabeller 1'!$C$2,$C9,CUBEMEMBER("BIDB",{"[Measures].[Ledighedsmulige]"}),G$3,$B9)</f>
        <v/>
      </c>
      <c r="H9" s="54" t="str" vm="2627">
        <f>CUBEVALUE("BIDB",CUBEMEMBER("BIDB","[Betalingsstatus].[Betalende medlem]"),'Præsentationstabeller 1'!$C$2,$C9,CUBEMEMBER("BIDB",{"[Measures].[Fuldtidsledige]"}),G$3,$B9)</f>
        <v/>
      </c>
      <c r="I9" s="53">
        <f t="shared" si="2"/>
        <v>0</v>
      </c>
      <c r="J9" s="51" vm="2283">
        <f>CUBEVALUE("BIDB",CUBEMEMBER("BIDB","[Betalingsstatus].[Betalende medlem]"),'Præsentationstabeller 1'!$C$2,$C9,CUBEMEMBER("BIDB",{"[Measures].[Ledighedsmulige]"}),J$3,$B9)</f>
        <v>0</v>
      </c>
      <c r="K9" s="54" t="str" vm="3549">
        <f>CUBEVALUE("BIDB",CUBEMEMBER("BIDB","[Betalingsstatus].[Betalende medlem]"),'Præsentationstabeller 1'!$C$2,$C9,CUBEMEMBER("BIDB",{"[Measures].[Fuldtidsledige]"}),J$3,$B9)</f>
        <v/>
      </c>
      <c r="L9" s="53">
        <f t="shared" si="3"/>
        <v>0</v>
      </c>
      <c r="M9" s="51" vm="6990">
        <f>CUBEVALUE("BIDB",CUBEMEMBER("BIDB","[Betalingsstatus].[Betalende medlem]"),'Præsentationstabeller 1'!$C$2,$C9,CUBEMEMBER("BIDB",{"[Measures].[Ledighedsmulige]"}),M$3,$B9)</f>
        <v>0</v>
      </c>
      <c r="N9" s="54" t="str" vm="6973">
        <f>CUBEVALUE("BIDB",CUBEMEMBER("BIDB","[Betalingsstatus].[Betalende medlem]"),'Præsentationstabeller 1'!$C$2,$C9,CUBEMEMBER("BIDB",{"[Measures].[Fuldtidsledige]"}),M$3,$B9)</f>
        <v/>
      </c>
      <c r="O9" s="53">
        <f t="shared" si="4"/>
        <v>0</v>
      </c>
      <c r="P9" s="51" vm="2412">
        <f>CUBEVALUE("BIDB",CUBEMEMBER("BIDB","[Betalingsstatus].[Betalende medlem]"),'Præsentationstabeller 1'!$C$2,$C9,CUBEMEMBER("BIDB",{"[Measures].[Ledighedsmulige]"}),P$3,$B9)</f>
        <v>0</v>
      </c>
      <c r="Q9" s="54" t="str" vm="3086">
        <f>CUBEVALUE("BIDB",CUBEMEMBER("BIDB","[Betalingsstatus].[Betalende medlem]"),'Præsentationstabeller 1'!$C$2,$C9,CUBEMEMBER("BIDB",{"[Measures].[Fuldtidsledige]"}),P$3,$B9)</f>
        <v/>
      </c>
      <c r="R9" s="53">
        <f t="shared" si="5"/>
        <v>0</v>
      </c>
      <c r="S9" s="51" vm="5022">
        <f>CUBEVALUE("BIDB",CUBEMEMBER("BIDB","[Betalingsstatus].[Betalende medlem]"),'Præsentationstabeller 1'!$C$2,$C9,CUBEMEMBER("BIDB",{"[Measures].[Ledighedsmulige]"}),S$3,$B9)</f>
        <v>1249</v>
      </c>
      <c r="T9" s="54" vm="2519">
        <f>CUBEVALUE("BIDB",CUBEMEMBER("BIDB","[Betalingsstatus].[Betalende medlem]"),'Præsentationstabeller 1'!$C$2,$C9,CUBEMEMBER("BIDB",{"[Measures].[Fuldtidsledige]"}),S$3,$B9)</f>
        <v>4.84</v>
      </c>
      <c r="U9" s="53">
        <f t="shared" si="6"/>
        <v>0.38751000800640512</v>
      </c>
    </row>
    <row r="10" spans="2:21" ht="15" x14ac:dyDescent="0.25">
      <c r="B10" s="9" t="str" vm="4">
        <f t="shared" si="0"/>
        <v>Akademiingeniør</v>
      </c>
      <c r="C10" s="9" t="str" vm="35">
        <f>CUBEMEMBER("BIDB",{"[Uddannelsesretning].[IDA Gruppe].&amp;[Anlæg]"})</f>
        <v>Anlæg</v>
      </c>
      <c r="D10" s="25" t="str" vm="3889">
        <f>CUBEVALUE("BIDB",CUBEMEMBER("BIDB","[Betalingsstatus].[Betalende medlem]"),'Præsentationstabeller 1'!$C$2,$C10,CUBEMEMBER("BIDB",{"[Measures].[Ledighedsmulige]"}),D$3,$B10)</f>
        <v/>
      </c>
      <c r="E10" s="30" t="str" vm="3684">
        <f>CUBEVALUE("BIDB",CUBEMEMBER("BIDB","[Betalingsstatus].[Betalende medlem]"),'Præsentationstabeller 1'!$C$2,$C10,CUBEMEMBER("BIDB",{"[Measures].[Fuldtidsledige]"}),D$3,$B10)</f>
        <v/>
      </c>
      <c r="F10" s="26">
        <f t="shared" si="1"/>
        <v>0</v>
      </c>
      <c r="G10" s="25" t="str" vm="3010">
        <f>CUBEVALUE("BIDB",CUBEMEMBER("BIDB","[Betalingsstatus].[Betalende medlem]"),'Præsentationstabeller 1'!$C$2,$C10,CUBEMEMBER("BIDB",{"[Measures].[Ledighedsmulige]"}),G$3,$B10)</f>
        <v/>
      </c>
      <c r="H10" s="35" t="str" vm="5356">
        <f>CUBEVALUE("BIDB",CUBEMEMBER("BIDB","[Betalingsstatus].[Betalende medlem]"),'Præsentationstabeller 1'!$C$2,$C10,CUBEMEMBER("BIDB",{"[Measures].[Fuldtidsledige]"}),G$3,$B10)</f>
        <v/>
      </c>
      <c r="I10" s="26">
        <f t="shared" si="2"/>
        <v>0</v>
      </c>
      <c r="J10" s="25" t="str" vm="3041">
        <f>CUBEVALUE("BIDB",CUBEMEMBER("BIDB","[Betalingsstatus].[Betalende medlem]"),'Præsentationstabeller 1'!$C$2,$C10,CUBEMEMBER("BIDB",{"[Measures].[Ledighedsmulige]"}),J$3,$B10)</f>
        <v/>
      </c>
      <c r="K10" s="35" t="str" vm="4497">
        <f>CUBEVALUE("BIDB",CUBEMEMBER("BIDB","[Betalingsstatus].[Betalende medlem]"),'Præsentationstabeller 1'!$C$2,$C10,CUBEMEMBER("BIDB",{"[Measures].[Fuldtidsledige]"}),J$3,$B10)</f>
        <v/>
      </c>
      <c r="L10" s="26">
        <f t="shared" si="3"/>
        <v>0</v>
      </c>
      <c r="M10" s="25" vm="8588">
        <f>CUBEVALUE("BIDB",CUBEMEMBER("BIDB","[Betalingsstatus].[Betalende medlem]"),'Præsentationstabeller 1'!$C$2,$C10,CUBEMEMBER("BIDB",{"[Measures].[Ledighedsmulige]"}),M$3,$B10)</f>
        <v>0</v>
      </c>
      <c r="N10" s="35" t="str" vm="2703">
        <f>CUBEVALUE("BIDB",CUBEMEMBER("BIDB","[Betalingsstatus].[Betalende medlem]"),'Præsentationstabeller 1'!$C$2,$C10,CUBEMEMBER("BIDB",{"[Measures].[Fuldtidsledige]"}),M$3,$B10)</f>
        <v/>
      </c>
      <c r="O10" s="26">
        <f t="shared" si="4"/>
        <v>0</v>
      </c>
      <c r="P10" s="25" vm="2985">
        <f>CUBEVALUE("BIDB",CUBEMEMBER("BIDB","[Betalingsstatus].[Betalende medlem]"),'Præsentationstabeller 1'!$C$2,$C10,CUBEMEMBER("BIDB",{"[Measures].[Ledighedsmulige]"}),P$3,$B10)</f>
        <v>0</v>
      </c>
      <c r="Q10" s="35" t="str" vm="2704">
        <f>CUBEVALUE("BIDB",CUBEMEMBER("BIDB","[Betalingsstatus].[Betalende medlem]"),'Præsentationstabeller 1'!$C$2,$C10,CUBEMEMBER("BIDB",{"[Measures].[Fuldtidsledige]"}),P$3,$B10)</f>
        <v/>
      </c>
      <c r="R10" s="26">
        <f t="shared" si="5"/>
        <v>0</v>
      </c>
      <c r="S10" s="25" vm="2947">
        <f>CUBEVALUE("BIDB",CUBEMEMBER("BIDB","[Betalingsstatus].[Betalende medlem]"),'Præsentationstabeller 1'!$C$2,$C10,CUBEMEMBER("BIDB",{"[Measures].[Ledighedsmulige]"}),S$3,$B10)</f>
        <v>46</v>
      </c>
      <c r="T10" s="35" vm="3162">
        <f>CUBEVALUE("BIDB",CUBEMEMBER("BIDB","[Betalingsstatus].[Betalende medlem]"),'Præsentationstabeller 1'!$C$2,$C10,CUBEMEMBER("BIDB",{"[Measures].[Fuldtidsledige]"}),S$3,$B10)</f>
        <v>0.55999999999999994</v>
      </c>
      <c r="U10" s="26">
        <f t="shared" si="6"/>
        <v>1.2173913043478259</v>
      </c>
    </row>
    <row r="11" spans="2:21" ht="15" x14ac:dyDescent="0.25">
      <c r="B11" s="50" t="str" vm="4">
        <f t="shared" si="0"/>
        <v>Akademiingeniør</v>
      </c>
      <c r="C11" s="50" t="str" vm="39">
        <f>CUBEMEMBER("BIDB",{"[Uddannelsesretning].[IDA Gruppe].&amp;[Kemi]"})</f>
        <v>Kemi</v>
      </c>
      <c r="D11" s="51" t="str" vm="4055">
        <f>CUBEVALUE("BIDB",CUBEMEMBER("BIDB","[Betalingsstatus].[Betalende medlem]"),'Præsentationstabeller 1'!$C$2,$C11,CUBEMEMBER("BIDB",{"[Measures].[Ledighedsmulige]"}),D$3,$B11)</f>
        <v/>
      </c>
      <c r="E11" s="52" t="str" vm="3028">
        <f>CUBEVALUE("BIDB",CUBEMEMBER("BIDB","[Betalingsstatus].[Betalende medlem]"),'Præsentationstabeller 1'!$C$2,$C11,CUBEMEMBER("BIDB",{"[Measures].[Fuldtidsledige]"}),D$3,$B11)</f>
        <v/>
      </c>
      <c r="F11" s="53">
        <f t="shared" si="1"/>
        <v>0</v>
      </c>
      <c r="G11" s="51" vm="6862">
        <f>CUBEVALUE("BIDB",CUBEMEMBER("BIDB","[Betalingsstatus].[Betalende medlem]"),'Præsentationstabeller 1'!$C$2,$C11,CUBEMEMBER("BIDB",{"[Measures].[Ledighedsmulige]"}),G$3,$B11)</f>
        <v>0</v>
      </c>
      <c r="H11" s="54" t="str" vm="3050">
        <f>CUBEVALUE("BIDB",CUBEMEMBER("BIDB","[Betalingsstatus].[Betalende medlem]"),'Præsentationstabeller 1'!$C$2,$C11,CUBEMEMBER("BIDB",{"[Measures].[Fuldtidsledige]"}),G$3,$B11)</f>
        <v/>
      </c>
      <c r="I11" s="53">
        <f t="shared" si="2"/>
        <v>0</v>
      </c>
      <c r="J11" s="51" vm="1915">
        <f>CUBEVALUE("BIDB",CUBEMEMBER("BIDB","[Betalingsstatus].[Betalende medlem]"),'Præsentationstabeller 1'!$C$2,$C11,CUBEMEMBER("BIDB",{"[Measures].[Ledighedsmulige]"}),J$3,$B11)</f>
        <v>0</v>
      </c>
      <c r="K11" s="54" t="str" vm="2729">
        <f>CUBEVALUE("BIDB",CUBEMEMBER("BIDB","[Betalingsstatus].[Betalende medlem]"),'Præsentationstabeller 1'!$C$2,$C11,CUBEMEMBER("BIDB",{"[Measures].[Fuldtidsledige]"}),J$3,$B11)</f>
        <v/>
      </c>
      <c r="L11" s="53">
        <f t="shared" si="3"/>
        <v>0</v>
      </c>
      <c r="M11" s="51" vm="1990">
        <f>CUBEVALUE("BIDB",CUBEMEMBER("BIDB","[Betalingsstatus].[Betalende medlem]"),'Præsentationstabeller 1'!$C$2,$C11,CUBEMEMBER("BIDB",{"[Measures].[Ledighedsmulige]"}),M$3,$B11)</f>
        <v>0</v>
      </c>
      <c r="N11" s="54" t="str" vm="2676">
        <f>CUBEVALUE("BIDB",CUBEMEMBER("BIDB","[Betalingsstatus].[Betalende medlem]"),'Præsentationstabeller 1'!$C$2,$C11,CUBEMEMBER("BIDB",{"[Measures].[Fuldtidsledige]"}),M$3,$B11)</f>
        <v/>
      </c>
      <c r="O11" s="53">
        <f t="shared" si="4"/>
        <v>0</v>
      </c>
      <c r="P11" s="51"/>
      <c r="Q11" s="54" t="str" vm="2503">
        <f>CUBEVALUE("BIDB",CUBEMEMBER("BIDB","[Betalingsstatus].[Betalende medlem]"),'Præsentationstabeller 1'!$C$2,$C11,CUBEMEMBER("BIDB",{"[Measures].[Fuldtidsledige]"}),P$3,$B11)</f>
        <v/>
      </c>
      <c r="R11" s="53">
        <f t="shared" si="5"/>
        <v>0</v>
      </c>
      <c r="S11" s="51">
        <v>1065</v>
      </c>
      <c r="T11" s="54" vm="2616">
        <f>CUBEVALUE("BIDB",CUBEMEMBER("BIDB","[Betalingsstatus].[Betalende medlem]"),'Præsentationstabeller 1'!$C$2,$C11,CUBEMEMBER("BIDB",{"[Measures].[Fuldtidsledige]"}),S$3,$B11)</f>
        <v>13.88</v>
      </c>
      <c r="U11" s="53">
        <f t="shared" si="6"/>
        <v>1.3032863849765259</v>
      </c>
    </row>
    <row r="12" spans="2:21" ht="15" x14ac:dyDescent="0.25">
      <c r="B12" s="9" t="str" vm="4">
        <f t="shared" si="0"/>
        <v>Akademiingeniør</v>
      </c>
      <c r="C12" s="9" t="str" vm="34">
        <f>CUBEMEMBER("BIDB",{"[Uddannelsesretning].[IDA Gruppe].&amp;[Teknisk ledelse]"})</f>
        <v>Teknisk ledelse</v>
      </c>
      <c r="D12" s="25" t="str" vm="5432">
        <f>CUBEVALUE("BIDB",CUBEMEMBER("BIDB","[Betalingsstatus].[Betalende medlem]"),'Præsentationstabeller 1'!$C$2,$C12,CUBEMEMBER("BIDB",{"[Measures].[Ledighedsmulige]"}),D$3,$B12)</f>
        <v/>
      </c>
      <c r="E12" s="30" t="str" vm="2856">
        <f>CUBEVALUE("BIDB",CUBEMEMBER("BIDB","[Betalingsstatus].[Betalende medlem]"),'Præsentationstabeller 1'!$C$2,$C12,CUBEMEMBER("BIDB",{"[Measures].[Fuldtidsledige]"}),D$3,$B12)</f>
        <v/>
      </c>
      <c r="F12" s="26">
        <f t="shared" si="1"/>
        <v>0</v>
      </c>
      <c r="G12" s="25" t="str" vm="3312">
        <f>CUBEVALUE("BIDB",CUBEMEMBER("BIDB","[Betalingsstatus].[Betalende medlem]"),'Præsentationstabeller 1'!$C$2,$C12,CUBEMEMBER("BIDB",{"[Measures].[Ledighedsmulige]"}),G$3,$B12)</f>
        <v/>
      </c>
      <c r="H12" s="35" t="str" vm="3006">
        <f>CUBEVALUE("BIDB",CUBEMEMBER("BIDB","[Betalingsstatus].[Betalende medlem]"),'Præsentationstabeller 1'!$C$2,$C12,CUBEMEMBER("BIDB",{"[Measures].[Fuldtidsledige]"}),G$3,$B12)</f>
        <v/>
      </c>
      <c r="I12" s="26">
        <f t="shared" si="2"/>
        <v>0</v>
      </c>
      <c r="J12" s="25" vm="2529">
        <f>CUBEVALUE("BIDB",CUBEMEMBER("BIDB","[Betalingsstatus].[Betalende medlem]"),'Præsentationstabeller 1'!$C$2,$C12,CUBEMEMBER("BIDB",{"[Measures].[Ledighedsmulige]"}),J$3,$B12)</f>
        <v>0</v>
      </c>
      <c r="K12" s="35" t="str" vm="4172">
        <f>CUBEVALUE("BIDB",CUBEMEMBER("BIDB","[Betalingsstatus].[Betalende medlem]"),'Præsentationstabeller 1'!$C$2,$C12,CUBEMEMBER("BIDB",{"[Measures].[Fuldtidsledige]"}),J$3,$B12)</f>
        <v/>
      </c>
      <c r="L12" s="26">
        <f t="shared" si="3"/>
        <v>0</v>
      </c>
      <c r="M12" s="25" vm="3704">
        <f>CUBEVALUE("BIDB",CUBEMEMBER("BIDB","[Betalingsstatus].[Betalende medlem]"),'Præsentationstabeller 1'!$C$2,$C12,CUBEMEMBER("BIDB",{"[Measures].[Ledighedsmulige]"}),M$3,$B12)</f>
        <v>0</v>
      </c>
      <c r="N12" s="35" t="str" vm="3167">
        <f>CUBEVALUE("BIDB",CUBEMEMBER("BIDB","[Betalingsstatus].[Betalende medlem]"),'Præsentationstabeller 1'!$C$2,$C12,CUBEMEMBER("BIDB",{"[Measures].[Fuldtidsledige]"}),M$3,$B12)</f>
        <v/>
      </c>
      <c r="O12" s="26">
        <f t="shared" si="4"/>
        <v>0</v>
      </c>
      <c r="P12" s="25" vm="5193">
        <f>CUBEVALUE("BIDB",CUBEMEMBER("BIDB","[Betalingsstatus].[Betalende medlem]"),'Præsentationstabeller 1'!$C$2,$C12,CUBEMEMBER("BIDB",{"[Measures].[Ledighedsmulige]"}),P$3,$B12)</f>
        <v>0</v>
      </c>
      <c r="Q12" s="35" t="str" vm="3168">
        <f>CUBEVALUE("BIDB",CUBEMEMBER("BIDB","[Betalingsstatus].[Betalende medlem]"),'Præsentationstabeller 1'!$C$2,$C12,CUBEMEMBER("BIDB",{"[Measures].[Fuldtidsledige]"}),P$3,$B12)</f>
        <v/>
      </c>
      <c r="R12" s="26">
        <f t="shared" si="5"/>
        <v>0</v>
      </c>
      <c r="S12" s="25" vm="2477">
        <f>CUBEVALUE("BIDB",CUBEMEMBER("BIDB","[Betalingsstatus].[Betalende medlem]"),'Præsentationstabeller 1'!$C$2,$C12,CUBEMEMBER("BIDB",{"[Measures].[Ledighedsmulige]"}),S$3,$B12)</f>
        <v>23</v>
      </c>
      <c r="T12" s="35" vm="2617">
        <f>CUBEVALUE("BIDB",CUBEMEMBER("BIDB","[Betalingsstatus].[Betalende medlem]"),'Præsentationstabeller 1'!$C$2,$C12,CUBEMEMBER("BIDB",{"[Measures].[Fuldtidsledige]"}),S$3,$B12)</f>
        <v>2</v>
      </c>
      <c r="U12" s="26">
        <f t="shared" si="6"/>
        <v>8.695652173913043</v>
      </c>
    </row>
    <row r="13" spans="2:21" ht="15" x14ac:dyDescent="0.25">
      <c r="B13" s="50" t="str" vm="4">
        <f t="shared" si="0"/>
        <v>Akademiingeniør</v>
      </c>
      <c r="C13" s="50" t="str" vm="38">
        <f>CUBEMEMBER("BIDB",{"[Uddannelsesretning].[IDA Gruppe].&amp;[Nye retninger]"})</f>
        <v>Nye retninger</v>
      </c>
      <c r="D13" s="51" t="str" vm="1856">
        <f>CUBEVALUE("BIDB",CUBEMEMBER("BIDB","[Betalingsstatus].[Betalende medlem]"),'Præsentationstabeller 1'!$C$2,$C13,CUBEMEMBER("BIDB",{"[Measures].[Ledighedsmulige]"}),D$3,$B13)</f>
        <v/>
      </c>
      <c r="E13" s="52" t="str" vm="2885">
        <f>CUBEVALUE("BIDB",CUBEMEMBER("BIDB","[Betalingsstatus].[Betalende medlem]"),'Præsentationstabeller 1'!$C$2,$C13,CUBEMEMBER("BIDB",{"[Measures].[Fuldtidsledige]"}),D$3,$B13)</f>
        <v/>
      </c>
      <c r="F13" s="53">
        <f t="shared" si="1"/>
        <v>0</v>
      </c>
      <c r="G13" s="51" t="str" vm="3447">
        <f>CUBEVALUE("BIDB",CUBEMEMBER("BIDB","[Betalingsstatus].[Betalende medlem]"),'Præsentationstabeller 1'!$C$2,$C13,CUBEMEMBER("BIDB",{"[Measures].[Ledighedsmulige]"}),G$3,$B13)</f>
        <v/>
      </c>
      <c r="H13" s="54" t="str" vm="2348">
        <f>CUBEVALUE("BIDB",CUBEMEMBER("BIDB","[Betalingsstatus].[Betalende medlem]"),'Præsentationstabeller 1'!$C$2,$C13,CUBEMEMBER("BIDB",{"[Measures].[Fuldtidsledige]"}),G$3,$B13)</f>
        <v/>
      </c>
      <c r="I13" s="53">
        <f t="shared" si="2"/>
        <v>0</v>
      </c>
      <c r="J13" s="51" t="str" vm="2308">
        <f>CUBEVALUE("BIDB",CUBEMEMBER("BIDB","[Betalingsstatus].[Betalende medlem]"),'Præsentationstabeller 1'!$C$2,$C13,CUBEMEMBER("BIDB",{"[Measures].[Ledighedsmulige]"}),J$3,$B13)</f>
        <v/>
      </c>
      <c r="K13" s="54" t="str" vm="2359">
        <f>CUBEVALUE("BIDB",CUBEMEMBER("BIDB","[Betalingsstatus].[Betalende medlem]"),'Præsentationstabeller 1'!$C$2,$C13,CUBEMEMBER("BIDB",{"[Measures].[Fuldtidsledige]"}),J$3,$B13)</f>
        <v/>
      </c>
      <c r="L13" s="53">
        <f t="shared" si="3"/>
        <v>0</v>
      </c>
      <c r="M13" s="51" t="str" vm="2930">
        <f>CUBEVALUE("BIDB",CUBEMEMBER("BIDB","[Betalingsstatus].[Betalende medlem]"),'Præsentationstabeller 1'!$C$2,$C13,CUBEMEMBER("BIDB",{"[Measures].[Ledighedsmulige]"}),M$3,$B13)</f>
        <v/>
      </c>
      <c r="N13" s="54" t="str" vm="3405">
        <f>CUBEVALUE("BIDB",CUBEMEMBER("BIDB","[Betalingsstatus].[Betalende medlem]"),'Præsentationstabeller 1'!$C$2,$C13,CUBEMEMBER("BIDB",{"[Measures].[Fuldtidsledige]"}),M$3,$B13)</f>
        <v/>
      </c>
      <c r="O13" s="53">
        <f t="shared" si="4"/>
        <v>0</v>
      </c>
      <c r="P13" s="51" t="str" vm="2315">
        <f>CUBEVALUE("BIDB",CUBEMEMBER("BIDB","[Betalingsstatus].[Betalende medlem]"),'Præsentationstabeller 1'!$C$2,$C13,CUBEMEMBER("BIDB",{"[Measures].[Ledighedsmulige]"}),P$3,$B13)</f>
        <v/>
      </c>
      <c r="Q13" s="54" t="str" vm="2289">
        <f>CUBEVALUE("BIDB",CUBEMEMBER("BIDB","[Betalingsstatus].[Betalende medlem]"),'Præsentationstabeller 1'!$C$2,$C13,CUBEMEMBER("BIDB",{"[Measures].[Fuldtidsledige]"}),P$3,$B13)</f>
        <v/>
      </c>
      <c r="R13" s="53">
        <f t="shared" si="5"/>
        <v>0</v>
      </c>
      <c r="S13" s="51" t="str" vm="3621">
        <f>CUBEVALUE("BIDB",CUBEMEMBER("BIDB","[Betalingsstatus].[Betalende medlem]"),'Præsentationstabeller 1'!$C$2,$C13,CUBEMEMBER("BIDB",{"[Measures].[Ledighedsmulige]"}),S$3,$B13)</f>
        <v/>
      </c>
      <c r="T13" s="54" t="str" vm="2169">
        <f>CUBEVALUE("BIDB",CUBEMEMBER("BIDB","[Betalingsstatus].[Betalende medlem]"),'Præsentationstabeller 1'!$C$2,$C13,CUBEMEMBER("BIDB",{"[Measures].[Fuldtidsledige]"}),S$3,$B13)</f>
        <v/>
      </c>
      <c r="U13" s="53">
        <f t="shared" si="6"/>
        <v>0</v>
      </c>
    </row>
    <row r="14" spans="2:21" ht="15" x14ac:dyDescent="0.25">
      <c r="B14" s="10" t="str" vm="4">
        <f t="shared" si="0"/>
        <v>Akademiingeniør</v>
      </c>
      <c r="C14" s="10" t="str" vm="33">
        <f>CUBEMEMBER("BIDB",{"[Uddannelsesretning].[IDA Gruppe].&amp;[Øvrige retninger/uoplyste]"})</f>
        <v>Øvrige retninger/uoplyste</v>
      </c>
      <c r="D14" s="41" t="str" vm="2097">
        <f>CUBEVALUE("BIDB",CUBEMEMBER("BIDB","[Betalingsstatus].[Betalende medlem]"),'Præsentationstabeller 1'!$C$2,$C14,CUBEMEMBER("BIDB",{"[Measures].[Ledighedsmulige]"}),D$3,$B14)</f>
        <v/>
      </c>
      <c r="E14" s="42" t="str" vm="4212">
        <f>CUBEVALUE("BIDB",CUBEMEMBER("BIDB","[Betalingsstatus].[Betalende medlem]"),'Præsentationstabeller 1'!$C$2,$C14,CUBEMEMBER("BIDB",{"[Measures].[Fuldtidsledige]"}),D$3,$B14)</f>
        <v/>
      </c>
      <c r="F14" s="43">
        <f t="shared" si="1"/>
        <v>0</v>
      </c>
      <c r="G14" s="41" t="str" vm="3402">
        <f>CUBEVALUE("BIDB",CUBEMEMBER("BIDB","[Betalingsstatus].[Betalende medlem]"),'Præsentationstabeller 1'!$C$2,$C14,CUBEMEMBER("BIDB",{"[Measures].[Ledighedsmulige]"}),G$3,$B14)</f>
        <v/>
      </c>
      <c r="H14" s="44" t="str" vm="1767">
        <f>CUBEVALUE("BIDB",CUBEMEMBER("BIDB","[Betalingsstatus].[Betalende medlem]"),'Præsentationstabeller 1'!$C$2,$C14,CUBEMEMBER("BIDB",{"[Measures].[Fuldtidsledige]"}),G$3,$B14)</f>
        <v/>
      </c>
      <c r="I14" s="43">
        <f t="shared" si="2"/>
        <v>0</v>
      </c>
      <c r="J14" s="41" vm="2556">
        <f>CUBEVALUE("BIDB",CUBEMEMBER("BIDB","[Betalingsstatus].[Betalende medlem]"),'Præsentationstabeller 1'!$C$2,$C14,CUBEMEMBER("BIDB",{"[Measures].[Ledighedsmulige]"}),J$3,$B14)</f>
        <v>0</v>
      </c>
      <c r="K14" s="44" t="str" vm="2298">
        <f>CUBEVALUE("BIDB",CUBEMEMBER("BIDB","[Betalingsstatus].[Betalende medlem]"),'Præsentationstabeller 1'!$C$2,$C14,CUBEMEMBER("BIDB",{"[Measures].[Fuldtidsledige]"}),J$3,$B14)</f>
        <v/>
      </c>
      <c r="L14" s="43">
        <f t="shared" si="3"/>
        <v>0</v>
      </c>
      <c r="M14" s="41" vm="2222">
        <f>CUBEVALUE("BIDB",CUBEMEMBER("BIDB","[Betalingsstatus].[Betalende medlem]"),'Præsentationstabeller 1'!$C$2,$C14,CUBEMEMBER("BIDB",{"[Measures].[Ledighedsmulige]"}),M$3,$B14)</f>
        <v>0</v>
      </c>
      <c r="N14" s="44" t="str" vm="1962">
        <f>CUBEVALUE("BIDB",CUBEMEMBER("BIDB","[Betalingsstatus].[Betalende medlem]"),'Præsentationstabeller 1'!$C$2,$C14,CUBEMEMBER("BIDB",{"[Measures].[Fuldtidsledige]"}),M$3,$B14)</f>
        <v/>
      </c>
      <c r="O14" s="43">
        <f t="shared" si="4"/>
        <v>0</v>
      </c>
      <c r="P14" s="41" vm="2435">
        <f>CUBEVALUE("BIDB",CUBEMEMBER("BIDB","[Betalingsstatus].[Betalende medlem]"),'Præsentationstabeller 1'!$C$2,$C14,CUBEMEMBER("BIDB",{"[Measures].[Ledighedsmulige]"}),P$3,$B14)</f>
        <v>0</v>
      </c>
      <c r="Q14" s="44" t="str" vm="5689">
        <f>CUBEVALUE("BIDB",CUBEMEMBER("BIDB","[Betalingsstatus].[Betalende medlem]"),'Præsentationstabeller 1'!$C$2,$C14,CUBEMEMBER("BIDB",{"[Measures].[Fuldtidsledige]"}),P$3,$B14)</f>
        <v/>
      </c>
      <c r="R14" s="43">
        <f t="shared" si="5"/>
        <v>0</v>
      </c>
      <c r="S14" s="41" vm="1770">
        <f>CUBEVALUE("BIDB",CUBEMEMBER("BIDB","[Betalingsstatus].[Betalende medlem]"),'Præsentationstabeller 1'!$C$2,$C14,CUBEMEMBER("BIDB",{"[Measures].[Ledighedsmulige]"}),S$3,$B14)</f>
        <v>243</v>
      </c>
      <c r="T14" s="44" vm="5433">
        <f>CUBEVALUE("BIDB",CUBEMEMBER("BIDB","[Betalingsstatus].[Betalende medlem]"),'Præsentationstabeller 1'!$C$2,$C14,CUBEMEMBER("BIDB",{"[Measures].[Fuldtidsledige]"}),S$3,$B14)</f>
        <v>6.2</v>
      </c>
      <c r="U14" s="43">
        <f t="shared" si="6"/>
        <v>2.5514403292181069</v>
      </c>
    </row>
    <row r="15" spans="2:21" ht="15" x14ac:dyDescent="0.25">
      <c r="B15" s="45" t="str" vm="10">
        <f t="shared" ref="B15:B23" si="7">CUBEMEMBER("BIDB","[Uddannelse].[IDA Gruppe].&amp;[Teknikumingeniør]")</f>
        <v>Teknikumingeniør</v>
      </c>
      <c r="C15" s="45" t="str" vm="37">
        <f>CUBEMEMBER("BIDB",{"[Uddannelsesretning].[IDA Gruppe].&amp;[Maskin]"})</f>
        <v>Maskin</v>
      </c>
      <c r="D15" s="46" t="str" vm="3520">
        <f>CUBEVALUE("BIDB",CUBEMEMBER("BIDB","[Betalingsstatus].[Betalende medlem]"),'Præsentationstabeller 1'!$C$2,$C15,CUBEMEMBER("BIDB",{"[Measures].[Ledighedsmulige]"}),D$3,$B15)</f>
        <v/>
      </c>
      <c r="E15" s="47" t="str" vm="4449">
        <f>CUBEVALUE("BIDB",CUBEMEMBER("BIDB","[Betalingsstatus].[Betalende medlem]"),'Præsentationstabeller 1'!$C$2,$C15,CUBEMEMBER("BIDB",{"[Measures].[Fuldtidsledige]"}),D$3,$B15)</f>
        <v/>
      </c>
      <c r="F15" s="48">
        <f t="shared" si="1"/>
        <v>0</v>
      </c>
      <c r="G15" s="46" t="str" vm="2258">
        <f>CUBEVALUE("BIDB",CUBEMEMBER("BIDB","[Betalingsstatus].[Betalende medlem]"),'Præsentationstabeller 1'!$C$2,$C15,CUBEMEMBER("BIDB",{"[Measures].[Ledighedsmulige]"}),G$3,$B15)</f>
        <v/>
      </c>
      <c r="H15" s="49" t="str" vm="4926">
        <f>CUBEVALUE("BIDB",CUBEMEMBER("BIDB","[Betalingsstatus].[Betalende medlem]"),'Præsentationstabeller 1'!$C$2,$C15,CUBEMEMBER("BIDB",{"[Measures].[Fuldtidsledige]"}),G$3,$B15)</f>
        <v/>
      </c>
      <c r="I15" s="48">
        <f t="shared" si="2"/>
        <v>0</v>
      </c>
      <c r="J15" s="46" vm="3561">
        <f>CUBEVALUE("BIDB",CUBEMEMBER("BIDB","[Betalingsstatus].[Betalende medlem]"),'Præsentationstabeller 1'!$C$2,$C15,CUBEMEMBER("BIDB",{"[Measures].[Ledighedsmulige]"}),J$3,$B15)</f>
        <v>0</v>
      </c>
      <c r="K15" s="49" t="str" vm="3609">
        <f>CUBEVALUE("BIDB",CUBEMEMBER("BIDB","[Betalingsstatus].[Betalende medlem]"),'Præsentationstabeller 1'!$C$2,$C15,CUBEMEMBER("BIDB",{"[Measures].[Fuldtidsledige]"}),J$3,$B15)</f>
        <v/>
      </c>
      <c r="L15" s="48">
        <f t="shared" si="3"/>
        <v>0</v>
      </c>
      <c r="M15" s="46"/>
      <c r="N15" s="49" t="str" vm="2662">
        <f>CUBEVALUE("BIDB",CUBEMEMBER("BIDB","[Betalingsstatus].[Betalende medlem]"),'Præsentationstabeller 1'!$C$2,$C15,CUBEMEMBER("BIDB",{"[Measures].[Fuldtidsledige]"}),M$3,$B15)</f>
        <v/>
      </c>
      <c r="O15" s="48">
        <f t="shared" si="4"/>
        <v>0</v>
      </c>
      <c r="P15" s="46" vm="2478">
        <f>CUBEVALUE("BIDB",CUBEMEMBER("BIDB","[Betalingsstatus].[Betalende medlem]"),'Præsentationstabeller 1'!$C$2,$C15,CUBEMEMBER("BIDB",{"[Measures].[Ledighedsmulige]"}),P$3,$B15)</f>
        <v>0</v>
      </c>
      <c r="Q15" s="49" t="str" vm="3661">
        <f>CUBEVALUE("BIDB",CUBEMEMBER("BIDB","[Betalingsstatus].[Betalende medlem]"),'Præsentationstabeller 1'!$C$2,$C15,CUBEMEMBER("BIDB",{"[Measures].[Fuldtidsledige]"}),P$3,$B15)</f>
        <v/>
      </c>
      <c r="R15" s="48">
        <f t="shared" si="5"/>
        <v>0</v>
      </c>
      <c r="S15" s="46">
        <v>3606</v>
      </c>
      <c r="T15" s="49" vm="2752">
        <f>CUBEVALUE("BIDB",CUBEMEMBER("BIDB","[Betalingsstatus].[Betalende medlem]"),'Præsentationstabeller 1'!$C$2,$C15,CUBEMEMBER("BIDB",{"[Measures].[Fuldtidsledige]"}),S$3,$B15)</f>
        <v>36.98043243243243</v>
      </c>
      <c r="U15" s="48">
        <f t="shared" si="6"/>
        <v>1.0255250258578046</v>
      </c>
    </row>
    <row r="16" spans="2:21" ht="15" x14ac:dyDescent="0.25">
      <c r="B16" s="9" t="str" vm="10">
        <f t="shared" si="7"/>
        <v>Teknikumingeniør</v>
      </c>
      <c r="C16" s="9" t="str" vm="41">
        <f>CUBEMEMBER("BIDB",{"[Uddannelsesretning].[IDA Gruppe].&amp;[Produktion]"})</f>
        <v>Produktion</v>
      </c>
      <c r="D16" s="25" t="str" vm="4976">
        <f>CUBEVALUE("BIDB",CUBEMEMBER("BIDB","[Betalingsstatus].[Betalende medlem]"),'Præsentationstabeller 1'!$C$2,$C16,CUBEMEMBER("BIDB",{"[Measures].[Ledighedsmulige]"}),D$3,$B16)</f>
        <v/>
      </c>
      <c r="E16" s="30" t="str" vm="4100">
        <f>CUBEVALUE("BIDB",CUBEMEMBER("BIDB","[Betalingsstatus].[Betalende medlem]"),'Præsentationstabeller 1'!$C$2,$C16,CUBEMEMBER("BIDB",{"[Measures].[Fuldtidsledige]"}),D$3,$B16)</f>
        <v/>
      </c>
      <c r="F16" s="26">
        <f t="shared" si="1"/>
        <v>0</v>
      </c>
      <c r="G16" s="25" t="str" vm="2463">
        <f>CUBEVALUE("BIDB",CUBEMEMBER("BIDB","[Betalingsstatus].[Betalende medlem]"),'Præsentationstabeller 1'!$C$2,$C16,CUBEMEMBER("BIDB",{"[Measures].[Ledighedsmulige]"}),G$3,$B16)</f>
        <v/>
      </c>
      <c r="H16" s="35" t="str" vm="2545">
        <f>CUBEVALUE("BIDB",CUBEMEMBER("BIDB","[Betalingsstatus].[Betalende medlem]"),'Præsentationstabeller 1'!$C$2,$C16,CUBEMEMBER("BIDB",{"[Measures].[Fuldtidsledige]"}),G$3,$B16)</f>
        <v/>
      </c>
      <c r="I16" s="26">
        <f t="shared" si="2"/>
        <v>0</v>
      </c>
      <c r="J16" s="25" vm="2253">
        <f>CUBEVALUE("BIDB",CUBEMEMBER("BIDB","[Betalingsstatus].[Betalende medlem]"),'Præsentationstabeller 1'!$C$2,$C16,CUBEMEMBER("BIDB",{"[Measures].[Ledighedsmulige]"}),J$3,$B16)</f>
        <v>0</v>
      </c>
      <c r="K16" s="35" t="str" vm="2193">
        <f>CUBEVALUE("BIDB",CUBEMEMBER("BIDB","[Betalingsstatus].[Betalende medlem]"),'Præsentationstabeller 1'!$C$2,$C16,CUBEMEMBER("BIDB",{"[Measures].[Fuldtidsledige]"}),J$3,$B16)</f>
        <v/>
      </c>
      <c r="L16" s="26">
        <f t="shared" si="3"/>
        <v>0</v>
      </c>
      <c r="M16" s="25"/>
      <c r="N16" s="35" t="str" vm="1855">
        <f>CUBEVALUE("BIDB",CUBEMEMBER("BIDB","[Betalingsstatus].[Betalende medlem]"),'Præsentationstabeller 1'!$C$2,$C16,CUBEMEMBER("BIDB",{"[Measures].[Fuldtidsledige]"}),M$3,$B16)</f>
        <v/>
      </c>
      <c r="O16" s="26">
        <f t="shared" si="4"/>
        <v>0</v>
      </c>
      <c r="P16" s="25" vm="3188">
        <f>CUBEVALUE("BIDB",CUBEMEMBER("BIDB","[Betalingsstatus].[Betalende medlem]"),'Præsentationstabeller 1'!$C$2,$C16,CUBEMEMBER("BIDB",{"[Measures].[Ledighedsmulige]"}),P$3,$B16)</f>
        <v>0</v>
      </c>
      <c r="Q16" s="35" t="str" vm="5968">
        <f>CUBEVALUE("BIDB",CUBEMEMBER("BIDB","[Betalingsstatus].[Betalende medlem]"),'Præsentationstabeller 1'!$C$2,$C16,CUBEMEMBER("BIDB",{"[Measures].[Fuldtidsledige]"}),P$3,$B16)</f>
        <v/>
      </c>
      <c r="R16" s="26">
        <f t="shared" si="5"/>
        <v>0</v>
      </c>
      <c r="S16" s="25" vm="2528">
        <f>CUBEVALUE("BIDB",CUBEMEMBER("BIDB","[Betalingsstatus].[Betalende medlem]"),'Præsentationstabeller 1'!$C$2,$C16,CUBEMEMBER("BIDB",{"[Measures].[Ledighedsmulige]"}),S$3,$B16)</f>
        <v>1139</v>
      </c>
      <c r="T16" s="35" vm="1705">
        <f>CUBEVALUE("BIDB",CUBEMEMBER("BIDB","[Betalingsstatus].[Betalende medlem]"),'Præsentationstabeller 1'!$C$2,$C16,CUBEMEMBER("BIDB",{"[Measures].[Fuldtidsledige]"}),S$3,$B16)</f>
        <v>19.529729729729731</v>
      </c>
      <c r="U16" s="26">
        <f t="shared" si="6"/>
        <v>1.7146382554635409</v>
      </c>
    </row>
    <row r="17" spans="2:21" ht="15" x14ac:dyDescent="0.25">
      <c r="B17" s="50" t="str" vm="10">
        <f t="shared" si="7"/>
        <v>Teknikumingeniør</v>
      </c>
      <c r="C17" s="50" t="str" vm="36">
        <f>CUBEMEMBER("BIDB",{"[Uddannelsesretning].[IDA Gruppe].&amp;[Elektronik-IT]"})</f>
        <v>Elektronik-IT</v>
      </c>
      <c r="D17" s="51" t="str" vm="2427">
        <f>CUBEVALUE("BIDB",CUBEMEMBER("BIDB","[Betalingsstatus].[Betalende medlem]"),'Præsentationstabeller 1'!$C$2,$C17,CUBEMEMBER("BIDB",{"[Measures].[Ledighedsmulige]"}),D$3,$B17)</f>
        <v/>
      </c>
      <c r="E17" s="52" t="str" vm="2190">
        <f>CUBEVALUE("BIDB",CUBEMEMBER("BIDB","[Betalingsstatus].[Betalende medlem]"),'Præsentationstabeller 1'!$C$2,$C17,CUBEMEMBER("BIDB",{"[Measures].[Fuldtidsledige]"}),D$3,$B17)</f>
        <v/>
      </c>
      <c r="F17" s="53">
        <f t="shared" si="1"/>
        <v>0</v>
      </c>
      <c r="G17" s="51" t="str" vm="2834">
        <f>CUBEVALUE("BIDB",CUBEMEMBER("BIDB","[Betalingsstatus].[Betalende medlem]"),'Præsentationstabeller 1'!$C$2,$C17,CUBEMEMBER("BIDB",{"[Measures].[Ledighedsmulige]"}),G$3,$B17)</f>
        <v/>
      </c>
      <c r="H17" s="54" t="str" vm="2700">
        <f>CUBEVALUE("BIDB",CUBEMEMBER("BIDB","[Betalingsstatus].[Betalende medlem]"),'Præsentationstabeller 1'!$C$2,$C17,CUBEMEMBER("BIDB",{"[Measures].[Fuldtidsledige]"}),G$3,$B17)</f>
        <v/>
      </c>
      <c r="I17" s="53">
        <f t="shared" si="2"/>
        <v>0</v>
      </c>
      <c r="J17" s="51" vm="1655">
        <f>CUBEVALUE("BIDB",CUBEMEMBER("BIDB","[Betalingsstatus].[Betalende medlem]"),'Præsentationstabeller 1'!$C$2,$C17,CUBEMEMBER("BIDB",{"[Measures].[Ledighedsmulige]"}),J$3,$B17)</f>
        <v>0</v>
      </c>
      <c r="K17" s="54" t="str" vm="2402">
        <f>CUBEVALUE("BIDB",CUBEMEMBER("BIDB","[Betalingsstatus].[Betalende medlem]"),'Præsentationstabeller 1'!$C$2,$C17,CUBEMEMBER("BIDB",{"[Measures].[Fuldtidsledige]"}),J$3,$B17)</f>
        <v/>
      </c>
      <c r="L17" s="53">
        <f t="shared" si="3"/>
        <v>0</v>
      </c>
      <c r="M17" s="51"/>
      <c r="N17" s="54" t="str" vm="2957">
        <f>CUBEVALUE("BIDB",CUBEMEMBER("BIDB","[Betalingsstatus].[Betalende medlem]"),'Præsentationstabeller 1'!$C$2,$C17,CUBEMEMBER("BIDB",{"[Measures].[Fuldtidsledige]"}),M$3,$B17)</f>
        <v/>
      </c>
      <c r="O17" s="53">
        <f t="shared" si="4"/>
        <v>0</v>
      </c>
      <c r="P17" s="51"/>
      <c r="Q17" s="54" t="str" vm="3943">
        <f>CUBEVALUE("BIDB",CUBEMEMBER("BIDB","[Betalingsstatus].[Betalende medlem]"),'Præsentationstabeller 1'!$C$2,$C17,CUBEMEMBER("BIDB",{"[Measures].[Fuldtidsledige]"}),P$3,$B17)</f>
        <v/>
      </c>
      <c r="R17" s="53">
        <f t="shared" si="5"/>
        <v>0</v>
      </c>
      <c r="S17" s="51">
        <v>4265</v>
      </c>
      <c r="T17" s="54" vm="2422">
        <f>CUBEVALUE("BIDB",CUBEMEMBER("BIDB","[Betalingsstatus].[Betalende medlem]"),'Præsentationstabeller 1'!$C$2,$C17,CUBEMEMBER("BIDB",{"[Measures].[Fuldtidsledige]"}),S$3,$B17)</f>
        <v>52.924324324324324</v>
      </c>
      <c r="U17" s="53">
        <f t="shared" si="6"/>
        <v>1.2408985773581318</v>
      </c>
    </row>
    <row r="18" spans="2:21" ht="15" x14ac:dyDescent="0.25">
      <c r="B18" s="9" t="str" vm="10">
        <f t="shared" si="7"/>
        <v>Teknikumingeniør</v>
      </c>
      <c r="C18" s="9" t="str" vm="40">
        <f>CUBEMEMBER("BIDB",{"[Uddannelsesretning].[IDA Gruppe].&amp;[Bygning]"})</f>
        <v>Bygning</v>
      </c>
      <c r="D18" s="25" vm="2240">
        <f>CUBEVALUE("BIDB",CUBEMEMBER("BIDB","[Betalingsstatus].[Betalende medlem]"),'Præsentationstabeller 1'!$C$2,$C18,CUBEMEMBER("BIDB",{"[Measures].[Ledighedsmulige]"}),D$3,$B18)</f>
        <v>0</v>
      </c>
      <c r="E18" s="30" t="str" vm="3946">
        <f>CUBEVALUE("BIDB",CUBEMEMBER("BIDB","[Betalingsstatus].[Betalende medlem]"),'Præsentationstabeller 1'!$C$2,$C18,CUBEMEMBER("BIDB",{"[Measures].[Fuldtidsledige]"}),D$3,$B18)</f>
        <v/>
      </c>
      <c r="F18" s="26">
        <f t="shared" si="1"/>
        <v>0</v>
      </c>
      <c r="G18" s="25" t="str" vm="2232">
        <f>CUBEVALUE("BIDB",CUBEMEMBER("BIDB","[Betalingsstatus].[Betalende medlem]"),'Præsentationstabeller 1'!$C$2,$C18,CUBEMEMBER("BIDB",{"[Measures].[Ledighedsmulige]"}),G$3,$B18)</f>
        <v/>
      </c>
      <c r="H18" s="35" t="str" vm="2471">
        <f>CUBEVALUE("BIDB",CUBEMEMBER("BIDB","[Betalingsstatus].[Betalende medlem]"),'Præsentationstabeller 1'!$C$2,$C18,CUBEMEMBER("BIDB",{"[Measures].[Fuldtidsledige]"}),G$3,$B18)</f>
        <v/>
      </c>
      <c r="I18" s="26">
        <f t="shared" si="2"/>
        <v>0</v>
      </c>
      <c r="J18" s="25" vm="3593">
        <f>CUBEVALUE("BIDB",CUBEMEMBER("BIDB","[Betalingsstatus].[Betalende medlem]"),'Præsentationstabeller 1'!$C$2,$C18,CUBEMEMBER("BIDB",{"[Measures].[Ledighedsmulige]"}),J$3,$B18)</f>
        <v>0</v>
      </c>
      <c r="K18" s="35" t="str" vm="2819">
        <f>CUBEVALUE("BIDB",CUBEMEMBER("BIDB","[Betalingsstatus].[Betalende medlem]"),'Præsentationstabeller 1'!$C$2,$C18,CUBEMEMBER("BIDB",{"[Measures].[Fuldtidsledige]"}),J$3,$B18)</f>
        <v/>
      </c>
      <c r="L18" s="26">
        <f t="shared" si="3"/>
        <v>0</v>
      </c>
      <c r="M18" s="25" vm="6992">
        <f>CUBEVALUE("BIDB",CUBEMEMBER("BIDB","[Betalingsstatus].[Betalende medlem]"),'Præsentationstabeller 1'!$C$2,$C18,CUBEMEMBER("BIDB",{"[Measures].[Ledighedsmulige]"}),M$3,$B18)</f>
        <v>0</v>
      </c>
      <c r="N18" s="35" t="str" vm="3068">
        <f>CUBEVALUE("BIDB",CUBEMEMBER("BIDB","[Betalingsstatus].[Betalende medlem]"),'Præsentationstabeller 1'!$C$2,$C18,CUBEMEMBER("BIDB",{"[Measures].[Fuldtidsledige]"}),M$3,$B18)</f>
        <v/>
      </c>
      <c r="O18" s="26">
        <f t="shared" si="4"/>
        <v>0</v>
      </c>
      <c r="P18" s="25"/>
      <c r="Q18" s="35" t="str" vm="2129">
        <f>CUBEVALUE("BIDB",CUBEMEMBER("BIDB","[Betalingsstatus].[Betalende medlem]"),'Præsentationstabeller 1'!$C$2,$C18,CUBEMEMBER("BIDB",{"[Measures].[Fuldtidsledige]"}),P$3,$B18)</f>
        <v/>
      </c>
      <c r="R18" s="26">
        <f t="shared" si="5"/>
        <v>0</v>
      </c>
      <c r="S18" s="25">
        <v>2773</v>
      </c>
      <c r="T18" s="35" vm="2162">
        <f>CUBEVALUE("BIDB",CUBEMEMBER("BIDB","[Betalingsstatus].[Betalende medlem]"),'Præsentationstabeller 1'!$C$2,$C18,CUBEMEMBER("BIDB",{"[Measures].[Fuldtidsledige]"}),S$3,$B18)</f>
        <v>16.919999999999998</v>
      </c>
      <c r="U18" s="26">
        <f t="shared" si="6"/>
        <v>0.61016949152542366</v>
      </c>
    </row>
    <row r="19" spans="2:21" ht="15" x14ac:dyDescent="0.25">
      <c r="B19" s="50" t="str" vm="10">
        <f t="shared" si="7"/>
        <v>Teknikumingeniør</v>
      </c>
      <c r="C19" s="50" t="str" vm="35">
        <f>CUBEMEMBER("BIDB",{"[Uddannelsesretning].[IDA Gruppe].&amp;[Anlæg]"})</f>
        <v>Anlæg</v>
      </c>
      <c r="D19" s="51" t="str" vm="2635">
        <f>CUBEVALUE("BIDB",CUBEMEMBER("BIDB","[Betalingsstatus].[Betalende medlem]"),'Præsentationstabeller 1'!$C$2,$C19,CUBEMEMBER("BIDB",{"[Measures].[Ledighedsmulige]"}),D$3,$B19)</f>
        <v/>
      </c>
      <c r="E19" s="52" t="str" vm="3029">
        <f>CUBEVALUE("BIDB",CUBEMEMBER("BIDB","[Betalingsstatus].[Betalende medlem]"),'Præsentationstabeller 1'!$C$2,$C19,CUBEMEMBER("BIDB",{"[Measures].[Fuldtidsledige]"}),D$3,$B19)</f>
        <v/>
      </c>
      <c r="F19" s="53">
        <f t="shared" si="1"/>
        <v>0</v>
      </c>
      <c r="G19" s="51" t="str" vm="3844">
        <f>CUBEVALUE("BIDB",CUBEMEMBER("BIDB","[Betalingsstatus].[Betalende medlem]"),'Præsentationstabeller 1'!$C$2,$C19,CUBEMEMBER("BIDB",{"[Measures].[Ledighedsmulige]"}),G$3,$B19)</f>
        <v/>
      </c>
      <c r="H19" s="54" t="str" vm="2239">
        <f>CUBEVALUE("BIDB",CUBEMEMBER("BIDB","[Betalingsstatus].[Betalende medlem]"),'Præsentationstabeller 1'!$C$2,$C19,CUBEMEMBER("BIDB",{"[Measures].[Fuldtidsledige]"}),G$3,$B19)</f>
        <v/>
      </c>
      <c r="I19" s="53">
        <f t="shared" si="2"/>
        <v>0</v>
      </c>
      <c r="J19" s="51" t="str" vm="2076">
        <f>CUBEVALUE("BIDB",CUBEMEMBER("BIDB","[Betalingsstatus].[Betalende medlem]"),'Præsentationstabeller 1'!$C$2,$C19,CUBEMEMBER("BIDB",{"[Measures].[Ledighedsmulige]"}),J$3,$B19)</f>
        <v/>
      </c>
      <c r="K19" s="54" t="str" vm="2078">
        <f>CUBEVALUE("BIDB",CUBEMEMBER("BIDB","[Betalingsstatus].[Betalende medlem]"),'Præsentationstabeller 1'!$C$2,$C19,CUBEMEMBER("BIDB",{"[Measures].[Fuldtidsledige]"}),J$3,$B19)</f>
        <v/>
      </c>
      <c r="L19" s="53">
        <f t="shared" si="3"/>
        <v>0</v>
      </c>
      <c r="M19" s="51" vm="2410">
        <f>CUBEVALUE("BIDB",CUBEMEMBER("BIDB","[Betalingsstatus].[Betalende medlem]"),'Præsentationstabeller 1'!$C$2,$C19,CUBEMEMBER("BIDB",{"[Measures].[Ledighedsmulige]"}),M$3,$B19)</f>
        <v>0</v>
      </c>
      <c r="N19" s="54" t="str" vm="2462">
        <f>CUBEVALUE("BIDB",CUBEMEMBER("BIDB","[Betalingsstatus].[Betalende medlem]"),'Præsentationstabeller 1'!$C$2,$C19,CUBEMEMBER("BIDB",{"[Measures].[Fuldtidsledige]"}),M$3,$B19)</f>
        <v/>
      </c>
      <c r="O19" s="53">
        <f t="shared" si="4"/>
        <v>0</v>
      </c>
      <c r="P19" s="51"/>
      <c r="Q19" s="54" t="str" vm="2194">
        <f>CUBEVALUE("BIDB",CUBEMEMBER("BIDB","[Betalingsstatus].[Betalende medlem]"),'Præsentationstabeller 1'!$C$2,$C19,CUBEMEMBER("BIDB",{"[Measures].[Fuldtidsledige]"}),P$3,$B19)</f>
        <v/>
      </c>
      <c r="R19" s="53">
        <f t="shared" si="5"/>
        <v>0</v>
      </c>
      <c r="S19" s="51" vm="2632">
        <f>CUBEVALUE("BIDB",CUBEMEMBER("BIDB","[Betalingsstatus].[Betalende medlem]"),'Præsentationstabeller 1'!$C$2,$C19,CUBEMEMBER("BIDB",{"[Measures].[Ledighedsmulige]"}),S$3,$B19)</f>
        <v>246</v>
      </c>
      <c r="T19" s="54" vm="2364">
        <f>CUBEVALUE("BIDB",CUBEMEMBER("BIDB","[Betalingsstatus].[Betalende medlem]"),'Præsentationstabeller 1'!$C$2,$C19,CUBEMEMBER("BIDB",{"[Measures].[Fuldtidsledige]"}),S$3,$B19)</f>
        <v>2.7199999999999998</v>
      </c>
      <c r="U19" s="53">
        <f t="shared" si="6"/>
        <v>1.1056910569105689</v>
      </c>
    </row>
    <row r="20" spans="2:21" ht="15" x14ac:dyDescent="0.25">
      <c r="B20" s="9" t="str" vm="10">
        <f t="shared" si="7"/>
        <v>Teknikumingeniør</v>
      </c>
      <c r="C20" s="9" t="str" vm="39">
        <f>CUBEMEMBER("BIDB",{"[Uddannelsesretning].[IDA Gruppe].&amp;[Kemi]"})</f>
        <v>Kemi</v>
      </c>
      <c r="D20" s="25" t="str" vm="2539">
        <f>CUBEVALUE("BIDB",CUBEMEMBER("BIDB","[Betalingsstatus].[Betalende medlem]"),'Præsentationstabeller 1'!$C$2,$C20,CUBEMEMBER("BIDB",{"[Measures].[Ledighedsmulige]"}),D$3,$B20)</f>
        <v/>
      </c>
      <c r="E20" s="30" t="str" vm="2243">
        <f>CUBEVALUE("BIDB",CUBEMEMBER("BIDB","[Betalingsstatus].[Betalende medlem]"),'Præsentationstabeller 1'!$C$2,$C20,CUBEMEMBER("BIDB",{"[Measures].[Fuldtidsledige]"}),D$3,$B20)</f>
        <v/>
      </c>
      <c r="F20" s="26">
        <f t="shared" si="1"/>
        <v>0</v>
      </c>
      <c r="G20" s="25" t="str" vm="4060">
        <f>CUBEVALUE("BIDB",CUBEMEMBER("BIDB","[Betalingsstatus].[Betalende medlem]"),'Præsentationstabeller 1'!$C$2,$C20,CUBEMEMBER("BIDB",{"[Measures].[Ledighedsmulige]"}),G$3,$B20)</f>
        <v/>
      </c>
      <c r="H20" s="35" t="str" vm="2867">
        <f>CUBEVALUE("BIDB",CUBEMEMBER("BIDB","[Betalingsstatus].[Betalende medlem]"),'Præsentationstabeller 1'!$C$2,$C20,CUBEMEMBER("BIDB",{"[Measures].[Fuldtidsledige]"}),G$3,$B20)</f>
        <v/>
      </c>
      <c r="I20" s="26">
        <f t="shared" si="2"/>
        <v>0</v>
      </c>
      <c r="J20" s="25" vm="3147">
        <f>CUBEVALUE("BIDB",CUBEMEMBER("BIDB","[Betalingsstatus].[Betalende medlem]"),'Præsentationstabeller 1'!$C$2,$C20,CUBEMEMBER("BIDB",{"[Measures].[Ledighedsmulige]"}),J$3,$B20)</f>
        <v>0</v>
      </c>
      <c r="K20" s="35" t="str" vm="2753">
        <f>CUBEVALUE("BIDB",CUBEMEMBER("BIDB","[Betalingsstatus].[Betalende medlem]"),'Præsentationstabeller 1'!$C$2,$C20,CUBEMEMBER("BIDB",{"[Measures].[Fuldtidsledige]"}),J$3,$B20)</f>
        <v/>
      </c>
      <c r="L20" s="26">
        <f t="shared" si="3"/>
        <v>0</v>
      </c>
      <c r="M20" s="25" vm="2132">
        <f>CUBEVALUE("BIDB",CUBEMEMBER("BIDB","[Betalingsstatus].[Betalende medlem]"),'Præsentationstabeller 1'!$C$2,$C20,CUBEMEMBER("BIDB",{"[Measures].[Ledighedsmulige]"}),M$3,$B20)</f>
        <v>0</v>
      </c>
      <c r="N20" s="35" t="str" vm="4795">
        <f>CUBEVALUE("BIDB",CUBEMEMBER("BIDB","[Betalingsstatus].[Betalende medlem]"),'Præsentationstabeller 1'!$C$2,$C20,CUBEMEMBER("BIDB",{"[Measures].[Fuldtidsledige]"}),M$3,$B20)</f>
        <v/>
      </c>
      <c r="O20" s="26">
        <f t="shared" si="4"/>
        <v>0</v>
      </c>
      <c r="P20" s="25" vm="2960">
        <f>CUBEVALUE("BIDB",CUBEMEMBER("BIDB","[Betalingsstatus].[Betalende medlem]"),'Præsentationstabeller 1'!$C$2,$C20,CUBEMEMBER("BIDB",{"[Measures].[Ledighedsmulige]"}),P$3,$B20)</f>
        <v>0</v>
      </c>
      <c r="Q20" s="35" t="str" vm="2871">
        <f>CUBEVALUE("BIDB",CUBEMEMBER("BIDB","[Betalingsstatus].[Betalende medlem]"),'Præsentationstabeller 1'!$C$2,$C20,CUBEMEMBER("BIDB",{"[Measures].[Fuldtidsledige]"}),P$3,$B20)</f>
        <v/>
      </c>
      <c r="R20" s="26">
        <f t="shared" si="5"/>
        <v>0</v>
      </c>
      <c r="S20" s="25" vm="3417">
        <f>CUBEVALUE("BIDB",CUBEMEMBER("BIDB","[Betalingsstatus].[Betalende medlem]"),'Præsentationstabeller 1'!$C$2,$C20,CUBEMEMBER("BIDB",{"[Measures].[Ledighedsmulige]"}),S$3,$B20)</f>
        <v>541</v>
      </c>
      <c r="T20" s="35" vm="3128">
        <f>CUBEVALUE("BIDB",CUBEMEMBER("BIDB","[Betalingsstatus].[Betalende medlem]"),'Præsentationstabeller 1'!$C$2,$C20,CUBEMEMBER("BIDB",{"[Measures].[Fuldtidsledige]"}),S$3,$B20)</f>
        <v>4.5518918918918923</v>
      </c>
      <c r="U20" s="26">
        <f t="shared" si="6"/>
        <v>0.84138482290053462</v>
      </c>
    </row>
    <row r="21" spans="2:21" ht="15" x14ac:dyDescent="0.25">
      <c r="B21" s="50" t="str" vm="10">
        <f t="shared" si="7"/>
        <v>Teknikumingeniør</v>
      </c>
      <c r="C21" s="50" t="str" vm="34">
        <f>CUBEMEMBER("BIDB",{"[Uddannelsesretning].[IDA Gruppe].&amp;[Teknisk ledelse]"})</f>
        <v>Teknisk ledelse</v>
      </c>
      <c r="D21" s="51" vm="2118">
        <f>CUBEVALUE("BIDB",CUBEMEMBER("BIDB","[Betalingsstatus].[Betalende medlem]"),'Præsentationstabeller 1'!$C$2,$C21,CUBEMEMBER("BIDB",{"[Measures].[Ledighedsmulige]"}),D$3,$B21)</f>
        <v>0</v>
      </c>
      <c r="E21" s="52" t="str" vm="3074">
        <f>CUBEVALUE("BIDB",CUBEMEMBER("BIDB","[Betalingsstatus].[Betalende medlem]"),'Præsentationstabeller 1'!$C$2,$C21,CUBEMEMBER("BIDB",{"[Measures].[Fuldtidsledige]"}),D$3,$B21)</f>
        <v/>
      </c>
      <c r="F21" s="53">
        <f t="shared" si="1"/>
        <v>0</v>
      </c>
      <c r="G21" s="51" vm="2354">
        <f>CUBEVALUE("BIDB",CUBEMEMBER("BIDB","[Betalingsstatus].[Betalende medlem]"),'Præsentationstabeller 1'!$C$2,$C21,CUBEMEMBER("BIDB",{"[Measures].[Ledighedsmulige]"}),G$3,$B21)</f>
        <v>0</v>
      </c>
      <c r="H21" s="54" t="str" vm="2105">
        <f>CUBEVALUE("BIDB",CUBEMEMBER("BIDB","[Betalingsstatus].[Betalende medlem]"),'Præsentationstabeller 1'!$C$2,$C21,CUBEMEMBER("BIDB",{"[Measures].[Fuldtidsledige]"}),G$3,$B21)</f>
        <v/>
      </c>
      <c r="I21" s="53">
        <f t="shared" si="2"/>
        <v>0</v>
      </c>
      <c r="J21" s="51" vm="2778">
        <f>CUBEVALUE("BIDB",CUBEMEMBER("BIDB","[Betalingsstatus].[Betalende medlem]"),'Præsentationstabeller 1'!$C$2,$C21,CUBEMEMBER("BIDB",{"[Measures].[Ledighedsmulige]"}),J$3,$B21)</f>
        <v>0</v>
      </c>
      <c r="K21" s="54" t="str" vm="1862">
        <f>CUBEVALUE("BIDB",CUBEMEMBER("BIDB","[Betalingsstatus].[Betalende medlem]"),'Præsentationstabeller 1'!$C$2,$C21,CUBEMEMBER("BIDB",{"[Measures].[Fuldtidsledige]"}),J$3,$B21)</f>
        <v/>
      </c>
      <c r="L21" s="53">
        <f t="shared" si="3"/>
        <v>0</v>
      </c>
      <c r="M21" s="51" vm="4793">
        <f>CUBEVALUE("BIDB",CUBEMEMBER("BIDB","[Betalingsstatus].[Betalende medlem]"),'Præsentationstabeller 1'!$C$2,$C21,CUBEMEMBER("BIDB",{"[Measures].[Ledighedsmulige]"}),M$3,$B21)</f>
        <v>0</v>
      </c>
      <c r="N21" s="54" t="str" vm="4196">
        <f>CUBEVALUE("BIDB",CUBEMEMBER("BIDB","[Betalingsstatus].[Betalende medlem]"),'Præsentationstabeller 1'!$C$2,$C21,CUBEMEMBER("BIDB",{"[Measures].[Fuldtidsledige]"}),M$3,$B21)</f>
        <v/>
      </c>
      <c r="O21" s="53">
        <f t="shared" si="4"/>
        <v>0</v>
      </c>
      <c r="P21" s="51" vm="3550">
        <f>CUBEVALUE("BIDB",CUBEMEMBER("BIDB","[Betalingsstatus].[Betalende medlem]"),'Præsentationstabeller 1'!$C$2,$C21,CUBEMEMBER("BIDB",{"[Measures].[Ledighedsmulige]"}),P$3,$B21)</f>
        <v>0</v>
      </c>
      <c r="Q21" s="54" t="str" vm="5999">
        <f>CUBEVALUE("BIDB",CUBEMEMBER("BIDB","[Betalingsstatus].[Betalende medlem]"),'Præsentationstabeller 1'!$C$2,$C21,CUBEMEMBER("BIDB",{"[Measures].[Fuldtidsledige]"}),P$3,$B21)</f>
        <v/>
      </c>
      <c r="R21" s="53">
        <f t="shared" si="5"/>
        <v>0</v>
      </c>
      <c r="S21" s="51" vm="3119">
        <f>CUBEVALUE("BIDB",CUBEMEMBER("BIDB","[Betalingsstatus].[Betalende medlem]"),'Præsentationstabeller 1'!$C$2,$C21,CUBEMEMBER("BIDB",{"[Measures].[Ledighedsmulige]"}),S$3,$B21)</f>
        <v>498</v>
      </c>
      <c r="T21" s="54" vm="2037">
        <f>CUBEVALUE("BIDB",CUBEMEMBER("BIDB","[Betalingsstatus].[Betalende medlem]"),'Præsentationstabeller 1'!$C$2,$C21,CUBEMEMBER("BIDB",{"[Measures].[Fuldtidsledige]"}),S$3,$B21)</f>
        <v>9.52</v>
      </c>
      <c r="U21" s="53">
        <f t="shared" si="6"/>
        <v>1.9116465863453815</v>
      </c>
    </row>
    <row r="22" spans="2:21" ht="15" x14ac:dyDescent="0.25">
      <c r="B22" s="9" t="str" vm="10">
        <f t="shared" si="7"/>
        <v>Teknikumingeniør</v>
      </c>
      <c r="C22" s="9" t="str" vm="38">
        <f>CUBEMEMBER("BIDB",{"[Uddannelsesretning].[IDA Gruppe].&amp;[Nye retninger]"})</f>
        <v>Nye retninger</v>
      </c>
      <c r="D22" s="25" t="str" vm="2270">
        <f>CUBEVALUE("BIDB",CUBEMEMBER("BIDB","[Betalingsstatus].[Betalende medlem]"),'Præsentationstabeller 1'!$C$2,$C22,CUBEMEMBER("BIDB",{"[Measures].[Ledighedsmulige]"}),D$3,$B22)</f>
        <v/>
      </c>
      <c r="E22" s="30" t="str" vm="2849">
        <f>CUBEVALUE("BIDB",CUBEMEMBER("BIDB","[Betalingsstatus].[Betalende medlem]"),'Præsentationstabeller 1'!$C$2,$C22,CUBEMEMBER("BIDB",{"[Measures].[Fuldtidsledige]"}),D$3,$B22)</f>
        <v/>
      </c>
      <c r="F22" s="26">
        <f t="shared" si="1"/>
        <v>0</v>
      </c>
      <c r="G22" s="25" t="str" vm="3111">
        <f>CUBEVALUE("BIDB",CUBEMEMBER("BIDB","[Betalingsstatus].[Betalende medlem]"),'Præsentationstabeller 1'!$C$2,$C22,CUBEMEMBER("BIDB",{"[Measures].[Ledighedsmulige]"}),G$3,$B22)</f>
        <v/>
      </c>
      <c r="H22" s="35" t="str" vm="2899">
        <f>CUBEVALUE("BIDB",CUBEMEMBER("BIDB","[Betalingsstatus].[Betalende medlem]"),'Præsentationstabeller 1'!$C$2,$C22,CUBEMEMBER("BIDB",{"[Measures].[Fuldtidsledige]"}),G$3,$B22)</f>
        <v/>
      </c>
      <c r="I22" s="26">
        <f t="shared" si="2"/>
        <v>0</v>
      </c>
      <c r="J22" s="25" t="str" vm="2967">
        <f>CUBEVALUE("BIDB",CUBEMEMBER("BIDB","[Betalingsstatus].[Betalende medlem]"),'Præsentationstabeller 1'!$C$2,$C22,CUBEMEMBER("BIDB",{"[Measures].[Ledighedsmulige]"}),J$3,$B22)</f>
        <v/>
      </c>
      <c r="K22" s="35" t="str" vm="2546">
        <f>CUBEVALUE("BIDB",CUBEMEMBER("BIDB","[Betalingsstatus].[Betalende medlem]"),'Præsentationstabeller 1'!$C$2,$C22,CUBEMEMBER("BIDB",{"[Measures].[Fuldtidsledige]"}),J$3,$B22)</f>
        <v/>
      </c>
      <c r="L22" s="26">
        <f t="shared" si="3"/>
        <v>0</v>
      </c>
      <c r="M22" s="25" t="str" vm="2375">
        <f>CUBEVALUE("BIDB",CUBEMEMBER("BIDB","[Betalingsstatus].[Betalende medlem]"),'Præsentationstabeller 1'!$C$2,$C22,CUBEMEMBER("BIDB",{"[Measures].[Ledighedsmulige]"}),M$3,$B22)</f>
        <v/>
      </c>
      <c r="N22" s="35" t="str" vm="2894">
        <f>CUBEVALUE("BIDB",CUBEMEMBER("BIDB","[Betalingsstatus].[Betalende medlem]"),'Præsentationstabeller 1'!$C$2,$C22,CUBEMEMBER("BIDB",{"[Measures].[Fuldtidsledige]"}),M$3,$B22)</f>
        <v/>
      </c>
      <c r="O22" s="26">
        <f t="shared" si="4"/>
        <v>0</v>
      </c>
      <c r="P22" s="25" t="str" vm="2103">
        <f>CUBEVALUE("BIDB",CUBEMEMBER("BIDB","[Betalingsstatus].[Betalende medlem]"),'Præsentationstabeller 1'!$C$2,$C22,CUBEMEMBER("BIDB",{"[Measures].[Ledighedsmulige]"}),P$3,$B22)</f>
        <v/>
      </c>
      <c r="Q22" s="35" t="str" vm="1566">
        <f>CUBEVALUE("BIDB",CUBEMEMBER("BIDB","[Betalingsstatus].[Betalende medlem]"),'Præsentationstabeller 1'!$C$2,$C22,CUBEMEMBER("BIDB",{"[Measures].[Fuldtidsledige]"}),P$3,$B22)</f>
        <v/>
      </c>
      <c r="R22" s="26">
        <f t="shared" si="5"/>
        <v>0</v>
      </c>
      <c r="S22" s="25" t="str" vm="2115">
        <f>CUBEVALUE("BIDB",CUBEMEMBER("BIDB","[Betalingsstatus].[Betalende medlem]"),'Præsentationstabeller 1'!$C$2,$C22,CUBEMEMBER("BIDB",{"[Measures].[Ledighedsmulige]"}),S$3,$B22)</f>
        <v/>
      </c>
      <c r="T22" s="35" t="str" vm="3117">
        <f>CUBEVALUE("BIDB",CUBEMEMBER("BIDB","[Betalingsstatus].[Betalende medlem]"),'Præsentationstabeller 1'!$C$2,$C22,CUBEMEMBER("BIDB",{"[Measures].[Fuldtidsledige]"}),S$3,$B22)</f>
        <v/>
      </c>
      <c r="U22" s="26">
        <f t="shared" si="6"/>
        <v>0</v>
      </c>
    </row>
    <row r="23" spans="2:21" ht="15" x14ac:dyDescent="0.25">
      <c r="B23" s="55" t="str" vm="10">
        <f t="shared" si="7"/>
        <v>Teknikumingeniør</v>
      </c>
      <c r="C23" s="55" t="str" vm="33">
        <f>CUBEMEMBER("BIDB",{"[Uddannelsesretning].[IDA Gruppe].&amp;[Øvrige retninger/uoplyste]"})</f>
        <v>Øvrige retninger/uoplyste</v>
      </c>
      <c r="D23" s="56" t="str" vm="6481">
        <f>CUBEVALUE("BIDB",CUBEMEMBER("BIDB","[Betalingsstatus].[Betalende medlem]"),'Præsentationstabeller 1'!$C$2,$C23,CUBEMEMBER("BIDB",{"[Measures].[Ledighedsmulige]"}),D$3,$B23)</f>
        <v/>
      </c>
      <c r="E23" s="57" t="str" vm="2652">
        <f>CUBEVALUE("BIDB",CUBEMEMBER("BIDB","[Betalingsstatus].[Betalende medlem]"),'Præsentationstabeller 1'!$C$2,$C23,CUBEMEMBER("BIDB",{"[Measures].[Fuldtidsledige]"}),D$3,$B23)</f>
        <v/>
      </c>
      <c r="F23" s="58">
        <f t="shared" si="1"/>
        <v>0</v>
      </c>
      <c r="G23" s="56" t="str" vm="3641">
        <f>CUBEVALUE("BIDB",CUBEMEMBER("BIDB","[Betalingsstatus].[Betalende medlem]"),'Præsentationstabeller 1'!$C$2,$C23,CUBEMEMBER("BIDB",{"[Measures].[Ledighedsmulige]"}),G$3,$B23)</f>
        <v/>
      </c>
      <c r="H23" s="59" t="str" vm="16729">
        <f>CUBEVALUE("BIDB",CUBEMEMBER("BIDB","[Betalingsstatus].[Betalende medlem]"),'Præsentationstabeller 1'!$C$2,$C23,CUBEMEMBER("BIDB",{"[Measures].[Fuldtidsledige]"}),G$3,$B23)</f>
        <v/>
      </c>
      <c r="I23" s="58">
        <f t="shared" si="2"/>
        <v>0</v>
      </c>
      <c r="J23" s="56" vm="15861">
        <f>CUBEVALUE("BIDB",CUBEMEMBER("BIDB","[Betalingsstatus].[Betalende medlem]"),'Præsentationstabeller 1'!$C$2,$C23,CUBEMEMBER("BIDB",{"[Measures].[Ledighedsmulige]"}),J$3,$B23)</f>
        <v>0</v>
      </c>
      <c r="K23" s="59" t="str" vm="10735">
        <f>CUBEVALUE("BIDB",CUBEMEMBER("BIDB","[Betalingsstatus].[Betalende medlem]"),'Præsentationstabeller 1'!$C$2,$C23,CUBEMEMBER("BIDB",{"[Measures].[Fuldtidsledige]"}),J$3,$B23)</f>
        <v/>
      </c>
      <c r="L23" s="58">
        <f t="shared" si="3"/>
        <v>0</v>
      </c>
      <c r="M23" s="56" vm="3883">
        <f>CUBEVALUE("BIDB",CUBEMEMBER("BIDB","[Betalingsstatus].[Betalende medlem]"),'Præsentationstabeller 1'!$C$2,$C23,CUBEMEMBER("BIDB",{"[Measures].[Ledighedsmulige]"}),M$3,$B23)</f>
        <v>0</v>
      </c>
      <c r="N23" s="59" t="str" vm="16296">
        <f>CUBEVALUE("BIDB",CUBEMEMBER("BIDB","[Betalingsstatus].[Betalende medlem]"),'Præsentationstabeller 1'!$C$2,$C23,CUBEMEMBER("BIDB",{"[Measures].[Fuldtidsledige]"}),M$3,$B23)</f>
        <v/>
      </c>
      <c r="O23" s="58">
        <f t="shared" si="4"/>
        <v>0</v>
      </c>
      <c r="P23" s="56" vm="16767">
        <f>CUBEVALUE("BIDB",CUBEMEMBER("BIDB","[Betalingsstatus].[Betalende medlem]"),'Præsentationstabeller 1'!$C$2,$C23,CUBEMEMBER("BIDB",{"[Measures].[Ledighedsmulige]"}),P$3,$B23)</f>
        <v>0</v>
      </c>
      <c r="Q23" s="59" t="str" vm="3894">
        <f>CUBEVALUE("BIDB",CUBEMEMBER("BIDB","[Betalingsstatus].[Betalende medlem]"),'Præsentationstabeller 1'!$C$2,$C23,CUBEMEMBER("BIDB",{"[Measures].[Fuldtidsledige]"}),P$3,$B23)</f>
        <v/>
      </c>
      <c r="R23" s="58">
        <f t="shared" si="5"/>
        <v>0</v>
      </c>
      <c r="S23" s="56" vm="2706">
        <f>CUBEVALUE("BIDB",CUBEMEMBER("BIDB","[Betalingsstatus].[Betalende medlem]"),'Præsentationstabeller 1'!$C$2,$C23,CUBEMEMBER("BIDB",{"[Measures].[Ledighedsmulige]"}),S$3,$B23)</f>
        <v>497</v>
      </c>
      <c r="T23" s="59" vm="5574">
        <f>CUBEVALUE("BIDB",CUBEMEMBER("BIDB","[Betalingsstatus].[Betalende medlem]"),'Præsentationstabeller 1'!$C$2,$C23,CUBEMEMBER("BIDB",{"[Measures].[Fuldtidsledige]"}),S$3,$B23)</f>
        <v>11.4</v>
      </c>
      <c r="U23" s="58">
        <f t="shared" si="6"/>
        <v>2.2937625754527162</v>
      </c>
    </row>
    <row r="24" spans="2:21" ht="15" x14ac:dyDescent="0.25">
      <c r="B24" s="14" t="str" vm="2">
        <f t="shared" ref="B24:B32" si="8">CUBEMEMBER("BIDB","[Uddannelse].[IDA Gruppe].&amp;[Diplomingeniør]")</f>
        <v>Diplomingeniør</v>
      </c>
      <c r="C24" s="14" t="str" vm="37">
        <f>CUBEMEMBER("BIDB",{"[Uddannelsesretning].[IDA Gruppe].&amp;[Maskin]"})</f>
        <v>Maskin</v>
      </c>
      <c r="D24" s="23" vm="2244">
        <f>CUBEVALUE("BIDB",CUBEMEMBER("BIDB","[Betalingsstatus].[Betalende medlem]"),'Præsentationstabeller 1'!$C$2,$C24,CUBEMEMBER("BIDB",{"[Measures].[Ledighedsmulige]"}),D$3,$B24)</f>
        <v>138</v>
      </c>
      <c r="E24" s="31" vm="3170">
        <f>CUBEVALUE("BIDB",CUBEMEMBER("BIDB","[Betalingsstatus].[Betalende medlem]"),'Præsentationstabeller 1'!$C$2,$C24,CUBEMEMBER("BIDB",{"[Measures].[Fuldtidsledige]"}),D$3,$B24)</f>
        <v>35.299621621621625</v>
      </c>
      <c r="F24" s="24">
        <f t="shared" si="1"/>
        <v>25.579435957696827</v>
      </c>
      <c r="G24" s="23" vm="2133">
        <f>CUBEVALUE("BIDB",CUBEMEMBER("BIDB","[Betalingsstatus].[Betalende medlem]"),'Præsentationstabeller 1'!$C$2,$C24,CUBEMEMBER("BIDB",{"[Measures].[Ledighedsmulige]"}),G$3,$B24)</f>
        <v>100</v>
      </c>
      <c r="H24" s="36" vm="6874">
        <f>CUBEVALUE("BIDB",CUBEMEMBER("BIDB","[Betalingsstatus].[Betalende medlem]"),'Præsentationstabeller 1'!$C$2,$C24,CUBEMEMBER("BIDB",{"[Measures].[Fuldtidsledige]"}),G$3,$B24)</f>
        <v>7.1838918918918919</v>
      </c>
      <c r="I24" s="24">
        <f t="shared" si="2"/>
        <v>7.183891891891891</v>
      </c>
      <c r="J24" s="23" vm="3129">
        <f>CUBEVALUE("BIDB",CUBEMEMBER("BIDB","[Betalingsstatus].[Betalende medlem]"),'Præsentationstabeller 1'!$C$2,$C24,CUBEMEMBER("BIDB",{"[Measures].[Ledighedsmulige]"}),J$3,$B24)</f>
        <v>268</v>
      </c>
      <c r="K24" s="36" vm="2741">
        <f>CUBEVALUE("BIDB",CUBEMEMBER("BIDB","[Betalingsstatus].[Betalende medlem]"),'Præsentationstabeller 1'!$C$2,$C24,CUBEMEMBER("BIDB",{"[Measures].[Fuldtidsledige]"}),J$3,$B24)</f>
        <v>2.811891891891892</v>
      </c>
      <c r="L24" s="24">
        <f t="shared" si="3"/>
        <v>1.0492133924969747</v>
      </c>
      <c r="M24" s="23" vm="2492">
        <f>CUBEVALUE("BIDB",CUBEMEMBER("BIDB","[Betalingsstatus].[Betalende medlem]"),'Præsentationstabeller 1'!$C$2,$C24,CUBEMEMBER("BIDB",{"[Measures].[Ledighedsmulige]"}),M$3,$B24)</f>
        <v>463</v>
      </c>
      <c r="N24" s="36" vm="2851">
        <f>CUBEVALUE("BIDB",CUBEMEMBER("BIDB","[Betalingsstatus].[Betalende medlem]"),'Præsentationstabeller 1'!$C$2,$C24,CUBEMEMBER("BIDB",{"[Measures].[Fuldtidsledige]"}),M$3,$B24)</f>
        <v>2.6399999999999997</v>
      </c>
      <c r="O24" s="24">
        <f t="shared" si="4"/>
        <v>0.57019438444924397</v>
      </c>
      <c r="P24" s="23" vm="2804">
        <f>CUBEVALUE("BIDB",CUBEMEMBER("BIDB","[Betalingsstatus].[Betalende medlem]"),'Præsentationstabeller 1'!$C$2,$C24,CUBEMEMBER("BIDB",{"[Measures].[Ledighedsmulige]"}),P$3,$B24)</f>
        <v>674</v>
      </c>
      <c r="Q24" s="36" vm="4189">
        <f>CUBEVALUE("BIDB",CUBEMEMBER("BIDB","[Betalingsstatus].[Betalende medlem]"),'Præsentationstabeller 1'!$C$2,$C24,CUBEMEMBER("BIDB",{"[Measures].[Fuldtidsledige]"}),P$3,$B24)</f>
        <v>6.5200000000000005</v>
      </c>
      <c r="R24" s="24">
        <f t="shared" si="5"/>
        <v>0.96735905044510395</v>
      </c>
      <c r="S24" s="23" vm="2600">
        <f>CUBEVALUE("BIDB",CUBEMEMBER("BIDB","[Betalingsstatus].[Betalende medlem]"),'Præsentationstabeller 1'!$C$2,$C24,CUBEMEMBER("BIDB",{"[Measures].[Ledighedsmulige]"}),S$3,$B24)</f>
        <v>782</v>
      </c>
      <c r="T24" s="36" vm="2411">
        <f>CUBEVALUE("BIDB",CUBEMEMBER("BIDB","[Betalingsstatus].[Betalende medlem]"),'Præsentationstabeller 1'!$C$2,$C24,CUBEMEMBER("BIDB",{"[Measures].[Fuldtidsledige]"}),S$3,$B24)</f>
        <v>6.3251351351351355</v>
      </c>
      <c r="U24" s="24">
        <f t="shared" si="6"/>
        <v>0.80884081011958264</v>
      </c>
    </row>
    <row r="25" spans="2:21" ht="15" x14ac:dyDescent="0.25">
      <c r="B25" s="50" t="str" vm="2">
        <f t="shared" si="8"/>
        <v>Diplomingeniør</v>
      </c>
      <c r="C25" s="50" t="str" vm="41">
        <f>CUBEMEMBER("BIDB",{"[Uddannelsesretning].[IDA Gruppe].&amp;[Produktion]"})</f>
        <v>Produktion</v>
      </c>
      <c r="D25" s="51" vm="1864">
        <f>CUBEVALUE("BIDB",CUBEMEMBER("BIDB","[Betalingsstatus].[Betalende medlem]"),'Præsentationstabeller 1'!$C$2,$C25,CUBEMEMBER("BIDB",{"[Measures].[Ledighedsmulige]"}),D$3,$B25)</f>
        <v>30</v>
      </c>
      <c r="E25" s="52" vm="3408">
        <f>CUBEVALUE("BIDB",CUBEMEMBER("BIDB","[Betalingsstatus].[Betalende medlem]"),'Præsentationstabeller 1'!$C$2,$C25,CUBEMEMBER("BIDB",{"[Measures].[Fuldtidsledige]"}),D$3,$B25)</f>
        <v>5.2291891891891886</v>
      </c>
      <c r="F25" s="53">
        <f t="shared" si="1"/>
        <v>17.430630630630628</v>
      </c>
      <c r="G25" s="51" vm="2701">
        <f>CUBEVALUE("BIDB",CUBEMEMBER("BIDB","[Betalingsstatus].[Betalende medlem]"),'Præsentationstabeller 1'!$C$2,$C25,CUBEMEMBER("BIDB",{"[Measures].[Ledighedsmulige]"}),G$3,$B25)</f>
        <v>28</v>
      </c>
      <c r="H25" s="54" vm="3434">
        <f>CUBEVALUE("BIDB",CUBEMEMBER("BIDB","[Betalingsstatus].[Betalende medlem]"),'Præsentationstabeller 1'!$C$2,$C25,CUBEMEMBER("BIDB",{"[Measures].[Fuldtidsledige]"}),G$3,$B25)</f>
        <v>1</v>
      </c>
      <c r="I25" s="53">
        <f t="shared" si="2"/>
        <v>3.5714285714285712</v>
      </c>
      <c r="J25" s="51" vm="2659">
        <f>CUBEVALUE("BIDB",CUBEMEMBER("BIDB","[Betalingsstatus].[Betalende medlem]"),'Præsentationstabeller 1'!$C$2,$C25,CUBEMEMBER("BIDB",{"[Measures].[Ledighedsmulige]"}),J$3,$B25)</f>
        <v>63</v>
      </c>
      <c r="K25" s="54" vm="3379">
        <f>CUBEVALUE("BIDB",CUBEMEMBER("BIDB","[Betalingsstatus].[Betalende medlem]"),'Præsentationstabeller 1'!$C$2,$C25,CUBEMEMBER("BIDB",{"[Measures].[Fuldtidsledige]"}),J$3,$B25)</f>
        <v>2.2054054054054055</v>
      </c>
      <c r="L25" s="53">
        <f t="shared" si="3"/>
        <v>3.5006435006435006</v>
      </c>
      <c r="M25" s="51" vm="1890">
        <f>CUBEVALUE("BIDB",CUBEMEMBER("BIDB","[Betalingsstatus].[Betalende medlem]"),'Præsentationstabeller 1'!$C$2,$C25,CUBEMEMBER("BIDB",{"[Measures].[Ledighedsmulige]"}),M$3,$B25)</f>
        <v>183</v>
      </c>
      <c r="N25" s="54" vm="2907">
        <f>CUBEVALUE("BIDB",CUBEMEMBER("BIDB","[Betalingsstatus].[Betalende medlem]"),'Præsentationstabeller 1'!$C$2,$C25,CUBEMEMBER("BIDB",{"[Measures].[Fuldtidsledige]"}),M$3,$B25)</f>
        <v>1.6502702702702703</v>
      </c>
      <c r="O25" s="53">
        <f t="shared" si="4"/>
        <v>0.90178703293457385</v>
      </c>
      <c r="P25" s="51" vm="2766">
        <f>CUBEVALUE("BIDB",CUBEMEMBER("BIDB","[Betalingsstatus].[Betalende medlem]"),'Præsentationstabeller 1'!$C$2,$C25,CUBEMEMBER("BIDB",{"[Measures].[Ledighedsmulige]"}),P$3,$B25)</f>
        <v>377</v>
      </c>
      <c r="Q25" s="54" vm="4669">
        <f>CUBEVALUE("BIDB",CUBEMEMBER("BIDB","[Betalingsstatus].[Betalende medlem]"),'Præsentationstabeller 1'!$C$2,$C25,CUBEMEMBER("BIDB",{"[Measures].[Fuldtidsledige]"}),P$3,$B25)</f>
        <v>3.2718918918918916</v>
      </c>
      <c r="R25" s="53">
        <f t="shared" si="5"/>
        <v>0.86787583339307472</v>
      </c>
      <c r="S25" s="51" vm="2992">
        <f>CUBEVALUE("BIDB",CUBEMEMBER("BIDB","[Betalingsstatus].[Betalende medlem]"),'Præsentationstabeller 1'!$C$2,$C25,CUBEMEMBER("BIDB",{"[Measures].[Ledighedsmulige]"}),S$3,$B25)</f>
        <v>390</v>
      </c>
      <c r="T25" s="54" vm="2043">
        <f>CUBEVALUE("BIDB",CUBEMEMBER("BIDB","[Betalingsstatus].[Betalende medlem]"),'Præsentationstabeller 1'!$C$2,$C25,CUBEMEMBER("BIDB",{"[Measures].[Fuldtidsledige]"}),S$3,$B25)</f>
        <v>6.5264864864864869</v>
      </c>
      <c r="U25" s="53">
        <f t="shared" si="6"/>
        <v>1.6734580734580735</v>
      </c>
    </row>
    <row r="26" spans="2:21" ht="15" x14ac:dyDescent="0.25">
      <c r="B26" s="9" t="str" vm="2">
        <f t="shared" si="8"/>
        <v>Diplomingeniør</v>
      </c>
      <c r="C26" s="9" t="str" vm="36">
        <f>CUBEMEMBER("BIDB",{"[Uddannelsesretning].[IDA Gruppe].&amp;[Elektronik-IT]"})</f>
        <v>Elektronik-IT</v>
      </c>
      <c r="D26" s="25" vm="2665">
        <f>CUBEVALUE("BIDB",CUBEMEMBER("BIDB","[Betalingsstatus].[Betalende medlem]"),'Præsentationstabeller 1'!$C$2,$C26,CUBEMEMBER("BIDB",{"[Measures].[Ledighedsmulige]"}),D$3,$B26)</f>
        <v>179</v>
      </c>
      <c r="E26" s="30" vm="3639">
        <f>CUBEVALUE("BIDB",CUBEMEMBER("BIDB","[Betalingsstatus].[Betalende medlem]"),'Præsentationstabeller 1'!$C$2,$C26,CUBEMEMBER("BIDB",{"[Measures].[Fuldtidsledige]"}),D$3,$B26)</f>
        <v>32.324864864864864</v>
      </c>
      <c r="F26" s="26">
        <f t="shared" si="1"/>
        <v>18.058583723388193</v>
      </c>
      <c r="G26" s="25" vm="2297">
        <f>CUBEVALUE("BIDB",CUBEMEMBER("BIDB","[Betalingsstatus].[Betalende medlem]"),'Præsentationstabeller 1'!$C$2,$C26,CUBEMEMBER("BIDB",{"[Measures].[Ledighedsmulige]"}),G$3,$B26)</f>
        <v>141</v>
      </c>
      <c r="H26" s="35" vm="2457">
        <f>CUBEVALUE("BIDB",CUBEMEMBER("BIDB","[Betalingsstatus].[Betalende medlem]"),'Præsentationstabeller 1'!$C$2,$C26,CUBEMEMBER("BIDB",{"[Measures].[Fuldtidsledige]"}),G$3,$B26)</f>
        <v>13.439999999999998</v>
      </c>
      <c r="I26" s="26">
        <f t="shared" si="2"/>
        <v>9.5319148936170208</v>
      </c>
      <c r="J26" s="25" vm="6119">
        <f>CUBEVALUE("BIDB",CUBEMEMBER("BIDB","[Betalingsstatus].[Betalende medlem]"),'Præsentationstabeller 1'!$C$2,$C26,CUBEMEMBER("BIDB",{"[Measures].[Ledighedsmulige]"}),J$3,$B26)</f>
        <v>373</v>
      </c>
      <c r="K26" s="35" vm="2697">
        <f>CUBEVALUE("BIDB",CUBEMEMBER("BIDB","[Betalingsstatus].[Betalende medlem]"),'Præsentationstabeller 1'!$C$2,$C26,CUBEMEMBER("BIDB",{"[Measures].[Fuldtidsledige]"}),J$3,$B26)</f>
        <v>8.2799999999999994</v>
      </c>
      <c r="L26" s="26">
        <f t="shared" si="3"/>
        <v>2.2198391420911525</v>
      </c>
      <c r="M26" s="25" vm="3592">
        <f>CUBEVALUE("BIDB",CUBEMEMBER("BIDB","[Betalingsstatus].[Betalende medlem]"),'Præsentationstabeller 1'!$C$2,$C26,CUBEMEMBER("BIDB",{"[Measures].[Ledighedsmulige]"}),M$3,$B26)</f>
        <v>846</v>
      </c>
      <c r="N26" s="35" vm="2699">
        <f>CUBEVALUE("BIDB",CUBEMEMBER("BIDB","[Betalingsstatus].[Betalende medlem]"),'Præsentationstabeller 1'!$C$2,$C26,CUBEMEMBER("BIDB",{"[Measures].[Fuldtidsledige]"}),M$3,$B26)</f>
        <v>7.1935135135135129</v>
      </c>
      <c r="O26" s="26">
        <f t="shared" si="4"/>
        <v>0.85029710561625449</v>
      </c>
      <c r="P26" s="25" vm="1875">
        <f>CUBEVALUE("BIDB",CUBEMEMBER("BIDB","[Betalingsstatus].[Betalende medlem]"),'Præsentationstabeller 1'!$C$2,$C26,CUBEMEMBER("BIDB",{"[Measures].[Ledighedsmulige]"}),P$3,$B26)</f>
        <v>1325</v>
      </c>
      <c r="Q26" s="35" vm="3300">
        <f>CUBEVALUE("BIDB",CUBEMEMBER("BIDB","[Betalingsstatus].[Betalende medlem]"),'Præsentationstabeller 1'!$C$2,$C26,CUBEMEMBER("BIDB",{"[Measures].[Fuldtidsledige]"}),P$3,$B26)</f>
        <v>11.883783783783784</v>
      </c>
      <c r="R26" s="26">
        <f t="shared" si="5"/>
        <v>0.89688934217236116</v>
      </c>
      <c r="S26" s="25" vm="2487">
        <f>CUBEVALUE("BIDB",CUBEMEMBER("BIDB","[Betalingsstatus].[Betalende medlem]"),'Præsentationstabeller 1'!$C$2,$C26,CUBEMEMBER("BIDB",{"[Measures].[Ledighedsmulige]"}),S$3,$B26)</f>
        <v>1340</v>
      </c>
      <c r="T26" s="35" vm="3623">
        <f>CUBEVALUE("BIDB",CUBEMEMBER("BIDB","[Betalingsstatus].[Betalende medlem]"),'Præsentationstabeller 1'!$C$2,$C26,CUBEMEMBER("BIDB",{"[Measures].[Fuldtidsledige]"}),S$3,$B26)</f>
        <v>16.68</v>
      </c>
      <c r="U26" s="26">
        <f t="shared" si="6"/>
        <v>1.2447761194029852</v>
      </c>
    </row>
    <row r="27" spans="2:21" ht="15" x14ac:dyDescent="0.25">
      <c r="B27" s="50" t="str" vm="2">
        <f t="shared" si="8"/>
        <v>Diplomingeniør</v>
      </c>
      <c r="C27" s="50" t="str" vm="40">
        <f>CUBEMEMBER("BIDB",{"[Uddannelsesretning].[IDA Gruppe].&amp;[Bygning]"})</f>
        <v>Bygning</v>
      </c>
      <c r="D27" s="51" vm="3298">
        <f>CUBEVALUE("BIDB",CUBEMEMBER("BIDB","[Betalingsstatus].[Betalende medlem]"),'Præsentationstabeller 1'!$C$2,$C27,CUBEMEMBER("BIDB",{"[Measures].[Ledighedsmulige]"}),D$3,$B27)</f>
        <v>187</v>
      </c>
      <c r="E27" s="52" vm="6863">
        <f>CUBEVALUE("BIDB",CUBEMEMBER("BIDB","[Betalingsstatus].[Betalende medlem]"),'Præsentationstabeller 1'!$C$2,$C27,CUBEMEMBER("BIDB",{"[Measures].[Fuldtidsledige]"}),D$3,$B27)</f>
        <v>45.030270270270272</v>
      </c>
      <c r="F27" s="53">
        <f t="shared" si="1"/>
        <v>24.080358433299612</v>
      </c>
      <c r="G27" s="51" vm="2405">
        <f>CUBEVALUE("BIDB",CUBEMEMBER("BIDB","[Betalingsstatus].[Betalende medlem]"),'Præsentationstabeller 1'!$C$2,$C27,CUBEMEMBER("BIDB",{"[Measures].[Ledighedsmulige]"}),G$3,$B27)</f>
        <v>172</v>
      </c>
      <c r="H27" s="54" vm="3380">
        <f>CUBEVALUE("BIDB",CUBEMEMBER("BIDB","[Betalingsstatus].[Betalende medlem]"),'Præsentationstabeller 1'!$C$2,$C27,CUBEMEMBER("BIDB",{"[Measures].[Fuldtidsledige]"}),G$3,$B27)</f>
        <v>5.6320000000000006</v>
      </c>
      <c r="I27" s="53">
        <f t="shared" si="2"/>
        <v>3.2744186046511627</v>
      </c>
      <c r="J27" s="51" vm="1698">
        <f>CUBEVALUE("BIDB",CUBEMEMBER("BIDB","[Betalingsstatus].[Betalende medlem]"),'Præsentationstabeller 1'!$C$2,$C27,CUBEMEMBER("BIDB",{"[Measures].[Ledighedsmulige]"}),J$3,$B27)</f>
        <v>469</v>
      </c>
      <c r="K27" s="54" vm="2751">
        <f>CUBEVALUE("BIDB",CUBEMEMBER("BIDB","[Betalingsstatus].[Betalende medlem]"),'Præsentationstabeller 1'!$C$2,$C27,CUBEMEMBER("BIDB",{"[Measures].[Fuldtidsledige]"}),J$3,$B27)</f>
        <v>4.5599999999999996</v>
      </c>
      <c r="L27" s="53">
        <f t="shared" si="3"/>
        <v>0.97228144989339005</v>
      </c>
      <c r="M27" s="51" vm="2305">
        <f>CUBEVALUE("BIDB",CUBEMEMBER("BIDB","[Betalingsstatus].[Betalende medlem]"),'Præsentationstabeller 1'!$C$2,$C27,CUBEMEMBER("BIDB",{"[Measures].[Ledighedsmulige]"}),M$3,$B27)</f>
        <v>789</v>
      </c>
      <c r="N27" s="54" vm="3070">
        <f>CUBEVALUE("BIDB",CUBEMEMBER("BIDB","[Betalingsstatus].[Betalende medlem]"),'Præsentationstabeller 1'!$C$2,$C27,CUBEMEMBER("BIDB",{"[Measures].[Fuldtidsledige]"}),M$3,$B27)</f>
        <v>2.7600000000000002</v>
      </c>
      <c r="O27" s="53">
        <f t="shared" si="4"/>
        <v>0.34980988593155893</v>
      </c>
      <c r="P27" s="51" vm="5559">
        <f>CUBEVALUE("BIDB",CUBEMEMBER("BIDB","[Betalingsstatus].[Betalende medlem]"),'Præsentationstabeller 1'!$C$2,$C27,CUBEMEMBER("BIDB",{"[Measures].[Ledighedsmulige]"}),P$3,$B27)</f>
        <v>1014</v>
      </c>
      <c r="Q27" s="54" vm="5259">
        <f>CUBEVALUE("BIDB",CUBEMEMBER("BIDB","[Betalingsstatus].[Betalende medlem]"),'Præsentationstabeller 1'!$C$2,$C27,CUBEMEMBER("BIDB",{"[Measures].[Fuldtidsledige]"}),P$3,$B27)</f>
        <v>4.5999999999999996</v>
      </c>
      <c r="R27" s="53">
        <f t="shared" si="5"/>
        <v>0.45364891518737666</v>
      </c>
      <c r="S27" s="51" vm="5738">
        <f>CUBEVALUE("BIDB",CUBEMEMBER("BIDB","[Betalingsstatus].[Betalende medlem]"),'Præsentationstabeller 1'!$C$2,$C27,CUBEMEMBER("BIDB",{"[Measures].[Ledighedsmulige]"}),S$3,$B27)</f>
        <v>946</v>
      </c>
      <c r="T27" s="54" vm="3110">
        <f>CUBEVALUE("BIDB",CUBEMEMBER("BIDB","[Betalingsstatus].[Betalende medlem]"),'Præsentationstabeller 1'!$C$2,$C27,CUBEMEMBER("BIDB",{"[Measures].[Fuldtidsledige]"}),S$3,$B27)</f>
        <v>6.76</v>
      </c>
      <c r="U27" s="53">
        <f t="shared" si="6"/>
        <v>0.71458773784355178</v>
      </c>
    </row>
    <row r="28" spans="2:21" ht="15" x14ac:dyDescent="0.25">
      <c r="B28" s="9" t="str" vm="2">
        <f t="shared" si="8"/>
        <v>Diplomingeniør</v>
      </c>
      <c r="C28" s="9" t="str" vm="35">
        <f>CUBEMEMBER("BIDB",{"[Uddannelsesretning].[IDA Gruppe].&amp;[Anlæg]"})</f>
        <v>Anlæg</v>
      </c>
      <c r="D28" s="25" vm="2180">
        <f>CUBEVALUE("BIDB",CUBEMEMBER("BIDB","[Betalingsstatus].[Betalende medlem]"),'Præsentationstabeller 1'!$C$2,$C28,CUBEMEMBER("BIDB",{"[Measures].[Ledighedsmulige]"}),D$3,$B28)</f>
        <v>14</v>
      </c>
      <c r="E28" s="30" vm="3884">
        <f>CUBEVALUE("BIDB",CUBEMEMBER("BIDB","[Betalingsstatus].[Betalende medlem]"),'Præsentationstabeller 1'!$C$2,$C28,CUBEMEMBER("BIDB",{"[Measures].[Fuldtidsledige]"}),D$3,$B28)</f>
        <v>1.24</v>
      </c>
      <c r="F28" s="26">
        <f t="shared" si="1"/>
        <v>8.8571428571428559</v>
      </c>
      <c r="G28" s="25" vm="2312">
        <f>CUBEVALUE("BIDB",CUBEMEMBER("BIDB","[Betalingsstatus].[Betalende medlem]"),'Præsentationstabeller 1'!$C$2,$C28,CUBEMEMBER("BIDB",{"[Measures].[Ledighedsmulige]"}),G$3,$B28)</f>
        <v>7</v>
      </c>
      <c r="H28" s="35" t="str" vm="2730">
        <f>CUBEVALUE("BIDB",CUBEMEMBER("BIDB","[Betalingsstatus].[Betalende medlem]"),'Præsentationstabeller 1'!$C$2,$C28,CUBEMEMBER("BIDB",{"[Measures].[Fuldtidsledige]"}),G$3,$B28)</f>
        <v/>
      </c>
      <c r="I28" s="26">
        <f t="shared" si="2"/>
        <v>0</v>
      </c>
      <c r="J28" s="25" vm="2237">
        <f>CUBEVALUE("BIDB",CUBEMEMBER("BIDB","[Betalingsstatus].[Betalende medlem]"),'Præsentationstabeller 1'!$C$2,$C28,CUBEMEMBER("BIDB",{"[Measures].[Ledighedsmulige]"}),J$3,$B28)</f>
        <v>32</v>
      </c>
      <c r="K28" s="35" t="str" vm="3877">
        <f>CUBEVALUE("BIDB",CUBEMEMBER("BIDB","[Betalingsstatus].[Betalende medlem]"),'Præsentationstabeller 1'!$C$2,$C28,CUBEMEMBER("BIDB",{"[Measures].[Fuldtidsledige]"}),J$3,$B28)</f>
        <v/>
      </c>
      <c r="L28" s="26">
        <f t="shared" si="3"/>
        <v>0</v>
      </c>
      <c r="M28" s="25" vm="3075">
        <f>CUBEVALUE("BIDB",CUBEMEMBER("BIDB","[Betalingsstatus].[Betalende medlem]"),'Præsentationstabeller 1'!$C$2,$C28,CUBEMEMBER("BIDB",{"[Measures].[Ledighedsmulige]"}),M$3,$B28)</f>
        <v>76</v>
      </c>
      <c r="N28" s="35" t="str" vm="3084">
        <f>CUBEVALUE("BIDB",CUBEMEMBER("BIDB","[Betalingsstatus].[Betalende medlem]"),'Præsentationstabeller 1'!$C$2,$C28,CUBEMEMBER("BIDB",{"[Measures].[Fuldtidsledige]"}),M$3,$B28)</f>
        <v/>
      </c>
      <c r="O28" s="26">
        <f t="shared" si="4"/>
        <v>0</v>
      </c>
      <c r="P28" s="25" vm="2891">
        <f>CUBEVALUE("BIDB",CUBEMEMBER("BIDB","[Betalingsstatus].[Betalende medlem]"),'Præsentationstabeller 1'!$C$2,$C28,CUBEMEMBER("BIDB",{"[Measures].[Ledighedsmulige]"}),P$3,$B28)</f>
        <v>26</v>
      </c>
      <c r="Q28" s="35" t="str" vm="8873">
        <f>CUBEVALUE("BIDB",CUBEMEMBER("BIDB","[Betalingsstatus].[Betalende medlem]"),'Præsentationstabeller 1'!$C$2,$C28,CUBEMEMBER("BIDB",{"[Measures].[Fuldtidsledige]"}),P$3,$B28)</f>
        <v/>
      </c>
      <c r="R28" s="26">
        <f t="shared" si="5"/>
        <v>0</v>
      </c>
      <c r="S28" s="25" vm="2550">
        <f>CUBEVALUE("BIDB",CUBEMEMBER("BIDB","[Betalingsstatus].[Betalende medlem]"),'Præsentationstabeller 1'!$C$2,$C28,CUBEMEMBER("BIDB",{"[Measures].[Ledighedsmulige]"}),S$3,$B28)</f>
        <v>8</v>
      </c>
      <c r="T28" s="35" t="str" vm="2669">
        <f>CUBEVALUE("BIDB",CUBEMEMBER("BIDB","[Betalingsstatus].[Betalende medlem]"),'Præsentationstabeller 1'!$C$2,$C28,CUBEMEMBER("BIDB",{"[Measures].[Fuldtidsledige]"}),S$3,$B28)</f>
        <v/>
      </c>
      <c r="U28" s="26">
        <f t="shared" si="6"/>
        <v>0</v>
      </c>
    </row>
    <row r="29" spans="2:21" ht="15" x14ac:dyDescent="0.25">
      <c r="B29" s="50" t="str" vm="2">
        <f t="shared" si="8"/>
        <v>Diplomingeniør</v>
      </c>
      <c r="C29" s="50" t="str" vm="39">
        <f>CUBEMEMBER("BIDB",{"[Uddannelsesretning].[IDA Gruppe].&amp;[Kemi]"})</f>
        <v>Kemi</v>
      </c>
      <c r="D29" s="51" vm="2818">
        <f>CUBEVALUE("BIDB",CUBEMEMBER("BIDB","[Betalingsstatus].[Betalende medlem]"),'Præsentationstabeller 1'!$C$2,$C29,CUBEMEMBER("BIDB",{"[Measures].[Ledighedsmulige]"}),D$3,$B29)</f>
        <v>14</v>
      </c>
      <c r="E29" s="52" vm="3051">
        <f>CUBEVALUE("BIDB",CUBEMEMBER("BIDB","[Betalingsstatus].[Betalende medlem]"),'Præsentationstabeller 1'!$C$2,$C29,CUBEMEMBER("BIDB",{"[Measures].[Fuldtidsledige]"}),D$3,$B29)</f>
        <v>8.6832432432432434</v>
      </c>
      <c r="F29" s="53">
        <f t="shared" si="1"/>
        <v>62.02316602316602</v>
      </c>
      <c r="G29" s="51" vm="2916">
        <f>CUBEVALUE("BIDB",CUBEMEMBER("BIDB","[Betalingsstatus].[Betalende medlem]"),'Præsentationstabeller 1'!$C$2,$C29,CUBEMEMBER("BIDB",{"[Measures].[Ledighedsmulige]"}),G$3,$B29)</f>
        <v>16</v>
      </c>
      <c r="H29" s="54" vm="3672">
        <f>CUBEVALUE("BIDB",CUBEMEMBER("BIDB","[Betalingsstatus].[Betalende medlem]"),'Præsentationstabeller 1'!$C$2,$C29,CUBEMEMBER("BIDB",{"[Measures].[Fuldtidsledige]"}),G$3,$B29)</f>
        <v>1.7600000000000002</v>
      </c>
      <c r="I29" s="53">
        <f t="shared" si="2"/>
        <v>11.000000000000002</v>
      </c>
      <c r="J29" s="51" vm="2854">
        <f>CUBEVALUE("BIDB",CUBEMEMBER("BIDB","[Betalingsstatus].[Betalende medlem]"),'Præsentationstabeller 1'!$C$2,$C29,CUBEMEMBER("BIDB",{"[Measures].[Ledighedsmulige]"}),J$3,$B29)</f>
        <v>45</v>
      </c>
      <c r="K29" s="54" vm="2974">
        <f>CUBEVALUE("BIDB",CUBEMEMBER("BIDB","[Betalingsstatus].[Betalende medlem]"),'Præsentationstabeller 1'!$C$2,$C29,CUBEMEMBER("BIDB",{"[Measures].[Fuldtidsledige]"}),J$3,$B29)</f>
        <v>1</v>
      </c>
      <c r="L29" s="53">
        <f t="shared" si="3"/>
        <v>2.2222222222222223</v>
      </c>
      <c r="M29" s="51" vm="2495">
        <f>CUBEVALUE("BIDB",CUBEMEMBER("BIDB","[Betalingsstatus].[Betalende medlem]"),'Præsentationstabeller 1'!$C$2,$C29,CUBEMEMBER("BIDB",{"[Measures].[Ledighedsmulige]"}),M$3,$B29)</f>
        <v>134</v>
      </c>
      <c r="N29" s="54" vm="3494">
        <f>CUBEVALUE("BIDB",CUBEMEMBER("BIDB","[Betalingsstatus].[Betalende medlem]"),'Præsentationstabeller 1'!$C$2,$C29,CUBEMEMBER("BIDB",{"[Measures].[Fuldtidsledige]"}),M$3,$B29)</f>
        <v>3.6400000000000006</v>
      </c>
      <c r="O29" s="53">
        <f t="shared" si="4"/>
        <v>2.7164179104477619</v>
      </c>
      <c r="P29" s="51" vm="3061">
        <f>CUBEVALUE("BIDB",CUBEMEMBER("BIDB","[Betalingsstatus].[Betalende medlem]"),'Præsentationstabeller 1'!$C$2,$C29,CUBEMEMBER("BIDB",{"[Measures].[Ledighedsmulige]"}),P$3,$B29)</f>
        <v>198</v>
      </c>
      <c r="Q29" s="54" vm="2306">
        <f>CUBEVALUE("BIDB",CUBEMEMBER("BIDB","[Betalingsstatus].[Betalende medlem]"),'Præsentationstabeller 1'!$C$2,$C29,CUBEMEMBER("BIDB",{"[Measures].[Fuldtidsledige]"}),P$3,$B29)</f>
        <v>1.3243243243243243</v>
      </c>
      <c r="R29" s="53">
        <f t="shared" si="5"/>
        <v>0.66885066885066891</v>
      </c>
      <c r="S29" s="51" vm="2173">
        <f>CUBEVALUE("BIDB",CUBEMEMBER("BIDB","[Betalingsstatus].[Betalende medlem]"),'Præsentationstabeller 1'!$C$2,$C29,CUBEMEMBER("BIDB",{"[Measures].[Ledighedsmulige]"}),S$3,$B29)</f>
        <v>309</v>
      </c>
      <c r="T29" s="54" vm="2900">
        <f>CUBEVALUE("BIDB",CUBEMEMBER("BIDB","[Betalingsstatus].[Betalende medlem]"),'Præsentationstabeller 1'!$C$2,$C29,CUBEMEMBER("BIDB",{"[Measures].[Fuldtidsledige]"}),S$3,$B29)</f>
        <v>2</v>
      </c>
      <c r="U29" s="53">
        <f t="shared" si="6"/>
        <v>0.64724919093851141</v>
      </c>
    </row>
    <row r="30" spans="2:21" ht="15" x14ac:dyDescent="0.25">
      <c r="B30" s="9" t="str" vm="2">
        <f t="shared" si="8"/>
        <v>Diplomingeniør</v>
      </c>
      <c r="C30" s="9" t="str" vm="34">
        <f>CUBEMEMBER("BIDB",{"[Uddannelsesretning].[IDA Gruppe].&amp;[Teknisk ledelse]"})</f>
        <v>Teknisk ledelse</v>
      </c>
      <c r="D30" s="25" vm="2727">
        <f>CUBEVALUE("BIDB",CUBEMEMBER("BIDB","[Betalingsstatus].[Betalende medlem]"),'Præsentationstabeller 1'!$C$2,$C30,CUBEMEMBER("BIDB",{"[Measures].[Ledighedsmulige]"}),D$3,$B30)</f>
        <v>19</v>
      </c>
      <c r="E30" s="30" vm="8980">
        <f>CUBEVALUE("BIDB",CUBEMEMBER("BIDB","[Betalingsstatus].[Betalende medlem]"),'Præsentationstabeller 1'!$C$2,$C30,CUBEMEMBER("BIDB",{"[Measures].[Fuldtidsledige]"}),D$3,$B30)</f>
        <v>5.9616216216216218</v>
      </c>
      <c r="F30" s="26">
        <f t="shared" si="1"/>
        <v>31.376955903271693</v>
      </c>
      <c r="G30" s="25" vm="2161">
        <f>CUBEVALUE("BIDB",CUBEMEMBER("BIDB","[Betalingsstatus].[Betalende medlem]"),'Præsentationstabeller 1'!$C$2,$C30,CUBEMEMBER("BIDB",{"[Measures].[Ledighedsmulige]"}),G$3,$B30)</f>
        <v>17</v>
      </c>
      <c r="H30" s="35" vm="4925">
        <f>CUBEVALUE("BIDB",CUBEMEMBER("BIDB","[Betalingsstatus].[Betalende medlem]"),'Præsentationstabeller 1'!$C$2,$C30,CUBEMEMBER("BIDB",{"[Measures].[Fuldtidsledige]"}),G$3,$B30)</f>
        <v>5.1654054054054059</v>
      </c>
      <c r="I30" s="26">
        <f t="shared" si="2"/>
        <v>30.384737678855327</v>
      </c>
      <c r="J30" s="25" vm="1753">
        <f>CUBEVALUE("BIDB",CUBEMEMBER("BIDB","[Betalingsstatus].[Betalende medlem]"),'Præsentationstabeller 1'!$C$2,$C30,CUBEMEMBER("BIDB",{"[Measures].[Ledighedsmulige]"}),J$3,$B30)</f>
        <v>33</v>
      </c>
      <c r="K30" s="35" vm="1869">
        <f>CUBEVALUE("BIDB",CUBEMEMBER("BIDB","[Betalingsstatus].[Betalende medlem]"),'Præsentationstabeller 1'!$C$2,$C30,CUBEMEMBER("BIDB",{"[Measures].[Fuldtidsledige]"}),J$3,$B30)</f>
        <v>3.12</v>
      </c>
      <c r="L30" s="26">
        <f t="shared" si="3"/>
        <v>9.454545454545455</v>
      </c>
      <c r="M30" s="25" vm="2355">
        <f>CUBEVALUE("BIDB",CUBEMEMBER("BIDB","[Betalingsstatus].[Betalende medlem]"),'Præsentationstabeller 1'!$C$2,$C30,CUBEMEMBER("BIDB",{"[Measures].[Ledighedsmulige]"}),M$3,$B30)</f>
        <v>73</v>
      </c>
      <c r="N30" s="35" vm="2955">
        <f>CUBEVALUE("BIDB",CUBEMEMBER("BIDB","[Betalingsstatus].[Betalende medlem]"),'Præsentationstabeller 1'!$C$2,$C30,CUBEMEMBER("BIDB",{"[Measures].[Fuldtidsledige]"}),M$3,$B30)</f>
        <v>1</v>
      </c>
      <c r="O30" s="26">
        <f t="shared" si="4"/>
        <v>1.3698630136986301</v>
      </c>
      <c r="P30" s="25" vm="2952">
        <f>CUBEVALUE("BIDB",CUBEMEMBER("BIDB","[Betalingsstatus].[Betalende medlem]"),'Præsentationstabeller 1'!$C$2,$C30,CUBEMEMBER("BIDB",{"[Measures].[Ledighedsmulige]"}),P$3,$B30)</f>
        <v>216</v>
      </c>
      <c r="Q30" s="35" vm="3181">
        <f>CUBEVALUE("BIDB",CUBEMEMBER("BIDB","[Betalingsstatus].[Betalende medlem]"),'Præsentationstabeller 1'!$C$2,$C30,CUBEMEMBER("BIDB",{"[Measures].[Fuldtidsledige]"}),P$3,$B30)</f>
        <v>7.8940540540540542</v>
      </c>
      <c r="R30" s="26">
        <f t="shared" si="5"/>
        <v>3.6546546546546552</v>
      </c>
      <c r="S30" s="25" vm="2515">
        <f>CUBEVALUE("BIDB",CUBEMEMBER("BIDB","[Betalingsstatus].[Betalende medlem]"),'Præsentationstabeller 1'!$C$2,$C30,CUBEMEMBER("BIDB",{"[Measures].[Ledighedsmulige]"}),S$3,$B30)</f>
        <v>161</v>
      </c>
      <c r="T30" s="35" vm="2784">
        <f>CUBEVALUE("BIDB",CUBEMEMBER("BIDB","[Betalingsstatus].[Betalende medlem]"),'Præsentationstabeller 1'!$C$2,$C30,CUBEMEMBER("BIDB",{"[Measures].[Fuldtidsledige]"}),S$3,$B30)</f>
        <v>3.2399999999999998</v>
      </c>
      <c r="U30" s="26">
        <f t="shared" si="6"/>
        <v>2.012422360248447</v>
      </c>
    </row>
    <row r="31" spans="2:21" ht="15" x14ac:dyDescent="0.25">
      <c r="B31" s="50" t="str" vm="2">
        <f t="shared" si="8"/>
        <v>Diplomingeniør</v>
      </c>
      <c r="C31" s="50" t="str" vm="38">
        <f>CUBEMEMBER("BIDB",{"[Uddannelsesretning].[IDA Gruppe].&amp;[Nye retninger]"})</f>
        <v>Nye retninger</v>
      </c>
      <c r="D31" s="51" vm="2610">
        <f>CUBEVALUE("BIDB",CUBEMEMBER("BIDB","[Betalingsstatus].[Betalende medlem]"),'Præsentationstabeller 1'!$C$2,$C31,CUBEMEMBER("BIDB",{"[Measures].[Ledighedsmulige]"}),D$3,$B31)</f>
        <v>15</v>
      </c>
      <c r="E31" s="52" vm="3707">
        <f>CUBEVALUE("BIDB",CUBEMEMBER("BIDB","[Betalingsstatus].[Betalende medlem]"),'Præsentationstabeller 1'!$C$2,$C31,CUBEMEMBER("BIDB",{"[Measures].[Fuldtidsledige]"}),D$3,$B31)</f>
        <v>3.6302702702702705</v>
      </c>
      <c r="F31" s="53">
        <f t="shared" si="1"/>
        <v>24.201801801801803</v>
      </c>
      <c r="G31" s="51" vm="2760">
        <f>CUBEVALUE("BIDB",CUBEMEMBER("BIDB","[Betalingsstatus].[Betalende medlem]"),'Præsentationstabeller 1'!$C$2,$C31,CUBEMEMBER("BIDB",{"[Measures].[Ledighedsmulige]"}),G$3,$B31)</f>
        <v>12</v>
      </c>
      <c r="H31" s="54" vm="1576">
        <f>CUBEVALUE("BIDB",CUBEMEMBER("BIDB","[Betalingsstatus].[Betalende medlem]"),'Præsentationstabeller 1'!$C$2,$C31,CUBEMEMBER("BIDB",{"[Measures].[Fuldtidsledige]"}),G$3,$B31)</f>
        <v>1</v>
      </c>
      <c r="I31" s="53">
        <f t="shared" si="2"/>
        <v>8.3333333333333321</v>
      </c>
      <c r="J31" s="51" vm="2649">
        <f>CUBEVALUE("BIDB",CUBEMEMBER("BIDB","[Betalingsstatus].[Betalende medlem]"),'Præsentationstabeller 1'!$C$2,$C31,CUBEMEMBER("BIDB",{"[Measures].[Ledighedsmulige]"}),J$3,$B31)</f>
        <v>36</v>
      </c>
      <c r="K31" s="54" vm="2716">
        <f>CUBEVALUE("BIDB",CUBEMEMBER("BIDB","[Betalingsstatus].[Betalende medlem]"),'Præsentationstabeller 1'!$C$2,$C31,CUBEMEMBER("BIDB",{"[Measures].[Fuldtidsledige]"}),J$3,$B31)</f>
        <v>2.4711351351351349</v>
      </c>
      <c r="L31" s="53">
        <f t="shared" si="3"/>
        <v>6.8642642642642642</v>
      </c>
      <c r="M31" s="51" vm="2599">
        <f>CUBEVALUE("BIDB",CUBEMEMBER("BIDB","[Betalingsstatus].[Betalende medlem]"),'Præsentationstabeller 1'!$C$2,$C31,CUBEMEMBER("BIDB",{"[Measures].[Ledighedsmulige]"}),M$3,$B31)</f>
        <v>111</v>
      </c>
      <c r="N31" s="54" vm="4947">
        <f>CUBEVALUE("BIDB",CUBEMEMBER("BIDB","[Betalingsstatus].[Betalende medlem]"),'Præsentationstabeller 1'!$C$2,$C31,CUBEMEMBER("BIDB",{"[Measures].[Fuldtidsledige]"}),M$3,$B31)</f>
        <v>1.64</v>
      </c>
      <c r="O31" s="53">
        <f t="shared" si="4"/>
        <v>1.4774774774774773</v>
      </c>
      <c r="P31" s="51" vm="1812">
        <f>CUBEVALUE("BIDB",CUBEMEMBER("BIDB","[Betalingsstatus].[Betalende medlem]"),'Præsentationstabeller 1'!$C$2,$C31,CUBEMEMBER("BIDB",{"[Measures].[Ledighedsmulige]"}),P$3,$B31)</f>
        <v>22</v>
      </c>
      <c r="Q31" s="54" t="str" vm="2291">
        <f>CUBEVALUE("BIDB",CUBEMEMBER("BIDB","[Betalingsstatus].[Betalende medlem]"),'Præsentationstabeller 1'!$C$2,$C31,CUBEMEMBER("BIDB",{"[Measures].[Fuldtidsledige]"}),P$3,$B31)</f>
        <v/>
      </c>
      <c r="R31" s="53">
        <f t="shared" si="5"/>
        <v>0</v>
      </c>
      <c r="S31" s="51" vm="2981">
        <f>CUBEVALUE("BIDB",CUBEMEMBER("BIDB","[Betalingsstatus].[Betalende medlem]"),'Præsentationstabeller 1'!$C$2,$C31,CUBEMEMBER("BIDB",{"[Measures].[Ledighedsmulige]"}),S$3,$B31)</f>
        <v>11</v>
      </c>
      <c r="T31" s="54" t="str" vm="2876">
        <f>CUBEVALUE("BIDB",CUBEMEMBER("BIDB","[Betalingsstatus].[Betalende medlem]"),'Præsentationstabeller 1'!$C$2,$C31,CUBEMEMBER("BIDB",{"[Measures].[Fuldtidsledige]"}),S$3,$B31)</f>
        <v/>
      </c>
      <c r="U31" s="53">
        <f t="shared" si="6"/>
        <v>0</v>
      </c>
    </row>
    <row r="32" spans="2:21" ht="15" x14ac:dyDescent="0.25">
      <c r="B32" s="10" t="str" vm="2">
        <f t="shared" si="8"/>
        <v>Diplomingeniør</v>
      </c>
      <c r="C32" s="10" t="str" vm="33">
        <f>CUBEMEMBER("BIDB",{"[Uddannelsesretning].[IDA Gruppe].&amp;[Øvrige retninger/uoplyste]"})</f>
        <v>Øvrige retninger/uoplyste</v>
      </c>
      <c r="D32" s="41" vm="1986">
        <f>CUBEVALUE("BIDB",CUBEMEMBER("BIDB","[Betalingsstatus].[Betalende medlem]"),'Præsentationstabeller 1'!$C$2,$C32,CUBEMEMBER("BIDB",{"[Measures].[Ledighedsmulige]"}),D$3,$B32)</f>
        <v>188</v>
      </c>
      <c r="E32" s="42" vm="5307">
        <f>CUBEVALUE("BIDB",CUBEMEMBER("BIDB","[Betalingsstatus].[Betalende medlem]"),'Præsentationstabeller 1'!$C$2,$C32,CUBEMEMBER("BIDB",{"[Measures].[Fuldtidsledige]"}),D$3,$B32)</f>
        <v>46.650648648648655</v>
      </c>
      <c r="F32" s="43">
        <f t="shared" si="1"/>
        <v>24.814174813110988</v>
      </c>
      <c r="G32" s="41" vm="2881">
        <f>CUBEVALUE("BIDB",CUBEMEMBER("BIDB","[Betalingsstatus].[Betalende medlem]"),'Præsentationstabeller 1'!$C$2,$C32,CUBEMEMBER("BIDB",{"[Measures].[Ledighedsmulige]"}),G$3,$B32)</f>
        <v>193</v>
      </c>
      <c r="H32" s="44" vm="3493">
        <f>CUBEVALUE("BIDB",CUBEMEMBER("BIDB","[Betalingsstatus].[Betalende medlem]"),'Præsentationstabeller 1'!$C$2,$C32,CUBEMEMBER("BIDB",{"[Measures].[Fuldtidsledige]"}),G$3,$B32)</f>
        <v>20.367297297297299</v>
      </c>
      <c r="I32" s="43">
        <f t="shared" si="2"/>
        <v>10.553003780983056</v>
      </c>
      <c r="J32" s="41" vm="3155">
        <f>CUBEVALUE("BIDB",CUBEMEMBER("BIDB","[Betalingsstatus].[Betalende medlem]"),'Præsentationstabeller 1'!$C$2,$C32,CUBEMEMBER("BIDB",{"[Measures].[Ledighedsmulige]"}),J$3,$B32)</f>
        <v>434</v>
      </c>
      <c r="K32" s="44" vm="2498">
        <f>CUBEVALUE("BIDB",CUBEMEMBER("BIDB","[Betalingsstatus].[Betalende medlem]"),'Præsentationstabeller 1'!$C$2,$C32,CUBEMEMBER("BIDB",{"[Measures].[Fuldtidsledige]"}),J$3,$B32)</f>
        <v>20.833243243243246</v>
      </c>
      <c r="L32" s="43">
        <f t="shared" si="3"/>
        <v>4.8002864615767846</v>
      </c>
      <c r="M32" s="41" vm="3389">
        <f>CUBEVALUE("BIDB",CUBEMEMBER("BIDB","[Betalingsstatus].[Betalende medlem]"),'Præsentationstabeller 1'!$C$2,$C32,CUBEMEMBER("BIDB",{"[Measures].[Ledighedsmulige]"}),M$3,$B32)</f>
        <v>403</v>
      </c>
      <c r="N32" s="44" vm="2449">
        <f>CUBEVALUE("BIDB",CUBEMEMBER("BIDB","[Betalingsstatus].[Betalende medlem]"),'Præsentationstabeller 1'!$C$2,$C32,CUBEMEMBER("BIDB",{"[Measures].[Fuldtidsledige]"}),M$3,$B32)</f>
        <v>3.8</v>
      </c>
      <c r="O32" s="43">
        <f t="shared" si="4"/>
        <v>0.94292803970223316</v>
      </c>
      <c r="P32" s="41" vm="2746">
        <f>CUBEVALUE("BIDB",CUBEMEMBER("BIDB","[Betalingsstatus].[Betalende medlem]"),'Præsentationstabeller 1'!$C$2,$C32,CUBEMEMBER("BIDB",{"[Measures].[Ledighedsmulige]"}),P$3,$B32)</f>
        <v>316</v>
      </c>
      <c r="Q32" s="44" vm="3699">
        <f>CUBEVALUE("BIDB",CUBEMEMBER("BIDB","[Betalingsstatus].[Betalende medlem]"),'Præsentationstabeller 1'!$C$2,$C32,CUBEMEMBER("BIDB",{"[Measures].[Fuldtidsledige]"}),P$3,$B32)</f>
        <v>4.76</v>
      </c>
      <c r="R32" s="43">
        <f t="shared" si="5"/>
        <v>1.5063291139240507</v>
      </c>
      <c r="S32" s="41" vm="2708">
        <f>CUBEVALUE("BIDB",CUBEMEMBER("BIDB","[Betalingsstatus].[Betalende medlem]"),'Præsentationstabeller 1'!$C$2,$C32,CUBEMEMBER("BIDB",{"[Measures].[Ledighedsmulige]"}),S$3,$B32)</f>
        <v>289</v>
      </c>
      <c r="T32" s="44" vm="2121">
        <f>CUBEVALUE("BIDB",CUBEMEMBER("BIDB","[Betalingsstatus].[Betalende medlem]"),'Præsentationstabeller 1'!$C$2,$C32,CUBEMEMBER("BIDB",{"[Measures].[Fuldtidsledige]"}),S$3,$B32)</f>
        <v>4.3900540540540547</v>
      </c>
      <c r="U32" s="43">
        <f t="shared" si="6"/>
        <v>1.5190498456934445</v>
      </c>
    </row>
    <row r="33" spans="2:21" ht="15" x14ac:dyDescent="0.25">
      <c r="B33" s="50" t="str" vm="19">
        <f t="shared" ref="B33:B41" si="9">CUBEMEMBER("BIDB","[Uddannelse].[IDA Gruppe].&amp;[Civilingeniører]")</f>
        <v>Civilingeniører</v>
      </c>
      <c r="C33" s="50" t="str" vm="37">
        <f>CUBEMEMBER("BIDB",{"[Uddannelsesretning].[IDA Gruppe].&amp;[Maskin]"})</f>
        <v>Maskin</v>
      </c>
      <c r="D33" s="51" vm="2847">
        <f>CUBEVALUE("BIDB",CUBEMEMBER("BIDB","[Betalingsstatus].[Betalende medlem]"),'Præsentationstabeller 1'!$C$2,$C33,CUBEMEMBER("BIDB",{"[Measures].[Ledighedsmulige]"}),D$3,$B33)</f>
        <v>54</v>
      </c>
      <c r="E33" s="52" vm="2651">
        <f>CUBEVALUE("BIDB",CUBEMEMBER("BIDB","[Betalingsstatus].[Betalende medlem]"),'Præsentationstabeller 1'!$C$2,$C33,CUBEMEMBER("BIDB",{"[Measures].[Fuldtidsledige]"}),D$3,$B33)</f>
        <v>13.040000000000001</v>
      </c>
      <c r="F33" s="53">
        <f t="shared" si="1"/>
        <v>24.148148148148149</v>
      </c>
      <c r="G33" s="51" vm="2735">
        <f>CUBEVALUE("BIDB",CUBEMEMBER("BIDB","[Betalingsstatus].[Betalende medlem]"),'Præsentationstabeller 1'!$C$2,$C33,CUBEMEMBER("BIDB",{"[Measures].[Ledighedsmulige]"}),G$3,$B33)</f>
        <v>41</v>
      </c>
      <c r="H33" s="54" vm="2865">
        <f>CUBEVALUE("BIDB",CUBEMEMBER("BIDB","[Betalingsstatus].[Betalende medlem]"),'Præsentationstabeller 1'!$C$2,$C33,CUBEMEMBER("BIDB",{"[Measures].[Fuldtidsledige]"}),G$3,$B33)</f>
        <v>1.8</v>
      </c>
      <c r="I33" s="53">
        <f t="shared" si="2"/>
        <v>4.3902439024390247</v>
      </c>
      <c r="J33" s="51" vm="2063">
        <f>CUBEVALUE("BIDB",CUBEMEMBER("BIDB","[Betalingsstatus].[Betalende medlem]"),'Præsentationstabeller 1'!$C$2,$C33,CUBEMEMBER("BIDB",{"[Measures].[Ledighedsmulige]"}),J$3,$B33)</f>
        <v>151</v>
      </c>
      <c r="K33" s="54" vm="2742">
        <f>CUBEVALUE("BIDB",CUBEMEMBER("BIDB","[Betalingsstatus].[Betalende medlem]"),'Præsentationstabeller 1'!$C$2,$C33,CUBEMEMBER("BIDB",{"[Measures].[Fuldtidsledige]"}),J$3,$B33)</f>
        <v>2.2800000000000002</v>
      </c>
      <c r="L33" s="53">
        <f t="shared" si="3"/>
        <v>1.5099337748344372</v>
      </c>
      <c r="M33" s="51" vm="2763">
        <f>CUBEVALUE("BIDB",CUBEMEMBER("BIDB","[Betalingsstatus].[Betalende medlem]"),'Præsentationstabeller 1'!$C$2,$C33,CUBEMEMBER("BIDB",{"[Measures].[Ledighedsmulige]"}),M$3,$B33)</f>
        <v>227</v>
      </c>
      <c r="N33" s="54" vm="3930">
        <f>CUBEVALUE("BIDB",CUBEMEMBER("BIDB","[Betalingsstatus].[Betalende medlem]"),'Præsentationstabeller 1'!$C$2,$C33,CUBEMEMBER("BIDB",{"[Measures].[Fuldtidsledige]"}),M$3,$B33)</f>
        <v>1.6</v>
      </c>
      <c r="O33" s="53">
        <f t="shared" si="4"/>
        <v>0.70484581497797361</v>
      </c>
      <c r="P33" s="51" vm="2906">
        <f>CUBEVALUE("BIDB",CUBEMEMBER("BIDB","[Betalingsstatus].[Betalende medlem]"),'Præsentationstabeller 1'!$C$2,$C33,CUBEMEMBER("BIDB",{"[Measures].[Ledighedsmulige]"}),P$3,$B33)</f>
        <v>235</v>
      </c>
      <c r="Q33" s="54" vm="2424">
        <f>CUBEVALUE("BIDB",CUBEMEMBER("BIDB","[Betalingsstatus].[Betalende medlem]"),'Præsentationstabeller 1'!$C$2,$C33,CUBEMEMBER("BIDB",{"[Measures].[Fuldtidsledige]"}),P$3,$B33)</f>
        <v>1.6</v>
      </c>
      <c r="R33" s="53">
        <f t="shared" si="5"/>
        <v>0.68085106382978733</v>
      </c>
      <c r="S33" s="51" vm="3016">
        <f>CUBEVALUE("BIDB",CUBEMEMBER("BIDB","[Betalingsstatus].[Betalende medlem]"),'Præsentationstabeller 1'!$C$2,$C33,CUBEMEMBER("BIDB",{"[Measures].[Ledighedsmulige]"}),S$3,$B33)</f>
        <v>1863</v>
      </c>
      <c r="T33" s="54" vm="1703">
        <f>CUBEVALUE("BIDB",CUBEMEMBER("BIDB","[Betalingsstatus].[Betalende medlem]"),'Præsentationstabeller 1'!$C$2,$C33,CUBEMEMBER("BIDB",{"[Measures].[Fuldtidsledige]"}),S$3,$B33)</f>
        <v>15.194594594594594</v>
      </c>
      <c r="U33" s="53">
        <f t="shared" si="6"/>
        <v>0.81559820690255469</v>
      </c>
    </row>
    <row r="34" spans="2:21" ht="15" x14ac:dyDescent="0.25">
      <c r="B34" s="9" t="str" vm="19">
        <f t="shared" si="9"/>
        <v>Civilingeniører</v>
      </c>
      <c r="C34" s="9" t="str" vm="41">
        <f>CUBEMEMBER("BIDB",{"[Uddannelsesretning].[IDA Gruppe].&amp;[Produktion]"})</f>
        <v>Produktion</v>
      </c>
      <c r="D34" s="25" vm="2914">
        <f>CUBEVALUE("BIDB",CUBEMEMBER("BIDB","[Betalingsstatus].[Betalende medlem]"),'Præsentationstabeller 1'!$C$2,$C34,CUBEMEMBER("BIDB",{"[Measures].[Ledighedsmulige]"}),D$3,$B34)</f>
        <v>17</v>
      </c>
      <c r="E34" s="30" vm="2874">
        <f>CUBEVALUE("BIDB",CUBEMEMBER("BIDB","[Betalingsstatus].[Betalende medlem]"),'Præsentationstabeller 1'!$C$2,$C34,CUBEMEMBER("BIDB",{"[Measures].[Fuldtidsledige]"}),D$3,$B34)</f>
        <v>5.08</v>
      </c>
      <c r="F34" s="26">
        <f t="shared" si="1"/>
        <v>29.882352941176471</v>
      </c>
      <c r="G34" s="25" vm="2108">
        <f>CUBEVALUE("BIDB",CUBEMEMBER("BIDB","[Betalingsstatus].[Betalende medlem]"),'Præsentationstabeller 1'!$C$2,$C34,CUBEMEMBER("BIDB",{"[Measures].[Ledighedsmulige]"}),G$3,$B34)</f>
        <v>4</v>
      </c>
      <c r="H34" s="35" vm="4682">
        <f>CUBEVALUE("BIDB",CUBEMEMBER("BIDB","[Betalingsstatus].[Betalende medlem]"),'Præsentationstabeller 1'!$C$2,$C34,CUBEMEMBER("BIDB",{"[Measures].[Fuldtidsledige]"}),G$3,$B34)</f>
        <v>0.8</v>
      </c>
      <c r="I34" s="26">
        <f t="shared" si="2"/>
        <v>20</v>
      </c>
      <c r="J34" s="25" vm="2226">
        <f>CUBEVALUE("BIDB",CUBEMEMBER("BIDB","[Betalingsstatus].[Betalende medlem]"),'Præsentationstabeller 1'!$C$2,$C34,CUBEMEMBER("BIDB",{"[Measures].[Ledighedsmulige]"}),J$3,$B34)</f>
        <v>41</v>
      </c>
      <c r="K34" s="35" t="str" vm="2979">
        <f>CUBEVALUE("BIDB",CUBEMEMBER("BIDB","[Betalingsstatus].[Betalende medlem]"),'Præsentationstabeller 1'!$C$2,$C34,CUBEMEMBER("BIDB",{"[Measures].[Fuldtidsledige]"}),J$3,$B34)</f>
        <v/>
      </c>
      <c r="L34" s="26">
        <f t="shared" si="3"/>
        <v>0</v>
      </c>
      <c r="M34" s="25" vm="3951">
        <f>CUBEVALUE("BIDB",CUBEMEMBER("BIDB","[Betalingsstatus].[Betalende medlem]"),'Præsentationstabeller 1'!$C$2,$C34,CUBEMEMBER("BIDB",{"[Measures].[Ledighedsmulige]"}),M$3,$B34)</f>
        <v>165</v>
      </c>
      <c r="N34" s="35" vm="2060">
        <f>CUBEVALUE("BIDB",CUBEMEMBER("BIDB","[Betalingsstatus].[Betalende medlem]"),'Præsentationstabeller 1'!$C$2,$C34,CUBEMEMBER("BIDB",{"[Measures].[Fuldtidsledige]"}),M$3,$B34)</f>
        <v>0.8</v>
      </c>
      <c r="O34" s="26">
        <f t="shared" si="4"/>
        <v>0.48484848484848486</v>
      </c>
      <c r="P34" s="25" vm="1747">
        <f>CUBEVALUE("BIDB",CUBEMEMBER("BIDB","[Betalingsstatus].[Betalende medlem]"),'Præsentationstabeller 1'!$C$2,$C34,CUBEMEMBER("BIDB",{"[Measures].[Ledighedsmulige]"}),P$3,$B34)</f>
        <v>144</v>
      </c>
      <c r="Q34" s="35" vm="2136">
        <f>CUBEVALUE("BIDB",CUBEMEMBER("BIDB","[Betalingsstatus].[Betalende medlem]"),'Præsentationstabeller 1'!$C$2,$C34,CUBEMEMBER("BIDB",{"[Measures].[Fuldtidsledige]"}),P$3,$B34)</f>
        <v>2.52</v>
      </c>
      <c r="R34" s="26">
        <f t="shared" si="5"/>
        <v>1.7500000000000002</v>
      </c>
      <c r="S34" s="25" vm="3637">
        <f>CUBEVALUE("BIDB",CUBEMEMBER("BIDB","[Betalingsstatus].[Betalende medlem]"),'Præsentationstabeller 1'!$C$2,$C34,CUBEMEMBER("BIDB",{"[Measures].[Ledighedsmulige]"}),S$3,$B34)</f>
        <v>349</v>
      </c>
      <c r="T34" s="35" vm="3133">
        <f>CUBEVALUE("BIDB",CUBEMEMBER("BIDB","[Betalingsstatus].[Betalende medlem]"),'Præsentationstabeller 1'!$C$2,$C34,CUBEMEMBER("BIDB",{"[Measures].[Fuldtidsledige]"}),S$3,$B34)</f>
        <v>4.2</v>
      </c>
      <c r="U34" s="26">
        <f t="shared" si="6"/>
        <v>1.2034383954154728</v>
      </c>
    </row>
    <row r="35" spans="2:21" ht="15" x14ac:dyDescent="0.25">
      <c r="B35" s="50" t="str" vm="19">
        <f t="shared" si="9"/>
        <v>Civilingeniører</v>
      </c>
      <c r="C35" s="50" t="str" vm="36">
        <f>CUBEMEMBER("BIDB",{"[Uddannelsesretning].[IDA Gruppe].&amp;[Elektronik-IT]"})</f>
        <v>Elektronik-IT</v>
      </c>
      <c r="D35" s="51" vm="3927">
        <f>CUBEVALUE("BIDB",CUBEMEMBER("BIDB","[Betalingsstatus].[Betalende medlem]"),'Præsentationstabeller 1'!$C$2,$C35,CUBEMEMBER("BIDB",{"[Measures].[Ledighedsmulige]"}),D$3,$B35)</f>
        <v>198</v>
      </c>
      <c r="E35" s="52" vm="2255">
        <f>CUBEVALUE("BIDB",CUBEMEMBER("BIDB","[Betalingsstatus].[Betalende medlem]"),'Præsentationstabeller 1'!$C$2,$C35,CUBEMEMBER("BIDB",{"[Measures].[Fuldtidsledige]"}),D$3,$B35)</f>
        <v>56.891513513513516</v>
      </c>
      <c r="F35" s="53">
        <f t="shared" si="1"/>
        <v>28.733087633087635</v>
      </c>
      <c r="G35" s="51" vm="3337">
        <f>CUBEVALUE("BIDB",CUBEMEMBER("BIDB","[Betalingsstatus].[Betalende medlem]"),'Præsentationstabeller 1'!$C$2,$C35,CUBEMEMBER("BIDB",{"[Measures].[Ledighedsmulige]"}),G$3,$B35)</f>
        <v>139</v>
      </c>
      <c r="H35" s="54" vm="2970">
        <f>CUBEVALUE("BIDB",CUBEMEMBER("BIDB","[Betalingsstatus].[Betalende medlem]"),'Præsentationstabeller 1'!$C$2,$C35,CUBEMEMBER("BIDB",{"[Measures].[Fuldtidsledige]"}),G$3,$B35)</f>
        <v>5.6400000000000006</v>
      </c>
      <c r="I35" s="53">
        <f t="shared" si="2"/>
        <v>4.0575539568345329</v>
      </c>
      <c r="J35" s="51" vm="3477">
        <f>CUBEVALUE("BIDB",CUBEMEMBER("BIDB","[Betalingsstatus].[Betalende medlem]"),'Præsentationstabeller 1'!$C$2,$C35,CUBEMEMBER("BIDB",{"[Measures].[Ledighedsmulige]"}),J$3,$B35)</f>
        <v>494</v>
      </c>
      <c r="K35" s="54" vm="1760">
        <f>CUBEVALUE("BIDB",CUBEMEMBER("BIDB","[Betalingsstatus].[Betalende medlem]"),'Præsentationstabeller 1'!$C$2,$C35,CUBEMEMBER("BIDB",{"[Measures].[Fuldtidsledige]"}),J$3,$B35)</f>
        <v>5.4518918918918917</v>
      </c>
      <c r="L35" s="53">
        <f t="shared" si="3"/>
        <v>1.1036218404639457</v>
      </c>
      <c r="M35" s="51" vm="2451">
        <f>CUBEVALUE("BIDB",CUBEMEMBER("BIDB","[Betalingsstatus].[Betalende medlem]"),'Præsentationstabeller 1'!$C$2,$C35,CUBEMEMBER("BIDB",{"[Measures].[Ledighedsmulige]"}),M$3,$B35)</f>
        <v>1086</v>
      </c>
      <c r="N35" s="54" vm="1572">
        <f>CUBEVALUE("BIDB",CUBEMEMBER("BIDB","[Betalingsstatus].[Betalende medlem]"),'Præsentationstabeller 1'!$C$2,$C35,CUBEMEMBER("BIDB",{"[Measures].[Fuldtidsledige]"}),M$3,$B35)</f>
        <v>8.120000000000001</v>
      </c>
      <c r="O35" s="53">
        <f t="shared" si="4"/>
        <v>0.74769797421731132</v>
      </c>
      <c r="P35" s="51" vm="2593">
        <f>CUBEVALUE("BIDB",CUBEMEMBER("BIDB","[Betalingsstatus].[Betalende medlem]"),'Præsentationstabeller 1'!$C$2,$C35,CUBEMEMBER("BIDB",{"[Measures].[Ledighedsmulige]"}),P$3,$B35)</f>
        <v>1220</v>
      </c>
      <c r="Q35" s="54" vm="3440">
        <f>CUBEVALUE("BIDB",CUBEMEMBER("BIDB","[Betalingsstatus].[Betalende medlem]"),'Præsentationstabeller 1'!$C$2,$C35,CUBEMEMBER("BIDB",{"[Measures].[Fuldtidsledige]"}),P$3,$B35)</f>
        <v>6.3599999999999994</v>
      </c>
      <c r="R35" s="53">
        <f t="shared" si="5"/>
        <v>0.52131147540983602</v>
      </c>
      <c r="S35" s="51" vm="3562">
        <f>CUBEVALUE("BIDB",CUBEMEMBER("BIDB","[Betalingsstatus].[Betalende medlem]"),'Præsentationstabeller 1'!$C$2,$C35,CUBEMEMBER("BIDB",{"[Measures].[Ledighedsmulige]"}),S$3,$B35)</f>
        <v>3798</v>
      </c>
      <c r="T35" s="54" vm="2533">
        <f>CUBEVALUE("BIDB",CUBEMEMBER("BIDB","[Betalingsstatus].[Betalende medlem]"),'Præsentationstabeller 1'!$C$2,$C35,CUBEMEMBER("BIDB",{"[Measures].[Fuldtidsledige]"}),S$3,$B35)</f>
        <v>31.654756756756758</v>
      </c>
      <c r="U35" s="53">
        <f t="shared" si="6"/>
        <v>0.83345857706047277</v>
      </c>
    </row>
    <row r="36" spans="2:21" ht="15" x14ac:dyDescent="0.25">
      <c r="B36" s="9" t="str" vm="19">
        <f t="shared" si="9"/>
        <v>Civilingeniører</v>
      </c>
      <c r="C36" s="9" t="str" vm="40">
        <f>CUBEMEMBER("BIDB",{"[Uddannelsesretning].[IDA Gruppe].&amp;[Bygning]"})</f>
        <v>Bygning</v>
      </c>
      <c r="D36" s="25" vm="2438">
        <f>CUBEVALUE("BIDB",CUBEMEMBER("BIDB","[Betalingsstatus].[Betalende medlem]"),'Præsentationstabeller 1'!$C$2,$C36,CUBEMEMBER("BIDB",{"[Measures].[Ledighedsmulige]"}),D$3,$B36)</f>
        <v>200</v>
      </c>
      <c r="E36" s="30" vm="3730">
        <f>CUBEVALUE("BIDB",CUBEMEMBER("BIDB","[Betalingsstatus].[Betalende medlem]"),'Præsentationstabeller 1'!$C$2,$C36,CUBEMEMBER("BIDB",{"[Measures].[Fuldtidsledige]"}),D$3,$B36)</f>
        <v>49.616162162162169</v>
      </c>
      <c r="F36" s="26">
        <f t="shared" si="1"/>
        <v>24.808081081081085</v>
      </c>
      <c r="G36" s="25" vm="2678">
        <f>CUBEVALUE("BIDB",CUBEMEMBER("BIDB","[Betalingsstatus].[Betalende medlem]"),'Præsentationstabeller 1'!$C$2,$C36,CUBEMEMBER("BIDB",{"[Measures].[Ledighedsmulige]"}),G$3,$B36)</f>
        <v>156</v>
      </c>
      <c r="H36" s="35" vm="3386">
        <f>CUBEVALUE("BIDB",CUBEMEMBER("BIDB","[Betalingsstatus].[Betalende medlem]"),'Præsentationstabeller 1'!$C$2,$C36,CUBEMEMBER("BIDB",{"[Measures].[Fuldtidsledige]"}),G$3,$B36)</f>
        <v>6.7881081081081076</v>
      </c>
      <c r="I36" s="26">
        <f t="shared" si="2"/>
        <v>4.3513513513513509</v>
      </c>
      <c r="J36" s="25" vm="3081">
        <f>CUBEVALUE("BIDB",CUBEMEMBER("BIDB","[Betalingsstatus].[Betalende medlem]"),'Præsentationstabeller 1'!$C$2,$C36,CUBEMEMBER("BIDB",{"[Measures].[Ledighedsmulige]"}),J$3,$B36)</f>
        <v>460</v>
      </c>
      <c r="K36" s="35" vm="5977">
        <f>CUBEVALUE("BIDB",CUBEMEMBER("BIDB","[Betalingsstatus].[Betalende medlem]"),'Præsentationstabeller 1'!$C$2,$C36,CUBEMEMBER("BIDB",{"[Measures].[Fuldtidsledige]"}),J$3,$B36)</f>
        <v>4.0183783783783786</v>
      </c>
      <c r="L36" s="26">
        <f t="shared" si="3"/>
        <v>0.87356051703877791</v>
      </c>
      <c r="M36" s="25" vm="2106">
        <f>CUBEVALUE("BIDB",CUBEMEMBER("BIDB","[Betalingsstatus].[Betalende medlem]"),'Præsentationstabeller 1'!$C$2,$C36,CUBEMEMBER("BIDB",{"[Measures].[Ledighedsmulige]"}),M$3,$B36)</f>
        <v>711</v>
      </c>
      <c r="N36" s="35" vm="3197">
        <f>CUBEVALUE("BIDB",CUBEMEMBER("BIDB","[Betalingsstatus].[Betalende medlem]"),'Præsentationstabeller 1'!$C$2,$C36,CUBEMEMBER("BIDB",{"[Measures].[Fuldtidsledige]"}),M$3,$B36)</f>
        <v>4.2200000000000006</v>
      </c>
      <c r="O36" s="26">
        <f t="shared" si="4"/>
        <v>0.59353023909985947</v>
      </c>
      <c r="P36" s="25" vm="2798">
        <f>CUBEVALUE("BIDB",CUBEMEMBER("BIDB","[Betalingsstatus].[Betalende medlem]"),'Præsentationstabeller 1'!$C$2,$C36,CUBEMEMBER("BIDB",{"[Measures].[Ledighedsmulige]"}),P$3,$B36)</f>
        <v>818</v>
      </c>
      <c r="Q36" s="35" vm="2535">
        <f>CUBEVALUE("BIDB",CUBEMEMBER("BIDB","[Betalingsstatus].[Betalende medlem]"),'Præsentationstabeller 1'!$C$2,$C36,CUBEMEMBER("BIDB",{"[Measures].[Fuldtidsledige]"}),P$3,$B36)</f>
        <v>5.1891891891891895</v>
      </c>
      <c r="R36" s="26">
        <f t="shared" si="5"/>
        <v>0.63437520650234591</v>
      </c>
      <c r="S36" s="25" vm="4776">
        <f>CUBEVALUE("BIDB",CUBEMEMBER("BIDB","[Betalingsstatus].[Betalende medlem]"),'Præsentationstabeller 1'!$C$2,$C36,CUBEMEMBER("BIDB",{"[Measures].[Ledighedsmulige]"}),S$3,$B36)</f>
        <v>2314</v>
      </c>
      <c r="T36" s="35" vm="2677">
        <f>CUBEVALUE("BIDB",CUBEMEMBER("BIDB","[Betalingsstatus].[Betalende medlem]"),'Præsentationstabeller 1'!$C$2,$C36,CUBEMEMBER("BIDB",{"[Measures].[Fuldtidsledige]"}),S$3,$B36)</f>
        <v>15.667027027027025</v>
      </c>
      <c r="U36" s="26">
        <f t="shared" si="6"/>
        <v>0.67705389053703646</v>
      </c>
    </row>
    <row r="37" spans="2:21" ht="15" x14ac:dyDescent="0.25">
      <c r="B37" s="50" t="str" vm="19">
        <f t="shared" si="9"/>
        <v>Civilingeniører</v>
      </c>
      <c r="C37" s="50" t="str" vm="35">
        <f>CUBEMEMBER("BIDB",{"[Uddannelsesretning].[IDA Gruppe].&amp;[Anlæg]"})</f>
        <v>Anlæg</v>
      </c>
      <c r="D37" s="51" vm="4054">
        <f>CUBEVALUE("BIDB",CUBEMEMBER("BIDB","[Betalingsstatus].[Betalende medlem]"),'Præsentationstabeller 1'!$C$2,$C37,CUBEMEMBER("BIDB",{"[Measures].[Ledighedsmulige]"}),D$3,$B37)</f>
        <v>9</v>
      </c>
      <c r="E37" s="52" vm="3999">
        <f>CUBEVALUE("BIDB",CUBEMEMBER("BIDB","[Betalingsstatus].[Betalende medlem]"),'Præsentationstabeller 1'!$C$2,$C37,CUBEMEMBER("BIDB",{"[Measures].[Fuldtidsledige]"}),D$3,$B37)</f>
        <v>4.92</v>
      </c>
      <c r="F37" s="53">
        <f t="shared" si="1"/>
        <v>54.666666666666664</v>
      </c>
      <c r="G37" s="51" vm="2189">
        <f>CUBEVALUE("BIDB",CUBEMEMBER("BIDB","[Betalingsstatus].[Betalende medlem]"),'Præsentationstabeller 1'!$C$2,$C37,CUBEMEMBER("BIDB",{"[Measures].[Ledighedsmulige]"}),G$3,$B37)</f>
        <v>9</v>
      </c>
      <c r="H37" s="54" vm="2724">
        <f>CUBEVALUE("BIDB",CUBEMEMBER("BIDB","[Betalingsstatus].[Betalende medlem]"),'Præsentationstabeller 1'!$C$2,$C37,CUBEMEMBER("BIDB",{"[Measures].[Fuldtidsledige]"}),G$3,$B37)</f>
        <v>0.52</v>
      </c>
      <c r="I37" s="53">
        <f t="shared" si="2"/>
        <v>5.7777777777777786</v>
      </c>
      <c r="J37" s="51" vm="2926">
        <f>CUBEVALUE("BIDB",CUBEMEMBER("BIDB","[Betalingsstatus].[Betalende medlem]"),'Præsentationstabeller 1'!$C$2,$C37,CUBEMEMBER("BIDB",{"[Measures].[Ledighedsmulige]"}),J$3,$B37)</f>
        <v>25</v>
      </c>
      <c r="K37" s="54" t="str" vm="1651">
        <f>CUBEVALUE("BIDB",CUBEMEMBER("BIDB","[Betalingsstatus].[Betalende medlem]"),'Præsentationstabeller 1'!$C$2,$C37,CUBEMEMBER("BIDB",{"[Measures].[Fuldtidsledige]"}),J$3,$B37)</f>
        <v/>
      </c>
      <c r="L37" s="53">
        <f t="shared" si="3"/>
        <v>0</v>
      </c>
      <c r="M37" s="51" vm="4446">
        <f>CUBEVALUE("BIDB",CUBEMEMBER("BIDB","[Betalingsstatus].[Betalende medlem]"),'Præsentationstabeller 1'!$C$2,$C37,CUBEMEMBER("BIDB",{"[Measures].[Ledighedsmulige]"}),M$3,$B37)</f>
        <v>32</v>
      </c>
      <c r="N37" s="54" t="str" vm="2606">
        <f>CUBEVALUE("BIDB",CUBEMEMBER("BIDB","[Betalingsstatus].[Betalende medlem]"),'Præsentationstabeller 1'!$C$2,$C37,CUBEMEMBER("BIDB",{"[Measures].[Fuldtidsledige]"}),M$3,$B37)</f>
        <v/>
      </c>
      <c r="O37" s="53">
        <f t="shared" si="4"/>
        <v>0</v>
      </c>
      <c r="P37" s="51" vm="4933">
        <f>CUBEVALUE("BIDB",CUBEMEMBER("BIDB","[Betalingsstatus].[Betalende medlem]"),'Præsentationstabeller 1'!$C$2,$C37,CUBEMEMBER("BIDB",{"[Measures].[Ledighedsmulige]"}),P$3,$B37)</f>
        <v>9</v>
      </c>
      <c r="Q37" s="54" vm="2234">
        <f>CUBEVALUE("BIDB",CUBEMEMBER("BIDB","[Betalingsstatus].[Betalende medlem]"),'Præsentationstabeller 1'!$C$2,$C37,CUBEMEMBER("BIDB",{"[Measures].[Fuldtidsledige]"}),P$3,$B37)</f>
        <v>1</v>
      </c>
      <c r="R37" s="53">
        <f t="shared" si="5"/>
        <v>11.111111111111111</v>
      </c>
      <c r="S37" s="51" vm="2922">
        <f>CUBEVALUE("BIDB",CUBEMEMBER("BIDB","[Betalingsstatus].[Betalende medlem]"),'Præsentationstabeller 1'!$C$2,$C37,CUBEMEMBER("BIDB",{"[Measures].[Ledighedsmulige]"}),S$3,$B37)</f>
        <v>134</v>
      </c>
      <c r="T37" s="54" t="str" vm="3067">
        <f>CUBEVALUE("BIDB",CUBEMEMBER("BIDB","[Betalingsstatus].[Betalende medlem]"),'Præsentationstabeller 1'!$C$2,$C37,CUBEMEMBER("BIDB",{"[Measures].[Fuldtidsledige]"}),S$3,$B37)</f>
        <v/>
      </c>
      <c r="U37" s="53">
        <f t="shared" si="6"/>
        <v>0</v>
      </c>
    </row>
    <row r="38" spans="2:21" ht="15" x14ac:dyDescent="0.25">
      <c r="B38" s="9" t="str" vm="19">
        <f t="shared" si="9"/>
        <v>Civilingeniører</v>
      </c>
      <c r="C38" s="9" t="str" vm="39">
        <f>CUBEMEMBER("BIDB",{"[Uddannelsesretning].[IDA Gruppe].&amp;[Kemi]"})</f>
        <v>Kemi</v>
      </c>
      <c r="D38" s="25" vm="2408">
        <f>CUBEVALUE("BIDB",CUBEMEMBER("BIDB","[Betalingsstatus].[Betalende medlem]"),'Præsentationstabeller 1'!$C$2,$C38,CUBEMEMBER("BIDB",{"[Measures].[Ledighedsmulige]"}),D$3,$B38)</f>
        <v>95</v>
      </c>
      <c r="E38" s="30" vm="5705">
        <f>CUBEVALUE("BIDB",CUBEMEMBER("BIDB","[Betalingsstatus].[Betalende medlem]"),'Præsentationstabeller 1'!$C$2,$C38,CUBEMEMBER("BIDB",{"[Measures].[Fuldtidsledige]"}),D$3,$B38)</f>
        <v>34.84686486486487</v>
      </c>
      <c r="F38" s="26">
        <f t="shared" si="1"/>
        <v>36.680910384068284</v>
      </c>
      <c r="G38" s="25" vm="4932">
        <f>CUBEVALUE("BIDB",CUBEMEMBER("BIDB","[Betalingsstatus].[Betalende medlem]"),'Præsentationstabeller 1'!$C$2,$C38,CUBEMEMBER("BIDB",{"[Measures].[Ledighedsmulige]"}),G$3,$B38)</f>
        <v>41</v>
      </c>
      <c r="H38" s="35" vm="1486">
        <f>CUBEVALUE("BIDB",CUBEMEMBER("BIDB","[Betalingsstatus].[Betalende medlem]"),'Præsentationstabeller 1'!$C$2,$C38,CUBEMEMBER("BIDB",{"[Measures].[Fuldtidsledige]"}),G$3,$B38)</f>
        <v>0.96</v>
      </c>
      <c r="I38" s="26">
        <f t="shared" si="2"/>
        <v>2.3414634146341462</v>
      </c>
      <c r="J38" s="25" vm="1810">
        <f>CUBEVALUE("BIDB",CUBEMEMBER("BIDB","[Betalingsstatus].[Betalende medlem]"),'Præsentationstabeller 1'!$C$2,$C38,CUBEMEMBER("BIDB",{"[Measures].[Ledighedsmulige]"}),J$3,$B38)</f>
        <v>156</v>
      </c>
      <c r="K38" s="35" vm="2841">
        <f>CUBEVALUE("BIDB",CUBEMEMBER("BIDB","[Betalingsstatus].[Betalende medlem]"),'Præsentationstabeller 1'!$C$2,$C38,CUBEMEMBER("BIDB",{"[Measures].[Fuldtidsledige]"}),J$3,$B38)</f>
        <v>5.4</v>
      </c>
      <c r="L38" s="26">
        <f t="shared" si="3"/>
        <v>3.4615384615384617</v>
      </c>
      <c r="M38" s="25" vm="6695">
        <f>CUBEVALUE("BIDB",CUBEMEMBER("BIDB","[Betalingsstatus].[Betalende medlem]"),'Præsentationstabeller 1'!$C$2,$C38,CUBEMEMBER("BIDB",{"[Measures].[Ledighedsmulige]"}),M$3,$B38)</f>
        <v>395</v>
      </c>
      <c r="N38" s="35" vm="2369">
        <f>CUBEVALUE("BIDB",CUBEMEMBER("BIDB","[Betalingsstatus].[Betalende medlem]"),'Præsentationstabeller 1'!$C$2,$C38,CUBEMEMBER("BIDB",{"[Measures].[Fuldtidsledige]"}),M$3,$B38)</f>
        <v>4.4000000000000004</v>
      </c>
      <c r="O38" s="26">
        <f t="shared" si="4"/>
        <v>1.1139240506329113</v>
      </c>
      <c r="P38" s="25" vm="3001">
        <f>CUBEVALUE("BIDB",CUBEMEMBER("BIDB","[Betalingsstatus].[Betalende medlem]"),'Præsentationstabeller 1'!$C$2,$C38,CUBEMEMBER("BIDB",{"[Measures].[Ledighedsmulige]"}),P$3,$B38)</f>
        <v>580</v>
      </c>
      <c r="Q38" s="35" vm="2863">
        <f>CUBEVALUE("BIDB",CUBEMEMBER("BIDB","[Betalingsstatus].[Betalende medlem]"),'Præsentationstabeller 1'!$C$2,$C38,CUBEMEMBER("BIDB",{"[Measures].[Fuldtidsledige]"}),P$3,$B38)</f>
        <v>6</v>
      </c>
      <c r="R38" s="26">
        <f t="shared" si="5"/>
        <v>1.0344827586206897</v>
      </c>
      <c r="S38" s="25" vm="2596">
        <f>CUBEVALUE("BIDB",CUBEMEMBER("BIDB","[Betalingsstatus].[Betalende medlem]"),'Præsentationstabeller 1'!$C$2,$C38,CUBEMEMBER("BIDB",{"[Measures].[Ledighedsmulige]"}),S$3,$B38)</f>
        <v>2016</v>
      </c>
      <c r="T38" s="35" vm="5828">
        <f>CUBEVALUE("BIDB",CUBEMEMBER("BIDB","[Betalingsstatus].[Betalende medlem]"),'Præsentationstabeller 1'!$C$2,$C38,CUBEMEMBER("BIDB",{"[Measures].[Fuldtidsledige]"}),S$3,$B38)</f>
        <v>21.298486486486489</v>
      </c>
      <c r="U38" s="26">
        <f t="shared" si="6"/>
        <v>1.056472543972544</v>
      </c>
    </row>
    <row r="39" spans="2:21" ht="15" x14ac:dyDescent="0.25">
      <c r="B39" s="50" t="str" vm="19">
        <f t="shared" si="9"/>
        <v>Civilingeniører</v>
      </c>
      <c r="C39" s="50" t="str" vm="34">
        <f>CUBEMEMBER("BIDB",{"[Uddannelsesretning].[IDA Gruppe].&amp;[Teknisk ledelse]"})</f>
        <v>Teknisk ledelse</v>
      </c>
      <c r="D39" s="51" vm="3965">
        <f>CUBEVALUE("BIDB",CUBEMEMBER("BIDB","[Betalingsstatus].[Betalende medlem]"),'Præsentationstabeller 1'!$C$2,$C39,CUBEMEMBER("BIDB",{"[Measures].[Ledighedsmulige]"}),D$3,$B39)</f>
        <v>40</v>
      </c>
      <c r="E39" s="52" vm="2866">
        <f>CUBEVALUE("BIDB",CUBEMEMBER("BIDB","[Betalingsstatus].[Betalende medlem]"),'Præsentationstabeller 1'!$C$2,$C39,CUBEMEMBER("BIDB",{"[Measures].[Fuldtidsledige]"}),D$3,$B39)</f>
        <v>15.590270270270269</v>
      </c>
      <c r="F39" s="53">
        <f t="shared" si="1"/>
        <v>38.975675675675667</v>
      </c>
      <c r="G39" s="51" vm="3112">
        <f>CUBEVALUE("BIDB",CUBEMEMBER("BIDB","[Betalingsstatus].[Betalende medlem]"),'Præsentationstabeller 1'!$C$2,$C39,CUBEMEMBER("BIDB",{"[Measures].[Ledighedsmulige]"}),G$3,$B39)</f>
        <v>29</v>
      </c>
      <c r="H39" s="54" vm="1570">
        <f>CUBEVALUE("BIDB",CUBEMEMBER("BIDB","[Betalingsstatus].[Betalende medlem]"),'Præsentationstabeller 1'!$C$2,$C39,CUBEMEMBER("BIDB",{"[Measures].[Fuldtidsledige]"}),G$3,$B39)</f>
        <v>0.8</v>
      </c>
      <c r="I39" s="53">
        <f t="shared" si="2"/>
        <v>2.7586206896551726</v>
      </c>
      <c r="J39" s="51" vm="2717">
        <f>CUBEVALUE("BIDB",CUBEMEMBER("BIDB","[Betalingsstatus].[Betalende medlem]"),'Præsentationstabeller 1'!$C$2,$C39,CUBEMEMBER("BIDB",{"[Measures].[Ledighedsmulige]"}),J$3,$B39)</f>
        <v>71</v>
      </c>
      <c r="K39" s="54" vm="4430">
        <f>CUBEVALUE("BIDB",CUBEMEMBER("BIDB","[Betalingsstatus].[Betalende medlem]"),'Præsentationstabeller 1'!$C$2,$C39,CUBEMEMBER("BIDB",{"[Measures].[Fuldtidsledige]"}),J$3,$B39)</f>
        <v>2.52</v>
      </c>
      <c r="L39" s="53">
        <f t="shared" si="3"/>
        <v>3.549295774647887</v>
      </c>
      <c r="M39" s="51" vm="3631">
        <f>CUBEVALUE("BIDB",CUBEMEMBER("BIDB","[Betalingsstatus].[Betalende medlem]"),'Præsentationstabeller 1'!$C$2,$C39,CUBEMEMBER("BIDB",{"[Measures].[Ledighedsmulige]"}),M$3,$B39)</f>
        <v>160</v>
      </c>
      <c r="N39" s="54" vm="2396">
        <f>CUBEVALUE("BIDB",CUBEMEMBER("BIDB","[Betalingsstatus].[Betalende medlem]"),'Præsentationstabeller 1'!$C$2,$C39,CUBEMEMBER("BIDB",{"[Measures].[Fuldtidsledige]"}),M$3,$B39)</f>
        <v>0.56000000000000005</v>
      </c>
      <c r="O39" s="53">
        <f t="shared" si="4"/>
        <v>0.35000000000000003</v>
      </c>
      <c r="P39" s="51" vm="2158">
        <f>CUBEVALUE("BIDB",CUBEMEMBER("BIDB","[Betalingsstatus].[Betalende medlem]"),'Præsentationstabeller 1'!$C$2,$C39,CUBEMEMBER("BIDB",{"[Measures].[Ledighedsmulige]"}),P$3,$B39)</f>
        <v>195</v>
      </c>
      <c r="Q39" s="54" vm="3731">
        <f>CUBEVALUE("BIDB",CUBEMEMBER("BIDB","[Betalingsstatus].[Betalende medlem]"),'Præsentationstabeller 1'!$C$2,$C39,CUBEMEMBER("BIDB",{"[Measures].[Fuldtidsledige]"}),P$3,$B39)</f>
        <v>1.52</v>
      </c>
      <c r="R39" s="53">
        <f t="shared" si="5"/>
        <v>0.77948717948717949</v>
      </c>
      <c r="S39" s="51" vm="4935">
        <f>CUBEVALUE("BIDB",CUBEMEMBER("BIDB","[Betalingsstatus].[Betalende medlem]"),'Præsentationstabeller 1'!$C$2,$C39,CUBEMEMBER("BIDB",{"[Measures].[Ledighedsmulige]"}),S$3,$B39)</f>
        <v>222</v>
      </c>
      <c r="T39" s="54" vm="2310">
        <f>CUBEVALUE("BIDB",CUBEMEMBER("BIDB","[Betalingsstatus].[Betalende medlem]"),'Præsentationstabeller 1'!$C$2,$C39,CUBEMEMBER("BIDB",{"[Measures].[Fuldtidsledige]"}),S$3,$B39)</f>
        <v>0.96</v>
      </c>
      <c r="U39" s="53">
        <f t="shared" si="6"/>
        <v>0.43243243243243246</v>
      </c>
    </row>
    <row r="40" spans="2:21" ht="15" x14ac:dyDescent="0.25">
      <c r="B40" s="9" t="str" vm="19">
        <f t="shared" si="9"/>
        <v>Civilingeniører</v>
      </c>
      <c r="C40" s="9" t="str" vm="38">
        <f>CUBEMEMBER("BIDB",{"[Uddannelsesretning].[IDA Gruppe].&amp;[Nye retninger]"})</f>
        <v>Nye retninger</v>
      </c>
      <c r="D40" s="25" vm="11148">
        <f>CUBEVALUE("BIDB",CUBEMEMBER("BIDB","[Betalingsstatus].[Betalende medlem]"),'Præsentationstabeller 1'!$C$2,$C40,CUBEMEMBER("BIDB",{"[Measures].[Ledighedsmulige]"}),D$3,$B40)</f>
        <v>200</v>
      </c>
      <c r="E40" s="30" vm="3014">
        <f>CUBEVALUE("BIDB",CUBEMEMBER("BIDB","[Betalingsstatus].[Betalende medlem]"),'Præsentationstabeller 1'!$C$2,$C40,CUBEMEMBER("BIDB",{"[Measures].[Fuldtidsledige]"}),D$3,$B40)</f>
        <v>71.258864864864847</v>
      </c>
      <c r="F40" s="26">
        <f t="shared" si="1"/>
        <v>35.629432432432424</v>
      </c>
      <c r="G40" s="25" vm="2962">
        <f>CUBEVALUE("BIDB",CUBEMEMBER("BIDB","[Betalingsstatus].[Betalende medlem]"),'Præsentationstabeller 1'!$C$2,$C40,CUBEMEMBER("BIDB",{"[Measures].[Ledighedsmulige]"}),G$3,$B40)</f>
        <v>108</v>
      </c>
      <c r="H40" s="35" vm="3643">
        <f>CUBEVALUE("BIDB",CUBEMEMBER("BIDB","[Betalingsstatus].[Betalende medlem]"),'Præsentationstabeller 1'!$C$2,$C40,CUBEMEMBER("BIDB",{"[Measures].[Fuldtidsledige]"}),G$3,$B40)</f>
        <v>15.48</v>
      </c>
      <c r="I40" s="26">
        <f t="shared" si="2"/>
        <v>14.333333333333334</v>
      </c>
      <c r="J40" s="25" vm="2112">
        <f>CUBEVALUE("BIDB",CUBEMEMBER("BIDB","[Betalingsstatus].[Betalende medlem]"),'Præsentationstabeller 1'!$C$2,$C40,CUBEMEMBER("BIDB",{"[Measures].[Ledighedsmulige]"}),J$3,$B40)</f>
        <v>290</v>
      </c>
      <c r="K40" s="35" vm="2227">
        <f>CUBEVALUE("BIDB",CUBEMEMBER("BIDB","[Betalingsstatus].[Betalende medlem]"),'Præsentationstabeller 1'!$C$2,$C40,CUBEMEMBER("BIDB",{"[Measures].[Fuldtidsledige]"}),J$3,$B40)</f>
        <v>5.32</v>
      </c>
      <c r="L40" s="26">
        <f t="shared" si="3"/>
        <v>1.8344827586206898</v>
      </c>
      <c r="M40" s="25" vm="2302">
        <f>CUBEVALUE("BIDB",CUBEMEMBER("BIDB","[Betalingsstatus].[Betalende medlem]"),'Præsentationstabeller 1'!$C$2,$C40,CUBEMEMBER("BIDB",{"[Measures].[Ledighedsmulige]"}),M$3,$B40)</f>
        <v>481</v>
      </c>
      <c r="N40" s="35" vm="3013">
        <f>CUBEVALUE("BIDB",CUBEMEMBER("BIDB","[Betalingsstatus].[Betalende medlem]"),'Præsentationstabeller 1'!$C$2,$C40,CUBEMEMBER("BIDB",{"[Measures].[Fuldtidsledige]"}),M$3,$B40)</f>
        <v>9.6086486486486482</v>
      </c>
      <c r="O40" s="26">
        <f t="shared" si="4"/>
        <v>1.9976400516941057</v>
      </c>
      <c r="P40" s="25" vm="2380">
        <f>CUBEVALUE("BIDB",CUBEMEMBER("BIDB","[Betalingsstatus].[Betalende medlem]"),'Præsentationstabeller 1'!$C$2,$C40,CUBEMEMBER("BIDB",{"[Measures].[Ledighedsmulige]"}),P$3,$B40)</f>
        <v>201</v>
      </c>
      <c r="Q40" s="35" vm="3648">
        <f>CUBEVALUE("BIDB",CUBEMEMBER("BIDB","[Betalingsstatus].[Betalende medlem]"),'Præsentationstabeller 1'!$C$2,$C40,CUBEMEMBER("BIDB",{"[Measures].[Fuldtidsledige]"}),P$3,$B40)</f>
        <v>3.72</v>
      </c>
      <c r="R40" s="26">
        <f t="shared" si="5"/>
        <v>1.8507462686567167</v>
      </c>
      <c r="S40" s="25" vm="2855">
        <f>CUBEVALUE("BIDB",CUBEMEMBER("BIDB","[Betalingsstatus].[Betalende medlem]"),'Præsentationstabeller 1'!$C$2,$C40,CUBEMEMBER("BIDB",{"[Measures].[Ledighedsmulige]"}),S$3,$B40)</f>
        <v>49</v>
      </c>
      <c r="T40" s="35" vm="3924">
        <f>CUBEVALUE("BIDB",CUBEMEMBER("BIDB","[Betalingsstatus].[Betalende medlem]"),'Præsentationstabeller 1'!$C$2,$C40,CUBEMEMBER("BIDB",{"[Measures].[Fuldtidsledige]"}),S$3,$B40)</f>
        <v>2.04</v>
      </c>
      <c r="U40" s="26">
        <f t="shared" si="6"/>
        <v>4.1632653061224492</v>
      </c>
    </row>
    <row r="41" spans="2:21" ht="15" x14ac:dyDescent="0.25">
      <c r="B41" s="55" t="str" vm="19">
        <f t="shared" si="9"/>
        <v>Civilingeniører</v>
      </c>
      <c r="C41" s="55" t="str" vm="33">
        <f>CUBEMEMBER("BIDB",{"[Uddannelsesretning].[IDA Gruppe].&amp;[Øvrige retninger/uoplyste]"})</f>
        <v>Øvrige retninger/uoplyste</v>
      </c>
      <c r="D41" s="56" vm="5304">
        <f>CUBEVALUE("BIDB",CUBEMEMBER("BIDB","[Betalingsstatus].[Betalende medlem]"),'Præsentationstabeller 1'!$C$2,$C41,CUBEMEMBER("BIDB",{"[Measures].[Ledighedsmulige]"}),D$3,$B41)</f>
        <v>539</v>
      </c>
      <c r="E41" s="57" vm="2534">
        <f>CUBEVALUE("BIDB",CUBEMEMBER("BIDB","[Betalingsstatus].[Betalende medlem]"),'Præsentationstabeller 1'!$C$2,$C41,CUBEMEMBER("BIDB",{"[Measures].[Fuldtidsledige]"}),D$3,$B41)</f>
        <v>167.10816216216222</v>
      </c>
      <c r="F41" s="58">
        <f t="shared" si="1"/>
        <v>31.003369603369613</v>
      </c>
      <c r="G41" s="56" vm="4942">
        <f>CUBEVALUE("BIDB",CUBEMEMBER("BIDB","[Betalingsstatus].[Betalende medlem]"),'Præsentationstabeller 1'!$C$2,$C41,CUBEMEMBER("BIDB",{"[Measures].[Ledighedsmulige]"}),G$3,$B41)</f>
        <v>662</v>
      </c>
      <c r="H41" s="59" vm="16780">
        <f>CUBEVALUE("BIDB",CUBEMEMBER("BIDB","[Betalingsstatus].[Betalende medlem]"),'Præsentationstabeller 1'!$C$2,$C41,CUBEMEMBER("BIDB",{"[Measures].[Fuldtidsledige]"}),G$3,$B41)</f>
        <v>34.431783783783786</v>
      </c>
      <c r="I41" s="58">
        <f t="shared" si="2"/>
        <v>5.20117579815465</v>
      </c>
      <c r="J41" s="56" vm="2178">
        <f>CUBEVALUE("BIDB",CUBEMEMBER("BIDB","[Betalingsstatus].[Betalende medlem]"),'Præsentationstabeller 1'!$C$2,$C41,CUBEMEMBER("BIDB",{"[Measures].[Ledighedsmulige]"}),J$3,$B41)</f>
        <v>1729</v>
      </c>
      <c r="K41" s="59" vm="2852">
        <f>CUBEVALUE("BIDB",CUBEMEMBER("BIDB","[Betalingsstatus].[Betalende medlem]"),'Præsentationstabeller 1'!$C$2,$C41,CUBEMEMBER("BIDB",{"[Measures].[Fuldtidsledige]"}),J$3,$B41)</f>
        <v>38.620540540540539</v>
      </c>
      <c r="L41" s="58">
        <f t="shared" si="3"/>
        <v>2.2336923389554966</v>
      </c>
      <c r="M41" s="56" vm="16294">
        <f>CUBEVALUE("BIDB",CUBEMEMBER("BIDB","[Betalingsstatus].[Betalende medlem]"),'Præsentationstabeller 1'!$C$2,$C41,CUBEMEMBER("BIDB",{"[Measures].[Ledighedsmulige]"}),M$3,$B41)</f>
        <v>1469</v>
      </c>
      <c r="N41" s="59" vm="2756">
        <f>CUBEVALUE("BIDB",CUBEMEMBER("BIDB","[Betalingsstatus].[Betalende medlem]"),'Præsentationstabeller 1'!$C$2,$C41,CUBEMEMBER("BIDB",{"[Measures].[Fuldtidsledige]"}),M$3,$B41)</f>
        <v>23.767567567567568</v>
      </c>
      <c r="O41" s="58">
        <f t="shared" si="4"/>
        <v>1.6179419719242729</v>
      </c>
      <c r="P41" s="56" vm="3036">
        <f>CUBEVALUE("BIDB",CUBEMEMBER("BIDB","[Betalingsstatus].[Betalende medlem]"),'Præsentationstabeller 1'!$C$2,$C41,CUBEMEMBER("BIDB",{"[Measures].[Ledighedsmulige]"}),P$3,$B41)</f>
        <v>815</v>
      </c>
      <c r="Q41" s="59" vm="3480">
        <f>CUBEVALUE("BIDB",CUBEMEMBER("BIDB","[Betalingsstatus].[Betalende medlem]"),'Præsentationstabeller 1'!$C$2,$C41,CUBEMEMBER("BIDB",{"[Measures].[Fuldtidsledige]"}),P$3,$B41)</f>
        <v>12.2</v>
      </c>
      <c r="R41" s="58">
        <f t="shared" si="5"/>
        <v>1.4969325153374231</v>
      </c>
      <c r="S41" s="56" vm="2878">
        <f>CUBEVALUE("BIDB",CUBEMEMBER("BIDB","[Betalingsstatus].[Betalende medlem]"),'Præsentationstabeller 1'!$C$2,$C41,CUBEMEMBER("BIDB",{"[Measures].[Ledighedsmulige]"}),S$3,$B41)</f>
        <v>2294</v>
      </c>
      <c r="T41" s="59" vm="3385">
        <f>CUBEVALUE("BIDB",CUBEMEMBER("BIDB","[Betalingsstatus].[Betalende medlem]"),'Præsentationstabeller 1'!$C$2,$C41,CUBEMEMBER("BIDB",{"[Measures].[Fuldtidsledige]"}),S$3,$B41)</f>
        <v>27.303243243243244</v>
      </c>
      <c r="U41" s="58">
        <f t="shared" si="6"/>
        <v>1.1902024081623035</v>
      </c>
    </row>
    <row r="42" spans="2:21" ht="15" x14ac:dyDescent="0.25">
      <c r="B42" s="14" t="str" vm="3">
        <f>CUBEMEMBER("BIDB","[Uddannelse].[IDA Gruppe].&amp;[Cand.scient]")</f>
        <v>Cand.scient</v>
      </c>
      <c r="C42" s="14" t="str" vm="43">
        <f>CUBEMEMBER("BIDB",{"[Uddannelsesretning].[IDA Gruppe Cand Scient].&amp;[Data og IT]"})</f>
        <v>Data og IT</v>
      </c>
      <c r="D42" s="23" vm="3428">
        <f>CUBEVALUE("BIDB",CUBEMEMBER("BIDB","[Betalingsstatus].[Betalende medlem]"),'Præsentationstabeller 1'!$C$2,$C42,CUBEMEMBER("BIDB",{"[Measures].[Ledighedsmulige]"}),D$3,$B42)</f>
        <v>14</v>
      </c>
      <c r="E42" s="31" vm="2972">
        <f>CUBEVALUE("BIDB",CUBEMEMBER("BIDB","[Betalingsstatus].[Betalende medlem]"),'Præsentationstabeller 1'!$C$2,$C42,CUBEMEMBER("BIDB",{"[Measures].[Fuldtidsledige]"}),D$3,$B42)</f>
        <v>2.3600000000000003</v>
      </c>
      <c r="F42" s="24">
        <f t="shared" si="1"/>
        <v>16.857142857142861</v>
      </c>
      <c r="G42" s="23" vm="1806">
        <f>CUBEVALUE("BIDB",CUBEMEMBER("BIDB","[Betalingsstatus].[Betalende medlem]"),'Præsentationstabeller 1'!$C$2,$C42,CUBEMEMBER("BIDB",{"[Measures].[Ledighedsmulige]"}),G$3,$B42)</f>
        <v>11</v>
      </c>
      <c r="H42" s="36" t="str" vm="2949">
        <f>CUBEVALUE("BIDB",CUBEMEMBER("BIDB","[Betalingsstatus].[Betalende medlem]"),'Præsentationstabeller 1'!$C$2,$C42,CUBEMEMBER("BIDB",{"[Measures].[Fuldtidsledige]"}),G$3,$B42)</f>
        <v/>
      </c>
      <c r="I42" s="24">
        <f t="shared" si="2"/>
        <v>0</v>
      </c>
      <c r="J42" s="23" vm="2167">
        <f>CUBEVALUE("BIDB",CUBEMEMBER("BIDB","[Betalingsstatus].[Betalende medlem]"),'Præsentationstabeller 1'!$C$2,$C42,CUBEMEMBER("BIDB",{"[Measures].[Ledighedsmulige]"}),J$3,$B42)</f>
        <v>44</v>
      </c>
      <c r="K42" s="36" vm="3027">
        <f>CUBEVALUE("BIDB",CUBEMEMBER("BIDB","[Betalingsstatus].[Betalende medlem]"),'Præsentationstabeller 1'!$C$2,$C42,CUBEMEMBER("BIDB",{"[Measures].[Fuldtidsledige]"}),J$3,$B42)</f>
        <v>1.72</v>
      </c>
      <c r="L42" s="24">
        <f t="shared" si="3"/>
        <v>3.9090909090909092</v>
      </c>
      <c r="M42" s="23" vm="3404">
        <f>CUBEVALUE("BIDB",CUBEMEMBER("BIDB","[Betalingsstatus].[Betalende medlem]"),'Præsentationstabeller 1'!$C$2,$C42,CUBEMEMBER("BIDB",{"[Measures].[Ledighedsmulige]"}),M$3,$B42)</f>
        <v>124</v>
      </c>
      <c r="N42" s="36" vm="2186">
        <f>CUBEVALUE("BIDB",CUBEMEMBER("BIDB","[Betalingsstatus].[Betalende medlem]"),'Præsentationstabeller 1'!$C$2,$C42,CUBEMEMBER("BIDB",{"[Measures].[Fuldtidsledige]"}),M$3,$B42)</f>
        <v>0.29383783783783785</v>
      </c>
      <c r="O42" s="24">
        <f t="shared" si="4"/>
        <v>0.23696599825632084</v>
      </c>
      <c r="P42" s="23" vm="3436">
        <f>CUBEVALUE("BIDB",CUBEMEMBER("BIDB","[Betalingsstatus].[Betalende medlem]"),'Præsentationstabeller 1'!$C$2,$C42,CUBEMEMBER("BIDB",{"[Measures].[Ledighedsmulige]"}),P$3,$B42)</f>
        <v>139</v>
      </c>
      <c r="Q42" s="36" t="str" vm="2499">
        <f>CUBEVALUE("BIDB",CUBEMEMBER("BIDB","[Betalingsstatus].[Betalende medlem]"),'Præsentationstabeller 1'!$C$2,$C42,CUBEMEMBER("BIDB",{"[Measures].[Fuldtidsledige]"}),P$3,$B42)</f>
        <v/>
      </c>
      <c r="R42" s="24">
        <f t="shared" si="5"/>
        <v>0</v>
      </c>
      <c r="S42" s="23" vm="2990">
        <f>CUBEVALUE("BIDB",CUBEMEMBER("BIDB","[Betalingsstatus].[Betalende medlem]"),'Præsentationstabeller 1'!$C$2,$C42,CUBEMEMBER("BIDB",{"[Measures].[Ledighedsmulige]"}),S$3,$B42)</f>
        <v>161</v>
      </c>
      <c r="T42" s="36" vm="2561">
        <f>CUBEVALUE("BIDB",CUBEMEMBER("BIDB","[Betalingsstatus].[Betalende medlem]"),'Præsentationstabeller 1'!$C$2,$C42,CUBEMEMBER("BIDB",{"[Measures].[Fuldtidsledige]"}),S$3,$B42)</f>
        <v>2.52</v>
      </c>
      <c r="U42" s="24">
        <f t="shared" si="6"/>
        <v>1.5652173913043479</v>
      </c>
    </row>
    <row r="43" spans="2:21" x14ac:dyDescent="0.3">
      <c r="B43" s="50" t="str" vm="3">
        <f>CUBEMEMBER("BIDB","[Uddannelse].[IDA Gruppe].&amp;[Cand.scient]")</f>
        <v>Cand.scient</v>
      </c>
      <c r="C43" s="50" t="str" vm="32">
        <f>CUBEMEMBER("BIDB",{"[Uddannelsesretning].[IDA Gruppe Cand Scient].&amp;[Matematik-Fysik-Kemi]"})</f>
        <v>Matematik-Fysik-Kemi</v>
      </c>
      <c r="D43" s="51" vm="4181">
        <f>CUBEVALUE("BIDB",CUBEMEMBER("BIDB","[Betalingsstatus].[Betalende medlem]"),'Præsentationstabeller 1'!$C$2,$C43,CUBEMEMBER("BIDB",{"[Measures].[Ledighedsmulige]"}),D$3,$B43)</f>
        <v>126</v>
      </c>
      <c r="E43" s="52" vm="2126">
        <f>CUBEVALUE("BIDB",CUBEMEMBER("BIDB","[Betalingsstatus].[Betalende medlem]"),'Præsentationstabeller 1'!$C$2,$C43,CUBEMEMBER("BIDB",{"[Measures].[Fuldtidsledige]"}),D$3,$B43)</f>
        <v>30.201621621621619</v>
      </c>
      <c r="F43" s="53">
        <f t="shared" si="1"/>
        <v>23.969540969540969</v>
      </c>
      <c r="G43" s="51" vm="3152">
        <f>CUBEVALUE("BIDB",CUBEMEMBER("BIDB","[Betalingsstatus].[Betalende medlem]"),'Præsentationstabeller 1'!$C$2,$C43,CUBEMEMBER("BIDB",{"[Measures].[Ledighedsmulige]"}),G$3,$B43)</f>
        <v>74</v>
      </c>
      <c r="H43" s="54" vm="2156">
        <f>CUBEVALUE("BIDB",CUBEMEMBER("BIDB","[Betalingsstatus].[Betalende medlem]"),'Præsentationstabeller 1'!$C$2,$C43,CUBEMEMBER("BIDB",{"[Measures].[Fuldtidsledige]"}),G$3,$B43)</f>
        <v>9.08</v>
      </c>
      <c r="I43" s="53">
        <f t="shared" si="2"/>
        <v>12.27027027027027</v>
      </c>
      <c r="J43" s="51" vm="1956">
        <f>CUBEVALUE("BIDB",CUBEMEMBER("BIDB","[Betalingsstatus].[Betalende medlem]"),'Præsentationstabeller 1'!$C$2,$C43,CUBEMEMBER("BIDB",{"[Measures].[Ledighedsmulige]"}),J$3,$B43)</f>
        <v>176</v>
      </c>
      <c r="K43" s="54" vm="3812">
        <f>CUBEVALUE("BIDB",CUBEMEMBER("BIDB","[Betalingsstatus].[Betalende medlem]"),'Præsentationstabeller 1'!$C$2,$C43,CUBEMEMBER("BIDB",{"[Measures].[Fuldtidsledige]"}),J$3,$B43)</f>
        <v>1.7967567567567566</v>
      </c>
      <c r="L43" s="53">
        <f t="shared" si="3"/>
        <v>1.0208845208845208</v>
      </c>
      <c r="M43" s="51" vm="2683">
        <f>CUBEVALUE("BIDB",CUBEMEMBER("BIDB","[Betalingsstatus].[Betalende medlem]"),'Præsentationstabeller 1'!$C$2,$C43,CUBEMEMBER("BIDB",{"[Measures].[Ledighedsmulige]"}),M$3,$B43)</f>
        <v>234</v>
      </c>
      <c r="N43" s="54" vm="2091">
        <f>CUBEVALUE("BIDB",CUBEMEMBER("BIDB","[Betalingsstatus].[Betalende medlem]"),'Præsentationstabeller 1'!$C$2,$C43,CUBEMEMBER("BIDB",{"[Measures].[Fuldtidsledige]"}),M$3,$B43)</f>
        <v>8.7200000000000006</v>
      </c>
      <c r="O43" s="53">
        <f t="shared" si="4"/>
        <v>3.7264957264957266</v>
      </c>
      <c r="P43" s="51" vm="2905">
        <f>CUBEVALUE("BIDB",CUBEMEMBER("BIDB","[Betalingsstatus].[Betalende medlem]"),'Præsentationstabeller 1'!$C$2,$C43,CUBEMEMBER("BIDB",{"[Measures].[Ledighedsmulige]"}),P$3,$B43)</f>
        <v>65</v>
      </c>
      <c r="Q43" s="54" vm="2807">
        <f>CUBEVALUE("BIDB",CUBEMEMBER("BIDB","[Betalingsstatus].[Betalende medlem]"),'Præsentationstabeller 1'!$C$2,$C43,CUBEMEMBER("BIDB",{"[Measures].[Fuldtidsledige]"}),P$3,$B43)</f>
        <v>1.6</v>
      </c>
      <c r="R43" s="53">
        <f t="shared" si="5"/>
        <v>2.4615384615384617</v>
      </c>
      <c r="S43" s="51" vm="3818">
        <f>CUBEVALUE("BIDB",CUBEMEMBER("BIDB","[Betalingsstatus].[Betalende medlem]"),'Præsentationstabeller 1'!$C$2,$C43,CUBEMEMBER("BIDB",{"[Measures].[Ledighedsmulige]"}),S$3,$B43)</f>
        <v>160</v>
      </c>
      <c r="T43" s="54" vm="2404">
        <f>CUBEVALUE("BIDB",CUBEMEMBER("BIDB","[Betalingsstatus].[Betalende medlem]"),'Præsentationstabeller 1'!$C$2,$C43,CUBEMEMBER("BIDB",{"[Measures].[Fuldtidsledige]"}),S$3,$B43)</f>
        <v>4.68</v>
      </c>
      <c r="U43" s="53">
        <f t="shared" si="6"/>
        <v>2.9249999999999998</v>
      </c>
    </row>
    <row r="44" spans="2:21" x14ac:dyDescent="0.3">
      <c r="B44" s="9" t="str" vm="3">
        <f>CUBEMEMBER("BIDB","[Uddannelse].[IDA Gruppe].&amp;[Cand.scient]")</f>
        <v>Cand.scient</v>
      </c>
      <c r="C44" s="9" t="str" vm="44">
        <f>CUBEMEMBER("BIDB",{"[Uddannelsesretning].[IDA Gruppe Cand Scient].&amp;[Geo-bio]"})</f>
        <v>Geo-bio</v>
      </c>
      <c r="D44" s="25" vm="8381">
        <f>CUBEVALUE("BIDB",CUBEMEMBER("BIDB","[Betalingsstatus].[Betalende medlem]"),'Præsentationstabeller 1'!$C$2,$C44,CUBEMEMBER("BIDB",{"[Measures].[Ledighedsmulige]"}),D$3,$B44)</f>
        <v>185</v>
      </c>
      <c r="E44" s="30" vm="3800">
        <f>CUBEVALUE("BIDB",CUBEMEMBER("BIDB","[Betalingsstatus].[Betalende medlem]"),'Præsentationstabeller 1'!$C$2,$C44,CUBEMEMBER("BIDB",{"[Measures].[Fuldtidsledige]"}),D$3,$B44)</f>
        <v>87.320270270270285</v>
      </c>
      <c r="F44" s="26">
        <f t="shared" si="1"/>
        <v>47.20014609203799</v>
      </c>
      <c r="G44" s="25" vm="16782">
        <f>CUBEVALUE("BIDB",CUBEMEMBER("BIDB","[Betalingsstatus].[Betalende medlem]"),'Præsentationstabeller 1'!$C$2,$C44,CUBEMEMBER("BIDB",{"[Measures].[Ledighedsmulige]"}),G$3,$B44)</f>
        <v>102</v>
      </c>
      <c r="H44" s="35" vm="5566">
        <f>CUBEVALUE("BIDB",CUBEMEMBER("BIDB","[Betalingsstatus].[Betalende medlem]"),'Præsentationstabeller 1'!$C$2,$C44,CUBEMEMBER("BIDB",{"[Measures].[Fuldtidsledige]"}),G$3,$B44)</f>
        <v>21.045945945945945</v>
      </c>
      <c r="I44" s="26">
        <f t="shared" si="2"/>
        <v>20.633280339162692</v>
      </c>
      <c r="J44" s="25" vm="2908">
        <f>CUBEVALUE("BIDB",CUBEMEMBER("BIDB","[Betalingsstatus].[Betalende medlem]"),'Præsentationstabeller 1'!$C$2,$C44,CUBEMEMBER("BIDB",{"[Measures].[Ledighedsmulige]"}),J$3,$B44)</f>
        <v>179</v>
      </c>
      <c r="K44" s="35" vm="5047">
        <f>CUBEVALUE("BIDB",CUBEMEMBER("BIDB","[Betalingsstatus].[Betalende medlem]"),'Præsentationstabeller 1'!$C$2,$C44,CUBEMEMBER("BIDB",{"[Measures].[Fuldtidsledige]"}),J$3,$B44)</f>
        <v>11.236756756756758</v>
      </c>
      <c r="L44" s="26">
        <f t="shared" si="3"/>
        <v>6.2775177412048926</v>
      </c>
      <c r="M44" s="25" vm="4919">
        <f>CUBEVALUE("BIDB",CUBEMEMBER("BIDB","[Betalingsstatus].[Betalende medlem]"),'Præsentationstabeller 1'!$C$2,$C44,CUBEMEMBER("BIDB",{"[Measures].[Ledighedsmulige]"}),M$3,$B44)</f>
        <v>170</v>
      </c>
      <c r="N44" s="35" vm="16732">
        <f>CUBEVALUE("BIDB",CUBEMEMBER("BIDB","[Betalingsstatus].[Betalende medlem]"),'Præsentationstabeller 1'!$C$2,$C44,CUBEMEMBER("BIDB",{"[Measures].[Fuldtidsledige]"}),M$3,$B44)</f>
        <v>9.0017837837837842</v>
      </c>
      <c r="O44" s="26">
        <f t="shared" si="4"/>
        <v>5.2951669316375201</v>
      </c>
      <c r="P44" s="25" vm="16299">
        <f>CUBEVALUE("BIDB",CUBEMEMBER("BIDB","[Betalingsstatus].[Betalende medlem]"),'Præsentationstabeller 1'!$C$2,$C44,CUBEMEMBER("BIDB",{"[Measures].[Ledighedsmulige]"}),P$3,$B44)</f>
        <v>69</v>
      </c>
      <c r="Q44" s="35" vm="16769">
        <f>CUBEVALUE("BIDB",CUBEMEMBER("BIDB","[Betalingsstatus].[Betalende medlem]"),'Præsentationstabeller 1'!$C$2,$C44,CUBEMEMBER("BIDB",{"[Measures].[Fuldtidsledige]"}),P$3,$B44)</f>
        <v>0.8</v>
      </c>
      <c r="R44" s="26">
        <f t="shared" si="5"/>
        <v>1.1594202898550725</v>
      </c>
      <c r="S44" s="25" vm="16731">
        <f>CUBEVALUE("BIDB",CUBEMEMBER("BIDB","[Betalingsstatus].[Betalende medlem]"),'Præsentationstabeller 1'!$C$2,$C44,CUBEMEMBER("BIDB",{"[Measures].[Ledighedsmulige]"}),S$3,$B44)</f>
        <v>150</v>
      </c>
      <c r="T44" s="35" vm="3394">
        <f>CUBEVALUE("BIDB",CUBEMEMBER("BIDB","[Betalingsstatus].[Betalende medlem]"),'Præsentationstabeller 1'!$C$2,$C44,CUBEMEMBER("BIDB",{"[Measures].[Fuldtidsledige]"}),S$3,$B44)</f>
        <v>6.12</v>
      </c>
      <c r="U44" s="26">
        <f t="shared" si="6"/>
        <v>4.08</v>
      </c>
    </row>
    <row r="45" spans="2:21" x14ac:dyDescent="0.3">
      <c r="B45" s="50" t="str" vm="3">
        <f>CUBEMEMBER("BIDB","[Uddannelse].[IDA Gruppe].&amp;[Cand.scient]")</f>
        <v>Cand.scient</v>
      </c>
      <c r="C45" s="50" t="str" vm="31">
        <f>CUBEMEMBER("BIDB",{"[Uddannelsesretning].[IDA Gruppe Cand Scient].&amp;[Medicin mv.]"})</f>
        <v>Medicin mv.</v>
      </c>
      <c r="D45" s="51" vm="2210">
        <f>CUBEVALUE("BIDB",CUBEMEMBER("BIDB","[Betalingsstatus].[Betalende medlem]"),'Præsentationstabeller 1'!$C$2,$C45,CUBEMEMBER("BIDB",{"[Measures].[Ledighedsmulige]"}),D$3,$B45)</f>
        <v>21</v>
      </c>
      <c r="E45" s="52" vm="8726">
        <f>CUBEVALUE("BIDB",CUBEMEMBER("BIDB","[Betalingsstatus].[Betalende medlem]"),'Præsentationstabeller 1'!$C$2,$C45,CUBEMEMBER("BIDB",{"[Measures].[Fuldtidsledige]"}),D$3,$B45)</f>
        <v>7</v>
      </c>
      <c r="F45" s="53">
        <f t="shared" si="1"/>
        <v>33.333333333333329</v>
      </c>
      <c r="G45" s="51" vm="5824">
        <f>CUBEVALUE("BIDB",CUBEMEMBER("BIDB","[Betalingsstatus].[Betalende medlem]"),'Præsentationstabeller 1'!$C$2,$C45,CUBEMEMBER("BIDB",{"[Measures].[Ledighedsmulige]"}),G$3,$B45)</f>
        <v>15</v>
      </c>
      <c r="H45" s="54" vm="2131">
        <f>CUBEVALUE("BIDB",CUBEMEMBER("BIDB","[Betalingsstatus].[Betalende medlem]"),'Præsentationstabeller 1'!$C$2,$C45,CUBEMEMBER("BIDB",{"[Measures].[Fuldtidsledige]"}),G$3,$B45)</f>
        <v>2.04</v>
      </c>
      <c r="I45" s="53">
        <f t="shared" si="2"/>
        <v>13.600000000000001</v>
      </c>
      <c r="J45" s="51" vm="3645">
        <f>CUBEVALUE("BIDB",CUBEMEMBER("BIDB","[Betalingsstatus].[Betalende medlem]"),'Præsentationstabeller 1'!$C$2,$C45,CUBEMEMBER("BIDB",{"[Measures].[Ledighedsmulige]"}),J$3,$B45)</f>
        <v>28</v>
      </c>
      <c r="K45" s="54" vm="3183">
        <f>CUBEVALUE("BIDB",CUBEMEMBER("BIDB","[Betalingsstatus].[Betalende medlem]"),'Præsentationstabeller 1'!$C$2,$C45,CUBEMEMBER("BIDB",{"[Measures].[Fuldtidsledige]"}),J$3,$B45)</f>
        <v>1.8800000000000001</v>
      </c>
      <c r="L45" s="53">
        <f t="shared" si="3"/>
        <v>6.7142857142857144</v>
      </c>
      <c r="M45" s="51" vm="1657">
        <f>CUBEVALUE("BIDB",CUBEMEMBER("BIDB","[Betalingsstatus].[Betalende medlem]"),'Præsentationstabeller 1'!$C$2,$C45,CUBEMEMBER("BIDB",{"[Measures].[Ledighedsmulige]"}),M$3,$B45)</f>
        <v>15</v>
      </c>
      <c r="N45" s="54" vm="2680">
        <f>CUBEVALUE("BIDB",CUBEMEMBER("BIDB","[Betalingsstatus].[Betalende medlem]"),'Præsentationstabeller 1'!$C$2,$C45,CUBEMEMBER("BIDB",{"[Measures].[Fuldtidsledige]"}),M$3,$B45)</f>
        <v>1</v>
      </c>
      <c r="O45" s="53">
        <f t="shared" si="4"/>
        <v>6.666666666666667</v>
      </c>
      <c r="P45" s="51" vm="3559">
        <f>CUBEVALUE("BIDB",CUBEMEMBER("BIDB","[Betalingsstatus].[Betalende medlem]"),'Præsentationstabeller 1'!$C$2,$C45,CUBEMEMBER("BIDB",{"[Measures].[Ledighedsmulige]"}),P$3,$B45)</f>
        <v>0</v>
      </c>
      <c r="Q45" s="54" t="str" vm="3564">
        <f>CUBEVALUE("BIDB",CUBEMEMBER("BIDB","[Betalingsstatus].[Betalende medlem]"),'Præsentationstabeller 1'!$C$2,$C45,CUBEMEMBER("BIDB",{"[Measures].[Fuldtidsledige]"}),P$3,$B45)</f>
        <v/>
      </c>
      <c r="R45" s="53">
        <f t="shared" si="5"/>
        <v>0</v>
      </c>
      <c r="S45" s="51" vm="2813">
        <f>CUBEVALUE("BIDB",CUBEMEMBER("BIDB","[Betalingsstatus].[Betalende medlem]"),'Præsentationstabeller 1'!$C$2,$C45,CUBEMEMBER("BIDB",{"[Measures].[Ledighedsmulige]"}),S$3,$B45)</f>
        <v>11</v>
      </c>
      <c r="T45" s="54" t="str" vm="2272">
        <f>CUBEVALUE("BIDB",CUBEMEMBER("BIDB","[Betalingsstatus].[Betalende medlem]"),'Præsentationstabeller 1'!$C$2,$C45,CUBEMEMBER("BIDB",{"[Measures].[Fuldtidsledige]"}),S$3,$B45)</f>
        <v/>
      </c>
      <c r="U45" s="53">
        <f t="shared" si="6"/>
        <v>0</v>
      </c>
    </row>
    <row r="46" spans="2:21" x14ac:dyDescent="0.3">
      <c r="B46" s="10" t="str" vm="3">
        <f>CUBEMEMBER("BIDB","[Uddannelse].[IDA Gruppe].&amp;[Cand.scient]")</f>
        <v>Cand.scient</v>
      </c>
      <c r="C46" s="10" t="str" vm="42">
        <f>CUBEMEMBER("BIDB",{"[Uddannelsesretning].[IDA Gruppe Cand Scient].&amp;[Øvrige retninger/uoplyste]"})</f>
        <v>Øvrige retninger/uoplyste</v>
      </c>
      <c r="D46" s="41" vm="2474">
        <f>CUBEVALUE("BIDB",CUBEMEMBER("BIDB","[Betalingsstatus].[Betalende medlem]"),'Præsentationstabeller 1'!$C$2,$C46,CUBEMEMBER("BIDB",{"[Measures].[Ledighedsmulige]"}),D$3,$B46)</f>
        <v>1093</v>
      </c>
      <c r="E46" s="42" vm="5940">
        <f>CUBEVALUE("BIDB",CUBEMEMBER("BIDB","[Betalingsstatus].[Betalende medlem]"),'Præsentationstabeller 1'!$C$2,$C46,CUBEMEMBER("BIDB",{"[Measures].[Fuldtidsledige]"}),D$3,$B46)</f>
        <v>382.88654054054058</v>
      </c>
      <c r="F46" s="43">
        <f t="shared" si="1"/>
        <v>35.030790534358694</v>
      </c>
      <c r="G46" s="41" vm="3096">
        <f>CUBEVALUE("BIDB",CUBEMEMBER("BIDB","[Betalingsstatus].[Betalende medlem]"),'Præsentationstabeller 1'!$C$2,$C46,CUBEMEMBER("BIDB",{"[Measures].[Ledighedsmulige]"}),G$3,$B46)</f>
        <v>782</v>
      </c>
      <c r="H46" s="44" vm="4186">
        <f>CUBEVALUE("BIDB",CUBEMEMBER("BIDB","[Betalingsstatus].[Betalende medlem]"),'Præsentationstabeller 1'!$C$2,$C46,CUBEMEMBER("BIDB",{"[Measures].[Fuldtidsledige]"}),G$3,$B46)</f>
        <v>94.402324324324326</v>
      </c>
      <c r="I46" s="43">
        <f t="shared" si="2"/>
        <v>12.071908481371398</v>
      </c>
      <c r="J46" s="41" vm="3909">
        <f>CUBEVALUE("BIDB",CUBEMEMBER("BIDB","[Betalingsstatus].[Betalende medlem]"),'Præsentationstabeller 1'!$C$2,$C46,CUBEMEMBER("BIDB",{"[Measures].[Ledighedsmulige]"}),J$3,$B46)</f>
        <v>1099</v>
      </c>
      <c r="K46" s="44" vm="2394">
        <f>CUBEVALUE("BIDB",CUBEMEMBER("BIDB","[Betalingsstatus].[Betalende medlem]"),'Præsentationstabeller 1'!$C$2,$C46,CUBEMEMBER("BIDB",{"[Measures].[Fuldtidsledige]"}),J$3,$B46)</f>
        <v>49.381189189189179</v>
      </c>
      <c r="L46" s="43">
        <f t="shared" si="3"/>
        <v>4.4932838206723549</v>
      </c>
      <c r="M46" s="41" vm="4068">
        <f>CUBEVALUE("BIDB",CUBEMEMBER("BIDB","[Betalingsstatus].[Betalende medlem]"),'Præsentationstabeller 1'!$C$2,$C46,CUBEMEMBER("BIDB",{"[Measures].[Ledighedsmulige]"}),M$3,$B46)</f>
        <v>732</v>
      </c>
      <c r="N46" s="44" vm="1480">
        <f>CUBEVALUE("BIDB",CUBEMEMBER("BIDB","[Betalingsstatus].[Betalende medlem]"),'Præsentationstabeller 1'!$C$2,$C46,CUBEMEMBER("BIDB",{"[Measures].[Fuldtidsledige]"}),M$3,$B46)</f>
        <v>26.537837837837838</v>
      </c>
      <c r="O46" s="43">
        <f t="shared" si="4"/>
        <v>3.6253876827647318</v>
      </c>
      <c r="P46" s="41" vm="2433">
        <f>CUBEVALUE("BIDB",CUBEMEMBER("BIDB","[Betalingsstatus].[Betalende medlem]"),'Præsentationstabeller 1'!$C$2,$C46,CUBEMEMBER("BIDB",{"[Measures].[Ledighedsmulige]"}),P$3,$B46)</f>
        <v>184</v>
      </c>
      <c r="Q46" s="44" vm="2176">
        <f>CUBEVALUE("BIDB",CUBEMEMBER("BIDB","[Betalingsstatus].[Betalende medlem]"),'Præsentationstabeller 1'!$C$2,$C46,CUBEMEMBER("BIDB",{"[Measures].[Fuldtidsledige]"}),P$3,$B46)</f>
        <v>3.28</v>
      </c>
      <c r="R46" s="43">
        <f t="shared" si="5"/>
        <v>1.7826086956521738</v>
      </c>
      <c r="S46" s="41" vm="2278">
        <f>CUBEVALUE("BIDB",CUBEMEMBER("BIDB","[Betalingsstatus].[Betalende medlem]"),'Præsentationstabeller 1'!$C$2,$C46,CUBEMEMBER("BIDB",{"[Measures].[Ledighedsmulige]"}),S$3,$B46)</f>
        <v>613</v>
      </c>
      <c r="T46" s="44" vm="3664">
        <f>CUBEVALUE("BIDB",CUBEMEMBER("BIDB","[Betalingsstatus].[Betalende medlem]"),'Præsentationstabeller 1'!$C$2,$C46,CUBEMEMBER("BIDB",{"[Measures].[Fuldtidsledige]"}),S$3,$B46)</f>
        <v>24.278270270270269</v>
      </c>
      <c r="U46" s="43">
        <f t="shared" si="6"/>
        <v>3.9605661126052643</v>
      </c>
    </row>
    <row r="47" spans="2:21" x14ac:dyDescent="0.3">
      <c r="B47" s="50" t="str" vm="9">
        <f>CUBEMEMBER("BIDB","[Uddannelse].[IDA Gruppe].&amp;[Cand.it]")</f>
        <v>Cand.it</v>
      </c>
      <c r="C47" s="50"/>
      <c r="D47" s="51" vm="2300">
        <f>CUBEVALUE("BIDB",CUBEMEMBER("BIDB","[Betalingsstatus].[Betalende medlem]"),'Præsentationstabeller 1'!$C$2,$B47,CUBEMEMBER("BIDB",{"[Measures].[Ledighedsmulige]"}),D$3)</f>
        <v>135</v>
      </c>
      <c r="E47" s="52" vm="2280">
        <f>CUBEVALUE("BIDB",CUBEMEMBER("BIDB","[Betalingsstatus].[Betalende medlem]"),'Præsentationstabeller 1'!$C$2,$B47,CUBEMEMBER("BIDB",{"[Measures].[Fuldtidsledige]"}),D$3)</f>
        <v>48.728918918918929</v>
      </c>
      <c r="F47" s="53">
        <f t="shared" si="1"/>
        <v>36.095495495495506</v>
      </c>
      <c r="G47" s="51" vm="3640">
        <f>CUBEVALUE("BIDB",CUBEMEMBER("BIDB","[Betalingsstatus].[Betalende medlem]"),'Præsentationstabeller 1'!$C$2,$B47,CUBEMEMBER("BIDB",{"[Measures].[Ledighedsmulige]"}),G$3)</f>
        <v>131</v>
      </c>
      <c r="H47" s="54" vm="2128">
        <f>CUBEVALUE("BIDB",CUBEMEMBER("BIDB","[Betalingsstatus].[Betalende medlem]"),'Præsentationstabeller 1'!$C$2,$B47,CUBEMEMBER("BIDB",{"[Measures].[Fuldtidsledige]"}),G$3)</f>
        <v>13.84</v>
      </c>
      <c r="I47" s="53">
        <f t="shared" si="2"/>
        <v>10.564885496183205</v>
      </c>
      <c r="J47" s="51" vm="8728">
        <f>CUBEVALUE("BIDB",CUBEMEMBER("BIDB","[Betalingsstatus].[Betalende medlem]"),'Præsentationstabeller 1'!$C$2,$B47,CUBEMEMBER("BIDB",{"[Measures].[Ledighedsmulige]"}),J$3)</f>
        <v>278</v>
      </c>
      <c r="K47" s="54" vm="2587">
        <f>CUBEVALUE("BIDB",CUBEMEMBER("BIDB","[Betalingsstatus].[Betalende medlem]"),'Præsentationstabeller 1'!$C$2,$B47,CUBEMEMBER("BIDB",{"[Measures].[Fuldtidsledige]"}),J$3)</f>
        <v>8.601081081081082</v>
      </c>
      <c r="L47" s="53">
        <f t="shared" si="3"/>
        <v>3.0939140579428352</v>
      </c>
      <c r="M47" s="51" vm="2740">
        <f>CUBEVALUE("BIDB",CUBEMEMBER("BIDB","[Betalingsstatus].[Betalende medlem]"),'Præsentationstabeller 1'!$C$2,$B47,CUBEMEMBER("BIDB",{"[Measures].[Ledighedsmulige]"}),M$3)</f>
        <v>383</v>
      </c>
      <c r="N47" s="54" vm="2738">
        <f>CUBEVALUE("BIDB",CUBEMEMBER("BIDB","[Betalingsstatus].[Betalende medlem]"),'Præsentationstabeller 1'!$C$2,$B47,CUBEMEMBER("BIDB",{"[Measures].[Fuldtidsledige]"}),M$3)</f>
        <v>7.8956756756756743</v>
      </c>
      <c r="O47" s="53">
        <f t="shared" si="4"/>
        <v>2.0615341189753718</v>
      </c>
      <c r="P47" s="51" vm="1995">
        <f>CUBEVALUE("BIDB",CUBEMEMBER("BIDB","[Betalingsstatus].[Betalende medlem]"),'Præsentationstabeller 1'!$C$2,$B47,CUBEMEMBER("BIDB",{"[Measures].[Ledighedsmulige]"}),P$3)</f>
        <v>406</v>
      </c>
      <c r="Q47" s="54" vm="2122">
        <f>CUBEVALUE("BIDB",CUBEMEMBER("BIDB","[Betalingsstatus].[Betalende medlem]"),'Præsentationstabeller 1'!$C$2,$B47,CUBEMEMBER("BIDB",{"[Measures].[Fuldtidsledige]"}),P$3)</f>
        <v>5.1772972972972973</v>
      </c>
      <c r="R47" s="53">
        <f t="shared" si="5"/>
        <v>1.2751963786446545</v>
      </c>
      <c r="S47" s="51" vm="2996">
        <f>CUBEVALUE("BIDB",CUBEMEMBER("BIDB","[Betalingsstatus].[Betalende medlem]"),'Præsentationstabeller 1'!$C$2,$B47,CUBEMEMBER("BIDB",{"[Measures].[Ledighedsmulige]"}),S$3)</f>
        <v>282</v>
      </c>
      <c r="T47" s="54" vm="3038">
        <f>CUBEVALUE("BIDB",CUBEMEMBER("BIDB","[Betalingsstatus].[Betalende medlem]"),'Præsentationstabeller 1'!$C$2,$B47,CUBEMEMBER("BIDB",{"[Measures].[Fuldtidsledige]"}),S$3)</f>
        <v>6.56</v>
      </c>
      <c r="U47" s="53">
        <f t="shared" si="6"/>
        <v>2.3262411347517729</v>
      </c>
    </row>
    <row r="48" spans="2:21" x14ac:dyDescent="0.3">
      <c r="B48" s="9" t="str" vm="12">
        <f>CUBEMEMBER("BIDB","[Uddannelse].[IDA Gruppe].&amp;[Phd]")</f>
        <v>Phd</v>
      </c>
      <c r="C48" s="9"/>
      <c r="D48" s="25" vm="2621">
        <f>CUBEVALUE("BIDB",CUBEMEMBER("BIDB","[Betalingsstatus].[Betalende medlem]"),'Præsentationstabeller 1'!$C$2,$B48,CUBEMEMBER("BIDB",{"[Measures].[Ledighedsmulige]"}),D$3)</f>
        <v>45</v>
      </c>
      <c r="E48" s="30" vm="2366">
        <f>CUBEVALUE("BIDB",CUBEMEMBER("BIDB","[Betalingsstatus].[Betalende medlem]"),'Præsentationstabeller 1'!$C$2,$B48,CUBEMEMBER("BIDB",{"[Measures].[Fuldtidsledige]"}),D$3)</f>
        <v>8.5859459459459462</v>
      </c>
      <c r="F48" s="26">
        <f t="shared" si="1"/>
        <v>19.079879879879879</v>
      </c>
      <c r="G48" s="25" vm="4929">
        <f>CUBEVALUE("BIDB",CUBEMEMBER("BIDB","[Betalingsstatus].[Betalende medlem]"),'Præsentationstabeller 1'!$C$2,$B48,CUBEMEMBER("BIDB",{"[Measures].[Ledighedsmulige]"}),G$3)</f>
        <v>29</v>
      </c>
      <c r="H48" s="35" vm="16725">
        <f>CUBEVALUE("BIDB",CUBEMEMBER("BIDB","[Betalingsstatus].[Betalende medlem]"),'Præsentationstabeller 1'!$C$2,$B48,CUBEMEMBER("BIDB",{"[Measures].[Fuldtidsledige]"}),G$3)</f>
        <v>4.4000000000000004</v>
      </c>
      <c r="I48" s="26">
        <f t="shared" si="2"/>
        <v>15.17241379310345</v>
      </c>
      <c r="J48" s="25" vm="3377">
        <f>CUBEVALUE("BIDB",CUBEMEMBER("BIDB","[Betalingsstatus].[Betalende medlem]"),'Præsentationstabeller 1'!$C$2,$B48,CUBEMEMBER("BIDB",{"[Measures].[Ledighedsmulige]"}),J$3)</f>
        <v>45</v>
      </c>
      <c r="K48" s="35" t="str" vm="2416">
        <f>CUBEVALUE("BIDB",CUBEMEMBER("BIDB","[Betalingsstatus].[Betalende medlem]"),'Præsentationstabeller 1'!$C$2,$B48,CUBEMEMBER("BIDB",{"[Measures].[Fuldtidsledige]"}),J$3)</f>
        <v/>
      </c>
      <c r="L48" s="26">
        <f t="shared" si="3"/>
        <v>0</v>
      </c>
      <c r="M48" s="25" vm="2110">
        <f>CUBEVALUE("BIDB",CUBEMEMBER("BIDB","[Betalingsstatus].[Betalende medlem]"),'Præsentationstabeller 1'!$C$2,$B48,CUBEMEMBER("BIDB",{"[Measures].[Ledighedsmulige]"}),M$3)</f>
        <v>32</v>
      </c>
      <c r="N48" s="35" t="str" vm="2602">
        <f>CUBEVALUE("BIDB",CUBEMEMBER("BIDB","[Betalingsstatus].[Betalende medlem]"),'Præsentationstabeller 1'!$C$2,$B48,CUBEMEMBER("BIDB",{"[Measures].[Fuldtidsledige]"}),M$3)</f>
        <v/>
      </c>
      <c r="O48" s="26">
        <f t="shared" si="4"/>
        <v>0</v>
      </c>
      <c r="P48" s="25" vm="16292">
        <f>CUBEVALUE("BIDB",CUBEMEMBER("BIDB","[Betalingsstatus].[Betalende medlem]"),'Præsentationstabeller 1'!$C$2,$B48,CUBEMEMBER("BIDB",{"[Measures].[Ledighedsmulige]"}),P$3)</f>
        <v>40</v>
      </c>
      <c r="Q48" s="35" t="str" vm="3439">
        <f>CUBEVALUE("BIDB",CUBEMEMBER("BIDB","[Betalingsstatus].[Betalende medlem]"),'Præsentationstabeller 1'!$C$2,$B48,CUBEMEMBER("BIDB",{"[Measures].[Fuldtidsledige]"}),P$3)</f>
        <v/>
      </c>
      <c r="R48" s="26">
        <f t="shared" si="5"/>
        <v>0</v>
      </c>
      <c r="S48" s="25" vm="3813">
        <f>CUBEVALUE("BIDB",CUBEMEMBER("BIDB","[Betalingsstatus].[Betalende medlem]"),'Præsentationstabeller 1'!$C$2,$B48,CUBEMEMBER("BIDB",{"[Measures].[Ledighedsmulige]"}),S$3)</f>
        <v>508</v>
      </c>
      <c r="T48" s="35" vm="2242">
        <f>CUBEVALUE("BIDB",CUBEMEMBER("BIDB","[Betalingsstatus].[Betalende medlem]"),'Præsentationstabeller 1'!$C$2,$B48,CUBEMEMBER("BIDB",{"[Measures].[Fuldtidsledige]"}),S$3)</f>
        <v>15.782702702702704</v>
      </c>
      <c r="U48" s="26">
        <f t="shared" si="6"/>
        <v>3.1068312406895084</v>
      </c>
    </row>
    <row r="49" spans="2:21" s="17" customFormat="1" x14ac:dyDescent="0.3">
      <c r="B49" s="60" t="s">
        <v>2</v>
      </c>
      <c r="C49" s="61"/>
      <c r="D49" s="62">
        <f>SUM(D5:D48)</f>
        <v>4082</v>
      </c>
      <c r="E49" s="63">
        <f>SUM(E5:E48)</f>
        <v>1254.8745945945948</v>
      </c>
      <c r="F49" s="117">
        <f>E49/D49*100</f>
        <v>30.741660818093941</v>
      </c>
      <c r="G49" s="62">
        <f>SUM(G5:G48)</f>
        <v>3154</v>
      </c>
      <c r="H49" s="64">
        <f>SUM(H5:H48)</f>
        <v>289.17999999999995</v>
      </c>
      <c r="I49" s="117">
        <f>H49/G49*100</f>
        <v>9.1686746987951793</v>
      </c>
      <c r="J49" s="62">
        <f>SUM(J5:J48)</f>
        <v>7183</v>
      </c>
      <c r="K49" s="64">
        <f>SUM(K5:K48)</f>
        <v>188.77475675675672</v>
      </c>
      <c r="L49" s="117">
        <f>K49/J49*100</f>
        <v>2.6280768029619481</v>
      </c>
      <c r="M49" s="62">
        <f>SUM(M5:M48)</f>
        <v>9642</v>
      </c>
      <c r="N49" s="64">
        <f>SUM(N5:N48)</f>
        <v>137.24913513513513</v>
      </c>
      <c r="O49" s="117">
        <f>N49/M49*100</f>
        <v>1.4234508933326606</v>
      </c>
      <c r="P49" s="62">
        <f>SUM(P5:P48)</f>
        <v>9381</v>
      </c>
      <c r="Q49" s="64">
        <f>SUM(Q5:Q48)</f>
        <v>92.70054054054053</v>
      </c>
      <c r="R49" s="117">
        <f>Q49/P49*100</f>
        <v>0.98817333483147352</v>
      </c>
      <c r="S49" s="62">
        <f>SUM(S5:S48)</f>
        <v>38162</v>
      </c>
      <c r="T49" s="64">
        <f>SUM(T5:T48)</f>
        <v>436.95524324324322</v>
      </c>
      <c r="U49" s="117">
        <f>T49/S49*100</f>
        <v>1.1450008994372496</v>
      </c>
    </row>
    <row r="50" spans="2:21" x14ac:dyDescent="0.3">
      <c r="B50" s="29" t="str" vm="1">
        <f>CUBEMEMBER("BIDB","[Uddannelse].[IDA Gruppe Niveau1].&amp;[Ingeniører]","Ingeniører, i alt (diplom og civil)")</f>
        <v>Ingeniører, i alt (diplom og civil)</v>
      </c>
      <c r="C50" s="11"/>
      <c r="D50" s="27" vm="4213">
        <f>CUBEVALUE("BIDB",CUBEMEMBER("BIDB","[Betalingsstatus].[Betalende medlem]"),'Præsentationstabeller 1'!$C$2,$B50,CUBEMEMBER("BIDB",{"[Measures].[Ledighedsmulige]"}),D$3)</f>
        <v>2136</v>
      </c>
      <c r="E50" s="32" vm="2877">
        <f>CUBEVALUE("BIDB",CUBEMEMBER("BIDB","[Betalingsstatus].[Betalende medlem]"),'Præsentationstabeller 1'!$C$2,$B50,CUBEMEMBER("BIDB",{"[Measures].[Fuldtidsledige]"}),D$3)</f>
        <v>602.40156756756767</v>
      </c>
      <c r="F50" s="28">
        <f t="shared" ref="F50" si="10">IFERROR(E50/D50*100,0)</f>
        <v>28.202320579005978</v>
      </c>
      <c r="G50" s="27" vm="4097">
        <f>CUBEVALUE("BIDB",CUBEMEMBER("BIDB","[Betalingsstatus].[Betalende medlem]"),'Præsentationstabeller 1'!$C$2,$B50,CUBEMEMBER("BIDB",{"[Measures].[Ledighedsmulige]"}),G$3)</f>
        <v>1875</v>
      </c>
      <c r="H50" s="37" vm="2086">
        <f>CUBEVALUE("BIDB",CUBEMEMBER("BIDB","[Betalingsstatus].[Betalende medlem]"),'Præsentationstabeller 1'!$C$2,$B50,CUBEMEMBER("BIDB",{"[Measures].[Fuldtidsledige]"}),G$3)</f>
        <v>122.76848648648648</v>
      </c>
      <c r="I50" s="28">
        <f t="shared" ref="I50" si="11">IFERROR(H50/G50*100,0)</f>
        <v>6.5476526126126116</v>
      </c>
      <c r="J50" s="27" vm="2722">
        <f>CUBEVALUE("BIDB",CUBEMEMBER("BIDB","[Betalingsstatus].[Betalende medlem]"),'Præsentationstabeller 1'!$C$2,$B50,CUBEMEMBER("BIDB",{"[Measures].[Ledighedsmulige]"}),J$3)</f>
        <v>5170</v>
      </c>
      <c r="K50" s="37" vm="1484">
        <f>CUBEVALUE("BIDB",CUBEMEMBER("BIDB","[Betalingsstatus].[Betalende medlem]"),'Præsentationstabeller 1'!$C$2,$B50,CUBEMEMBER("BIDB",{"[Measures].[Fuldtidsledige]"}),J$3)</f>
        <v>108.89248648648648</v>
      </c>
      <c r="L50" s="28">
        <f t="shared" ref="L50" si="12">IFERROR(K50/J50*100,0)</f>
        <v>2.1062376496419049</v>
      </c>
      <c r="M50" s="27" vm="3625">
        <f>CUBEVALUE("BIDB",CUBEMEMBER("BIDB","[Betalingsstatus].[Betalende medlem]"),'Præsentationstabeller 1'!$C$2,$B50,CUBEMEMBER("BIDB",{"[Measures].[Ledighedsmulige]"}),M$3)</f>
        <v>7802</v>
      </c>
      <c r="N50" s="37" vm="2470">
        <f>CUBEVALUE("BIDB",CUBEMEMBER("BIDB","[Betalingsstatus].[Betalende medlem]"),'Præsentationstabeller 1'!$C$2,$B50,CUBEMEMBER("BIDB",{"[Measures].[Fuldtidsledige]"}),M$3)</f>
        <v>77.399999999999991</v>
      </c>
      <c r="O50" s="28">
        <f t="shared" ref="O50" si="13">IFERROR(N50/M50*100,0)</f>
        <v>0.99205331966162513</v>
      </c>
      <c r="P50" s="27" vm="2618">
        <f>CUBEVALUE("BIDB",CUBEMEMBER("BIDB","[Betalingsstatus].[Betalende medlem]"),'Præsentationstabeller 1'!$C$2,$B50,CUBEMEMBER("BIDB",{"[Measures].[Ledighedsmulige]"}),P$3)</f>
        <v>8383</v>
      </c>
      <c r="Q50" s="37" vm="2295">
        <f>CUBEVALUE("BIDB",CUBEMEMBER("BIDB","[Betalingsstatus].[Betalende medlem]"),'Præsentationstabeller 1'!$C$2,$B50,CUBEMEMBER("BIDB",{"[Measures].[Fuldtidsledige]"}),P$3)</f>
        <v>80.363243243243247</v>
      </c>
      <c r="R50" s="28">
        <f t="shared" ref="R50" si="14">IFERROR(Q50/P50*100,0)</f>
        <v>0.9586453923803322</v>
      </c>
      <c r="S50" s="27" vm="3131">
        <f>CUBEVALUE("BIDB",CUBEMEMBER("BIDB","[Betalingsstatus].[Betalende medlem]"),'Præsentationstabeller 1'!$C$2,$B50,CUBEMEMBER("BIDB",{"[Measures].[Ledighedsmulige]"}),S$3)</f>
        <v>35930</v>
      </c>
      <c r="T50" s="37" vm="2628">
        <f>CUBEVALUE("BIDB",CUBEMEMBER("BIDB","[Betalingsstatus].[Betalende medlem]"),'Præsentationstabeller 1'!$C$2,$B50,CUBEMEMBER("BIDB",{"[Measures].[Fuldtidsledige]"}),S$3)</f>
        <v>371.21427027027033</v>
      </c>
      <c r="U50" s="28">
        <f t="shared" ref="U50" si="15">IFERROR(T50/S50*100,0)</f>
        <v>1.0331596723358485</v>
      </c>
    </row>
    <row r="51" spans="2:21" x14ac:dyDescent="0.3">
      <c r="B51" s="13"/>
      <c r="C51" s="13"/>
      <c r="D51" s="13"/>
      <c r="E51" s="13"/>
      <c r="F51" s="13"/>
      <c r="G51" s="13"/>
      <c r="H51" s="13"/>
      <c r="I51" s="13"/>
    </row>
    <row r="52" spans="2:21" x14ac:dyDescent="0.3">
      <c r="B52" s="13"/>
      <c r="C52" s="13"/>
      <c r="D52" s="13"/>
      <c r="E52" s="13"/>
      <c r="F52" s="13"/>
      <c r="G52" s="13"/>
      <c r="H52" s="13"/>
      <c r="I52" s="13"/>
    </row>
    <row r="53" spans="2:21" x14ac:dyDescent="0.3">
      <c r="B53" s="13"/>
      <c r="C53" s="13"/>
      <c r="D53" s="13"/>
      <c r="E53" s="13"/>
      <c r="F53" s="13"/>
      <c r="G53" s="13"/>
      <c r="H53" s="13"/>
      <c r="I53" s="13"/>
    </row>
    <row r="54" spans="2:21" x14ac:dyDescent="0.3">
      <c r="B54" s="13"/>
      <c r="C54" s="13"/>
      <c r="D54" s="13"/>
      <c r="E54" s="13"/>
      <c r="F54" s="13"/>
      <c r="G54" s="13"/>
      <c r="H54" s="13"/>
      <c r="I54" s="13"/>
    </row>
    <row r="55" spans="2:21" x14ac:dyDescent="0.3">
      <c r="B55" s="13"/>
      <c r="C55" s="13"/>
      <c r="D55" s="13"/>
      <c r="E55" s="13"/>
      <c r="F55" s="13"/>
      <c r="G55" s="13"/>
      <c r="H55" s="13"/>
      <c r="I55" s="13"/>
    </row>
    <row r="56" spans="2:21" x14ac:dyDescent="0.3">
      <c r="B56" s="13"/>
      <c r="C56" s="13"/>
      <c r="D56" s="13"/>
      <c r="E56" s="13"/>
      <c r="F56" s="13"/>
      <c r="G56" s="13"/>
      <c r="H56" s="13"/>
      <c r="I56" s="13"/>
    </row>
    <row r="57" spans="2:21" x14ac:dyDescent="0.3">
      <c r="B57" s="13"/>
      <c r="C57" s="13"/>
      <c r="D57" s="13"/>
      <c r="E57" s="13"/>
      <c r="F57" s="13"/>
      <c r="G57" s="13"/>
      <c r="H57" s="13"/>
      <c r="I57" s="13"/>
    </row>
    <row r="58" spans="2:21" x14ac:dyDescent="0.3">
      <c r="B58" s="13"/>
      <c r="C58" s="13"/>
      <c r="D58" s="13"/>
      <c r="E58" s="13"/>
      <c r="F58" s="13"/>
      <c r="G58" s="13"/>
      <c r="H58" s="13"/>
      <c r="I58" s="13"/>
    </row>
    <row r="59" spans="2:21" x14ac:dyDescent="0.3">
      <c r="B59" s="13"/>
      <c r="C59" s="13"/>
      <c r="D59" s="13"/>
      <c r="E59" s="13"/>
      <c r="F59" s="13"/>
      <c r="G59" s="13"/>
      <c r="H59" s="13"/>
      <c r="I59" s="13"/>
    </row>
    <row r="60" spans="2:21" x14ac:dyDescent="0.3">
      <c r="B60" s="13"/>
      <c r="C60" s="13"/>
      <c r="D60" s="13"/>
      <c r="E60" s="13"/>
      <c r="F60" s="13"/>
      <c r="G60" s="13"/>
      <c r="H60" s="13"/>
      <c r="I60" s="13"/>
    </row>
    <row r="61" spans="2:21" x14ac:dyDescent="0.3">
      <c r="B61" s="13"/>
      <c r="C61" s="13"/>
      <c r="D61" s="13"/>
      <c r="E61" s="13"/>
      <c r="F61" s="13"/>
      <c r="G61" s="13"/>
      <c r="H61" s="13"/>
      <c r="I61" s="13"/>
    </row>
    <row r="62" spans="2:21" x14ac:dyDescent="0.3">
      <c r="B62" s="13"/>
      <c r="C62" s="13"/>
      <c r="D62" s="13"/>
      <c r="E62" s="13"/>
      <c r="F62" s="13"/>
      <c r="G62" s="13"/>
      <c r="H62" s="13"/>
      <c r="I62" s="13"/>
    </row>
    <row r="63" spans="2:21" x14ac:dyDescent="0.3">
      <c r="B63" s="13"/>
      <c r="C63" s="13"/>
      <c r="D63" s="13"/>
      <c r="E63" s="13"/>
      <c r="F63" s="13"/>
      <c r="G63" s="13"/>
      <c r="H63" s="13"/>
      <c r="I63" s="13"/>
    </row>
    <row r="64" spans="2:21" x14ac:dyDescent="0.3">
      <c r="B64" s="13"/>
      <c r="C64" s="13"/>
      <c r="D64" s="13"/>
      <c r="E64" s="13"/>
      <c r="F64" s="13"/>
      <c r="G64" s="13"/>
      <c r="H64" s="13"/>
      <c r="I64" s="13"/>
    </row>
    <row r="65" spans="2:9" x14ac:dyDescent="0.3">
      <c r="B65" s="13"/>
      <c r="C65" s="13"/>
      <c r="D65" s="13"/>
      <c r="E65" s="13"/>
      <c r="F65" s="13"/>
      <c r="G65" s="13"/>
      <c r="H65" s="13"/>
      <c r="I65" s="13"/>
    </row>
    <row r="66" spans="2:9" x14ac:dyDescent="0.3">
      <c r="B66" s="13"/>
      <c r="C66" s="13"/>
      <c r="D66" s="13"/>
      <c r="E66" s="13"/>
      <c r="F66" s="13"/>
      <c r="G66" s="13"/>
      <c r="H66" s="13"/>
      <c r="I66" s="13"/>
    </row>
    <row r="67" spans="2:9" x14ac:dyDescent="0.3">
      <c r="B67" s="13"/>
      <c r="C67" s="13"/>
      <c r="D67" s="13"/>
      <c r="E67" s="13"/>
      <c r="F67" s="13"/>
      <c r="G67" s="13"/>
      <c r="H67" s="13"/>
      <c r="I67" s="13"/>
    </row>
    <row r="68" spans="2:9" x14ac:dyDescent="0.3">
      <c r="B68" s="13"/>
      <c r="C68" s="13"/>
      <c r="D68" s="13"/>
      <c r="E68" s="13"/>
      <c r="F68" s="13"/>
      <c r="G68" s="13"/>
      <c r="H68" s="13"/>
      <c r="I68" s="13"/>
    </row>
    <row r="69" spans="2:9" x14ac:dyDescent="0.3">
      <c r="B69" s="13"/>
      <c r="C69" s="13"/>
      <c r="D69" s="13"/>
      <c r="E69" s="13"/>
      <c r="F69" s="13"/>
      <c r="G69" s="13"/>
      <c r="H69" s="13"/>
      <c r="I69" s="13"/>
    </row>
    <row r="70" spans="2:9" x14ac:dyDescent="0.3">
      <c r="B70" s="13"/>
      <c r="C70" s="13"/>
      <c r="D70" s="13"/>
      <c r="E70" s="13"/>
      <c r="F70" s="13"/>
      <c r="G70" s="13"/>
      <c r="H70" s="13"/>
      <c r="I70" s="13"/>
    </row>
    <row r="71" spans="2:9" x14ac:dyDescent="0.3">
      <c r="B71" s="13"/>
      <c r="C71" s="13"/>
      <c r="D71" s="13"/>
      <c r="E71" s="13"/>
      <c r="F71" s="13"/>
      <c r="G71" s="13"/>
      <c r="H71" s="13"/>
      <c r="I71" s="13"/>
    </row>
    <row r="72" spans="2:9" x14ac:dyDescent="0.3">
      <c r="B72" s="13"/>
      <c r="C72" s="13"/>
      <c r="D72" s="13"/>
      <c r="E72" s="13"/>
      <c r="F72" s="13"/>
      <c r="G72" s="13"/>
      <c r="H72" s="13"/>
      <c r="I72" s="13"/>
    </row>
    <row r="73" spans="2:9" x14ac:dyDescent="0.3">
      <c r="B73" s="13"/>
      <c r="C73" s="13"/>
      <c r="D73" s="13"/>
      <c r="E73" s="13"/>
      <c r="F73" s="13"/>
      <c r="G73" s="13"/>
      <c r="H73" s="13"/>
      <c r="I73" s="13"/>
    </row>
    <row r="74" spans="2:9" x14ac:dyDescent="0.3">
      <c r="B74" s="13"/>
      <c r="C74" s="13"/>
      <c r="D74" s="13"/>
      <c r="E74" s="13"/>
      <c r="F74" s="13"/>
      <c r="G74" s="13"/>
      <c r="H74" s="13"/>
      <c r="I74" s="13"/>
    </row>
    <row r="75" spans="2:9" x14ac:dyDescent="0.3">
      <c r="B75" s="13"/>
      <c r="C75" s="13"/>
      <c r="D75" s="13"/>
      <c r="E75" s="13"/>
      <c r="F75" s="13"/>
      <c r="G75" s="13"/>
      <c r="H75" s="13"/>
      <c r="I75" s="13"/>
    </row>
    <row r="76" spans="2:9" x14ac:dyDescent="0.3">
      <c r="B76" s="13"/>
      <c r="C76" s="13"/>
      <c r="D76" s="13"/>
      <c r="E76" s="13"/>
      <c r="F76" s="13"/>
      <c r="G76" s="13"/>
      <c r="H76" s="13"/>
      <c r="I76" s="13"/>
    </row>
    <row r="77" spans="2:9" x14ac:dyDescent="0.3">
      <c r="B77" s="13"/>
      <c r="C77" s="13"/>
      <c r="D77" s="13"/>
      <c r="E77" s="13"/>
      <c r="F77" s="13"/>
      <c r="G77" s="13"/>
      <c r="H77" s="13"/>
      <c r="I77" s="13"/>
    </row>
    <row r="78" spans="2:9" x14ac:dyDescent="0.3">
      <c r="B78" s="13"/>
      <c r="C78" s="13"/>
      <c r="D78" s="13"/>
      <c r="E78" s="13"/>
      <c r="F78" s="13"/>
      <c r="G78" s="13"/>
      <c r="H78" s="13"/>
      <c r="I78" s="13"/>
    </row>
    <row r="79" spans="2:9" x14ac:dyDescent="0.3">
      <c r="B79" s="13"/>
      <c r="C79" s="13"/>
      <c r="D79" s="13"/>
      <c r="E79" s="13"/>
      <c r="F79" s="13"/>
      <c r="G79" s="13"/>
      <c r="H79" s="13"/>
      <c r="I79" s="13"/>
    </row>
    <row r="80" spans="2:9" x14ac:dyDescent="0.3">
      <c r="B80" s="13"/>
      <c r="C80" s="13"/>
      <c r="D80" s="13"/>
      <c r="E80" s="13"/>
      <c r="F80" s="13"/>
      <c r="G80" s="13"/>
      <c r="H80" s="13"/>
      <c r="I80" s="13"/>
    </row>
  </sheetData>
  <mergeCells count="6">
    <mergeCell ref="S3:U3"/>
    <mergeCell ref="D3:F3"/>
    <mergeCell ref="G3:I3"/>
    <mergeCell ref="J3:L3"/>
    <mergeCell ref="M3:O3"/>
    <mergeCell ref="P3:R3"/>
  </mergeCells>
  <pageMargins left="0.7" right="0.7" top="0.75" bottom="0.75" header="0.3" footer="0.3"/>
  <pageSetup orientation="portrait" r:id="rId1"/>
  <ignoredErrors>
    <ignoredError sqref="U49 R49 O49 L49 I49 F4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0"/>
  <sheetViews>
    <sheetView showGridLines="0" topLeftCell="A13" zoomScale="85" zoomScaleNormal="85" workbookViewId="0">
      <selection activeCell="D33" sqref="D33"/>
    </sheetView>
  </sheetViews>
  <sheetFormatPr defaultColWidth="9.109375" defaultRowHeight="14.4" x14ac:dyDescent="0.3"/>
  <cols>
    <col min="1" max="1" width="4.33203125" style="8" customWidth="1"/>
    <col min="2" max="2" width="31.6640625" style="8" bestFit="1" customWidth="1"/>
    <col min="3" max="3" width="22.5546875" style="8" bestFit="1" customWidth="1"/>
    <col min="4" max="4" width="15.44140625" style="8" bestFit="1" customWidth="1"/>
    <col min="5" max="5" width="12.88671875" style="8" bestFit="1" customWidth="1"/>
    <col min="6" max="6" width="7.88671875" style="8" bestFit="1" customWidth="1"/>
    <col min="7" max="7" width="15.44140625" style="8" bestFit="1" customWidth="1"/>
    <col min="8" max="8" width="12.88671875" style="8" bestFit="1" customWidth="1"/>
    <col min="9" max="9" width="7.88671875" style="8" customWidth="1"/>
    <col min="10" max="10" width="15.44140625" style="8" bestFit="1" customWidth="1"/>
    <col min="11" max="11" width="12.88671875" style="8" bestFit="1" customWidth="1"/>
    <col min="12" max="12" width="7.88671875" style="8" bestFit="1" customWidth="1"/>
    <col min="13" max="13" width="15.44140625" style="8" bestFit="1" customWidth="1"/>
    <col min="14" max="14" width="12.88671875" style="8" bestFit="1" customWidth="1"/>
    <col min="15" max="15" width="7.88671875" style="8" bestFit="1" customWidth="1"/>
    <col min="16" max="16" width="15.44140625" style="8" bestFit="1" customWidth="1"/>
    <col min="17" max="17" width="12.88671875" style="8" bestFit="1" customWidth="1"/>
    <col min="18" max="18" width="7.88671875" style="8" bestFit="1" customWidth="1"/>
    <col min="19" max="16384" width="9.109375" style="8"/>
  </cols>
  <sheetData>
    <row r="1" spans="2:18" ht="15" x14ac:dyDescent="0.25">
      <c r="B1"/>
      <c r="C1"/>
    </row>
    <row r="2" spans="2:18" ht="15" x14ac:dyDescent="0.25">
      <c r="D2" s="12"/>
    </row>
    <row r="3" spans="2:18" s="15" customFormat="1" ht="15" x14ac:dyDescent="0.25">
      <c r="B3" s="16" t="s">
        <v>10</v>
      </c>
      <c r="D3" s="144" t="str" vm="6">
        <f>CUBEMEMBER("BIDB","[Kommune].[Region].[All].[Region Hovedstaden]")</f>
        <v>Region Hovedstaden</v>
      </c>
      <c r="E3" s="145"/>
      <c r="F3" s="146"/>
      <c r="G3" s="147" t="str" vm="20">
        <f>CUBEMEMBER("BIDB","[Kommune].[Region].[All].[Region Sjælland]")</f>
        <v>Region Sjælland</v>
      </c>
      <c r="H3" s="148"/>
      <c r="I3" s="149"/>
      <c r="J3" s="147" t="str" vm="13">
        <f>CUBEMEMBER("BIDB","[Kommune].[Region].[All].[Region Syddanmark]")</f>
        <v>Region Syddanmark</v>
      </c>
      <c r="K3" s="148"/>
      <c r="L3" s="149"/>
      <c r="M3" s="147" t="str" vm="15">
        <f>CUBEMEMBER("BIDB","[Kommune].[Region].[All].[Region Midtjylland]")</f>
        <v>Region Midtjylland</v>
      </c>
      <c r="N3" s="148"/>
      <c r="O3" s="149"/>
      <c r="P3" s="147" t="str" vm="5">
        <f>CUBEMEMBER("BIDB","[Kommune].[Region].[All].[Region Nordjylland]")</f>
        <v>Region Nordjylland</v>
      </c>
      <c r="Q3" s="148"/>
      <c r="R3" s="149"/>
    </row>
    <row r="4" spans="2:18" s="16" customFormat="1" ht="15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  <c r="M4" s="38" t="s">
        <v>5</v>
      </c>
      <c r="N4" s="39" t="s">
        <v>6</v>
      </c>
      <c r="O4" s="40" t="s">
        <v>7</v>
      </c>
      <c r="P4" s="38" t="s">
        <v>5</v>
      </c>
      <c r="Q4" s="39" t="s">
        <v>6</v>
      </c>
      <c r="R4" s="40" t="s">
        <v>7</v>
      </c>
    </row>
    <row r="5" spans="2:18" ht="15" x14ac:dyDescent="0.25">
      <c r="B5" s="45" t="str" vm="11">
        <f>CUBEMEMBER("BIDB","[Uddannelse].[IDA Gruppe].&amp;[Bachelorer]")</f>
        <v>Bachelorer</v>
      </c>
      <c r="C5" s="45"/>
      <c r="D5" s="46" vm="4071">
        <f>CUBEVALUE("BIDB",CUBEMEMBER("BIDB","[Betalingsstatus].[Betalende medlem]"),'Præsentationstabeller 1'!$C$2,$B5,CUBEMEMBER("BIDB",{"[Measures].[Ledighedsmulige]"}),D$3)</f>
        <v>550</v>
      </c>
      <c r="E5" s="47" vm="2576">
        <f>CUBEVALUE("BIDB",CUBEMEMBER("BIDB","[Betalingsstatus].[Betalende medlem]"),'Præsentationstabeller 1'!$C$2,$B5,CUBEMEMBER("BIDB",{"[Measures].[Fuldtidsledige]"}),D$3)</f>
        <v>55.342432432432425</v>
      </c>
      <c r="F5" s="48">
        <f>IFERROR(E5/D5*100,0)</f>
        <v>10.062260442260442</v>
      </c>
      <c r="G5" s="46" vm="2247">
        <f>CUBEVALUE("BIDB",CUBEMEMBER("BIDB","[Betalingsstatus].[Betalende medlem]"),'Præsentationstabeller 1'!$C$2,$B5,CUBEMEMBER("BIDB",{"[Measures].[Ledighedsmulige]"}),G$3)</f>
        <v>66</v>
      </c>
      <c r="H5" s="49" vm="3121">
        <f>CUBEVALUE("BIDB",CUBEMEMBER("BIDB","[Betalingsstatus].[Betalende medlem]"),'Præsentationstabeller 1'!$C$2,$B5,CUBEMEMBER("BIDB",{"[Measures].[Fuldtidsledige]"}),G$3)</f>
        <v>7.5600000000000005</v>
      </c>
      <c r="I5" s="48">
        <f>IFERROR(H5/G5*100,0)</f>
        <v>11.454545454545455</v>
      </c>
      <c r="J5" s="46" vm="2188">
        <f>CUBEVALUE("BIDB",CUBEMEMBER("BIDB","[Betalingsstatus].[Betalende medlem]"),'Præsentationstabeller 1'!$C$2,$B5,CUBEMEMBER("BIDB",{"[Measures].[Ledighedsmulige]"}),J$3)</f>
        <v>141</v>
      </c>
      <c r="K5" s="49" vm="3646">
        <f>CUBEVALUE("BIDB",CUBEMEMBER("BIDB","[Betalingsstatus].[Betalende medlem]"),'Præsentationstabeller 1'!$C$2,$B5,CUBEMEMBER("BIDB",{"[Measures].[Fuldtidsledige]"}),J$3)</f>
        <v>15.600540540540541</v>
      </c>
      <c r="L5" s="48">
        <f>IFERROR(K5/J5*100,0)</f>
        <v>11.064213149319531</v>
      </c>
      <c r="M5" s="46" vm="4936">
        <f>CUBEVALUE("BIDB",CUBEMEMBER("BIDB","[Betalingsstatus].[Betalende medlem]"),'Præsentationstabeller 1'!$C$2,$B5,CUBEMEMBER("BIDB",{"[Measures].[Ledighedsmulige]"}),M$3)</f>
        <v>305</v>
      </c>
      <c r="N5" s="49" vm="2744">
        <f>CUBEVALUE("BIDB",CUBEMEMBER("BIDB","[Betalingsstatus].[Betalende medlem]"),'Præsentationstabeller 1'!$C$2,$B5,CUBEMEMBER("BIDB",{"[Measures].[Fuldtidsledige]"}),M$3)</f>
        <v>31.720270270270269</v>
      </c>
      <c r="O5" s="48">
        <f>IFERROR(N5/M5*100,0)</f>
        <v>10.400088613203367</v>
      </c>
      <c r="P5" s="46" vm="2347">
        <f>CUBEVALUE("BIDB",CUBEMEMBER("BIDB","[Betalingsstatus].[Betalende medlem]"),'Præsentationstabeller 1'!$C$2,$B5,CUBEMEMBER("BIDB",{"[Measures].[Ledighedsmulige]"}),P$3)</f>
        <v>103</v>
      </c>
      <c r="Q5" s="49" vm="5305">
        <f>CUBEVALUE("BIDB",CUBEMEMBER("BIDB","[Betalingsstatus].[Betalende medlem]"),'Præsentationstabeller 1'!$C$2,$B5,CUBEMEMBER("BIDB",{"[Measures].[Fuldtidsledige]"}),P$3)</f>
        <v>16.316216216216219</v>
      </c>
      <c r="R5" s="48">
        <f>IFERROR(Q5/P5*100,0)</f>
        <v>15.840986617685648</v>
      </c>
    </row>
    <row r="6" spans="2:18" ht="15" x14ac:dyDescent="0.25">
      <c r="B6" s="14" t="str" vm="4">
        <f t="shared" ref="B6:B14" si="0">CUBEMEMBER("BIDB","[Uddannelse].[IDA Gruppe].&amp;[Akademiingeniør]")</f>
        <v>Akademiingeniør</v>
      </c>
      <c r="C6" s="14" t="str" vm="37">
        <f>CUBEMEMBER("BIDB",{"[Uddannelsesretning].[IDA Gruppe].&amp;[Maskin]"})</f>
        <v>Maskin</v>
      </c>
      <c r="D6" s="23" vm="2950">
        <f>CUBEVALUE("BIDB",CUBEMEMBER("BIDB","[Betalingsstatus].[Betalende medlem]"),'Præsentationstabeller 1'!$C$2,$C6,CUBEMEMBER("BIDB",{"[Measures].[Ledighedsmulige]"}),D$3,$B6)</f>
        <v>581</v>
      </c>
      <c r="E6" s="31" vm="2286">
        <f>CUBEVALUE("BIDB",CUBEMEMBER("BIDB","[Betalingsstatus].[Betalende medlem]"),'Præsentationstabeller 1'!$C$2,$C6,CUBEMEMBER("BIDB",{"[Measures].[Fuldtidsledige]"}),D$3,$B6)</f>
        <v>5.68</v>
      </c>
      <c r="F6" s="24">
        <f t="shared" ref="F6:F48" si="1">IFERROR(E6/D6*100,0)</f>
        <v>0.97762478485370041</v>
      </c>
      <c r="G6" s="23" vm="2604">
        <f>CUBEVALUE("BIDB",CUBEMEMBER("BIDB","[Betalingsstatus].[Betalende medlem]"),'Præsentationstabeller 1'!$C$2,$C6,CUBEMEMBER("BIDB",{"[Measures].[Ledighedsmulige]"}),G$3,$B6)</f>
        <v>162</v>
      </c>
      <c r="H6" s="36" vm="4067">
        <f>CUBEVALUE("BIDB",CUBEMEMBER("BIDB","[Betalingsstatus].[Betalende medlem]"),'Præsentationstabeller 1'!$C$2,$C6,CUBEMEMBER("BIDB",{"[Measures].[Fuldtidsledige]"}),G$3,$B6)</f>
        <v>1.4</v>
      </c>
      <c r="I6" s="24">
        <f t="shared" ref="I6:I48" si="2">IFERROR(H6/G6*100,0)</f>
        <v>0.86419753086419748</v>
      </c>
      <c r="J6" s="23" vm="2080">
        <f>CUBEVALUE("BIDB",CUBEMEMBER("BIDB","[Betalingsstatus].[Betalende medlem]"),'Præsentationstabeller 1'!$C$2,$C6,CUBEMEMBER("BIDB",{"[Measures].[Ledighedsmulige]"}),J$3,$B6)</f>
        <v>62</v>
      </c>
      <c r="K6" s="36" vm="1921">
        <f>CUBEVALUE("BIDB",CUBEMEMBER("BIDB","[Betalingsstatus].[Betalende medlem]"),'Præsentationstabeller 1'!$C$2,$C6,CUBEMEMBER("BIDB",{"[Measures].[Fuldtidsledige]"}),J$3,$B6)</f>
        <v>1.24</v>
      </c>
      <c r="L6" s="24">
        <f t="shared" ref="L6:L48" si="3">IFERROR(K6/J6*100,0)</f>
        <v>2</v>
      </c>
      <c r="M6" s="23" vm="3049">
        <f>CUBEVALUE("BIDB",CUBEMEMBER("BIDB","[Betalingsstatus].[Betalende medlem]"),'Præsentationstabeller 1'!$C$2,$C6,CUBEMEMBER("BIDB",{"[Measures].[Ledighedsmulige]"}),M$3,$B6)</f>
        <v>99</v>
      </c>
      <c r="N6" s="36" vm="2961">
        <f>CUBEVALUE("BIDB",CUBEMEMBER("BIDB","[Betalingsstatus].[Betalende medlem]"),'Præsentationstabeller 1'!$C$2,$C6,CUBEMEMBER("BIDB",{"[Measures].[Fuldtidsledige]"}),M$3,$B6)</f>
        <v>2</v>
      </c>
      <c r="O6" s="24">
        <f t="shared" ref="O6:O48" si="4">IFERROR(N6/M6*100,0)</f>
        <v>2.0202020202020203</v>
      </c>
      <c r="P6" s="23" vm="1877">
        <f>CUBEVALUE("BIDB",CUBEMEMBER("BIDB","[Betalingsstatus].[Betalende medlem]"),'Præsentationstabeller 1'!$C$2,$C6,CUBEMEMBER("BIDB",{"[Measures].[Ledighedsmulige]"}),P$3,$B6)</f>
        <v>79</v>
      </c>
      <c r="Q6" s="36" vm="2290">
        <f>CUBEVALUE("BIDB",CUBEMEMBER("BIDB","[Betalingsstatus].[Betalende medlem]"),'Præsentationstabeller 1'!$C$2,$C6,CUBEMEMBER("BIDB",{"[Measures].[Fuldtidsledige]"}),P$3,$B6)</f>
        <v>1</v>
      </c>
      <c r="R6" s="24">
        <f t="shared" ref="R6:R48" si="5">IFERROR(Q6/P6*100,0)</f>
        <v>1.2658227848101267</v>
      </c>
    </row>
    <row r="7" spans="2:18" ht="15" x14ac:dyDescent="0.25">
      <c r="B7" s="50" t="str" vm="4">
        <f t="shared" si="0"/>
        <v>Akademiingeniør</v>
      </c>
      <c r="C7" s="50" t="str" vm="41">
        <f>CUBEMEMBER("BIDB",{"[Uddannelsesretning].[IDA Gruppe].&amp;[Produktion]"})</f>
        <v>Produktion</v>
      </c>
      <c r="D7" s="51" vm="3926">
        <f>CUBEVALUE("BIDB",CUBEMEMBER("BIDB","[Betalingsstatus].[Betalende medlem]"),'Præsentationstabeller 1'!$C$2,$C7,CUBEMEMBER("BIDB",{"[Measures].[Ledighedsmulige]"}),D$3,$B7)</f>
        <v>55</v>
      </c>
      <c r="E7" s="52" t="str" vm="2497">
        <f>CUBEVALUE("BIDB",CUBEMEMBER("BIDB","[Betalingsstatus].[Betalende medlem]"),'Præsentationstabeller 1'!$C$2,$C7,CUBEMEMBER("BIDB",{"[Measures].[Fuldtidsledige]"}),D$3,$B7)</f>
        <v/>
      </c>
      <c r="F7" s="53">
        <f t="shared" si="1"/>
        <v>0</v>
      </c>
      <c r="G7" s="51" vm="2553">
        <f>CUBEVALUE("BIDB",CUBEMEMBER("BIDB","[Betalingsstatus].[Betalende medlem]"),'Præsentationstabeller 1'!$C$2,$C7,CUBEMEMBER("BIDB",{"[Measures].[Ledighedsmulige]"}),G$3,$B7)</f>
        <v>7</v>
      </c>
      <c r="H7" s="54" t="str" vm="3910">
        <f>CUBEVALUE("BIDB",CUBEMEMBER("BIDB","[Betalingsstatus].[Betalende medlem]"),'Præsentationstabeller 1'!$C$2,$C7,CUBEMEMBER("BIDB",{"[Measures].[Fuldtidsledige]"}),G$3,$B7)</f>
        <v/>
      </c>
      <c r="I7" s="53">
        <f t="shared" si="2"/>
        <v>0</v>
      </c>
      <c r="J7" s="51" vm="3135">
        <f>CUBEVALUE("BIDB",CUBEMEMBER("BIDB","[Betalingsstatus].[Betalende medlem]"),'Præsentationstabeller 1'!$C$2,$C7,CUBEMEMBER("BIDB",{"[Measures].[Ledighedsmulige]"}),J$3,$B7)</f>
        <v>10</v>
      </c>
      <c r="K7" s="54" t="str" vm="7731">
        <f>CUBEVALUE("BIDB",CUBEMEMBER("BIDB","[Betalingsstatus].[Betalende medlem]"),'Præsentationstabeller 1'!$C$2,$C7,CUBEMEMBER("BIDB",{"[Measures].[Fuldtidsledige]"}),J$3,$B7)</f>
        <v/>
      </c>
      <c r="L7" s="53">
        <f t="shared" si="3"/>
        <v>0</v>
      </c>
      <c r="M7" s="51" vm="3393">
        <f>CUBEVALUE("BIDB",CUBEMEMBER("BIDB","[Betalingsstatus].[Betalende medlem]"),'Præsentationstabeller 1'!$C$2,$C7,CUBEMEMBER("BIDB",{"[Measures].[Ledighedsmulige]"}),M$3,$B7)</f>
        <v>10</v>
      </c>
      <c r="N7" s="54" t="str" vm="4084">
        <f>CUBEVALUE("BIDB",CUBEMEMBER("BIDB","[Betalingsstatus].[Betalende medlem]"),'Præsentationstabeller 1'!$C$2,$C7,CUBEMEMBER("BIDB",{"[Measures].[Fuldtidsledige]"}),M$3,$B7)</f>
        <v/>
      </c>
      <c r="O7" s="53">
        <f t="shared" si="4"/>
        <v>0</v>
      </c>
      <c r="P7" s="51" vm="5053">
        <f>CUBEVALUE("BIDB",CUBEMEMBER("BIDB","[Betalingsstatus].[Betalende medlem]"),'Præsentationstabeller 1'!$C$2,$C7,CUBEMEMBER("BIDB",{"[Measures].[Ledighedsmulige]"}),P$3,$B7)</f>
        <v>15</v>
      </c>
      <c r="Q7" s="54" t="str" vm="2414">
        <f>CUBEVALUE("BIDB",CUBEMEMBER("BIDB","[Betalingsstatus].[Betalende medlem]"),'Præsentationstabeller 1'!$C$2,$C7,CUBEMEMBER("BIDB",{"[Measures].[Fuldtidsledige]"}),P$3,$B7)</f>
        <v/>
      </c>
      <c r="R7" s="53">
        <f t="shared" si="5"/>
        <v>0</v>
      </c>
    </row>
    <row r="8" spans="2:18" ht="15" x14ac:dyDescent="0.25">
      <c r="B8" s="9" t="str" vm="4">
        <f t="shared" si="0"/>
        <v>Akademiingeniør</v>
      </c>
      <c r="C8" s="9" t="str" vm="36">
        <f>CUBEMEMBER("BIDB",{"[Uddannelsesretning].[IDA Gruppe].&amp;[Elektronik-IT]"})</f>
        <v>Elektronik-IT</v>
      </c>
      <c r="D8" s="25" vm="6353">
        <f>CUBEVALUE("BIDB",CUBEMEMBER("BIDB","[Betalingsstatus].[Betalende medlem]"),'Præsentationstabeller 1'!$C$2,$C8,CUBEMEMBER("BIDB",{"[Measures].[Ledighedsmulige]"}),D$3,$B8)</f>
        <v>885</v>
      </c>
      <c r="E8" s="30" vm="3154">
        <f>CUBEVALUE("BIDB",CUBEMEMBER("BIDB","[Betalingsstatus].[Betalende medlem]"),'Præsentationstabeller 1'!$C$2,$C8,CUBEMEMBER("BIDB",{"[Measures].[Fuldtidsledige]"}),D$3,$B8)</f>
        <v>7.2799999999999994</v>
      </c>
      <c r="F8" s="26">
        <f t="shared" si="1"/>
        <v>0.82259887005649701</v>
      </c>
      <c r="G8" s="25" vm="1985">
        <f>CUBEVALUE("BIDB",CUBEMEMBER("BIDB","[Betalingsstatus].[Betalende medlem]"),'Præsentationstabeller 1'!$C$2,$C8,CUBEMEMBER("BIDB",{"[Measures].[Ledighedsmulige]"}),G$3,$B8)</f>
        <v>183</v>
      </c>
      <c r="H8" s="35" vm="2525">
        <f>CUBEVALUE("BIDB",CUBEMEMBER("BIDB","[Betalingsstatus].[Betalende medlem]"),'Præsentationstabeller 1'!$C$2,$C8,CUBEMEMBER("BIDB",{"[Measures].[Fuldtidsledige]"}),G$3,$B8)</f>
        <v>1.5837837837837838</v>
      </c>
      <c r="I8" s="26">
        <f t="shared" si="2"/>
        <v>0.8654556195539802</v>
      </c>
      <c r="J8" s="25" vm="3496">
        <f>CUBEVALUE("BIDB",CUBEMEMBER("BIDB","[Betalingsstatus].[Betalende medlem]"),'Præsentationstabeller 1'!$C$2,$C8,CUBEMEMBER("BIDB",{"[Measures].[Ledighedsmulige]"}),J$3,$B8)</f>
        <v>63</v>
      </c>
      <c r="K8" s="35" vm="3198">
        <f>CUBEVALUE("BIDB",CUBEMEMBER("BIDB","[Betalingsstatus].[Betalende medlem]"),'Præsentationstabeller 1'!$C$2,$C8,CUBEMEMBER("BIDB",{"[Measures].[Fuldtidsledige]"}),J$3,$B8)</f>
        <v>0.52</v>
      </c>
      <c r="L8" s="26">
        <f t="shared" si="3"/>
        <v>0.82539682539682546</v>
      </c>
      <c r="M8" s="25" vm="2927">
        <f>CUBEVALUE("BIDB",CUBEMEMBER("BIDB","[Betalingsstatus].[Betalende medlem]"),'Præsentationstabeller 1'!$C$2,$C8,CUBEMEMBER("BIDB",{"[Measures].[Ledighedsmulige]"}),M$3,$B8)</f>
        <v>110</v>
      </c>
      <c r="N8" s="35" vm="2833">
        <f>CUBEVALUE("BIDB",CUBEMEMBER("BIDB","[Betalingsstatus].[Betalende medlem]"),'Præsentationstabeller 1'!$C$2,$C8,CUBEMEMBER("BIDB",{"[Measures].[Fuldtidsledige]"}),M$3,$B8)</f>
        <v>3.5200000000000005</v>
      </c>
      <c r="O8" s="26">
        <f t="shared" si="4"/>
        <v>3.2000000000000006</v>
      </c>
      <c r="P8" s="25" vm="2559">
        <f>CUBEVALUE("BIDB",CUBEMEMBER("BIDB","[Betalingsstatus].[Betalende medlem]"),'Præsentationstabeller 1'!$C$2,$C8,CUBEMEMBER("BIDB",{"[Measures].[Ledighedsmulige]"}),P$3,$B8)</f>
        <v>102</v>
      </c>
      <c r="Q8" s="35" vm="3907">
        <f>CUBEVALUE("BIDB",CUBEMEMBER("BIDB","[Betalingsstatus].[Betalende medlem]"),'Præsentationstabeller 1'!$C$2,$C8,CUBEMEMBER("BIDB",{"[Measures].[Fuldtidsledige]"}),P$3,$B8)</f>
        <v>0.72432432432432436</v>
      </c>
      <c r="R8" s="26">
        <f t="shared" si="5"/>
        <v>0.71012188659247488</v>
      </c>
    </row>
    <row r="9" spans="2:18" ht="15" x14ac:dyDescent="0.25">
      <c r="B9" s="50" t="str" vm="4">
        <f t="shared" si="0"/>
        <v>Akademiingeniør</v>
      </c>
      <c r="C9" s="50" t="str" vm="40">
        <f>CUBEMEMBER("BIDB",{"[Uddannelsesretning].[IDA Gruppe].&amp;[Bygning]"})</f>
        <v>Bygning</v>
      </c>
      <c r="D9" s="51" vm="3098">
        <f>CUBEVALUE("BIDB",CUBEMEMBER("BIDB","[Betalingsstatus].[Betalende medlem]"),'Præsentationstabeller 1'!$C$2,$C9,CUBEMEMBER("BIDB",{"[Measures].[Ledighedsmulige]"}),D$3,$B9)</f>
        <v>777</v>
      </c>
      <c r="E9" s="52" vm="2378">
        <f>CUBEVALUE("BIDB",CUBEMEMBER("BIDB","[Betalingsstatus].[Betalende medlem]"),'Præsentationstabeller 1'!$C$2,$C9,CUBEMEMBER("BIDB",{"[Measures].[Fuldtidsledige]"}),D$3,$B9)</f>
        <v>1.8</v>
      </c>
      <c r="F9" s="53">
        <f t="shared" si="1"/>
        <v>0.23166023166023164</v>
      </c>
      <c r="G9" s="51" vm="2643">
        <f>CUBEVALUE("BIDB",CUBEMEMBER("BIDB","[Betalingsstatus].[Betalende medlem]"),'Præsentationstabeller 1'!$C$2,$C9,CUBEMEMBER("BIDB",{"[Measures].[Ledighedsmulige]"}),G$3,$B9)</f>
        <v>138</v>
      </c>
      <c r="H9" s="54" vm="6866">
        <f>CUBEVALUE("BIDB",CUBEMEMBER("BIDB","[Betalingsstatus].[Betalende medlem]"),'Præsentationstabeller 1'!$C$2,$C9,CUBEMEMBER("BIDB",{"[Measures].[Fuldtidsledige]"}),G$3,$B9)</f>
        <v>1.3199999999999998</v>
      </c>
      <c r="I9" s="53">
        <f t="shared" si="2"/>
        <v>0.9565217391304347</v>
      </c>
      <c r="J9" s="51" vm="3101">
        <f>CUBEVALUE("BIDB",CUBEMEMBER("BIDB","[Betalingsstatus].[Betalende medlem]"),'Præsentationstabeller 1'!$C$2,$C9,CUBEMEMBER("BIDB",{"[Measures].[Ledighedsmulige]"}),J$3,$B9)</f>
        <v>74</v>
      </c>
      <c r="K9" s="54" t="str" vm="5435">
        <f>CUBEVALUE("BIDB",CUBEMEMBER("BIDB","[Betalingsstatus].[Betalende medlem]"),'Præsentationstabeller 1'!$C$2,$C9,CUBEMEMBER("BIDB",{"[Measures].[Fuldtidsledige]"}),J$3,$B9)</f>
        <v/>
      </c>
      <c r="L9" s="53">
        <f t="shared" si="3"/>
        <v>0</v>
      </c>
      <c r="M9" s="51" vm="2890">
        <f>CUBEVALUE("BIDB",CUBEMEMBER("BIDB","[Betalingsstatus].[Betalende medlem]"),'Præsentationstabeller 1'!$C$2,$C9,CUBEMEMBER("BIDB",{"[Measures].[Ledighedsmulige]"}),M$3,$B9)</f>
        <v>129</v>
      </c>
      <c r="N9" s="54" vm="2246">
        <f>CUBEVALUE("BIDB",CUBEMEMBER("BIDB","[Betalingsstatus].[Betalende medlem]"),'Præsentationstabeller 1'!$C$2,$C9,CUBEMEMBER("BIDB",{"[Measures].[Fuldtidsledige]"}),M$3,$B9)</f>
        <v>0.91999999999999993</v>
      </c>
      <c r="O9" s="53">
        <f t="shared" si="4"/>
        <v>0.71317829457364335</v>
      </c>
      <c r="P9" s="51" vm="4074">
        <f>CUBEVALUE("BIDB",CUBEMEMBER("BIDB","[Betalingsstatus].[Betalende medlem]"),'Præsentationstabeller 1'!$C$2,$C9,CUBEMEMBER("BIDB",{"[Measures].[Ledighedsmulige]"}),P$3,$B9)</f>
        <v>111</v>
      </c>
      <c r="Q9" s="54" vm="8870">
        <f>CUBEVALUE("BIDB",CUBEMEMBER("BIDB","[Betalingsstatus].[Betalende medlem]"),'Præsentationstabeller 1'!$C$2,$C9,CUBEMEMBER("BIDB",{"[Measures].[Fuldtidsledige]"}),P$3,$B9)</f>
        <v>0.8</v>
      </c>
      <c r="R9" s="53">
        <f t="shared" si="5"/>
        <v>0.72072072072072069</v>
      </c>
    </row>
    <row r="10" spans="2:18" ht="15" x14ac:dyDescent="0.25">
      <c r="B10" s="9" t="str" vm="4">
        <f t="shared" si="0"/>
        <v>Akademiingeniør</v>
      </c>
      <c r="C10" s="9" t="str" vm="35">
        <f>CUBEMEMBER("BIDB",{"[Uddannelsesretning].[IDA Gruppe].&amp;[Anlæg]"})</f>
        <v>Anlæg</v>
      </c>
      <c r="D10" s="25" vm="8565">
        <f>CUBEVALUE("BIDB",CUBEMEMBER("BIDB","[Betalingsstatus].[Betalende medlem]"),'Præsentationstabeller 1'!$C$2,$C10,CUBEMEMBER("BIDB",{"[Measures].[Ledighedsmulige]"}),D$3,$B10)</f>
        <v>5</v>
      </c>
      <c r="E10" s="30" t="str" vm="2917">
        <f>CUBEVALUE("BIDB",CUBEMEMBER("BIDB","[Betalingsstatus].[Betalende medlem]"),'Præsentationstabeller 1'!$C$2,$C10,CUBEMEMBER("BIDB",{"[Measures].[Fuldtidsledige]"}),D$3,$B10)</f>
        <v/>
      </c>
      <c r="F10" s="26">
        <f t="shared" si="1"/>
        <v>0</v>
      </c>
      <c r="G10" s="25" vm="3954">
        <f>CUBEVALUE("BIDB",CUBEMEMBER("BIDB","[Betalingsstatus].[Betalende medlem]"),'Præsentationstabeller 1'!$C$2,$C10,CUBEMEMBER("BIDB",{"[Measures].[Ledighedsmulige]"}),G$3,$B10)</f>
        <v>0</v>
      </c>
      <c r="H10" s="35" t="str" vm="2138">
        <f>CUBEVALUE("BIDB",CUBEMEMBER("BIDB","[Betalingsstatus].[Betalende medlem]"),'Præsentationstabeller 1'!$C$2,$C10,CUBEMEMBER("BIDB",{"[Measures].[Fuldtidsledige]"}),G$3,$B10)</f>
        <v/>
      </c>
      <c r="I10" s="26">
        <f t="shared" si="2"/>
        <v>0</v>
      </c>
      <c r="J10" s="25" vm="2357">
        <f>CUBEVALUE("BIDB",CUBEMEMBER("BIDB","[Betalingsstatus].[Betalende medlem]"),'Præsentationstabeller 1'!$C$2,$C10,CUBEMEMBER("BIDB",{"[Measures].[Ledighedsmulige]"}),J$3,$B10)</f>
        <v>4</v>
      </c>
      <c r="K10" s="35" t="str" vm="2645">
        <f>CUBEVALUE("BIDB",CUBEMEMBER("BIDB","[Betalingsstatus].[Betalende medlem]"),'Præsentationstabeller 1'!$C$2,$C10,CUBEMEMBER("BIDB",{"[Measures].[Fuldtidsledige]"}),J$3,$B10)</f>
        <v/>
      </c>
      <c r="L10" s="26">
        <f t="shared" si="3"/>
        <v>0</v>
      </c>
      <c r="M10" s="25" vm="3040">
        <f>CUBEVALUE("BIDB",CUBEMEMBER("BIDB","[Betalingsstatus].[Betalende medlem]"),'Præsentationstabeller 1'!$C$2,$C10,CUBEMEMBER("BIDB",{"[Measures].[Ledighedsmulige]"}),M$3,$B10)</f>
        <v>16</v>
      </c>
      <c r="N10" s="35" t="str" vm="2707">
        <f>CUBEVALUE("BIDB",CUBEMEMBER("BIDB","[Betalingsstatus].[Betalende medlem]"),'Præsentationstabeller 1'!$C$2,$C10,CUBEMEMBER("BIDB",{"[Measures].[Fuldtidsledige]"}),M$3,$B10)</f>
        <v/>
      </c>
      <c r="O10" s="26">
        <f t="shared" si="4"/>
        <v>0</v>
      </c>
      <c r="P10" s="25" vm="5947">
        <f>CUBEVALUE("BIDB",CUBEMEMBER("BIDB","[Betalingsstatus].[Betalende medlem]"),'Præsentationstabeller 1'!$C$2,$C10,CUBEMEMBER("BIDB",{"[Measures].[Ledighedsmulige]"}),P$3,$B10)</f>
        <v>21</v>
      </c>
      <c r="Q10" s="35" vm="2548">
        <f>CUBEVALUE("BIDB",CUBEMEMBER("BIDB","[Betalingsstatus].[Betalende medlem]"),'Præsentationstabeller 1'!$C$2,$C10,CUBEMEMBER("BIDB",{"[Measures].[Fuldtidsledige]"}),P$3,$B10)</f>
        <v>0.55999999999999994</v>
      </c>
      <c r="R10" s="26">
        <f t="shared" si="5"/>
        <v>2.6666666666666665</v>
      </c>
    </row>
    <row r="11" spans="2:18" ht="15" x14ac:dyDescent="0.25">
      <c r="B11" s="50" t="str" vm="4">
        <f t="shared" si="0"/>
        <v>Akademiingeniør</v>
      </c>
      <c r="C11" s="50" t="str" vm="39">
        <f>CUBEMEMBER("BIDB",{"[Uddannelsesretning].[IDA Gruppe].&amp;[Kemi]"})</f>
        <v>Kemi</v>
      </c>
      <c r="D11" s="51" vm="3934">
        <f>CUBEVALUE("BIDB",CUBEMEMBER("BIDB","[Betalingsstatus].[Betalende medlem]"),'Præsentationstabeller 1'!$C$2,$C11,CUBEMEMBER("BIDB",{"[Measures].[Ledighedsmulige]"}),D$3,$B11)</f>
        <v>691</v>
      </c>
      <c r="E11" s="52" vm="4596">
        <f>CUBEVALUE("BIDB",CUBEMEMBER("BIDB","[Betalingsstatus].[Betalende medlem]"),'Præsentationstabeller 1'!$C$2,$C11,CUBEMEMBER("BIDB",{"[Measures].[Fuldtidsledige]"}),D$3,$B11)</f>
        <v>12.560000000000002</v>
      </c>
      <c r="F11" s="53">
        <f t="shared" si="1"/>
        <v>1.8176555716353116</v>
      </c>
      <c r="G11" s="51" vm="1880">
        <f>CUBEVALUE("BIDB",CUBEMEMBER("BIDB","[Betalingsstatus].[Betalende medlem]"),'Præsentationstabeller 1'!$C$2,$C11,CUBEMEMBER("BIDB",{"[Measures].[Ledighedsmulige]"}),G$3,$B11)</f>
        <v>208</v>
      </c>
      <c r="H11" s="54" vm="5306">
        <f>CUBEVALUE("BIDB",CUBEMEMBER("BIDB","[Betalingsstatus].[Betalende medlem]"),'Præsentationstabeller 1'!$C$2,$C11,CUBEMEMBER("BIDB",{"[Measures].[Fuldtidsledige]"}),G$3,$B11)</f>
        <v>0.6</v>
      </c>
      <c r="I11" s="53">
        <f t="shared" si="2"/>
        <v>0.28846153846153844</v>
      </c>
      <c r="J11" s="51" vm="2256">
        <f>CUBEVALUE("BIDB",CUBEMEMBER("BIDB","[Betalingsstatus].[Betalende medlem]"),'Præsentationstabeller 1'!$C$2,$C11,CUBEMEMBER("BIDB",{"[Measures].[Ledighedsmulige]"}),J$3,$B11)</f>
        <v>72</v>
      </c>
      <c r="K11" s="54" vm="4413">
        <f>CUBEVALUE("BIDB",CUBEMEMBER("BIDB","[Betalingsstatus].[Betalende medlem]"),'Præsentationstabeller 1'!$C$2,$C11,CUBEMEMBER("BIDB",{"[Measures].[Fuldtidsledige]"}),J$3,$B11)</f>
        <v>0.72</v>
      </c>
      <c r="L11" s="53">
        <f t="shared" si="3"/>
        <v>1</v>
      </c>
      <c r="M11" s="51" vm="3688">
        <f>CUBEVALUE("BIDB",CUBEMEMBER("BIDB","[Betalingsstatus].[Betalende medlem]"),'Præsentationstabeller 1'!$C$2,$C11,CUBEMEMBER("BIDB",{"[Measures].[Ledighedsmulige]"}),M$3,$B11)</f>
        <v>66</v>
      </c>
      <c r="N11" s="54" t="str" vm="4683">
        <f>CUBEVALUE("BIDB",CUBEMEMBER("BIDB","[Betalingsstatus].[Betalende medlem]"),'Præsentationstabeller 1'!$C$2,$C11,CUBEMEMBER("BIDB",{"[Measures].[Fuldtidsledige]"}),M$3,$B11)</f>
        <v/>
      </c>
      <c r="O11" s="53">
        <f t="shared" si="4"/>
        <v>0</v>
      </c>
      <c r="P11" s="51" vm="3953">
        <f>CUBEVALUE("BIDB",CUBEMEMBER("BIDB","[Betalingsstatus].[Betalende medlem]"),'Præsentationstabeller 1'!$C$2,$C11,CUBEMEMBER("BIDB",{"[Measures].[Ledighedsmulige]"}),P$3,$B11)</f>
        <v>17</v>
      </c>
      <c r="Q11" s="54" t="str" vm="3803">
        <f>CUBEVALUE("BIDB",CUBEMEMBER("BIDB","[Betalingsstatus].[Betalende medlem]"),'Præsentationstabeller 1'!$C$2,$C11,CUBEMEMBER("BIDB",{"[Measures].[Fuldtidsledige]"}),P$3,$B11)</f>
        <v/>
      </c>
      <c r="R11" s="53">
        <f t="shared" si="5"/>
        <v>0</v>
      </c>
    </row>
    <row r="12" spans="2:18" ht="15" x14ac:dyDescent="0.25">
      <c r="B12" s="9" t="str" vm="4">
        <f t="shared" si="0"/>
        <v>Akademiingeniør</v>
      </c>
      <c r="C12" s="9" t="str" vm="34">
        <f>CUBEMEMBER("BIDB",{"[Uddannelsesretning].[IDA Gruppe].&amp;[Teknisk ledelse]"})</f>
        <v>Teknisk ledelse</v>
      </c>
      <c r="D12" s="25" vm="6338">
        <f>CUBEVALUE("BIDB",CUBEMEMBER("BIDB","[Betalingsstatus].[Betalende medlem]"),'Præsentationstabeller 1'!$C$2,$C12,CUBEMEMBER("BIDB",{"[Measures].[Ledighedsmulige]"}),D$3,$B12)</f>
        <v>4</v>
      </c>
      <c r="E12" s="30" t="str" vm="3878">
        <f>CUBEVALUE("BIDB",CUBEMEMBER("BIDB","[Betalingsstatus].[Betalende medlem]"),'Præsentationstabeller 1'!$C$2,$C12,CUBEMEMBER("BIDB",{"[Measures].[Fuldtidsledige]"}),D$3,$B12)</f>
        <v/>
      </c>
      <c r="F12" s="26">
        <f t="shared" si="1"/>
        <v>0</v>
      </c>
      <c r="G12" s="25" vm="2481">
        <f>CUBEVALUE("BIDB",CUBEMEMBER("BIDB","[Betalingsstatus].[Betalende medlem]"),'Præsentationstabeller 1'!$C$2,$C12,CUBEMEMBER("BIDB",{"[Measures].[Ledighedsmulige]"}),G$3,$B12)</f>
        <v>1</v>
      </c>
      <c r="H12" s="35" t="str" vm="4171">
        <f>CUBEVALUE("BIDB",CUBEMEMBER("BIDB","[Betalingsstatus].[Betalende medlem]"),'Præsentationstabeller 1'!$C$2,$C12,CUBEMEMBER("BIDB",{"[Measures].[Fuldtidsledige]"}),G$3,$B12)</f>
        <v/>
      </c>
      <c r="I12" s="26">
        <f t="shared" si="2"/>
        <v>0</v>
      </c>
      <c r="J12" s="25" vm="3939">
        <f>CUBEVALUE("BIDB",CUBEMEMBER("BIDB","[Betalingsstatus].[Betalende medlem]"),'Præsentationstabeller 1'!$C$2,$C12,CUBEMEMBER("BIDB",{"[Measures].[Ledighedsmulige]"}),J$3,$B12)</f>
        <v>4</v>
      </c>
      <c r="K12" s="35" vm="3495">
        <f>CUBEVALUE("BIDB",CUBEMEMBER("BIDB","[Betalingsstatus].[Betalende medlem]"),'Præsentationstabeller 1'!$C$2,$C12,CUBEMEMBER("BIDB",{"[Measures].[Fuldtidsledige]"}),J$3,$B12)</f>
        <v>2</v>
      </c>
      <c r="L12" s="26">
        <f t="shared" si="3"/>
        <v>50</v>
      </c>
      <c r="M12" s="25" vm="3392">
        <f>CUBEVALUE("BIDB",CUBEMEMBER("BIDB","[Betalingsstatus].[Betalende medlem]"),'Præsentationstabeller 1'!$C$2,$C12,CUBEMEMBER("BIDB",{"[Measures].[Ledighedsmulige]"}),M$3,$B12)</f>
        <v>7</v>
      </c>
      <c r="N12" s="35" t="str" vm="2637">
        <f>CUBEVALUE("BIDB",CUBEMEMBER("BIDB","[Betalingsstatus].[Betalende medlem]"),'Præsentationstabeller 1'!$C$2,$C12,CUBEMEMBER("BIDB",{"[Measures].[Fuldtidsledige]"}),M$3,$B12)</f>
        <v/>
      </c>
      <c r="O12" s="26">
        <f t="shared" si="4"/>
        <v>0</v>
      </c>
      <c r="P12" s="25" vm="2915">
        <f>CUBEVALUE("BIDB",CUBEMEMBER("BIDB","[Betalingsstatus].[Betalende medlem]"),'Præsentationstabeller 1'!$C$2,$C12,CUBEMEMBER("BIDB",{"[Measures].[Ledighedsmulige]"}),P$3,$B12)</f>
        <v>7</v>
      </c>
      <c r="Q12" s="35" t="str" vm="2124">
        <f>CUBEVALUE("BIDB",CUBEMEMBER("BIDB","[Betalingsstatus].[Betalende medlem]"),'Præsentationstabeller 1'!$C$2,$C12,CUBEMEMBER("BIDB",{"[Measures].[Fuldtidsledige]"}),P$3,$B12)</f>
        <v/>
      </c>
      <c r="R12" s="26">
        <f t="shared" si="5"/>
        <v>0</v>
      </c>
    </row>
    <row r="13" spans="2:18" ht="15" x14ac:dyDescent="0.25">
      <c r="B13" s="50" t="str" vm="4">
        <f t="shared" si="0"/>
        <v>Akademiingeniør</v>
      </c>
      <c r="C13" s="50" t="str" vm="38">
        <f>CUBEMEMBER("BIDB",{"[Uddannelsesretning].[IDA Gruppe].&amp;[Nye retninger]"})</f>
        <v>Nye retninger</v>
      </c>
      <c r="D13" s="51" t="str" vm="2811">
        <f>CUBEVALUE("BIDB",CUBEMEMBER("BIDB","[Betalingsstatus].[Betalende medlem]"),'Præsentationstabeller 1'!$C$2,$C13,CUBEMEMBER("BIDB",{"[Measures].[Ledighedsmulige]"}),D$3,$B13)</f>
        <v/>
      </c>
      <c r="E13" s="52" t="str" vm="3017">
        <f>CUBEVALUE("BIDB",CUBEMEMBER("BIDB","[Betalingsstatus].[Betalende medlem]"),'Præsentationstabeller 1'!$C$2,$C13,CUBEMEMBER("BIDB",{"[Measures].[Fuldtidsledige]"}),D$3,$B13)</f>
        <v/>
      </c>
      <c r="F13" s="53">
        <f t="shared" si="1"/>
        <v>0</v>
      </c>
      <c r="G13" s="51" t="str" vm="3226">
        <f>CUBEVALUE("BIDB",CUBEMEMBER("BIDB","[Betalingsstatus].[Betalende medlem]"),'Præsentationstabeller 1'!$C$2,$C13,CUBEMEMBER("BIDB",{"[Measures].[Ledighedsmulige]"}),G$3,$B13)</f>
        <v/>
      </c>
      <c r="H13" s="54" t="str" vm="4432">
        <f>CUBEVALUE("BIDB",CUBEMEMBER("BIDB","[Betalingsstatus].[Betalende medlem]"),'Præsentationstabeller 1'!$C$2,$C13,CUBEMEMBER("BIDB",{"[Measures].[Fuldtidsledige]"}),G$3,$B13)</f>
        <v/>
      </c>
      <c r="I13" s="53">
        <f t="shared" si="2"/>
        <v>0</v>
      </c>
      <c r="J13" s="51" t="str" vm="4921">
        <f>CUBEVALUE("BIDB",CUBEMEMBER("BIDB","[Betalingsstatus].[Betalende medlem]"),'Præsentationstabeller 1'!$C$2,$C13,CUBEMEMBER("BIDB",{"[Measures].[Ledighedsmulige]"}),J$3,$B13)</f>
        <v/>
      </c>
      <c r="K13" s="54" t="str" vm="3709">
        <f>CUBEVALUE("BIDB",CUBEMEMBER("BIDB","[Betalingsstatus].[Betalende medlem]"),'Præsentationstabeller 1'!$C$2,$C13,CUBEMEMBER("BIDB",{"[Measures].[Fuldtidsledige]"}),J$3,$B13)</f>
        <v/>
      </c>
      <c r="L13" s="53">
        <f t="shared" si="3"/>
        <v>0</v>
      </c>
      <c r="M13" s="51" t="str" vm="3914">
        <f>CUBEVALUE("BIDB",CUBEMEMBER("BIDB","[Betalingsstatus].[Betalende medlem]"),'Præsentationstabeller 1'!$C$2,$C13,CUBEMEMBER("BIDB",{"[Measures].[Ledighedsmulige]"}),M$3,$B13)</f>
        <v/>
      </c>
      <c r="N13" s="54" t="str" vm="5061">
        <f>CUBEVALUE("BIDB",CUBEMEMBER("BIDB","[Betalingsstatus].[Betalende medlem]"),'Præsentationstabeller 1'!$C$2,$C13,CUBEMEMBER("BIDB",{"[Measures].[Fuldtidsledige]"}),M$3,$B13)</f>
        <v/>
      </c>
      <c r="O13" s="53">
        <f t="shared" si="4"/>
        <v>0</v>
      </c>
      <c r="P13" s="51" t="str" vm="5483">
        <f>CUBEVALUE("BIDB",CUBEMEMBER("BIDB","[Betalingsstatus].[Betalende medlem]"),'Præsentationstabeller 1'!$C$2,$C13,CUBEMEMBER("BIDB",{"[Measures].[Ledighedsmulige]"}),P$3,$B13)</f>
        <v/>
      </c>
      <c r="Q13" s="54" t="str" vm="3828">
        <f>CUBEVALUE("BIDB",CUBEMEMBER("BIDB","[Betalingsstatus].[Betalende medlem]"),'Præsentationstabeller 1'!$C$2,$C13,CUBEMEMBER("BIDB",{"[Measures].[Fuldtidsledige]"}),P$3,$B13)</f>
        <v/>
      </c>
      <c r="R13" s="53">
        <f t="shared" si="5"/>
        <v>0</v>
      </c>
    </row>
    <row r="14" spans="2:18" ht="15" x14ac:dyDescent="0.25">
      <c r="B14" s="10" t="str" vm="4">
        <f t="shared" si="0"/>
        <v>Akademiingeniør</v>
      </c>
      <c r="C14" s="10" t="str" vm="33">
        <f>CUBEMEMBER("BIDB",{"[Uddannelsesretning].[IDA Gruppe].&amp;[Øvrige retninger/uoplyste]"})</f>
        <v>Øvrige retninger/uoplyste</v>
      </c>
      <c r="D14" s="41" vm="5438">
        <f>CUBEVALUE("BIDB",CUBEMEMBER("BIDB","[Betalingsstatus].[Betalende medlem]"),'Præsentationstabeller 1'!$C$2,$C14,CUBEMEMBER("BIDB",{"[Measures].[Ledighedsmulige]"}),D$3,$B14)</f>
        <v>99</v>
      </c>
      <c r="E14" s="42" vm="3423">
        <f>CUBEVALUE("BIDB",CUBEMEMBER("BIDB","[Betalingsstatus].[Betalende medlem]"),'Præsentationstabeller 1'!$C$2,$C14,CUBEMEMBER("BIDB",{"[Measures].[Fuldtidsledige]"}),D$3,$B14)</f>
        <v>0.8</v>
      </c>
      <c r="F14" s="43">
        <f t="shared" si="1"/>
        <v>0.80808080808080807</v>
      </c>
      <c r="G14" s="41" vm="2274">
        <f>CUBEVALUE("BIDB",CUBEMEMBER("BIDB","[Betalingsstatus].[Betalende medlem]"),'Præsentationstabeller 1'!$C$2,$C14,CUBEMEMBER("BIDB",{"[Measures].[Ledighedsmulige]"}),G$3,$B14)</f>
        <v>13</v>
      </c>
      <c r="H14" s="44" vm="2758">
        <f>CUBEVALUE("BIDB",CUBEMEMBER("BIDB","[Betalingsstatus].[Betalende medlem]"),'Præsentationstabeller 1'!$C$2,$C14,CUBEMEMBER("BIDB",{"[Measures].[Fuldtidsledige]"}),G$3,$B14)</f>
        <v>1</v>
      </c>
      <c r="I14" s="43">
        <f t="shared" si="2"/>
        <v>7.6923076923076925</v>
      </c>
      <c r="J14" s="41" vm="2608">
        <f>CUBEVALUE("BIDB",CUBEMEMBER("BIDB","[Betalingsstatus].[Betalende medlem]"),'Præsentationstabeller 1'!$C$2,$C14,CUBEMEMBER("BIDB",{"[Measures].[Ledighedsmulige]"}),J$3,$B14)</f>
        <v>24</v>
      </c>
      <c r="K14" s="44" vm="3425">
        <f>CUBEVALUE("BIDB",CUBEMEMBER("BIDB","[Betalingsstatus].[Betalende medlem]"),'Præsentationstabeller 1'!$C$2,$C14,CUBEMEMBER("BIDB",{"[Measures].[Fuldtidsledige]"}),J$3,$B14)</f>
        <v>1</v>
      </c>
      <c r="L14" s="43">
        <f t="shared" si="3"/>
        <v>4.1666666666666661</v>
      </c>
      <c r="M14" s="41" vm="3450">
        <f>CUBEVALUE("BIDB",CUBEMEMBER("BIDB","[Betalingsstatus].[Betalende medlem]"),'Præsentationstabeller 1'!$C$2,$C14,CUBEMEMBER("BIDB",{"[Measures].[Ledighedsmulige]"}),M$3,$B14)</f>
        <v>47</v>
      </c>
      <c r="N14" s="44" t="str" vm="2788">
        <f>CUBEVALUE("BIDB",CUBEMEMBER("BIDB","[Betalingsstatus].[Betalende medlem]"),'Præsentationstabeller 1'!$C$2,$C14,CUBEMEMBER("BIDB",{"[Measures].[Fuldtidsledige]"}),M$3,$B14)</f>
        <v/>
      </c>
      <c r="O14" s="43">
        <f t="shared" si="4"/>
        <v>0</v>
      </c>
      <c r="P14" s="41" vm="3624">
        <f>CUBEVALUE("BIDB",CUBEMEMBER("BIDB","[Betalingsstatus].[Betalende medlem]"),'Præsentationstabeller 1'!$C$2,$C14,CUBEMEMBER("BIDB",{"[Measures].[Ledighedsmulige]"}),P$3,$B14)</f>
        <v>56</v>
      </c>
      <c r="Q14" s="44" vm="2657">
        <f>CUBEVALUE("BIDB",CUBEMEMBER("BIDB","[Betalingsstatus].[Betalende medlem]"),'Præsentationstabeller 1'!$C$2,$C14,CUBEMEMBER("BIDB",{"[Measures].[Fuldtidsledige]"}),P$3,$B14)</f>
        <v>3.4</v>
      </c>
      <c r="R14" s="43">
        <f t="shared" si="5"/>
        <v>6.0714285714285712</v>
      </c>
    </row>
    <row r="15" spans="2:18" ht="15" x14ac:dyDescent="0.25">
      <c r="B15" s="45" t="str" vm="10">
        <f t="shared" ref="B15:B23" si="6">CUBEMEMBER("BIDB","[Uddannelse].[IDA Gruppe].&amp;[Teknikumingeniør]")</f>
        <v>Teknikumingeniør</v>
      </c>
      <c r="C15" s="45" t="str" vm="37">
        <f>CUBEMEMBER("BIDB",{"[Uddannelsesretning].[IDA Gruppe].&amp;[Maskin]"})</f>
        <v>Maskin</v>
      </c>
      <c r="D15" s="46" vm="3113">
        <f>CUBEVALUE("BIDB",CUBEMEMBER("BIDB","[Betalingsstatus].[Betalende medlem]"),'Præsentationstabeller 1'!$C$2,$C15,CUBEMEMBER("BIDB",{"[Measures].[Ledighedsmulige]"}),D$3,$B15)</f>
        <v>1029</v>
      </c>
      <c r="E15" s="47" vm="2931">
        <f>CUBEVALUE("BIDB",CUBEMEMBER("BIDB","[Betalingsstatus].[Betalende medlem]"),'Præsentationstabeller 1'!$C$2,$C15,CUBEMEMBER("BIDB",{"[Measures].[Fuldtidsledige]"}),D$3,$B15)</f>
        <v>5.8621621621621625</v>
      </c>
      <c r="F15" s="48">
        <f t="shared" si="1"/>
        <v>0.56969505949097787</v>
      </c>
      <c r="G15" s="46" vm="2544">
        <f>CUBEVALUE("BIDB",CUBEMEMBER("BIDB","[Betalingsstatus].[Betalende medlem]"),'Præsentationstabeller 1'!$C$2,$C15,CUBEMEMBER("BIDB",{"[Measures].[Ledighedsmulige]"}),G$3,$B15)</f>
        <v>449</v>
      </c>
      <c r="H15" s="49" vm="5955">
        <f>CUBEVALUE("BIDB",CUBEMEMBER("BIDB","[Betalingsstatus].[Betalende medlem]"),'Præsentationstabeller 1'!$C$2,$C15,CUBEMEMBER("BIDB",{"[Measures].[Fuldtidsledige]"}),G$3,$B15)</f>
        <v>6.3448648648648662</v>
      </c>
      <c r="I15" s="48">
        <f t="shared" si="2"/>
        <v>1.4131102148919523</v>
      </c>
      <c r="J15" s="46" vm="3004">
        <f>CUBEVALUE("BIDB",CUBEMEMBER("BIDB","[Betalingsstatus].[Betalende medlem]"),'Præsentationstabeller 1'!$C$2,$C15,CUBEMEMBER("BIDB",{"[Measures].[Ledighedsmulige]"}),J$3,$B15)</f>
        <v>982</v>
      </c>
      <c r="K15" s="49" vm="3811">
        <f>CUBEVALUE("BIDB",CUBEMEMBER("BIDB","[Betalingsstatus].[Betalende medlem]"),'Præsentationstabeller 1'!$C$2,$C15,CUBEMEMBER("BIDB",{"[Measures].[Fuldtidsledige]"}),J$3,$B15)</f>
        <v>12.029621621621622</v>
      </c>
      <c r="L15" s="48">
        <f t="shared" si="3"/>
        <v>1.2250123850938515</v>
      </c>
      <c r="M15" s="46" vm="4447">
        <f>CUBEVALUE("BIDB",CUBEMEMBER("BIDB","[Betalingsstatus].[Betalende medlem]"),'Præsentationstabeller 1'!$C$2,$C15,CUBEMEMBER("BIDB",{"[Measures].[Ledighedsmulige]"}),M$3,$B15)</f>
        <v>965</v>
      </c>
      <c r="N15" s="49" vm="3395">
        <f>CUBEVALUE("BIDB",CUBEMEMBER("BIDB","[Betalingsstatus].[Betalende medlem]"),'Præsentationstabeller 1'!$C$2,$C15,CUBEMEMBER("BIDB",{"[Measures].[Fuldtidsledige]"}),M$3,$B15)</f>
        <v>10.943783783783783</v>
      </c>
      <c r="O15" s="48">
        <f t="shared" si="4"/>
        <v>1.1340708584231898</v>
      </c>
      <c r="P15" s="46" vm="2765">
        <f>CUBEVALUE("BIDB",CUBEMEMBER("BIDB","[Betalingsstatus].[Betalende medlem]"),'Præsentationstabeller 1'!$C$2,$C15,CUBEMEMBER("BIDB",{"[Measures].[Ledighedsmulige]"}),P$3,$B15)</f>
        <v>134</v>
      </c>
      <c r="Q15" s="49" vm="4066">
        <f>CUBEVALUE("BIDB",CUBEMEMBER("BIDB","[Betalingsstatus].[Betalende medlem]"),'Præsentationstabeller 1'!$C$2,$C15,CUBEMEMBER("BIDB",{"[Measures].[Fuldtidsledige]"}),P$3,$B15)</f>
        <v>1.8</v>
      </c>
      <c r="R15" s="48">
        <f t="shared" si="5"/>
        <v>1.3432835820895521</v>
      </c>
    </row>
    <row r="16" spans="2:18" ht="15" x14ac:dyDescent="0.25">
      <c r="B16" s="9" t="str" vm="10">
        <f t="shared" si="6"/>
        <v>Teknikumingeniør</v>
      </c>
      <c r="C16" s="9" t="str" vm="41">
        <f>CUBEMEMBER("BIDB",{"[Uddannelsesretning].[IDA Gruppe].&amp;[Produktion]"})</f>
        <v>Produktion</v>
      </c>
      <c r="D16" s="25" vm="8755">
        <f>CUBEVALUE("BIDB",CUBEMEMBER("BIDB","[Betalingsstatus].[Betalende medlem]"),'Præsentationstabeller 1'!$C$2,$C16,CUBEMEMBER("BIDB",{"[Measures].[Ledighedsmulige]"}),D$3,$B16)</f>
        <v>423</v>
      </c>
      <c r="E16" s="30" vm="4463">
        <f>CUBEVALUE("BIDB",CUBEMEMBER("BIDB","[Betalingsstatus].[Betalende medlem]"),'Præsentationstabeller 1'!$C$2,$C16,CUBEMEMBER("BIDB",{"[Measures].[Fuldtidsledige]"}),D$3,$B16)</f>
        <v>7.9491891891891884</v>
      </c>
      <c r="F16" s="26">
        <f t="shared" si="1"/>
        <v>1.8792409430707302</v>
      </c>
      <c r="G16" s="25" vm="2050">
        <f>CUBEVALUE("BIDB",CUBEMEMBER("BIDB","[Betalingsstatus].[Betalende medlem]"),'Præsentationstabeller 1'!$C$2,$C16,CUBEMEMBER("BIDB",{"[Measures].[Ledighedsmulige]"}),G$3,$B16)</f>
        <v>130</v>
      </c>
      <c r="H16" s="35" vm="2195">
        <f>CUBEVALUE("BIDB",CUBEMEMBER("BIDB","[Betalingsstatus].[Betalende medlem]"),'Præsentationstabeller 1'!$C$2,$C16,CUBEMEMBER("BIDB",{"[Measures].[Fuldtidsledige]"}),G$3,$B16)</f>
        <v>1.28</v>
      </c>
      <c r="I16" s="26">
        <f t="shared" si="2"/>
        <v>0.98461538461538467</v>
      </c>
      <c r="J16" s="25" vm="2292">
        <f>CUBEVALUE("BIDB",CUBEMEMBER("BIDB","[Betalingsstatus].[Betalende medlem]"),'Præsentationstabeller 1'!$C$2,$C16,CUBEMEMBER("BIDB",{"[Measures].[Ledighedsmulige]"}),J$3,$B16)</f>
        <v>364</v>
      </c>
      <c r="K16" s="35" vm="2933">
        <f>CUBEVALUE("BIDB",CUBEMEMBER("BIDB","[Betalingsstatus].[Betalende medlem]"),'Præsentationstabeller 1'!$C$2,$C16,CUBEMEMBER("BIDB",{"[Measures].[Fuldtidsledige]"}),J$3,$B16)</f>
        <v>6.1805405405405409</v>
      </c>
      <c r="L16" s="26">
        <f t="shared" si="3"/>
        <v>1.6979506979506982</v>
      </c>
      <c r="M16" s="25" vm="2954">
        <f>CUBEVALUE("BIDB",CUBEMEMBER("BIDB","[Betalingsstatus].[Betalende medlem]"),'Præsentationstabeller 1'!$C$2,$C16,CUBEMEMBER("BIDB",{"[Measures].[Ledighedsmulige]"}),M$3,$B16)</f>
        <v>185</v>
      </c>
      <c r="N16" s="35" vm="3644">
        <f>CUBEVALUE("BIDB",CUBEMEMBER("BIDB","[Betalingsstatus].[Betalende medlem]"),'Præsentationstabeller 1'!$C$2,$C16,CUBEMEMBER("BIDB",{"[Measures].[Fuldtidsledige]"}),M$3,$B16)</f>
        <v>4.12</v>
      </c>
      <c r="O16" s="26">
        <f t="shared" si="4"/>
        <v>2.2270270270270269</v>
      </c>
      <c r="P16" s="25" vm="3674">
        <f>CUBEVALUE("BIDB",CUBEMEMBER("BIDB","[Betalingsstatus].[Betalende medlem]"),'Præsentationstabeller 1'!$C$2,$C16,CUBEMEMBER("BIDB",{"[Measures].[Ledighedsmulige]"}),P$3,$B16)</f>
        <v>22</v>
      </c>
      <c r="Q16" s="35" t="str" vm="2619">
        <f>CUBEVALUE("BIDB",CUBEMEMBER("BIDB","[Betalingsstatus].[Betalende medlem]"),'Præsentationstabeller 1'!$C$2,$C16,CUBEMEMBER("BIDB",{"[Measures].[Fuldtidsledige]"}),P$3,$B16)</f>
        <v/>
      </c>
      <c r="R16" s="26">
        <f t="shared" si="5"/>
        <v>0</v>
      </c>
    </row>
    <row r="17" spans="2:18" ht="15" x14ac:dyDescent="0.25">
      <c r="B17" s="50" t="str" vm="10">
        <f t="shared" si="6"/>
        <v>Teknikumingeniør</v>
      </c>
      <c r="C17" s="50" t="str" vm="36">
        <f>CUBEMEMBER("BIDB",{"[Uddannelsesretning].[IDA Gruppe].&amp;[Elektronik-IT]"})</f>
        <v>Elektronik-IT</v>
      </c>
      <c r="D17" s="51" vm="3595">
        <f>CUBEVALUE("BIDB",CUBEMEMBER("BIDB","[Betalingsstatus].[Betalende medlem]"),'Præsentationstabeller 1'!$C$2,$C17,CUBEMEMBER("BIDB",{"[Measures].[Ledighedsmulige]"}),D$3,$B17)</f>
        <v>1375</v>
      </c>
      <c r="E17" s="52" vm="5944">
        <f>CUBEVALUE("BIDB",CUBEMEMBER("BIDB","[Betalingsstatus].[Betalende medlem]"),'Præsentationstabeller 1'!$C$2,$C17,CUBEMEMBER("BIDB",{"[Measures].[Fuldtidsledige]"}),D$3,$B17)</f>
        <v>16.64</v>
      </c>
      <c r="F17" s="53">
        <f t="shared" si="1"/>
        <v>1.2101818181818182</v>
      </c>
      <c r="G17" s="51" vm="3662">
        <f>CUBEVALUE("BIDB",CUBEMEMBER("BIDB","[Betalingsstatus].[Betalende medlem]"),'Præsentationstabeller 1'!$C$2,$C17,CUBEMEMBER("BIDB",{"[Measures].[Ledighedsmulige]"}),G$3,$B17)</f>
        <v>487</v>
      </c>
      <c r="H17" s="54" vm="3140">
        <f>CUBEVALUE("BIDB",CUBEMEMBER("BIDB","[Betalingsstatus].[Betalende medlem]"),'Præsentationstabeller 1'!$C$2,$C17,CUBEMEMBER("BIDB",{"[Measures].[Fuldtidsledige]"}),G$3,$B17)</f>
        <v>13.970810810810812</v>
      </c>
      <c r="I17" s="53">
        <f t="shared" si="2"/>
        <v>2.8687496531439036</v>
      </c>
      <c r="J17" s="51" vm="2436">
        <f>CUBEVALUE("BIDB",CUBEMEMBER("BIDB","[Betalingsstatus].[Betalende medlem]"),'Præsentationstabeller 1'!$C$2,$C17,CUBEMEMBER("BIDB",{"[Measures].[Ledighedsmulige]"}),J$3,$B17)</f>
        <v>920</v>
      </c>
      <c r="K17" s="54" vm="3554">
        <f>CUBEVALUE("BIDB",CUBEMEMBER("BIDB","[Betalingsstatus].[Betalende medlem]"),'Præsentationstabeller 1'!$C$2,$C17,CUBEMEMBER("BIDB",{"[Measures].[Fuldtidsledige]"}),J$3,$B17)</f>
        <v>6.8</v>
      </c>
      <c r="L17" s="53">
        <f t="shared" si="3"/>
        <v>0.73913043478260865</v>
      </c>
      <c r="M17" s="51" vm="3653">
        <f>CUBEVALUE("BIDB",CUBEMEMBER("BIDB","[Betalingsstatus].[Betalende medlem]"),'Præsentationstabeller 1'!$C$2,$C17,CUBEMEMBER("BIDB",{"[Measures].[Ledighedsmulige]"}),M$3,$B17)</f>
        <v>1244</v>
      </c>
      <c r="N17" s="54" vm="3409">
        <f>CUBEVALUE("BIDB",CUBEMEMBER("BIDB","[Betalingsstatus].[Betalende medlem]"),'Præsentationstabeller 1'!$C$2,$C17,CUBEMEMBER("BIDB",{"[Measures].[Fuldtidsledige]"}),M$3,$B17)</f>
        <v>13.513513513513514</v>
      </c>
      <c r="O17" s="53">
        <f t="shared" si="4"/>
        <v>1.086295298513948</v>
      </c>
      <c r="P17" s="51" vm="2928">
        <f>CUBEVALUE("BIDB",CUBEMEMBER("BIDB","[Betalingsstatus].[Betalende medlem]"),'Præsentationstabeller 1'!$C$2,$C17,CUBEMEMBER("BIDB",{"[Measures].[Ledighedsmulige]"}),P$3,$B17)</f>
        <v>211</v>
      </c>
      <c r="Q17" s="54" vm="3303">
        <f>CUBEVALUE("BIDB",CUBEMEMBER("BIDB","[Betalingsstatus].[Betalende medlem]"),'Præsentationstabeller 1'!$C$2,$C17,CUBEMEMBER("BIDB",{"[Measures].[Fuldtidsledige]"}),P$3,$B17)</f>
        <v>2</v>
      </c>
      <c r="R17" s="53">
        <f t="shared" si="5"/>
        <v>0.94786729857819907</v>
      </c>
    </row>
    <row r="18" spans="2:18" ht="15" x14ac:dyDescent="0.25">
      <c r="B18" s="9" t="str" vm="10">
        <f t="shared" si="6"/>
        <v>Teknikumingeniør</v>
      </c>
      <c r="C18" s="9" t="str" vm="40">
        <f>CUBEMEMBER("BIDB",{"[Uddannelsesretning].[IDA Gruppe].&amp;[Bygning]"})</f>
        <v>Bygning</v>
      </c>
      <c r="D18" s="25" vm="14531">
        <f>CUBEVALUE("BIDB",CUBEMEMBER("BIDB","[Betalingsstatus].[Betalende medlem]"),'Præsentationstabeller 1'!$C$2,$C18,CUBEMEMBER("BIDB",{"[Measures].[Ledighedsmulige]"}),D$3,$B18)</f>
        <v>717</v>
      </c>
      <c r="E18" s="30" vm="3552">
        <f>CUBEVALUE("BIDB",CUBEMEMBER("BIDB","[Betalingsstatus].[Betalende medlem]"),'Præsentationstabeller 1'!$C$2,$C18,CUBEMEMBER("BIDB",{"[Measures].[Fuldtidsledige]"}),D$3,$B18)</f>
        <v>5.88</v>
      </c>
      <c r="F18" s="26">
        <f t="shared" si="1"/>
        <v>0.82008368200836812</v>
      </c>
      <c r="G18" s="25" vm="2574">
        <f>CUBEVALUE("BIDB",CUBEMEMBER("BIDB","[Betalingsstatus].[Betalende medlem]"),'Præsentationstabeller 1'!$C$2,$C18,CUBEMEMBER("BIDB",{"[Measures].[Ledighedsmulige]"}),G$3,$B18)</f>
        <v>381</v>
      </c>
      <c r="H18" s="35" vm="2504">
        <f>CUBEVALUE("BIDB",CUBEMEMBER("BIDB","[Betalingsstatus].[Betalende medlem]"),'Præsentationstabeller 1'!$C$2,$C18,CUBEMEMBER("BIDB",{"[Measures].[Fuldtidsledige]"}),G$3,$B18)</f>
        <v>2</v>
      </c>
      <c r="I18" s="26">
        <f t="shared" si="2"/>
        <v>0.52493438320209973</v>
      </c>
      <c r="J18" s="25" vm="2235">
        <f>CUBEVALUE("BIDB",CUBEMEMBER("BIDB","[Betalingsstatus].[Betalende medlem]"),'Præsentationstabeller 1'!$C$2,$C18,CUBEMEMBER("BIDB",{"[Measures].[Ledighedsmulige]"}),J$3,$B18)</f>
        <v>709</v>
      </c>
      <c r="K18" s="35" vm="3088">
        <f>CUBEVALUE("BIDB",CUBEMEMBER("BIDB","[Betalingsstatus].[Betalende medlem]"),'Præsentationstabeller 1'!$C$2,$C18,CUBEMEMBER("BIDB",{"[Measures].[Fuldtidsledige]"}),J$3,$B18)</f>
        <v>2.44</v>
      </c>
      <c r="L18" s="26">
        <f t="shared" si="3"/>
        <v>0.34414668547249644</v>
      </c>
      <c r="M18" s="25" vm="3922">
        <f>CUBEVALUE("BIDB",CUBEMEMBER("BIDB","[Betalingsstatus].[Betalende medlem]"),'Præsentationstabeller 1'!$C$2,$C18,CUBEMEMBER("BIDB",{"[Measures].[Ledighedsmulige]"}),M$3,$B18)</f>
        <v>827</v>
      </c>
      <c r="N18" s="35" vm="6225">
        <f>CUBEVALUE("BIDB",CUBEMEMBER("BIDB","[Betalingsstatus].[Betalende medlem]"),'Præsentationstabeller 1'!$C$2,$C18,CUBEMEMBER("BIDB",{"[Measures].[Fuldtidsledige]"}),M$3,$B18)</f>
        <v>4.8</v>
      </c>
      <c r="O18" s="26">
        <f t="shared" si="4"/>
        <v>0.58041112454655375</v>
      </c>
      <c r="P18" s="25" vm="4711">
        <f>CUBEVALUE("BIDB",CUBEMEMBER("BIDB","[Betalingsstatus].[Betalende medlem]"),'Præsentationstabeller 1'!$C$2,$C18,CUBEMEMBER("BIDB",{"[Measures].[Ledighedsmulige]"}),P$3,$B18)</f>
        <v>109</v>
      </c>
      <c r="Q18" s="35" vm="2425">
        <f>CUBEVALUE("BIDB",CUBEMEMBER("BIDB","[Betalingsstatus].[Betalende medlem]"),'Præsentationstabeller 1'!$C$2,$C18,CUBEMEMBER("BIDB",{"[Measures].[Fuldtidsledige]"}),P$3,$B18)</f>
        <v>1.8</v>
      </c>
      <c r="R18" s="26">
        <f t="shared" si="5"/>
        <v>1.6513761467889909</v>
      </c>
    </row>
    <row r="19" spans="2:18" ht="15" x14ac:dyDescent="0.25">
      <c r="B19" s="50" t="str" vm="10">
        <f t="shared" si="6"/>
        <v>Teknikumingeniør</v>
      </c>
      <c r="C19" s="50" t="str" vm="35">
        <f>CUBEMEMBER("BIDB",{"[Uddannelsesretning].[IDA Gruppe].&amp;[Anlæg]"})</f>
        <v>Anlæg</v>
      </c>
      <c r="D19" s="51" vm="3960">
        <f>CUBEVALUE("BIDB",CUBEMEMBER("BIDB","[Betalingsstatus].[Betalende medlem]"),'Præsentationstabeller 1'!$C$2,$C19,CUBEMEMBER("BIDB",{"[Measures].[Ledighedsmulige]"}),D$3,$B19)</f>
        <v>45</v>
      </c>
      <c r="E19" s="52" t="str" vm="3829">
        <f>CUBEVALUE("BIDB",CUBEMEMBER("BIDB","[Betalingsstatus].[Betalende medlem]"),'Præsentationstabeller 1'!$C$2,$C19,CUBEMEMBER("BIDB",{"[Measures].[Fuldtidsledige]"}),D$3,$B19)</f>
        <v/>
      </c>
      <c r="F19" s="53">
        <f t="shared" si="1"/>
        <v>0</v>
      </c>
      <c r="G19" s="51" vm="3396">
        <f>CUBEVALUE("BIDB",CUBEMEMBER("BIDB","[Betalingsstatus].[Betalende medlem]"),'Præsentationstabeller 1'!$C$2,$C19,CUBEMEMBER("BIDB",{"[Measures].[Ledighedsmulige]"}),G$3,$B19)</f>
        <v>29</v>
      </c>
      <c r="H19" s="54" t="str" vm="3911">
        <f>CUBEVALUE("BIDB",CUBEMEMBER("BIDB","[Betalingsstatus].[Betalende medlem]"),'Præsentationstabeller 1'!$C$2,$C19,CUBEMEMBER("BIDB",{"[Measures].[Fuldtidsledige]"}),G$3,$B19)</f>
        <v/>
      </c>
      <c r="I19" s="53">
        <f t="shared" si="2"/>
        <v>0</v>
      </c>
      <c r="J19" s="51" vm="16783">
        <f>CUBEVALUE("BIDB",CUBEMEMBER("BIDB","[Betalingsstatus].[Betalende medlem]"),'Præsentationstabeller 1'!$C$2,$C19,CUBEMEMBER("BIDB",{"[Measures].[Ledighedsmulige]"}),J$3,$B19)</f>
        <v>83</v>
      </c>
      <c r="K19" s="54" vm="4116">
        <f>CUBEVALUE("BIDB",CUBEMEMBER("BIDB","[Betalingsstatus].[Betalende medlem]"),'Præsentationstabeller 1'!$C$2,$C19,CUBEMEMBER("BIDB",{"[Measures].[Fuldtidsledige]"}),J$3,$B19)</f>
        <v>1.72</v>
      </c>
      <c r="L19" s="53">
        <f t="shared" si="3"/>
        <v>2.072289156626506</v>
      </c>
      <c r="M19" s="51" vm="9429">
        <f>CUBEVALUE("BIDB",CUBEMEMBER("BIDB","[Betalingsstatus].[Betalende medlem]"),'Præsentationstabeller 1'!$C$2,$C19,CUBEMEMBER("BIDB",{"[Measures].[Ledighedsmulige]"}),M$3,$B19)</f>
        <v>74</v>
      </c>
      <c r="N19" s="54" vm="4069">
        <f>CUBEVALUE("BIDB",CUBEMEMBER("BIDB","[Betalingsstatus].[Betalende medlem]"),'Præsentationstabeller 1'!$C$2,$C19,CUBEMEMBER("BIDB",{"[Measures].[Fuldtidsledige]"}),M$3,$B19)</f>
        <v>1</v>
      </c>
      <c r="O19" s="53">
        <f t="shared" si="4"/>
        <v>1.3513513513513513</v>
      </c>
      <c r="P19" s="51" vm="4295">
        <f>CUBEVALUE("BIDB",CUBEMEMBER("BIDB","[Betalingsstatus].[Betalende medlem]"),'Præsentationstabeller 1'!$C$2,$C19,CUBEMEMBER("BIDB",{"[Measures].[Ledighedsmulige]"}),P$3,$B19)</f>
        <v>13</v>
      </c>
      <c r="Q19" s="54" t="str" vm="16771">
        <f>CUBEVALUE("BIDB",CUBEMEMBER("BIDB","[Betalingsstatus].[Betalende medlem]"),'Præsentationstabeller 1'!$C$2,$C19,CUBEMEMBER("BIDB",{"[Measures].[Fuldtidsledige]"}),P$3,$B19)</f>
        <v/>
      </c>
      <c r="R19" s="53">
        <f t="shared" si="5"/>
        <v>0</v>
      </c>
    </row>
    <row r="20" spans="2:18" ht="15" x14ac:dyDescent="0.25">
      <c r="B20" s="9" t="str" vm="10">
        <f t="shared" si="6"/>
        <v>Teknikumingeniør</v>
      </c>
      <c r="C20" s="9" t="str" vm="39">
        <f>CUBEMEMBER("BIDB",{"[Uddannelsesretning].[IDA Gruppe].&amp;[Kemi]"})</f>
        <v>Kemi</v>
      </c>
      <c r="D20" s="25" vm="4992">
        <f>CUBEVALUE("BIDB",CUBEMEMBER("BIDB","[Betalingsstatus].[Betalende medlem]"),'Præsentationstabeller 1'!$C$2,$C20,CUBEMEMBER("BIDB",{"[Measures].[Ledighedsmulige]"}),D$3,$B20)</f>
        <v>66</v>
      </c>
      <c r="E20" s="30" t="str" vm="3304">
        <f>CUBEVALUE("BIDB",CUBEMEMBER("BIDB","[Betalingsstatus].[Betalende medlem]"),'Præsentationstabeller 1'!$C$2,$C20,CUBEMEMBER("BIDB",{"[Measures].[Fuldtidsledige]"}),D$3,$B20)</f>
        <v/>
      </c>
      <c r="F20" s="26">
        <f t="shared" si="1"/>
        <v>0</v>
      </c>
      <c r="G20" s="25" vm="2698">
        <f>CUBEVALUE("BIDB",CUBEMEMBER("BIDB","[Betalingsstatus].[Betalende medlem]"),'Præsentationstabeller 1'!$C$2,$C20,CUBEMEMBER("BIDB",{"[Measures].[Ledighedsmulige]"}),G$3,$B20)</f>
        <v>49</v>
      </c>
      <c r="H20" s="35" t="str" vm="2829">
        <f>CUBEVALUE("BIDB",CUBEMEMBER("BIDB","[Betalingsstatus].[Betalende medlem]"),'Præsentationstabeller 1'!$C$2,$C20,CUBEMEMBER("BIDB",{"[Measures].[Fuldtidsledige]"}),G$3,$B20)</f>
        <v/>
      </c>
      <c r="I20" s="26">
        <f t="shared" si="2"/>
        <v>0</v>
      </c>
      <c r="J20" s="25" vm="3073">
        <f>CUBEVALUE("BIDB",CUBEMEMBER("BIDB","[Betalingsstatus].[Betalende medlem]"),'Præsentationstabeller 1'!$C$2,$C20,CUBEMEMBER("BIDB",{"[Measures].[Ledighedsmulige]"}),J$3,$B20)</f>
        <v>243</v>
      </c>
      <c r="K20" s="35" vm="3594">
        <f>CUBEVALUE("BIDB",CUBEMEMBER("BIDB","[Betalingsstatus].[Betalende medlem]"),'Præsentationstabeller 1'!$C$2,$C20,CUBEMEMBER("BIDB",{"[Measures].[Fuldtidsledige]"}),J$3,$B20)</f>
        <v>2.751891891891892</v>
      </c>
      <c r="L20" s="26">
        <f t="shared" si="3"/>
        <v>1.1324657991324658</v>
      </c>
      <c r="M20" s="25" vm="5292">
        <f>CUBEVALUE("BIDB",CUBEMEMBER("BIDB","[Betalingsstatus].[Betalende medlem]"),'Præsentationstabeller 1'!$C$2,$C20,CUBEMEMBER("BIDB",{"[Measures].[Ledighedsmulige]"}),M$3,$B20)</f>
        <v>149</v>
      </c>
      <c r="N20" s="35" vm="3011">
        <f>CUBEVALUE("BIDB",CUBEMEMBER("BIDB","[Betalingsstatus].[Betalende medlem]"),'Præsentationstabeller 1'!$C$2,$C20,CUBEMEMBER("BIDB",{"[Measures].[Fuldtidsledige]"}),M$3,$B20)</f>
        <v>1.8</v>
      </c>
      <c r="O20" s="26">
        <f t="shared" si="4"/>
        <v>1.2080536912751678</v>
      </c>
      <c r="P20" s="25" vm="3942">
        <f>CUBEVALUE("BIDB",CUBEMEMBER("BIDB","[Betalingsstatus].[Betalende medlem]"),'Præsentationstabeller 1'!$C$2,$C20,CUBEMEMBER("BIDB",{"[Measures].[Ledighedsmulige]"}),P$3,$B20)</f>
        <v>27</v>
      </c>
      <c r="Q20" s="35" t="str" vm="2490">
        <f>CUBEVALUE("BIDB",CUBEMEMBER("BIDB","[Betalingsstatus].[Betalende medlem]"),'Præsentationstabeller 1'!$C$2,$C20,CUBEMEMBER("BIDB",{"[Measures].[Fuldtidsledige]"}),P$3,$B20)</f>
        <v/>
      </c>
      <c r="R20" s="26">
        <f t="shared" si="5"/>
        <v>0</v>
      </c>
    </row>
    <row r="21" spans="2:18" ht="15" x14ac:dyDescent="0.25">
      <c r="B21" s="50" t="str" vm="10">
        <f t="shared" si="6"/>
        <v>Teknikumingeniør</v>
      </c>
      <c r="C21" s="50" t="str" vm="34">
        <f>CUBEMEMBER("BIDB",{"[Uddannelsesretning].[IDA Gruppe].&amp;[Teknisk ledelse]"})</f>
        <v>Teknisk ledelse</v>
      </c>
      <c r="D21" s="51" vm="3415">
        <f>CUBEVALUE("BIDB",CUBEMEMBER("BIDB","[Betalingsstatus].[Betalende medlem]"),'Præsentationstabeller 1'!$C$2,$C21,CUBEMEMBER("BIDB",{"[Measures].[Ledighedsmulige]"}),D$3,$B21)</f>
        <v>249</v>
      </c>
      <c r="E21" s="52" vm="2835">
        <f>CUBEVALUE("BIDB",CUBEMEMBER("BIDB","[Betalingsstatus].[Betalende medlem]"),'Præsentationstabeller 1'!$C$2,$C21,CUBEMEMBER("BIDB",{"[Measures].[Fuldtidsledige]"}),D$3,$B21)</f>
        <v>7.7200000000000006</v>
      </c>
      <c r="F21" s="53">
        <f t="shared" si="1"/>
        <v>3.1004016064257027</v>
      </c>
      <c r="G21" s="51" vm="3944">
        <f>CUBEVALUE("BIDB",CUBEMEMBER("BIDB","[Betalingsstatus].[Betalende medlem]"),'Præsentationstabeller 1'!$C$2,$C21,CUBEMEMBER("BIDB",{"[Measures].[Ledighedsmulige]"}),G$3,$B21)</f>
        <v>70</v>
      </c>
      <c r="H21" s="54" vm="3814">
        <f>CUBEVALUE("BIDB",CUBEMEMBER("BIDB","[Betalingsstatus].[Betalende medlem]"),'Præsentationstabeller 1'!$C$2,$C21,CUBEMEMBER("BIDB",{"[Measures].[Fuldtidsledige]"}),G$3,$B21)</f>
        <v>1</v>
      </c>
      <c r="I21" s="53">
        <f t="shared" si="2"/>
        <v>1.4285714285714286</v>
      </c>
      <c r="J21" s="51" vm="2828">
        <f>CUBEVALUE("BIDB",CUBEMEMBER("BIDB","[Betalingsstatus].[Betalende medlem]"),'Præsentationstabeller 1'!$C$2,$C21,CUBEMEMBER("BIDB",{"[Measures].[Ledighedsmulige]"}),J$3,$B21)</f>
        <v>66</v>
      </c>
      <c r="K21" s="54" vm="3936">
        <f>CUBEVALUE("BIDB",CUBEMEMBER("BIDB","[Betalingsstatus].[Betalende medlem]"),'Præsentationstabeller 1'!$C$2,$C21,CUBEMEMBER("BIDB",{"[Measures].[Fuldtidsledige]"}),J$3,$B21)</f>
        <v>0.8</v>
      </c>
      <c r="L21" s="53">
        <f t="shared" si="3"/>
        <v>1.2121212121212122</v>
      </c>
      <c r="M21" s="51" vm="1871">
        <f>CUBEVALUE("BIDB",CUBEMEMBER("BIDB","[Betalingsstatus].[Betalende medlem]"),'Præsentationstabeller 1'!$C$2,$C21,CUBEMEMBER("BIDB",{"[Measures].[Ledighedsmulige]"}),M$3,$B21)</f>
        <v>97</v>
      </c>
      <c r="N21" s="54" t="str" vm="3291">
        <f>CUBEVALUE("BIDB",CUBEMEMBER("BIDB","[Betalingsstatus].[Betalende medlem]"),'Præsentationstabeller 1'!$C$2,$C21,CUBEMEMBER("BIDB",{"[Measures].[Fuldtidsledige]"}),M$3,$B21)</f>
        <v/>
      </c>
      <c r="O21" s="53">
        <f t="shared" si="4"/>
        <v>0</v>
      </c>
      <c r="P21" s="51" vm="4081">
        <f>CUBEVALUE("BIDB",CUBEMEMBER("BIDB","[Betalingsstatus].[Betalende medlem]"),'Præsentationstabeller 1'!$C$2,$C21,CUBEMEMBER("BIDB",{"[Measures].[Ledighedsmulige]"}),P$3,$B21)</f>
        <v>9</v>
      </c>
      <c r="Q21" s="54" t="str" vm="4048">
        <f>CUBEVALUE("BIDB",CUBEMEMBER("BIDB","[Betalingsstatus].[Betalende medlem]"),'Præsentationstabeller 1'!$C$2,$C21,CUBEMEMBER("BIDB",{"[Measures].[Fuldtidsledige]"}),P$3,$B21)</f>
        <v/>
      </c>
      <c r="R21" s="53">
        <f t="shared" si="5"/>
        <v>0</v>
      </c>
    </row>
    <row r="22" spans="2:18" ht="15" x14ac:dyDescent="0.25">
      <c r="B22" s="9" t="str" vm="10">
        <f t="shared" si="6"/>
        <v>Teknikumingeniør</v>
      </c>
      <c r="C22" s="9" t="str" vm="38">
        <f>CUBEMEMBER("BIDB",{"[Uddannelsesretning].[IDA Gruppe].&amp;[Nye retninger]"})</f>
        <v>Nye retninger</v>
      </c>
      <c r="D22" s="25" t="str" vm="4732">
        <f>CUBEVALUE("BIDB",CUBEMEMBER("BIDB","[Betalingsstatus].[Betalende medlem]"),'Præsentationstabeller 1'!$C$2,$C22,CUBEMEMBER("BIDB",{"[Measures].[Ledighedsmulige]"}),D$3,$B22)</f>
        <v/>
      </c>
      <c r="E22" s="30" t="str" vm="3955">
        <f>CUBEVALUE("BIDB",CUBEMEMBER("BIDB","[Betalingsstatus].[Betalende medlem]"),'Præsentationstabeller 1'!$C$2,$C22,CUBEMEMBER("BIDB",{"[Measures].[Fuldtidsledige]"}),D$3,$B22)</f>
        <v/>
      </c>
      <c r="F22" s="26">
        <f t="shared" si="1"/>
        <v>0</v>
      </c>
      <c r="G22" s="25" t="str" vm="2120">
        <f>CUBEVALUE("BIDB",CUBEMEMBER("BIDB","[Betalingsstatus].[Betalende medlem]"),'Præsentationstabeller 1'!$C$2,$C22,CUBEMEMBER("BIDB",{"[Measures].[Ledighedsmulige]"}),G$3,$B22)</f>
        <v/>
      </c>
      <c r="H22" s="35" t="str" vm="2633">
        <f>CUBEVALUE("BIDB",CUBEMEMBER("BIDB","[Betalingsstatus].[Betalende medlem]"),'Præsentationstabeller 1'!$C$2,$C22,CUBEMEMBER("BIDB",{"[Measures].[Fuldtidsledige]"}),G$3,$B22)</f>
        <v/>
      </c>
      <c r="I22" s="26">
        <f t="shared" si="2"/>
        <v>0</v>
      </c>
      <c r="J22" s="25" t="str" vm="2982">
        <f>CUBEVALUE("BIDB",CUBEMEMBER("BIDB","[Betalingsstatus].[Betalende medlem]"),'Præsentationstabeller 1'!$C$2,$C22,CUBEMEMBER("BIDB",{"[Measures].[Ledighedsmulige]"}),J$3,$B22)</f>
        <v/>
      </c>
      <c r="K22" s="35" t="str" vm="3957">
        <f>CUBEVALUE("BIDB",CUBEMEMBER("BIDB","[Betalingsstatus].[Betalende medlem]"),'Præsentationstabeller 1'!$C$2,$C22,CUBEMEMBER("BIDB",{"[Measures].[Fuldtidsledige]"}),J$3,$B22)</f>
        <v/>
      </c>
      <c r="L22" s="26">
        <f t="shared" si="3"/>
        <v>0</v>
      </c>
      <c r="M22" s="25" t="str" vm="3673">
        <f>CUBEVALUE("BIDB",CUBEMEMBER("BIDB","[Betalingsstatus].[Betalende medlem]"),'Præsentationstabeller 1'!$C$2,$C22,CUBEMEMBER("BIDB",{"[Measures].[Ledighedsmulige]"}),M$3,$B22)</f>
        <v/>
      </c>
      <c r="N22" s="35" t="str" vm="3082">
        <f>CUBEVALUE("BIDB",CUBEMEMBER("BIDB","[Betalingsstatus].[Betalende medlem]"),'Præsentationstabeller 1'!$C$2,$C22,CUBEMEMBER("BIDB",{"[Measures].[Fuldtidsledige]"}),M$3,$B22)</f>
        <v/>
      </c>
      <c r="O22" s="26">
        <f t="shared" si="4"/>
        <v>0</v>
      </c>
      <c r="P22" s="25" t="str" vm="3555">
        <f>CUBEVALUE("BIDB",CUBEMEMBER("BIDB","[Betalingsstatus].[Betalende medlem]"),'Præsentationstabeller 1'!$C$2,$C22,CUBEMEMBER("BIDB",{"[Measures].[Ledighedsmulige]"}),P$3,$B22)</f>
        <v/>
      </c>
      <c r="Q22" s="35" t="str" vm="3384">
        <f>CUBEVALUE("BIDB",CUBEMEMBER("BIDB","[Betalingsstatus].[Betalende medlem]"),'Præsentationstabeller 1'!$C$2,$C22,CUBEMEMBER("BIDB",{"[Measures].[Fuldtidsledige]"}),P$3,$B22)</f>
        <v/>
      </c>
      <c r="R22" s="26">
        <f t="shared" si="5"/>
        <v>0</v>
      </c>
    </row>
    <row r="23" spans="2:18" ht="15" x14ac:dyDescent="0.25">
      <c r="B23" s="55" t="str" vm="10">
        <f t="shared" si="6"/>
        <v>Teknikumingeniør</v>
      </c>
      <c r="C23" s="55" t="str" vm="33">
        <f>CUBEMEMBER("BIDB",{"[Uddannelsesretning].[IDA Gruppe].&amp;[Øvrige retninger/uoplyste]"})</f>
        <v>Øvrige retninger/uoplyste</v>
      </c>
      <c r="D23" s="56" vm="3047">
        <f>CUBEVALUE("BIDB",CUBEMEMBER("BIDB","[Betalingsstatus].[Betalende medlem]"),'Præsentationstabeller 1'!$C$2,$C23,CUBEMEMBER("BIDB",{"[Measures].[Ledighedsmulige]"}),D$3,$B23)</f>
        <v>177</v>
      </c>
      <c r="E23" s="57" vm="3626">
        <f>CUBEVALUE("BIDB",CUBEMEMBER("BIDB","[Betalingsstatus].[Betalende medlem]"),'Præsentationstabeller 1'!$C$2,$C23,CUBEMEMBER("BIDB",{"[Measures].[Fuldtidsledige]"}),D$3,$B23)</f>
        <v>6.56</v>
      </c>
      <c r="F23" s="58">
        <f t="shared" si="1"/>
        <v>3.7062146892655363</v>
      </c>
      <c r="G23" s="56" vm="2998">
        <f>CUBEVALUE("BIDB",CUBEMEMBER("BIDB","[Betalingsstatus].[Betalende medlem]"),'Præsentationstabeller 1'!$C$2,$C23,CUBEMEMBER("BIDB",{"[Measures].[Ledighedsmulige]"}),G$3,$B23)</f>
        <v>47</v>
      </c>
      <c r="H23" s="59" t="str" vm="4661">
        <f>CUBEVALUE("BIDB",CUBEMEMBER("BIDB","[Betalingsstatus].[Betalende medlem]"),'Præsentationstabeller 1'!$C$2,$C23,CUBEMEMBER("BIDB",{"[Measures].[Fuldtidsledige]"}),G$3,$B23)</f>
        <v/>
      </c>
      <c r="I23" s="58">
        <f t="shared" si="2"/>
        <v>0</v>
      </c>
      <c r="J23" s="56" vm="2879">
        <f>CUBEVALUE("BIDB",CUBEMEMBER("BIDB","[Betalingsstatus].[Betalende medlem]"),'Præsentationstabeller 1'!$C$2,$C23,CUBEMEMBER("BIDB",{"[Measures].[Ledighedsmulige]"}),J$3,$B23)</f>
        <v>131</v>
      </c>
      <c r="K23" s="59" vm="2939">
        <f>CUBEVALUE("BIDB",CUBEMEMBER("BIDB","[Betalingsstatus].[Betalende medlem]"),'Præsentationstabeller 1'!$C$2,$C23,CUBEMEMBER("BIDB",{"[Measures].[Fuldtidsledige]"}),J$3,$B23)</f>
        <v>2.2399999999999998</v>
      </c>
      <c r="L23" s="58">
        <f t="shared" si="3"/>
        <v>1.7099236641221371</v>
      </c>
      <c r="M23" s="56" vm="2537">
        <f>CUBEVALUE("BIDB",CUBEMEMBER("BIDB","[Betalingsstatus].[Betalende medlem]"),'Præsentationstabeller 1'!$C$2,$C23,CUBEMEMBER("BIDB",{"[Measures].[Ledighedsmulige]"}),M$3,$B23)</f>
        <v>102</v>
      </c>
      <c r="N23" s="59" vm="2892">
        <f>CUBEVALUE("BIDB",CUBEMEMBER("BIDB","[Betalingsstatus].[Betalende medlem]"),'Præsentationstabeller 1'!$C$2,$C23,CUBEMEMBER("BIDB",{"[Measures].[Fuldtidsledige]"}),M$3,$B23)</f>
        <v>2</v>
      </c>
      <c r="O23" s="58">
        <f t="shared" si="4"/>
        <v>1.9607843137254901</v>
      </c>
      <c r="P23" s="56" vm="2709">
        <f>CUBEVALUE("BIDB",CUBEMEMBER("BIDB","[Betalingsstatus].[Betalende medlem]"),'Præsentationstabeller 1'!$C$2,$C23,CUBEMEMBER("BIDB",{"[Measures].[Ledighedsmulige]"}),P$3,$B23)</f>
        <v>29</v>
      </c>
      <c r="Q23" s="59" vm="3952">
        <f>CUBEVALUE("BIDB",CUBEMEMBER("BIDB","[Betalingsstatus].[Betalende medlem]"),'Præsentationstabeller 1'!$C$2,$C23,CUBEMEMBER("BIDB",{"[Measures].[Fuldtidsledige]"}),P$3,$B23)</f>
        <v>0.6</v>
      </c>
      <c r="R23" s="58">
        <f t="shared" si="5"/>
        <v>2.0689655172413794</v>
      </c>
    </row>
    <row r="24" spans="2:18" ht="15" x14ac:dyDescent="0.25">
      <c r="B24" s="14" t="str" vm="2">
        <f t="shared" ref="B24:B32" si="7">CUBEMEMBER("BIDB","[Uddannelse].[IDA Gruppe].&amp;[Diplomingeniør]")</f>
        <v>Diplomingeniør</v>
      </c>
      <c r="C24" s="14" t="str" vm="37">
        <f>CUBEMEMBER("BIDB",{"[Uddannelsesretning].[IDA Gruppe].&amp;[Maskin]"})</f>
        <v>Maskin</v>
      </c>
      <c r="D24" s="23" vm="5730">
        <f>CUBEVALUE("BIDB",CUBEMEMBER("BIDB","[Betalingsstatus].[Betalende medlem]"),'Præsentationstabeller 1'!$C$2,$C24,CUBEMEMBER("BIDB",{"[Measures].[Ledighedsmulige]"}),D$3,$B24)</f>
        <v>665</v>
      </c>
      <c r="E24" s="31" vm="3861">
        <f>CUBEVALUE("BIDB",CUBEMEMBER("BIDB","[Betalingsstatus].[Betalende medlem]"),'Præsentationstabeller 1'!$C$2,$C24,CUBEMEMBER("BIDB",{"[Measures].[Fuldtidsledige]"}),D$3,$B24)</f>
        <v>30.717297297297296</v>
      </c>
      <c r="F24" s="24">
        <f t="shared" si="1"/>
        <v>4.6191424507213981</v>
      </c>
      <c r="G24" s="23" vm="4668">
        <f>CUBEVALUE("BIDB",CUBEMEMBER("BIDB","[Betalingsstatus].[Betalende medlem]"),'Præsentationstabeller 1'!$C$2,$C24,CUBEMEMBER("BIDB",{"[Measures].[Ledighedsmulige]"}),G$3,$B24)</f>
        <v>229</v>
      </c>
      <c r="H24" s="36" vm="2562">
        <f>CUBEVALUE("BIDB",CUBEMEMBER("BIDB","[Betalingsstatus].[Betalende medlem]"),'Præsentationstabeller 1'!$C$2,$C24,CUBEMEMBER("BIDB",{"[Measures].[Fuldtidsledige]"}),G$3,$B24)</f>
        <v>0.6</v>
      </c>
      <c r="I24" s="24">
        <f t="shared" si="2"/>
        <v>0.26200873362445415</v>
      </c>
      <c r="J24" s="23" vm="2170">
        <f>CUBEVALUE("BIDB",CUBEMEMBER("BIDB","[Betalingsstatus].[Betalende medlem]"),'Præsentationstabeller 1'!$C$2,$C24,CUBEMEMBER("BIDB",{"[Measures].[Ledighedsmulige]"}),J$3,$B24)</f>
        <v>613</v>
      </c>
      <c r="K24" s="36" vm="3916">
        <f>CUBEVALUE("BIDB",CUBEMEMBER("BIDB","[Betalingsstatus].[Betalende medlem]"),'Præsentationstabeller 1'!$C$2,$C24,CUBEMEMBER("BIDB",{"[Measures].[Fuldtidsledige]"}),J$3,$B24)</f>
        <v>8.6364864864864863</v>
      </c>
      <c r="L24" s="24">
        <f t="shared" si="3"/>
        <v>1.408888496979851</v>
      </c>
      <c r="M24" s="23" vm="5326">
        <f>CUBEVALUE("BIDB",CUBEMEMBER("BIDB","[Betalingsstatus].[Betalende medlem]"),'Præsentationstabeller 1'!$C$2,$C24,CUBEMEMBER("BIDB",{"[Measures].[Ledighedsmulige]"}),M$3,$B24)</f>
        <v>791</v>
      </c>
      <c r="N24" s="36" vm="2663">
        <f>CUBEVALUE("BIDB",CUBEMEMBER("BIDB","[Betalingsstatus].[Betalende medlem]"),'Præsentationstabeller 1'!$C$2,$C24,CUBEMEMBER("BIDB",{"[Measures].[Fuldtidsledige]"}),M$3,$B24)</f>
        <v>20.774864864864863</v>
      </c>
      <c r="O24" s="24">
        <f t="shared" si="4"/>
        <v>2.6264051662281749</v>
      </c>
      <c r="P24" s="23" vm="3700">
        <f>CUBEVALUE("BIDB",CUBEMEMBER("BIDB","[Betalingsstatus].[Betalende medlem]"),'Præsentationstabeller 1'!$C$2,$C24,CUBEMEMBER("BIDB",{"[Measures].[Ledighedsmulige]"}),P$3,$B24)</f>
        <v>90</v>
      </c>
      <c r="Q24" s="36" vm="2993">
        <f>CUBEVALUE("BIDB",CUBEMEMBER("BIDB","[Betalingsstatus].[Betalende medlem]"),'Præsentationstabeller 1'!$C$2,$C24,CUBEMEMBER("BIDB",{"[Measures].[Fuldtidsledige]"}),P$3,$B24)</f>
        <v>5.1891891891891889E-2</v>
      </c>
      <c r="R24" s="24">
        <f t="shared" si="5"/>
        <v>5.7657657657657652E-2</v>
      </c>
    </row>
    <row r="25" spans="2:18" ht="15" x14ac:dyDescent="0.25">
      <c r="B25" s="50" t="str" vm="2">
        <f t="shared" si="7"/>
        <v>Diplomingeniør</v>
      </c>
      <c r="C25" s="50" t="str" vm="41">
        <f>CUBEMEMBER("BIDB",{"[Uddannelsesretning].[IDA Gruppe].&amp;[Produktion]"})</f>
        <v>Produktion</v>
      </c>
      <c r="D25" s="51" vm="4950">
        <f>CUBEVALUE("BIDB",CUBEMEMBER("BIDB","[Betalingsstatus].[Betalende medlem]"),'Præsentationstabeller 1'!$C$2,$C25,CUBEMEMBER("BIDB",{"[Measures].[Ledighedsmulige]"}),D$3,$B25)</f>
        <v>390</v>
      </c>
      <c r="E25" s="52" vm="3171">
        <f>CUBEVALUE("BIDB",CUBEMEMBER("BIDB","[Betalingsstatus].[Betalende medlem]"),'Præsentationstabeller 1'!$C$2,$C25,CUBEMEMBER("BIDB",{"[Measures].[Fuldtidsledige]"}),D$3,$B25)</f>
        <v>6.509189189189188</v>
      </c>
      <c r="F25" s="53">
        <f t="shared" si="1"/>
        <v>1.6690228690228688</v>
      </c>
      <c r="G25" s="51" vm="2630">
        <f>CUBEVALUE("BIDB",CUBEMEMBER("BIDB","[Betalingsstatus].[Betalende medlem]"),'Præsentationstabeller 1'!$C$2,$C25,CUBEMEMBER("BIDB",{"[Measures].[Ledighedsmulige]"}),G$3,$B25)</f>
        <v>97</v>
      </c>
      <c r="H25" s="54" vm="2116">
        <f>CUBEVALUE("BIDB",CUBEMEMBER("BIDB","[Betalingsstatus].[Betalende medlem]"),'Præsentationstabeller 1'!$C$2,$C25,CUBEMEMBER("BIDB",{"[Measures].[Fuldtidsledige]"}),G$3,$B25)</f>
        <v>1.2</v>
      </c>
      <c r="I25" s="53">
        <f t="shared" si="2"/>
        <v>1.2371134020618557</v>
      </c>
      <c r="J25" s="51" vm="2313">
        <f>CUBEVALUE("BIDB",CUBEMEMBER("BIDB","[Betalingsstatus].[Betalende medlem]"),'Præsentationstabeller 1'!$C$2,$C25,CUBEMEMBER("BIDB",{"[Measures].[Ledighedsmulige]"}),J$3,$B25)</f>
        <v>334</v>
      </c>
      <c r="K25" s="54" vm="3094">
        <f>CUBEVALUE("BIDB",CUBEMEMBER("BIDB","[Betalingsstatus].[Betalende medlem]"),'Præsentationstabeller 1'!$C$2,$C25,CUBEMEMBER("BIDB",{"[Measures].[Fuldtidsledige]"}),J$3,$B25)</f>
        <v>4.8783783783783781</v>
      </c>
      <c r="L25" s="53">
        <f t="shared" si="3"/>
        <v>1.4605923288558018</v>
      </c>
      <c r="M25" s="51" vm="2755">
        <f>CUBEVALUE("BIDB",CUBEMEMBER("BIDB","[Betalingsstatus].[Betalende medlem]"),'Præsentationstabeller 1'!$C$2,$C25,CUBEMEMBER("BIDB",{"[Measures].[Ledighedsmulige]"}),M$3,$B25)</f>
        <v>218</v>
      </c>
      <c r="N25" s="54" vm="2805">
        <f>CUBEVALUE("BIDB",CUBEMEMBER("BIDB","[Betalingsstatus].[Betalende medlem]"),'Præsentationstabeller 1'!$C$2,$C25,CUBEMEMBER("BIDB",{"[Measures].[Fuldtidsledige]"}),M$3,$B25)</f>
        <v>5.4902702702702708</v>
      </c>
      <c r="O25" s="53">
        <f t="shared" si="4"/>
        <v>2.5184726010414087</v>
      </c>
      <c r="P25" s="51" vm="3372">
        <f>CUBEVALUE("BIDB",CUBEMEMBER("BIDB","[Betalingsstatus].[Betalende medlem]"),'Præsentationstabeller 1'!$C$2,$C25,CUBEMEMBER("BIDB",{"[Measures].[Ledighedsmulige]"}),P$3,$B25)</f>
        <v>21</v>
      </c>
      <c r="Q25" s="54" vm="3875">
        <f>CUBEVALUE("BIDB",CUBEMEMBER("BIDB","[Betalingsstatus].[Betalende medlem]"),'Præsentationstabeller 1'!$C$2,$C25,CUBEMEMBER("BIDB",{"[Measures].[Fuldtidsledige]"}),P$3,$B25)</f>
        <v>1</v>
      </c>
      <c r="R25" s="53">
        <f t="shared" si="5"/>
        <v>4.7619047619047619</v>
      </c>
    </row>
    <row r="26" spans="2:18" ht="15" x14ac:dyDescent="0.25">
      <c r="B26" s="9" t="str" vm="2">
        <f t="shared" si="7"/>
        <v>Diplomingeniør</v>
      </c>
      <c r="C26" s="9" t="str" vm="36">
        <f>CUBEMEMBER("BIDB",{"[Uddannelsesretning].[IDA Gruppe].&amp;[Elektronik-IT]"})</f>
        <v>Elektronik-IT</v>
      </c>
      <c r="D26" s="25" vm="5844">
        <f>CUBEVALUE("BIDB",CUBEMEMBER("BIDB","[Betalingsstatus].[Betalende medlem]"),'Præsentationstabeller 1'!$C$2,$C26,CUBEMEMBER("BIDB",{"[Measures].[Ledighedsmulige]"}),D$3,$B26)</f>
        <v>1574</v>
      </c>
      <c r="E26" s="30" vm="2791">
        <f>CUBEVALUE("BIDB",CUBEMEMBER("BIDB","[Betalingsstatus].[Betalende medlem]"),'Præsentationstabeller 1'!$C$2,$C26,CUBEMEMBER("BIDB",{"[Measures].[Fuldtidsledige]"}),D$3,$B26)</f>
        <v>36.302162162162162</v>
      </c>
      <c r="F26" s="26">
        <f t="shared" si="1"/>
        <v>2.3063635427040765</v>
      </c>
      <c r="G26" s="25" vm="1992">
        <f>CUBEVALUE("BIDB",CUBEMEMBER("BIDB","[Betalingsstatus].[Betalende medlem]"),'Præsentationstabeller 1'!$C$2,$C26,CUBEMEMBER("BIDB",{"[Measures].[Ledighedsmulige]"}),G$3,$B26)</f>
        <v>364</v>
      </c>
      <c r="H26" s="35" vm="2381">
        <f>CUBEVALUE("BIDB",CUBEMEMBER("BIDB","[Betalingsstatus].[Betalende medlem]"),'Præsentationstabeller 1'!$C$2,$C26,CUBEMEMBER("BIDB",{"[Measures].[Fuldtidsledige]"}),G$3,$B26)</f>
        <v>6.32</v>
      </c>
      <c r="I26" s="26">
        <f t="shared" si="2"/>
        <v>1.7362637362637365</v>
      </c>
      <c r="J26" s="25" vm="2113">
        <f>CUBEVALUE("BIDB",CUBEMEMBER("BIDB","[Betalingsstatus].[Betalende medlem]"),'Præsentationstabeller 1'!$C$2,$C26,CUBEMEMBER("BIDB",{"[Measures].[Ledighedsmulige]"}),J$3,$B26)</f>
        <v>834</v>
      </c>
      <c r="K26" s="35" vm="2793">
        <f>CUBEVALUE("BIDB",CUBEMEMBER("BIDB","[Betalingsstatus].[Betalende medlem]"),'Præsentationstabeller 1'!$C$2,$C26,CUBEMEMBER("BIDB",{"[Measures].[Fuldtidsledige]"}),J$3,$B26)</f>
        <v>11.712702702702702</v>
      </c>
      <c r="L26" s="26">
        <f t="shared" si="3"/>
        <v>1.4044008036813791</v>
      </c>
      <c r="M26" s="25" vm="3008">
        <f>CUBEVALUE("BIDB",CUBEMEMBER("BIDB","[Betalingsstatus].[Betalende medlem]"),'Præsentationstabeller 1'!$C$2,$C26,CUBEMEMBER("BIDB",{"[Measures].[Ledighedsmulige]"}),M$3,$B26)</f>
        <v>1223</v>
      </c>
      <c r="N26" s="35" vm="3390">
        <f>CUBEVALUE("BIDB",CUBEMEMBER("BIDB","[Betalingsstatus].[Betalende medlem]"),'Præsentationstabeller 1'!$C$2,$C26,CUBEMEMBER("BIDB",{"[Measures].[Fuldtidsledige]"}),M$3,$B26)</f>
        <v>26.107297297297301</v>
      </c>
      <c r="O26" s="26">
        <f t="shared" si="4"/>
        <v>2.134693155952355</v>
      </c>
      <c r="P26" s="25" vm="2640">
        <f>CUBEVALUE("BIDB",CUBEMEMBER("BIDB","[Betalingsstatus].[Betalende medlem]"),'Præsentationstabeller 1'!$C$2,$C26,CUBEMEMBER("BIDB",{"[Measures].[Ledighedsmulige]"}),P$3,$B26)</f>
        <v>163</v>
      </c>
      <c r="Q26" s="35" vm="2303">
        <f>CUBEVALUE("BIDB",CUBEMEMBER("BIDB","[Betalingsstatus].[Betalende medlem]"),'Præsentationstabeller 1'!$C$2,$C26,CUBEMEMBER("BIDB",{"[Measures].[Fuldtidsledige]"}),P$3,$B26)</f>
        <v>9.36</v>
      </c>
      <c r="R26" s="26">
        <f t="shared" si="5"/>
        <v>5.742331288343558</v>
      </c>
    </row>
    <row r="27" spans="2:18" ht="15" x14ac:dyDescent="0.25">
      <c r="B27" s="50" t="str" vm="2">
        <f t="shared" si="7"/>
        <v>Diplomingeniør</v>
      </c>
      <c r="C27" s="50" t="str" vm="40">
        <f>CUBEMEMBER("BIDB",{"[Uddannelsesretning].[IDA Gruppe].&amp;[Bygning]"})</f>
        <v>Bygning</v>
      </c>
      <c r="D27" s="51" vm="4439">
        <f>CUBEVALUE("BIDB",CUBEMEMBER("BIDB","[Betalingsstatus].[Betalende medlem]"),'Præsentationstabeller 1'!$C$2,$C27,CUBEMEMBER("BIDB",{"[Measures].[Ledighedsmulige]"}),D$3,$B27)</f>
        <v>1205</v>
      </c>
      <c r="E27" s="52" vm="5057">
        <f>CUBEVALUE("BIDB",CUBEMEMBER("BIDB","[Betalingsstatus].[Betalende medlem]"),'Præsentationstabeller 1'!$C$2,$C27,CUBEMEMBER("BIDB",{"[Measures].[Fuldtidsledige]"}),D$3,$B27)</f>
        <v>20.442810810810808</v>
      </c>
      <c r="F27" s="53">
        <f t="shared" si="1"/>
        <v>1.6964988224739259</v>
      </c>
      <c r="G27" s="51" vm="2987">
        <f>CUBEVALUE("BIDB",CUBEMEMBER("BIDB","[Betalingsstatus].[Betalende medlem]"),'Præsentationstabeller 1'!$C$2,$C27,CUBEMEMBER("BIDB",{"[Measures].[Ledighedsmulige]"}),G$3,$B27)</f>
        <v>366</v>
      </c>
      <c r="H27" s="54" vm="2655">
        <f>CUBEVALUE("BIDB",CUBEMEMBER("BIDB","[Betalingsstatus].[Betalende medlem]"),'Præsentationstabeller 1'!$C$2,$C27,CUBEMEMBER("BIDB",{"[Measures].[Fuldtidsledige]"}),G$3,$B27)</f>
        <v>2.8</v>
      </c>
      <c r="I27" s="53">
        <f t="shared" si="2"/>
        <v>0.76502732240437155</v>
      </c>
      <c r="J27" s="51" vm="2134">
        <f>CUBEVALUE("BIDB",CUBEMEMBER("BIDB","[Betalingsstatus].[Betalende medlem]"),'Præsentationstabeller 1'!$C$2,$C27,CUBEMEMBER("BIDB",{"[Measures].[Ledighedsmulige]"}),J$3,$B27)</f>
        <v>685</v>
      </c>
      <c r="K27" s="54" vm="5697">
        <f>CUBEVALUE("BIDB",CUBEMEMBER("BIDB","[Betalingsstatus].[Betalende medlem]"),'Præsentationstabeller 1'!$C$2,$C27,CUBEMEMBER("BIDB",{"[Measures].[Fuldtidsledige]"}),J$3,$B27)</f>
        <v>13.920000000000002</v>
      </c>
      <c r="L27" s="53">
        <f t="shared" si="3"/>
        <v>2.0321167883211682</v>
      </c>
      <c r="M27" s="51" vm="4681">
        <f>CUBEVALUE("BIDB",CUBEMEMBER("BIDB","[Betalingsstatus].[Betalende medlem]"),'Præsentationstabeller 1'!$C$2,$C27,CUBEMEMBER("BIDB",{"[Measures].[Ledighedsmulige]"}),M$3,$B27)</f>
        <v>1143</v>
      </c>
      <c r="N27" s="54" vm="4434">
        <f>CUBEVALUE("BIDB",CUBEMEMBER("BIDB","[Betalingsstatus].[Betalende medlem]"),'Præsentationstabeller 1'!$C$2,$C27,CUBEMEMBER("BIDB",{"[Measures].[Fuldtidsledige]"}),M$3,$B27)</f>
        <v>27.659459459459459</v>
      </c>
      <c r="O27" s="53">
        <f t="shared" si="4"/>
        <v>2.4199002151758058</v>
      </c>
      <c r="P27" s="51" vm="2493">
        <f>CUBEVALUE("BIDB",CUBEMEMBER("BIDB","[Betalingsstatus].[Betalende medlem]"),'Præsentationstabeller 1'!$C$2,$C27,CUBEMEMBER("BIDB",{"[Measures].[Ledighedsmulige]"}),P$3,$B27)</f>
        <v>138</v>
      </c>
      <c r="Q27" s="54" vm="2639">
        <f>CUBEVALUE("BIDB",CUBEMEMBER("BIDB","[Betalingsstatus].[Betalende medlem]"),'Præsentationstabeller 1'!$C$2,$C27,CUBEMEMBER("BIDB",{"[Measures].[Fuldtidsledige]"}),P$3,$B27)</f>
        <v>4.5200000000000005</v>
      </c>
      <c r="R27" s="53">
        <f t="shared" si="5"/>
        <v>3.27536231884058</v>
      </c>
    </row>
    <row r="28" spans="2:18" ht="15" x14ac:dyDescent="0.25">
      <c r="B28" s="9" t="str" vm="2">
        <f t="shared" si="7"/>
        <v>Diplomingeniør</v>
      </c>
      <c r="C28" s="9" t="str" vm="35">
        <f>CUBEMEMBER("BIDB",{"[Uddannelsesretning].[IDA Gruppe].&amp;[Anlæg]"})</f>
        <v>Anlæg</v>
      </c>
      <c r="D28" s="25" vm="3490">
        <f>CUBEVALUE("BIDB",CUBEMEMBER("BIDB","[Betalingsstatus].[Betalende medlem]"),'Præsentationstabeller 1'!$C$2,$C28,CUBEMEMBER("BIDB",{"[Measures].[Ledighedsmulige]"}),D$3,$B28)</f>
        <v>38</v>
      </c>
      <c r="E28" s="30" vm="3156">
        <f>CUBEVALUE("BIDB",CUBEMEMBER("BIDB","[Betalingsstatus].[Betalende medlem]"),'Præsentationstabeller 1'!$C$2,$C28,CUBEMEMBER("BIDB",{"[Measures].[Fuldtidsledige]"}),D$3,$B28)</f>
        <v>1.24</v>
      </c>
      <c r="F28" s="26">
        <f t="shared" si="1"/>
        <v>3.263157894736842</v>
      </c>
      <c r="G28" s="25" vm="3136">
        <f>CUBEVALUE("BIDB",CUBEMEMBER("BIDB","[Betalingsstatus].[Betalende medlem]"),'Præsentationstabeller 1'!$C$2,$C28,CUBEMEMBER("BIDB",{"[Measures].[Ledighedsmulige]"}),G$3,$B28)</f>
        <v>6</v>
      </c>
      <c r="H28" s="35" t="str" vm="2910">
        <f>CUBEVALUE("BIDB",CUBEMEMBER("BIDB","[Betalingsstatus].[Betalende medlem]"),'Præsentationstabeller 1'!$C$2,$C28,CUBEMEMBER("BIDB",{"[Measures].[Fuldtidsledige]"}),G$3,$B28)</f>
        <v/>
      </c>
      <c r="I28" s="26">
        <f t="shared" si="2"/>
        <v>0</v>
      </c>
      <c r="J28" s="25" vm="2654">
        <f>CUBEVALUE("BIDB",CUBEMEMBER("BIDB","[Betalingsstatus].[Betalende medlem]"),'Præsentationstabeller 1'!$C$2,$C28,CUBEMEMBER("BIDB",{"[Measures].[Ledighedsmulige]"}),J$3,$B28)</f>
        <v>29</v>
      </c>
      <c r="K28" s="35" t="str" vm="4949">
        <f>CUBEVALUE("BIDB",CUBEMEMBER("BIDB","[Betalingsstatus].[Betalende medlem]"),'Præsentationstabeller 1'!$C$2,$C28,CUBEMEMBER("BIDB",{"[Measures].[Fuldtidsledige]"}),J$3,$B28)</f>
        <v/>
      </c>
      <c r="L28" s="26">
        <f t="shared" si="3"/>
        <v>0</v>
      </c>
      <c r="M28" s="25" vm="2480">
        <f>CUBEVALUE("BIDB",CUBEMEMBER("BIDB","[Betalingsstatus].[Betalende medlem]"),'Præsentationstabeller 1'!$C$2,$C28,CUBEMEMBER("BIDB",{"[Measures].[Ledighedsmulige]"}),M$3,$B28)</f>
        <v>73</v>
      </c>
      <c r="N28" s="35" t="str" vm="2886">
        <f>CUBEVALUE("BIDB",CUBEMEMBER("BIDB","[Betalingsstatus].[Betalende medlem]"),'Præsentationstabeller 1'!$C$2,$C28,CUBEMEMBER("BIDB",{"[Measures].[Fuldtidsledige]"}),M$3,$B28)</f>
        <v/>
      </c>
      <c r="O28" s="26">
        <f t="shared" si="4"/>
        <v>0</v>
      </c>
      <c r="P28" s="25" vm="4113">
        <f>CUBEVALUE("BIDB",CUBEMEMBER("BIDB","[Betalingsstatus].[Betalende medlem]"),'Præsentationstabeller 1'!$C$2,$C28,CUBEMEMBER("BIDB",{"[Measures].[Ledighedsmulige]"}),P$3,$B28)</f>
        <v>18</v>
      </c>
      <c r="Q28" s="35" t="str" vm="2367">
        <f>CUBEVALUE("BIDB",CUBEMEMBER("BIDB","[Betalingsstatus].[Betalende medlem]"),'Præsentationstabeller 1'!$C$2,$C28,CUBEMEMBER("BIDB",{"[Measures].[Fuldtidsledige]"}),P$3,$B28)</f>
        <v/>
      </c>
      <c r="R28" s="26">
        <f t="shared" si="5"/>
        <v>0</v>
      </c>
    </row>
    <row r="29" spans="2:18" ht="15" x14ac:dyDescent="0.25">
      <c r="B29" s="50" t="str" vm="2">
        <f t="shared" si="7"/>
        <v>Diplomingeniør</v>
      </c>
      <c r="C29" s="50" t="str" vm="39">
        <f>CUBEMEMBER("BIDB",{"[Uddannelsesretning].[IDA Gruppe].&amp;[Kemi]"})</f>
        <v>Kemi</v>
      </c>
      <c r="D29" s="51" vm="6070">
        <f>CUBEVALUE("BIDB",CUBEMEMBER("BIDB","[Betalingsstatus].[Betalende medlem]"),'Præsentationstabeller 1'!$C$2,$C29,CUBEMEMBER("BIDB",{"[Measures].[Ledighedsmulige]"}),D$3,$B29)</f>
        <v>272</v>
      </c>
      <c r="E29" s="52" vm="3142">
        <f>CUBEVALUE("BIDB",CUBEMEMBER("BIDB","[Betalingsstatus].[Betalende medlem]"),'Præsentationstabeller 1'!$C$2,$C29,CUBEMEMBER("BIDB",{"[Measures].[Fuldtidsledige]"}),D$3,$B29)</f>
        <v>7.9805405405405407</v>
      </c>
      <c r="F29" s="53">
        <f t="shared" si="1"/>
        <v>2.9340222575516695</v>
      </c>
      <c r="G29" s="51" vm="4056">
        <f>CUBEVALUE("BIDB",CUBEMEMBER("BIDB","[Betalingsstatus].[Betalende medlem]"),'Præsentationstabeller 1'!$C$2,$C29,CUBEMEMBER("BIDB",{"[Measures].[Ledighedsmulige]"}),G$3,$B29)</f>
        <v>125</v>
      </c>
      <c r="H29" s="54" vm="2861">
        <f>CUBEVALUE("BIDB",CUBEMEMBER("BIDB","[Betalingsstatus].[Betalende medlem]"),'Præsentationstabeller 1'!$C$2,$C29,CUBEMEMBER("BIDB",{"[Measures].[Fuldtidsledige]"}),G$3,$B29)</f>
        <v>1</v>
      </c>
      <c r="I29" s="53">
        <f t="shared" si="2"/>
        <v>0.8</v>
      </c>
      <c r="J29" s="51" vm="3034">
        <f>CUBEVALUE("BIDB",CUBEMEMBER("BIDB","[Betalingsstatus].[Betalende medlem]"),'Præsentationstabeller 1'!$C$2,$C29,CUBEMEMBER("BIDB",{"[Measures].[Ledighedsmulige]"}),J$3,$B29)</f>
        <v>215</v>
      </c>
      <c r="K29" s="54" vm="4191">
        <f>CUBEVALUE("BIDB",CUBEMEMBER("BIDB","[Betalingsstatus].[Betalende medlem]"),'Præsentationstabeller 1'!$C$2,$C29,CUBEMEMBER("BIDB",{"[Measures].[Fuldtidsledige]"}),J$3,$B29)</f>
        <v>8.1243243243243235</v>
      </c>
      <c r="L29" s="53">
        <f t="shared" si="3"/>
        <v>3.7787554996857322</v>
      </c>
      <c r="M29" s="51" vm="4927">
        <f>CUBEVALUE("BIDB",CUBEMEMBER("BIDB","[Betalingsstatus].[Betalende medlem]"),'Præsentationstabeller 1'!$C$2,$C29,CUBEMEMBER("BIDB",{"[Measures].[Ledighedsmulige]"}),M$3,$B29)</f>
        <v>87</v>
      </c>
      <c r="N29" s="54" vm="3715">
        <f>CUBEVALUE("BIDB",CUBEMEMBER("BIDB","[Betalingsstatus].[Betalende medlem]"),'Præsentationstabeller 1'!$C$2,$C29,CUBEMEMBER("BIDB",{"[Measures].[Fuldtidsledige]"}),M$3,$B29)</f>
        <v>1.3027027027027027</v>
      </c>
      <c r="O29" s="53">
        <f t="shared" si="4"/>
        <v>1.4973594283939111</v>
      </c>
      <c r="P29" s="51" vm="4419">
        <f>CUBEVALUE("BIDB",CUBEMEMBER("BIDB","[Betalingsstatus].[Betalende medlem]"),'Præsentationstabeller 1'!$C$2,$C29,CUBEMEMBER("BIDB",{"[Measures].[Ledighedsmulige]"}),P$3,$B29)</f>
        <v>10</v>
      </c>
      <c r="Q29" s="54" t="str" vm="3860">
        <f>CUBEVALUE("BIDB",CUBEMEMBER("BIDB","[Betalingsstatus].[Betalende medlem]"),'Præsentationstabeller 1'!$C$2,$C29,CUBEMEMBER("BIDB",{"[Measures].[Fuldtidsledige]"}),P$3,$B29)</f>
        <v/>
      </c>
      <c r="R29" s="53">
        <f t="shared" si="5"/>
        <v>0</v>
      </c>
    </row>
    <row r="30" spans="2:18" ht="15" x14ac:dyDescent="0.25">
      <c r="B30" s="9" t="str" vm="2">
        <f t="shared" si="7"/>
        <v>Diplomingeniør</v>
      </c>
      <c r="C30" s="9" t="str" vm="34">
        <f>CUBEMEMBER("BIDB",{"[Uddannelsesretning].[IDA Gruppe].&amp;[Teknisk ledelse]"})</f>
        <v>Teknisk ledelse</v>
      </c>
      <c r="D30" s="25" vm="3231">
        <f>CUBEVALUE("BIDB",CUBEMEMBER("BIDB","[Betalingsstatus].[Betalende medlem]"),'Præsentationstabeller 1'!$C$2,$C30,CUBEMEMBER("BIDB",{"[Measures].[Ledighedsmulige]"}),D$3,$B30)</f>
        <v>338</v>
      </c>
      <c r="E30" s="30" vm="4797">
        <f>CUBEVALUE("BIDB",CUBEMEMBER("BIDB","[Betalingsstatus].[Betalende medlem]"),'Præsentationstabeller 1'!$C$2,$C30,CUBEMEMBER("BIDB",{"[Measures].[Fuldtidsledige]"}),D$3,$B30)</f>
        <v>18.861081081081082</v>
      </c>
      <c r="F30" s="26">
        <f t="shared" si="1"/>
        <v>5.5802015032784267</v>
      </c>
      <c r="G30" s="25" vm="4673">
        <f>CUBEVALUE("BIDB",CUBEMEMBER("BIDB","[Betalingsstatus].[Betalende medlem]"),'Præsentationstabeller 1'!$C$2,$C30,CUBEMEMBER("BIDB",{"[Measures].[Ledighedsmulige]"}),G$3,$B30)</f>
        <v>66</v>
      </c>
      <c r="H30" s="35" vm="3007">
        <f>CUBEVALUE("BIDB",CUBEMEMBER("BIDB","[Betalingsstatus].[Betalende medlem]"),'Præsentationstabeller 1'!$C$2,$C30,CUBEMEMBER("BIDB",{"[Measures].[Fuldtidsledige]"}),G$3,$B30)</f>
        <v>1</v>
      </c>
      <c r="I30" s="26">
        <f t="shared" si="2"/>
        <v>1.5151515151515151</v>
      </c>
      <c r="J30" s="25" vm="2857">
        <f>CUBEVALUE("BIDB",CUBEMEMBER("BIDB","[Betalingsstatus].[Betalende medlem]"),'Præsentationstabeller 1'!$C$2,$C30,CUBEMEMBER("BIDB",{"[Measures].[Ledighedsmulige]"}),J$3,$B30)</f>
        <v>36</v>
      </c>
      <c r="K30" s="35" t="str" vm="4436">
        <f>CUBEVALUE("BIDB",CUBEMEMBER("BIDB","[Betalingsstatus].[Betalende medlem]"),'Præsentationstabeller 1'!$C$2,$C30,CUBEMEMBER("BIDB",{"[Measures].[Fuldtidsledige]"}),J$3,$B30)</f>
        <v/>
      </c>
      <c r="L30" s="26">
        <f t="shared" si="3"/>
        <v>0</v>
      </c>
      <c r="M30" s="25" vm="4098">
        <f>CUBEVALUE("BIDB",CUBEMEMBER("BIDB","[Betalingsstatus].[Betalende medlem]"),'Præsentationstabeller 1'!$C$2,$C30,CUBEMEMBER("BIDB",{"[Measures].[Ledighedsmulige]"}),M$3,$B30)</f>
        <v>52</v>
      </c>
      <c r="N30" s="35" vm="3299">
        <f>CUBEVALUE("BIDB",CUBEMEMBER("BIDB","[Betalingsstatus].[Betalende medlem]"),'Præsentationstabeller 1'!$C$2,$C30,CUBEMEMBER("BIDB",{"[Measures].[Fuldtidsledige]"}),M$3,$B30)</f>
        <v>4.92</v>
      </c>
      <c r="O30" s="26">
        <f t="shared" si="4"/>
        <v>9.4615384615384617</v>
      </c>
      <c r="P30" s="25" vm="3421">
        <f>CUBEVALUE("BIDB",CUBEMEMBER("BIDB","[Betalingsstatus].[Betalende medlem]"),'Præsentationstabeller 1'!$C$2,$C30,CUBEMEMBER("BIDB",{"[Measures].[Ledighedsmulige]"}),P$3,$B30)</f>
        <v>16</v>
      </c>
      <c r="Q30" s="35" vm="4170">
        <f>CUBEVALUE("BIDB",CUBEMEMBER("BIDB","[Betalingsstatus].[Betalende medlem]"),'Præsentationstabeller 1'!$C$2,$C30,CUBEMEMBER("BIDB",{"[Measures].[Fuldtidsledige]"}),P$3,$B30)</f>
        <v>1.6</v>
      </c>
      <c r="R30" s="26">
        <f t="shared" si="5"/>
        <v>10</v>
      </c>
    </row>
    <row r="31" spans="2:18" ht="15" x14ac:dyDescent="0.25">
      <c r="B31" s="50" t="str" vm="2">
        <f t="shared" si="7"/>
        <v>Diplomingeniør</v>
      </c>
      <c r="C31" s="50" t="str" vm="38">
        <f>CUBEMEMBER("BIDB",{"[Uddannelsesretning].[IDA Gruppe].&amp;[Nye retninger]"})</f>
        <v>Nye retninger</v>
      </c>
      <c r="D31" s="51" vm="3400">
        <f>CUBEVALUE("BIDB",CUBEMEMBER("BIDB","[Betalingsstatus].[Betalende medlem]"),'Præsentationstabeller 1'!$C$2,$C31,CUBEMEMBER("BIDB",{"[Measures].[Ledighedsmulige]"}),D$3,$B31)</f>
        <v>53</v>
      </c>
      <c r="E31" s="52" vm="3189">
        <f>CUBEVALUE("BIDB",CUBEMEMBER("BIDB","[Betalingsstatus].[Betalende medlem]"),'Præsentationstabeller 1'!$C$2,$C31,CUBEMEMBER("BIDB",{"[Measures].[Fuldtidsledige]"}),D$3,$B31)</f>
        <v>0.52</v>
      </c>
      <c r="F31" s="53">
        <f t="shared" si="1"/>
        <v>0.98113207547169812</v>
      </c>
      <c r="G31" s="51" vm="3686">
        <f>CUBEVALUE("BIDB",CUBEMEMBER("BIDB","[Betalingsstatus].[Betalende medlem]"),'Præsentationstabeller 1'!$C$2,$C31,CUBEMEMBER("BIDB",{"[Measures].[Ledighedsmulige]"}),G$3,$B31)</f>
        <v>12</v>
      </c>
      <c r="H31" s="54" t="str" vm="2540">
        <f>CUBEVALUE("BIDB",CUBEMEMBER("BIDB","[Betalingsstatus].[Betalende medlem]"),'Præsentationstabeller 1'!$C$2,$C31,CUBEMEMBER("BIDB",{"[Measures].[Fuldtidsledige]"}),G$3,$B31)</f>
        <v/>
      </c>
      <c r="I31" s="53">
        <f t="shared" si="2"/>
        <v>0</v>
      </c>
      <c r="J31" s="51" vm="2754">
        <f>CUBEVALUE("BIDB",CUBEMEMBER("BIDB","[Betalingsstatus].[Betalende medlem]"),'Præsentationstabeller 1'!$C$2,$C31,CUBEMEMBER("BIDB",{"[Measures].[Ledighedsmulige]"}),J$3,$B31)</f>
        <v>87</v>
      </c>
      <c r="K31" s="54" vm="3670">
        <f>CUBEVALUE("BIDB",CUBEMEMBER("BIDB","[Betalingsstatus].[Betalende medlem]"),'Præsentationstabeller 1'!$C$2,$C31,CUBEMEMBER("BIDB",{"[Measures].[Fuldtidsledige]"}),J$3,$B31)</f>
        <v>1.6</v>
      </c>
      <c r="L31" s="53">
        <f t="shared" si="3"/>
        <v>1.8390804597701149</v>
      </c>
      <c r="M31" s="51" vm="3042">
        <f>CUBEVALUE("BIDB",CUBEMEMBER("BIDB","[Betalingsstatus].[Betalende medlem]"),'Præsentationstabeller 1'!$C$2,$C31,CUBEMEMBER("BIDB",{"[Measures].[Ledighedsmulige]"}),M$3,$B31)</f>
        <v>46</v>
      </c>
      <c r="N31" s="54" vm="3437">
        <f>CUBEVALUE("BIDB",CUBEMEMBER("BIDB","[Betalingsstatus].[Betalende medlem]"),'Præsentationstabeller 1'!$C$2,$C31,CUBEMEMBER("BIDB",{"[Measures].[Fuldtidsledige]"}),M$3,$B31)</f>
        <v>6.6214054054054055</v>
      </c>
      <c r="O31" s="53">
        <f t="shared" si="4"/>
        <v>14.394359576968272</v>
      </c>
      <c r="P31" s="51" vm="2872">
        <f>CUBEVALUE("BIDB",CUBEMEMBER("BIDB","[Betalingsstatus].[Betalende medlem]"),'Præsentationstabeller 1'!$C$2,$C31,CUBEMEMBER("BIDB",{"[Measures].[Ledighedsmulige]"}),P$3,$B31)</f>
        <v>8</v>
      </c>
      <c r="Q31" s="54" t="str" vm="3420">
        <f>CUBEVALUE("BIDB",CUBEMEMBER("BIDB","[Betalingsstatus].[Betalende medlem]"),'Præsentationstabeller 1'!$C$2,$C31,CUBEMEMBER("BIDB",{"[Measures].[Fuldtidsledige]"}),P$3,$B31)</f>
        <v/>
      </c>
      <c r="R31" s="53">
        <f t="shared" si="5"/>
        <v>0</v>
      </c>
    </row>
    <row r="32" spans="2:18" ht="15" x14ac:dyDescent="0.25">
      <c r="B32" s="10" t="str" vm="2">
        <f t="shared" si="7"/>
        <v>Diplomingeniør</v>
      </c>
      <c r="C32" s="10" t="str" vm="33">
        <f>CUBEMEMBER("BIDB",{"[Uddannelsesretning].[IDA Gruppe].&amp;[Øvrige retninger/uoplyste]"})</f>
        <v>Øvrige retninger/uoplyste</v>
      </c>
      <c r="D32" s="41" vm="4860">
        <f>CUBEVALUE("BIDB",CUBEMEMBER("BIDB","[Betalingsstatus].[Betalende medlem]"),'Præsentationstabeller 1'!$C$2,$C32,CUBEMEMBER("BIDB",{"[Measures].[Ledighedsmulige]"}),D$3,$B32)</f>
        <v>650</v>
      </c>
      <c r="E32" s="42" vm="4746">
        <f>CUBEVALUE("BIDB",CUBEMEMBER("BIDB","[Betalingsstatus].[Betalende medlem]"),'Præsentationstabeller 1'!$C$2,$C32,CUBEMEMBER("BIDB",{"[Measures].[Fuldtidsledige]"}),D$3,$B32)</f>
        <v>43.128972972972974</v>
      </c>
      <c r="F32" s="43">
        <f t="shared" si="1"/>
        <v>6.6352266112266118</v>
      </c>
      <c r="G32" s="41" vm="2282">
        <f>CUBEVALUE("BIDB",CUBEMEMBER("BIDB","[Betalingsstatus].[Betalende medlem]"),'Præsentationstabeller 1'!$C$2,$C32,CUBEMEMBER("BIDB",{"[Measures].[Ledighedsmulige]"}),G$3,$B32)</f>
        <v>117</v>
      </c>
      <c r="H32" s="44" vm="2439">
        <f>CUBEVALUE("BIDB",CUBEMEMBER("BIDB","[Betalingsstatus].[Betalende medlem]"),'Præsentationstabeller 1'!$C$2,$C32,CUBEMEMBER("BIDB",{"[Measures].[Fuldtidsledige]"}),G$3,$B32)</f>
        <v>3.2362162162162162</v>
      </c>
      <c r="I32" s="43">
        <f t="shared" si="2"/>
        <v>2.7659967659967659</v>
      </c>
      <c r="J32" s="41" vm="2536">
        <f>CUBEVALUE("BIDB",CUBEMEMBER("BIDB","[Betalingsstatus].[Betalende medlem]"),'Præsentationstabeller 1'!$C$2,$C32,CUBEMEMBER("BIDB",{"[Measures].[Ledighedsmulige]"}),J$3,$B32)</f>
        <v>439</v>
      </c>
      <c r="K32" s="44" vm="4426">
        <f>CUBEVALUE("BIDB",CUBEMEMBER("BIDB","[Betalingsstatus].[Betalende medlem]"),'Præsentationstabeller 1'!$C$2,$C32,CUBEMEMBER("BIDB",{"[Measures].[Fuldtidsledige]"}),J$3,$B32)</f>
        <v>24.580918918918915</v>
      </c>
      <c r="L32" s="43">
        <f t="shared" si="3"/>
        <v>5.5992981592070414</v>
      </c>
      <c r="M32" s="41" vm="6473">
        <f>CUBEVALUE("BIDB",CUBEMEMBER("BIDB","[Betalingsstatus].[Betalende medlem]"),'Præsentationstabeller 1'!$C$2,$C32,CUBEMEMBER("BIDB",{"[Measures].[Ledighedsmulige]"}),M$3,$B32)</f>
        <v>500</v>
      </c>
      <c r="N32" s="44" vm="2956">
        <f>CUBEVALUE("BIDB",CUBEMEMBER("BIDB","[Betalingsstatus].[Betalende medlem]"),'Præsentationstabeller 1'!$C$2,$C32,CUBEMEMBER("BIDB",{"[Measures].[Fuldtidsledige]"}),M$3,$B32)</f>
        <v>23.66918918918919</v>
      </c>
      <c r="O32" s="43">
        <f t="shared" si="4"/>
        <v>4.7338378378378376</v>
      </c>
      <c r="P32" s="41" vm="2802">
        <f>CUBEVALUE("BIDB",CUBEMEMBER("BIDB","[Betalingsstatus].[Betalende medlem]"),'Præsentationstabeller 1'!$C$2,$C32,CUBEMEMBER("BIDB",{"[Measures].[Ledighedsmulige]"}),P$3,$B32)</f>
        <v>71</v>
      </c>
      <c r="Q32" s="44" vm="2868">
        <f>CUBEVALUE("BIDB",CUBEMEMBER("BIDB","[Betalingsstatus].[Betalende medlem]"),'Præsentationstabeller 1'!$C$2,$C32,CUBEMEMBER("BIDB",{"[Measures].[Fuldtidsledige]"}),P$3,$B32)</f>
        <v>6.1859459459459467</v>
      </c>
      <c r="R32" s="43">
        <f t="shared" si="5"/>
        <v>8.7125999238675309</v>
      </c>
    </row>
    <row r="33" spans="2:18" ht="15" x14ac:dyDescent="0.25">
      <c r="B33" s="50" t="str" vm="19">
        <f t="shared" ref="B33:B41" si="8">CUBEMEMBER("BIDB","[Uddannelse].[IDA Gruppe].&amp;[Civilingeniører]")</f>
        <v>Civilingeniører</v>
      </c>
      <c r="C33" s="50" t="str" vm="37">
        <f>CUBEMEMBER("BIDB",{"[Uddannelsesretning].[IDA Gruppe].&amp;[Maskin]"})</f>
        <v>Maskin</v>
      </c>
      <c r="D33" s="51" vm="10995">
        <f>CUBEVALUE("BIDB",CUBEMEMBER("BIDB","[Betalingsstatus].[Betalende medlem]"),'Præsentationstabeller 1'!$C$2,$C33,CUBEMEMBER("BIDB",{"[Measures].[Ledighedsmulige]"}),D$3,$B33)</f>
        <v>1339</v>
      </c>
      <c r="E33" s="52" vm="3816">
        <f>CUBEVALUE("BIDB",CUBEMEMBER("BIDB","[Betalingsstatus].[Betalende medlem]"),'Præsentationstabeller 1'!$C$2,$C33,CUBEMEMBER("BIDB",{"[Measures].[Fuldtidsledige]"}),D$3,$B33)</f>
        <v>15.954594594594594</v>
      </c>
      <c r="F33" s="53">
        <f t="shared" si="1"/>
        <v>1.1915305895888419</v>
      </c>
      <c r="G33" s="51" vm="3313">
        <f>CUBEVALUE("BIDB",CUBEMEMBER("BIDB","[Betalingsstatus].[Betalende medlem]"),'Præsentationstabeller 1'!$C$2,$C33,CUBEMEMBER("BIDB",{"[Measures].[Ledighedsmulige]"}),G$3,$B33)</f>
        <v>239</v>
      </c>
      <c r="H33" s="54" vm="2260">
        <f>CUBEVALUE("BIDB",CUBEMEMBER("BIDB","[Betalingsstatus].[Betalende medlem]"),'Præsentationstabeller 1'!$C$2,$C33,CUBEMEMBER("BIDB",{"[Measures].[Fuldtidsledige]"}),G$3,$B33)</f>
        <v>0.84000000000000008</v>
      </c>
      <c r="I33" s="53">
        <f t="shared" si="2"/>
        <v>0.35146443514644354</v>
      </c>
      <c r="J33" s="51" vm="2191">
        <f>CUBEVALUE("BIDB",CUBEMEMBER("BIDB","[Betalingsstatus].[Betalende medlem]"),'Præsentationstabeller 1'!$C$2,$C33,CUBEMEMBER("BIDB",{"[Measures].[Ledighedsmulige]"}),J$3,$B33)</f>
        <v>268</v>
      </c>
      <c r="K33" s="54" vm="2924">
        <f>CUBEVALUE("BIDB",CUBEMEMBER("BIDB","[Betalingsstatus].[Betalende medlem]"),'Præsentationstabeller 1'!$C$2,$C33,CUBEMEMBER("BIDB",{"[Measures].[Fuldtidsledige]"}),J$3,$B33)</f>
        <v>2.7199999999999998</v>
      </c>
      <c r="L33" s="53">
        <f t="shared" si="3"/>
        <v>1.0149253731343284</v>
      </c>
      <c r="M33" s="51" vm="5579">
        <f>CUBEVALUE("BIDB",CUBEMEMBER("BIDB","[Betalingsstatus].[Betalende medlem]"),'Præsentationstabeller 1'!$C$2,$C33,CUBEMEMBER("BIDB",{"[Measures].[Ledighedsmulige]"}),M$3,$B33)</f>
        <v>427</v>
      </c>
      <c r="N33" s="54" vm="3373">
        <f>CUBEVALUE("BIDB",CUBEMEMBER("BIDB","[Betalingsstatus].[Betalende medlem]"),'Præsentationstabeller 1'!$C$2,$C33,CUBEMEMBER("BIDB",{"[Measures].[Fuldtidsledige]"}),M$3,$B33)</f>
        <v>10.68</v>
      </c>
      <c r="O33" s="53">
        <f t="shared" si="4"/>
        <v>2.5011709601873537</v>
      </c>
      <c r="P33" s="51" vm="2551">
        <f>CUBEVALUE("BIDB",CUBEMEMBER("BIDB","[Betalingsstatus].[Betalende medlem]"),'Præsentationstabeller 1'!$C$2,$C33,CUBEMEMBER("BIDB",{"[Measures].[Ledighedsmulige]"}),P$3,$B33)</f>
        <v>242</v>
      </c>
      <c r="Q33" s="54" vm="2801">
        <f>CUBEVALUE("BIDB",CUBEMEMBER("BIDB","[Betalingsstatus].[Betalende medlem]"),'Præsentationstabeller 1'!$C$2,$C33,CUBEMEMBER("BIDB",{"[Measures].[Fuldtidsledige]"}),P$3,$B33)</f>
        <v>5.32</v>
      </c>
      <c r="R33" s="53">
        <f t="shared" si="5"/>
        <v>2.1983471074380168</v>
      </c>
    </row>
    <row r="34" spans="2:18" ht="15" x14ac:dyDescent="0.25">
      <c r="B34" s="9" t="str" vm="19">
        <f t="shared" si="8"/>
        <v>Civilingeniører</v>
      </c>
      <c r="C34" s="9" t="str" vm="41">
        <f>CUBEMEMBER("BIDB",{"[Uddannelsesretning].[IDA Gruppe].&amp;[Produktion]"})</f>
        <v>Produktion</v>
      </c>
      <c r="D34" s="25" vm="4141">
        <f>CUBEVALUE("BIDB",CUBEMEMBER("BIDB","[Betalingsstatus].[Betalende medlem]"),'Præsentationstabeller 1'!$C$2,$C34,CUBEMEMBER("BIDB",{"[Measures].[Ledighedsmulige]"}),D$3,$B34)</f>
        <v>282</v>
      </c>
      <c r="E34" s="30" vm="2767">
        <f>CUBEVALUE("BIDB",CUBEMEMBER("BIDB","[Betalingsstatus].[Betalende medlem]"),'Præsentationstabeller 1'!$C$2,$C34,CUBEMEMBER("BIDB",{"[Measures].[Fuldtidsledige]"}),D$3,$B34)</f>
        <v>5.6400000000000006</v>
      </c>
      <c r="F34" s="26">
        <f t="shared" si="1"/>
        <v>2</v>
      </c>
      <c r="G34" s="25" vm="4424">
        <f>CUBEVALUE("BIDB",CUBEMEMBER("BIDB","[Betalingsstatus].[Betalende medlem]"),'Præsentationstabeller 1'!$C$2,$C34,CUBEMEMBER("BIDB",{"[Measures].[Ledighedsmulige]"}),G$3,$B34)</f>
        <v>26</v>
      </c>
      <c r="H34" s="35" t="str" vm="2259">
        <f>CUBEVALUE("BIDB",CUBEMEMBER("BIDB","[Betalingsstatus].[Betalende medlem]"),'Præsentationstabeller 1'!$C$2,$C34,CUBEMEMBER("BIDB",{"[Measures].[Fuldtidsledige]"}),G$3,$B34)</f>
        <v/>
      </c>
      <c r="I34" s="26">
        <f t="shared" si="2"/>
        <v>0</v>
      </c>
      <c r="J34" s="25" vm="2479">
        <f>CUBEVALUE("BIDB",CUBEMEMBER("BIDB","[Betalingsstatus].[Betalende medlem]"),'Præsentationstabeller 1'!$C$2,$C34,CUBEMEMBER("BIDB",{"[Measures].[Ledighedsmulige]"}),J$3,$B34)</f>
        <v>83</v>
      </c>
      <c r="K34" s="35" vm="3650">
        <f>CUBEVALUE("BIDB",CUBEMEMBER("BIDB","[Betalingsstatus].[Betalende medlem]"),'Præsentationstabeller 1'!$C$2,$C34,CUBEMEMBER("BIDB",{"[Measures].[Fuldtidsledige]"}),J$3,$B34)</f>
        <v>2.6</v>
      </c>
      <c r="L34" s="26">
        <f t="shared" si="3"/>
        <v>3.132530120481928</v>
      </c>
      <c r="M34" s="25" vm="4700">
        <f>CUBEVALUE("BIDB",CUBEMEMBER("BIDB","[Betalingsstatus].[Betalende medlem]"),'Præsentationstabeller 1'!$C$2,$C34,CUBEMEMBER("BIDB",{"[Measures].[Ledighedsmulige]"}),M$3,$B34)</f>
        <v>171</v>
      </c>
      <c r="N34" s="35" vm="3037">
        <f>CUBEVALUE("BIDB",CUBEMEMBER("BIDB","[Betalingsstatus].[Betalende medlem]"),'Præsentationstabeller 1'!$C$2,$C34,CUBEMEMBER("BIDB",{"[Measures].[Fuldtidsledige]"}),M$3,$B34)</f>
        <v>1.6</v>
      </c>
      <c r="O34" s="26">
        <f t="shared" si="4"/>
        <v>0.9356725146198831</v>
      </c>
      <c r="P34" s="25" vm="2789">
        <f>CUBEVALUE("BIDB",CUBEMEMBER("BIDB","[Betalingsstatus].[Betalende medlem]"),'Præsentationstabeller 1'!$C$2,$C34,CUBEMEMBER("BIDB",{"[Measures].[Ledighedsmulige]"}),P$3,$B34)</f>
        <v>142</v>
      </c>
      <c r="Q34" s="35" vm="2181">
        <f>CUBEVALUE("BIDB",CUBEMEMBER("BIDB","[Betalingsstatus].[Betalende medlem]"),'Præsentationstabeller 1'!$C$2,$C34,CUBEMEMBER("BIDB",{"[Measures].[Fuldtidsledige]"}),P$3,$B34)</f>
        <v>3.56</v>
      </c>
      <c r="R34" s="26">
        <f t="shared" si="5"/>
        <v>2.507042253521127</v>
      </c>
    </row>
    <row r="35" spans="2:18" ht="15" x14ac:dyDescent="0.25">
      <c r="B35" s="50" t="str" vm="19">
        <f t="shared" si="8"/>
        <v>Civilingeniører</v>
      </c>
      <c r="C35" s="50" t="str" vm="36">
        <f>CUBEMEMBER("BIDB",{"[Uddannelsesretning].[IDA Gruppe].&amp;[Elektronik-IT]"})</f>
        <v>Elektronik-IT</v>
      </c>
      <c r="D35" s="51" vm="5051">
        <f>CUBEVALUE("BIDB",CUBEMEMBER("BIDB","[Betalingsstatus].[Betalende medlem]"),'Præsentationstabeller 1'!$C$2,$C35,CUBEMEMBER("BIDB",{"[Measures].[Ledighedsmulige]"}),D$3,$B35)</f>
        <v>3826</v>
      </c>
      <c r="E35" s="52" vm="3747">
        <f>CUBEVALUE("BIDB",CUBEMEMBER("BIDB","[Betalingsstatus].[Betalende medlem]"),'Præsentationstabeller 1'!$C$2,$C35,CUBEMEMBER("BIDB",{"[Measures].[Fuldtidsledige]"}),D$3,$B35)</f>
        <v>47.528648648648648</v>
      </c>
      <c r="F35" s="53">
        <f t="shared" si="1"/>
        <v>1.2422542772778005</v>
      </c>
      <c r="G35" s="51" vm="16728">
        <f>CUBEVALUE("BIDB",CUBEMEMBER("BIDB","[Betalingsstatus].[Betalende medlem]"),'Præsentationstabeller 1'!$C$2,$C35,CUBEMEMBER("BIDB",{"[Measures].[Ledighedsmulige]"}),G$3,$B35)</f>
        <v>487</v>
      </c>
      <c r="H35" s="54" vm="3382">
        <f>CUBEVALUE("BIDB",CUBEMEMBER("BIDB","[Betalingsstatus].[Betalende medlem]"),'Præsentationstabeller 1'!$C$2,$C35,CUBEMEMBER("BIDB",{"[Measures].[Fuldtidsledige]"}),G$3,$B35)</f>
        <v>3.8612432432432433</v>
      </c>
      <c r="I35" s="53">
        <f t="shared" si="2"/>
        <v>0.7928630889616517</v>
      </c>
      <c r="J35" s="51" vm="17203">
        <f>CUBEVALUE("BIDB",CUBEMEMBER("BIDB","[Betalingsstatus].[Betalende medlem]"),'Præsentationstabeller 1'!$C$2,$C35,CUBEMEMBER("BIDB",{"[Measures].[Ledighedsmulige]"}),J$3,$B35)</f>
        <v>542</v>
      </c>
      <c r="K35" s="54" vm="3970">
        <f>CUBEVALUE("BIDB",CUBEMEMBER("BIDB","[Betalingsstatus].[Betalende medlem]"),'Præsentationstabeller 1'!$C$2,$C35,CUBEMEMBER("BIDB",{"[Measures].[Fuldtidsledige]"}),J$3,$B35)</f>
        <v>10.55027027027027</v>
      </c>
      <c r="L35" s="53">
        <f t="shared" si="3"/>
        <v>1.9465443303081678</v>
      </c>
      <c r="M35" s="51" vm="3947">
        <f>CUBEVALUE("BIDB",CUBEMEMBER("BIDB","[Betalingsstatus].[Betalende medlem]"),'Præsentationstabeller 1'!$C$2,$C35,CUBEMEMBER("BIDB",{"[Measures].[Ledighedsmulige]"}),M$3,$B35)</f>
        <v>928</v>
      </c>
      <c r="N35" s="54" vm="3928">
        <f>CUBEVALUE("BIDB",CUBEMEMBER("BIDB","[Betalingsstatus].[Betalende medlem]"),'Præsentationstabeller 1'!$C$2,$C35,CUBEMEMBER("BIDB",{"[Measures].[Fuldtidsledige]"}),M$3,$B35)</f>
        <v>12.559999999999999</v>
      </c>
      <c r="O35" s="53">
        <f t="shared" si="4"/>
        <v>1.3534482758620687</v>
      </c>
      <c r="P35" s="51" vm="16295">
        <f>CUBEVALUE("BIDB",CUBEMEMBER("BIDB","[Betalingsstatus].[Betalende medlem]"),'Præsentationstabeller 1'!$C$2,$C35,CUBEMEMBER("BIDB",{"[Measures].[Ledighedsmulige]"}),P$3,$B35)</f>
        <v>1024</v>
      </c>
      <c r="Q35" s="54" vm="3039">
        <f>CUBEVALUE("BIDB",CUBEMEMBER("BIDB","[Betalingsstatus].[Betalende medlem]"),'Præsentationstabeller 1'!$C$2,$C35,CUBEMEMBER("BIDB",{"[Measures].[Fuldtidsledige]"}),P$3,$B35)</f>
        <v>39.618000000000002</v>
      </c>
      <c r="R35" s="53">
        <f t="shared" si="5"/>
        <v>3.8689453125000002</v>
      </c>
    </row>
    <row r="36" spans="2:18" ht="15" x14ac:dyDescent="0.25">
      <c r="B36" s="9" t="str" vm="19">
        <f t="shared" si="8"/>
        <v>Civilingeniører</v>
      </c>
      <c r="C36" s="9" t="str" vm="40">
        <f>CUBEMEMBER("BIDB",{"[Uddannelsesretning].[IDA Gruppe].&amp;[Bygning]"})</f>
        <v>Bygning</v>
      </c>
      <c r="D36" s="25" vm="7610">
        <f>CUBEVALUE("BIDB",CUBEMEMBER("BIDB","[Betalingsstatus].[Betalende medlem]"),'Præsentationstabeller 1'!$C$2,$C36,CUBEMEMBER("BIDB",{"[Measures].[Ledighedsmulige]"}),D$3,$B36)</f>
        <v>2672</v>
      </c>
      <c r="E36" s="30" vm="2681">
        <f>CUBEVALUE("BIDB",CUBEMEMBER("BIDB","[Betalingsstatus].[Betalende medlem]"),'Præsentationstabeller 1'!$C$2,$C36,CUBEMEMBER("BIDB",{"[Measures].[Fuldtidsledige]"}),D$3,$B36)</f>
        <v>45.114162162162167</v>
      </c>
      <c r="F36" s="26">
        <f t="shared" si="1"/>
        <v>1.6884042725360093</v>
      </c>
      <c r="G36" s="25" vm="2407">
        <f>CUBEVALUE("BIDB",CUBEMEMBER("BIDB","[Betalingsstatus].[Betalende medlem]"),'Præsentationstabeller 1'!$C$2,$C36,CUBEMEMBER("BIDB",{"[Measures].[Ledighedsmulige]"}),G$3,$B36)</f>
        <v>349</v>
      </c>
      <c r="H36" s="35" vm="3892">
        <f>CUBEVALUE("BIDB",CUBEMEMBER("BIDB","[Betalingsstatus].[Betalende medlem]"),'Præsentationstabeller 1'!$C$2,$C36,CUBEMEMBER("BIDB",{"[Measures].[Fuldtidsledige]"}),G$3,$B36)</f>
        <v>2</v>
      </c>
      <c r="I36" s="26">
        <f t="shared" si="2"/>
        <v>0.57306590257879653</v>
      </c>
      <c r="J36" s="25" vm="3381">
        <f>CUBEVALUE("BIDB",CUBEMEMBER("BIDB","[Betalingsstatus].[Betalende medlem]"),'Præsentationstabeller 1'!$C$2,$C36,CUBEMEMBER("BIDB",{"[Measures].[Ledighedsmulige]"}),J$3,$B36)</f>
        <v>411</v>
      </c>
      <c r="K36" s="35" vm="7937">
        <f>CUBEVALUE("BIDB",CUBEMEMBER("BIDB","[Betalingsstatus].[Betalende medlem]"),'Præsentationstabeller 1'!$C$2,$C36,CUBEMEMBER("BIDB",{"[Measures].[Fuldtidsledige]"}),J$3,$B36)</f>
        <v>7.9599999999999991</v>
      </c>
      <c r="L36" s="26">
        <f t="shared" si="3"/>
        <v>1.9367396593673962</v>
      </c>
      <c r="M36" s="25" vm="3649">
        <f>CUBEVALUE("BIDB",CUBEMEMBER("BIDB","[Betalingsstatus].[Betalende medlem]"),'Præsentationstabeller 1'!$C$2,$C36,CUBEMEMBER("BIDB",{"[Measures].[Ledighedsmulige]"}),M$3,$B36)</f>
        <v>661</v>
      </c>
      <c r="N36" s="35" vm="2761">
        <f>CUBEVALUE("BIDB",CUBEMEMBER("BIDB","[Betalingsstatus].[Betalende medlem]"),'Præsentationstabeller 1'!$C$2,$C36,CUBEMEMBER("BIDB",{"[Measures].[Fuldtidsledige]"}),M$3,$B36)</f>
        <v>16.608648648648646</v>
      </c>
      <c r="O36" s="26">
        <f t="shared" si="4"/>
        <v>2.5126548636382218</v>
      </c>
      <c r="P36" s="25" vm="5951">
        <f>CUBEVALUE("BIDB",CUBEMEMBER("BIDB","[Betalingsstatus].[Betalende medlem]"),'Præsentationstabeller 1'!$C$2,$C36,CUBEMEMBER("BIDB",{"[Measures].[Ledighedsmulige]"}),P$3,$B36)</f>
        <v>488</v>
      </c>
      <c r="Q36" s="35" vm="2245">
        <f>CUBEVALUE("BIDB",CUBEMEMBER("BIDB","[Betalingsstatus].[Betalende medlem]"),'Præsentationstabeller 1'!$C$2,$C36,CUBEMEMBER("BIDB",{"[Measures].[Fuldtidsledige]"}),P$3,$B36)</f>
        <v>13.816054054054053</v>
      </c>
      <c r="R36" s="26">
        <f t="shared" si="5"/>
        <v>2.8311586176340273</v>
      </c>
    </row>
    <row r="37" spans="2:18" ht="15" x14ac:dyDescent="0.25">
      <c r="B37" s="50" t="str" vm="19">
        <f t="shared" si="8"/>
        <v>Civilingeniører</v>
      </c>
      <c r="C37" s="50" t="str" vm="35">
        <f>CUBEMEMBER("BIDB",{"[Uddannelsesretning].[IDA Gruppe].&amp;[Anlæg]"})</f>
        <v>Anlæg</v>
      </c>
      <c r="D37" s="51" vm="3558">
        <f>CUBEVALUE("BIDB",CUBEMEMBER("BIDB","[Betalingsstatus].[Betalende medlem]"),'Præsentationstabeller 1'!$C$2,$C37,CUBEMEMBER("BIDB",{"[Measures].[Ledighedsmulige]"}),D$3,$B37)</f>
        <v>59</v>
      </c>
      <c r="E37" s="52" vm="2711">
        <f>CUBEVALUE("BIDB",CUBEMEMBER("BIDB","[Betalingsstatus].[Betalende medlem]"),'Præsentationstabeller 1'!$C$2,$C37,CUBEMEMBER("BIDB",{"[Measures].[Fuldtidsledige]"}),D$3,$B37)</f>
        <v>1</v>
      </c>
      <c r="F37" s="53">
        <f t="shared" si="1"/>
        <v>1.6949152542372881</v>
      </c>
      <c r="G37" s="51" vm="4547">
        <f>CUBEVALUE("BIDB",CUBEMEMBER("BIDB","[Betalingsstatus].[Betalende medlem]"),'Præsentationstabeller 1'!$C$2,$C37,CUBEMEMBER("BIDB",{"[Measures].[Ledighedsmulige]"}),G$3,$B37)</f>
        <v>10</v>
      </c>
      <c r="H37" s="54" t="str" vm="2736">
        <f>CUBEVALUE("BIDB",CUBEMEMBER("BIDB","[Betalingsstatus].[Betalende medlem]"),'Præsentationstabeller 1'!$C$2,$C37,CUBEMEMBER("BIDB",{"[Measures].[Fuldtidsledige]"}),G$3,$B37)</f>
        <v/>
      </c>
      <c r="I37" s="53">
        <f t="shared" si="2"/>
        <v>0</v>
      </c>
      <c r="J37" s="51" vm="3891">
        <f>CUBEVALUE("BIDB",CUBEMEMBER("BIDB","[Betalingsstatus].[Betalende medlem]"),'Præsentationstabeller 1'!$C$2,$C37,CUBEMEMBER("BIDB",{"[Measures].[Ledighedsmulige]"}),J$3,$B37)</f>
        <v>26</v>
      </c>
      <c r="K37" s="54" t="str" vm="5310">
        <f>CUBEVALUE("BIDB",CUBEMEMBER("BIDB","[Betalingsstatus].[Betalende medlem]"),'Præsentationstabeller 1'!$C$2,$C37,CUBEMEMBER("BIDB",{"[Measures].[Fuldtidsledige]"}),J$3,$B37)</f>
        <v/>
      </c>
      <c r="L37" s="53">
        <f t="shared" si="3"/>
        <v>0</v>
      </c>
      <c r="M37" s="51" vm="2192">
        <f>CUBEVALUE("BIDB",CUBEMEMBER("BIDB","[Betalingsstatus].[Betalende medlem]"),'Præsentationstabeller 1'!$C$2,$C37,CUBEMEMBER("BIDB",{"[Measures].[Ledighedsmulige]"}),M$3,$B37)</f>
        <v>42</v>
      </c>
      <c r="N37" s="54" t="str" vm="3845">
        <f>CUBEVALUE("BIDB",CUBEMEMBER("BIDB","[Betalingsstatus].[Betalende medlem]"),'Præsentationstabeller 1'!$C$2,$C37,CUBEMEMBER("BIDB",{"[Measures].[Fuldtidsledige]"}),M$3,$B37)</f>
        <v/>
      </c>
      <c r="O37" s="53">
        <f t="shared" si="4"/>
        <v>0</v>
      </c>
      <c r="P37" s="51" vm="2826">
        <f>CUBEVALUE("BIDB",CUBEMEMBER("BIDB","[Betalingsstatus].[Betalende medlem]"),'Præsentationstabeller 1'!$C$2,$C37,CUBEMEMBER("BIDB",{"[Measures].[Ledighedsmulige]"}),P$3,$B37)</f>
        <v>77</v>
      </c>
      <c r="Q37" s="54" vm="4804">
        <f>CUBEVALUE("BIDB",CUBEMEMBER("BIDB","[Betalingsstatus].[Betalende medlem]"),'Præsentationstabeller 1'!$C$2,$C37,CUBEMEMBER("BIDB",{"[Measures].[Fuldtidsledige]"}),P$3,$B37)</f>
        <v>5.4399999999999995</v>
      </c>
      <c r="R37" s="53">
        <f t="shared" si="5"/>
        <v>7.0649350649350646</v>
      </c>
    </row>
    <row r="38" spans="2:18" ht="15" x14ac:dyDescent="0.25">
      <c r="B38" s="9" t="str" vm="19">
        <f t="shared" si="8"/>
        <v>Civilingeniører</v>
      </c>
      <c r="C38" s="9" t="str" vm="39">
        <f>CUBEMEMBER("BIDB",{"[Uddannelsesretning].[IDA Gruppe].&amp;[Kemi]"})</f>
        <v>Kemi</v>
      </c>
      <c r="D38" s="25" vm="5185">
        <f>CUBEVALUE("BIDB",CUBEMEMBER("BIDB","[Betalingsstatus].[Betalende medlem]"),'Præsentationstabeller 1'!$C$2,$C38,CUBEMEMBER("BIDB",{"[Measures].[Ledighedsmulige]"}),D$3,$B38)</f>
        <v>2119</v>
      </c>
      <c r="E38" s="30" vm="3702">
        <f>CUBEVALUE("BIDB",CUBEMEMBER("BIDB","[Betalingsstatus].[Betalende medlem]"),'Præsentationstabeller 1'!$C$2,$C38,CUBEMEMBER("BIDB",{"[Measures].[Fuldtidsledige]"}),D$3,$B38)</f>
        <v>37.93443243243243</v>
      </c>
      <c r="F38" s="26">
        <f t="shared" si="1"/>
        <v>1.7902044564621251</v>
      </c>
      <c r="G38" s="25" vm="2317">
        <f>CUBEVALUE("BIDB",CUBEMEMBER("BIDB","[Betalingsstatus].[Betalende medlem]"),'Præsentationstabeller 1'!$C$2,$C38,CUBEMEMBER("BIDB",{"[Measures].[Ledighedsmulige]"}),G$3,$B38)</f>
        <v>378</v>
      </c>
      <c r="H38" s="35" vm="2882">
        <f>CUBEVALUE("BIDB",CUBEMEMBER("BIDB","[Betalingsstatus].[Betalende medlem]"),'Præsentationstabeller 1'!$C$2,$C38,CUBEMEMBER("BIDB",{"[Measures].[Fuldtidsledige]"}),G$3,$B38)</f>
        <v>1.9540540540540541</v>
      </c>
      <c r="I38" s="26">
        <f t="shared" si="2"/>
        <v>0.51694551694551694</v>
      </c>
      <c r="J38" s="25" vm="2732">
        <f>CUBEVALUE("BIDB",CUBEMEMBER("BIDB","[Betalingsstatus].[Betalende medlem]"),'Præsentationstabeller 1'!$C$2,$C38,CUBEMEMBER("BIDB",{"[Measures].[Ledighedsmulige]"}),J$3,$B38)</f>
        <v>317</v>
      </c>
      <c r="K38" s="35" vm="4296">
        <f>CUBEVALUE("BIDB",CUBEMEMBER("BIDB","[Betalingsstatus].[Betalende medlem]"),'Præsentationstabeller 1'!$C$2,$C38,CUBEMEMBER("BIDB",{"[Measures].[Fuldtidsledige]"}),J$3,$B38)</f>
        <v>10.976594594594594</v>
      </c>
      <c r="L38" s="26">
        <f t="shared" si="3"/>
        <v>3.4626481370960867</v>
      </c>
      <c r="M38" s="25" vm="2858">
        <f>CUBEVALUE("BIDB",CUBEMEMBER("BIDB","[Betalingsstatus].[Betalende medlem]"),'Præsentationstabeller 1'!$C$2,$C38,CUBEMEMBER("BIDB",{"[Measures].[Ledighedsmulige]"}),M$3,$B38)</f>
        <v>246</v>
      </c>
      <c r="N38" s="35" vm="3137">
        <f>CUBEVALUE("BIDB",CUBEMEMBER("BIDB","[Betalingsstatus].[Betalende medlem]"),'Præsentationstabeller 1'!$C$2,$C38,CUBEMEMBER("BIDB",{"[Measures].[Fuldtidsledige]"}),M$3,$B38)</f>
        <v>13.200270270270272</v>
      </c>
      <c r="O38" s="26">
        <f t="shared" si="4"/>
        <v>5.3659635245001107</v>
      </c>
      <c r="P38" s="25" vm="4182">
        <f>CUBEVALUE("BIDB",CUBEMEMBER("BIDB","[Betalingsstatus].[Betalende medlem]"),'Præsentationstabeller 1'!$C$2,$C38,CUBEMEMBER("BIDB",{"[Measures].[Ledighedsmulige]"}),P$3,$B38)</f>
        <v>112</v>
      </c>
      <c r="Q38" s="35" vm="2825">
        <f>CUBEVALUE("BIDB",CUBEMEMBER("BIDB","[Betalingsstatus].[Betalende medlem]"),'Præsentationstabeller 1'!$C$2,$C38,CUBEMEMBER("BIDB",{"[Measures].[Fuldtidsledige]"}),P$3,$B38)</f>
        <v>8.84</v>
      </c>
      <c r="R38" s="26">
        <f t="shared" si="5"/>
        <v>7.8928571428571432</v>
      </c>
    </row>
    <row r="39" spans="2:18" ht="15" x14ac:dyDescent="0.25">
      <c r="B39" s="50" t="str" vm="19">
        <f t="shared" si="8"/>
        <v>Civilingeniører</v>
      </c>
      <c r="C39" s="50" t="str" vm="34">
        <f>CUBEMEMBER("BIDB",{"[Uddannelsesretning].[IDA Gruppe].&amp;[Teknisk ledelse]"})</f>
        <v>Teknisk ledelse</v>
      </c>
      <c r="D39" s="51" vm="4423">
        <f>CUBEVALUE("BIDB",CUBEMEMBER("BIDB","[Betalingsstatus].[Betalende medlem]"),'Præsentationstabeller 1'!$C$2,$C39,CUBEMEMBER("BIDB",{"[Measures].[Ledighedsmulige]"}),D$3,$B39)</f>
        <v>365</v>
      </c>
      <c r="E39" s="52" vm="3913">
        <f>CUBEVALUE("BIDB",CUBEMEMBER("BIDB","[Betalingsstatus].[Betalende medlem]"),'Præsentationstabeller 1'!$C$2,$C39,CUBEMEMBER("BIDB",{"[Measures].[Fuldtidsledige]"}),D$3,$B39)</f>
        <v>11.990270270270273</v>
      </c>
      <c r="F39" s="53">
        <f t="shared" si="1"/>
        <v>3.285005553498705</v>
      </c>
      <c r="G39" s="51" vm="2582">
        <f>CUBEVALUE("BIDB",CUBEMEMBER("BIDB","[Betalingsstatus].[Betalende medlem]"),'Præsentationstabeller 1'!$C$2,$C39,CUBEMEMBER("BIDB",{"[Measures].[Ledighedsmulige]"}),G$3,$B39)</f>
        <v>39</v>
      </c>
      <c r="H39" s="54" t="str" vm="2417">
        <f>CUBEVALUE("BIDB",CUBEMEMBER("BIDB","[Betalingsstatus].[Betalende medlem]"),'Præsentationstabeller 1'!$C$2,$C39,CUBEMEMBER("BIDB",{"[Measures].[Fuldtidsledige]"}),G$3,$B39)</f>
        <v/>
      </c>
      <c r="I39" s="53">
        <f t="shared" si="2"/>
        <v>0</v>
      </c>
      <c r="J39" s="51" vm="2629">
        <f>CUBEVALUE("BIDB",CUBEMEMBER("BIDB","[Betalingsstatus].[Betalende medlem]"),'Præsentationstabeller 1'!$C$2,$C39,CUBEMEMBER("BIDB",{"[Measures].[Ledighedsmulige]"}),J$3,$B39)</f>
        <v>63</v>
      </c>
      <c r="K39" s="54" vm="3697">
        <f>CUBEVALUE("BIDB",CUBEMEMBER("BIDB","[Betalingsstatus].[Betalende medlem]"),'Præsentationstabeller 1'!$C$2,$C39,CUBEMEMBER("BIDB",{"[Measures].[Fuldtidsledige]"}),J$3,$B39)</f>
        <v>3.5200000000000005</v>
      </c>
      <c r="L39" s="53">
        <f t="shared" si="3"/>
        <v>5.5873015873015879</v>
      </c>
      <c r="M39" s="51" vm="2869">
        <f>CUBEVALUE("BIDB",CUBEMEMBER("BIDB","[Betalingsstatus].[Betalende medlem]"),'Præsentationstabeller 1'!$C$2,$C39,CUBEMEMBER("BIDB",{"[Measures].[Ledighedsmulige]"}),M$3,$B39)</f>
        <v>122</v>
      </c>
      <c r="N39" s="54" vm="2667">
        <f>CUBEVALUE("BIDB",CUBEMEMBER("BIDB","[Betalingsstatus].[Betalende medlem]"),'Præsentationstabeller 1'!$C$2,$C39,CUBEMEMBER("BIDB",{"[Measures].[Fuldtidsledige]"}),M$3,$B39)</f>
        <v>1.9600000000000002</v>
      </c>
      <c r="O39" s="53">
        <f t="shared" si="4"/>
        <v>1.6065573770491806</v>
      </c>
      <c r="P39" s="51" vm="2747">
        <f>CUBEVALUE("BIDB",CUBEMEMBER("BIDB","[Betalingsstatus].[Betalende medlem]"),'Præsentationstabeller 1'!$C$2,$C39,CUBEMEMBER("BIDB",{"[Measures].[Ledighedsmulige]"}),P$3,$B39)</f>
        <v>110</v>
      </c>
      <c r="Q39" s="54" vm="4431">
        <f>CUBEVALUE("BIDB",CUBEMEMBER("BIDB","[Betalingsstatus].[Betalende medlem]"),'Præsentationstabeller 1'!$C$2,$C39,CUBEMEMBER("BIDB",{"[Measures].[Fuldtidsledige]"}),P$3,$B39)</f>
        <v>4.4799999999999995</v>
      </c>
      <c r="R39" s="53">
        <f t="shared" si="5"/>
        <v>4.0727272727272723</v>
      </c>
    </row>
    <row r="40" spans="2:18" ht="15" x14ac:dyDescent="0.25">
      <c r="B40" s="9" t="str" vm="19">
        <f t="shared" si="8"/>
        <v>Civilingeniører</v>
      </c>
      <c r="C40" s="9" t="str" vm="38">
        <f>CUBEMEMBER("BIDB",{"[Uddannelsesretning].[IDA Gruppe].&amp;[Nye retninger]"})</f>
        <v>Nye retninger</v>
      </c>
      <c r="D40" s="25" vm="7836">
        <f>CUBEVALUE("BIDB",CUBEMEMBER("BIDB","[Betalingsstatus].[Betalende medlem]"),'Præsentationstabeller 1'!$C$2,$C40,CUBEMEMBER("BIDB",{"[Measures].[Ledighedsmulige]"}),D$3,$B40)</f>
        <v>653</v>
      </c>
      <c r="E40" s="30" vm="4197">
        <f>CUBEVALUE("BIDB",CUBEMEMBER("BIDB","[Betalingsstatus].[Betalende medlem]"),'Præsentationstabeller 1'!$C$2,$C40,CUBEMEMBER("BIDB",{"[Measures].[Fuldtidsledige]"}),D$3,$B40)</f>
        <v>37.519189189189184</v>
      </c>
      <c r="F40" s="26">
        <f t="shared" si="1"/>
        <v>5.7456645006415297</v>
      </c>
      <c r="G40" s="25" vm="1403">
        <f>CUBEVALUE("BIDB",CUBEMEMBER("BIDB","[Betalingsstatus].[Betalende medlem]"),'Præsentationstabeller 1'!$C$2,$C40,CUBEMEMBER("BIDB",{"[Measures].[Ledighedsmulige]"}),G$3,$B40)</f>
        <v>43</v>
      </c>
      <c r="H40" s="35" vm="2316">
        <f>CUBEVALUE("BIDB",CUBEMEMBER("BIDB","[Betalingsstatus].[Betalende medlem]"),'Præsentationstabeller 1'!$C$2,$C40,CUBEMEMBER("BIDB",{"[Measures].[Fuldtidsledige]"}),G$3,$B40)</f>
        <v>0.88000000000000012</v>
      </c>
      <c r="I40" s="26">
        <f t="shared" si="2"/>
        <v>2.0465116279069768</v>
      </c>
      <c r="J40" s="25" vm="2413">
        <f>CUBEVALUE("BIDB",CUBEMEMBER("BIDB","[Betalingsstatus].[Betalende medlem]"),'Præsentationstabeller 1'!$C$2,$C40,CUBEMEMBER("BIDB",{"[Measures].[Ledighedsmulige]"}),J$3,$B40)</f>
        <v>80</v>
      </c>
      <c r="K40" s="35" vm="3879">
        <f>CUBEVALUE("BIDB",CUBEMEMBER("BIDB","[Betalingsstatus].[Betalende medlem]"),'Præsentationstabeller 1'!$C$2,$C40,CUBEMEMBER("BIDB",{"[Measures].[Fuldtidsledige]"}),J$3,$B40)</f>
        <v>4.6485405405405409</v>
      </c>
      <c r="L40" s="26">
        <f t="shared" si="3"/>
        <v>5.8106756756756761</v>
      </c>
      <c r="M40" s="25" vm="4057">
        <f>CUBEVALUE("BIDB",CUBEMEMBER("BIDB","[Betalingsstatus].[Betalende medlem]"),'Præsentationstabeller 1'!$C$2,$C40,CUBEMEMBER("BIDB",{"[Measures].[Ledighedsmulige]"}),M$3,$B40)</f>
        <v>247</v>
      </c>
      <c r="N40" s="35" vm="3184">
        <f>CUBEVALUE("BIDB",CUBEMEMBER("BIDB","[Betalingsstatus].[Betalende medlem]"),'Præsentationstabeller 1'!$C$2,$C40,CUBEMEMBER("BIDB",{"[Measures].[Fuldtidsledige]"}),M$3,$B40)</f>
        <v>22.12864864864865</v>
      </c>
      <c r="O40" s="26">
        <f t="shared" si="4"/>
        <v>8.9589670642302224</v>
      </c>
      <c r="P40" s="25" vm="3659">
        <f>CUBEVALUE("BIDB",CUBEMEMBER("BIDB","[Betalingsstatus].[Betalende medlem]"),'Præsentationstabeller 1'!$C$2,$C40,CUBEMEMBER("BIDB",{"[Measures].[Ledighedsmulige]"}),P$3,$B40)</f>
        <v>278</v>
      </c>
      <c r="Q40" s="35" vm="2743">
        <f>CUBEVALUE("BIDB",CUBEMEMBER("BIDB","[Betalingsstatus].[Betalende medlem]"),'Præsentationstabeller 1'!$C$2,$C40,CUBEMEMBER("BIDB",{"[Measures].[Fuldtidsledige]"}),P$3,$B40)</f>
        <v>42.251135135135137</v>
      </c>
      <c r="R40" s="26">
        <f t="shared" si="5"/>
        <v>15.198250048609763</v>
      </c>
    </row>
    <row r="41" spans="2:18" ht="15" x14ac:dyDescent="0.25">
      <c r="B41" s="55" t="str" vm="19">
        <f t="shared" si="8"/>
        <v>Civilingeniører</v>
      </c>
      <c r="C41" s="55" t="str" vm="33">
        <f>CUBEMEMBER("BIDB",{"[Uddannelsesretning].[IDA Gruppe].&amp;[Øvrige retninger/uoplyste]"})</f>
        <v>Øvrige retninger/uoplyste</v>
      </c>
      <c r="D41" s="56" vm="4982">
        <f>CUBEVALUE("BIDB",CUBEMEMBER("BIDB","[Betalingsstatus].[Betalende medlem]"),'Præsentationstabeller 1'!$C$2,$C41,CUBEMEMBER("BIDB",{"[Measures].[Ledighedsmulige]"}),D$3,$B41)</f>
        <v>4247</v>
      </c>
      <c r="E41" s="57" vm="4184">
        <f>CUBEVALUE("BIDB",CUBEMEMBER("BIDB","[Betalingsstatus].[Betalende medlem]"),'Præsentationstabeller 1'!$C$2,$C41,CUBEMEMBER("BIDB",{"[Measures].[Fuldtidsledige]"}),D$3,$B41)</f>
        <v>150.91956756756761</v>
      </c>
      <c r="F41" s="58">
        <f t="shared" si="1"/>
        <v>3.5535570418546643</v>
      </c>
      <c r="G41" s="56" vm="5180">
        <f>CUBEVALUE("BIDB",CUBEMEMBER("BIDB","[Betalingsstatus].[Betalende medlem]"),'Præsentationstabeller 1'!$C$2,$C41,CUBEMEMBER("BIDB",{"[Measures].[Ledighedsmulige]"}),G$3,$B41)</f>
        <v>405</v>
      </c>
      <c r="H41" s="59" vm="2482">
        <f>CUBEVALUE("BIDB",CUBEMEMBER("BIDB","[Betalingsstatus].[Betalende medlem]"),'Præsentationstabeller 1'!$C$2,$C41,CUBEMEMBER("BIDB",{"[Measures].[Fuldtidsledige]"}),G$3,$B41)</f>
        <v>5.92</v>
      </c>
      <c r="I41" s="58">
        <f t="shared" si="2"/>
        <v>1.4617283950617284</v>
      </c>
      <c r="J41" s="56" vm="2558">
        <f>CUBEVALUE("BIDB",CUBEMEMBER("BIDB","[Betalingsstatus].[Betalende medlem]"),'Præsentationstabeller 1'!$C$2,$C41,CUBEMEMBER("BIDB",{"[Measures].[Ledighedsmulige]"}),J$3,$B41)</f>
        <v>741</v>
      </c>
      <c r="K41" s="59" vm="3655">
        <f>CUBEVALUE("BIDB",CUBEMEMBER("BIDB","[Betalingsstatus].[Betalende medlem]"),'Præsentationstabeller 1'!$C$2,$C41,CUBEMEMBER("BIDB",{"[Measures].[Fuldtidsledige]"}),J$3,$B41)</f>
        <v>38.097135135135133</v>
      </c>
      <c r="L41" s="58">
        <f t="shared" si="3"/>
        <v>5.1413137834190463</v>
      </c>
      <c r="M41" s="56" vm="4481">
        <f>CUBEVALUE("BIDB",CUBEMEMBER("BIDB","[Betalingsstatus].[Betalende medlem]"),'Præsentationstabeller 1'!$C$2,$C41,CUBEMEMBER("BIDB",{"[Measures].[Ledighedsmulige]"}),M$3,$B41)</f>
        <v>1069</v>
      </c>
      <c r="N41" s="59" vm="4674">
        <f>CUBEVALUE("BIDB",CUBEMEMBER("BIDB","[Betalingsstatus].[Betalende medlem]"),'Præsentationstabeller 1'!$C$2,$C41,CUBEMEMBER("BIDB",{"[Measures].[Fuldtidsledige]"}),M$3,$B41)</f>
        <v>38.727567567567569</v>
      </c>
      <c r="O41" s="58">
        <f t="shared" si="4"/>
        <v>3.6227846181073495</v>
      </c>
      <c r="P41" s="56" vm="2428">
        <f>CUBEVALUE("BIDB",CUBEMEMBER("BIDB","[Betalingsstatus].[Betalende medlem]"),'Præsentationstabeller 1'!$C$2,$C41,CUBEMEMBER("BIDB",{"[Measures].[Ledighedsmulige]"}),P$3,$B41)</f>
        <v>891</v>
      </c>
      <c r="Q41" s="59" vm="3658">
        <f>CUBEVALUE("BIDB",CUBEMEMBER("BIDB","[Betalingsstatus].[Betalende medlem]"),'Præsentationstabeller 1'!$C$2,$C41,CUBEMEMBER("BIDB",{"[Measures].[Fuldtidsledige]"}),P$3,$B41)</f>
        <v>69.767027027027027</v>
      </c>
      <c r="R41" s="58">
        <f t="shared" si="5"/>
        <v>7.8301938301938296</v>
      </c>
    </row>
    <row r="42" spans="2:18" ht="15" x14ac:dyDescent="0.25">
      <c r="B42" s="14" t="str" vm="3">
        <f>CUBEMEMBER("BIDB","[Uddannelse].[IDA Gruppe].&amp;[Cand.scient]")</f>
        <v>Cand.scient</v>
      </c>
      <c r="C42" s="14" t="str" vm="43">
        <f>CUBEMEMBER("BIDB",{"[Uddannelsesretning].[IDA Gruppe Cand Scient].&amp;[Data og IT]"})</f>
        <v>Data og IT</v>
      </c>
      <c r="D42" s="23" vm="7164">
        <f>CUBEVALUE("BIDB",CUBEMEMBER("BIDB","[Betalingsstatus].[Betalende medlem]"),'Præsentationstabeller 1'!$C$2,$C42,CUBEMEMBER("BIDB",{"[Measures].[Ledighedsmulige]"}),D$3,$B42)</f>
        <v>171</v>
      </c>
      <c r="E42" s="31" t="str" vm="3899">
        <f>CUBEVALUE("BIDB",CUBEMEMBER("BIDB","[Betalingsstatus].[Betalende medlem]"),'Præsentationstabeller 1'!$C$2,$C42,CUBEMEMBER("BIDB",{"[Measures].[Fuldtidsledige]"}),D$3,$B42)</f>
        <v/>
      </c>
      <c r="F42" s="24">
        <f t="shared" si="1"/>
        <v>0</v>
      </c>
      <c r="G42" s="23" vm="2502">
        <f>CUBEVALUE("BIDB",CUBEMEMBER("BIDB","[Betalingsstatus].[Betalende medlem]"),'Præsentationstabeller 1'!$C$2,$C42,CUBEMEMBER("BIDB",{"[Measures].[Ledighedsmulige]"}),G$3,$B42)</f>
        <v>20</v>
      </c>
      <c r="H42" s="36" t="str" vm="2137">
        <f>CUBEVALUE("BIDB",CUBEMEMBER("BIDB","[Betalingsstatus].[Betalende medlem]"),'Præsentationstabeller 1'!$C$2,$C42,CUBEMEMBER("BIDB",{"[Measures].[Fuldtidsledige]"}),G$3,$B42)</f>
        <v/>
      </c>
      <c r="I42" s="24">
        <f t="shared" si="2"/>
        <v>0</v>
      </c>
      <c r="J42" s="23" vm="2356">
        <f>CUBEVALUE("BIDB",CUBEMEMBER("BIDB","[Betalingsstatus].[Betalende medlem]"),'Præsentationstabeller 1'!$C$2,$C42,CUBEMEMBER("BIDB",{"[Measures].[Ledighedsmulige]"}),J$3,$B42)</f>
        <v>53</v>
      </c>
      <c r="K42" s="36" vm="3019">
        <f>CUBEVALUE("BIDB",CUBEMEMBER("BIDB","[Betalingsstatus].[Betalende medlem]"),'Præsentationstabeller 1'!$C$2,$C42,CUBEMEMBER("BIDB",{"[Measures].[Fuldtidsledige]"}),J$3,$B42)</f>
        <v>0.81383783783783781</v>
      </c>
      <c r="L42" s="24">
        <f t="shared" si="3"/>
        <v>1.5355430902600713</v>
      </c>
      <c r="M42" s="23" vm="3407">
        <f>CUBEVALUE("BIDB",CUBEMEMBER("BIDB","[Betalingsstatus].[Betalende medlem]"),'Præsentationstabeller 1'!$C$2,$C42,CUBEMEMBER("BIDB",{"[Measures].[Ledighedsmulige]"}),M$3,$B42)</f>
        <v>136</v>
      </c>
      <c r="N42" s="36" vm="2831">
        <f>CUBEVALUE("BIDB",CUBEMEMBER("BIDB","[Betalingsstatus].[Betalende medlem]"),'Præsentationstabeller 1'!$C$2,$C42,CUBEMEMBER("BIDB",{"[Measures].[Fuldtidsledige]"}),M$3,$B42)</f>
        <v>2.6</v>
      </c>
      <c r="O42" s="24">
        <f t="shared" si="4"/>
        <v>1.911764705882353</v>
      </c>
      <c r="P42" s="23" vm="3897">
        <f>CUBEVALUE("BIDB",CUBEMEMBER("BIDB","[Betalingsstatus].[Betalende medlem]"),'Præsentationstabeller 1'!$C$2,$C42,CUBEMEMBER("BIDB",{"[Measures].[Ledighedsmulige]"}),P$3,$B42)</f>
        <v>109</v>
      </c>
      <c r="Q42" s="36" vm="2547">
        <f>CUBEVALUE("BIDB",CUBEMEMBER("BIDB","[Betalingsstatus].[Betalende medlem]"),'Præsentationstabeller 1'!$C$2,$C42,CUBEMEMBER("BIDB",{"[Measures].[Fuldtidsledige]"}),P$3,$B42)</f>
        <v>3.4799999999999995</v>
      </c>
      <c r="R42" s="24">
        <f t="shared" si="5"/>
        <v>3.1926605504587156</v>
      </c>
    </row>
    <row r="43" spans="2:18" ht="15" x14ac:dyDescent="0.25">
      <c r="B43" s="50" t="str" vm="3">
        <f>CUBEMEMBER("BIDB","[Uddannelse].[IDA Gruppe].&amp;[Cand.scient]")</f>
        <v>Cand.scient</v>
      </c>
      <c r="C43" s="50" t="str" vm="32">
        <f>CUBEMEMBER("BIDB",{"[Uddannelsesretning].[IDA Gruppe Cand Scient].&amp;[Matematik-Fysik-Kemi]"})</f>
        <v>Matematik-Fysik-Kemi</v>
      </c>
      <c r="D43" s="51" vm="3682">
        <f>CUBEVALUE("BIDB",CUBEMEMBER("BIDB","[Betalingsstatus].[Betalende medlem]"),'Præsentationstabeller 1'!$C$2,$C43,CUBEMEMBER("BIDB",{"[Measures].[Ledighedsmulige]"}),D$3,$B43)</f>
        <v>468</v>
      </c>
      <c r="E43" s="52" vm="8745">
        <f>CUBEVALUE("BIDB",CUBEMEMBER("BIDB","[Betalingsstatus].[Betalende medlem]"),'Præsentationstabeller 1'!$C$2,$C43,CUBEMEMBER("BIDB",{"[Measures].[Fuldtidsledige]"}),D$3,$B43)</f>
        <v>30.639999999999997</v>
      </c>
      <c r="F43" s="53">
        <f t="shared" si="1"/>
        <v>6.5470085470085468</v>
      </c>
      <c r="G43" s="51" vm="3576">
        <f>CUBEVALUE("BIDB",CUBEMEMBER("BIDB","[Betalingsstatus].[Betalende medlem]"),'Præsentationstabeller 1'!$C$2,$C43,CUBEMEMBER("BIDB",{"[Measures].[Ledighedsmulige]"}),G$3,$B43)</f>
        <v>54</v>
      </c>
      <c r="H43" s="54" vm="4667">
        <f>CUBEVALUE("BIDB",CUBEMEMBER("BIDB","[Betalingsstatus].[Betalende medlem]"),'Præsentationstabeller 1'!$C$2,$C43,CUBEMEMBER("BIDB",{"[Measures].[Fuldtidsledige]"}),G$3,$B43)</f>
        <v>3.44</v>
      </c>
      <c r="I43" s="53">
        <f t="shared" si="2"/>
        <v>6.3703703703703702</v>
      </c>
      <c r="J43" s="51" vm="2500">
        <f>CUBEVALUE("BIDB",CUBEMEMBER("BIDB","[Betalingsstatus].[Betalende medlem]"),'Præsentationstabeller 1'!$C$2,$C43,CUBEMEMBER("BIDB",{"[Measures].[Ledighedsmulige]"}),J$3,$B43)</f>
        <v>92</v>
      </c>
      <c r="K43" s="54" vm="3766">
        <f>CUBEVALUE("BIDB",CUBEMEMBER("BIDB","[Betalingsstatus].[Betalende medlem]"),'Præsentationstabeller 1'!$C$2,$C43,CUBEMEMBER("BIDB",{"[Measures].[Fuldtidsledige]"}),J$3,$B43)</f>
        <v>7.3567567567567567</v>
      </c>
      <c r="L43" s="53">
        <f t="shared" si="3"/>
        <v>7.9964747356051706</v>
      </c>
      <c r="M43" s="51" vm="4695">
        <f>CUBEVALUE("BIDB",CUBEMEMBER("BIDB","[Betalingsstatus].[Betalende medlem]"),'Præsentationstabeller 1'!$C$2,$C43,CUBEMEMBER("BIDB",{"[Measures].[Ledighedsmulige]"}),M$3,$B43)</f>
        <v>176</v>
      </c>
      <c r="N43" s="54" vm="5563">
        <f>CUBEVALUE("BIDB",CUBEMEMBER("BIDB","[Betalingsstatus].[Betalende medlem]"),'Præsentationstabeller 1'!$C$2,$C43,CUBEMEMBER("BIDB",{"[Measures].[Fuldtidsledige]"}),M$3,$B43)</f>
        <v>12.321621621621622</v>
      </c>
      <c r="O43" s="53">
        <f t="shared" si="4"/>
        <v>7.0009213759213758</v>
      </c>
      <c r="P43" s="51" vm="2370">
        <f>CUBEVALUE("BIDB",CUBEMEMBER("BIDB","[Betalingsstatus].[Betalende medlem]"),'Præsentationstabeller 1'!$C$2,$C43,CUBEMEMBER("BIDB",{"[Measures].[Ledighedsmulige]"}),P$3,$B43)</f>
        <v>26</v>
      </c>
      <c r="Q43" s="54" vm="3139">
        <f>CUBEVALUE("BIDB",CUBEMEMBER("BIDB","[Betalingsstatus].[Betalende medlem]"),'Præsentationstabeller 1'!$C$2,$C43,CUBEMEMBER("BIDB",{"[Measures].[Fuldtidsledige]"}),P$3,$B43)</f>
        <v>2.3199999999999998</v>
      </c>
      <c r="R43" s="53">
        <f t="shared" si="5"/>
        <v>8.9230769230769234</v>
      </c>
    </row>
    <row r="44" spans="2:18" ht="15" x14ac:dyDescent="0.25">
      <c r="B44" s="9" t="str" vm="3">
        <f>CUBEMEMBER("BIDB","[Uddannelse].[IDA Gruppe].&amp;[Cand.scient]")</f>
        <v>Cand.scient</v>
      </c>
      <c r="C44" s="9" t="str" vm="44">
        <f>CUBEMEMBER("BIDB",{"[Uddannelsesretning].[IDA Gruppe Cand Scient].&amp;[Geo-bio]"})</f>
        <v>Geo-bio</v>
      </c>
      <c r="D44" s="25" vm="6748">
        <f>CUBEVALUE("BIDB",CUBEMEMBER("BIDB","[Betalingsstatus].[Betalende medlem]"),'Præsentationstabeller 1'!$C$2,$C44,CUBEMEMBER("BIDB",{"[Measures].[Ledighedsmulige]"}),D$3,$B44)</f>
        <v>419</v>
      </c>
      <c r="E44" s="30" vm="3100">
        <f>CUBEVALUE("BIDB",CUBEMEMBER("BIDB","[Betalingsstatus].[Betalende medlem]"),'Præsentationstabeller 1'!$C$2,$C44,CUBEMEMBER("BIDB",{"[Measures].[Fuldtidsledige]"}),D$3,$B44)</f>
        <v>66.144324324324316</v>
      </c>
      <c r="F44" s="26">
        <f t="shared" si="1"/>
        <v>15.786234922273106</v>
      </c>
      <c r="G44" s="25" vm="3912">
        <f>CUBEVALUE("BIDB",CUBEMEMBER("BIDB","[Betalingsstatus].[Betalende medlem]"),'Præsentationstabeller 1'!$C$2,$C44,CUBEMEMBER("BIDB",{"[Measures].[Ledighedsmulige]"}),G$3,$B44)</f>
        <v>44</v>
      </c>
      <c r="H44" s="35" vm="6068">
        <f>CUBEVALUE("BIDB",CUBEMEMBER("BIDB","[Betalingsstatus].[Betalende medlem]"),'Præsentationstabeller 1'!$C$2,$C44,CUBEMEMBER("BIDB",{"[Measures].[Fuldtidsledige]"}),G$3,$B44)</f>
        <v>5.312702702702703</v>
      </c>
      <c r="I44" s="26">
        <f t="shared" si="2"/>
        <v>12.074324324324325</v>
      </c>
      <c r="J44" s="25" vm="4418">
        <f>CUBEVALUE("BIDB",CUBEMEMBER("BIDB","[Betalingsstatus].[Betalende medlem]"),'Præsentationstabeller 1'!$C$2,$C44,CUBEMEMBER("BIDB",{"[Measures].[Ledighedsmulige]"}),J$3,$B44)</f>
        <v>106</v>
      </c>
      <c r="K44" s="35" vm="4981">
        <f>CUBEVALUE("BIDB",CUBEMEMBER("BIDB","[Betalingsstatus].[Betalende medlem]"),'Præsentationstabeller 1'!$C$2,$C44,CUBEMEMBER("BIDB",{"[Measures].[Fuldtidsledige]"}),J$3,$B44)</f>
        <v>12.039999999999997</v>
      </c>
      <c r="L44" s="26">
        <f t="shared" si="3"/>
        <v>11.358490566037734</v>
      </c>
      <c r="M44" s="25" vm="2182">
        <f>CUBEVALUE("BIDB",CUBEMEMBER("BIDB","[Betalingsstatus].[Betalende medlem]"),'Præsentationstabeller 1'!$C$2,$C44,CUBEMEMBER("BIDB",{"[Measures].[Ledighedsmulige]"}),M$3,$B44)</f>
        <v>222</v>
      </c>
      <c r="N44" s="35" vm="2636">
        <f>CUBEVALUE("BIDB",CUBEMEMBER("BIDB","[Betalingsstatus].[Betalende medlem]"),'Præsentationstabeller 1'!$C$2,$C44,CUBEMEMBER("BIDB",{"[Measures].[Fuldtidsledige]"}),M$3,$B44)</f>
        <v>38.30594594594595</v>
      </c>
      <c r="O44" s="26">
        <f t="shared" si="4"/>
        <v>17.25493060628196</v>
      </c>
      <c r="P44" s="25" vm="3967">
        <f>CUBEVALUE("BIDB",CUBEMEMBER("BIDB","[Betalingsstatus].[Betalende medlem]"),'Præsentationstabeller 1'!$C$2,$C44,CUBEMEMBER("BIDB",{"[Measures].[Ledighedsmulige]"}),P$3,$B44)</f>
        <v>51</v>
      </c>
      <c r="Q44" s="35" vm="2123">
        <f>CUBEVALUE("BIDB",CUBEMEMBER("BIDB","[Betalingsstatus].[Betalende medlem]"),'Præsentationstabeller 1'!$C$2,$C44,CUBEMEMBER("BIDB",{"[Measures].[Fuldtidsledige]"}),P$3,$B44)</f>
        <v>13.721783783783783</v>
      </c>
      <c r="R44" s="26">
        <f t="shared" si="5"/>
        <v>26.905458399576045</v>
      </c>
    </row>
    <row r="45" spans="2:18" ht="15" x14ac:dyDescent="0.25">
      <c r="B45" s="50" t="str" vm="3">
        <f>CUBEMEMBER("BIDB","[Uddannelse].[IDA Gruppe].&amp;[Cand.scient]")</f>
        <v>Cand.scient</v>
      </c>
      <c r="C45" s="50" t="str" vm="31">
        <f>CUBEMEMBER("BIDB",{"[Uddannelsesretning].[IDA Gruppe Cand Scient].&amp;[Medicin mv.]"})</f>
        <v>Medicin mv.</v>
      </c>
      <c r="D45" s="51" vm="2687">
        <f>CUBEVALUE("BIDB",CUBEMEMBER("BIDB","[Betalingsstatus].[Betalende medlem]"),'Præsentationstabeller 1'!$C$2,$C45,CUBEMEMBER("BIDB",{"[Measures].[Ledighedsmulige]"}),D$3,$B45)</f>
        <v>48</v>
      </c>
      <c r="E45" s="52" vm="2642">
        <f>CUBEVALUE("BIDB",CUBEMEMBER("BIDB","[Betalingsstatus].[Betalende medlem]"),'Præsentationstabeller 1'!$C$2,$C45,CUBEMEMBER("BIDB",{"[Measures].[Fuldtidsledige]"}),D$3,$B45)</f>
        <v>6.5199999999999987</v>
      </c>
      <c r="F45" s="53">
        <f t="shared" si="1"/>
        <v>13.58333333333333</v>
      </c>
      <c r="G45" s="51" vm="2883">
        <f>CUBEVALUE("BIDB",CUBEMEMBER("BIDB","[Betalingsstatus].[Betalende medlem]"),'Præsentationstabeller 1'!$C$2,$C45,CUBEMEMBER("BIDB",{"[Measures].[Ledighedsmulige]"}),G$3,$B45)</f>
        <v>2</v>
      </c>
      <c r="H45" s="54" t="str" vm="2611">
        <f>CUBEVALUE("BIDB",CUBEMEMBER("BIDB","[Betalingsstatus].[Betalende medlem]"),'Præsentationstabeller 1'!$C$2,$C45,CUBEMEMBER("BIDB",{"[Measures].[Fuldtidsledige]"}),G$3,$B45)</f>
        <v/>
      </c>
      <c r="I45" s="53">
        <f t="shared" si="2"/>
        <v>0</v>
      </c>
      <c r="J45" s="51" vm="7258">
        <f>CUBEVALUE("BIDB",CUBEMEMBER("BIDB","[Betalingsstatus].[Betalende medlem]"),'Præsentationstabeller 1'!$C$2,$C45,CUBEMEMBER("BIDB",{"[Measures].[Ledighedsmulige]"}),J$3,$B45)</f>
        <v>13</v>
      </c>
      <c r="K45" s="54" vm="3571">
        <f>CUBEVALUE("BIDB",CUBEMEMBER("BIDB","[Betalingsstatus].[Betalende medlem]"),'Præsentationstabeller 1'!$C$2,$C45,CUBEMEMBER("BIDB",{"[Measures].[Fuldtidsledige]"}),J$3,$B45)</f>
        <v>1.6</v>
      </c>
      <c r="L45" s="53">
        <f t="shared" si="3"/>
        <v>12.307692307692308</v>
      </c>
      <c r="M45" s="51" vm="4175">
        <f>CUBEVALUE("BIDB",CUBEMEMBER("BIDB","[Betalingsstatus].[Betalende medlem]"),'Præsentationstabeller 1'!$C$2,$C45,CUBEMEMBER("BIDB",{"[Measures].[Ledighedsmulige]"}),M$3,$B45)</f>
        <v>14</v>
      </c>
      <c r="N45" s="54" vm="4227">
        <f>CUBEVALUE("BIDB",CUBEMEMBER("BIDB","[Betalingsstatus].[Betalende medlem]"),'Præsentationstabeller 1'!$C$2,$C45,CUBEMEMBER("BIDB",{"[Measures].[Fuldtidsledige]"}),M$3,$B45)</f>
        <v>0.8</v>
      </c>
      <c r="O45" s="53">
        <f t="shared" si="4"/>
        <v>5.7142857142857144</v>
      </c>
      <c r="P45" s="51" vm="3032">
        <f>CUBEVALUE("BIDB",CUBEMEMBER("BIDB","[Betalingsstatus].[Betalende medlem]"),'Præsentationstabeller 1'!$C$2,$C45,CUBEMEMBER("BIDB",{"[Measures].[Ledighedsmulige]"}),P$3,$B45)</f>
        <v>10</v>
      </c>
      <c r="Q45" s="54" vm="3714">
        <f>CUBEVALUE("BIDB",CUBEMEMBER("BIDB","[Betalingsstatus].[Betalende medlem]"),'Præsentationstabeller 1'!$C$2,$C45,CUBEMEMBER("BIDB",{"[Measures].[Fuldtidsledige]"}),P$3,$B45)</f>
        <v>3</v>
      </c>
      <c r="R45" s="53">
        <f t="shared" si="5"/>
        <v>30</v>
      </c>
    </row>
    <row r="46" spans="2:18" ht="15" x14ac:dyDescent="0.25">
      <c r="B46" s="10" t="str" vm="3">
        <f>CUBEMEMBER("BIDB","[Uddannelse].[IDA Gruppe].&amp;[Cand.scient]")</f>
        <v>Cand.scient</v>
      </c>
      <c r="C46" s="10" t="str" vm="42">
        <f>CUBEMEMBER("BIDB",{"[Uddannelsesretning].[IDA Gruppe Cand Scient].&amp;[Øvrige retninger/uoplyste]"})</f>
        <v>Øvrige retninger/uoplyste</v>
      </c>
      <c r="D46" s="41" vm="4079">
        <f>CUBEVALUE("BIDB",CUBEMEMBER("BIDB","[Betalingsstatus].[Betalende medlem]"),'Præsentationstabeller 1'!$C$2,$C46,CUBEMEMBER("BIDB",{"[Measures].[Ledighedsmulige]"}),D$3,$B46)</f>
        <v>2557</v>
      </c>
      <c r="E46" s="42" vm="3676">
        <f>CUBEVALUE("BIDB",CUBEMEMBER("BIDB","[Betalingsstatus].[Betalende medlem]"),'Præsentationstabeller 1'!$C$2,$C46,CUBEMEMBER("BIDB",{"[Measures].[Fuldtidsledige]"}),D$3,$B46)</f>
        <v>304.4230270270271</v>
      </c>
      <c r="F46" s="43">
        <f t="shared" si="1"/>
        <v>11.9054762231923</v>
      </c>
      <c r="G46" s="41" vm="2345">
        <f>CUBEVALUE("BIDB",CUBEMEMBER("BIDB","[Betalingsstatus].[Betalende medlem]"),'Præsentationstabeller 1'!$C$2,$C46,CUBEMEMBER("BIDB",{"[Measures].[Ledighedsmulige]"}),G$3,$B46)</f>
        <v>229</v>
      </c>
      <c r="H46" s="44" vm="2757">
        <f>CUBEVALUE("BIDB",CUBEMEMBER("BIDB","[Betalingsstatus].[Betalende medlem]"),'Præsentationstabeller 1'!$C$2,$C46,CUBEMEMBER("BIDB",{"[Measures].[Fuldtidsledige]"}),G$3,$B46)</f>
        <v>17.839999999999996</v>
      </c>
      <c r="I46" s="43">
        <f t="shared" si="2"/>
        <v>7.7903930131004353</v>
      </c>
      <c r="J46" s="41" vm="2607">
        <f>CUBEVALUE("BIDB",CUBEMEMBER("BIDB","[Betalingsstatus].[Betalende medlem]"),'Præsentationstabeller 1'!$C$2,$C46,CUBEMEMBER("BIDB",{"[Measures].[Ledighedsmulige]"}),J$3,$B46)</f>
        <v>426</v>
      </c>
      <c r="K46" s="44" vm="3173">
        <f>CUBEVALUE("BIDB",CUBEMEMBER("BIDB","[Betalingsstatus].[Betalende medlem]"),'Præsentationstabeller 1'!$C$2,$C46,CUBEMEMBER("BIDB",{"[Measures].[Fuldtidsledige]"}),J$3,$B46)</f>
        <v>66.682000000000002</v>
      </c>
      <c r="L46" s="43">
        <f t="shared" si="3"/>
        <v>15.653051643192489</v>
      </c>
      <c r="M46" s="41" vm="3087">
        <f>CUBEVALUE("BIDB",CUBEMEMBER("BIDB","[Betalingsstatus].[Betalende medlem]"),'Præsentationstabeller 1'!$C$2,$C46,CUBEMEMBER("BIDB",{"[Measures].[Ledighedsmulige]"}),M$3,$B46)</f>
        <v>764</v>
      </c>
      <c r="N46" s="44" vm="2912">
        <f>CUBEVALUE("BIDB",CUBEMEMBER("BIDB","[Betalingsstatus].[Betalende medlem]"),'Præsentationstabeller 1'!$C$2,$C46,CUBEMEMBER("BIDB",{"[Measures].[Fuldtidsledige]"}),M$3,$B46)</f>
        <v>105.52859459459459</v>
      </c>
      <c r="O46" s="43">
        <f t="shared" si="4"/>
        <v>13.812643271543795</v>
      </c>
      <c r="P46" s="41" vm="6071">
        <f>CUBEVALUE("BIDB",CUBEMEMBER("BIDB","[Betalingsstatus].[Betalende medlem]"),'Præsentationstabeller 1'!$C$2,$C46,CUBEMEMBER("BIDB",{"[Measures].[Ledighedsmulige]"}),P$3,$B46)</f>
        <v>439</v>
      </c>
      <c r="Q46" s="44" vm="3031">
        <f>CUBEVALUE("BIDB",CUBEMEMBER("BIDB","[Betalingsstatus].[Betalende medlem]"),'Præsentationstabeller 1'!$C$2,$C46,CUBEMEMBER("BIDB",{"[Measures].[Fuldtidsledige]"}),P$3,$B46)</f>
        <v>85.358486486486484</v>
      </c>
      <c r="R46" s="43">
        <f t="shared" si="5"/>
        <v>19.443846580065259</v>
      </c>
    </row>
    <row r="47" spans="2:18" ht="15" x14ac:dyDescent="0.25">
      <c r="B47" s="50" t="str" vm="9">
        <f>CUBEMEMBER("BIDB","[Uddannelse].[IDA Gruppe].&amp;[Cand.it]")</f>
        <v>Cand.it</v>
      </c>
      <c r="C47" s="50"/>
      <c r="D47" s="51" vm="4727">
        <f>CUBEVALUE("BIDB",CUBEMEMBER("BIDB","[Betalingsstatus].[Betalende medlem]"),'Præsentationstabeller 1'!$C$2,$B47,CUBEMEMBER("BIDB",{"[Measures].[Ledighedsmulige]"}),D$3)</f>
        <v>1113</v>
      </c>
      <c r="E47" s="52" vm="4462">
        <f>CUBEVALUE("BIDB",CUBEMEMBER("BIDB","[Betalingsstatus].[Betalende medlem]"),'Præsentationstabeller 1'!$C$2,$B47,CUBEMEMBER("BIDB",{"[Measures].[Fuldtidsledige]"}),D$3)</f>
        <v>44.876756756756762</v>
      </c>
      <c r="F47" s="53">
        <f t="shared" si="1"/>
        <v>4.0320536169592778</v>
      </c>
      <c r="G47" s="51" vm="4960">
        <f>CUBEVALUE("BIDB",CUBEMEMBER("BIDB","[Betalingsstatus].[Betalende medlem]"),'Præsentationstabeller 1'!$C$2,$B47,CUBEMEMBER("BIDB",{"[Measures].[Ledighedsmulige]"}),G$3)</f>
        <v>78</v>
      </c>
      <c r="H47" s="54" vm="2390">
        <f>CUBEVALUE("BIDB",CUBEMEMBER("BIDB","[Betalingsstatus].[Betalende medlem]"),'Præsentationstabeller 1'!$C$2,$B47,CUBEMEMBER("BIDB",{"[Measures].[Fuldtidsledige]"}),G$3)</f>
        <v>2.3199999999999998</v>
      </c>
      <c r="I47" s="53">
        <f t="shared" si="2"/>
        <v>2.9743589743589745</v>
      </c>
      <c r="J47" s="51" vm="3677">
        <f>CUBEVALUE("BIDB",CUBEMEMBER("BIDB","[Betalingsstatus].[Betalende medlem]"),'Præsentationstabeller 1'!$C$2,$B47,CUBEMEMBER("BIDB",{"[Measures].[Ledighedsmulige]"}),J$3)</f>
        <v>104</v>
      </c>
      <c r="K47" s="54" vm="3035">
        <f>CUBEVALUE("BIDB",CUBEMEMBER("BIDB","[Betalingsstatus].[Betalende medlem]"),'Præsentationstabeller 1'!$C$2,$B47,CUBEMEMBER("BIDB",{"[Measures].[Fuldtidsledige]"}),J$3)</f>
        <v>10.53945945945946</v>
      </c>
      <c r="L47" s="53">
        <f t="shared" si="3"/>
        <v>10.134095634095635</v>
      </c>
      <c r="M47" s="51" vm="3635">
        <f>CUBEVALUE("BIDB",CUBEMEMBER("BIDB","[Betalingsstatus].[Betalende medlem]"),'Præsentationstabeller 1'!$C$2,$B47,CUBEMEMBER("BIDB",{"[Measures].[Ledighedsmulige]"}),M$3)</f>
        <v>201</v>
      </c>
      <c r="N47" s="54" vm="3134">
        <f>CUBEVALUE("BIDB",CUBEMEMBER("BIDB","[Betalingsstatus].[Betalende medlem]"),'Præsentationstabeller 1'!$C$2,$B47,CUBEMEMBER("BIDB",{"[Measures].[Fuldtidsledige]"}),M$3)</f>
        <v>13.343243243243244</v>
      </c>
      <c r="O47" s="53">
        <f t="shared" si="4"/>
        <v>6.6384294742503691</v>
      </c>
      <c r="P47" s="51" vm="3823">
        <f>CUBEVALUE("BIDB",CUBEMEMBER("BIDB","[Betalingsstatus].[Betalende medlem]"),'Præsentationstabeller 1'!$C$2,$B47,CUBEMEMBER("BIDB",{"[Measures].[Ledighedsmulige]"}),P$3)</f>
        <v>99</v>
      </c>
      <c r="Q47" s="54" vm="4479">
        <f>CUBEVALUE("BIDB",CUBEMEMBER("BIDB","[Betalingsstatus].[Betalende medlem]"),'Præsentationstabeller 1'!$C$2,$B47,CUBEMEMBER("BIDB",{"[Measures].[Fuldtidsledige]"}),P$3)</f>
        <v>19.723513513513517</v>
      </c>
      <c r="R47" s="53">
        <f t="shared" si="5"/>
        <v>19.922740922740925</v>
      </c>
    </row>
    <row r="48" spans="2:18" ht="15" x14ac:dyDescent="0.25">
      <c r="B48" s="9" t="str" vm="12">
        <f>CUBEMEMBER("BIDB","[Uddannelse].[IDA Gruppe].&amp;[Phd]")</f>
        <v>Phd</v>
      </c>
      <c r="C48" s="9"/>
      <c r="D48" s="25" vm="3056">
        <f>CUBEVALUE("BIDB",CUBEMEMBER("BIDB","[Betalingsstatus].[Betalende medlem]"),'Præsentationstabeller 1'!$C$2,$B48,CUBEMEMBER("BIDB",{"[Measures].[Ledighedsmulige]"}),D$3)</f>
        <v>401</v>
      </c>
      <c r="E48" s="30" vm="4178">
        <f>CUBEVALUE("BIDB",CUBEMEMBER("BIDB","[Betalingsstatus].[Betalende medlem]"),'Præsentationstabeller 1'!$C$2,$B48,CUBEMEMBER("BIDB",{"[Measures].[Fuldtidsledige]"}),D$3)</f>
        <v>20.362162162162161</v>
      </c>
      <c r="F48" s="26">
        <f t="shared" si="1"/>
        <v>5.0778459257262245</v>
      </c>
      <c r="G48" s="25" vm="7904">
        <f>CUBEVALUE("BIDB",CUBEMEMBER("BIDB","[Betalingsstatus].[Betalende medlem]"),'Præsentationstabeller 1'!$C$2,$B48,CUBEMEMBER("BIDB",{"[Measures].[Ledighedsmulige]"}),G$3)</f>
        <v>23</v>
      </c>
      <c r="H48" s="35" t="str" vm="4923">
        <f>CUBEVALUE("BIDB",CUBEMEMBER("BIDB","[Betalingsstatus].[Betalende medlem]"),'Præsentationstabeller 1'!$C$2,$B48,CUBEMEMBER("BIDB",{"[Measures].[Fuldtidsledige]"}),G$3)</f>
        <v/>
      </c>
      <c r="I48" s="26">
        <f t="shared" si="2"/>
        <v>0</v>
      </c>
      <c r="J48" s="25" vm="2656">
        <f>CUBEVALUE("BIDB",CUBEMEMBER("BIDB","[Betalingsstatus].[Betalende medlem]"),'Præsentationstabeller 1'!$C$2,$B48,CUBEMEMBER("BIDB",{"[Measures].[Ledighedsmulige]"}),J$3)</f>
        <v>54</v>
      </c>
      <c r="K48" s="35" vm="3053">
        <f>CUBEVALUE("BIDB",CUBEMEMBER("BIDB","[Betalingsstatus].[Betalende medlem]"),'Præsentationstabeller 1'!$C$2,$B48,CUBEMEMBER("BIDB",{"[Measures].[Fuldtidsledige]"}),J$3)</f>
        <v>2.68</v>
      </c>
      <c r="L48" s="26">
        <f t="shared" si="3"/>
        <v>4.9629629629629637</v>
      </c>
      <c r="M48" s="25" vm="3687">
        <f>CUBEVALUE("BIDB",CUBEMEMBER("BIDB","[Betalingsstatus].[Betalende medlem]"),'Præsentationstabeller 1'!$C$2,$B48,CUBEMEMBER("BIDB",{"[Measures].[Ledighedsmulige]"}),M$3)</f>
        <v>95</v>
      </c>
      <c r="N48" s="35" vm="2840">
        <f>CUBEVALUE("BIDB",CUBEMEMBER("BIDB","[Betalingsstatus].[Betalende medlem]"),'Præsentationstabeller 1'!$C$2,$B48,CUBEMEMBER("BIDB",{"[Measures].[Fuldtidsledige]"}),M$3)</f>
        <v>3.9264864864864863</v>
      </c>
      <c r="O48" s="26">
        <f t="shared" si="4"/>
        <v>4.1331436699857758</v>
      </c>
      <c r="P48" s="25" vm="4965">
        <f>CUBEVALUE("BIDB",CUBEMEMBER("BIDB","[Betalingsstatus].[Betalende medlem]"),'Præsentationstabeller 1'!$C$2,$B48,CUBEMEMBER("BIDB",{"[Measures].[Ledighedsmulige]"}),P$3)</f>
        <v>41</v>
      </c>
      <c r="Q48" s="35" vm="1861">
        <f>CUBEVALUE("BIDB",CUBEMEMBER("BIDB","[Betalingsstatus].[Betalende medlem]"),'Præsentationstabeller 1'!$C$2,$B48,CUBEMEMBER("BIDB",{"[Measures].[Fuldtidsledige]"}),P$3)</f>
        <v>1.8</v>
      </c>
      <c r="R48" s="26">
        <f t="shared" si="5"/>
        <v>4.3902439024390247</v>
      </c>
    </row>
    <row r="49" spans="2:18" s="17" customFormat="1" ht="15" x14ac:dyDescent="0.25">
      <c r="B49" s="60" t="s">
        <v>2</v>
      </c>
      <c r="C49" s="61"/>
      <c r="D49" s="62">
        <f>SUM(D5:D48)</f>
        <v>33652</v>
      </c>
      <c r="E49" s="63">
        <f>SUM(E5:E48)</f>
        <v>1126.342972972973</v>
      </c>
      <c r="F49" s="117">
        <f>E49/D49*100</f>
        <v>3.3470312996938456</v>
      </c>
      <c r="G49" s="62">
        <f>SUM(G5:G48)</f>
        <v>6228</v>
      </c>
      <c r="H49" s="64">
        <f>SUM(H5:H48)</f>
        <v>98.583675675675664</v>
      </c>
      <c r="I49" s="117">
        <f>H49/G49*100</f>
        <v>1.5829106563210609</v>
      </c>
      <c r="J49" s="62">
        <f>SUM(J5:J48)</f>
        <v>10603</v>
      </c>
      <c r="K49" s="64">
        <f>SUM(K5:K48)</f>
        <v>312.28000000000003</v>
      </c>
      <c r="L49" s="117">
        <f>K49/J49*100</f>
        <v>2.945204187494106</v>
      </c>
      <c r="M49" s="62">
        <f>SUM(M5:M48)</f>
        <v>14086</v>
      </c>
      <c r="N49" s="64">
        <f>SUM(N5:N48)</f>
        <v>487.17378378378385</v>
      </c>
      <c r="O49" s="117">
        <f>N49/M49*100</f>
        <v>3.4585672567356514</v>
      </c>
      <c r="P49" s="62">
        <f>SUM(P5:P48)</f>
        <v>5739</v>
      </c>
      <c r="Q49" s="64">
        <f>SUM(Q5:Q48)</f>
        <v>374.21437837837834</v>
      </c>
      <c r="R49" s="117">
        <f>Q49/P49*100</f>
        <v>6.5205502418257248</v>
      </c>
    </row>
    <row r="50" spans="2:18" x14ac:dyDescent="0.3">
      <c r="B50" s="29" t="str" vm="1">
        <f>CUBEMEMBER("BIDB","[Uddannelse].[IDA Gruppe Niveau1].&amp;[Ingeniører]","Ingeniører, i alt (diplom og civil)")</f>
        <v>Ingeniører, i alt (diplom og civil)</v>
      </c>
      <c r="C50" s="11"/>
      <c r="D50" s="27" vm="3055">
        <f>CUBEVALUE("BIDB",CUBEMEMBER("BIDB","[Betalingsstatus].[Betalende medlem]"),'Præsentationstabeller 1'!$C$2,$B50,CUBEMEMBER("BIDB",{"[Measures].[Ledighedsmulige]"}),D$3)</f>
        <v>27925</v>
      </c>
      <c r="E50" s="32" vm="5560">
        <f>CUBEVALUE("BIDB",CUBEMEMBER("BIDB","[Betalingsstatus].[Betalende medlem]"),'Præsentationstabeller 1'!$C$2,$B50,CUBEMEMBER("BIDB",{"[Measures].[Fuldtidsledige]"}),D$3)</f>
        <v>598.03427027027021</v>
      </c>
      <c r="F50" s="28">
        <f t="shared" ref="F50" si="9">IFERROR(E50/D50*100,0)</f>
        <v>2.1415730358827942</v>
      </c>
      <c r="G50" s="27" vm="3984">
        <f>CUBEVALUE("BIDB",CUBEMEMBER("BIDB","[Betalingsstatus].[Betalende medlem]"),'Præsentationstabeller 1'!$C$2,$B50,CUBEMEMBER("BIDB",{"[Measures].[Ledighedsmulige]"}),G$3)</f>
        <v>5712</v>
      </c>
      <c r="H50" s="37" vm="3003">
        <f>CUBEVALUE("BIDB",CUBEMEMBER("BIDB","[Betalingsstatus].[Betalende medlem]"),'Præsentationstabeller 1'!$C$2,$B50,CUBEMEMBER("BIDB",{"[Measures].[Fuldtidsledige]"}),G$3)</f>
        <v>62.110972972972974</v>
      </c>
      <c r="I50" s="28">
        <f t="shared" ref="I50" si="10">IFERROR(H50/G50*100,0)</f>
        <v>1.0873769778181543</v>
      </c>
      <c r="J50" s="27" vm="4179">
        <f>CUBEVALUE("BIDB",CUBEMEMBER("BIDB","[Betalingsstatus].[Betalende medlem]"),'Præsentationstabeller 1'!$C$2,$B50,CUBEMEMBER("BIDB",{"[Measures].[Ledighedsmulige]"}),J$3)</f>
        <v>9614</v>
      </c>
      <c r="K50" s="37" vm="2733">
        <f>CUBEVALUE("BIDB",CUBEMEMBER("BIDB","[Betalingsstatus].[Betalende medlem]"),'Præsentationstabeller 1'!$C$2,$B50,CUBEMEMBER("BIDB",{"[Measures].[Fuldtidsledige]"}),J$3)</f>
        <v>194.9674054054054</v>
      </c>
      <c r="L50" s="28">
        <f t="shared" ref="L50" si="11">IFERROR(K50/J50*100,0)</f>
        <v>2.0279530414541855</v>
      </c>
      <c r="M50" s="27" vm="5436">
        <f>CUBEVALUE("BIDB",CUBEMEMBER("BIDB","[Betalingsstatus].[Betalende medlem]"),'Præsentationstabeller 1'!$C$2,$B50,CUBEMEMBER("BIDB",{"[Measures].[Ledighedsmulige]"}),M$3)</f>
        <v>12173</v>
      </c>
      <c r="N50" s="37" vm="2622">
        <f>CUBEVALUE("BIDB",CUBEMEMBER("BIDB","[Betalingsstatus].[Betalende medlem]"),'Præsentationstabeller 1'!$C$2,$B50,CUBEMEMBER("BIDB",{"[Measures].[Fuldtidsledige]"}),M$3)</f>
        <v>278.62762162162147</v>
      </c>
      <c r="O50" s="28">
        <f t="shared" ref="O50" si="12">IFERROR(N50/M50*100,0)</f>
        <v>2.2888985592838371</v>
      </c>
      <c r="P50" s="27" vm="5049">
        <f>CUBEVALUE("BIDB",CUBEMEMBER("BIDB","[Betalingsstatus].[Betalende medlem]"),'Præsentationstabeller 1'!$C$2,$B50,CUBEMEMBER("BIDB",{"[Measures].[Ledighedsmulige]"}),P$3)</f>
        <v>4861</v>
      </c>
      <c r="Q50" s="37" vm="2476">
        <f>CUBEVALUE("BIDB",CUBEMEMBER("BIDB","[Betalingsstatus].[Betalende medlem]"),'Præsentationstabeller 1'!$C$2,$B50,CUBEMEMBER("BIDB",{"[Measures].[Fuldtidsledige]"}),P$3)</f>
        <v>228.49437837837837</v>
      </c>
      <c r="R50" s="28">
        <f t="shared" ref="R50" si="13">IFERROR(Q50/P50*100,0)</f>
        <v>4.7005632252289322</v>
      </c>
    </row>
    <row r="51" spans="2:18" x14ac:dyDescent="0.3">
      <c r="B51" s="13"/>
      <c r="C51" s="13"/>
      <c r="D51" s="13"/>
      <c r="E51" s="13"/>
      <c r="F51" s="13"/>
      <c r="G51" s="13"/>
      <c r="H51" s="13"/>
      <c r="I51" s="13"/>
    </row>
    <row r="52" spans="2:18" x14ac:dyDescent="0.3">
      <c r="B52" s="13"/>
      <c r="C52" s="13"/>
      <c r="D52" s="13"/>
      <c r="E52" s="13"/>
      <c r="F52" s="13"/>
      <c r="G52" s="13"/>
      <c r="H52" s="13"/>
      <c r="I52" s="13"/>
    </row>
    <row r="53" spans="2:18" x14ac:dyDescent="0.3">
      <c r="B53" s="13"/>
      <c r="C53" s="13"/>
      <c r="D53" s="13"/>
      <c r="E53" s="13"/>
      <c r="F53" s="13"/>
      <c r="G53" s="13"/>
      <c r="H53" s="13"/>
      <c r="I53" s="13"/>
    </row>
    <row r="54" spans="2:18" x14ac:dyDescent="0.3">
      <c r="B54" s="13"/>
      <c r="C54" s="13"/>
      <c r="D54" s="13"/>
      <c r="E54" s="13"/>
      <c r="F54" s="13"/>
      <c r="G54" s="13"/>
      <c r="H54" s="13"/>
      <c r="I54" s="13"/>
    </row>
    <row r="55" spans="2:18" x14ac:dyDescent="0.3">
      <c r="B55" s="13"/>
      <c r="C55" s="13"/>
      <c r="D55" s="13"/>
      <c r="E55" s="13"/>
      <c r="F55" s="13"/>
      <c r="G55" s="13"/>
      <c r="H55" s="13"/>
      <c r="I55" s="13"/>
    </row>
    <row r="56" spans="2:18" x14ac:dyDescent="0.3">
      <c r="B56" s="13"/>
      <c r="C56" s="13"/>
      <c r="D56" s="13"/>
      <c r="E56" s="13"/>
      <c r="F56" s="13"/>
      <c r="G56" s="13"/>
      <c r="H56" s="13"/>
      <c r="I56" s="13"/>
    </row>
    <row r="57" spans="2:18" x14ac:dyDescent="0.3">
      <c r="B57" s="13"/>
      <c r="C57" s="13"/>
      <c r="D57" s="13"/>
      <c r="E57" s="13"/>
      <c r="F57" s="13"/>
      <c r="G57" s="13"/>
      <c r="H57" s="13"/>
      <c r="I57" s="13"/>
    </row>
    <row r="58" spans="2:18" x14ac:dyDescent="0.3">
      <c r="B58" s="13"/>
      <c r="C58" s="13"/>
      <c r="D58" s="13"/>
      <c r="E58" s="13"/>
      <c r="F58" s="13"/>
      <c r="G58" s="13"/>
      <c r="H58" s="13"/>
      <c r="I58" s="13"/>
    </row>
    <row r="59" spans="2:18" x14ac:dyDescent="0.3">
      <c r="B59" s="13"/>
      <c r="C59" s="13"/>
      <c r="D59" s="13"/>
      <c r="E59" s="13"/>
      <c r="F59" s="13"/>
      <c r="G59" s="13"/>
      <c r="H59" s="13"/>
      <c r="I59" s="13"/>
    </row>
    <row r="60" spans="2:18" x14ac:dyDescent="0.3">
      <c r="B60" s="13"/>
      <c r="C60" s="13"/>
      <c r="D60" s="13"/>
      <c r="E60" s="13"/>
      <c r="F60" s="13"/>
      <c r="G60" s="13"/>
      <c r="H60" s="13"/>
      <c r="I60" s="13"/>
    </row>
    <row r="61" spans="2:18" x14ac:dyDescent="0.3">
      <c r="B61" s="13"/>
      <c r="C61" s="13"/>
      <c r="D61" s="13"/>
      <c r="E61" s="13"/>
      <c r="F61" s="13"/>
      <c r="G61" s="13"/>
      <c r="H61" s="13"/>
      <c r="I61" s="13"/>
    </row>
    <row r="62" spans="2:18" x14ac:dyDescent="0.3">
      <c r="B62" s="13"/>
      <c r="C62" s="13"/>
      <c r="D62" s="13"/>
      <c r="E62" s="13"/>
      <c r="F62" s="13"/>
      <c r="G62" s="13"/>
      <c r="H62" s="13"/>
      <c r="I62" s="13"/>
    </row>
    <row r="63" spans="2:18" x14ac:dyDescent="0.3">
      <c r="B63" s="13"/>
      <c r="C63" s="13"/>
      <c r="D63" s="13"/>
      <c r="E63" s="13"/>
      <c r="F63" s="13"/>
      <c r="G63" s="13"/>
      <c r="H63" s="13"/>
      <c r="I63" s="13"/>
    </row>
    <row r="64" spans="2:18" x14ac:dyDescent="0.3">
      <c r="B64" s="13"/>
      <c r="C64" s="13"/>
      <c r="D64" s="13"/>
      <c r="E64" s="13"/>
      <c r="F64" s="13"/>
      <c r="G64" s="13"/>
      <c r="H64" s="13"/>
      <c r="I64" s="13"/>
    </row>
    <row r="65" spans="2:9" x14ac:dyDescent="0.3">
      <c r="B65" s="13"/>
      <c r="C65" s="13"/>
      <c r="D65" s="13"/>
      <c r="E65" s="13"/>
      <c r="F65" s="13"/>
      <c r="G65" s="13"/>
      <c r="H65" s="13"/>
      <c r="I65" s="13"/>
    </row>
    <row r="66" spans="2:9" x14ac:dyDescent="0.3">
      <c r="B66" s="13"/>
      <c r="C66" s="13"/>
      <c r="D66" s="13"/>
      <c r="E66" s="13"/>
      <c r="F66" s="13"/>
      <c r="G66" s="13"/>
      <c r="H66" s="13"/>
      <c r="I66" s="13"/>
    </row>
    <row r="67" spans="2:9" x14ac:dyDescent="0.3">
      <c r="B67" s="13"/>
      <c r="C67" s="13"/>
      <c r="D67" s="13"/>
      <c r="E67" s="13"/>
      <c r="F67" s="13"/>
      <c r="G67" s="13"/>
      <c r="H67" s="13"/>
      <c r="I67" s="13"/>
    </row>
    <row r="68" spans="2:9" x14ac:dyDescent="0.3">
      <c r="B68" s="13"/>
      <c r="C68" s="13"/>
      <c r="D68" s="13"/>
      <c r="E68" s="13"/>
      <c r="F68" s="13"/>
      <c r="G68" s="13"/>
      <c r="H68" s="13"/>
      <c r="I68" s="13"/>
    </row>
    <row r="69" spans="2:9" x14ac:dyDescent="0.3">
      <c r="B69" s="13"/>
      <c r="C69" s="13"/>
      <c r="D69" s="13"/>
      <c r="E69" s="13"/>
      <c r="F69" s="13"/>
      <c r="G69" s="13"/>
      <c r="H69" s="13"/>
      <c r="I69" s="13"/>
    </row>
    <row r="70" spans="2:9" x14ac:dyDescent="0.3">
      <c r="B70" s="13"/>
      <c r="C70" s="13"/>
      <c r="D70" s="13"/>
      <c r="E70" s="13"/>
      <c r="F70" s="13"/>
      <c r="G70" s="13"/>
      <c r="H70" s="13"/>
      <c r="I70" s="13"/>
    </row>
    <row r="71" spans="2:9" x14ac:dyDescent="0.3">
      <c r="B71" s="13"/>
      <c r="C71" s="13"/>
      <c r="D71" s="13"/>
      <c r="E71" s="13"/>
      <c r="F71" s="13"/>
      <c r="G71" s="13"/>
      <c r="H71" s="13"/>
      <c r="I71" s="13"/>
    </row>
    <row r="72" spans="2:9" x14ac:dyDescent="0.3">
      <c r="B72" s="13"/>
      <c r="C72" s="13"/>
      <c r="D72" s="13"/>
      <c r="E72" s="13"/>
      <c r="F72" s="13"/>
      <c r="G72" s="13"/>
      <c r="H72" s="13"/>
      <c r="I72" s="13"/>
    </row>
    <row r="73" spans="2:9" x14ac:dyDescent="0.3">
      <c r="B73" s="13"/>
      <c r="C73" s="13"/>
      <c r="D73" s="13"/>
      <c r="E73" s="13"/>
      <c r="F73" s="13"/>
      <c r="G73" s="13"/>
      <c r="H73" s="13"/>
      <c r="I73" s="13"/>
    </row>
    <row r="74" spans="2:9" x14ac:dyDescent="0.3">
      <c r="B74" s="13"/>
      <c r="C74" s="13"/>
      <c r="D74" s="13"/>
      <c r="E74" s="13"/>
      <c r="F74" s="13"/>
      <c r="G74" s="13"/>
      <c r="H74" s="13"/>
      <c r="I74" s="13"/>
    </row>
    <row r="75" spans="2:9" x14ac:dyDescent="0.3">
      <c r="B75" s="13"/>
      <c r="C75" s="13"/>
      <c r="D75" s="13"/>
      <c r="E75" s="13"/>
      <c r="F75" s="13"/>
      <c r="G75" s="13"/>
      <c r="H75" s="13"/>
      <c r="I75" s="13"/>
    </row>
    <row r="76" spans="2:9" x14ac:dyDescent="0.3">
      <c r="B76" s="13"/>
      <c r="C76" s="13"/>
      <c r="D76" s="13"/>
      <c r="E76" s="13"/>
      <c r="F76" s="13"/>
      <c r="G76" s="13"/>
      <c r="H76" s="13"/>
      <c r="I76" s="13"/>
    </row>
    <row r="77" spans="2:9" x14ac:dyDescent="0.3">
      <c r="B77" s="13"/>
      <c r="C77" s="13"/>
      <c r="D77" s="13"/>
      <c r="E77" s="13"/>
      <c r="F77" s="13"/>
      <c r="G77" s="13"/>
      <c r="H77" s="13"/>
      <c r="I77" s="13"/>
    </row>
    <row r="78" spans="2:9" x14ac:dyDescent="0.3">
      <c r="B78" s="13"/>
      <c r="C78" s="13"/>
      <c r="D78" s="13"/>
      <c r="E78" s="13"/>
      <c r="F78" s="13"/>
      <c r="G78" s="13"/>
      <c r="H78" s="13"/>
      <c r="I78" s="13"/>
    </row>
    <row r="79" spans="2:9" x14ac:dyDescent="0.3">
      <c r="B79" s="13"/>
      <c r="C79" s="13"/>
      <c r="D79" s="13"/>
      <c r="E79" s="13"/>
      <c r="F79" s="13"/>
      <c r="G79" s="13"/>
      <c r="H79" s="13"/>
      <c r="I79" s="13"/>
    </row>
    <row r="80" spans="2:9" x14ac:dyDescent="0.3">
      <c r="B80" s="13"/>
      <c r="C80" s="13"/>
      <c r="D80" s="13"/>
      <c r="E80" s="13"/>
      <c r="F80" s="13"/>
      <c r="G80" s="13"/>
      <c r="H80" s="13"/>
      <c r="I80" s="13"/>
    </row>
  </sheetData>
  <mergeCells count="5">
    <mergeCell ref="D3:F3"/>
    <mergeCell ref="G3:I3"/>
    <mergeCell ref="J3:L3"/>
    <mergeCell ref="M3:O3"/>
    <mergeCell ref="P3:R3"/>
  </mergeCells>
  <pageMargins left="0.7" right="0.7" top="0.75" bottom="0.75" header="0.3" footer="0.3"/>
  <pageSetup orientation="portrait" r:id="rId1"/>
  <ignoredErrors>
    <ignoredError sqref="R49 O49 L49 I49 F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Præsentationstabeller 1</vt:lpstr>
      <vt:lpstr>Sommerdimittender</vt:lpstr>
      <vt:lpstr>Tabel 2, detaljeret og køn</vt:lpstr>
      <vt:lpstr>Tabel 3, detaljeret og alder</vt:lpstr>
      <vt:lpstr>Tabel 4, detaljeret og k_alder</vt:lpstr>
      <vt:lpstr>Tabel 5, detaljeret og geografi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Kristensen</dc:creator>
  <cp:lastModifiedBy>Stine Nørtoft Popp</cp:lastModifiedBy>
  <cp:lastPrinted>2015-11-17T09:40:29Z</cp:lastPrinted>
  <dcterms:created xsi:type="dcterms:W3CDTF">2015-06-16T12:27:00Z</dcterms:created>
  <dcterms:modified xsi:type="dcterms:W3CDTF">2016-08-23T06:55:03Z</dcterms:modified>
</cp:coreProperties>
</file>